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adcruzeirodosul-my.sharepoint.com/personal/manuela_amaro_cs_udf_edu_br/Documents/"/>
    </mc:Choice>
  </mc:AlternateContent>
  <xr:revisionPtr revIDLastSave="0" documentId="8_{898D7B67-44A4-FE4A-BE83-0119453DB168}" xr6:coauthVersionLast="47" xr6:coauthVersionMax="47" xr10:uidLastSave="{00000000-0000-0000-0000-000000000000}"/>
  <bookViews>
    <workbookView xWindow="-120" yWindow="-120" windowWidth="20730" windowHeight="11040" firstSheet="1" activeTab="3" xr2:uid="{84A49A12-BCC2-481C-A79F-6CECF44D4B68}"/>
  </bookViews>
  <sheets>
    <sheet name="TACO v. 2 - 2006" sheetId="1" r:id="rId1"/>
    <sheet name="TACO v.4  - 2011" sheetId="8" r:id="rId2"/>
    <sheet name="IBGE - 2011" sheetId="7" r:id="rId3"/>
    <sheet name="Prescrição Dietética" sheetId="2" r:id="rId4"/>
    <sheet name="IBGE_2" sheetId="9" state="hidden" r:id="rId5"/>
    <sheet name="Avaliação Dietética" sheetId="10" r:id="rId6"/>
  </sheets>
  <definedNames>
    <definedName name="TB_ALIMENTO_ANALITO_2" localSheetId="2">'IBGE - 2011'!#REF!</definedName>
    <definedName name="TB_ALIMENTO_ANALITO_2" localSheetId="4">IBGE_2!$C$2:$AG$1948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R328" i="8"/>
  <c r="R327" i="8"/>
  <c r="R326" i="8"/>
  <c r="R325" i="8"/>
  <c r="R324" i="8"/>
  <c r="R323" i="8"/>
  <c r="R322" i="8"/>
  <c r="R321" i="8"/>
  <c r="R320" i="8"/>
  <c r="R319" i="8"/>
  <c r="R318" i="8"/>
  <c r="R317" i="8"/>
  <c r="R316" i="8"/>
  <c r="R315" i="8"/>
  <c r="R314" i="8"/>
  <c r="R313" i="8"/>
  <c r="R312" i="8"/>
  <c r="R311" i="8"/>
  <c r="R310" i="8"/>
  <c r="R309" i="8"/>
  <c r="R308" i="8"/>
  <c r="R307" i="8"/>
  <c r="R306" i="8"/>
  <c r="R305" i="8"/>
  <c r="R304" i="8"/>
  <c r="R303" i="8"/>
  <c r="R302" i="8"/>
  <c r="R301" i="8"/>
  <c r="R300" i="8"/>
  <c r="R299" i="8"/>
  <c r="R298" i="8"/>
  <c r="R297" i="8"/>
  <c r="R296" i="8"/>
  <c r="R295" i="8"/>
  <c r="R294" i="8"/>
  <c r="R293" i="8"/>
  <c r="R292" i="8"/>
  <c r="R291" i="8"/>
  <c r="R290" i="8"/>
  <c r="R289" i="8"/>
  <c r="R288" i="8"/>
  <c r="R287" i="8"/>
  <c r="R286" i="8"/>
  <c r="R285" i="8"/>
  <c r="R284" i="8"/>
  <c r="R283" i="8"/>
  <c r="R282" i="8"/>
  <c r="R281" i="8"/>
  <c r="R280" i="8"/>
  <c r="R279" i="8"/>
  <c r="J601" i="8"/>
  <c r="J600" i="8"/>
  <c r="J599" i="8"/>
  <c r="J598" i="8"/>
  <c r="J597" i="8"/>
  <c r="J594" i="8"/>
  <c r="J593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C13" i="8"/>
  <c r="Y282" i="7"/>
  <c r="Y1972" i="7"/>
  <c r="Y1971" i="7"/>
  <c r="Y1969" i="7"/>
  <c r="Y1966" i="7"/>
  <c r="Y1965" i="7"/>
  <c r="Y1964" i="7"/>
  <c r="Y1963" i="7"/>
  <c r="Y1962" i="7"/>
  <c r="Y1961" i="7"/>
  <c r="Y1960" i="7"/>
  <c r="Y1959" i="7"/>
  <c r="Y1958" i="7"/>
  <c r="Y1957" i="7"/>
  <c r="Y1956" i="7"/>
  <c r="Y1955" i="7"/>
  <c r="Y1954" i="7"/>
  <c r="Y1953" i="7"/>
  <c r="Y1952" i="7"/>
  <c r="Y1951" i="7"/>
  <c r="Y1950" i="7"/>
  <c r="Y1949" i="7"/>
  <c r="Y1948" i="7"/>
  <c r="Y1946" i="7"/>
  <c r="Y1945" i="7"/>
  <c r="Y1944" i="7"/>
  <c r="Y1943" i="7"/>
  <c r="Y1942" i="7"/>
  <c r="Y1941" i="7"/>
  <c r="Y1940" i="7"/>
  <c r="Y1939" i="7"/>
  <c r="Y1938" i="7"/>
  <c r="Y1937" i="7"/>
  <c r="Y1936" i="7"/>
  <c r="Y1935" i="7"/>
  <c r="Y1934" i="7"/>
  <c r="Y1933" i="7"/>
  <c r="Y1932" i="7"/>
  <c r="Y1930" i="7"/>
  <c r="Y1929" i="7"/>
  <c r="Y1928" i="7"/>
  <c r="Y1927" i="7"/>
  <c r="Y1926" i="7"/>
  <c r="Y1925" i="7"/>
  <c r="Y1924" i="7"/>
  <c r="Y1923" i="7"/>
  <c r="Y1922" i="7"/>
  <c r="Y1921" i="7"/>
  <c r="Y1920" i="7"/>
  <c r="Y1919" i="7"/>
  <c r="Y1918" i="7"/>
  <c r="Y1917" i="7"/>
  <c r="Y1916" i="7"/>
  <c r="Y1915" i="7"/>
  <c r="Y1914" i="7"/>
  <c r="Y1913" i="7"/>
  <c r="Y1912" i="7"/>
  <c r="Y1910" i="7"/>
  <c r="Y1909" i="7"/>
  <c r="Y1908" i="7"/>
  <c r="Y1907" i="7"/>
  <c r="Y1906" i="7"/>
  <c r="Y1905" i="7"/>
  <c r="Y1904" i="7"/>
  <c r="Y1903" i="7"/>
  <c r="Y1902" i="7"/>
  <c r="Y1901" i="7"/>
  <c r="Y1899" i="7"/>
  <c r="Y1898" i="7"/>
  <c r="Y1897" i="7"/>
  <c r="Y1895" i="7"/>
  <c r="Y1894" i="7"/>
  <c r="Y1893" i="7"/>
  <c r="Y1892" i="7"/>
  <c r="Y1891" i="7"/>
  <c r="Y1889" i="7"/>
  <c r="Y1886" i="7"/>
  <c r="Y1885" i="7"/>
  <c r="Y1884" i="7"/>
  <c r="Y1883" i="7"/>
  <c r="Y1882" i="7"/>
  <c r="Y1881" i="7"/>
  <c r="Y1880" i="7"/>
  <c r="Y1879" i="7"/>
  <c r="Y1878" i="7"/>
  <c r="Y1877" i="7"/>
  <c r="Y1876" i="7"/>
  <c r="Y1875" i="7"/>
  <c r="Y1874" i="7"/>
  <c r="Y1873" i="7"/>
  <c r="Y1872" i="7"/>
  <c r="Y1871" i="7"/>
  <c r="Y1870" i="7"/>
  <c r="Y1869" i="7"/>
  <c r="Y1868" i="7"/>
  <c r="Y1867" i="7"/>
  <c r="Y1866" i="7"/>
  <c r="Y1865" i="7"/>
  <c r="Y1864" i="7"/>
  <c r="Y1863" i="7"/>
  <c r="Y1862" i="7"/>
  <c r="Y1861" i="7"/>
  <c r="Y1860" i="7"/>
  <c r="Y1859" i="7"/>
  <c r="Y1858" i="7"/>
  <c r="Y1857" i="7"/>
  <c r="Y1856" i="7"/>
  <c r="Y1855" i="7"/>
  <c r="Y1854" i="7"/>
  <c r="Y1853" i="7"/>
  <c r="Y1852" i="7"/>
  <c r="Y1851" i="7"/>
  <c r="Y1850" i="7"/>
  <c r="Y1849" i="7"/>
  <c r="Y1848" i="7"/>
  <c r="Y1847" i="7"/>
  <c r="Y1846" i="7"/>
  <c r="Y1845" i="7"/>
  <c r="Y1844" i="7"/>
  <c r="Y1843" i="7"/>
  <c r="Y1842" i="7"/>
  <c r="Y1841" i="7"/>
  <c r="Y1840" i="7"/>
  <c r="Y1839" i="7"/>
  <c r="Y1838" i="7"/>
  <c r="Y1837" i="7"/>
  <c r="Y1836" i="7"/>
  <c r="Y1835" i="7"/>
  <c r="Y1834" i="7"/>
  <c r="Y1833" i="7"/>
  <c r="Y1832" i="7"/>
  <c r="Y1831" i="7"/>
  <c r="Y1830" i="7"/>
  <c r="Y1829" i="7"/>
  <c r="Y1828" i="7"/>
  <c r="Y1827" i="7"/>
  <c r="Y1826" i="7"/>
  <c r="Y1825" i="7"/>
  <c r="Y1824" i="7"/>
  <c r="Y1823" i="7"/>
  <c r="Y1822" i="7"/>
  <c r="Y1821" i="7"/>
  <c r="Y1820" i="7"/>
  <c r="Y1819" i="7"/>
  <c r="Y1818" i="7"/>
  <c r="Y1817" i="7"/>
  <c r="Y1816" i="7"/>
  <c r="Y1815" i="7"/>
  <c r="Y1814" i="7"/>
  <c r="Y1813" i="7"/>
  <c r="Y1812" i="7"/>
  <c r="Y1811" i="7"/>
  <c r="Y1810" i="7"/>
  <c r="Y1809" i="7"/>
  <c r="Y1808" i="7"/>
  <c r="Y1807" i="7"/>
  <c r="Y1806" i="7"/>
  <c r="Y1805" i="7"/>
  <c r="Y1804" i="7"/>
  <c r="Y1803" i="7"/>
  <c r="Y1802" i="7"/>
  <c r="Y1800" i="7"/>
  <c r="Y1799" i="7"/>
  <c r="Y1797" i="7"/>
  <c r="Y1796" i="7"/>
  <c r="Y1795" i="7"/>
  <c r="Y1794" i="7"/>
  <c r="Y1793" i="7"/>
  <c r="Y1792" i="7"/>
  <c r="Y1789" i="7"/>
  <c r="Y1784" i="7"/>
  <c r="Y1783" i="7"/>
  <c r="Y1781" i="7"/>
  <c r="Y1780" i="7"/>
  <c r="Y1778" i="7"/>
  <c r="Y1774" i="7"/>
  <c r="Y1773" i="7"/>
  <c r="Y1772" i="7"/>
  <c r="Y1771" i="7"/>
  <c r="Y1770" i="7"/>
  <c r="Y1769" i="7"/>
  <c r="Y1768" i="7"/>
  <c r="Y1767" i="7"/>
  <c r="Y1766" i="7"/>
  <c r="Y1763" i="7"/>
  <c r="Y1762" i="7"/>
  <c r="Y1761" i="7"/>
  <c r="Y1760" i="7"/>
  <c r="Y1759" i="7"/>
  <c r="Y1758" i="7"/>
  <c r="Y1753" i="7"/>
  <c r="Y1752" i="7"/>
  <c r="Y1751" i="7"/>
  <c r="Y1750" i="7"/>
  <c r="Y1748" i="7"/>
  <c r="Y1743" i="7"/>
  <c r="Y1742" i="7"/>
  <c r="Y1741" i="7"/>
  <c r="Y1740" i="7"/>
  <c r="Y1738" i="7"/>
  <c r="Y1736" i="7"/>
  <c r="Y1735" i="7"/>
  <c r="Y1733" i="7"/>
  <c r="Y1732" i="7"/>
  <c r="Y1731" i="7"/>
  <c r="Y1730" i="7"/>
  <c r="Y1729" i="7"/>
  <c r="Y1728" i="7"/>
  <c r="Y1727" i="7"/>
  <c r="Y1726" i="7"/>
  <c r="Y1723" i="7"/>
  <c r="Y1717" i="7"/>
  <c r="Y1715" i="7"/>
  <c r="Y1714" i="7"/>
  <c r="Y1713" i="7"/>
  <c r="Y1704" i="7"/>
  <c r="Y1703" i="7"/>
  <c r="Y1702" i="7"/>
  <c r="Y1701" i="7"/>
  <c r="Y1700" i="7"/>
  <c r="Y1699" i="7"/>
  <c r="Y1698" i="7"/>
  <c r="Y1697" i="7"/>
  <c r="Y1696" i="7"/>
  <c r="Y1695" i="7"/>
  <c r="Y1694" i="7"/>
  <c r="Y1693" i="7"/>
  <c r="Y1692" i="7"/>
  <c r="Y1691" i="7"/>
  <c r="Y1690" i="7"/>
  <c r="Y1689" i="7"/>
  <c r="Y1688" i="7"/>
  <c r="Y1687" i="7"/>
  <c r="Y1686" i="7"/>
  <c r="Y1685" i="7"/>
  <c r="Y1684" i="7"/>
  <c r="Y1683" i="7"/>
  <c r="Y1682" i="7"/>
  <c r="Y1681" i="7"/>
  <c r="Y1680" i="7"/>
  <c r="Y1679" i="7"/>
  <c r="Y1678" i="7"/>
  <c r="Y1677" i="7"/>
  <c r="Y1676" i="7"/>
  <c r="Y1675" i="7"/>
  <c r="Y1674" i="7"/>
  <c r="Y1673" i="7"/>
  <c r="Y1672" i="7"/>
  <c r="Y1671" i="7"/>
  <c r="Y1670" i="7"/>
  <c r="Y1669" i="7"/>
  <c r="Y1668" i="7"/>
  <c r="Y1667" i="7"/>
  <c r="Y1666" i="7"/>
  <c r="Y1665" i="7"/>
  <c r="Y1664" i="7"/>
  <c r="Y1663" i="7"/>
  <c r="Y1662" i="7"/>
  <c r="Y1661" i="7"/>
  <c r="Y1660" i="7"/>
  <c r="Y1659" i="7"/>
  <c r="Y1658" i="7"/>
  <c r="Y1657" i="7"/>
  <c r="Y1656" i="7"/>
  <c r="Y1655" i="7"/>
  <c r="Y1654" i="7"/>
  <c r="Y1653" i="7"/>
  <c r="Y1652" i="7"/>
  <c r="Y1651" i="7"/>
  <c r="Y1650" i="7"/>
  <c r="Y1649" i="7"/>
  <c r="Y1648" i="7"/>
  <c r="Y1647" i="7"/>
  <c r="Y1646" i="7"/>
  <c r="Y1645" i="7"/>
  <c r="Y1644" i="7"/>
  <c r="Y1643" i="7"/>
  <c r="Y1642" i="7"/>
  <c r="Y1641" i="7"/>
  <c r="Y1640" i="7"/>
  <c r="Y1639" i="7"/>
  <c r="Y1638" i="7"/>
  <c r="Y1637" i="7"/>
  <c r="Y1636" i="7"/>
  <c r="Y1635" i="7"/>
  <c r="Y1634" i="7"/>
  <c r="Y1633" i="7"/>
  <c r="Y1632" i="7"/>
  <c r="Y1631" i="7"/>
  <c r="Y1630" i="7"/>
  <c r="Y1629" i="7"/>
  <c r="Y1628" i="7"/>
  <c r="Y1627" i="7"/>
  <c r="Y1626" i="7"/>
  <c r="Y1625" i="7"/>
  <c r="Y1624" i="7"/>
  <c r="Y1623" i="7"/>
  <c r="Y1622" i="7"/>
  <c r="Y1621" i="7"/>
  <c r="Y1620" i="7"/>
  <c r="Y1619" i="7"/>
  <c r="Y1618" i="7"/>
  <c r="Y1617" i="7"/>
  <c r="Y1616" i="7"/>
  <c r="Y1615" i="7"/>
  <c r="Y1614" i="7"/>
  <c r="Y1613" i="7"/>
  <c r="Y1612" i="7"/>
  <c r="Y1611" i="7"/>
  <c r="Y1610" i="7"/>
  <c r="Y1609" i="7"/>
  <c r="Y1608" i="7"/>
  <c r="Y1607" i="7"/>
  <c r="Y1606" i="7"/>
  <c r="Y1605" i="7"/>
  <c r="Y1604" i="7"/>
  <c r="Y1603" i="7"/>
  <c r="Y1602" i="7"/>
  <c r="Y1601" i="7"/>
  <c r="Y1600" i="7"/>
  <c r="Y1599" i="7"/>
  <c r="Y1598" i="7"/>
  <c r="Y1597" i="7"/>
  <c r="Y1596" i="7"/>
  <c r="Y1595" i="7"/>
  <c r="Y1594" i="7"/>
  <c r="Y1593" i="7"/>
  <c r="Y1592" i="7"/>
  <c r="Y1591" i="7"/>
  <c r="Y1590" i="7"/>
  <c r="Y1589" i="7"/>
  <c r="Y1588" i="7"/>
  <c r="Y1587" i="7"/>
  <c r="Y1586" i="7"/>
  <c r="Y1585" i="7"/>
  <c r="Y1584" i="7"/>
  <c r="Y1583" i="7"/>
  <c r="Y1582" i="7"/>
  <c r="Y1581" i="7"/>
  <c r="Y1580" i="7"/>
  <c r="Y1579" i="7"/>
  <c r="Y1578" i="7"/>
  <c r="Y1577" i="7"/>
  <c r="Y1576" i="7"/>
  <c r="Y1575" i="7"/>
  <c r="Y1574" i="7"/>
  <c r="Y1573" i="7"/>
  <c r="Y1572" i="7"/>
  <c r="Y1571" i="7"/>
  <c r="Y1570" i="7"/>
  <c r="Y1569" i="7"/>
  <c r="Y1568" i="7"/>
  <c r="Y1567" i="7"/>
  <c r="Y1566" i="7"/>
  <c r="Y1565" i="7"/>
  <c r="Y1564" i="7"/>
  <c r="Y1563" i="7"/>
  <c r="Y1562" i="7"/>
  <c r="Y1561" i="7"/>
  <c r="Y1560" i="7"/>
  <c r="Y1559" i="7"/>
  <c r="Y1558" i="7"/>
  <c r="Y1556" i="7"/>
  <c r="Y1557" i="7"/>
  <c r="Y1555" i="7"/>
  <c r="Y1554" i="7"/>
  <c r="Y1552" i="7"/>
  <c r="Y1551" i="7"/>
  <c r="Y1550" i="7"/>
  <c r="Y1549" i="7"/>
  <c r="Y1548" i="7"/>
  <c r="Y1547" i="7"/>
  <c r="Y1546" i="7"/>
  <c r="Y1545" i="7"/>
  <c r="Y1544" i="7"/>
  <c r="Y1543" i="7"/>
  <c r="Y1542" i="7"/>
  <c r="Y1541" i="7"/>
  <c r="Y1540" i="7"/>
  <c r="Y1539" i="7"/>
  <c r="Y1538" i="7"/>
  <c r="Y1537" i="7"/>
  <c r="Y1536" i="7"/>
  <c r="Y1535" i="7"/>
  <c r="Y1534" i="7"/>
  <c r="Y1533" i="7"/>
  <c r="Y1532" i="7"/>
  <c r="Y1531" i="7"/>
  <c r="Y1530" i="7"/>
  <c r="Y1529" i="7"/>
  <c r="Y1528" i="7"/>
  <c r="Y1527" i="7"/>
  <c r="Y1526" i="7"/>
  <c r="Y1525" i="7"/>
  <c r="Y1524" i="7"/>
  <c r="Y1523" i="7"/>
  <c r="Y1522" i="7"/>
  <c r="Y1521" i="7"/>
  <c r="Y1520" i="7"/>
  <c r="Y1519" i="7"/>
  <c r="Y1518" i="7"/>
  <c r="Y1517" i="7"/>
  <c r="Y1516" i="7"/>
  <c r="Y1515" i="7"/>
  <c r="Y1514" i="7"/>
  <c r="Y1513" i="7"/>
  <c r="Y1512" i="7"/>
  <c r="Y1511" i="7"/>
  <c r="Y1510" i="7"/>
  <c r="Y1508" i="7"/>
  <c r="Y1507" i="7"/>
  <c r="Y1506" i="7"/>
  <c r="Y1505" i="7"/>
  <c r="Y1504" i="7"/>
  <c r="Y1503" i="7"/>
  <c r="Y1502" i="7"/>
  <c r="Y1501" i="7"/>
  <c r="Y1500" i="7"/>
  <c r="Y1499" i="7"/>
  <c r="Y1498" i="7"/>
  <c r="Y1497" i="7"/>
  <c r="Y1496" i="7"/>
  <c r="Y1495" i="7"/>
  <c r="Y1494" i="7"/>
  <c r="Y1493" i="7"/>
  <c r="Y1492" i="7"/>
  <c r="Y1491" i="7"/>
  <c r="Y1490" i="7"/>
  <c r="Y1489" i="7"/>
  <c r="Y1488" i="7"/>
  <c r="Y1487" i="7"/>
  <c r="Y1486" i="7"/>
  <c r="Y1485" i="7"/>
  <c r="Y1484" i="7"/>
  <c r="Y1483" i="7"/>
  <c r="Y1482" i="7"/>
  <c r="Y1481" i="7"/>
  <c r="Y1480" i="7"/>
  <c r="Y1479" i="7"/>
  <c r="Y1478" i="7"/>
  <c r="Y1477" i="7"/>
  <c r="Y1476" i="7"/>
  <c r="Y1475" i="7"/>
  <c r="Y1474" i="7"/>
  <c r="Y1473" i="7"/>
  <c r="Y1472" i="7"/>
  <c r="Y1471" i="7"/>
  <c r="Y1470" i="7"/>
  <c r="Y1469" i="7"/>
  <c r="Y1468" i="7"/>
  <c r="Y1467" i="7"/>
  <c r="Y1466" i="7"/>
  <c r="Y1465" i="7"/>
  <c r="Y1463" i="7"/>
  <c r="Y1462" i="7"/>
  <c r="Y1461" i="7"/>
  <c r="Y1460" i="7"/>
  <c r="Y1459" i="7"/>
  <c r="Y1458" i="7"/>
  <c r="Y1457" i="7"/>
  <c r="Y1456" i="7"/>
  <c r="Y1455" i="7"/>
  <c r="Y1454" i="7"/>
  <c r="Y1453" i="7"/>
  <c r="Y1452" i="7"/>
  <c r="Y1451" i="7"/>
  <c r="Y1450" i="7"/>
  <c r="Y1449" i="7"/>
  <c r="Y1448" i="7"/>
  <c r="Y1447" i="7"/>
  <c r="Y1446" i="7"/>
  <c r="Y1445" i="7"/>
  <c r="Y1444" i="7"/>
  <c r="Y1443" i="7"/>
  <c r="Y1442" i="7"/>
  <c r="Y1441" i="7"/>
  <c r="Y1440" i="7"/>
  <c r="Y1439" i="7"/>
  <c r="Y1438" i="7"/>
  <c r="Y1437" i="7"/>
  <c r="Y1436" i="7"/>
  <c r="Y1435" i="7"/>
  <c r="Y1434" i="7"/>
  <c r="Y1433" i="7"/>
  <c r="Y1432" i="7"/>
  <c r="Y1431" i="7"/>
  <c r="Y1430" i="7"/>
  <c r="Y1429" i="7"/>
  <c r="Y1428" i="7"/>
  <c r="Y1427" i="7"/>
  <c r="Y1426" i="7"/>
  <c r="Y1425" i="7"/>
  <c r="Y1424" i="7"/>
  <c r="Y1423" i="7"/>
  <c r="Y1422" i="7"/>
  <c r="Y1421" i="7"/>
  <c r="Y1420" i="7"/>
  <c r="Y1419" i="7"/>
  <c r="Y1418" i="7"/>
  <c r="Y1417" i="7"/>
  <c r="Y1416" i="7"/>
  <c r="Y1415" i="7"/>
  <c r="Y1414" i="7"/>
  <c r="Y1413" i="7"/>
  <c r="Y1412" i="7"/>
  <c r="Y1411" i="7"/>
  <c r="Y1410" i="7"/>
  <c r="Y1409" i="7"/>
  <c r="Y1408" i="7"/>
  <c r="Y1407" i="7"/>
  <c r="Y1406" i="7"/>
  <c r="Y1405" i="7"/>
  <c r="Y1404" i="7"/>
  <c r="Y1403" i="7"/>
  <c r="Y1402" i="7"/>
  <c r="Y1401" i="7"/>
  <c r="Y1400" i="7"/>
  <c r="Y1399" i="7"/>
  <c r="Y1398" i="7"/>
  <c r="Y1397" i="7"/>
  <c r="Y1396" i="7"/>
  <c r="Y1395" i="7"/>
  <c r="Y1394" i="7"/>
  <c r="Y1393" i="7"/>
  <c r="Y1392" i="7"/>
  <c r="Y1391" i="7"/>
  <c r="Y1390" i="7"/>
  <c r="Y1389" i="7"/>
  <c r="Y1388" i="7"/>
  <c r="Y1387" i="7"/>
  <c r="Y1386" i="7"/>
  <c r="Y1385" i="7"/>
  <c r="Y1384" i="7"/>
  <c r="Y1383" i="7"/>
  <c r="Y1382" i="7"/>
  <c r="Y1381" i="7"/>
  <c r="Y1380" i="7"/>
  <c r="Y1379" i="7"/>
  <c r="Y1378" i="7"/>
  <c r="Y1377" i="7"/>
  <c r="Y1376" i="7"/>
  <c r="Y1375" i="7"/>
  <c r="Y1374" i="7"/>
  <c r="Y1373" i="7"/>
  <c r="Y1372" i="7"/>
  <c r="Y1371" i="7"/>
  <c r="Y1370" i="7"/>
  <c r="Y1369" i="7"/>
  <c r="Y1368" i="7"/>
  <c r="Y1367" i="7"/>
  <c r="Y1366" i="7"/>
  <c r="Y1365" i="7"/>
  <c r="Y1364" i="7"/>
  <c r="Y1363" i="7"/>
  <c r="Y1362" i="7"/>
  <c r="Y1361" i="7"/>
  <c r="Y1360" i="7"/>
  <c r="Y1359" i="7"/>
  <c r="Y1358" i="7"/>
  <c r="Y1357" i="7"/>
  <c r="Y1356" i="7"/>
  <c r="Y1355" i="7"/>
  <c r="Y1354" i="7"/>
  <c r="Y1353" i="7"/>
  <c r="Y1352" i="7"/>
  <c r="Y1351" i="7"/>
  <c r="Y1350" i="7"/>
  <c r="Y1349" i="7"/>
  <c r="Y1348" i="7"/>
  <c r="Y1347" i="7"/>
  <c r="Y1346" i="7"/>
  <c r="Y1345" i="7"/>
  <c r="Y1344" i="7"/>
  <c r="Y1343" i="7"/>
  <c r="Y1342" i="7"/>
  <c r="Y1341" i="7"/>
  <c r="Y1340" i="7"/>
  <c r="Y1339" i="7"/>
  <c r="Y1338" i="7"/>
  <c r="Y1337" i="7"/>
  <c r="Y1336" i="7"/>
  <c r="Y1335" i="7"/>
  <c r="Y1334" i="7"/>
  <c r="Y1333" i="7"/>
  <c r="Y1332" i="7"/>
  <c r="Y1331" i="7"/>
  <c r="Y1330" i="7"/>
  <c r="Y1329" i="7"/>
  <c r="Y1328" i="7"/>
  <c r="Y1327" i="7"/>
  <c r="Y1326" i="7"/>
  <c r="Y1325" i="7"/>
  <c r="Y1324" i="7"/>
  <c r="Y1323" i="7"/>
  <c r="Y1322" i="7"/>
  <c r="Y1321" i="7"/>
  <c r="Y1320" i="7"/>
  <c r="Y1319" i="7"/>
  <c r="Y1318" i="7"/>
  <c r="Y1317" i="7"/>
  <c r="Y1316" i="7"/>
  <c r="Y1315" i="7"/>
  <c r="Y1314" i="7"/>
  <c r="Y1313" i="7"/>
  <c r="Y1312" i="7"/>
  <c r="Y1311" i="7"/>
  <c r="Y1310" i="7"/>
  <c r="Y1309" i="7"/>
  <c r="Y1308" i="7"/>
  <c r="Y1307" i="7"/>
  <c r="Y1306" i="7"/>
  <c r="Y1305" i="7"/>
  <c r="Y1304" i="7"/>
  <c r="Y1303" i="7"/>
  <c r="Y1302" i="7"/>
  <c r="Y1301" i="7"/>
  <c r="Y1300" i="7"/>
  <c r="Y1299" i="7"/>
  <c r="Y1298" i="7"/>
  <c r="Y1297" i="7"/>
  <c r="Y1296" i="7"/>
  <c r="Y1295" i="7"/>
  <c r="Y1294" i="7"/>
  <c r="Y1293" i="7"/>
  <c r="Y1292" i="7"/>
  <c r="Y1291" i="7"/>
  <c r="Y1290" i="7"/>
  <c r="Y1289" i="7"/>
  <c r="Y1288" i="7"/>
  <c r="Y1287" i="7"/>
  <c r="Y1286" i="7"/>
  <c r="Y1285" i="7"/>
  <c r="Y1284" i="7"/>
  <c r="Y1283" i="7"/>
  <c r="Y1282" i="7"/>
  <c r="Y1281" i="7"/>
  <c r="Y1280" i="7"/>
  <c r="Y1279" i="7"/>
  <c r="Y1278" i="7"/>
  <c r="Y1277" i="7"/>
  <c r="Y1276" i="7"/>
  <c r="Y1275" i="7"/>
  <c r="Y1274" i="7"/>
  <c r="Y1273" i="7"/>
  <c r="Y1272" i="7"/>
  <c r="Y1271" i="7"/>
  <c r="Y1270" i="7"/>
  <c r="Y1269" i="7"/>
  <c r="Y1268" i="7"/>
  <c r="Y1267" i="7"/>
  <c r="Y1266" i="7"/>
  <c r="Y1265" i="7"/>
  <c r="Y1264" i="7"/>
  <c r="Y1263" i="7"/>
  <c r="Y1262" i="7"/>
  <c r="Y1261" i="7"/>
  <c r="Y1260" i="7"/>
  <c r="Y1259" i="7"/>
  <c r="Y1258" i="7"/>
  <c r="Y1257" i="7"/>
  <c r="Y1256" i="7"/>
  <c r="Y1255" i="7"/>
  <c r="Y1254" i="7"/>
  <c r="Y1253" i="7"/>
  <c r="Y1252" i="7"/>
  <c r="Y1251" i="7"/>
  <c r="Y1250" i="7"/>
  <c r="Y1249" i="7"/>
  <c r="Y1248" i="7"/>
  <c r="Y1247" i="7"/>
  <c r="Y1246" i="7"/>
  <c r="Y1245" i="7"/>
  <c r="Y1244" i="7"/>
  <c r="Y1243" i="7"/>
  <c r="Y1242" i="7"/>
  <c r="Y1241" i="7"/>
  <c r="Y1240" i="7"/>
  <c r="Y1239" i="7"/>
  <c r="Y1238" i="7"/>
  <c r="Y1237" i="7"/>
  <c r="Y1236" i="7"/>
  <c r="Y1235" i="7"/>
  <c r="Y1234" i="7"/>
  <c r="Y1233" i="7"/>
  <c r="Y1232" i="7"/>
  <c r="Y1231" i="7"/>
  <c r="Y1230" i="7"/>
  <c r="Y1229" i="7"/>
  <c r="Y1228" i="7"/>
  <c r="Y1227" i="7"/>
  <c r="Y1226" i="7"/>
  <c r="Y1225" i="7"/>
  <c r="Y1224" i="7"/>
  <c r="Y1223" i="7"/>
  <c r="Y1222" i="7"/>
  <c r="Y1221" i="7"/>
  <c r="Y1220" i="7"/>
  <c r="Y1219" i="7"/>
  <c r="Y1218" i="7"/>
  <c r="Y1217" i="7"/>
  <c r="Y1216" i="7"/>
  <c r="Y1215" i="7"/>
  <c r="Y1214" i="7"/>
  <c r="Y1213" i="7"/>
  <c r="Y1212" i="7"/>
  <c r="Y1211" i="7"/>
  <c r="Y1210" i="7"/>
  <c r="Y1209" i="7"/>
  <c r="Y1208" i="7"/>
  <c r="Y1207" i="7"/>
  <c r="Y1206" i="7"/>
  <c r="Y1205" i="7"/>
  <c r="Y1204" i="7"/>
  <c r="Y1203" i="7"/>
  <c r="Y1202" i="7"/>
  <c r="Y1201" i="7"/>
  <c r="Y1200" i="7"/>
  <c r="Y1199" i="7"/>
  <c r="Y1198" i="7"/>
  <c r="Y1197" i="7"/>
  <c r="Y1196" i="7"/>
  <c r="Y1195" i="7"/>
  <c r="Y1194" i="7"/>
  <c r="Y1193" i="7"/>
  <c r="Y1192" i="7"/>
  <c r="Y1191" i="7"/>
  <c r="Y1190" i="7"/>
  <c r="Y1189" i="7"/>
  <c r="Y1188" i="7"/>
  <c r="Y1187" i="7"/>
  <c r="Y1186" i="7"/>
  <c r="Y1185" i="7"/>
  <c r="Y1184" i="7"/>
  <c r="Y1183" i="7"/>
  <c r="Y1182" i="7"/>
  <c r="Y1181" i="7"/>
  <c r="Y1180" i="7"/>
  <c r="Y1179" i="7"/>
  <c r="Y1178" i="7"/>
  <c r="Y1177" i="7"/>
  <c r="Y1176" i="7"/>
  <c r="Y1175" i="7"/>
  <c r="Y1174" i="7"/>
  <c r="Y1173" i="7"/>
  <c r="Y1172" i="7"/>
  <c r="Y1171" i="7"/>
  <c r="Y1170" i="7"/>
  <c r="Y1169" i="7"/>
  <c r="Y1168" i="7"/>
  <c r="Y1167" i="7"/>
  <c r="Y1166" i="7"/>
  <c r="Y1165" i="7"/>
  <c r="Y1164" i="7"/>
  <c r="Y1163" i="7"/>
  <c r="Y1162" i="7"/>
  <c r="Y1161" i="7"/>
  <c r="Y1160" i="7"/>
  <c r="Y1159" i="7"/>
  <c r="Y1158" i="7"/>
  <c r="Y1157" i="7"/>
  <c r="Y1156" i="7"/>
  <c r="Y1155" i="7"/>
  <c r="Y1154" i="7"/>
  <c r="Y1153" i="7"/>
  <c r="Y1152" i="7"/>
  <c r="Y1151" i="7"/>
  <c r="Y1150" i="7"/>
  <c r="Y1149" i="7"/>
  <c r="Y1148" i="7"/>
  <c r="Y1147" i="7"/>
  <c r="Y1146" i="7"/>
  <c r="Y1145" i="7"/>
  <c r="Y1144" i="7"/>
  <c r="Y1143" i="7"/>
  <c r="Y1142" i="7"/>
  <c r="Y1141" i="7"/>
  <c r="Y1140" i="7"/>
  <c r="Y1139" i="7"/>
  <c r="Y1138" i="7"/>
  <c r="Y1137" i="7"/>
  <c r="Y1136" i="7"/>
  <c r="Y1135" i="7"/>
  <c r="Y1134" i="7"/>
  <c r="Y1133" i="7"/>
  <c r="Y1132" i="7"/>
  <c r="Y1131" i="7"/>
  <c r="Y1130" i="7"/>
  <c r="Y1129" i="7"/>
  <c r="Y1128" i="7"/>
  <c r="Y1127" i="7"/>
  <c r="Y1126" i="7"/>
  <c r="Y1125" i="7"/>
  <c r="Y1124" i="7"/>
  <c r="Y1123" i="7"/>
  <c r="Y1122" i="7"/>
  <c r="Y1121" i="7"/>
  <c r="Y1120" i="7"/>
  <c r="Y1119" i="7"/>
  <c r="Y1118" i="7"/>
  <c r="Y1117" i="7"/>
  <c r="Y1116" i="7"/>
  <c r="Y1115" i="7"/>
  <c r="Y1114" i="7"/>
  <c r="Y1113" i="7"/>
  <c r="Y1112" i="7"/>
  <c r="Y1111" i="7"/>
  <c r="Y1110" i="7"/>
  <c r="Y1109" i="7"/>
  <c r="Y1108" i="7"/>
  <c r="Y1107" i="7"/>
  <c r="Y1106" i="7"/>
  <c r="Y1105" i="7"/>
  <c r="Y1104" i="7"/>
  <c r="Y1103" i="7"/>
  <c r="Y1102" i="7"/>
  <c r="Y1100" i="7"/>
  <c r="Y1099" i="7"/>
  <c r="Y1098" i="7"/>
  <c r="Y1097" i="7"/>
  <c r="Y1096" i="7"/>
  <c r="Y1095" i="7"/>
  <c r="Y1094" i="7"/>
  <c r="Y1093" i="7"/>
  <c r="Y1092" i="7"/>
  <c r="Y1091" i="7"/>
  <c r="Y1090" i="7"/>
  <c r="Y1089" i="7"/>
  <c r="Y1088" i="7"/>
  <c r="Y1087" i="7"/>
  <c r="Y1086" i="7"/>
  <c r="Y1085" i="7"/>
  <c r="Y1084" i="7"/>
  <c r="Y1083" i="7"/>
  <c r="Y1082" i="7"/>
  <c r="Y1081" i="7"/>
  <c r="Y1080" i="7"/>
  <c r="Y1079" i="7"/>
  <c r="Y1078" i="7"/>
  <c r="Y1077" i="7"/>
  <c r="Y1076" i="7"/>
  <c r="Y1075" i="7"/>
  <c r="Y1074" i="7"/>
  <c r="Y1073" i="7"/>
  <c r="Y1072" i="7"/>
  <c r="Y1071" i="7"/>
  <c r="Y1070" i="7"/>
  <c r="Y1069" i="7"/>
  <c r="Y1068" i="7"/>
  <c r="Y1067" i="7"/>
  <c r="Y1066" i="7"/>
  <c r="Y1065" i="7"/>
  <c r="Y1064" i="7"/>
  <c r="Y1063" i="7"/>
  <c r="Y1062" i="7"/>
  <c r="Y1061" i="7"/>
  <c r="Y1060" i="7"/>
  <c r="Y1059" i="7"/>
  <c r="Y1058" i="7"/>
  <c r="Y1057" i="7"/>
  <c r="Y1056" i="7"/>
  <c r="Y1055" i="7"/>
  <c r="Y1054" i="7"/>
  <c r="Y1053" i="7"/>
  <c r="Y1052" i="7"/>
  <c r="Y1051" i="7"/>
  <c r="Y1050" i="7"/>
  <c r="Y1049" i="7"/>
  <c r="Y1048" i="7"/>
  <c r="Y1047" i="7"/>
  <c r="Y1046" i="7"/>
  <c r="Y1045" i="7"/>
  <c r="Y1044" i="7"/>
  <c r="Y1043" i="7"/>
  <c r="Y1042" i="7"/>
  <c r="Y1041" i="7"/>
  <c r="Y1040" i="7"/>
  <c r="Y1039" i="7"/>
  <c r="Y1038" i="7"/>
  <c r="Y1037" i="7"/>
  <c r="Y1036" i="7"/>
  <c r="Y1035" i="7"/>
  <c r="Y1034" i="7"/>
  <c r="Y1033" i="7"/>
  <c r="Y1032" i="7"/>
  <c r="Y1031" i="7"/>
  <c r="Y1030" i="7"/>
  <c r="Y1029" i="7"/>
  <c r="Y1028" i="7"/>
  <c r="Y1027" i="7"/>
  <c r="Y1026" i="7"/>
  <c r="Y1025" i="7"/>
  <c r="Y1024" i="7"/>
  <c r="Y1023" i="7"/>
  <c r="Y1022" i="7"/>
  <c r="Y1021" i="7"/>
  <c r="Y1020" i="7"/>
  <c r="Y1019" i="7"/>
  <c r="Y1018" i="7"/>
  <c r="Y1017" i="7"/>
  <c r="Y1016" i="7"/>
  <c r="Y1015" i="7"/>
  <c r="Y1014" i="7"/>
  <c r="Y1013" i="7"/>
  <c r="Y1012" i="7"/>
  <c r="Y1011" i="7"/>
  <c r="Y1010" i="7"/>
  <c r="Y1009" i="7"/>
  <c r="Y1008" i="7"/>
  <c r="Y1007" i="7"/>
  <c r="Y1006" i="7"/>
  <c r="Y1005" i="7"/>
  <c r="Y1004" i="7"/>
  <c r="Y1003" i="7"/>
  <c r="Y1002" i="7"/>
  <c r="Y1001" i="7"/>
  <c r="Y1000" i="7"/>
  <c r="Y999" i="7"/>
  <c r="Y998" i="7"/>
  <c r="Y997" i="7"/>
  <c r="Y996" i="7"/>
  <c r="Y995" i="7"/>
  <c r="Y994" i="7"/>
  <c r="Y993" i="7"/>
  <c r="Y992" i="7"/>
  <c r="Y991" i="7"/>
  <c r="Y990" i="7"/>
  <c r="Y989" i="7"/>
  <c r="Y988" i="7"/>
  <c r="Y987" i="7"/>
  <c r="Y986" i="7"/>
  <c r="Y985" i="7"/>
  <c r="Y984" i="7"/>
  <c r="Y983" i="7"/>
  <c r="Y982" i="7"/>
  <c r="Y981" i="7"/>
  <c r="Y980" i="7"/>
  <c r="Y979" i="7"/>
  <c r="Y978" i="7"/>
  <c r="Y977" i="7"/>
  <c r="Y975" i="7"/>
  <c r="Y974" i="7"/>
  <c r="Y973" i="7"/>
  <c r="Y972" i="7"/>
  <c r="Y971" i="7"/>
  <c r="Y970" i="7"/>
  <c r="Y969" i="7"/>
  <c r="Y968" i="7"/>
  <c r="Y967" i="7"/>
  <c r="Y966" i="7"/>
  <c r="Y965" i="7"/>
  <c r="Y964" i="7"/>
  <c r="Y963" i="7"/>
  <c r="Y962" i="7"/>
  <c r="Y961" i="7"/>
  <c r="Y960" i="7"/>
  <c r="Y959" i="7"/>
  <c r="Y958" i="7"/>
  <c r="Y957" i="7"/>
  <c r="Y956" i="7"/>
  <c r="Y955" i="7"/>
  <c r="Y954" i="7"/>
  <c r="Y953" i="7"/>
  <c r="Y952" i="7"/>
  <c r="Y951" i="7"/>
  <c r="Y950" i="7"/>
  <c r="Y949" i="7"/>
  <c r="Y948" i="7"/>
  <c r="Y947" i="7"/>
  <c r="Y946" i="7"/>
  <c r="Y945" i="7"/>
  <c r="Y944" i="7"/>
  <c r="Y943" i="7"/>
  <c r="Y942" i="7"/>
  <c r="Y941" i="7"/>
  <c r="Y940" i="7"/>
  <c r="Y939" i="7"/>
  <c r="Y938" i="7"/>
  <c r="Y937" i="7"/>
  <c r="Y936" i="7"/>
  <c r="Y935" i="7"/>
  <c r="Y934" i="7"/>
  <c r="Y933" i="7"/>
  <c r="Y932" i="7"/>
  <c r="Y931" i="7"/>
  <c r="Y930" i="7"/>
  <c r="Y929" i="7"/>
  <c r="Y928" i="7"/>
  <c r="Y927" i="7"/>
  <c r="Y926" i="7"/>
  <c r="Y925" i="7"/>
  <c r="Y924" i="7"/>
  <c r="Y923" i="7"/>
  <c r="Y922" i="7"/>
  <c r="Y921" i="7"/>
  <c r="Y920" i="7"/>
  <c r="Y919" i="7"/>
  <c r="Y918" i="7"/>
  <c r="Y917" i="7"/>
  <c r="Y916" i="7"/>
  <c r="Y915" i="7"/>
  <c r="Y914" i="7"/>
  <c r="Y913" i="7"/>
  <c r="Y912" i="7"/>
  <c r="Y911" i="7"/>
  <c r="Y910" i="7"/>
  <c r="Y909" i="7"/>
  <c r="Y908" i="7"/>
  <c r="Y907" i="7"/>
  <c r="Y906" i="7"/>
  <c r="Y905" i="7"/>
  <c r="Y904" i="7"/>
  <c r="Y903" i="7"/>
  <c r="Y902" i="7"/>
  <c r="Y901" i="7"/>
  <c r="Y900" i="7"/>
  <c r="Y899" i="7"/>
  <c r="Y898" i="7"/>
  <c r="Y897" i="7"/>
  <c r="Y896" i="7"/>
  <c r="Y895" i="7"/>
  <c r="Y894" i="7"/>
  <c r="Y893" i="7"/>
  <c r="Y892" i="7"/>
  <c r="Y891" i="7"/>
  <c r="Y890" i="7"/>
  <c r="Y889" i="7"/>
  <c r="Y888" i="7"/>
  <c r="Y887" i="7"/>
  <c r="Y886" i="7"/>
  <c r="Y885" i="7"/>
  <c r="Y884" i="7"/>
  <c r="Y883" i="7"/>
  <c r="Y882" i="7"/>
  <c r="Y881" i="7"/>
  <c r="Y880" i="7"/>
  <c r="Y879" i="7"/>
  <c r="Y878" i="7"/>
  <c r="Y877" i="7"/>
  <c r="Y876" i="7"/>
  <c r="Y875" i="7"/>
  <c r="Y874" i="7"/>
  <c r="Y873" i="7"/>
  <c r="Y872" i="7"/>
  <c r="Y871" i="7"/>
  <c r="Y870" i="7"/>
  <c r="Y869" i="7"/>
  <c r="Y868" i="7"/>
  <c r="Y867" i="7"/>
  <c r="Y866" i="7"/>
  <c r="Y865" i="7"/>
  <c r="Y864" i="7"/>
  <c r="Y863" i="7"/>
  <c r="Y862" i="7"/>
  <c r="Y861" i="7"/>
  <c r="Y860" i="7"/>
  <c r="Y859" i="7"/>
  <c r="Y858" i="7"/>
  <c r="Y857" i="7"/>
  <c r="Y856" i="7"/>
  <c r="Y855" i="7"/>
  <c r="Y854" i="7"/>
  <c r="Y853" i="7"/>
  <c r="Y852" i="7"/>
  <c r="Y851" i="7"/>
  <c r="Y850" i="7"/>
  <c r="Y849" i="7"/>
  <c r="Y848" i="7"/>
  <c r="Y847" i="7"/>
  <c r="Y846" i="7"/>
  <c r="Y845" i="7"/>
  <c r="Y844" i="7"/>
  <c r="Y843" i="7"/>
  <c r="Y842" i="7"/>
  <c r="Y841" i="7"/>
  <c r="Y840" i="7"/>
  <c r="Y839" i="7"/>
  <c r="Y838" i="7"/>
  <c r="Y837" i="7"/>
  <c r="Y836" i="7"/>
  <c r="Y835" i="7"/>
  <c r="Y834" i="7"/>
  <c r="Y833" i="7"/>
  <c r="Y832" i="7"/>
  <c r="Y831" i="7"/>
  <c r="Y830" i="7"/>
  <c r="Y829" i="7"/>
  <c r="Y828" i="7"/>
  <c r="Y827" i="7"/>
  <c r="Y826" i="7"/>
  <c r="Y825" i="7"/>
  <c r="Y824" i="7"/>
  <c r="Y823" i="7"/>
  <c r="Y822" i="7"/>
  <c r="Y821" i="7"/>
  <c r="Y820" i="7"/>
  <c r="Y819" i="7"/>
  <c r="Y818" i="7"/>
  <c r="Y817" i="7"/>
  <c r="Y816" i="7"/>
  <c r="Y815" i="7"/>
  <c r="Y814" i="7"/>
  <c r="Y813" i="7"/>
  <c r="Y812" i="7"/>
  <c r="Y811" i="7"/>
  <c r="Y810" i="7"/>
  <c r="Y809" i="7"/>
  <c r="Y808" i="7"/>
  <c r="Y807" i="7"/>
  <c r="Y806" i="7"/>
  <c r="Y805" i="7"/>
  <c r="Y804" i="7"/>
  <c r="Y803" i="7"/>
  <c r="Y802" i="7"/>
  <c r="Y801" i="7"/>
  <c r="Y800" i="7"/>
  <c r="Y799" i="7"/>
  <c r="Y798" i="7"/>
  <c r="Y797" i="7"/>
  <c r="Y796" i="7"/>
  <c r="Y795" i="7"/>
  <c r="Y794" i="7"/>
  <c r="Y793" i="7"/>
  <c r="Y792" i="7"/>
  <c r="Y791" i="7"/>
  <c r="Y790" i="7"/>
  <c r="Y789" i="7"/>
  <c r="Y788" i="7"/>
  <c r="Y787" i="7"/>
  <c r="Y786" i="7"/>
  <c r="Y785" i="7"/>
  <c r="Y784" i="7"/>
  <c r="Y783" i="7"/>
  <c r="Y782" i="7"/>
  <c r="Y781" i="7"/>
  <c r="Y780" i="7"/>
  <c r="Y779" i="7"/>
  <c r="Y778" i="7"/>
  <c r="Y777" i="7"/>
  <c r="Y776" i="7"/>
  <c r="Y775" i="7"/>
  <c r="Y774" i="7"/>
  <c r="Y773" i="7"/>
  <c r="Y772" i="7"/>
  <c r="Y771" i="7"/>
  <c r="Y770" i="7"/>
  <c r="Y769" i="7"/>
  <c r="Y768" i="7"/>
  <c r="Y767" i="7"/>
  <c r="Y766" i="7"/>
  <c r="Y765" i="7"/>
  <c r="Y764" i="7"/>
  <c r="Y763" i="7"/>
  <c r="Y762" i="7"/>
  <c r="Y761" i="7"/>
  <c r="Y760" i="7"/>
  <c r="Y759" i="7"/>
  <c r="Y758" i="7"/>
  <c r="Y757" i="7"/>
  <c r="Y756" i="7"/>
  <c r="Y755" i="7"/>
  <c r="Y754" i="7"/>
  <c r="Y753" i="7"/>
  <c r="Y752" i="7"/>
  <c r="Y751" i="7"/>
  <c r="Y750" i="7"/>
  <c r="Y749" i="7"/>
  <c r="Y748" i="7"/>
  <c r="Y747" i="7"/>
  <c r="Y746" i="7"/>
  <c r="Y745" i="7"/>
  <c r="Y744" i="7"/>
  <c r="Y743" i="7"/>
  <c r="Y742" i="7"/>
  <c r="Y741" i="7"/>
  <c r="Y740" i="7"/>
  <c r="Y739" i="7"/>
  <c r="Y738" i="7"/>
  <c r="Y737" i="7"/>
  <c r="Y736" i="7"/>
  <c r="Y735" i="7"/>
  <c r="Y734" i="7"/>
  <c r="Y733" i="7"/>
  <c r="Y732" i="7"/>
  <c r="Y731" i="7"/>
  <c r="Y730" i="7"/>
  <c r="Y729" i="7"/>
  <c r="Y728" i="7"/>
  <c r="Y727" i="7"/>
  <c r="Y726" i="7"/>
  <c r="Y725" i="7"/>
  <c r="Y724" i="7"/>
  <c r="Y723" i="7"/>
  <c r="Y722" i="7"/>
  <c r="Y721" i="7"/>
  <c r="Y720" i="7"/>
  <c r="Y719" i="7"/>
  <c r="Y718" i="7"/>
  <c r="Y717" i="7"/>
  <c r="Y716" i="7"/>
  <c r="Y715" i="7"/>
  <c r="Y714" i="7"/>
  <c r="Y713" i="7"/>
  <c r="Y712" i="7"/>
  <c r="Y711" i="7"/>
  <c r="Y710" i="7"/>
  <c r="Y709" i="7"/>
  <c r="Y708" i="7"/>
  <c r="Y707" i="7"/>
  <c r="Y706" i="7"/>
  <c r="Y705" i="7"/>
  <c r="Y704" i="7"/>
  <c r="Y703" i="7"/>
  <c r="Y702" i="7"/>
  <c r="Y701" i="7"/>
  <c r="Y700" i="7"/>
  <c r="Y699" i="7"/>
  <c r="Y698" i="7"/>
  <c r="Y697" i="7"/>
  <c r="Y696" i="7"/>
  <c r="Y695" i="7"/>
  <c r="Y694" i="7"/>
  <c r="Y692" i="7"/>
  <c r="Y691" i="7"/>
  <c r="Y690" i="7"/>
  <c r="Y689" i="7"/>
  <c r="Y688" i="7"/>
  <c r="Y687" i="7"/>
  <c r="Y686" i="7"/>
  <c r="Y685" i="7"/>
  <c r="Y684" i="7"/>
  <c r="Y683" i="7"/>
  <c r="Y682" i="7"/>
  <c r="Y681" i="7"/>
  <c r="Y680" i="7"/>
  <c r="Y679" i="7"/>
  <c r="Y677" i="7"/>
  <c r="Y676" i="7"/>
  <c r="Y675" i="7"/>
  <c r="Y674" i="7"/>
  <c r="Y673" i="7"/>
  <c r="Y672" i="7"/>
  <c r="Y668" i="7"/>
  <c r="Y667" i="7"/>
  <c r="Y666" i="7"/>
  <c r="Y665" i="7"/>
  <c r="Y664" i="7"/>
  <c r="Y663" i="7"/>
  <c r="Y662" i="7"/>
  <c r="Y661" i="7"/>
  <c r="Y660" i="7"/>
  <c r="Y659" i="7"/>
  <c r="Y658" i="7"/>
  <c r="Y657" i="7"/>
  <c r="Y656" i="7"/>
  <c r="Y655" i="7"/>
  <c r="Y654" i="7"/>
  <c r="Y653" i="7"/>
  <c r="Y652" i="7"/>
  <c r="Y651" i="7"/>
  <c r="Y650" i="7"/>
  <c r="Y649" i="7"/>
  <c r="Y648" i="7"/>
  <c r="Y647" i="7"/>
  <c r="Y646" i="7"/>
  <c r="Y645" i="7"/>
  <c r="Y644" i="7"/>
  <c r="Y643" i="7"/>
  <c r="Y642" i="7"/>
  <c r="Y638" i="7"/>
  <c r="Y637" i="7"/>
  <c r="Y636" i="7"/>
  <c r="Y635" i="7"/>
  <c r="Y634" i="7"/>
  <c r="Y633" i="7"/>
  <c r="Y632" i="7"/>
  <c r="Y631" i="7"/>
  <c r="Y629" i="7"/>
  <c r="Y630" i="7"/>
  <c r="Y628" i="7"/>
  <c r="Y627" i="7"/>
  <c r="Y626" i="7"/>
  <c r="Y624" i="7"/>
  <c r="Y623" i="7"/>
  <c r="Y622" i="7"/>
  <c r="Y620" i="7"/>
  <c r="Y619" i="7"/>
  <c r="Y618" i="7"/>
  <c r="Y617" i="7"/>
  <c r="Y616" i="7"/>
  <c r="Y615" i="7"/>
  <c r="Y613" i="7"/>
  <c r="Y612" i="7"/>
  <c r="Y610" i="7"/>
  <c r="Y609" i="7"/>
  <c r="Y606" i="7"/>
  <c r="Y605" i="7"/>
  <c r="Y604" i="7"/>
  <c r="Y603" i="7"/>
  <c r="Y602" i="7"/>
  <c r="Y601" i="7"/>
  <c r="Y600" i="7"/>
  <c r="Y599" i="7"/>
  <c r="Y598" i="7"/>
  <c r="Y597" i="7"/>
  <c r="Y596" i="7"/>
  <c r="Y595" i="7"/>
  <c r="Y594" i="7"/>
  <c r="Y593" i="7"/>
  <c r="Y592" i="7"/>
  <c r="Y591" i="7"/>
  <c r="Y590" i="7"/>
  <c r="Y589" i="7"/>
  <c r="Y588" i="7"/>
  <c r="Y587" i="7"/>
  <c r="Y586" i="7"/>
  <c r="Y585" i="7"/>
  <c r="Y584" i="7"/>
  <c r="Y583" i="7"/>
  <c r="Y582" i="7"/>
  <c r="Y581" i="7"/>
  <c r="Y580" i="7"/>
  <c r="Y579" i="7"/>
  <c r="Y578" i="7"/>
  <c r="Y577" i="7"/>
  <c r="Y576" i="7"/>
  <c r="Y575" i="7"/>
  <c r="Y574" i="7"/>
  <c r="Y573" i="7"/>
  <c r="Y572" i="7"/>
  <c r="Y571" i="7"/>
  <c r="Y570" i="7"/>
  <c r="Y568" i="7"/>
  <c r="Y567" i="7"/>
  <c r="Y566" i="7"/>
  <c r="Y565" i="7"/>
  <c r="Y564" i="7"/>
  <c r="Y563" i="7"/>
  <c r="Y562" i="7"/>
  <c r="Y561" i="7"/>
  <c r="Y560" i="7"/>
  <c r="Y559" i="7"/>
  <c r="Y558" i="7"/>
  <c r="Y557" i="7"/>
  <c r="Y556" i="7"/>
  <c r="Y555" i="7"/>
  <c r="Y554" i="7"/>
  <c r="Y553" i="7"/>
  <c r="Y552" i="7"/>
  <c r="Y551" i="7"/>
  <c r="Y549" i="7"/>
  <c r="Y550" i="7"/>
  <c r="Y548" i="7"/>
  <c r="Y547" i="7"/>
  <c r="Y546" i="7"/>
  <c r="Y545" i="7"/>
  <c r="Y544" i="7"/>
  <c r="Y543" i="7"/>
  <c r="Y542" i="7"/>
  <c r="Y541" i="7"/>
  <c r="Y540" i="7"/>
  <c r="Y539" i="7"/>
  <c r="Y538" i="7"/>
  <c r="Y537" i="7"/>
  <c r="Y536" i="7"/>
  <c r="Y534" i="7"/>
  <c r="Y532" i="7"/>
  <c r="Y531" i="7"/>
  <c r="Y529" i="7"/>
  <c r="Y528" i="7"/>
  <c r="Y527" i="7"/>
  <c r="Y526" i="7"/>
  <c r="Y525" i="7"/>
  <c r="Y524" i="7"/>
  <c r="Y523" i="7"/>
  <c r="Y522" i="7"/>
  <c r="Y521" i="7"/>
  <c r="Y520" i="7"/>
  <c r="Y519" i="7"/>
  <c r="Y517" i="7"/>
  <c r="Y516" i="7"/>
  <c r="Y515" i="7"/>
  <c r="Y514" i="7"/>
  <c r="Y513" i="7"/>
  <c r="Y510" i="7"/>
  <c r="Y508" i="7"/>
  <c r="Y507" i="7"/>
  <c r="Y506" i="7"/>
  <c r="Y504" i="7"/>
  <c r="Y502" i="7"/>
  <c r="Y501" i="7"/>
  <c r="Y500" i="7"/>
  <c r="Y499" i="7"/>
  <c r="Y498" i="7"/>
  <c r="Y497" i="7"/>
  <c r="Y495" i="7"/>
  <c r="Y494" i="7"/>
  <c r="Y493" i="7"/>
  <c r="Y492" i="7"/>
  <c r="Y490" i="7"/>
  <c r="Y489" i="7"/>
  <c r="Y487" i="7"/>
  <c r="Y485" i="7"/>
  <c r="Y484" i="7"/>
  <c r="Y483" i="7"/>
  <c r="Y482" i="7"/>
  <c r="Y481" i="7"/>
  <c r="Y480" i="7"/>
  <c r="Y479" i="7"/>
  <c r="Y478" i="7"/>
  <c r="Y477" i="7"/>
  <c r="Y476" i="7"/>
  <c r="Y475" i="7"/>
  <c r="Y474" i="7"/>
  <c r="Y473" i="7"/>
  <c r="Y472" i="7"/>
  <c r="Y471" i="7"/>
  <c r="Y470" i="7"/>
  <c r="Y469" i="7"/>
  <c r="Y468" i="7"/>
  <c r="Y467" i="7"/>
  <c r="Y466" i="7"/>
  <c r="Y465" i="7"/>
  <c r="Y464" i="7"/>
  <c r="Y463" i="7"/>
  <c r="Y462" i="7"/>
  <c r="Y461" i="7"/>
  <c r="Y459" i="7"/>
  <c r="Y458" i="7"/>
  <c r="Y457" i="7"/>
  <c r="Y456" i="7"/>
  <c r="Y455" i="7"/>
  <c r="Y454" i="7"/>
  <c r="Y453" i="7"/>
  <c r="Y452" i="7"/>
  <c r="Y451" i="7"/>
  <c r="Y450" i="7"/>
  <c r="Y449" i="7"/>
  <c r="Y448" i="7"/>
  <c r="Y447" i="7"/>
  <c r="Y446" i="7"/>
  <c r="Y445" i="7"/>
  <c r="Y444" i="7"/>
  <c r="Y443" i="7"/>
  <c r="Y442" i="7"/>
  <c r="Y441" i="7"/>
  <c r="Y440" i="7"/>
  <c r="Y439" i="7"/>
  <c r="Y438" i="7"/>
  <c r="Y437" i="7"/>
  <c r="Y436" i="7"/>
  <c r="Y435" i="7"/>
  <c r="Y434" i="7"/>
  <c r="Y433" i="7"/>
  <c r="Y432" i="7"/>
  <c r="Y431" i="7"/>
  <c r="Y430" i="7"/>
  <c r="Y429" i="7"/>
  <c r="Y428" i="7"/>
  <c r="Y427" i="7"/>
  <c r="Y426" i="7"/>
  <c r="Y425" i="7"/>
  <c r="Y424" i="7"/>
  <c r="Y423" i="7"/>
  <c r="Y422" i="7"/>
  <c r="Y421" i="7"/>
  <c r="Y420" i="7"/>
  <c r="Y419" i="7"/>
  <c r="Y418" i="7"/>
  <c r="Y417" i="7"/>
  <c r="Y416" i="7"/>
  <c r="Y415" i="7"/>
  <c r="Y414" i="7"/>
  <c r="Y413" i="7"/>
  <c r="Y412" i="7"/>
  <c r="Y411" i="7"/>
  <c r="Y410" i="7"/>
  <c r="Y409" i="7"/>
  <c r="Y408" i="7"/>
  <c r="Y407" i="7"/>
  <c r="Y406" i="7"/>
  <c r="Y405" i="7"/>
  <c r="Y404" i="7"/>
  <c r="Y403" i="7"/>
  <c r="Y402" i="7"/>
  <c r="Y401" i="7"/>
  <c r="Y400" i="7"/>
  <c r="Y399" i="7"/>
  <c r="Y398" i="7"/>
  <c r="Y397" i="7"/>
  <c r="Y396" i="7"/>
  <c r="Y395" i="7"/>
  <c r="Y394" i="7"/>
  <c r="Y393" i="7"/>
  <c r="Y392" i="7"/>
  <c r="Y391" i="7"/>
  <c r="Y390" i="7"/>
  <c r="Y389" i="7"/>
  <c r="Y388" i="7"/>
  <c r="Y387" i="7"/>
  <c r="Y386" i="7"/>
  <c r="Y385" i="7"/>
  <c r="Y384" i="7"/>
  <c r="Y383" i="7"/>
  <c r="Y377" i="7"/>
  <c r="Y376" i="7"/>
  <c r="Y375" i="7"/>
  <c r="Y374" i="7"/>
  <c r="Y373" i="7"/>
  <c r="Y372" i="7"/>
  <c r="Y371" i="7"/>
  <c r="Y370" i="7"/>
  <c r="Y369" i="7"/>
  <c r="Y368" i="7"/>
  <c r="Y367" i="7"/>
  <c r="Y366" i="7"/>
  <c r="Y365" i="7"/>
  <c r="Y364" i="7"/>
  <c r="Y363" i="7"/>
  <c r="Y362" i="7"/>
  <c r="Y361" i="7"/>
  <c r="Y360" i="7"/>
  <c r="Y359" i="7"/>
  <c r="Y358" i="7"/>
  <c r="Y357" i="7"/>
  <c r="Y356" i="7"/>
  <c r="Y355" i="7"/>
  <c r="Y354" i="7"/>
  <c r="Y353" i="7"/>
  <c r="Y352" i="7"/>
  <c r="Y351" i="7"/>
  <c r="Y350" i="7"/>
  <c r="Y349" i="7"/>
  <c r="Y348" i="7"/>
  <c r="Y347" i="7"/>
  <c r="Y346" i="7"/>
  <c r="Y345" i="7"/>
  <c r="Y344" i="7"/>
  <c r="Y343" i="7"/>
  <c r="Y342" i="7"/>
  <c r="Y341" i="7"/>
  <c r="Y340" i="7"/>
  <c r="Y339" i="7"/>
  <c r="Y338" i="7"/>
  <c r="Y337" i="7"/>
  <c r="Y336" i="7"/>
  <c r="Y335" i="7"/>
  <c r="Y334" i="7"/>
  <c r="Y333" i="7"/>
  <c r="Y332" i="7"/>
  <c r="Y331" i="7"/>
  <c r="Y330" i="7"/>
  <c r="Y329" i="7"/>
  <c r="Y328" i="7"/>
  <c r="Y327" i="7"/>
  <c r="Y326" i="7"/>
  <c r="Y325" i="7"/>
  <c r="Y324" i="7"/>
  <c r="Y323" i="7"/>
  <c r="Y322" i="7"/>
  <c r="Y321" i="7"/>
  <c r="Y320" i="7"/>
  <c r="Y319" i="7"/>
  <c r="Y318" i="7"/>
  <c r="Y317" i="7"/>
  <c r="Y316" i="7"/>
  <c r="Y315" i="7"/>
  <c r="Y314" i="7"/>
  <c r="Y313" i="7"/>
  <c r="Y312" i="7"/>
  <c r="Y311" i="7"/>
  <c r="Y310" i="7"/>
  <c r="Y309" i="7"/>
  <c r="Y308" i="7"/>
  <c r="Y307" i="7"/>
  <c r="Y306" i="7"/>
  <c r="Y305" i="7"/>
  <c r="Y304" i="7"/>
  <c r="Y303" i="7"/>
  <c r="Y302" i="7"/>
  <c r="Y301" i="7"/>
  <c r="Y300" i="7"/>
  <c r="Y299" i="7"/>
  <c r="Y298" i="7"/>
  <c r="Y297" i="7"/>
  <c r="Y296" i="7"/>
  <c r="Y295" i="7"/>
  <c r="Y294" i="7"/>
  <c r="Y293" i="7"/>
  <c r="Y292" i="7"/>
  <c r="Y291" i="7"/>
  <c r="Y290" i="7"/>
  <c r="Y289" i="7"/>
  <c r="Y288" i="7"/>
  <c r="Y287" i="7"/>
  <c r="Y286" i="7"/>
  <c r="Y285" i="7"/>
  <c r="Y284" i="7"/>
  <c r="Y283" i="7"/>
  <c r="Y281" i="7"/>
  <c r="Y280" i="7"/>
  <c r="Y279" i="7"/>
  <c r="Y278" i="7"/>
  <c r="Y277" i="7"/>
  <c r="Y276" i="7"/>
  <c r="Y275" i="7"/>
  <c r="Y274" i="7"/>
  <c r="Y273" i="7"/>
  <c r="Y272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9" i="7"/>
  <c r="Y258" i="7"/>
  <c r="Y257" i="7"/>
  <c r="Y256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38" i="7"/>
  <c r="Y237" i="7"/>
  <c r="Y236" i="7"/>
  <c r="Y235" i="7"/>
  <c r="Y234" i="7"/>
  <c r="Y233" i="7"/>
  <c r="Y232" i="7"/>
  <c r="Y230" i="7"/>
  <c r="Y229" i="7"/>
  <c r="Y228" i="7"/>
  <c r="Y227" i="7"/>
  <c r="Y226" i="7"/>
  <c r="Y224" i="7"/>
  <c r="Y223" i="7"/>
  <c r="Y222" i="7"/>
  <c r="Y221" i="7"/>
  <c r="Y220" i="7"/>
  <c r="Y219" i="7"/>
  <c r="Y218" i="7"/>
  <c r="Y217" i="7"/>
  <c r="Y216" i="7"/>
  <c r="Y215" i="7"/>
  <c r="Y214" i="7"/>
  <c r="Y213" i="7"/>
  <c r="Y212" i="7"/>
  <c r="Y211" i="7"/>
  <c r="Y210" i="7"/>
  <c r="Y209" i="7"/>
  <c r="Y208" i="7"/>
  <c r="Y207" i="7"/>
  <c r="Y206" i="7"/>
  <c r="Y205" i="7"/>
  <c r="Y204" i="7"/>
  <c r="Y203" i="7"/>
  <c r="Y202" i="7"/>
  <c r="Y201" i="7"/>
  <c r="Y200" i="7"/>
  <c r="Y199" i="7"/>
  <c r="Y198" i="7"/>
  <c r="Y197" i="7"/>
  <c r="Y196" i="7"/>
  <c r="Y195" i="7"/>
  <c r="Y194" i="7"/>
  <c r="Y193" i="7"/>
  <c r="Y192" i="7"/>
  <c r="Y191" i="7"/>
  <c r="Y190" i="7"/>
  <c r="Y189" i="7"/>
  <c r="Y188" i="7"/>
  <c r="Y187" i="7"/>
  <c r="Y186" i="7"/>
  <c r="Y185" i="7"/>
  <c r="Y183" i="7"/>
  <c r="Y182" i="7"/>
  <c r="Y181" i="7"/>
  <c r="Y180" i="7"/>
  <c r="Y179" i="7"/>
  <c r="Y178" i="7"/>
  <c r="Y177" i="7"/>
  <c r="Y176" i="7"/>
  <c r="Y175" i="7"/>
  <c r="Y173" i="7"/>
  <c r="Y170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89" i="7"/>
  <c r="Y87" i="7"/>
  <c r="Y86" i="7"/>
  <c r="Y79" i="7"/>
  <c r="Y77" i="7"/>
  <c r="Y76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J613" i="8"/>
  <c r="J612" i="8"/>
  <c r="J610" i="8"/>
  <c r="J609" i="8"/>
  <c r="J605" i="8"/>
  <c r="J604" i="8"/>
  <c r="J603" i="8"/>
  <c r="I613" i="8"/>
  <c r="I612" i="8"/>
  <c r="I611" i="8"/>
  <c r="I610" i="8"/>
  <c r="I609" i="8"/>
  <c r="I607" i="8"/>
  <c r="I606" i="8"/>
  <c r="I605" i="8"/>
  <c r="I604" i="8"/>
  <c r="I603" i="8"/>
  <c r="I601" i="8"/>
  <c r="I600" i="8"/>
  <c r="I599" i="8"/>
  <c r="I598" i="8"/>
  <c r="I597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J570" i="8"/>
  <c r="J569" i="8"/>
  <c r="J568" i="8"/>
  <c r="J567" i="8"/>
  <c r="J565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6" i="8"/>
  <c r="J545" i="8"/>
  <c r="J544" i="8"/>
  <c r="J543" i="8"/>
  <c r="J542" i="8"/>
  <c r="J541" i="8"/>
  <c r="J540" i="8"/>
  <c r="J539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J537" i="8"/>
  <c r="J534" i="8"/>
  <c r="J533" i="8"/>
  <c r="I537" i="8"/>
  <c r="I536" i="8"/>
  <c r="I535" i="8"/>
  <c r="I534" i="8"/>
  <c r="I533" i="8"/>
  <c r="I530" i="8"/>
  <c r="J524" i="8"/>
  <c r="J523" i="8"/>
  <c r="I524" i="8"/>
  <c r="I523" i="8"/>
  <c r="J520" i="8"/>
  <c r="I520" i="8"/>
  <c r="J512" i="8"/>
  <c r="J511" i="8"/>
  <c r="J509" i="8"/>
  <c r="J508" i="8"/>
  <c r="J507" i="8"/>
  <c r="J506" i="8"/>
  <c r="J502" i="8"/>
  <c r="I512" i="8"/>
  <c r="I511" i="8"/>
  <c r="I510" i="8"/>
  <c r="I509" i="8"/>
  <c r="I508" i="8"/>
  <c r="I507" i="8"/>
  <c r="I506" i="8"/>
  <c r="I502" i="8"/>
  <c r="H502" i="8"/>
  <c r="I500" i="8"/>
  <c r="J500" i="8"/>
  <c r="J499" i="8"/>
  <c r="J498" i="8"/>
  <c r="J497" i="8"/>
  <c r="J495" i="8"/>
  <c r="J494" i="8"/>
  <c r="I499" i="8"/>
  <c r="I498" i="8"/>
  <c r="I497" i="8"/>
  <c r="I495" i="8"/>
  <c r="I494" i="8"/>
  <c r="J477" i="8"/>
  <c r="J476" i="8"/>
  <c r="J475" i="8"/>
  <c r="J474" i="8"/>
  <c r="J473" i="8"/>
  <c r="J472" i="8"/>
  <c r="J471" i="8"/>
  <c r="J470" i="8"/>
  <c r="J469" i="8"/>
  <c r="J467" i="8"/>
  <c r="J466" i="8"/>
  <c r="J463" i="8"/>
  <c r="J462" i="8"/>
  <c r="J461" i="8"/>
  <c r="J460" i="8"/>
  <c r="J459" i="8"/>
  <c r="J456" i="8"/>
  <c r="J455" i="8"/>
  <c r="J454" i="8"/>
  <c r="I477" i="8"/>
  <c r="I476" i="8"/>
  <c r="I475" i="8"/>
  <c r="I474" i="8"/>
  <c r="I473" i="8"/>
  <c r="I472" i="8"/>
  <c r="I471" i="8"/>
  <c r="I470" i="8"/>
  <c r="I469" i="8"/>
  <c r="I467" i="8"/>
  <c r="I466" i="8"/>
  <c r="I464" i="8"/>
  <c r="I463" i="8"/>
  <c r="I462" i="8"/>
  <c r="I461" i="8"/>
  <c r="I460" i="8"/>
  <c r="I459" i="8"/>
  <c r="I456" i="8"/>
  <c r="I455" i="8"/>
  <c r="I454" i="8"/>
  <c r="K454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5" i="8"/>
  <c r="J393" i="8"/>
  <c r="J392" i="8"/>
  <c r="J391" i="8"/>
  <c r="J388" i="8"/>
  <c r="J387" i="8"/>
  <c r="J386" i="8"/>
  <c r="J385" i="8"/>
  <c r="J384" i="8"/>
  <c r="J383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7" i="8"/>
  <c r="J345" i="8"/>
  <c r="J344" i="8"/>
  <c r="J342" i="8"/>
  <c r="J340" i="8"/>
  <c r="J339" i="8"/>
  <c r="J338" i="8"/>
  <c r="J337" i="8"/>
  <c r="J336" i="8"/>
  <c r="J335" i="8"/>
  <c r="J334" i="8"/>
  <c r="J333" i="8"/>
  <c r="J330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5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J328" i="8"/>
  <c r="J327" i="8"/>
  <c r="J326" i="8"/>
  <c r="J325" i="8"/>
  <c r="J324" i="8"/>
  <c r="J323" i="8"/>
  <c r="J322" i="8"/>
  <c r="J321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J277" i="8"/>
  <c r="J276" i="8"/>
  <c r="J275" i="8"/>
  <c r="J274" i="8"/>
  <c r="J273" i="8"/>
  <c r="J272" i="8"/>
  <c r="J271" i="8"/>
  <c r="J270" i="8"/>
  <c r="J268" i="8"/>
  <c r="J267" i="8"/>
  <c r="J266" i="8"/>
  <c r="J265" i="8"/>
  <c r="J264" i="8"/>
  <c r="I277" i="8"/>
  <c r="I276" i="8"/>
  <c r="I275" i="8"/>
  <c r="I274" i="8"/>
  <c r="I273" i="8"/>
  <c r="I272" i="8"/>
  <c r="I271" i="8"/>
  <c r="I270" i="8"/>
  <c r="I268" i="8"/>
  <c r="I267" i="8"/>
  <c r="I266" i="8"/>
  <c r="I265" i="8"/>
  <c r="I264" i="8"/>
  <c r="J257" i="8"/>
  <c r="I257" i="8"/>
  <c r="J254" i="8"/>
  <c r="I254" i="8"/>
  <c r="J250" i="8"/>
  <c r="I250" i="8"/>
  <c r="J246" i="8"/>
  <c r="I246" i="8"/>
  <c r="J236" i="8"/>
  <c r="J235" i="8"/>
  <c r="J234" i="8"/>
  <c r="J232" i="8"/>
  <c r="I236" i="8"/>
  <c r="I234" i="8"/>
  <c r="I232" i="8"/>
  <c r="I227" i="8"/>
  <c r="J227" i="8"/>
  <c r="J225" i="8"/>
  <c r="I225" i="8"/>
  <c r="I211" i="8"/>
  <c r="J211" i="8"/>
  <c r="J208" i="8"/>
  <c r="J205" i="8"/>
  <c r="I205" i="8"/>
  <c r="I204" i="8"/>
  <c r="J200" i="8"/>
  <c r="I201" i="8"/>
  <c r="I200" i="8"/>
  <c r="J197" i="8"/>
  <c r="J196" i="8"/>
  <c r="J195" i="8"/>
  <c r="I197" i="8"/>
  <c r="I196" i="8"/>
  <c r="I195" i="8"/>
  <c r="J178" i="8"/>
  <c r="J177" i="8"/>
  <c r="I178" i="8"/>
  <c r="I177" i="8"/>
  <c r="J172" i="8"/>
  <c r="J171" i="8"/>
  <c r="J170" i="8"/>
  <c r="I172" i="8"/>
  <c r="I171" i="8"/>
  <c r="I170" i="8"/>
  <c r="J167" i="8"/>
  <c r="I167" i="8"/>
  <c r="I162" i="8"/>
  <c r="J162" i="8"/>
  <c r="J159" i="8"/>
  <c r="J158" i="8"/>
  <c r="J157" i="8"/>
  <c r="J156" i="8"/>
  <c r="J154" i="8"/>
  <c r="J144" i="8"/>
  <c r="J141" i="8"/>
  <c r="J139" i="8"/>
  <c r="J136" i="8"/>
  <c r="J135" i="8"/>
  <c r="J134" i="8"/>
  <c r="J132" i="8"/>
  <c r="J131" i="8"/>
  <c r="J125" i="8"/>
  <c r="J124" i="8"/>
  <c r="J123" i="8"/>
  <c r="J121" i="8"/>
  <c r="J119" i="8"/>
  <c r="J118" i="8"/>
  <c r="J109" i="8"/>
  <c r="J108" i="8"/>
  <c r="J107" i="8"/>
  <c r="J104" i="8"/>
  <c r="J103" i="8"/>
  <c r="J97" i="8"/>
  <c r="J96" i="8"/>
  <c r="J93" i="8"/>
  <c r="J88" i="8"/>
  <c r="J84" i="8"/>
  <c r="J75" i="8"/>
  <c r="J73" i="8"/>
  <c r="J71" i="8"/>
  <c r="J68" i="8"/>
  <c r="J67" i="8"/>
  <c r="I159" i="8"/>
  <c r="I158" i="8"/>
  <c r="I157" i="8"/>
  <c r="I156" i="8"/>
  <c r="I154" i="8"/>
  <c r="I144" i="8"/>
  <c r="I141" i="8"/>
  <c r="I139" i="8"/>
  <c r="I136" i="8"/>
  <c r="I135" i="8"/>
  <c r="I134" i="8"/>
  <c r="I133" i="8"/>
  <c r="I132" i="8"/>
  <c r="I131" i="8"/>
  <c r="I130" i="8"/>
  <c r="I129" i="8"/>
  <c r="I126" i="8"/>
  <c r="I125" i="8"/>
  <c r="I124" i="8"/>
  <c r="I123" i="8"/>
  <c r="I121" i="8"/>
  <c r="I119" i="8"/>
  <c r="I118" i="8"/>
  <c r="I112" i="8"/>
  <c r="I109" i="8"/>
  <c r="I108" i="8"/>
  <c r="I107" i="8"/>
  <c r="I104" i="8"/>
  <c r="I103" i="8"/>
  <c r="I102" i="8"/>
  <c r="I97" i="8"/>
  <c r="I96" i="8"/>
  <c r="I93" i="8"/>
  <c r="I88" i="8"/>
  <c r="I84" i="8"/>
  <c r="I75" i="8"/>
  <c r="I73" i="8"/>
  <c r="I71" i="8"/>
  <c r="I68" i="8"/>
  <c r="I67" i="8"/>
  <c r="L67" i="8"/>
  <c r="J65" i="8"/>
  <c r="J63" i="8"/>
  <c r="J62" i="8"/>
  <c r="J61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3" i="8"/>
  <c r="J40" i="8"/>
  <c r="J38" i="8"/>
  <c r="J37" i="8"/>
  <c r="J36" i="8"/>
  <c r="J35" i="8"/>
  <c r="J33" i="8"/>
  <c r="J32" i="8"/>
  <c r="J30" i="8"/>
  <c r="J29" i="8"/>
  <c r="J26" i="8"/>
  <c r="J25" i="8"/>
  <c r="J24" i="8"/>
  <c r="J23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4" i="8"/>
  <c r="J3" i="8"/>
  <c r="I65" i="8"/>
  <c r="I63" i="8"/>
  <c r="I62" i="8"/>
  <c r="I61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3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L3" i="8"/>
  <c r="C335" i="8"/>
  <c r="AB612" i="8"/>
  <c r="AB611" i="8"/>
  <c r="AB606" i="8"/>
  <c r="AA613" i="8"/>
  <c r="AA609" i="8"/>
  <c r="AA608" i="8"/>
  <c r="Z613" i="8"/>
  <c r="Z612" i="8"/>
  <c r="Z610" i="8"/>
  <c r="Z609" i="8"/>
  <c r="Z606" i="8"/>
  <c r="Z605" i="8"/>
  <c r="Z604" i="8"/>
  <c r="Y612" i="8"/>
  <c r="Y604" i="8"/>
  <c r="Y603" i="8"/>
  <c r="X613" i="8"/>
  <c r="X610" i="8"/>
  <c r="X609" i="8"/>
  <c r="X605" i="8"/>
  <c r="X604" i="8"/>
  <c r="X603" i="8"/>
  <c r="V613" i="8"/>
  <c r="V612" i="8"/>
  <c r="V611" i="8"/>
  <c r="V610" i="8"/>
  <c r="V609" i="8"/>
  <c r="V608" i="8"/>
  <c r="V606" i="8"/>
  <c r="V605" i="8"/>
  <c r="V604" i="8"/>
  <c r="V603" i="8"/>
  <c r="U613" i="8"/>
  <c r="U612" i="8"/>
  <c r="U611" i="8"/>
  <c r="U610" i="8"/>
  <c r="U609" i="8"/>
  <c r="U608" i="8"/>
  <c r="U606" i="8"/>
  <c r="U605" i="8"/>
  <c r="U604" i="8"/>
  <c r="U603" i="8"/>
  <c r="T613" i="8"/>
  <c r="T612" i="8"/>
  <c r="T611" i="8"/>
  <c r="T610" i="8"/>
  <c r="T609" i="8"/>
  <c r="T608" i="8"/>
  <c r="T606" i="8"/>
  <c r="T605" i="8"/>
  <c r="T604" i="8"/>
  <c r="T603" i="8"/>
  <c r="S613" i="8"/>
  <c r="S612" i="8"/>
  <c r="S611" i="8"/>
  <c r="S610" i="8"/>
  <c r="S609" i="8"/>
  <c r="S608" i="8"/>
  <c r="S606" i="8"/>
  <c r="S605" i="8"/>
  <c r="S604" i="8"/>
  <c r="S603" i="8"/>
  <c r="R613" i="8"/>
  <c r="R612" i="8"/>
  <c r="R611" i="8"/>
  <c r="R610" i="8"/>
  <c r="R609" i="8"/>
  <c r="R608" i="8"/>
  <c r="R606" i="8"/>
  <c r="R605" i="8"/>
  <c r="R604" i="8"/>
  <c r="R603" i="8"/>
  <c r="Q613" i="8"/>
  <c r="Q612" i="8"/>
  <c r="Q611" i="8"/>
  <c r="Q610" i="8"/>
  <c r="Q609" i="8"/>
  <c r="Q608" i="8"/>
  <c r="Q606" i="8"/>
  <c r="Q605" i="8"/>
  <c r="Q604" i="8"/>
  <c r="Q603" i="8"/>
  <c r="P613" i="8"/>
  <c r="P612" i="8"/>
  <c r="P611" i="8"/>
  <c r="P610" i="8"/>
  <c r="P609" i="8"/>
  <c r="P608" i="8"/>
  <c r="P606" i="8"/>
  <c r="P605" i="8"/>
  <c r="P604" i="8"/>
  <c r="P603" i="8"/>
  <c r="O613" i="8"/>
  <c r="O612" i="8"/>
  <c r="O611" i="8"/>
  <c r="O610" i="8"/>
  <c r="O609" i="8"/>
  <c r="O608" i="8"/>
  <c r="O606" i="8"/>
  <c r="O605" i="8"/>
  <c r="O604" i="8"/>
  <c r="O603" i="8"/>
  <c r="N613" i="8"/>
  <c r="N612" i="8"/>
  <c r="N611" i="8"/>
  <c r="N610" i="8"/>
  <c r="N609" i="8"/>
  <c r="N608" i="8"/>
  <c r="N606" i="8"/>
  <c r="N605" i="8"/>
  <c r="N604" i="8"/>
  <c r="N603" i="8"/>
  <c r="M613" i="8"/>
  <c r="M612" i="8"/>
  <c r="M611" i="8"/>
  <c r="M610" i="8"/>
  <c r="M609" i="8"/>
  <c r="M608" i="8"/>
  <c r="M606" i="8"/>
  <c r="M605" i="8"/>
  <c r="M604" i="8"/>
  <c r="M603" i="8"/>
  <c r="L613" i="8"/>
  <c r="L612" i="8"/>
  <c r="L611" i="8"/>
  <c r="L610" i="8"/>
  <c r="L609" i="8"/>
  <c r="L608" i="8"/>
  <c r="L606" i="8"/>
  <c r="L605" i="8"/>
  <c r="L604" i="8"/>
  <c r="L603" i="8"/>
  <c r="H613" i="8"/>
  <c r="H612" i="8"/>
  <c r="H611" i="8"/>
  <c r="H610" i="8"/>
  <c r="H609" i="8"/>
  <c r="H607" i="8"/>
  <c r="H606" i="8"/>
  <c r="H605" i="8"/>
  <c r="H604" i="8"/>
  <c r="H603" i="8"/>
  <c r="G613" i="8"/>
  <c r="G612" i="8"/>
  <c r="G611" i="8"/>
  <c r="G610" i="8"/>
  <c r="G609" i="8"/>
  <c r="G607" i="8"/>
  <c r="G606" i="8"/>
  <c r="G605" i="8"/>
  <c r="G604" i="8"/>
  <c r="G603" i="8"/>
  <c r="F613" i="8"/>
  <c r="F612" i="8"/>
  <c r="F611" i="8"/>
  <c r="F610" i="8"/>
  <c r="F609" i="8"/>
  <c r="F607" i="8"/>
  <c r="F606" i="8"/>
  <c r="F605" i="8"/>
  <c r="F604" i="8"/>
  <c r="F603" i="8"/>
  <c r="E613" i="8"/>
  <c r="E612" i="8"/>
  <c r="E611" i="8"/>
  <c r="E610" i="8"/>
  <c r="E609" i="8"/>
  <c r="E608" i="8"/>
  <c r="E606" i="8"/>
  <c r="E605" i="8"/>
  <c r="E604" i="8"/>
  <c r="E603" i="8"/>
  <c r="D613" i="8"/>
  <c r="D612" i="8"/>
  <c r="D611" i="8"/>
  <c r="D610" i="8"/>
  <c r="D609" i="8"/>
  <c r="D608" i="8"/>
  <c r="D606" i="8"/>
  <c r="D605" i="8"/>
  <c r="D604" i="8"/>
  <c r="D603" i="8"/>
  <c r="C608" i="8"/>
  <c r="C604" i="8"/>
  <c r="C603" i="8"/>
  <c r="AB600" i="8"/>
  <c r="AB598" i="8"/>
  <c r="AB591" i="8"/>
  <c r="AB574" i="8"/>
  <c r="AA595" i="8"/>
  <c r="AA593" i="8"/>
  <c r="AA591" i="8"/>
  <c r="AA587" i="8"/>
  <c r="AA586" i="8"/>
  <c r="AA583" i="8"/>
  <c r="AA577" i="8"/>
  <c r="AA574" i="8"/>
  <c r="AA573" i="8"/>
  <c r="AA572" i="8"/>
  <c r="Z600" i="8"/>
  <c r="Z599" i="8"/>
  <c r="Z598" i="8"/>
  <c r="Z596" i="8"/>
  <c r="Z595" i="8"/>
  <c r="Z594" i="8"/>
  <c r="Z593" i="8"/>
  <c r="Z591" i="8"/>
  <c r="Z590" i="8"/>
  <c r="Z589" i="8"/>
  <c r="Z588" i="8"/>
  <c r="Z585" i="8"/>
  <c r="Z584" i="8"/>
  <c r="Z583" i="8"/>
  <c r="Z582" i="8"/>
  <c r="Z581" i="8"/>
  <c r="Z580" i="8"/>
  <c r="Z579" i="8"/>
  <c r="Z577" i="8"/>
  <c r="Z574" i="8"/>
  <c r="Z573" i="8"/>
  <c r="Z572" i="8"/>
  <c r="Y598" i="8"/>
  <c r="Y596" i="8"/>
  <c r="Y595" i="8"/>
  <c r="Y587" i="8"/>
  <c r="Y585" i="8"/>
  <c r="Y579" i="8"/>
  <c r="Y575" i="8"/>
  <c r="Y574" i="8"/>
  <c r="Y572" i="8"/>
  <c r="X600" i="8"/>
  <c r="X599" i="8"/>
  <c r="X596" i="8"/>
  <c r="X595" i="8"/>
  <c r="X593" i="8"/>
  <c r="X592" i="8"/>
  <c r="X591" i="8"/>
  <c r="X590" i="8"/>
  <c r="X589" i="8"/>
  <c r="X588" i="8"/>
  <c r="X587" i="8"/>
  <c r="X585" i="8"/>
  <c r="X584" i="8"/>
  <c r="X583" i="8"/>
  <c r="X582" i="8"/>
  <c r="X581" i="8"/>
  <c r="X580" i="8"/>
  <c r="X579" i="8"/>
  <c r="X578" i="8"/>
  <c r="X577" i="8"/>
  <c r="X576" i="8"/>
  <c r="X575" i="8"/>
  <c r="X574" i="8"/>
  <c r="X573" i="8"/>
  <c r="X572" i="8"/>
  <c r="V601" i="8"/>
  <c r="V600" i="8"/>
  <c r="V599" i="8"/>
  <c r="V598" i="8"/>
  <c r="V597" i="8"/>
  <c r="V596" i="8"/>
  <c r="V595" i="8"/>
  <c r="V594" i="8"/>
  <c r="V593" i="8"/>
  <c r="V592" i="8"/>
  <c r="V591" i="8"/>
  <c r="V590" i="8"/>
  <c r="V589" i="8"/>
  <c r="V588" i="8"/>
  <c r="V587" i="8"/>
  <c r="V586" i="8"/>
  <c r="V585" i="8"/>
  <c r="V584" i="8"/>
  <c r="V583" i="8"/>
  <c r="V582" i="8"/>
  <c r="V581" i="8"/>
  <c r="V580" i="8"/>
  <c r="V579" i="8"/>
  <c r="V578" i="8"/>
  <c r="V577" i="8"/>
  <c r="V576" i="8"/>
  <c r="V575" i="8"/>
  <c r="V574" i="8"/>
  <c r="V573" i="8"/>
  <c r="V572" i="8"/>
  <c r="U601" i="8"/>
  <c r="U600" i="8"/>
  <c r="U599" i="8"/>
  <c r="U598" i="8"/>
  <c r="U597" i="8"/>
  <c r="U596" i="8"/>
  <c r="U595" i="8"/>
  <c r="U594" i="8"/>
  <c r="U593" i="8"/>
  <c r="U592" i="8"/>
  <c r="U591" i="8"/>
  <c r="U590" i="8"/>
  <c r="U589" i="8"/>
  <c r="U588" i="8"/>
  <c r="U587" i="8"/>
  <c r="U586" i="8"/>
  <c r="U585" i="8"/>
  <c r="U584" i="8"/>
  <c r="U583" i="8"/>
  <c r="U582" i="8"/>
  <c r="U581" i="8"/>
  <c r="U580" i="8"/>
  <c r="U579" i="8"/>
  <c r="U578" i="8"/>
  <c r="U577" i="8"/>
  <c r="U576" i="8"/>
  <c r="U575" i="8"/>
  <c r="U574" i="8"/>
  <c r="U573" i="8"/>
  <c r="U57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S601" i="8"/>
  <c r="S600" i="8"/>
  <c r="S599" i="8"/>
  <c r="S598" i="8"/>
  <c r="S597" i="8"/>
  <c r="S596" i="8"/>
  <c r="S595" i="8"/>
  <c r="S594" i="8"/>
  <c r="S592" i="8"/>
  <c r="S591" i="8"/>
  <c r="S590" i="8"/>
  <c r="S589" i="8"/>
  <c r="S588" i="8"/>
  <c r="S587" i="8"/>
  <c r="S586" i="8"/>
  <c r="S585" i="8"/>
  <c r="S584" i="8"/>
  <c r="S582" i="8"/>
  <c r="S581" i="8"/>
  <c r="S580" i="8"/>
  <c r="S579" i="8"/>
  <c r="S578" i="8"/>
  <c r="S576" i="8"/>
  <c r="S575" i="8"/>
  <c r="S573" i="8"/>
  <c r="R601" i="8"/>
  <c r="R600" i="8"/>
  <c r="R599" i="8"/>
  <c r="R598" i="8"/>
  <c r="R597" i="8"/>
  <c r="R596" i="8"/>
  <c r="R595" i="8"/>
  <c r="R594" i="8"/>
  <c r="R593" i="8"/>
  <c r="R592" i="8"/>
  <c r="R591" i="8"/>
  <c r="R590" i="8"/>
  <c r="R589" i="8"/>
  <c r="R588" i="8"/>
  <c r="R587" i="8"/>
  <c r="R586" i="8"/>
  <c r="R585" i="8"/>
  <c r="R584" i="8"/>
  <c r="R583" i="8"/>
  <c r="R582" i="8"/>
  <c r="R581" i="8"/>
  <c r="R580" i="8"/>
  <c r="R579" i="8"/>
  <c r="R578" i="8"/>
  <c r="R577" i="8"/>
  <c r="R576" i="8"/>
  <c r="R575" i="8"/>
  <c r="R574" i="8"/>
  <c r="R573" i="8"/>
  <c r="R572" i="8"/>
  <c r="Q601" i="8"/>
  <c r="Q600" i="8"/>
  <c r="Q599" i="8"/>
  <c r="Q598" i="8"/>
  <c r="Q597" i="8"/>
  <c r="Q596" i="8"/>
  <c r="Q595" i="8"/>
  <c r="Q594" i="8"/>
  <c r="Q593" i="8"/>
  <c r="Q592" i="8"/>
  <c r="Q591" i="8"/>
  <c r="Q590" i="8"/>
  <c r="Q589" i="8"/>
  <c r="Q588" i="8"/>
  <c r="Q587" i="8"/>
  <c r="Q586" i="8"/>
  <c r="Q585" i="8"/>
  <c r="Q584" i="8"/>
  <c r="Q583" i="8"/>
  <c r="Q582" i="8"/>
  <c r="Q581" i="8"/>
  <c r="Q580" i="8"/>
  <c r="Q579" i="8"/>
  <c r="Q578" i="8"/>
  <c r="Q577" i="8"/>
  <c r="Q576" i="8"/>
  <c r="Q575" i="8"/>
  <c r="Q574" i="8"/>
  <c r="Q573" i="8"/>
  <c r="Q572" i="8"/>
  <c r="P599" i="8"/>
  <c r="P598" i="8"/>
  <c r="P597" i="8"/>
  <c r="P596" i="8"/>
  <c r="P595" i="8"/>
  <c r="P594" i="8"/>
  <c r="P593" i="8"/>
  <c r="P592" i="8"/>
  <c r="P591" i="8"/>
  <c r="P590" i="8"/>
  <c r="P589" i="8"/>
  <c r="P588" i="8"/>
  <c r="P587" i="8"/>
  <c r="P586" i="8"/>
  <c r="P585" i="8"/>
  <c r="P584" i="8"/>
  <c r="P583" i="8"/>
  <c r="P582" i="8"/>
  <c r="P581" i="8"/>
  <c r="P580" i="8"/>
  <c r="P579" i="8"/>
  <c r="P578" i="8"/>
  <c r="P577" i="8"/>
  <c r="P576" i="8"/>
  <c r="P575" i="8"/>
  <c r="P574" i="8"/>
  <c r="P573" i="8"/>
  <c r="P572" i="8"/>
  <c r="O601" i="8"/>
  <c r="O600" i="8"/>
  <c r="O599" i="8"/>
  <c r="O598" i="8"/>
  <c r="O597" i="8"/>
  <c r="O596" i="8"/>
  <c r="O595" i="8"/>
  <c r="O594" i="8"/>
  <c r="O593" i="8"/>
  <c r="O592" i="8"/>
  <c r="O591" i="8"/>
  <c r="O590" i="8"/>
  <c r="O589" i="8"/>
  <c r="O588" i="8"/>
  <c r="O587" i="8"/>
  <c r="O586" i="8"/>
  <c r="O585" i="8"/>
  <c r="O584" i="8"/>
  <c r="O583" i="8"/>
  <c r="O582" i="8"/>
  <c r="O581" i="8"/>
  <c r="O580" i="8"/>
  <c r="O579" i="8"/>
  <c r="O578" i="8"/>
  <c r="O577" i="8"/>
  <c r="O576" i="8"/>
  <c r="O575" i="8"/>
  <c r="O574" i="8"/>
  <c r="O573" i="8"/>
  <c r="O57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M601" i="8"/>
  <c r="M600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H577" i="8"/>
  <c r="H576" i="8"/>
  <c r="H575" i="8"/>
  <c r="H574" i="8"/>
  <c r="H573" i="8"/>
  <c r="H572" i="8"/>
  <c r="G576" i="8"/>
  <c r="G575" i="8"/>
  <c r="G574" i="8"/>
  <c r="G573" i="8"/>
  <c r="G572" i="8"/>
  <c r="F576" i="8"/>
  <c r="F575" i="8"/>
  <c r="F573" i="8"/>
  <c r="F572" i="8"/>
  <c r="E577" i="8"/>
  <c r="E576" i="8"/>
  <c r="E575" i="8"/>
  <c r="E574" i="8"/>
  <c r="E573" i="8"/>
  <c r="E572" i="8"/>
  <c r="H601" i="8"/>
  <c r="H600" i="8"/>
  <c r="H599" i="8"/>
  <c r="H598" i="8"/>
  <c r="H597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G601" i="8"/>
  <c r="G600" i="8"/>
  <c r="G599" i="8"/>
  <c r="G598" i="8"/>
  <c r="G597" i="8"/>
  <c r="G595" i="8"/>
  <c r="G594" i="8"/>
  <c r="G593" i="8"/>
  <c r="G592" i="8"/>
  <c r="G591" i="8"/>
  <c r="G590" i="8"/>
  <c r="G589" i="8"/>
  <c r="G588" i="8"/>
  <c r="G587" i="8"/>
  <c r="G585" i="8"/>
  <c r="G583" i="8"/>
  <c r="G582" i="8"/>
  <c r="G581" i="8"/>
  <c r="G580" i="8"/>
  <c r="G579" i="8"/>
  <c r="G578" i="8"/>
  <c r="G577" i="8"/>
  <c r="F601" i="8"/>
  <c r="F600" i="8"/>
  <c r="F599" i="8"/>
  <c r="F598" i="8"/>
  <c r="F597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0" i="8"/>
  <c r="C601" i="8"/>
  <c r="C600" i="8"/>
  <c r="C599" i="8"/>
  <c r="C597" i="8"/>
  <c r="C594" i="8"/>
  <c r="C592" i="8"/>
  <c r="C591" i="8"/>
  <c r="C590" i="8"/>
  <c r="C587" i="8"/>
  <c r="C585" i="8"/>
  <c r="C583" i="8"/>
  <c r="C580" i="8"/>
  <c r="C577" i="8"/>
  <c r="C575" i="8"/>
  <c r="C573" i="8"/>
  <c r="C572" i="8"/>
  <c r="AB566" i="8"/>
  <c r="AB563" i="8"/>
  <c r="AB561" i="8"/>
  <c r="AB560" i="8"/>
  <c r="AB555" i="8"/>
  <c r="AB549" i="8"/>
  <c r="AB546" i="8"/>
  <c r="AB545" i="8"/>
  <c r="AA570" i="8"/>
  <c r="AA569" i="8"/>
  <c r="AA568" i="8"/>
  <c r="AA567" i="8"/>
  <c r="AA563" i="8"/>
  <c r="AA562" i="8"/>
  <c r="AA561" i="8"/>
  <c r="AA557" i="8"/>
  <c r="AA556" i="8"/>
  <c r="AA555" i="8"/>
  <c r="AA554" i="8"/>
  <c r="AA553" i="8"/>
  <c r="AA552" i="8"/>
  <c r="AA551" i="8"/>
  <c r="AA550" i="8"/>
  <c r="AA549" i="8"/>
  <c r="AA548" i="8"/>
  <c r="AA546" i="8"/>
  <c r="AA545" i="8"/>
  <c r="AA543" i="8"/>
  <c r="AA542" i="8"/>
  <c r="AA540" i="8"/>
  <c r="Z566" i="8"/>
  <c r="Z560" i="8"/>
  <c r="Z559" i="8"/>
  <c r="Z558" i="8"/>
  <c r="Z557" i="8"/>
  <c r="Z552" i="8"/>
  <c r="Z549" i="8"/>
  <c r="Z547" i="8"/>
  <c r="Z541" i="8"/>
  <c r="Z540" i="8"/>
  <c r="Y569" i="8"/>
  <c r="Y562" i="8"/>
  <c r="Y560" i="8"/>
  <c r="Y558" i="8"/>
  <c r="Y557" i="8"/>
  <c r="Y554" i="8"/>
  <c r="Y552" i="8"/>
  <c r="Y551" i="8"/>
  <c r="Y544" i="8"/>
  <c r="Y543" i="8"/>
  <c r="Y542" i="8"/>
  <c r="X570" i="8"/>
  <c r="X569" i="8"/>
  <c r="X564" i="8"/>
  <c r="X563" i="8"/>
  <c r="X561" i="8"/>
  <c r="X560" i="8"/>
  <c r="X559" i="8"/>
  <c r="X557" i="8"/>
  <c r="X556" i="8"/>
  <c r="X555" i="8"/>
  <c r="X554" i="8"/>
  <c r="X552" i="8"/>
  <c r="X551" i="8"/>
  <c r="X549" i="8"/>
  <c r="X546" i="8"/>
  <c r="X544" i="8"/>
  <c r="X542" i="8"/>
  <c r="X543" i="8"/>
  <c r="X541" i="8"/>
  <c r="X540" i="8"/>
  <c r="X539" i="8"/>
  <c r="W569" i="8"/>
  <c r="W565" i="8"/>
  <c r="W562" i="8"/>
  <c r="W555" i="8"/>
  <c r="W553" i="8"/>
  <c r="W552" i="8"/>
  <c r="W551" i="8"/>
  <c r="W543" i="8"/>
  <c r="V570" i="8"/>
  <c r="V569" i="8"/>
  <c r="V568" i="8"/>
  <c r="V567" i="8"/>
  <c r="V566" i="8"/>
  <c r="V565" i="8"/>
  <c r="V564" i="8"/>
  <c r="V563" i="8"/>
  <c r="V562" i="8"/>
  <c r="V561" i="8"/>
  <c r="V560" i="8"/>
  <c r="V559" i="8"/>
  <c r="V558" i="8"/>
  <c r="V557" i="8"/>
  <c r="V556" i="8"/>
  <c r="V555" i="8"/>
  <c r="V554" i="8"/>
  <c r="V553" i="8"/>
  <c r="V552" i="8"/>
  <c r="V551" i="8"/>
  <c r="V550" i="8"/>
  <c r="V549" i="8"/>
  <c r="V548" i="8"/>
  <c r="V547" i="8"/>
  <c r="V546" i="8"/>
  <c r="V545" i="8"/>
  <c r="V544" i="8"/>
  <c r="V543" i="8"/>
  <c r="V542" i="8"/>
  <c r="V541" i="8"/>
  <c r="V540" i="8"/>
  <c r="V539" i="8"/>
  <c r="U570" i="8"/>
  <c r="U569" i="8"/>
  <c r="U568" i="8"/>
  <c r="U567" i="8"/>
  <c r="U566" i="8"/>
  <c r="U565" i="8"/>
  <c r="U564" i="8"/>
  <c r="U563" i="8"/>
  <c r="U562" i="8"/>
  <c r="U561" i="8"/>
  <c r="U560" i="8"/>
  <c r="U559" i="8"/>
  <c r="U558" i="8"/>
  <c r="U557" i="8"/>
  <c r="U556" i="8"/>
  <c r="U555" i="8"/>
  <c r="U554" i="8"/>
  <c r="U553" i="8"/>
  <c r="U552" i="8"/>
  <c r="U551" i="8"/>
  <c r="U550" i="8"/>
  <c r="U549" i="8"/>
  <c r="U548" i="8"/>
  <c r="U546" i="8"/>
  <c r="U545" i="8"/>
  <c r="U544" i="8"/>
  <c r="U543" i="8"/>
  <c r="U542" i="8"/>
  <c r="U541" i="8"/>
  <c r="U540" i="8"/>
  <c r="U539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S570" i="8"/>
  <c r="S569" i="8"/>
  <c r="S568" i="8"/>
  <c r="S567" i="8"/>
  <c r="S566" i="8"/>
  <c r="S565" i="8"/>
  <c r="S564" i="8"/>
  <c r="S563" i="8"/>
  <c r="S562" i="8"/>
  <c r="S561" i="8"/>
  <c r="S560" i="8"/>
  <c r="S559" i="8"/>
  <c r="S558" i="8"/>
  <c r="S557" i="8"/>
  <c r="S556" i="8"/>
  <c r="S555" i="8"/>
  <c r="S554" i="8"/>
  <c r="S553" i="8"/>
  <c r="S552" i="8"/>
  <c r="S551" i="8"/>
  <c r="S550" i="8"/>
  <c r="S549" i="8"/>
  <c r="S548" i="8"/>
  <c r="S547" i="8"/>
  <c r="S546" i="8"/>
  <c r="S545" i="8"/>
  <c r="S544" i="8"/>
  <c r="S543" i="8"/>
  <c r="S542" i="8"/>
  <c r="S541" i="8"/>
  <c r="S540" i="8"/>
  <c r="S539" i="8"/>
  <c r="Q570" i="8"/>
  <c r="Q569" i="8"/>
  <c r="Q568" i="8"/>
  <c r="Q567" i="8"/>
  <c r="Q566" i="8"/>
  <c r="Q565" i="8"/>
  <c r="Q564" i="8"/>
  <c r="Q563" i="8"/>
  <c r="Q562" i="8"/>
  <c r="Q561" i="8"/>
  <c r="Q560" i="8"/>
  <c r="Q559" i="8"/>
  <c r="Q558" i="8"/>
  <c r="Q557" i="8"/>
  <c r="Q556" i="8"/>
  <c r="Q555" i="8"/>
  <c r="Q554" i="8"/>
  <c r="Q553" i="8"/>
  <c r="Q552" i="8"/>
  <c r="Q551" i="8"/>
  <c r="Q550" i="8"/>
  <c r="Q549" i="8"/>
  <c r="Q548" i="8"/>
  <c r="Q547" i="8"/>
  <c r="Q546" i="8"/>
  <c r="Q545" i="8"/>
  <c r="Q544" i="8"/>
  <c r="Q543" i="8"/>
  <c r="Q542" i="8"/>
  <c r="Q541" i="8"/>
  <c r="Q540" i="8"/>
  <c r="Q539" i="8"/>
  <c r="P570" i="8"/>
  <c r="P569" i="8"/>
  <c r="P568" i="8"/>
  <c r="P567" i="8"/>
  <c r="P566" i="8"/>
  <c r="P565" i="8"/>
  <c r="P564" i="8"/>
  <c r="P563" i="8"/>
  <c r="P562" i="8"/>
  <c r="P561" i="8"/>
  <c r="P560" i="8"/>
  <c r="P559" i="8"/>
  <c r="P558" i="8"/>
  <c r="P557" i="8"/>
  <c r="P556" i="8"/>
  <c r="P555" i="8"/>
  <c r="P554" i="8"/>
  <c r="P553" i="8"/>
  <c r="P552" i="8"/>
  <c r="P551" i="8"/>
  <c r="P550" i="8"/>
  <c r="P549" i="8"/>
  <c r="P548" i="8"/>
  <c r="P547" i="8"/>
  <c r="P546" i="8"/>
  <c r="P545" i="8"/>
  <c r="P544" i="8"/>
  <c r="P543" i="8"/>
  <c r="P542" i="8"/>
  <c r="P541" i="8"/>
  <c r="P540" i="8"/>
  <c r="P539" i="8"/>
  <c r="O570" i="8"/>
  <c r="O569" i="8"/>
  <c r="O568" i="8"/>
  <c r="O567" i="8"/>
  <c r="O566" i="8"/>
  <c r="O565" i="8"/>
  <c r="O564" i="8"/>
  <c r="O563" i="8"/>
  <c r="O562" i="8"/>
  <c r="O561" i="8"/>
  <c r="O560" i="8"/>
  <c r="O559" i="8"/>
  <c r="O558" i="8"/>
  <c r="O557" i="8"/>
  <c r="O556" i="8"/>
  <c r="O555" i="8"/>
  <c r="O554" i="8"/>
  <c r="O553" i="8"/>
  <c r="O552" i="8"/>
  <c r="O551" i="8"/>
  <c r="O550" i="8"/>
  <c r="O549" i="8"/>
  <c r="O548" i="8"/>
  <c r="O547" i="8"/>
  <c r="O546" i="8"/>
  <c r="O545" i="8"/>
  <c r="O544" i="8"/>
  <c r="O543" i="8"/>
  <c r="O542" i="8"/>
  <c r="O541" i="8"/>
  <c r="O540" i="8"/>
  <c r="O539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M570" i="8"/>
  <c r="M569" i="8"/>
  <c r="M568" i="8"/>
  <c r="M567" i="8"/>
  <c r="M566" i="8"/>
  <c r="M564" i="8"/>
  <c r="M563" i="8"/>
  <c r="M561" i="8"/>
  <c r="M560" i="8"/>
  <c r="M559" i="8"/>
  <c r="M558" i="8"/>
  <c r="M557" i="8"/>
  <c r="M556" i="8"/>
  <c r="M555" i="8"/>
  <c r="M554" i="8"/>
  <c r="M553" i="8"/>
  <c r="M549" i="8"/>
  <c r="M548" i="8"/>
  <c r="M547" i="8"/>
  <c r="M546" i="8"/>
  <c r="M545" i="8"/>
  <c r="M544" i="8"/>
  <c r="M542" i="8"/>
  <c r="M541" i="8"/>
  <c r="M540" i="8"/>
  <c r="M539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49" i="8"/>
  <c r="L548" i="8"/>
  <c r="L547" i="8"/>
  <c r="L546" i="8"/>
  <c r="L545" i="8"/>
  <c r="L544" i="8"/>
  <c r="L542" i="8"/>
  <c r="L541" i="8"/>
  <c r="L540" i="8"/>
  <c r="L539" i="8"/>
  <c r="K569" i="8"/>
  <c r="K568" i="8"/>
  <c r="K567" i="8"/>
  <c r="K565" i="8"/>
  <c r="K564" i="8"/>
  <c r="K562" i="8"/>
  <c r="K561" i="8"/>
  <c r="K559" i="8"/>
  <c r="K557" i="8"/>
  <c r="K556" i="8"/>
  <c r="K555" i="8"/>
  <c r="K554" i="8"/>
  <c r="K553" i="8"/>
  <c r="K552" i="8"/>
  <c r="K551" i="8"/>
  <c r="K550" i="8"/>
  <c r="K549" i="8"/>
  <c r="K548" i="8"/>
  <c r="K546" i="8"/>
  <c r="K545" i="8"/>
  <c r="K544" i="8"/>
  <c r="K543" i="8"/>
  <c r="K542" i="8"/>
  <c r="K541" i="8"/>
  <c r="K540" i="8"/>
  <c r="K539" i="8"/>
  <c r="H570" i="8"/>
  <c r="H569" i="8"/>
  <c r="H568" i="8"/>
  <c r="H567" i="8"/>
  <c r="H565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G570" i="8"/>
  <c r="G569" i="8"/>
  <c r="G568" i="8"/>
  <c r="G567" i="8"/>
  <c r="G566" i="8"/>
  <c r="G565" i="8"/>
  <c r="G564" i="8"/>
  <c r="G563" i="8"/>
  <c r="G562" i="8"/>
  <c r="G561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C566" i="8"/>
  <c r="C564" i="8"/>
  <c r="C558" i="8"/>
  <c r="D554" i="8"/>
  <c r="D553" i="8"/>
  <c r="D556" i="8"/>
  <c r="D555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C552" i="8"/>
  <c r="C550" i="8"/>
  <c r="C547" i="8"/>
  <c r="C546" i="8"/>
  <c r="C545" i="8"/>
  <c r="C544" i="8"/>
  <c r="C540" i="8"/>
  <c r="C539" i="8"/>
  <c r="Z533" i="8"/>
  <c r="Y537" i="8"/>
  <c r="X535" i="8"/>
  <c r="W537" i="8"/>
  <c r="V537" i="8"/>
  <c r="V536" i="8"/>
  <c r="V535" i="8"/>
  <c r="V534" i="8"/>
  <c r="V533" i="8"/>
  <c r="U536" i="8"/>
  <c r="U535" i="8"/>
  <c r="U534" i="8"/>
  <c r="U533" i="8"/>
  <c r="T537" i="8"/>
  <c r="T536" i="8"/>
  <c r="T535" i="8"/>
  <c r="T534" i="8"/>
  <c r="T533" i="8"/>
  <c r="S537" i="8"/>
  <c r="S536" i="8"/>
  <c r="S535" i="8"/>
  <c r="S534" i="8"/>
  <c r="S533" i="8"/>
  <c r="R537" i="8"/>
  <c r="R536" i="8"/>
  <c r="R534" i="8"/>
  <c r="R533" i="8"/>
  <c r="Q537" i="8"/>
  <c r="Q536" i="8"/>
  <c r="Q535" i="8"/>
  <c r="Q534" i="8"/>
  <c r="Q533" i="8"/>
  <c r="P536" i="8"/>
  <c r="P534" i="8"/>
  <c r="P533" i="8"/>
  <c r="O537" i="8"/>
  <c r="O536" i="8"/>
  <c r="O535" i="8"/>
  <c r="O534" i="8"/>
  <c r="O533" i="8"/>
  <c r="N537" i="8"/>
  <c r="N536" i="8"/>
  <c r="N535" i="8"/>
  <c r="N534" i="8"/>
  <c r="N533" i="8"/>
  <c r="M536" i="8"/>
  <c r="M534" i="8"/>
  <c r="M533" i="8"/>
  <c r="L537" i="8"/>
  <c r="L536" i="8"/>
  <c r="L535" i="8"/>
  <c r="L534" i="8"/>
  <c r="L533" i="8"/>
  <c r="K537" i="8"/>
  <c r="H537" i="8"/>
  <c r="H536" i="8"/>
  <c r="H535" i="8"/>
  <c r="H534" i="8"/>
  <c r="H533" i="8"/>
  <c r="G537" i="8"/>
  <c r="G536" i="8"/>
  <c r="G535" i="8"/>
  <c r="G534" i="8"/>
  <c r="G533" i="8"/>
  <c r="F537" i="8"/>
  <c r="F536" i="8"/>
  <c r="F535" i="8"/>
  <c r="F534" i="8"/>
  <c r="F533" i="8"/>
  <c r="E537" i="8"/>
  <c r="E536" i="8"/>
  <c r="E535" i="8"/>
  <c r="E534" i="8"/>
  <c r="E533" i="8"/>
  <c r="D537" i="8"/>
  <c r="D536" i="8"/>
  <c r="D535" i="8"/>
  <c r="D534" i="8"/>
  <c r="D533" i="8"/>
  <c r="C533" i="8"/>
  <c r="D531" i="8"/>
  <c r="D530" i="8"/>
  <c r="D527" i="8"/>
  <c r="D526" i="8"/>
  <c r="D525" i="8"/>
  <c r="D524" i="8"/>
  <c r="D523" i="8"/>
  <c r="E531" i="8"/>
  <c r="E530" i="8"/>
  <c r="E526" i="8"/>
  <c r="E525" i="8"/>
  <c r="E524" i="8"/>
  <c r="E523" i="8"/>
  <c r="F524" i="8"/>
  <c r="F523" i="8"/>
  <c r="G524" i="8"/>
  <c r="G523" i="8"/>
  <c r="H524" i="8"/>
  <c r="H523" i="8"/>
  <c r="K524" i="8"/>
  <c r="L531" i="8"/>
  <c r="L530" i="8"/>
  <c r="L527" i="8"/>
  <c r="L526" i="8"/>
  <c r="L525" i="8"/>
  <c r="L524" i="8"/>
  <c r="L523" i="8"/>
  <c r="M531" i="8"/>
  <c r="M526" i="8"/>
  <c r="M524" i="8"/>
  <c r="M523" i="8"/>
  <c r="N530" i="8"/>
  <c r="N527" i="8"/>
  <c r="N526" i="8"/>
  <c r="N524" i="8"/>
  <c r="N523" i="8"/>
  <c r="O530" i="8"/>
  <c r="O527" i="8"/>
  <c r="O526" i="8"/>
  <c r="O524" i="8"/>
  <c r="O523" i="8"/>
  <c r="P530" i="8"/>
  <c r="P527" i="8"/>
  <c r="P526" i="8"/>
  <c r="P524" i="8"/>
  <c r="P523" i="8"/>
  <c r="Q530" i="8"/>
  <c r="Q527" i="8"/>
  <c r="Q526" i="8"/>
  <c r="Q524" i="8"/>
  <c r="Q523" i="8"/>
  <c r="R530" i="8"/>
  <c r="R527" i="8"/>
  <c r="R526" i="8"/>
  <c r="R524" i="8"/>
  <c r="R523" i="8"/>
  <c r="S531" i="8"/>
  <c r="S530" i="8"/>
  <c r="S529" i="8"/>
  <c r="S528" i="8"/>
  <c r="S527" i="8"/>
  <c r="S526" i="8"/>
  <c r="S525" i="8"/>
  <c r="S524" i="8"/>
  <c r="S523" i="8"/>
  <c r="T530" i="8"/>
  <c r="T528" i="8"/>
  <c r="T527" i="8"/>
  <c r="T526" i="8"/>
  <c r="T524" i="8"/>
  <c r="T523" i="8"/>
  <c r="U526" i="8"/>
  <c r="U523" i="8"/>
  <c r="V530" i="8"/>
  <c r="V526" i="8"/>
  <c r="V524" i="8"/>
  <c r="V523" i="8"/>
  <c r="W524" i="8"/>
  <c r="X530" i="8"/>
  <c r="X526" i="8"/>
  <c r="Y526" i="8"/>
  <c r="Y524" i="8"/>
  <c r="Z530" i="8"/>
  <c r="AA530" i="8"/>
  <c r="AA523" i="8"/>
  <c r="AB527" i="8"/>
  <c r="C530" i="8"/>
  <c r="Y530" i="8"/>
  <c r="C524" i="8"/>
  <c r="C523" i="8"/>
  <c r="AB518" i="8"/>
  <c r="AB511" i="8"/>
  <c r="AB509" i="8"/>
  <c r="AB508" i="8"/>
  <c r="AB507" i="8"/>
  <c r="AA520" i="8"/>
  <c r="AA510" i="8"/>
  <c r="AA509" i="8"/>
  <c r="AA508" i="8"/>
  <c r="AA507" i="8"/>
  <c r="AA506" i="8"/>
  <c r="AA502" i="8"/>
  <c r="Z521" i="8"/>
  <c r="Z520" i="8"/>
  <c r="Z519" i="8"/>
  <c r="Z513" i="8"/>
  <c r="Z511" i="8"/>
  <c r="Z510" i="8"/>
  <c r="Z506" i="8"/>
  <c r="Z502" i="8"/>
  <c r="Y520" i="8"/>
  <c r="Y519" i="8"/>
  <c r="Y512" i="8"/>
  <c r="Y509" i="8"/>
  <c r="Y508" i="8"/>
  <c r="Y507" i="8"/>
  <c r="Y506" i="8"/>
  <c r="Y504" i="8"/>
  <c r="Y502" i="8"/>
  <c r="X518" i="8"/>
  <c r="X516" i="8"/>
  <c r="X515" i="8"/>
  <c r="X513" i="8"/>
  <c r="X512" i="8"/>
  <c r="X511" i="8"/>
  <c r="X509" i="8"/>
  <c r="X508" i="8"/>
  <c r="X507" i="8"/>
  <c r="X506" i="8"/>
  <c r="X502" i="8"/>
  <c r="W520" i="8"/>
  <c r="W512" i="8"/>
  <c r="W508" i="8"/>
  <c r="W507" i="8"/>
  <c r="W502" i="8"/>
  <c r="V521" i="8"/>
  <c r="V520" i="8"/>
  <c r="V519" i="8"/>
  <c r="V518" i="8"/>
  <c r="V517" i="8"/>
  <c r="V516" i="8"/>
  <c r="V515" i="8"/>
  <c r="V512" i="8"/>
  <c r="V510" i="8"/>
  <c r="V509" i="8"/>
  <c r="V508" i="8"/>
  <c r="V507" i="8"/>
  <c r="V506" i="8"/>
  <c r="V504" i="8"/>
  <c r="V502" i="8"/>
  <c r="U521" i="8"/>
  <c r="U520" i="8"/>
  <c r="U519" i="8"/>
  <c r="U517" i="8"/>
  <c r="U516" i="8"/>
  <c r="U515" i="8"/>
  <c r="U512" i="8"/>
  <c r="U510" i="8"/>
  <c r="U509" i="8"/>
  <c r="U508" i="8"/>
  <c r="U507" i="8"/>
  <c r="U506" i="8"/>
  <c r="U504" i="8"/>
  <c r="U50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S521" i="8"/>
  <c r="S520" i="8"/>
  <c r="S519" i="8"/>
  <c r="S518" i="8"/>
  <c r="S517" i="8"/>
  <c r="S516" i="8"/>
  <c r="S515" i="8"/>
  <c r="S514" i="8"/>
  <c r="S513" i="8"/>
  <c r="S512" i="8"/>
  <c r="S510" i="8"/>
  <c r="S509" i="8"/>
  <c r="S508" i="8"/>
  <c r="S507" i="8"/>
  <c r="S506" i="8"/>
  <c r="S505" i="8"/>
  <c r="S504" i="8"/>
  <c r="S502" i="8"/>
  <c r="R521" i="8"/>
  <c r="R520" i="8"/>
  <c r="R519" i="8"/>
  <c r="R518" i="8"/>
  <c r="R517" i="8"/>
  <c r="R516" i="8"/>
  <c r="R515" i="8"/>
  <c r="R514" i="8"/>
  <c r="R513" i="8"/>
  <c r="R512" i="8"/>
  <c r="R511" i="8"/>
  <c r="R510" i="8"/>
  <c r="R509" i="8"/>
  <c r="R508" i="8"/>
  <c r="R507" i="8"/>
  <c r="R506" i="8"/>
  <c r="R505" i="8"/>
  <c r="R504" i="8"/>
  <c r="R503" i="8"/>
  <c r="R502" i="8"/>
  <c r="Q521" i="8"/>
  <c r="Q520" i="8"/>
  <c r="Q519" i="8"/>
  <c r="Q518" i="8"/>
  <c r="Q517" i="8"/>
  <c r="Q516" i="8"/>
  <c r="Q515" i="8"/>
  <c r="Q514" i="8"/>
  <c r="Q512" i="8"/>
  <c r="Q511" i="8"/>
  <c r="Q510" i="8"/>
  <c r="Q509" i="8"/>
  <c r="Q508" i="8"/>
  <c r="Q507" i="8"/>
  <c r="Q506" i="8"/>
  <c r="Q504" i="8"/>
  <c r="Q502" i="8"/>
  <c r="P521" i="8"/>
  <c r="P520" i="8"/>
  <c r="P519" i="8"/>
  <c r="P518" i="8"/>
  <c r="P517" i="8"/>
  <c r="P516" i="8"/>
  <c r="P515" i="8"/>
  <c r="P512" i="8"/>
  <c r="P511" i="8"/>
  <c r="P510" i="8"/>
  <c r="P509" i="8"/>
  <c r="P508" i="8"/>
  <c r="P507" i="8"/>
  <c r="P506" i="8"/>
  <c r="P504" i="8"/>
  <c r="P502" i="8"/>
  <c r="O521" i="8"/>
  <c r="O520" i="8"/>
  <c r="O519" i="8"/>
  <c r="O518" i="8"/>
  <c r="O517" i="8"/>
  <c r="O516" i="8"/>
  <c r="O515" i="8"/>
  <c r="O514" i="8"/>
  <c r="O513" i="8"/>
  <c r="O512" i="8"/>
  <c r="O511" i="8"/>
  <c r="O510" i="8"/>
  <c r="O509" i="8"/>
  <c r="O508" i="8"/>
  <c r="O507" i="8"/>
  <c r="O506" i="8"/>
  <c r="O505" i="8"/>
  <c r="O504" i="8"/>
  <c r="O503" i="8"/>
  <c r="O50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M520" i="8"/>
  <c r="M517" i="8"/>
  <c r="M516" i="8"/>
  <c r="M515" i="8"/>
  <c r="M511" i="8"/>
  <c r="M510" i="8"/>
  <c r="M509" i="8"/>
  <c r="M508" i="8"/>
  <c r="M507" i="8"/>
  <c r="M506" i="8"/>
  <c r="M50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K520" i="8"/>
  <c r="K512" i="8"/>
  <c r="K509" i="8"/>
  <c r="K508" i="8"/>
  <c r="K507" i="8"/>
  <c r="K506" i="8"/>
  <c r="H520" i="8"/>
  <c r="H512" i="8"/>
  <c r="H510" i="8"/>
  <c r="H509" i="8"/>
  <c r="H508" i="8"/>
  <c r="H507" i="8"/>
  <c r="H506" i="8"/>
  <c r="G520" i="8"/>
  <c r="G512" i="8"/>
  <c r="G510" i="8"/>
  <c r="G509" i="8"/>
  <c r="G508" i="8"/>
  <c r="G507" i="8"/>
  <c r="G506" i="8"/>
  <c r="G502" i="8"/>
  <c r="F520" i="8"/>
  <c r="F512" i="8"/>
  <c r="F510" i="8"/>
  <c r="F509" i="8"/>
  <c r="F508" i="8"/>
  <c r="F507" i="8"/>
  <c r="F506" i="8"/>
  <c r="F502" i="8"/>
  <c r="E521" i="8"/>
  <c r="E520" i="8"/>
  <c r="E517" i="8"/>
  <c r="E516" i="8"/>
  <c r="E515" i="8"/>
  <c r="E513" i="8"/>
  <c r="E512" i="8"/>
  <c r="E511" i="8"/>
  <c r="E510" i="8"/>
  <c r="E509" i="8"/>
  <c r="E508" i="8"/>
  <c r="E507" i="8"/>
  <c r="E506" i="8"/>
  <c r="E504" i="8"/>
  <c r="E502" i="8"/>
  <c r="D521" i="8"/>
  <c r="D520" i="8"/>
  <c r="D517" i="8"/>
  <c r="D516" i="8"/>
  <c r="D515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C502" i="8"/>
  <c r="C515" i="8"/>
  <c r="C513" i="8"/>
  <c r="C509" i="8"/>
  <c r="AA499" i="8"/>
  <c r="AA495" i="8"/>
  <c r="Y500" i="8"/>
  <c r="Y499" i="8"/>
  <c r="Y498" i="8"/>
  <c r="Y497" i="8"/>
  <c r="Y496" i="8"/>
  <c r="Y495" i="8"/>
  <c r="Y494" i="8"/>
  <c r="X500" i="8"/>
  <c r="X499" i="8"/>
  <c r="X498" i="8"/>
  <c r="X497" i="8"/>
  <c r="X495" i="8"/>
  <c r="X494" i="8"/>
  <c r="W500" i="8"/>
  <c r="W499" i="8"/>
  <c r="W498" i="8"/>
  <c r="W497" i="8"/>
  <c r="W495" i="8"/>
  <c r="W494" i="8"/>
  <c r="V500" i="8"/>
  <c r="V499" i="8"/>
  <c r="V498" i="8"/>
  <c r="V497" i="8"/>
  <c r="V495" i="8"/>
  <c r="V494" i="8"/>
  <c r="U500" i="8"/>
  <c r="U499" i="8"/>
  <c r="U498" i="8"/>
  <c r="U496" i="8"/>
  <c r="U495" i="8"/>
  <c r="U494" i="8"/>
  <c r="T500" i="8"/>
  <c r="T499" i="8"/>
  <c r="T498" i="8"/>
  <c r="T497" i="8"/>
  <c r="T496" i="8"/>
  <c r="T495" i="8"/>
  <c r="T494" i="8"/>
  <c r="S500" i="8"/>
  <c r="S499" i="8"/>
  <c r="S498" i="8"/>
  <c r="S497" i="8"/>
  <c r="S496" i="8"/>
  <c r="S495" i="8"/>
  <c r="S494" i="8"/>
  <c r="R500" i="8"/>
  <c r="R499" i="8"/>
  <c r="R498" i="8"/>
  <c r="R497" i="8"/>
  <c r="R496" i="8"/>
  <c r="R495" i="8"/>
  <c r="R494" i="8"/>
  <c r="Q500" i="8"/>
  <c r="Q499" i="8"/>
  <c r="Q498" i="8"/>
  <c r="Q497" i="8"/>
  <c r="Q496" i="8"/>
  <c r="Q495" i="8"/>
  <c r="Q494" i="8"/>
  <c r="P500" i="8"/>
  <c r="P498" i="8"/>
  <c r="P497" i="8"/>
  <c r="P494" i="8"/>
  <c r="O500" i="8"/>
  <c r="O499" i="8"/>
  <c r="O498" i="8"/>
  <c r="O497" i="8"/>
  <c r="O496" i="8"/>
  <c r="O495" i="8"/>
  <c r="O494" i="8"/>
  <c r="N500" i="8"/>
  <c r="N499" i="8"/>
  <c r="N498" i="8"/>
  <c r="N497" i="8"/>
  <c r="N496" i="8"/>
  <c r="N495" i="8"/>
  <c r="N494" i="8"/>
  <c r="L500" i="8"/>
  <c r="L499" i="8"/>
  <c r="L498" i="8"/>
  <c r="L497" i="8"/>
  <c r="L495" i="8"/>
  <c r="L494" i="8"/>
  <c r="K500" i="8"/>
  <c r="K499" i="8"/>
  <c r="K498" i="8"/>
  <c r="K497" i="8"/>
  <c r="K495" i="8"/>
  <c r="K494" i="8"/>
  <c r="H500" i="8"/>
  <c r="H499" i="8"/>
  <c r="H498" i="8"/>
  <c r="H497" i="8"/>
  <c r="H495" i="8"/>
  <c r="H494" i="8"/>
  <c r="G500" i="8"/>
  <c r="G499" i="8"/>
  <c r="G498" i="8"/>
  <c r="G497" i="8"/>
  <c r="G495" i="8"/>
  <c r="G494" i="8"/>
  <c r="F500" i="8"/>
  <c r="F499" i="8"/>
  <c r="F498" i="8"/>
  <c r="F497" i="8"/>
  <c r="F495" i="8"/>
  <c r="F494" i="8"/>
  <c r="E500" i="8"/>
  <c r="E499" i="8"/>
  <c r="E498" i="8"/>
  <c r="E497" i="8"/>
  <c r="E496" i="8"/>
  <c r="E495" i="8"/>
  <c r="E494" i="8"/>
  <c r="D500" i="8"/>
  <c r="D499" i="8"/>
  <c r="D498" i="8"/>
  <c r="D497" i="8"/>
  <c r="D496" i="8"/>
  <c r="D495" i="8"/>
  <c r="D494" i="8"/>
  <c r="AB487" i="8"/>
  <c r="AB482" i="8"/>
  <c r="AA483" i="8"/>
  <c r="Z483" i="8"/>
  <c r="Z482" i="8"/>
  <c r="Y486" i="8"/>
  <c r="Y484" i="8"/>
  <c r="X487" i="8"/>
  <c r="X486" i="8"/>
  <c r="X485" i="8"/>
  <c r="X484" i="8"/>
  <c r="V482" i="8"/>
  <c r="U484" i="8"/>
  <c r="U482" i="8"/>
  <c r="U481" i="8"/>
  <c r="U480" i="8"/>
  <c r="T492" i="8"/>
  <c r="T491" i="8"/>
  <c r="T490" i="8"/>
  <c r="T489" i="8"/>
  <c r="T488" i="8"/>
  <c r="T487" i="8"/>
  <c r="T486" i="8"/>
  <c r="T485" i="8"/>
  <c r="T484" i="8"/>
  <c r="T483" i="8"/>
  <c r="T482" i="8"/>
  <c r="T480" i="8"/>
  <c r="T479" i="8"/>
  <c r="S492" i="8"/>
  <c r="S491" i="8"/>
  <c r="S490" i="8"/>
  <c r="S489" i="8"/>
  <c r="S488" i="8"/>
  <c r="S487" i="8"/>
  <c r="S484" i="8"/>
  <c r="S483" i="8"/>
  <c r="S481" i="8"/>
  <c r="S480" i="8"/>
  <c r="S479" i="8"/>
  <c r="R482" i="8"/>
  <c r="R479" i="8"/>
  <c r="Q491" i="8"/>
  <c r="Q489" i="8"/>
  <c r="Q488" i="8"/>
  <c r="Q487" i="8"/>
  <c r="Q486" i="8"/>
  <c r="Q484" i="8"/>
  <c r="Q483" i="8"/>
  <c r="Q482" i="8"/>
  <c r="Q480" i="8"/>
  <c r="Q479" i="8"/>
  <c r="P487" i="8"/>
  <c r="P486" i="8"/>
  <c r="P485" i="8"/>
  <c r="P484" i="8"/>
  <c r="P483" i="8"/>
  <c r="P482" i="8"/>
  <c r="P480" i="8"/>
  <c r="O492" i="8"/>
  <c r="O491" i="8"/>
  <c r="O487" i="8"/>
  <c r="O486" i="8"/>
  <c r="O485" i="8"/>
  <c r="O484" i="8"/>
  <c r="O483" i="8"/>
  <c r="O482" i="8"/>
  <c r="O480" i="8"/>
  <c r="N492" i="8"/>
  <c r="N491" i="8"/>
  <c r="N490" i="8"/>
  <c r="N489" i="8"/>
  <c r="N488" i="8"/>
  <c r="N487" i="8"/>
  <c r="N486" i="8"/>
  <c r="N485" i="8"/>
  <c r="N484" i="8"/>
  <c r="N483" i="8"/>
  <c r="N482" i="8"/>
  <c r="N480" i="8"/>
  <c r="N479" i="8"/>
  <c r="M487" i="8"/>
  <c r="M482" i="8"/>
  <c r="L492" i="8"/>
  <c r="L491" i="8"/>
  <c r="L490" i="8"/>
  <c r="L489" i="8"/>
  <c r="L488" i="8"/>
  <c r="L487" i="8"/>
  <c r="L486" i="8"/>
  <c r="L485" i="8"/>
  <c r="L484" i="8"/>
  <c r="L483" i="8"/>
  <c r="L482" i="8"/>
  <c r="L480" i="8"/>
  <c r="L479" i="8"/>
  <c r="E480" i="8"/>
  <c r="E485" i="8"/>
  <c r="D483" i="8"/>
  <c r="D480" i="8"/>
  <c r="AB468" i="8"/>
  <c r="AB463" i="8"/>
  <c r="AB461" i="8"/>
  <c r="AB457" i="8"/>
  <c r="AB456" i="8"/>
  <c r="AB454" i="8"/>
  <c r="AA474" i="8"/>
  <c r="AA466" i="8"/>
  <c r="AA465" i="8"/>
  <c r="AA464" i="8"/>
  <c r="AA463" i="8"/>
  <c r="AA460" i="8"/>
  <c r="AA454" i="8"/>
  <c r="Z474" i="8"/>
  <c r="Z472" i="8"/>
  <c r="Z463" i="8"/>
  <c r="Z461" i="8"/>
  <c r="Z459" i="8"/>
  <c r="Y477" i="8"/>
  <c r="Y476" i="8"/>
  <c r="Y475" i="8"/>
  <c r="Y474" i="8"/>
  <c r="Y473" i="8"/>
  <c r="Y472" i="8"/>
  <c r="Y471" i="8"/>
  <c r="Y470" i="8"/>
  <c r="Y469" i="8"/>
  <c r="Y468" i="8"/>
  <c r="Y467" i="8"/>
  <c r="Y466" i="8"/>
  <c r="Y465" i="8"/>
  <c r="Y464" i="8"/>
  <c r="Y463" i="8"/>
  <c r="Y462" i="8"/>
  <c r="Y461" i="8"/>
  <c r="Y460" i="8"/>
  <c r="Y459" i="8"/>
  <c r="Y457" i="8"/>
  <c r="Y456" i="8"/>
  <c r="Y455" i="8"/>
  <c r="Y454" i="8"/>
  <c r="X474" i="8"/>
  <c r="X470" i="8"/>
  <c r="X468" i="8"/>
  <c r="X467" i="8"/>
  <c r="X466" i="8"/>
  <c r="X465" i="8"/>
  <c r="X464" i="8"/>
  <c r="X463" i="8"/>
  <c r="X461" i="8"/>
  <c r="X460" i="8"/>
  <c r="X459" i="8"/>
  <c r="X456" i="8"/>
  <c r="X454" i="8"/>
  <c r="W477" i="8"/>
  <c r="W476" i="8"/>
  <c r="W475" i="8"/>
  <c r="W474" i="8"/>
  <c r="W473" i="8"/>
  <c r="W472" i="8"/>
  <c r="W471" i="8"/>
  <c r="W470" i="8"/>
  <c r="W469" i="8"/>
  <c r="W467" i="8"/>
  <c r="W466" i="8"/>
  <c r="W464" i="8"/>
  <c r="W463" i="8"/>
  <c r="W462" i="8"/>
  <c r="W461" i="8"/>
  <c r="W460" i="8"/>
  <c r="W459" i="8"/>
  <c r="W456" i="8"/>
  <c r="W455" i="8"/>
  <c r="V477" i="8"/>
  <c r="V476" i="8"/>
  <c r="V475" i="8"/>
  <c r="V474" i="8"/>
  <c r="V473" i="8"/>
  <c r="V472" i="8"/>
  <c r="V471" i="8"/>
  <c r="V470" i="8"/>
  <c r="V469" i="8"/>
  <c r="V468" i="8"/>
  <c r="V467" i="8"/>
  <c r="V466" i="8"/>
  <c r="V465" i="8"/>
  <c r="V464" i="8"/>
  <c r="V463" i="8"/>
  <c r="V462" i="8"/>
  <c r="V461" i="8"/>
  <c r="V460" i="8"/>
  <c r="V459" i="8"/>
  <c r="V457" i="8"/>
  <c r="V456" i="8"/>
  <c r="V455" i="8"/>
  <c r="V454" i="8"/>
  <c r="U476" i="8"/>
  <c r="U475" i="8"/>
  <c r="U474" i="8"/>
  <c r="U473" i="8"/>
  <c r="U472" i="8"/>
  <c r="U471" i="8"/>
  <c r="U470" i="8"/>
  <c r="U468" i="8"/>
  <c r="U467" i="8"/>
  <c r="U466" i="8"/>
  <c r="U465" i="8"/>
  <c r="U464" i="8"/>
  <c r="U463" i="8"/>
  <c r="U462" i="8"/>
  <c r="U461" i="8"/>
  <c r="U460" i="8"/>
  <c r="U459" i="8"/>
  <c r="U456" i="8"/>
  <c r="U455" i="8"/>
  <c r="U454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7" i="8"/>
  <c r="T456" i="8"/>
  <c r="T455" i="8"/>
  <c r="T454" i="8"/>
  <c r="S477" i="8"/>
  <c r="S476" i="8"/>
  <c r="S475" i="8"/>
  <c r="S474" i="8"/>
  <c r="S473" i="8"/>
  <c r="S472" i="8"/>
  <c r="S471" i="8"/>
  <c r="S470" i="8"/>
  <c r="S469" i="8"/>
  <c r="S468" i="8"/>
  <c r="S467" i="8"/>
  <c r="S466" i="8"/>
  <c r="S465" i="8"/>
  <c r="S464" i="8"/>
  <c r="S463" i="8"/>
  <c r="S462" i="8"/>
  <c r="S461" i="8"/>
  <c r="S460" i="8"/>
  <c r="S459" i="8"/>
  <c r="S457" i="8"/>
  <c r="S456" i="8"/>
  <c r="S455" i="8"/>
  <c r="S454" i="8"/>
  <c r="R477" i="8"/>
  <c r="R476" i="8"/>
  <c r="R475" i="8"/>
  <c r="R474" i="8"/>
  <c r="R473" i="8"/>
  <c r="R472" i="8"/>
  <c r="R471" i="8"/>
  <c r="R470" i="8"/>
  <c r="R469" i="8"/>
  <c r="R467" i="8"/>
  <c r="R464" i="8"/>
  <c r="R463" i="8"/>
  <c r="R462" i="8"/>
  <c r="R461" i="8"/>
  <c r="R460" i="8"/>
  <c r="R455" i="8"/>
  <c r="Q477" i="8"/>
  <c r="Q476" i="8"/>
  <c r="Q475" i="8"/>
  <c r="Q474" i="8"/>
  <c r="Q473" i="8"/>
  <c r="Q472" i="8"/>
  <c r="Q471" i="8"/>
  <c r="Q470" i="8"/>
  <c r="Q469" i="8"/>
  <c r="Q468" i="8"/>
  <c r="Q467" i="8"/>
  <c r="Q466" i="8"/>
  <c r="Q465" i="8"/>
  <c r="Q464" i="8"/>
  <c r="Q463" i="8"/>
  <c r="Q462" i="8"/>
  <c r="Q461" i="8"/>
  <c r="Q460" i="8"/>
  <c r="Q459" i="8"/>
  <c r="Q457" i="8"/>
  <c r="Q456" i="8"/>
  <c r="Q455" i="8"/>
  <c r="Q454" i="8"/>
  <c r="P476" i="8"/>
  <c r="P475" i="8"/>
  <c r="P474" i="8"/>
  <c r="P473" i="8"/>
  <c r="P472" i="8"/>
  <c r="P471" i="8"/>
  <c r="P470" i="8"/>
  <c r="P469" i="8"/>
  <c r="P468" i="8"/>
  <c r="P463" i="8"/>
  <c r="P455" i="8"/>
  <c r="O477" i="8"/>
  <c r="O476" i="8"/>
  <c r="O475" i="8"/>
  <c r="O474" i="8"/>
  <c r="O473" i="8"/>
  <c r="O472" i="8"/>
  <c r="O471" i="8"/>
  <c r="O470" i="8"/>
  <c r="O469" i="8"/>
  <c r="O468" i="8"/>
  <c r="O467" i="8"/>
  <c r="O466" i="8"/>
  <c r="O465" i="8"/>
  <c r="O464" i="8"/>
  <c r="O463" i="8"/>
  <c r="O462" i="8"/>
  <c r="O461" i="8"/>
  <c r="O460" i="8"/>
  <c r="O459" i="8"/>
  <c r="O457" i="8"/>
  <c r="O456" i="8"/>
  <c r="O455" i="8"/>
  <c r="O454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7" i="8"/>
  <c r="N456" i="8"/>
  <c r="N455" i="8"/>
  <c r="N454" i="8"/>
  <c r="M463" i="8"/>
  <c r="M460" i="8"/>
  <c r="M459" i="8"/>
  <c r="M454" i="8"/>
  <c r="L477" i="8"/>
  <c r="L476" i="8"/>
  <c r="L475" i="8"/>
  <c r="L474" i="8"/>
  <c r="L473" i="8"/>
  <c r="L472" i="8"/>
  <c r="L471" i="8"/>
  <c r="L470" i="8"/>
  <c r="L469" i="8"/>
  <c r="L468" i="8"/>
  <c r="L467" i="8"/>
  <c r="L464" i="8"/>
  <c r="L463" i="8"/>
  <c r="L462" i="8"/>
  <c r="L461" i="8"/>
  <c r="L460" i="8"/>
  <c r="L459" i="8"/>
  <c r="L457" i="8"/>
  <c r="L456" i="8"/>
  <c r="L455" i="8"/>
  <c r="L454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H477" i="8"/>
  <c r="H476" i="8"/>
  <c r="H475" i="8"/>
  <c r="H473" i="8"/>
  <c r="H472" i="8"/>
  <c r="H471" i="8"/>
  <c r="H470" i="8"/>
  <c r="H469" i="8"/>
  <c r="H467" i="8"/>
  <c r="H466" i="8"/>
  <c r="H463" i="8"/>
  <c r="H462" i="8"/>
  <c r="H461" i="8"/>
  <c r="H460" i="8"/>
  <c r="H459" i="8"/>
  <c r="H456" i="8"/>
  <c r="H455" i="8"/>
  <c r="G477" i="8"/>
  <c r="G476" i="8"/>
  <c r="G475" i="8"/>
  <c r="G474" i="8"/>
  <c r="G473" i="8"/>
  <c r="G472" i="8"/>
  <c r="G471" i="8"/>
  <c r="G470" i="8"/>
  <c r="G469" i="8"/>
  <c r="G467" i="8"/>
  <c r="G466" i="8"/>
  <c r="G464" i="8"/>
  <c r="G463" i="8"/>
  <c r="G462" i="8"/>
  <c r="G461" i="8"/>
  <c r="G460" i="8"/>
  <c r="G459" i="8"/>
  <c r="G457" i="8"/>
  <c r="G456" i="8"/>
  <c r="G455" i="8"/>
  <c r="G454" i="8"/>
  <c r="F477" i="8"/>
  <c r="F476" i="8"/>
  <c r="F475" i="8"/>
  <c r="F474" i="8"/>
  <c r="F473" i="8"/>
  <c r="F472" i="8"/>
  <c r="F471" i="8"/>
  <c r="F470" i="8"/>
  <c r="F469" i="8"/>
  <c r="F467" i="8"/>
  <c r="F466" i="8"/>
  <c r="F464" i="8"/>
  <c r="F463" i="8"/>
  <c r="F462" i="8"/>
  <c r="F461" i="8"/>
  <c r="F460" i="8"/>
  <c r="F459" i="8"/>
  <c r="F457" i="8"/>
  <c r="F456" i="8"/>
  <c r="F455" i="8"/>
  <c r="F454" i="8"/>
  <c r="E477" i="8"/>
  <c r="E476" i="8"/>
  <c r="E475" i="8"/>
  <c r="E474" i="8"/>
  <c r="E473" i="8"/>
  <c r="E472" i="8"/>
  <c r="E471" i="8"/>
  <c r="E470" i="8"/>
  <c r="E469" i="8"/>
  <c r="E468" i="8"/>
  <c r="E467" i="8"/>
  <c r="E464" i="8"/>
  <c r="E463" i="8"/>
  <c r="E462" i="8"/>
  <c r="E461" i="8"/>
  <c r="E460" i="8"/>
  <c r="E459" i="8"/>
  <c r="E457" i="8"/>
  <c r="E456" i="8"/>
  <c r="E455" i="8"/>
  <c r="E454" i="8"/>
  <c r="D477" i="8"/>
  <c r="D476" i="8"/>
  <c r="D475" i="8"/>
  <c r="D474" i="8"/>
  <c r="D473" i="8"/>
  <c r="D472" i="8"/>
  <c r="D471" i="8"/>
  <c r="D470" i="8"/>
  <c r="D469" i="8"/>
  <c r="D468" i="8"/>
  <c r="D467" i="8"/>
  <c r="D464" i="8"/>
  <c r="D463" i="8"/>
  <c r="D462" i="8"/>
  <c r="D461" i="8"/>
  <c r="D460" i="8"/>
  <c r="D459" i="8"/>
  <c r="D457" i="8"/>
  <c r="D456" i="8"/>
  <c r="D455" i="8"/>
  <c r="D454" i="8"/>
  <c r="C476" i="8"/>
  <c r="C471" i="8"/>
  <c r="C467" i="8"/>
  <c r="C463" i="8"/>
  <c r="C461" i="8"/>
  <c r="C460" i="8"/>
  <c r="C457" i="8"/>
  <c r="C455" i="8"/>
  <c r="C454" i="8"/>
  <c r="C434" i="8"/>
  <c r="AA452" i="8"/>
  <c r="AA451" i="8"/>
  <c r="AA450" i="8"/>
  <c r="AA449" i="8"/>
  <c r="AA448" i="8"/>
  <c r="AA447" i="8"/>
  <c r="AA446" i="8"/>
  <c r="AA445" i="8"/>
  <c r="AA444" i="8"/>
  <c r="AA443" i="8"/>
  <c r="AA442" i="8"/>
  <c r="AA440" i="8"/>
  <c r="AA439" i="8"/>
  <c r="AA438" i="8"/>
  <c r="AA437" i="8"/>
  <c r="AA436" i="8"/>
  <c r="AA435" i="8"/>
  <c r="AA434" i="8"/>
  <c r="AA433" i="8"/>
  <c r="AA432" i="8"/>
  <c r="AA431" i="8"/>
  <c r="AA430" i="8"/>
  <c r="AA429" i="8"/>
  <c r="AA428" i="8"/>
  <c r="AA427" i="8"/>
  <c r="AA426" i="8"/>
  <c r="AA425" i="8"/>
  <c r="AA424" i="8"/>
  <c r="AA423" i="8"/>
  <c r="AA422" i="8"/>
  <c r="AA421" i="8"/>
  <c r="AA420" i="8"/>
  <c r="AA419" i="8"/>
  <c r="AA418" i="8"/>
  <c r="AA417" i="8"/>
  <c r="AA416" i="8"/>
  <c r="AA415" i="8"/>
  <c r="AA414" i="8"/>
  <c r="AA413" i="8"/>
  <c r="AA412" i="8"/>
  <c r="AA411" i="8"/>
  <c r="AA410" i="8"/>
  <c r="AA409" i="8"/>
  <c r="AA408" i="8"/>
  <c r="AA407" i="8"/>
  <c r="AA406" i="8"/>
  <c r="AA405" i="8"/>
  <c r="AA404" i="8"/>
  <c r="AA403" i="8"/>
  <c r="AA402" i="8"/>
  <c r="AA401" i="8"/>
  <c r="AA400" i="8"/>
  <c r="AA399" i="8"/>
  <c r="AA398" i="8"/>
  <c r="AA395" i="8"/>
  <c r="AA394" i="8"/>
  <c r="AA393" i="8"/>
  <c r="AA392" i="8"/>
  <c r="AA391" i="8"/>
  <c r="AA390" i="8"/>
  <c r="AA389" i="8"/>
  <c r="AA388" i="8"/>
  <c r="AA387" i="8"/>
  <c r="AA386" i="8"/>
  <c r="AA385" i="8"/>
  <c r="AA384" i="8"/>
  <c r="AA383" i="8"/>
  <c r="AA382" i="8"/>
  <c r="AA381" i="8"/>
  <c r="AA380" i="8"/>
  <c r="AA379" i="8"/>
  <c r="AA378" i="8"/>
  <c r="AA377" i="8"/>
  <c r="AA376" i="8"/>
  <c r="AA375" i="8"/>
  <c r="AA374" i="8"/>
  <c r="AA373" i="8"/>
  <c r="AA372" i="8"/>
  <c r="AA371" i="8"/>
  <c r="AA370" i="8"/>
  <c r="AA369" i="8"/>
  <c r="AA368" i="8"/>
  <c r="AA367" i="8"/>
  <c r="AA366" i="8"/>
  <c r="AA365" i="8"/>
  <c r="AA364" i="8"/>
  <c r="AA363" i="8"/>
  <c r="AA362" i="8"/>
  <c r="AA361" i="8"/>
  <c r="AA360" i="8"/>
  <c r="AA359" i="8"/>
  <c r="AA358" i="8"/>
  <c r="AA357" i="8"/>
  <c r="AA356" i="8"/>
  <c r="AA355" i="8"/>
  <c r="AA354" i="8"/>
  <c r="AA353" i="8"/>
  <c r="AA352" i="8"/>
  <c r="AA351" i="8"/>
  <c r="AA350" i="8"/>
  <c r="AA349" i="8"/>
  <c r="AA348" i="8"/>
  <c r="AA347" i="8"/>
  <c r="AA346" i="8"/>
  <c r="AA345" i="8"/>
  <c r="AA344" i="8"/>
  <c r="AA343" i="8"/>
  <c r="AA342" i="8"/>
  <c r="AA341" i="8"/>
  <c r="AA340" i="8"/>
  <c r="AA339" i="8"/>
  <c r="AA338" i="8"/>
  <c r="AA337" i="8"/>
  <c r="AA336" i="8"/>
  <c r="AA335" i="8"/>
  <c r="AA334" i="8"/>
  <c r="AA333" i="8"/>
  <c r="AA330" i="8"/>
  <c r="Z335" i="8"/>
  <c r="Z334" i="8"/>
  <c r="Z331" i="8"/>
  <c r="Z341" i="8"/>
  <c r="Z354" i="8"/>
  <c r="Z353" i="8"/>
  <c r="Z351" i="8"/>
  <c r="Z350" i="8"/>
  <c r="Z349" i="8"/>
  <c r="Z365" i="8"/>
  <c r="Z364" i="8"/>
  <c r="Z361" i="8"/>
  <c r="Z360" i="8"/>
  <c r="Z369" i="8"/>
  <c r="Z368" i="8"/>
  <c r="Z371" i="8"/>
  <c r="Z377" i="8"/>
  <c r="Z375" i="8"/>
  <c r="Z374" i="8"/>
  <c r="Z380" i="8"/>
  <c r="Z379" i="8"/>
  <c r="Z386" i="8"/>
  <c r="Z388" i="8"/>
  <c r="Z390" i="8"/>
  <c r="Z397" i="8"/>
  <c r="Z408" i="8"/>
  <c r="Z422" i="8"/>
  <c r="Z436" i="8"/>
  <c r="Z439" i="8"/>
  <c r="Y450" i="8"/>
  <c r="Y449" i="8"/>
  <c r="Y448" i="8"/>
  <c r="Y447" i="8"/>
  <c r="Y446" i="8"/>
  <c r="Y445" i="8"/>
  <c r="Y444" i="8"/>
  <c r="Y443" i="8"/>
  <c r="Y442" i="8"/>
  <c r="Y441" i="8"/>
  <c r="Y439" i="8"/>
  <c r="Y437" i="8"/>
  <c r="Y436" i="8"/>
  <c r="Y431" i="8"/>
  <c r="Y430" i="8"/>
  <c r="Y429" i="8"/>
  <c r="Y428" i="8"/>
  <c r="Y427" i="8"/>
  <c r="Y426" i="8"/>
  <c r="Y425" i="8"/>
  <c r="Y424" i="8"/>
  <c r="Y423" i="8"/>
  <c r="Y422" i="8"/>
  <c r="Y421" i="8"/>
  <c r="Y420" i="8"/>
  <c r="Y419" i="8"/>
  <c r="Y418" i="8"/>
  <c r="Y412" i="8"/>
  <c r="Y409" i="8"/>
  <c r="Y408" i="8"/>
  <c r="Y407" i="8"/>
  <c r="Y406" i="8"/>
  <c r="Y404" i="8"/>
  <c r="Y403" i="8"/>
  <c r="Y402" i="8"/>
  <c r="Y401" i="8"/>
  <c r="Y400" i="8"/>
  <c r="Y398" i="8"/>
  <c r="Y395" i="8"/>
  <c r="Y394" i="8"/>
  <c r="Y392" i="8"/>
  <c r="Y391" i="8"/>
  <c r="Y390" i="8"/>
  <c r="Y389" i="8"/>
  <c r="Y388" i="8"/>
  <c r="Y387" i="8"/>
  <c r="Y386" i="8"/>
  <c r="Y385" i="8"/>
  <c r="Y384" i="8"/>
  <c r="Y383" i="8"/>
  <c r="Y382" i="8"/>
  <c r="Y381" i="8"/>
  <c r="Y380" i="8"/>
  <c r="Y379" i="8"/>
  <c r="Y377" i="8"/>
  <c r="Y376" i="8"/>
  <c r="Y375" i="8"/>
  <c r="Y374" i="8"/>
  <c r="Y373" i="8"/>
  <c r="Y372" i="8"/>
  <c r="Y371" i="8"/>
  <c r="Y369" i="8"/>
  <c r="Y368" i="8"/>
  <c r="Y367" i="8"/>
  <c r="Y365" i="8"/>
  <c r="Y364" i="8"/>
  <c r="Y363" i="8"/>
  <c r="Y362" i="8"/>
  <c r="Y361" i="8"/>
  <c r="Y360" i="8"/>
  <c r="Y359" i="8"/>
  <c r="Y357" i="8"/>
  <c r="Y355" i="8"/>
  <c r="Y354" i="8"/>
  <c r="Y353" i="8"/>
  <c r="Y352" i="8"/>
  <c r="Y351" i="8"/>
  <c r="Y350" i="8"/>
  <c r="Y349" i="8"/>
  <c r="Y348" i="8"/>
  <c r="Y347" i="8"/>
  <c r="Y346" i="8"/>
  <c r="Y345" i="8"/>
  <c r="Y344" i="8"/>
  <c r="Y343" i="8"/>
  <c r="Y342" i="8"/>
  <c r="Y341" i="8"/>
  <c r="Y338" i="8"/>
  <c r="Y337" i="8"/>
  <c r="Y336" i="8"/>
  <c r="Y335" i="8"/>
  <c r="Y334" i="8"/>
  <c r="Y333" i="8"/>
  <c r="Y332" i="8"/>
  <c r="Y331" i="8"/>
  <c r="Y330" i="8"/>
  <c r="X450" i="8"/>
  <c r="X449" i="8"/>
  <c r="X448" i="8"/>
  <c r="X447" i="8"/>
  <c r="X446" i="8"/>
  <c r="X445" i="8"/>
  <c r="X444" i="8"/>
  <c r="X443" i="8"/>
  <c r="X442" i="8"/>
  <c r="X441" i="8"/>
  <c r="X440" i="8"/>
  <c r="X439" i="8"/>
  <c r="X438" i="8"/>
  <c r="X437" i="8"/>
  <c r="X436" i="8"/>
  <c r="X435" i="8"/>
  <c r="X434" i="8"/>
  <c r="X433" i="8"/>
  <c r="X432" i="8"/>
  <c r="X431" i="8"/>
  <c r="X430" i="8"/>
  <c r="X429" i="8"/>
  <c r="X428" i="8"/>
  <c r="X427" i="8"/>
  <c r="X426" i="8"/>
  <c r="X425" i="8"/>
  <c r="X424" i="8"/>
  <c r="X423" i="8"/>
  <c r="X422" i="8"/>
  <c r="X421" i="8"/>
  <c r="X420" i="8"/>
  <c r="X419" i="8"/>
  <c r="X418" i="8"/>
  <c r="X417" i="8"/>
  <c r="X416" i="8"/>
  <c r="X415" i="8"/>
  <c r="X414" i="8"/>
  <c r="X413" i="8"/>
  <c r="X412" i="8"/>
  <c r="X411" i="8"/>
  <c r="X410" i="8"/>
  <c r="X409" i="8"/>
  <c r="X408" i="8"/>
  <c r="X407" i="8"/>
  <c r="X406" i="8"/>
  <c r="X405" i="8"/>
  <c r="X404" i="8"/>
  <c r="X403" i="8"/>
  <c r="X402" i="8"/>
  <c r="X401" i="8"/>
  <c r="X400" i="8"/>
  <c r="X399" i="8"/>
  <c r="X398" i="8"/>
  <c r="X397" i="8"/>
  <c r="X396" i="8"/>
  <c r="X395" i="8"/>
  <c r="X394" i="8"/>
  <c r="X393" i="8"/>
  <c r="X388" i="8"/>
  <c r="X387" i="8"/>
  <c r="X386" i="8"/>
  <c r="X384" i="8"/>
  <c r="X383" i="8"/>
  <c r="X382" i="8"/>
  <c r="X381" i="8"/>
  <c r="X379" i="8"/>
  <c r="X377" i="8"/>
  <c r="X376" i="8"/>
  <c r="X374" i="8"/>
  <c r="X373" i="8"/>
  <c r="X371" i="8"/>
  <c r="X369" i="8"/>
  <c r="X367" i="8"/>
  <c r="X365" i="8"/>
  <c r="X364" i="8"/>
  <c r="X363" i="8"/>
  <c r="X362" i="8"/>
  <c r="X361" i="8"/>
  <c r="X359" i="8"/>
  <c r="X357" i="8"/>
  <c r="X355" i="8"/>
  <c r="X350" i="8"/>
  <c r="X348" i="8"/>
  <c r="X347" i="8"/>
  <c r="X346" i="8"/>
  <c r="X345" i="8"/>
  <c r="X344" i="8"/>
  <c r="X341" i="8"/>
  <c r="X338" i="8"/>
  <c r="X337" i="8"/>
  <c r="X336" i="8"/>
  <c r="X334" i="8"/>
  <c r="X332" i="8"/>
  <c r="X331" i="8"/>
  <c r="X330" i="8"/>
  <c r="W341" i="8"/>
  <c r="W336" i="8"/>
  <c r="W334" i="8"/>
  <c r="W350" i="8"/>
  <c r="W348" i="8"/>
  <c r="W347" i="8"/>
  <c r="W364" i="8"/>
  <c r="W363" i="8"/>
  <c r="W362" i="8"/>
  <c r="W361" i="8"/>
  <c r="W359" i="8"/>
  <c r="W358" i="8"/>
  <c r="W357" i="8"/>
  <c r="W356" i="8"/>
  <c r="W355" i="8"/>
  <c r="W371" i="8"/>
  <c r="W370" i="8"/>
  <c r="W369" i="8"/>
  <c r="W367" i="8"/>
  <c r="W366" i="8"/>
  <c r="W376" i="8"/>
  <c r="W374" i="8"/>
  <c r="W379" i="8"/>
  <c r="W378" i="8"/>
  <c r="W383" i="8"/>
  <c r="W382" i="8"/>
  <c r="W387" i="8"/>
  <c r="W386" i="8"/>
  <c r="W401" i="8"/>
  <c r="W400" i="8"/>
  <c r="W399" i="8"/>
  <c r="W398" i="8"/>
  <c r="W404" i="8"/>
  <c r="W403" i="8"/>
  <c r="W409" i="8"/>
  <c r="W408" i="8"/>
  <c r="W407" i="8"/>
  <c r="W406" i="8"/>
  <c r="W414" i="8"/>
  <c r="W413" i="8"/>
  <c r="W412" i="8"/>
  <c r="W416" i="8"/>
  <c r="W421" i="8"/>
  <c r="W420" i="8"/>
  <c r="W419" i="8"/>
  <c r="W418" i="8"/>
  <c r="W431" i="8"/>
  <c r="W435" i="8"/>
  <c r="V452" i="8"/>
  <c r="V451" i="8"/>
  <c r="V450" i="8"/>
  <c r="V449" i="8"/>
  <c r="V448" i="8"/>
  <c r="V447" i="8"/>
  <c r="V446" i="8"/>
  <c r="V445" i="8"/>
  <c r="V444" i="8"/>
  <c r="V443" i="8"/>
  <c r="V442" i="8"/>
  <c r="V441" i="8"/>
  <c r="V440" i="8"/>
  <c r="V439" i="8"/>
  <c r="V438" i="8"/>
  <c r="V437" i="8"/>
  <c r="V436" i="8"/>
  <c r="V435" i="8"/>
  <c r="V434" i="8"/>
  <c r="V433" i="8"/>
  <c r="V432" i="8"/>
  <c r="V431" i="8"/>
  <c r="V430" i="8"/>
  <c r="V429" i="8"/>
  <c r="V428" i="8"/>
  <c r="V427" i="8"/>
  <c r="V426" i="8"/>
  <c r="V425" i="8"/>
  <c r="V424" i="8"/>
  <c r="V423" i="8"/>
  <c r="V422" i="8"/>
  <c r="V421" i="8"/>
  <c r="V420" i="8"/>
  <c r="V419" i="8"/>
  <c r="V418" i="8"/>
  <c r="V417" i="8"/>
  <c r="V416" i="8"/>
  <c r="V415" i="8"/>
  <c r="V414" i="8"/>
  <c r="V413" i="8"/>
  <c r="V412" i="8"/>
  <c r="V411" i="8"/>
  <c r="V410" i="8"/>
  <c r="V409" i="8"/>
  <c r="V408" i="8"/>
  <c r="V407" i="8"/>
  <c r="V406" i="8"/>
  <c r="V405" i="8"/>
  <c r="V404" i="8"/>
  <c r="V403" i="8"/>
  <c r="V402" i="8"/>
  <c r="V401" i="8"/>
  <c r="V400" i="8"/>
  <c r="V399" i="8"/>
  <c r="V398" i="8"/>
  <c r="V397" i="8"/>
  <c r="V396" i="8"/>
  <c r="V395" i="8"/>
  <c r="V394" i="8"/>
  <c r="V393" i="8"/>
  <c r="V392" i="8"/>
  <c r="V391" i="8"/>
  <c r="V390" i="8"/>
  <c r="V389" i="8"/>
  <c r="V388" i="8"/>
  <c r="V387" i="8"/>
  <c r="V386" i="8"/>
  <c r="V385" i="8"/>
  <c r="V384" i="8"/>
  <c r="V383" i="8"/>
  <c r="V382" i="8"/>
  <c r="V381" i="8"/>
  <c r="V366" i="8"/>
  <c r="V365" i="8"/>
  <c r="V364" i="8"/>
  <c r="V363" i="8"/>
  <c r="V362" i="8"/>
  <c r="V361" i="8"/>
  <c r="V360" i="8"/>
  <c r="V359" i="8"/>
  <c r="V358" i="8"/>
  <c r="V357" i="8"/>
  <c r="V356" i="8"/>
  <c r="V355" i="8"/>
  <c r="V354" i="8"/>
  <c r="V353" i="8"/>
  <c r="V352" i="8"/>
  <c r="V351" i="8"/>
  <c r="V350" i="8"/>
  <c r="V349" i="8"/>
  <c r="V348" i="8"/>
  <c r="V347" i="8"/>
  <c r="V346" i="8"/>
  <c r="V345" i="8"/>
  <c r="V344" i="8"/>
  <c r="V343" i="8"/>
  <c r="V342" i="8"/>
  <c r="V341" i="8"/>
  <c r="V340" i="8"/>
  <c r="V339" i="8"/>
  <c r="V338" i="8"/>
  <c r="V337" i="8"/>
  <c r="V336" i="8"/>
  <c r="V335" i="8"/>
  <c r="V334" i="8"/>
  <c r="V333" i="8"/>
  <c r="V332" i="8"/>
  <c r="V330" i="8"/>
  <c r="U452" i="8"/>
  <c r="U451" i="8"/>
  <c r="U450" i="8"/>
  <c r="U449" i="8"/>
  <c r="U448" i="8"/>
  <c r="U447" i="8"/>
  <c r="U446" i="8"/>
  <c r="U445" i="8"/>
  <c r="U444" i="8"/>
  <c r="U443" i="8"/>
  <c r="U442" i="8"/>
  <c r="U441" i="8"/>
  <c r="U440" i="8"/>
  <c r="U439" i="8"/>
  <c r="U438" i="8"/>
  <c r="U437" i="8"/>
  <c r="U436" i="8"/>
  <c r="U435" i="8"/>
  <c r="U434" i="8"/>
  <c r="U433" i="8"/>
  <c r="U432" i="8"/>
  <c r="U431" i="8"/>
  <c r="U430" i="8"/>
  <c r="U429" i="8"/>
  <c r="U428" i="8"/>
  <c r="U427" i="8"/>
  <c r="U426" i="8"/>
  <c r="U425" i="8"/>
  <c r="U424" i="8"/>
  <c r="U423" i="8"/>
  <c r="U422" i="8"/>
  <c r="U421" i="8"/>
  <c r="U420" i="8"/>
  <c r="U419" i="8"/>
  <c r="U418" i="8"/>
  <c r="U417" i="8"/>
  <c r="U416" i="8"/>
  <c r="U415" i="8"/>
  <c r="U414" i="8"/>
  <c r="U413" i="8"/>
  <c r="U412" i="8"/>
  <c r="U411" i="8"/>
  <c r="U410" i="8"/>
  <c r="U409" i="8"/>
  <c r="U408" i="8"/>
  <c r="U407" i="8"/>
  <c r="U406" i="8"/>
  <c r="U405" i="8"/>
  <c r="U404" i="8"/>
  <c r="U403" i="8"/>
  <c r="U402" i="8"/>
  <c r="U401" i="8"/>
  <c r="U400" i="8"/>
  <c r="U399" i="8"/>
  <c r="U398" i="8"/>
  <c r="U397" i="8"/>
  <c r="U396" i="8"/>
  <c r="U395" i="8"/>
  <c r="U394" i="8"/>
  <c r="U393" i="8"/>
  <c r="U391" i="8"/>
  <c r="U390" i="8"/>
  <c r="U389" i="8"/>
  <c r="U388" i="8"/>
  <c r="U387" i="8"/>
  <c r="U386" i="8"/>
  <c r="U385" i="8"/>
  <c r="U384" i="8"/>
  <c r="U383" i="8"/>
  <c r="U382" i="8"/>
  <c r="U381" i="8"/>
  <c r="U380" i="8"/>
  <c r="U379" i="8"/>
  <c r="U378" i="8"/>
  <c r="U377" i="8"/>
  <c r="U376" i="8"/>
  <c r="U375" i="8"/>
  <c r="U374" i="8"/>
  <c r="U373" i="8"/>
  <c r="U372" i="8"/>
  <c r="U371" i="8"/>
  <c r="U370" i="8"/>
  <c r="U369" i="8"/>
  <c r="U368" i="8"/>
  <c r="U367" i="8"/>
  <c r="U366" i="8"/>
  <c r="V380" i="8"/>
  <c r="V379" i="8"/>
  <c r="V378" i="8"/>
  <c r="V377" i="8"/>
  <c r="V376" i="8"/>
  <c r="V375" i="8"/>
  <c r="V374" i="8"/>
  <c r="V373" i="8"/>
  <c r="V372" i="8"/>
  <c r="V371" i="8"/>
  <c r="V370" i="8"/>
  <c r="V369" i="8"/>
  <c r="V368" i="8"/>
  <c r="V367" i="8"/>
  <c r="U364" i="8"/>
  <c r="U365" i="8"/>
  <c r="U363" i="8"/>
  <c r="U362" i="8"/>
  <c r="U361" i="8"/>
  <c r="U360" i="8"/>
  <c r="U359" i="8"/>
  <c r="U358" i="8"/>
  <c r="U357" i="8"/>
  <c r="U356" i="8"/>
  <c r="U354" i="8"/>
  <c r="U353" i="8"/>
  <c r="U352" i="8"/>
  <c r="U351" i="8"/>
  <c r="U350" i="8"/>
  <c r="U349" i="8"/>
  <c r="U348" i="8"/>
  <c r="U347" i="8"/>
  <c r="U346" i="8"/>
  <c r="U345" i="8"/>
  <c r="U344" i="8"/>
  <c r="U343" i="8"/>
  <c r="U342" i="8"/>
  <c r="U341" i="8"/>
  <c r="U340" i="8"/>
  <c r="U339" i="8"/>
  <c r="U338" i="8"/>
  <c r="U337" i="8"/>
  <c r="U336" i="8"/>
  <c r="U335" i="8"/>
  <c r="U334" i="8"/>
  <c r="U333" i="8"/>
  <c r="U330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S452" i="8"/>
  <c r="S451" i="8"/>
  <c r="S450" i="8"/>
  <c r="S449" i="8"/>
  <c r="S448" i="8"/>
  <c r="S447" i="8"/>
  <c r="S446" i="8"/>
  <c r="S445" i="8"/>
  <c r="S444" i="8"/>
  <c r="S443" i="8"/>
  <c r="S442" i="8"/>
  <c r="S441" i="8"/>
  <c r="S440" i="8"/>
  <c r="S439" i="8"/>
  <c r="S438" i="8"/>
  <c r="S437" i="8"/>
  <c r="S436" i="8"/>
  <c r="S435" i="8"/>
  <c r="S434" i="8"/>
  <c r="S433" i="8"/>
  <c r="S432" i="8"/>
  <c r="S431" i="8"/>
  <c r="S430" i="8"/>
  <c r="S429" i="8"/>
  <c r="S428" i="8"/>
  <c r="S427" i="8"/>
  <c r="S426" i="8"/>
  <c r="S425" i="8"/>
  <c r="S424" i="8"/>
  <c r="S423" i="8"/>
  <c r="S422" i="8"/>
  <c r="S421" i="8"/>
  <c r="S420" i="8"/>
  <c r="S419" i="8"/>
  <c r="S418" i="8"/>
  <c r="S417" i="8"/>
  <c r="S416" i="8"/>
  <c r="S415" i="8"/>
  <c r="S414" i="8"/>
  <c r="S413" i="8"/>
  <c r="S412" i="8"/>
  <c r="S411" i="8"/>
  <c r="S410" i="8"/>
  <c r="S409" i="8"/>
  <c r="S408" i="8"/>
  <c r="S407" i="8"/>
  <c r="S406" i="8"/>
  <c r="S405" i="8"/>
  <c r="S404" i="8"/>
  <c r="S403" i="8"/>
  <c r="S402" i="8"/>
  <c r="S401" i="8"/>
  <c r="S400" i="8"/>
  <c r="S399" i="8"/>
  <c r="S398" i="8"/>
  <c r="S397" i="8"/>
  <c r="S396" i="8"/>
  <c r="S395" i="8"/>
  <c r="S394" i="8"/>
  <c r="S393" i="8"/>
  <c r="S392" i="8"/>
  <c r="S391" i="8"/>
  <c r="S390" i="8"/>
  <c r="S389" i="8"/>
  <c r="S388" i="8"/>
  <c r="S387" i="8"/>
  <c r="S386" i="8"/>
  <c r="S385" i="8"/>
  <c r="S384" i="8"/>
  <c r="S383" i="8"/>
  <c r="S382" i="8"/>
  <c r="S381" i="8"/>
  <c r="S380" i="8"/>
  <c r="S379" i="8"/>
  <c r="S378" i="8"/>
  <c r="S377" i="8"/>
  <c r="S376" i="8"/>
  <c r="S375" i="8"/>
  <c r="S374" i="8"/>
  <c r="S373" i="8"/>
  <c r="S372" i="8"/>
  <c r="S371" i="8"/>
  <c r="S370" i="8"/>
  <c r="S369" i="8"/>
  <c r="S368" i="8"/>
  <c r="S367" i="8"/>
  <c r="S366" i="8"/>
  <c r="S365" i="8"/>
  <c r="S364" i="8"/>
  <c r="S363" i="8"/>
  <c r="S362" i="8"/>
  <c r="S361" i="8"/>
  <c r="S360" i="8"/>
  <c r="S359" i="8"/>
  <c r="S358" i="8"/>
  <c r="S357" i="8"/>
  <c r="S356" i="8"/>
  <c r="S355" i="8"/>
  <c r="S354" i="8"/>
  <c r="S353" i="8"/>
  <c r="S352" i="8"/>
  <c r="S351" i="8"/>
  <c r="S350" i="8"/>
  <c r="S349" i="8"/>
  <c r="S348" i="8"/>
  <c r="S347" i="8"/>
  <c r="S346" i="8"/>
  <c r="S345" i="8"/>
  <c r="S344" i="8"/>
  <c r="S343" i="8"/>
  <c r="S342" i="8"/>
  <c r="S341" i="8"/>
  <c r="S340" i="8"/>
  <c r="S339" i="8"/>
  <c r="S338" i="8"/>
  <c r="S337" i="8"/>
  <c r="S336" i="8"/>
  <c r="S335" i="8"/>
  <c r="S334" i="8"/>
  <c r="S333" i="8"/>
  <c r="S332" i="8"/>
  <c r="S331" i="8"/>
  <c r="S330" i="8"/>
  <c r="R452" i="8"/>
  <c r="R451" i="8"/>
  <c r="R450" i="8"/>
  <c r="R449" i="8"/>
  <c r="R448" i="8"/>
  <c r="R447" i="8"/>
  <c r="R446" i="8"/>
  <c r="R445" i="8"/>
  <c r="R444" i="8"/>
  <c r="R443" i="8"/>
  <c r="R442" i="8"/>
  <c r="R441" i="8"/>
  <c r="R440" i="8"/>
  <c r="R439" i="8"/>
  <c r="R438" i="8"/>
  <c r="R437" i="8"/>
  <c r="R436" i="8"/>
  <c r="R435" i="8"/>
  <c r="R434" i="8"/>
  <c r="R433" i="8"/>
  <c r="R432" i="8"/>
  <c r="R431" i="8"/>
  <c r="R430" i="8"/>
  <c r="R429" i="8"/>
  <c r="R428" i="8"/>
  <c r="R427" i="8"/>
  <c r="R426" i="8"/>
  <c r="R425" i="8"/>
  <c r="R424" i="8"/>
  <c r="R423" i="8"/>
  <c r="R422" i="8"/>
  <c r="R421" i="8"/>
  <c r="R420" i="8"/>
  <c r="R419" i="8"/>
  <c r="R418" i="8"/>
  <c r="R417" i="8"/>
  <c r="R416" i="8"/>
  <c r="R415" i="8"/>
  <c r="R414" i="8"/>
  <c r="R413" i="8"/>
  <c r="R412" i="8"/>
  <c r="R411" i="8"/>
  <c r="R410" i="8"/>
  <c r="R409" i="8"/>
  <c r="R408" i="8"/>
  <c r="R407" i="8"/>
  <c r="R406" i="8"/>
  <c r="R405" i="8"/>
  <c r="R404" i="8"/>
  <c r="R403" i="8"/>
  <c r="R402" i="8"/>
  <c r="R401" i="8"/>
  <c r="R400" i="8"/>
  <c r="R399" i="8"/>
  <c r="R398" i="8"/>
  <c r="R397" i="8"/>
  <c r="R396" i="8"/>
  <c r="R395" i="8"/>
  <c r="R394" i="8"/>
  <c r="R393" i="8"/>
  <c r="R392" i="8"/>
  <c r="R391" i="8"/>
  <c r="R390" i="8"/>
  <c r="R389" i="8"/>
  <c r="R388" i="8"/>
  <c r="R387" i="8"/>
  <c r="R386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R370" i="8"/>
  <c r="R369" i="8"/>
  <c r="R368" i="8"/>
  <c r="R367" i="8"/>
  <c r="R366" i="8"/>
  <c r="R365" i="8"/>
  <c r="R364" i="8"/>
  <c r="R363" i="8"/>
  <c r="R362" i="8"/>
  <c r="R361" i="8"/>
  <c r="R360" i="8"/>
  <c r="R359" i="8"/>
  <c r="R358" i="8"/>
  <c r="R357" i="8"/>
  <c r="R356" i="8"/>
  <c r="R355" i="8"/>
  <c r="R354" i="8"/>
  <c r="R353" i="8"/>
  <c r="R352" i="8"/>
  <c r="R351" i="8"/>
  <c r="R350" i="8"/>
  <c r="R349" i="8"/>
  <c r="R348" i="8"/>
  <c r="R347" i="8"/>
  <c r="R346" i="8"/>
  <c r="R345" i="8"/>
  <c r="R344" i="8"/>
  <c r="R343" i="8"/>
  <c r="R342" i="8"/>
  <c r="R341" i="8"/>
  <c r="R340" i="8"/>
  <c r="R339" i="8"/>
  <c r="R338" i="8"/>
  <c r="R337" i="8"/>
  <c r="R336" i="8"/>
  <c r="R335" i="8"/>
  <c r="R334" i="8"/>
  <c r="R333" i="8"/>
  <c r="R332" i="8"/>
  <c r="R330" i="8"/>
  <c r="Q372" i="8"/>
  <c r="Q452" i="8"/>
  <c r="Q451" i="8"/>
  <c r="Q450" i="8"/>
  <c r="Q449" i="8"/>
  <c r="Q448" i="8"/>
  <c r="Q447" i="8"/>
  <c r="Q446" i="8"/>
  <c r="Q445" i="8"/>
  <c r="Q444" i="8"/>
  <c r="Q443" i="8"/>
  <c r="Q442" i="8"/>
  <c r="Q441" i="8"/>
  <c r="Q440" i="8"/>
  <c r="Q439" i="8"/>
  <c r="Q438" i="8"/>
  <c r="Q437" i="8"/>
  <c r="Q436" i="8"/>
  <c r="Q435" i="8"/>
  <c r="Q434" i="8"/>
  <c r="Q433" i="8"/>
  <c r="Q432" i="8"/>
  <c r="Q431" i="8"/>
  <c r="Q430" i="8"/>
  <c r="Q429" i="8"/>
  <c r="Q428" i="8"/>
  <c r="Q427" i="8"/>
  <c r="Q426" i="8"/>
  <c r="Q425" i="8"/>
  <c r="Q424" i="8"/>
  <c r="Q423" i="8"/>
  <c r="Q422" i="8"/>
  <c r="Q421" i="8"/>
  <c r="Q420" i="8"/>
  <c r="Q419" i="8"/>
  <c r="Q418" i="8"/>
  <c r="Q417" i="8"/>
  <c r="Q416" i="8"/>
  <c r="Q415" i="8"/>
  <c r="Q414" i="8"/>
  <c r="Q413" i="8"/>
  <c r="Q412" i="8"/>
  <c r="Q411" i="8"/>
  <c r="Q410" i="8"/>
  <c r="Q409" i="8"/>
  <c r="Q408" i="8"/>
  <c r="Q407" i="8"/>
  <c r="Q406" i="8"/>
  <c r="Q405" i="8"/>
  <c r="Q404" i="8"/>
  <c r="Q403" i="8"/>
  <c r="Q402" i="8"/>
  <c r="Q401" i="8"/>
  <c r="Q400" i="8"/>
  <c r="Q399" i="8"/>
  <c r="Q398" i="8"/>
  <c r="Q397" i="8"/>
  <c r="Q396" i="8"/>
  <c r="Q395" i="8"/>
  <c r="Q394" i="8"/>
  <c r="Q393" i="8"/>
  <c r="Q392" i="8"/>
  <c r="Q391" i="8"/>
  <c r="Q390" i="8"/>
  <c r="Q389" i="8"/>
  <c r="Q388" i="8"/>
  <c r="Q387" i="8"/>
  <c r="Q386" i="8"/>
  <c r="Q385" i="8"/>
  <c r="Q384" i="8"/>
  <c r="Q383" i="8"/>
  <c r="Q382" i="8"/>
  <c r="Q381" i="8"/>
  <c r="Q380" i="8"/>
  <c r="Q379" i="8"/>
  <c r="Q378" i="8"/>
  <c r="Q377" i="8"/>
  <c r="Q376" i="8"/>
  <c r="Q375" i="8"/>
  <c r="Q374" i="8"/>
  <c r="Q373" i="8"/>
  <c r="Q371" i="8"/>
  <c r="Q370" i="8"/>
  <c r="Q369" i="8"/>
  <c r="Q368" i="8"/>
  <c r="Q367" i="8"/>
  <c r="Q366" i="8"/>
  <c r="Q365" i="8"/>
  <c r="Q364" i="8"/>
  <c r="Q363" i="8"/>
  <c r="Q362" i="8"/>
  <c r="Q361" i="8"/>
  <c r="Q360" i="8"/>
  <c r="Q359" i="8"/>
  <c r="Q358" i="8"/>
  <c r="Q357" i="8"/>
  <c r="Q356" i="8"/>
  <c r="Q355" i="8"/>
  <c r="Q354" i="8"/>
  <c r="Q353" i="8"/>
  <c r="Q352" i="8"/>
  <c r="Q351" i="8"/>
  <c r="Q350" i="8"/>
  <c r="Q349" i="8"/>
  <c r="Q348" i="8"/>
  <c r="Q347" i="8"/>
  <c r="Q346" i="8"/>
  <c r="Q345" i="8"/>
  <c r="Q344" i="8"/>
  <c r="Q343" i="8"/>
  <c r="Q342" i="8"/>
  <c r="Q341" i="8"/>
  <c r="Q340" i="8"/>
  <c r="Q339" i="8"/>
  <c r="Q338" i="8"/>
  <c r="Q337" i="8"/>
  <c r="Q336" i="8"/>
  <c r="Q335" i="8"/>
  <c r="Q334" i="8"/>
  <c r="Q333" i="8"/>
  <c r="Q332" i="8"/>
  <c r="Q331" i="8"/>
  <c r="Q330" i="8"/>
  <c r="P452" i="8"/>
  <c r="P450" i="8"/>
  <c r="P449" i="8"/>
  <c r="P448" i="8"/>
  <c r="P447" i="8"/>
  <c r="P446" i="8"/>
  <c r="P445" i="8"/>
  <c r="P444" i="8"/>
  <c r="P442" i="8"/>
  <c r="P441" i="8"/>
  <c r="P435" i="8"/>
  <c r="P432" i="8"/>
  <c r="P431" i="8"/>
  <c r="P430" i="8"/>
  <c r="P429" i="8"/>
  <c r="P428" i="8"/>
  <c r="P427" i="8"/>
  <c r="P426" i="8"/>
  <c r="P425" i="8"/>
  <c r="P424" i="8"/>
  <c r="P423" i="8"/>
  <c r="P422" i="8"/>
  <c r="P421" i="8"/>
  <c r="P419" i="8"/>
  <c r="P416" i="8"/>
  <c r="P414" i="8"/>
  <c r="P413" i="8"/>
  <c r="P412" i="8"/>
  <c r="P409" i="8"/>
  <c r="P408" i="8"/>
  <c r="P407" i="8"/>
  <c r="P406" i="8"/>
  <c r="P404" i="8"/>
  <c r="P402" i="8"/>
  <c r="P401" i="8"/>
  <c r="P400" i="8"/>
  <c r="P399" i="8"/>
  <c r="P398" i="8"/>
  <c r="P397" i="8"/>
  <c r="P396" i="8"/>
  <c r="P395" i="8"/>
  <c r="P394" i="8"/>
  <c r="P393" i="8"/>
  <c r="P392" i="8"/>
  <c r="P391" i="8"/>
  <c r="P390" i="8"/>
  <c r="P384" i="8"/>
  <c r="P383" i="8"/>
  <c r="P377" i="8"/>
  <c r="P376" i="8"/>
  <c r="P373" i="8"/>
  <c r="P372" i="8"/>
  <c r="P369" i="8"/>
  <c r="P365" i="8"/>
  <c r="P364" i="8"/>
  <c r="P363" i="8"/>
  <c r="P362" i="8"/>
  <c r="P350" i="8"/>
  <c r="P349" i="8"/>
  <c r="P347" i="8"/>
  <c r="P345" i="8"/>
  <c r="P344" i="8"/>
  <c r="P341" i="8"/>
  <c r="P340" i="8"/>
  <c r="P339" i="8"/>
  <c r="P338" i="8"/>
  <c r="P337" i="8"/>
  <c r="P333" i="8"/>
  <c r="P332" i="8"/>
  <c r="P331" i="8"/>
  <c r="P330" i="8"/>
  <c r="O452" i="8"/>
  <c r="O451" i="8"/>
  <c r="O450" i="8"/>
  <c r="O449" i="8"/>
  <c r="O448" i="8"/>
  <c r="O447" i="8"/>
  <c r="O446" i="8"/>
  <c r="O445" i="8"/>
  <c r="O444" i="8"/>
  <c r="O443" i="8"/>
  <c r="O442" i="8"/>
  <c r="O441" i="8"/>
  <c r="O440" i="8"/>
  <c r="O439" i="8"/>
  <c r="O438" i="8"/>
  <c r="O437" i="8"/>
  <c r="O436" i="8"/>
  <c r="O435" i="8"/>
  <c r="O434" i="8"/>
  <c r="O433" i="8"/>
  <c r="O432" i="8"/>
  <c r="O431" i="8"/>
  <c r="O430" i="8"/>
  <c r="O429" i="8"/>
  <c r="O428" i="8"/>
  <c r="O427" i="8"/>
  <c r="O426" i="8"/>
  <c r="O425" i="8"/>
  <c r="O424" i="8"/>
  <c r="O423" i="8"/>
  <c r="O422" i="8"/>
  <c r="O421" i="8"/>
  <c r="O420" i="8"/>
  <c r="O419" i="8"/>
  <c r="O418" i="8"/>
  <c r="O417" i="8"/>
  <c r="O416" i="8"/>
  <c r="O415" i="8"/>
  <c r="O414" i="8"/>
  <c r="O413" i="8"/>
  <c r="O412" i="8"/>
  <c r="O411" i="8"/>
  <c r="O410" i="8"/>
  <c r="O409" i="8"/>
  <c r="O408" i="8"/>
  <c r="O407" i="8"/>
  <c r="O406" i="8"/>
  <c r="O405" i="8"/>
  <c r="O404" i="8"/>
  <c r="O403" i="8"/>
  <c r="O402" i="8"/>
  <c r="O401" i="8"/>
  <c r="O400" i="8"/>
  <c r="O399" i="8"/>
  <c r="O398" i="8"/>
  <c r="O397" i="8"/>
  <c r="O396" i="8"/>
  <c r="O395" i="8"/>
  <c r="O394" i="8"/>
  <c r="O393" i="8"/>
  <c r="O392" i="8"/>
  <c r="O391" i="8"/>
  <c r="O390" i="8"/>
  <c r="O389" i="8"/>
  <c r="O388" i="8"/>
  <c r="O387" i="8"/>
  <c r="O386" i="8"/>
  <c r="O385" i="8"/>
  <c r="O384" i="8"/>
  <c r="O383" i="8"/>
  <c r="O382" i="8"/>
  <c r="O381" i="8"/>
  <c r="O380" i="8"/>
  <c r="O379" i="8"/>
  <c r="O378" i="8"/>
  <c r="O377" i="8"/>
  <c r="O376" i="8"/>
  <c r="O375" i="8"/>
  <c r="O374" i="8"/>
  <c r="O373" i="8"/>
  <c r="O372" i="8"/>
  <c r="O371" i="8"/>
  <c r="O370" i="8"/>
  <c r="O369" i="8"/>
  <c r="O368" i="8"/>
  <c r="O367" i="8"/>
  <c r="O366" i="8"/>
  <c r="O365" i="8"/>
  <c r="O364" i="8"/>
  <c r="O363" i="8"/>
  <c r="O362" i="8"/>
  <c r="O361" i="8"/>
  <c r="O360" i="8"/>
  <c r="O359" i="8"/>
  <c r="O358" i="8"/>
  <c r="O357" i="8"/>
  <c r="O356" i="8"/>
  <c r="O355" i="8"/>
  <c r="O354" i="8"/>
  <c r="O353" i="8"/>
  <c r="O352" i="8"/>
  <c r="O351" i="8"/>
  <c r="O350" i="8"/>
  <c r="O349" i="8"/>
  <c r="O348" i="8"/>
  <c r="O347" i="8"/>
  <c r="O346" i="8"/>
  <c r="O345" i="8"/>
  <c r="O344" i="8"/>
  <c r="O343" i="8"/>
  <c r="O342" i="8"/>
  <c r="O341" i="8"/>
  <c r="O340" i="8"/>
  <c r="O339" i="8"/>
  <c r="O338" i="8"/>
  <c r="O337" i="8"/>
  <c r="O336" i="8"/>
  <c r="O335" i="8"/>
  <c r="O334" i="8"/>
  <c r="O333" i="8"/>
  <c r="O332" i="8"/>
  <c r="O331" i="8"/>
  <c r="O330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M332" i="8"/>
  <c r="M331" i="8"/>
  <c r="M347" i="8"/>
  <c r="M397" i="8"/>
  <c r="M396" i="8"/>
  <c r="M393" i="8"/>
  <c r="M408" i="8"/>
  <c r="M448" i="8"/>
  <c r="M447" i="8"/>
  <c r="L450" i="8"/>
  <c r="L449" i="8"/>
  <c r="L448" i="8"/>
  <c r="L447" i="8"/>
  <c r="L446" i="8"/>
  <c r="L445" i="8"/>
  <c r="L431" i="8"/>
  <c r="L424" i="8"/>
  <c r="L423" i="8"/>
  <c r="L422" i="8"/>
  <c r="L408" i="8"/>
  <c r="L407" i="8"/>
  <c r="L406" i="8"/>
  <c r="L403" i="8"/>
  <c r="L402" i="8"/>
  <c r="L397" i="8"/>
  <c r="L396" i="8"/>
  <c r="L395" i="8"/>
  <c r="L394" i="8"/>
  <c r="L393" i="8"/>
  <c r="L363" i="8"/>
  <c r="L362" i="8"/>
  <c r="L347" i="8"/>
  <c r="L344" i="8"/>
  <c r="L338" i="8"/>
  <c r="L337" i="8"/>
  <c r="L332" i="8"/>
  <c r="L331" i="8"/>
  <c r="L330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0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5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5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5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C330" i="8"/>
  <c r="C450" i="8"/>
  <c r="C448" i="8"/>
  <c r="C446" i="8"/>
  <c r="C444" i="8"/>
  <c r="C440" i="8"/>
  <c r="C436" i="8"/>
  <c r="C432" i="8"/>
  <c r="C430" i="8"/>
  <c r="C428" i="8"/>
  <c r="C416" i="8"/>
  <c r="C414" i="8"/>
  <c r="C412" i="8"/>
  <c r="C410" i="8"/>
  <c r="C404" i="8"/>
  <c r="C401" i="8"/>
  <c r="C395" i="8"/>
  <c r="C393" i="8"/>
  <c r="C387" i="8"/>
  <c r="C383" i="8"/>
  <c r="C379" i="8"/>
  <c r="C375" i="8"/>
  <c r="C373" i="8"/>
  <c r="C369" i="8"/>
  <c r="C367" i="8"/>
  <c r="C365" i="8"/>
  <c r="C362" i="8"/>
  <c r="C359" i="8"/>
  <c r="C357" i="8"/>
  <c r="C355" i="8"/>
  <c r="C354" i="8"/>
  <c r="C353" i="8"/>
  <c r="C351" i="8"/>
  <c r="C345" i="8"/>
  <c r="C339" i="8"/>
  <c r="C337" i="8"/>
  <c r="C333" i="8"/>
  <c r="AB315" i="8"/>
  <c r="AA328" i="8"/>
  <c r="AA327" i="8"/>
  <c r="AA326" i="8"/>
  <c r="AA325" i="8"/>
  <c r="AA324" i="8"/>
  <c r="AA323" i="8"/>
  <c r="AA322" i="8"/>
  <c r="AA321" i="8"/>
  <c r="AA320" i="8"/>
  <c r="AA319" i="8"/>
  <c r="AA318" i="8"/>
  <c r="AA317" i="8"/>
  <c r="AA316" i="8"/>
  <c r="AA315" i="8"/>
  <c r="AA314" i="8"/>
  <c r="AA313" i="8"/>
  <c r="AA312" i="8"/>
  <c r="AA311" i="8"/>
  <c r="AA310" i="8"/>
  <c r="AA309" i="8"/>
  <c r="AA308" i="8"/>
  <c r="AA307" i="8"/>
  <c r="AA306" i="8"/>
  <c r="AA305" i="8"/>
  <c r="AA304" i="8"/>
  <c r="AA303" i="8"/>
  <c r="AA302" i="8"/>
  <c r="AA301" i="8"/>
  <c r="AA300" i="8"/>
  <c r="AA299" i="8"/>
  <c r="AA298" i="8"/>
  <c r="AA296" i="8"/>
  <c r="AA295" i="8"/>
  <c r="AA294" i="8"/>
  <c r="AA293" i="8"/>
  <c r="AA292" i="8"/>
  <c r="AA290" i="8"/>
  <c r="AA289" i="8"/>
  <c r="AA288" i="8"/>
  <c r="AA287" i="8"/>
  <c r="AA286" i="8"/>
  <c r="AA284" i="8"/>
  <c r="AA283" i="8"/>
  <c r="AA282" i="8"/>
  <c r="AA281" i="8"/>
  <c r="AA279" i="8"/>
  <c r="Z304" i="8"/>
  <c r="Z303" i="8"/>
  <c r="Y328" i="8"/>
  <c r="Y327" i="8"/>
  <c r="Y325" i="8"/>
  <c r="Y323" i="8"/>
  <c r="Y322" i="8"/>
  <c r="Y321" i="8"/>
  <c r="Y315" i="8"/>
  <c r="Y313" i="8"/>
  <c r="Y312" i="8"/>
  <c r="Y311" i="8"/>
  <c r="Y310" i="8"/>
  <c r="Y306" i="8"/>
  <c r="Y305" i="8"/>
  <c r="Y304" i="8"/>
  <c r="Y303" i="8"/>
  <c r="Y300" i="8"/>
  <c r="Y299" i="8"/>
  <c r="Y298" i="8"/>
  <c r="Y297" i="8"/>
  <c r="Y295" i="8"/>
  <c r="Y293" i="8"/>
  <c r="X293" i="8"/>
  <c r="X292" i="8"/>
  <c r="X295" i="8"/>
  <c r="X299" i="8"/>
  <c r="X298" i="8"/>
  <c r="X303" i="8"/>
  <c r="X302" i="8"/>
  <c r="X307" i="8"/>
  <c r="X306" i="8"/>
  <c r="X305" i="8"/>
  <c r="X309" i="8"/>
  <c r="X311" i="8"/>
  <c r="X314" i="8"/>
  <c r="X317" i="8"/>
  <c r="X316" i="8"/>
  <c r="X319" i="8"/>
  <c r="X321" i="8"/>
  <c r="X322" i="8"/>
  <c r="X323" i="8"/>
  <c r="X324" i="8"/>
  <c r="X325" i="8"/>
  <c r="X326" i="8"/>
  <c r="W320" i="8"/>
  <c r="W319" i="8"/>
  <c r="W317" i="8"/>
  <c r="W315" i="8"/>
  <c r="W314" i="8"/>
  <c r="W313" i="8"/>
  <c r="W312" i="8"/>
  <c r="W311" i="8"/>
  <c r="W310" i="8"/>
  <c r="W306" i="8"/>
  <c r="W305" i="8"/>
  <c r="W303" i="8"/>
  <c r="W302" i="8"/>
  <c r="W300" i="8"/>
  <c r="W298" i="8"/>
  <c r="W297" i="8"/>
  <c r="W291" i="8"/>
  <c r="W289" i="8"/>
  <c r="W288" i="8"/>
  <c r="W287" i="8"/>
  <c r="W284" i="8"/>
  <c r="W282" i="8"/>
  <c r="V328" i="8"/>
  <c r="V327" i="8"/>
  <c r="V326" i="8"/>
  <c r="V325" i="8"/>
  <c r="V324" i="8"/>
  <c r="V323" i="8"/>
  <c r="V322" i="8"/>
  <c r="V321" i="8"/>
  <c r="V320" i="8"/>
  <c r="V319" i="8"/>
  <c r="V318" i="8"/>
  <c r="V317" i="8"/>
  <c r="V316" i="8"/>
  <c r="V315" i="8"/>
  <c r="V314" i="8"/>
  <c r="V313" i="8"/>
  <c r="V312" i="8"/>
  <c r="V311" i="8"/>
  <c r="V310" i="8"/>
  <c r="V309" i="8"/>
  <c r="V308" i="8"/>
  <c r="V307" i="8"/>
  <c r="V306" i="8"/>
  <c r="V305" i="8"/>
  <c r="V304" i="8"/>
  <c r="V303" i="8"/>
  <c r="V302" i="8"/>
  <c r="V301" i="8"/>
  <c r="V300" i="8"/>
  <c r="V299" i="8"/>
  <c r="V298" i="8"/>
  <c r="V297" i="8"/>
  <c r="V296" i="8"/>
  <c r="V295" i="8"/>
  <c r="V294" i="8"/>
  <c r="V293" i="8"/>
  <c r="V292" i="8"/>
  <c r="V291" i="8"/>
  <c r="V290" i="8"/>
  <c r="V289" i="8"/>
  <c r="V288" i="8"/>
  <c r="V287" i="8"/>
  <c r="V286" i="8"/>
  <c r="V285" i="8"/>
  <c r="V284" i="8"/>
  <c r="V283" i="8"/>
  <c r="V282" i="8"/>
  <c r="V281" i="8"/>
  <c r="V280" i="8"/>
  <c r="V279" i="8"/>
  <c r="U328" i="8"/>
  <c r="U327" i="8"/>
  <c r="U326" i="8"/>
  <c r="U325" i="8"/>
  <c r="U324" i="8"/>
  <c r="U323" i="8"/>
  <c r="U322" i="8"/>
  <c r="U321" i="8"/>
  <c r="U320" i="8"/>
  <c r="U319" i="8"/>
  <c r="U318" i="8"/>
  <c r="U317" i="8"/>
  <c r="U316" i="8"/>
  <c r="U315" i="8"/>
  <c r="U314" i="8"/>
  <c r="U312" i="8"/>
  <c r="U311" i="8"/>
  <c r="U309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6" i="8"/>
  <c r="U285" i="8"/>
  <c r="U284" i="8"/>
  <c r="U283" i="8"/>
  <c r="U281" i="8"/>
  <c r="U280" i="8"/>
  <c r="U27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S328" i="8"/>
  <c r="S327" i="8"/>
  <c r="S326" i="8"/>
  <c r="S325" i="8"/>
  <c r="S324" i="8"/>
  <c r="S323" i="8"/>
  <c r="S322" i="8"/>
  <c r="S321" i="8"/>
  <c r="S320" i="8"/>
  <c r="S319" i="8"/>
  <c r="S318" i="8"/>
  <c r="S317" i="8"/>
  <c r="S316" i="8"/>
  <c r="S315" i="8"/>
  <c r="S314" i="8"/>
  <c r="S313" i="8"/>
  <c r="S312" i="8"/>
  <c r="S311" i="8"/>
  <c r="S310" i="8"/>
  <c r="S309" i="8"/>
  <c r="S308" i="8"/>
  <c r="S307" i="8"/>
  <c r="S306" i="8"/>
  <c r="S305" i="8"/>
  <c r="S304" i="8"/>
  <c r="S303" i="8"/>
  <c r="S302" i="8"/>
  <c r="S301" i="8"/>
  <c r="S300" i="8"/>
  <c r="S299" i="8"/>
  <c r="S298" i="8"/>
  <c r="S297" i="8"/>
  <c r="S296" i="8"/>
  <c r="S295" i="8"/>
  <c r="S294" i="8"/>
  <c r="S293" i="8"/>
  <c r="S292" i="8"/>
  <c r="S291" i="8"/>
  <c r="S290" i="8"/>
  <c r="S289" i="8"/>
  <c r="S288" i="8"/>
  <c r="S287" i="8"/>
  <c r="S286" i="8"/>
  <c r="S285" i="8"/>
  <c r="S284" i="8"/>
  <c r="S283" i="8"/>
  <c r="S282" i="8"/>
  <c r="S281" i="8"/>
  <c r="S280" i="8"/>
  <c r="S279" i="8"/>
  <c r="Q328" i="8"/>
  <c r="Q327" i="8"/>
  <c r="Q326" i="8"/>
  <c r="Q325" i="8"/>
  <c r="Q324" i="8"/>
  <c r="Q323" i="8"/>
  <c r="Q322" i="8"/>
  <c r="Q321" i="8"/>
  <c r="Q320" i="8"/>
  <c r="Q319" i="8"/>
  <c r="Q318" i="8"/>
  <c r="Q317" i="8"/>
  <c r="Q316" i="8"/>
  <c r="Q315" i="8"/>
  <c r="Q314" i="8"/>
  <c r="Q313" i="8"/>
  <c r="Q312" i="8"/>
  <c r="Q311" i="8"/>
  <c r="Q310" i="8"/>
  <c r="Q309" i="8"/>
  <c r="Q308" i="8"/>
  <c r="Q307" i="8"/>
  <c r="Q306" i="8"/>
  <c r="Q305" i="8"/>
  <c r="Q304" i="8"/>
  <c r="Q303" i="8"/>
  <c r="Q302" i="8"/>
  <c r="Q301" i="8"/>
  <c r="Q300" i="8"/>
  <c r="Q299" i="8"/>
  <c r="Q298" i="8"/>
  <c r="Q297" i="8"/>
  <c r="Q296" i="8"/>
  <c r="Q295" i="8"/>
  <c r="Q294" i="8"/>
  <c r="Q293" i="8"/>
  <c r="Q292" i="8"/>
  <c r="Q291" i="8"/>
  <c r="Q290" i="8"/>
  <c r="Q289" i="8"/>
  <c r="Q288" i="8"/>
  <c r="Q287" i="8"/>
  <c r="Q286" i="8"/>
  <c r="Q285" i="8"/>
  <c r="Q284" i="8"/>
  <c r="Q283" i="8"/>
  <c r="Q282" i="8"/>
  <c r="Q281" i="8"/>
  <c r="Q280" i="8"/>
  <c r="Q279" i="8"/>
  <c r="P328" i="8"/>
  <c r="P327" i="8"/>
  <c r="P326" i="8"/>
  <c r="P325" i="8"/>
  <c r="P324" i="8"/>
  <c r="P323" i="8"/>
  <c r="P321" i="8"/>
  <c r="P320" i="8"/>
  <c r="P319" i="8"/>
  <c r="P318" i="8"/>
  <c r="P317" i="8"/>
  <c r="P316" i="8"/>
  <c r="P315" i="8"/>
  <c r="P313" i="8"/>
  <c r="P312" i="8"/>
  <c r="P311" i="8"/>
  <c r="P310" i="8"/>
  <c r="P309" i="8"/>
  <c r="P308" i="8"/>
  <c r="P307" i="8"/>
  <c r="P306" i="8"/>
  <c r="P305" i="8"/>
  <c r="P304" i="8"/>
  <c r="P303" i="8"/>
  <c r="P302" i="8"/>
  <c r="P301" i="8"/>
  <c r="P300" i="8"/>
  <c r="P299" i="8"/>
  <c r="P298" i="8"/>
  <c r="P297" i="8"/>
  <c r="P296" i="8"/>
  <c r="P295" i="8"/>
  <c r="P294" i="8"/>
  <c r="P293" i="8"/>
  <c r="P292" i="8"/>
  <c r="P291" i="8"/>
  <c r="P290" i="8"/>
  <c r="P289" i="8"/>
  <c r="P287" i="8"/>
  <c r="P285" i="8"/>
  <c r="P281" i="8"/>
  <c r="O328" i="8"/>
  <c r="O327" i="8"/>
  <c r="O326" i="8"/>
  <c r="O325" i="8"/>
  <c r="O324" i="8"/>
  <c r="O323" i="8"/>
  <c r="O322" i="8"/>
  <c r="O321" i="8"/>
  <c r="O320" i="8"/>
  <c r="O319" i="8"/>
  <c r="O318" i="8"/>
  <c r="O317" i="8"/>
  <c r="O316" i="8"/>
  <c r="O315" i="8"/>
  <c r="O314" i="8"/>
  <c r="O313" i="8"/>
  <c r="O312" i="8"/>
  <c r="O311" i="8"/>
  <c r="O310" i="8"/>
  <c r="O309" i="8"/>
  <c r="O308" i="8"/>
  <c r="O307" i="8"/>
  <c r="O306" i="8"/>
  <c r="O305" i="8"/>
  <c r="O304" i="8"/>
  <c r="O303" i="8"/>
  <c r="O302" i="8"/>
  <c r="O301" i="8"/>
  <c r="O300" i="8"/>
  <c r="O299" i="8"/>
  <c r="O298" i="8"/>
  <c r="O297" i="8"/>
  <c r="O296" i="8"/>
  <c r="O295" i="8"/>
  <c r="O294" i="8"/>
  <c r="O293" i="8"/>
  <c r="O292" i="8"/>
  <c r="O291" i="8"/>
  <c r="O290" i="8"/>
  <c r="O289" i="8"/>
  <c r="O288" i="8"/>
  <c r="O287" i="8"/>
  <c r="O286" i="8"/>
  <c r="O285" i="8"/>
  <c r="O284" i="8"/>
  <c r="O283" i="8"/>
  <c r="O282" i="8"/>
  <c r="O281" i="8"/>
  <c r="O280" i="8"/>
  <c r="O27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M315" i="8"/>
  <c r="M305" i="8"/>
  <c r="M287" i="8"/>
  <c r="L328" i="8"/>
  <c r="L315" i="8"/>
  <c r="L312" i="8"/>
  <c r="L305" i="8"/>
  <c r="L292" i="8"/>
  <c r="L294" i="8"/>
  <c r="L287" i="8"/>
  <c r="L286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H328" i="8"/>
  <c r="H327" i="8"/>
  <c r="H326" i="8"/>
  <c r="H325" i="8"/>
  <c r="H324" i="8"/>
  <c r="H323" i="8"/>
  <c r="H322" i="8"/>
  <c r="H321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2" i="8"/>
  <c r="H291" i="8"/>
  <c r="H290" i="8"/>
  <c r="H289" i="8"/>
  <c r="H288" i="8"/>
  <c r="H287" i="8"/>
  <c r="H286" i="8"/>
  <c r="H285" i="8"/>
  <c r="H283" i="8"/>
  <c r="H282" i="8"/>
  <c r="H281" i="8"/>
  <c r="H280" i="8"/>
  <c r="H27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0" i="8"/>
  <c r="G27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C328" i="8"/>
  <c r="C326" i="8"/>
  <c r="C322" i="8"/>
  <c r="C320" i="8"/>
  <c r="C318" i="8"/>
  <c r="C312" i="8"/>
  <c r="C309" i="8"/>
  <c r="C302" i="8"/>
  <c r="C300" i="8"/>
  <c r="C298" i="8"/>
  <c r="C296" i="8"/>
  <c r="C294" i="8"/>
  <c r="C290" i="8"/>
  <c r="X289" i="8"/>
  <c r="C288" i="8"/>
  <c r="Y288" i="8"/>
  <c r="C286" i="8"/>
  <c r="X286" i="8"/>
  <c r="Y286" i="8"/>
  <c r="Y285" i="8"/>
  <c r="Y284" i="8"/>
  <c r="Y283" i="8"/>
  <c r="X283" i="8"/>
  <c r="C282" i="8"/>
  <c r="X282" i="8"/>
  <c r="X281" i="8"/>
  <c r="C280" i="8"/>
  <c r="C279" i="8"/>
  <c r="W271" i="8"/>
  <c r="W270" i="8"/>
  <c r="W269" i="8"/>
  <c r="W268" i="8"/>
  <c r="W267" i="8"/>
  <c r="W266" i="8"/>
  <c r="U267" i="8"/>
  <c r="T271" i="8"/>
  <c r="T270" i="8"/>
  <c r="T269" i="8"/>
  <c r="T268" i="8"/>
  <c r="T267" i="8"/>
  <c r="T266" i="8"/>
  <c r="S271" i="8"/>
  <c r="S270" i="8"/>
  <c r="S269" i="8"/>
  <c r="S268" i="8"/>
  <c r="S267" i="8"/>
  <c r="S266" i="8"/>
  <c r="R271" i="8"/>
  <c r="R269" i="8"/>
  <c r="R268" i="8"/>
  <c r="R266" i="8"/>
  <c r="Q271" i="8"/>
  <c r="Q270" i="8"/>
  <c r="Q269" i="8"/>
  <c r="Q268" i="8"/>
  <c r="Q267" i="8"/>
  <c r="Q266" i="8"/>
  <c r="O271" i="8"/>
  <c r="O270" i="8"/>
  <c r="O269" i="8"/>
  <c r="O268" i="8"/>
  <c r="O267" i="8"/>
  <c r="O266" i="8"/>
  <c r="N271" i="8"/>
  <c r="N270" i="8"/>
  <c r="N269" i="8"/>
  <c r="N268" i="8"/>
  <c r="N267" i="8"/>
  <c r="N266" i="8"/>
  <c r="L271" i="8"/>
  <c r="L270" i="8"/>
  <c r="L269" i="8"/>
  <c r="L268" i="8"/>
  <c r="L267" i="8"/>
  <c r="L266" i="8"/>
  <c r="K267" i="8"/>
  <c r="K266" i="8"/>
  <c r="H277" i="8"/>
  <c r="H276" i="8"/>
  <c r="H275" i="8"/>
  <c r="H274" i="8"/>
  <c r="H273" i="8"/>
  <c r="H272" i="8"/>
  <c r="H271" i="8"/>
  <c r="H270" i="8"/>
  <c r="H268" i="8"/>
  <c r="H267" i="8"/>
  <c r="H266" i="8"/>
  <c r="H265" i="8"/>
  <c r="H264" i="8"/>
  <c r="G277" i="8"/>
  <c r="G276" i="8"/>
  <c r="G275" i="8"/>
  <c r="G274" i="8"/>
  <c r="G273" i="8"/>
  <c r="G272" i="8"/>
  <c r="G271" i="8"/>
  <c r="G270" i="8"/>
  <c r="G268" i="8"/>
  <c r="G267" i="8"/>
  <c r="G266" i="8"/>
  <c r="G265" i="8"/>
  <c r="G264" i="8"/>
  <c r="F277" i="8"/>
  <c r="F276" i="8"/>
  <c r="F275" i="8"/>
  <c r="F274" i="8"/>
  <c r="F273" i="8"/>
  <c r="F272" i="8"/>
  <c r="F271" i="8"/>
  <c r="F270" i="8"/>
  <c r="F268" i="8"/>
  <c r="F267" i="8"/>
  <c r="F266" i="8"/>
  <c r="F265" i="8"/>
  <c r="F264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D267" i="8"/>
  <c r="D266" i="8"/>
  <c r="C272" i="8"/>
  <c r="C271" i="8"/>
  <c r="C270" i="8"/>
  <c r="C269" i="8"/>
  <c r="C264" i="8"/>
  <c r="AB232" i="8"/>
  <c r="AB233" i="8"/>
  <c r="AB230" i="8"/>
  <c r="AB229" i="8"/>
  <c r="AB228" i="8"/>
  <c r="AB227" i="8"/>
  <c r="AB226" i="8"/>
  <c r="AB225" i="8"/>
  <c r="AB224" i="8"/>
  <c r="AB223" i="8"/>
  <c r="AB222" i="8"/>
  <c r="AB220" i="8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AB206" i="8"/>
  <c r="AB205" i="8"/>
  <c r="AB204" i="8"/>
  <c r="AB203" i="8"/>
  <c r="AB202" i="8"/>
  <c r="AB201" i="8"/>
  <c r="AB200" i="8"/>
  <c r="AB199" i="8"/>
  <c r="AB198" i="8"/>
  <c r="AB197" i="8"/>
  <c r="AB196" i="8"/>
  <c r="AB195" i="8"/>
  <c r="AB194" i="8"/>
  <c r="AB193" i="8"/>
  <c r="AB192" i="8"/>
  <c r="AB191" i="8"/>
  <c r="AB190" i="8"/>
  <c r="AB188" i="8"/>
  <c r="AB187" i="8"/>
  <c r="AB186" i="8"/>
  <c r="AB184" i="8"/>
  <c r="AB183" i="8"/>
  <c r="AB182" i="8"/>
  <c r="AB181" i="8"/>
  <c r="AB179" i="8"/>
  <c r="AB178" i="8"/>
  <c r="AB177" i="8"/>
  <c r="AB176" i="8"/>
  <c r="AB175" i="8"/>
  <c r="AB174" i="8"/>
  <c r="AB173" i="8"/>
  <c r="AB171" i="8"/>
  <c r="AB170" i="8"/>
  <c r="AB169" i="8"/>
  <c r="AB168" i="8"/>
  <c r="AB167" i="8"/>
  <c r="AA230" i="8"/>
  <c r="AA209" i="8"/>
  <c r="AA203" i="8"/>
  <c r="AA196" i="8"/>
  <c r="AA191" i="8"/>
  <c r="AA180" i="8"/>
  <c r="AA178" i="8"/>
  <c r="AA173" i="8"/>
  <c r="AB262" i="8"/>
  <c r="AB261" i="8"/>
  <c r="AB260" i="8"/>
  <c r="AB259" i="8"/>
  <c r="AB258" i="8"/>
  <c r="AB257" i="8"/>
  <c r="AB256" i="8"/>
  <c r="AB255" i="8"/>
  <c r="AB254" i="8"/>
  <c r="AB253" i="8"/>
  <c r="AB251" i="8"/>
  <c r="AB250" i="8"/>
  <c r="AB248" i="8"/>
  <c r="AB247" i="8"/>
  <c r="AB246" i="8"/>
  <c r="AB245" i="8"/>
  <c r="AB244" i="8"/>
  <c r="AB243" i="8"/>
  <c r="AB242" i="8"/>
  <c r="AB241" i="8"/>
  <c r="AB240" i="8"/>
  <c r="AB239" i="8"/>
  <c r="AB238" i="8"/>
  <c r="AB237" i="8"/>
  <c r="AB236" i="8"/>
  <c r="AB235" i="8"/>
  <c r="AB234" i="8"/>
  <c r="AA238" i="8"/>
  <c r="AA245" i="8"/>
  <c r="Z262" i="8"/>
  <c r="Z260" i="8"/>
  <c r="Z258" i="8"/>
  <c r="Z257" i="8"/>
  <c r="Z256" i="8"/>
  <c r="Z255" i="8"/>
  <c r="Z254" i="8"/>
  <c r="Z253" i="8"/>
  <c r="Z250" i="8"/>
  <c r="Z245" i="8"/>
  <c r="Z243" i="8"/>
  <c r="Z241" i="8"/>
  <c r="Z240" i="8"/>
  <c r="Z238" i="8"/>
  <c r="Z237" i="8"/>
  <c r="Z236" i="8"/>
  <c r="Z235" i="8"/>
  <c r="Z234" i="8"/>
  <c r="Z232" i="8"/>
  <c r="Z227" i="8"/>
  <c r="Z226" i="8"/>
  <c r="Z223" i="8"/>
  <c r="Z221" i="8"/>
  <c r="Z220" i="8"/>
  <c r="Z218" i="8"/>
  <c r="Z217" i="8"/>
  <c r="Z216" i="8"/>
  <c r="Z215" i="8"/>
  <c r="Z214" i="8"/>
  <c r="Z213" i="8"/>
  <c r="Z211" i="8"/>
  <c r="Z210" i="8"/>
  <c r="Z208" i="8"/>
  <c r="Z205" i="8"/>
  <c r="Z204" i="8"/>
  <c r="Z201" i="8"/>
  <c r="Z197" i="8"/>
  <c r="Z196" i="8"/>
  <c r="Z193" i="8"/>
  <c r="Z188" i="8"/>
  <c r="Z187" i="8"/>
  <c r="Z186" i="8"/>
  <c r="Z185" i="8"/>
  <c r="Z184" i="8"/>
  <c r="Z183" i="8"/>
  <c r="Z182" i="8"/>
  <c r="Z181" i="8"/>
  <c r="Z180" i="8"/>
  <c r="Z179" i="8"/>
  <c r="Z178" i="8"/>
  <c r="Z177" i="8"/>
  <c r="Z175" i="8"/>
  <c r="Z172" i="8"/>
  <c r="Z171" i="8"/>
  <c r="Y262" i="8"/>
  <c r="Y261" i="8"/>
  <c r="Y259" i="8"/>
  <c r="Y258" i="8"/>
  <c r="Y255" i="8"/>
  <c r="Y253" i="8"/>
  <c r="Y251" i="8"/>
  <c r="Y250" i="8"/>
  <c r="Y245" i="8"/>
  <c r="Y243" i="8"/>
  <c r="Y241" i="8"/>
  <c r="Y238" i="8"/>
  <c r="Y237" i="8"/>
  <c r="Y236" i="8"/>
  <c r="Y235" i="8"/>
  <c r="Y234" i="8"/>
  <c r="Y233" i="8"/>
  <c r="Y232" i="8"/>
  <c r="Y230" i="8"/>
  <c r="Y229" i="8"/>
  <c r="Y227" i="8"/>
  <c r="Y224" i="8"/>
  <c r="Y220" i="8"/>
  <c r="Y218" i="8"/>
  <c r="Y217" i="8"/>
  <c r="Y216" i="8"/>
  <c r="Y214" i="8"/>
  <c r="Y212" i="8"/>
  <c r="Y208" i="8"/>
  <c r="Y206" i="8"/>
  <c r="Y205" i="8"/>
  <c r="Y197" i="8"/>
  <c r="Y196" i="8"/>
  <c r="Y192" i="8"/>
  <c r="Y191" i="8"/>
  <c r="Y186" i="8"/>
  <c r="Y185" i="8"/>
  <c r="Y183" i="8"/>
  <c r="Y179" i="8"/>
  <c r="Y178" i="8"/>
  <c r="Y177" i="8"/>
  <c r="Y175" i="8"/>
  <c r="Y174" i="8"/>
  <c r="Y173" i="8"/>
  <c r="Y172" i="8"/>
  <c r="Y170" i="8"/>
  <c r="Y168" i="8"/>
  <c r="Y167" i="8"/>
  <c r="X262" i="8"/>
  <c r="X261" i="8"/>
  <c r="X258" i="8"/>
  <c r="X257" i="8"/>
  <c r="X256" i="8"/>
  <c r="X255" i="8"/>
  <c r="X254" i="8"/>
  <c r="X253" i="8"/>
  <c r="X251" i="8"/>
  <c r="X250" i="8"/>
  <c r="X248" i="8"/>
  <c r="X246" i="8"/>
  <c r="X245" i="8"/>
  <c r="X242" i="8"/>
  <c r="X241" i="8"/>
  <c r="X233" i="8"/>
  <c r="X232" i="8"/>
  <c r="X230" i="8"/>
  <c r="X229" i="8"/>
  <c r="X228" i="8"/>
  <c r="X227" i="8"/>
  <c r="X225" i="8"/>
  <c r="X224" i="8"/>
  <c r="X220" i="8"/>
  <c r="X218" i="8"/>
  <c r="X217" i="8"/>
  <c r="X216" i="8"/>
  <c r="X215" i="8"/>
  <c r="X214" i="8"/>
  <c r="X213" i="8"/>
  <c r="X212" i="8"/>
  <c r="X210" i="8"/>
  <c r="X209" i="8"/>
  <c r="X208" i="8"/>
  <c r="X207" i="8"/>
  <c r="X205" i="8"/>
  <c r="X202" i="8"/>
  <c r="X200" i="8"/>
  <c r="X198" i="8"/>
  <c r="X197" i="8"/>
  <c r="X196" i="8"/>
  <c r="X195" i="8"/>
  <c r="X194" i="8"/>
  <c r="X189" i="8"/>
  <c r="X188" i="8"/>
  <c r="X187" i="8"/>
  <c r="X185" i="8"/>
  <c r="X181" i="8"/>
  <c r="X180" i="8"/>
  <c r="X179" i="8"/>
  <c r="X178" i="8"/>
  <c r="X176" i="8"/>
  <c r="X169" i="8"/>
  <c r="X168" i="8"/>
  <c r="V262" i="8"/>
  <c r="V259" i="8"/>
  <c r="V258" i="8"/>
  <c r="V257" i="8"/>
  <c r="V254" i="8"/>
  <c r="V253" i="8"/>
  <c r="V252" i="8"/>
  <c r="V251" i="8"/>
  <c r="V250" i="8"/>
  <c r="V249" i="8"/>
  <c r="V248" i="8"/>
  <c r="V247" i="8"/>
  <c r="V246" i="8"/>
  <c r="V245" i="8"/>
  <c r="V244" i="8"/>
  <c r="V243" i="8"/>
  <c r="V242" i="8"/>
  <c r="V241" i="8"/>
  <c r="V240" i="8"/>
  <c r="V239" i="8"/>
  <c r="V238" i="8"/>
  <c r="V237" i="8"/>
  <c r="V236" i="8"/>
  <c r="V235" i="8"/>
  <c r="V234" i="8"/>
  <c r="V233" i="8"/>
  <c r="V232" i="8"/>
  <c r="V231" i="8"/>
  <c r="V230" i="8"/>
  <c r="V229" i="8"/>
  <c r="V228" i="8"/>
  <c r="V227" i="8"/>
  <c r="V224" i="8"/>
  <c r="V223" i="8"/>
  <c r="V220" i="8"/>
  <c r="V218" i="8"/>
  <c r="V217" i="8"/>
  <c r="V216" i="8"/>
  <c r="V215" i="8"/>
  <c r="V214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V167" i="8"/>
  <c r="U262" i="8"/>
  <c r="U261" i="8"/>
  <c r="U260" i="8"/>
  <c r="U259" i="8"/>
  <c r="U258" i="8"/>
  <c r="U257" i="8"/>
  <c r="U256" i="8"/>
  <c r="U255" i="8"/>
  <c r="U254" i="8"/>
  <c r="U253" i="8"/>
  <c r="U252" i="8"/>
  <c r="U251" i="8"/>
  <c r="U250" i="8"/>
  <c r="U249" i="8"/>
  <c r="U248" i="8"/>
  <c r="U247" i="8"/>
  <c r="U246" i="8"/>
  <c r="U245" i="8"/>
  <c r="U244" i="8"/>
  <c r="U243" i="8"/>
  <c r="U242" i="8"/>
  <c r="U241" i="8"/>
  <c r="U240" i="8"/>
  <c r="U239" i="8"/>
  <c r="U238" i="8"/>
  <c r="U237" i="8"/>
  <c r="U236" i="8"/>
  <c r="U235" i="8"/>
  <c r="U234" i="8"/>
  <c r="U233" i="8"/>
  <c r="U232" i="8"/>
  <c r="U231" i="8"/>
  <c r="U230" i="8"/>
  <c r="U229" i="8"/>
  <c r="U228" i="8"/>
  <c r="U227" i="8"/>
  <c r="U226" i="8"/>
  <c r="U225" i="8"/>
  <c r="U224" i="8"/>
  <c r="U223" i="8"/>
  <c r="U222" i="8"/>
  <c r="U221" i="8"/>
  <c r="U220" i="8"/>
  <c r="U219" i="8"/>
  <c r="U218" i="8"/>
  <c r="U217" i="8"/>
  <c r="U216" i="8"/>
  <c r="U215" i="8"/>
  <c r="U214" i="8"/>
  <c r="U213" i="8"/>
  <c r="U212" i="8"/>
  <c r="U211" i="8"/>
  <c r="U210" i="8"/>
  <c r="U209" i="8"/>
  <c r="U208" i="8"/>
  <c r="U207" i="8"/>
  <c r="U206" i="8"/>
  <c r="U205" i="8"/>
  <c r="U204" i="8"/>
  <c r="U203" i="8"/>
  <c r="U202" i="8"/>
  <c r="U201" i="8"/>
  <c r="U200" i="8"/>
  <c r="U199" i="8"/>
  <c r="U198" i="8"/>
  <c r="U197" i="8"/>
  <c r="U196" i="8"/>
  <c r="U195" i="8"/>
  <c r="U194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S262" i="8"/>
  <c r="S261" i="8"/>
  <c r="S259" i="8"/>
  <c r="S257" i="8"/>
  <c r="S254" i="8"/>
  <c r="S253" i="8"/>
  <c r="S252" i="8"/>
  <c r="S251" i="8"/>
  <c r="S250" i="8"/>
  <c r="S249" i="8"/>
  <c r="S246" i="8"/>
  <c r="S242" i="8"/>
  <c r="S241" i="8"/>
  <c r="S240" i="8"/>
  <c r="S238" i="8"/>
  <c r="S237" i="8"/>
  <c r="S236" i="8"/>
  <c r="S234" i="8"/>
  <c r="S233" i="8"/>
  <c r="S232" i="8"/>
  <c r="S231" i="8"/>
  <c r="S230" i="8"/>
  <c r="S229" i="8"/>
  <c r="S228" i="8"/>
  <c r="S227" i="8"/>
  <c r="S225" i="8"/>
  <c r="S224" i="8"/>
  <c r="S220" i="8"/>
  <c r="S216" i="8"/>
  <c r="S214" i="8"/>
  <c r="S210" i="8"/>
  <c r="S209" i="8"/>
  <c r="S208" i="8"/>
  <c r="S206" i="8"/>
  <c r="S205" i="8"/>
  <c r="S203" i="8"/>
  <c r="S202" i="8"/>
  <c r="S200" i="8"/>
  <c r="S199" i="8"/>
  <c r="S197" i="8"/>
  <c r="S196" i="8"/>
  <c r="S195" i="8"/>
  <c r="S194" i="8"/>
  <c r="S193" i="8"/>
  <c r="S192" i="8"/>
  <c r="S191" i="8"/>
  <c r="S190" i="8"/>
  <c r="S189" i="8"/>
  <c r="S188" i="8"/>
  <c r="S187" i="8"/>
  <c r="S185" i="8"/>
  <c r="S180" i="8"/>
  <c r="S178" i="8"/>
  <c r="S177" i="8"/>
  <c r="S175" i="8"/>
  <c r="S174" i="8"/>
  <c r="S172" i="8"/>
  <c r="S171" i="8"/>
  <c r="S169" i="8"/>
  <c r="R262" i="8"/>
  <c r="R261" i="8"/>
  <c r="R260" i="8"/>
  <c r="R259" i="8"/>
  <c r="R258" i="8"/>
  <c r="R257" i="8"/>
  <c r="R255" i="8"/>
  <c r="R254" i="8"/>
  <c r="R253" i="8"/>
  <c r="R252" i="8"/>
  <c r="R251" i="8"/>
  <c r="R250" i="8"/>
  <c r="R249" i="8"/>
  <c r="R248" i="8"/>
  <c r="R247" i="8"/>
  <c r="R246" i="8"/>
  <c r="R245" i="8"/>
  <c r="R244" i="8"/>
  <c r="R243" i="8"/>
  <c r="R242" i="8"/>
  <c r="R241" i="8"/>
  <c r="R240" i="8"/>
  <c r="R239" i="8"/>
  <c r="R238" i="8"/>
  <c r="R237" i="8"/>
  <c r="R236" i="8"/>
  <c r="R235" i="8"/>
  <c r="R234" i="8"/>
  <c r="R233" i="8"/>
  <c r="R232" i="8"/>
  <c r="R231" i="8"/>
  <c r="R230" i="8"/>
  <c r="R229" i="8"/>
  <c r="R228" i="8"/>
  <c r="R227" i="8"/>
  <c r="R226" i="8"/>
  <c r="R225" i="8"/>
  <c r="R224" i="8"/>
  <c r="R223" i="8"/>
  <c r="R222" i="8"/>
  <c r="R220" i="8"/>
  <c r="R218" i="8"/>
  <c r="R216" i="8"/>
  <c r="R215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Q262" i="8"/>
  <c r="Q261" i="8"/>
  <c r="Q260" i="8"/>
  <c r="Q259" i="8"/>
  <c r="Q258" i="8"/>
  <c r="Q257" i="8"/>
  <c r="Q256" i="8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Q179" i="8"/>
  <c r="Q178" i="8"/>
  <c r="Q177" i="8"/>
  <c r="Q176" i="8"/>
  <c r="Q175" i="8"/>
  <c r="Q174" i="8"/>
  <c r="Q173" i="8"/>
  <c r="Q172" i="8"/>
  <c r="Q171" i="8"/>
  <c r="Q170" i="8"/>
  <c r="Q169" i="8"/>
  <c r="Q168" i="8"/>
  <c r="Q167" i="8"/>
  <c r="P165" i="8"/>
  <c r="P262" i="8"/>
  <c r="P261" i="8"/>
  <c r="P260" i="8"/>
  <c r="P259" i="8"/>
  <c r="P258" i="8"/>
  <c r="P257" i="8"/>
  <c r="P256" i="8"/>
  <c r="P255" i="8"/>
  <c r="P254" i="8"/>
  <c r="P253" i="8"/>
  <c r="P252" i="8"/>
  <c r="P251" i="8"/>
  <c r="P250" i="8"/>
  <c r="P249" i="8"/>
  <c r="P248" i="8"/>
  <c r="P247" i="8"/>
  <c r="P246" i="8"/>
  <c r="P245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P219" i="8"/>
  <c r="P218" i="8"/>
  <c r="P217" i="8"/>
  <c r="P216" i="8"/>
  <c r="P215" i="8"/>
  <c r="P214" i="8"/>
  <c r="P213" i="8"/>
  <c r="P212" i="8"/>
  <c r="P211" i="8"/>
  <c r="P209" i="8"/>
  <c r="P208" i="8"/>
  <c r="P207" i="8"/>
  <c r="P206" i="8"/>
  <c r="P205" i="8"/>
  <c r="P204" i="8"/>
  <c r="P203" i="8"/>
  <c r="P202" i="8"/>
  <c r="P201" i="8"/>
  <c r="P200" i="8"/>
  <c r="P199" i="8"/>
  <c r="P198" i="8"/>
  <c r="P197" i="8"/>
  <c r="P196" i="8"/>
  <c r="P195" i="8"/>
  <c r="P194" i="8"/>
  <c r="P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O262" i="8"/>
  <c r="O261" i="8"/>
  <c r="O260" i="8"/>
  <c r="O259" i="8"/>
  <c r="O258" i="8"/>
  <c r="O257" i="8"/>
  <c r="O256" i="8"/>
  <c r="O255" i="8"/>
  <c r="O254" i="8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M262" i="8"/>
  <c r="M261" i="8"/>
  <c r="M260" i="8"/>
  <c r="M259" i="8"/>
  <c r="M258" i="8"/>
  <c r="M257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1" i="8"/>
  <c r="M220" i="8"/>
  <c r="M218" i="8"/>
  <c r="M217" i="8"/>
  <c r="M216" i="8"/>
  <c r="M215" i="8"/>
  <c r="M214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H257" i="8"/>
  <c r="H250" i="8"/>
  <c r="H246" i="8"/>
  <c r="H236" i="8"/>
  <c r="H227" i="8"/>
  <c r="H211" i="8"/>
  <c r="H204" i="8"/>
  <c r="H201" i="8"/>
  <c r="H196" i="8"/>
  <c r="H195" i="8"/>
  <c r="H178" i="8"/>
  <c r="H177" i="8"/>
  <c r="H172" i="8"/>
  <c r="H171" i="8"/>
  <c r="H170" i="8"/>
  <c r="H167" i="8"/>
  <c r="G257" i="8"/>
  <c r="G254" i="8"/>
  <c r="G236" i="8"/>
  <c r="G235" i="8"/>
  <c r="G234" i="8"/>
  <c r="G232" i="8"/>
  <c r="G227" i="8"/>
  <c r="G211" i="8"/>
  <c r="G208" i="8"/>
  <c r="G205" i="8"/>
  <c r="G197" i="8"/>
  <c r="G196" i="8"/>
  <c r="G172" i="8"/>
  <c r="G171" i="8"/>
  <c r="G170" i="8"/>
  <c r="G167" i="8"/>
  <c r="F257" i="8"/>
  <c r="F254" i="8"/>
  <c r="F250" i="8"/>
  <c r="F246" i="8"/>
  <c r="F236" i="8"/>
  <c r="F235" i="8"/>
  <c r="F234" i="8"/>
  <c r="F232" i="8"/>
  <c r="F227" i="8"/>
  <c r="F225" i="8"/>
  <c r="F211" i="8"/>
  <c r="F208" i="8"/>
  <c r="F204" i="8"/>
  <c r="F201" i="8"/>
  <c r="F200" i="8"/>
  <c r="F197" i="8"/>
  <c r="F196" i="8"/>
  <c r="F195" i="8"/>
  <c r="F178" i="8"/>
  <c r="F177" i="8"/>
  <c r="F172" i="8"/>
  <c r="F171" i="8"/>
  <c r="F170" i="8"/>
  <c r="F167" i="8"/>
  <c r="E261" i="8"/>
  <c r="E260" i="8"/>
  <c r="E259" i="8"/>
  <c r="E257" i="8"/>
  <c r="E255" i="8"/>
  <c r="E254" i="8"/>
  <c r="E252" i="8"/>
  <c r="E251" i="8"/>
  <c r="E250" i="8"/>
  <c r="E247" i="8"/>
  <c r="E246" i="8"/>
  <c r="E245" i="8"/>
  <c r="E243" i="8"/>
  <c r="E242" i="8"/>
  <c r="E241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5" i="8"/>
  <c r="E224" i="8"/>
  <c r="E223" i="8"/>
  <c r="E221" i="8"/>
  <c r="E220" i="8"/>
  <c r="E219" i="8"/>
  <c r="E218" i="8"/>
  <c r="E217" i="8"/>
  <c r="E216" i="8"/>
  <c r="E215" i="8"/>
  <c r="E214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7" i="8"/>
  <c r="E186" i="8"/>
  <c r="E185" i="8"/>
  <c r="E184" i="8"/>
  <c r="E183" i="8"/>
  <c r="E182" i="8"/>
  <c r="E181" i="8"/>
  <c r="E180" i="8"/>
  <c r="E179" i="8"/>
  <c r="E178" i="8"/>
  <c r="E177" i="8"/>
  <c r="E173" i="8"/>
  <c r="E172" i="8"/>
  <c r="E171" i="8"/>
  <c r="E170" i="8"/>
  <c r="E169" i="8"/>
  <c r="E168" i="8"/>
  <c r="E167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C262" i="8"/>
  <c r="C260" i="8"/>
  <c r="C258" i="8"/>
  <c r="C256" i="8"/>
  <c r="C254" i="8"/>
  <c r="C252" i="8"/>
  <c r="C248" i="8"/>
  <c r="C246" i="8"/>
  <c r="C244" i="8"/>
  <c r="C240" i="8"/>
  <c r="C238" i="8"/>
  <c r="C236" i="8"/>
  <c r="C234" i="8"/>
  <c r="C230" i="8"/>
  <c r="C228" i="8"/>
  <c r="C226" i="8"/>
  <c r="C224" i="8"/>
  <c r="C220" i="8"/>
  <c r="C218" i="8"/>
  <c r="C216" i="8"/>
  <c r="C214" i="8"/>
  <c r="C212" i="8"/>
  <c r="C210" i="8"/>
  <c r="C208" i="8"/>
  <c r="C204" i="8"/>
  <c r="C202" i="8"/>
  <c r="C200" i="8"/>
  <c r="C198" i="8"/>
  <c r="C196" i="8"/>
  <c r="C194" i="8"/>
  <c r="C192" i="8"/>
  <c r="C190" i="8"/>
  <c r="C189" i="8"/>
  <c r="C188" i="8"/>
  <c r="C186" i="8"/>
  <c r="C182" i="8"/>
  <c r="C180" i="8"/>
  <c r="C176" i="8"/>
  <c r="Z176" i="8"/>
  <c r="C174" i="8"/>
  <c r="C172" i="8"/>
  <c r="C167" i="8"/>
  <c r="AB165" i="8"/>
  <c r="AB164" i="8"/>
  <c r="AB163" i="8"/>
  <c r="AB162" i="8"/>
  <c r="AB161" i="8"/>
  <c r="AB160" i="8"/>
  <c r="AB159" i="8"/>
  <c r="AB158" i="8"/>
  <c r="AB156" i="8"/>
  <c r="AB155" i="8"/>
  <c r="AB154" i="8"/>
  <c r="AB153" i="8"/>
  <c r="AB152" i="8"/>
  <c r="AB151" i="8"/>
  <c r="AB150" i="8"/>
  <c r="AB148" i="8"/>
  <c r="AB147" i="8"/>
  <c r="AB146" i="8"/>
  <c r="AB145" i="8"/>
  <c r="AB142" i="8"/>
  <c r="AB141" i="8"/>
  <c r="AB140" i="8"/>
  <c r="AB138" i="8"/>
  <c r="AB137" i="8"/>
  <c r="AB136" i="8"/>
  <c r="AB133" i="8"/>
  <c r="AB132" i="8"/>
  <c r="AB131" i="8"/>
  <c r="AB130" i="8"/>
  <c r="AB129" i="8"/>
  <c r="AB128" i="8"/>
  <c r="AB123" i="8"/>
  <c r="AB122" i="8"/>
  <c r="AB121" i="8"/>
  <c r="AB120" i="8"/>
  <c r="AB119" i="8"/>
  <c r="AB118" i="8"/>
  <c r="AB117" i="8"/>
  <c r="AB116" i="8"/>
  <c r="AB115" i="8"/>
  <c r="AB114" i="8"/>
  <c r="AB113" i="8"/>
  <c r="AB111" i="8"/>
  <c r="AB110" i="8"/>
  <c r="AB108" i="8"/>
  <c r="AB106" i="8"/>
  <c r="AB104" i="8"/>
  <c r="AB103" i="8"/>
  <c r="AB101" i="8"/>
  <c r="AB100" i="8"/>
  <c r="AB99" i="8"/>
  <c r="AB96" i="8"/>
  <c r="AB95" i="8"/>
  <c r="AB94" i="8"/>
  <c r="AB92" i="8"/>
  <c r="AB91" i="8"/>
  <c r="AB90" i="8"/>
  <c r="AB89" i="8"/>
  <c r="AB88" i="8"/>
  <c r="AB87" i="8"/>
  <c r="AB86" i="8"/>
  <c r="AB83" i="8"/>
  <c r="AB82" i="8"/>
  <c r="AB81" i="8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AA163" i="8"/>
  <c r="AA161" i="8"/>
  <c r="AA157" i="8"/>
  <c r="AA156" i="8"/>
  <c r="AA155" i="8"/>
  <c r="AA154" i="8"/>
  <c r="AA136" i="8"/>
  <c r="AA118" i="8"/>
  <c r="AA114" i="8"/>
  <c r="AA112" i="8"/>
  <c r="AA109" i="8"/>
  <c r="AA108" i="8"/>
  <c r="AA104" i="8"/>
  <c r="AA97" i="8"/>
  <c r="AA96" i="8"/>
  <c r="AA93" i="8"/>
  <c r="AA91" i="8"/>
  <c r="AA89" i="8"/>
  <c r="AA88" i="8"/>
  <c r="AA87" i="8"/>
  <c r="AA86" i="8"/>
  <c r="AA82" i="8"/>
  <c r="AA81" i="8"/>
  <c r="AA78" i="8"/>
  <c r="Z164" i="8"/>
  <c r="Z163" i="8"/>
  <c r="Z162" i="8"/>
  <c r="Z161" i="8"/>
  <c r="Z160" i="8"/>
  <c r="Z159" i="8"/>
  <c r="Z158" i="8"/>
  <c r="Z156" i="8"/>
  <c r="Z154" i="8"/>
  <c r="Z153" i="8"/>
  <c r="Z152" i="8"/>
  <c r="Z151" i="8"/>
  <c r="Z150" i="8"/>
  <c r="Z148" i="8"/>
  <c r="Z146" i="8"/>
  <c r="Z143" i="8"/>
  <c r="Z140" i="8"/>
  <c r="Z139" i="8"/>
  <c r="Z138" i="8"/>
  <c r="Z137" i="8"/>
  <c r="Z136" i="8"/>
  <c r="Z135" i="8"/>
  <c r="Z134" i="8"/>
  <c r="Z133" i="8"/>
  <c r="Z132" i="8"/>
  <c r="Z131" i="8"/>
  <c r="Z129" i="8"/>
  <c r="Z128" i="8"/>
  <c r="Z125" i="8"/>
  <c r="Z124" i="8"/>
  <c r="Z123" i="8"/>
  <c r="Z122" i="8"/>
  <c r="Z120" i="8"/>
  <c r="Z119" i="8"/>
  <c r="Z118" i="8"/>
  <c r="Z117" i="8"/>
  <c r="Z113" i="8"/>
  <c r="Z112" i="8"/>
  <c r="Z111" i="8"/>
  <c r="Z110" i="8"/>
  <c r="Z109" i="8"/>
  <c r="Z108" i="8"/>
  <c r="Z107" i="8"/>
  <c r="Z106" i="8"/>
  <c r="Z105" i="8"/>
  <c r="Z104" i="8"/>
  <c r="Z102" i="8"/>
  <c r="Z101" i="8"/>
  <c r="Z97" i="8"/>
  <c r="Z96" i="8"/>
  <c r="Z95" i="8"/>
  <c r="Z94" i="8"/>
  <c r="Z93" i="8"/>
  <c r="Z92" i="8"/>
  <c r="Z91" i="8"/>
  <c r="Z90" i="8"/>
  <c r="Z88" i="8"/>
  <c r="Z86" i="8"/>
  <c r="Z85" i="8"/>
  <c r="Z84" i="8"/>
  <c r="Z82" i="8"/>
  <c r="Z80" i="8"/>
  <c r="Z79" i="8"/>
  <c r="Z78" i="8"/>
  <c r="Z77" i="8"/>
  <c r="Z76" i="8"/>
  <c r="Z74" i="8"/>
  <c r="Z73" i="8"/>
  <c r="Z72" i="8"/>
  <c r="Z71" i="8"/>
  <c r="Z70" i="8"/>
  <c r="Z69" i="8"/>
  <c r="Z68" i="8"/>
  <c r="Z67" i="8"/>
  <c r="Y165" i="8"/>
  <c r="Y164" i="8"/>
  <c r="Y159" i="8"/>
  <c r="Y158" i="8"/>
  <c r="Y156" i="8"/>
  <c r="Y152" i="8"/>
  <c r="Y151" i="8"/>
  <c r="Y148" i="8"/>
  <c r="Y146" i="8"/>
  <c r="Y145" i="8"/>
  <c r="Y144" i="8"/>
  <c r="Y143" i="8"/>
  <c r="Y141" i="8"/>
  <c r="Y138" i="8"/>
  <c r="Y137" i="8"/>
  <c r="Y136" i="8"/>
  <c r="Y131" i="8"/>
  <c r="Y130" i="8"/>
  <c r="Y128" i="8"/>
  <c r="Y123" i="8"/>
  <c r="Y122" i="8"/>
  <c r="Y120" i="8"/>
  <c r="Y119" i="8"/>
  <c r="Y118" i="8"/>
  <c r="Y117" i="8"/>
  <c r="Y114" i="8"/>
  <c r="Y111" i="8"/>
  <c r="Y108" i="8"/>
  <c r="Y107" i="8"/>
  <c r="Y104" i="8"/>
  <c r="Y103" i="8"/>
  <c r="Y102" i="8"/>
  <c r="Y99" i="8"/>
  <c r="Y88" i="8"/>
  <c r="Y87" i="8"/>
  <c r="Y84" i="8"/>
  <c r="Y82" i="8"/>
  <c r="Y81" i="8"/>
  <c r="Y78" i="8"/>
  <c r="Y74" i="8"/>
  <c r="X164" i="8"/>
  <c r="X160" i="8"/>
  <c r="X157" i="8"/>
  <c r="X156" i="8"/>
  <c r="X155" i="8"/>
  <c r="X154" i="8"/>
  <c r="X153" i="8"/>
  <c r="X151" i="8"/>
  <c r="X150" i="8"/>
  <c r="X148" i="8"/>
  <c r="X146" i="8"/>
  <c r="X143" i="8"/>
  <c r="X142" i="8"/>
  <c r="X141" i="8"/>
  <c r="X140" i="8"/>
  <c r="X139" i="8"/>
  <c r="X138" i="8"/>
  <c r="X137" i="8"/>
  <c r="X136" i="8"/>
  <c r="X135" i="8"/>
  <c r="X134" i="8"/>
  <c r="X132" i="8"/>
  <c r="X131" i="8"/>
  <c r="X130" i="8"/>
  <c r="X129" i="8"/>
  <c r="X127" i="8"/>
  <c r="X126" i="8"/>
  <c r="X124" i="8"/>
  <c r="X123" i="8"/>
  <c r="X122" i="8"/>
  <c r="X121" i="8"/>
  <c r="X120" i="8"/>
  <c r="X118" i="8"/>
  <c r="X117" i="8"/>
  <c r="X115" i="8"/>
  <c r="X114" i="8"/>
  <c r="X112" i="8"/>
  <c r="X111" i="8"/>
  <c r="X110" i="8"/>
  <c r="X109" i="8"/>
  <c r="X106" i="8"/>
  <c r="X105" i="8"/>
  <c r="X104" i="8"/>
  <c r="X103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2" i="8"/>
  <c r="X81" i="8"/>
  <c r="X80" i="8"/>
  <c r="X78" i="8"/>
  <c r="X77" i="8"/>
  <c r="X75" i="8"/>
  <c r="X73" i="8"/>
  <c r="X71" i="8"/>
  <c r="X69" i="8"/>
  <c r="X67" i="8"/>
  <c r="W139" i="8"/>
  <c r="W143" i="8"/>
  <c r="W144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8" i="8"/>
  <c r="V67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8" i="8"/>
  <c r="U147" i="8"/>
  <c r="U146" i="8"/>
  <c r="U145" i="8"/>
  <c r="U143" i="8"/>
  <c r="U142" i="8"/>
  <c r="U141" i="8"/>
  <c r="U140" i="8"/>
  <c r="U139" i="8"/>
  <c r="U138" i="8"/>
  <c r="U137" i="8"/>
  <c r="U136" i="8"/>
  <c r="U135" i="8"/>
  <c r="U133" i="8"/>
  <c r="U132" i="8"/>
  <c r="U131" i="8"/>
  <c r="U130" i="8"/>
  <c r="U129" i="8"/>
  <c r="U128" i="8"/>
  <c r="U126" i="8"/>
  <c r="U124" i="8"/>
  <c r="U123" i="8"/>
  <c r="U122" i="8"/>
  <c r="U120" i="8"/>
  <c r="U119" i="8"/>
  <c r="U118" i="8"/>
  <c r="U117" i="8"/>
  <c r="U116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4" i="8"/>
  <c r="S143" i="8"/>
  <c r="S142" i="8"/>
  <c r="S141" i="8"/>
  <c r="S140" i="8"/>
  <c r="S139" i="8"/>
  <c r="S138" i="8"/>
  <c r="S137" i="8"/>
  <c r="S136" i="8"/>
  <c r="S135" i="8"/>
  <c r="S134" i="8"/>
  <c r="S133" i="8"/>
  <c r="S132" i="8"/>
  <c r="S131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5" i="8"/>
  <c r="S114" i="8"/>
  <c r="S113" i="8"/>
  <c r="S112" i="8"/>
  <c r="S111" i="8"/>
  <c r="S110" i="8"/>
  <c r="S109" i="8"/>
  <c r="S108" i="8"/>
  <c r="S107" i="8"/>
  <c r="S105" i="8"/>
  <c r="S104" i="8"/>
  <c r="S103" i="8"/>
  <c r="S102" i="8"/>
  <c r="S101" i="8"/>
  <c r="S100" i="8"/>
  <c r="S98" i="8"/>
  <c r="S97" i="8"/>
  <c r="S96" i="8"/>
  <c r="S94" i="8"/>
  <c r="S93" i="8"/>
  <c r="S92" i="8"/>
  <c r="S91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3" i="8"/>
  <c r="S72" i="8"/>
  <c r="S71" i="8"/>
  <c r="S67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69" i="8"/>
  <c r="R68" i="8"/>
  <c r="R67" i="8"/>
  <c r="Q165" i="8"/>
  <c r="Q164" i="8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Q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6" i="8"/>
  <c r="P125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K144" i="8"/>
  <c r="K143" i="8"/>
  <c r="K139" i="8"/>
  <c r="K102" i="8"/>
  <c r="H162" i="8"/>
  <c r="H159" i="8"/>
  <c r="H158" i="8"/>
  <c r="H157" i="8"/>
  <c r="H156" i="8"/>
  <c r="H154" i="8"/>
  <c r="H144" i="8"/>
  <c r="H141" i="8"/>
  <c r="H139" i="8"/>
  <c r="H136" i="8"/>
  <c r="H135" i="8"/>
  <c r="H134" i="8"/>
  <c r="H132" i="8"/>
  <c r="H131" i="8"/>
  <c r="H130" i="8"/>
  <c r="H129" i="8"/>
  <c r="H123" i="8"/>
  <c r="H121" i="8"/>
  <c r="H119" i="8"/>
  <c r="H118" i="8"/>
  <c r="H112" i="8"/>
  <c r="H109" i="8"/>
  <c r="H108" i="8"/>
  <c r="H107" i="8"/>
  <c r="H104" i="8"/>
  <c r="H103" i="8"/>
  <c r="H102" i="8"/>
  <c r="H97" i="8"/>
  <c r="H96" i="8"/>
  <c r="H93" i="8"/>
  <c r="H88" i="8"/>
  <c r="H84" i="8"/>
  <c r="H75" i="8"/>
  <c r="H73" i="8"/>
  <c r="H71" i="8"/>
  <c r="H68" i="8"/>
  <c r="H67" i="8"/>
  <c r="G162" i="8"/>
  <c r="G159" i="8"/>
  <c r="G158" i="8"/>
  <c r="G157" i="8"/>
  <c r="G154" i="8"/>
  <c r="G144" i="8"/>
  <c r="G139" i="8"/>
  <c r="G135" i="8"/>
  <c r="G134" i="8"/>
  <c r="G133" i="8"/>
  <c r="G132" i="8"/>
  <c r="G131" i="8"/>
  <c r="G130" i="8"/>
  <c r="G126" i="8"/>
  <c r="G125" i="8"/>
  <c r="G124" i="8"/>
  <c r="G123" i="8"/>
  <c r="G119" i="8"/>
  <c r="G109" i="8"/>
  <c r="G104" i="8"/>
  <c r="G102" i="8"/>
  <c r="G97" i="8"/>
  <c r="G96" i="8"/>
  <c r="G93" i="8"/>
  <c r="G88" i="8"/>
  <c r="G75" i="8"/>
  <c r="G71" i="8"/>
  <c r="G68" i="8"/>
  <c r="G67" i="8"/>
  <c r="F162" i="8"/>
  <c r="F159" i="8"/>
  <c r="F158" i="8"/>
  <c r="F157" i="8"/>
  <c r="F156" i="8"/>
  <c r="F154" i="8"/>
  <c r="F144" i="8"/>
  <c r="F141" i="8"/>
  <c r="F139" i="8"/>
  <c r="F136" i="8"/>
  <c r="F135" i="8"/>
  <c r="F134" i="8"/>
  <c r="F133" i="8"/>
  <c r="F132" i="8"/>
  <c r="F131" i="8"/>
  <c r="F130" i="8"/>
  <c r="F129" i="8"/>
  <c r="F126" i="8"/>
  <c r="F125" i="8"/>
  <c r="F124" i="8"/>
  <c r="F123" i="8"/>
  <c r="F121" i="8"/>
  <c r="F119" i="8"/>
  <c r="F118" i="8"/>
  <c r="F109" i="8"/>
  <c r="F108" i="8"/>
  <c r="F107" i="8"/>
  <c r="F104" i="8"/>
  <c r="F103" i="8"/>
  <c r="F102" i="8"/>
  <c r="F97" i="8"/>
  <c r="F96" i="8"/>
  <c r="F93" i="8"/>
  <c r="F88" i="8"/>
  <c r="F84" i="8"/>
  <c r="F75" i="8"/>
  <c r="F73" i="8"/>
  <c r="F71" i="8"/>
  <c r="F68" i="8"/>
  <c r="F67" i="8"/>
  <c r="E165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8" i="8"/>
  <c r="E147" i="8"/>
  <c r="E146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8" i="8"/>
  <c r="E67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C164" i="8"/>
  <c r="P164" i="8"/>
  <c r="C162" i="8"/>
  <c r="C160" i="8"/>
  <c r="C158" i="8"/>
  <c r="C156" i="8"/>
  <c r="C152" i="8"/>
  <c r="C150" i="8"/>
  <c r="C148" i="8"/>
  <c r="C146" i="8"/>
  <c r="C142" i="8"/>
  <c r="C140" i="8"/>
  <c r="C138" i="8"/>
  <c r="C134" i="8"/>
  <c r="C133" i="8"/>
  <c r="C132" i="8"/>
  <c r="C130" i="8"/>
  <c r="C128" i="8"/>
  <c r="C126" i="8"/>
  <c r="C125" i="8"/>
  <c r="C123" i="8"/>
  <c r="C122" i="8"/>
  <c r="C121" i="8"/>
  <c r="C118" i="8"/>
  <c r="C112" i="8"/>
  <c r="C108" i="8"/>
  <c r="C106" i="8"/>
  <c r="C104" i="8"/>
  <c r="C100" i="8"/>
  <c r="C99" i="8"/>
  <c r="C98" i="8"/>
  <c r="C95" i="8"/>
  <c r="C92" i="8"/>
  <c r="C91" i="8"/>
  <c r="C87" i="8"/>
  <c r="C86" i="8"/>
  <c r="C85" i="8"/>
  <c r="C79" i="8"/>
  <c r="C78" i="8"/>
  <c r="C68" i="8"/>
  <c r="C67" i="8"/>
  <c r="AB47" i="8"/>
  <c r="AB38" i="8"/>
  <c r="AB33" i="8"/>
  <c r="AB30" i="8"/>
  <c r="AB28" i="8"/>
  <c r="AB27" i="8"/>
  <c r="AB26" i="8"/>
  <c r="AB25" i="8"/>
  <c r="AB11" i="8"/>
  <c r="AB10" i="8"/>
  <c r="AB9" i="8"/>
  <c r="AA58" i="8"/>
  <c r="AA57" i="8"/>
  <c r="AA55" i="8"/>
  <c r="AA48" i="8"/>
  <c r="AA47" i="8"/>
  <c r="AA45" i="8"/>
  <c r="AA43" i="8"/>
  <c r="AA42" i="8"/>
  <c r="AA41" i="8"/>
  <c r="AA39" i="8"/>
  <c r="AA38" i="8"/>
  <c r="AA37" i="8"/>
  <c r="AA33" i="8"/>
  <c r="AA28" i="8"/>
  <c r="AA27" i="8"/>
  <c r="AA26" i="8"/>
  <c r="AA25" i="8"/>
  <c r="AA16" i="8"/>
  <c r="AA15" i="8"/>
  <c r="AA14" i="8"/>
  <c r="AA13" i="8"/>
  <c r="AA12" i="8"/>
  <c r="AA11" i="8"/>
  <c r="AA10" i="8"/>
  <c r="AA9" i="8"/>
  <c r="AA8" i="8"/>
  <c r="AA6" i="8"/>
  <c r="AA4" i="8"/>
  <c r="Z56" i="8"/>
  <c r="Z55" i="8"/>
  <c r="Z54" i="8"/>
  <c r="Z53" i="8"/>
  <c r="Z51" i="8"/>
  <c r="Z50" i="8"/>
  <c r="Z48" i="8"/>
  <c r="Z46" i="8"/>
  <c r="Z43" i="8"/>
  <c r="Z41" i="8"/>
  <c r="Z38" i="8"/>
  <c r="Z36" i="8"/>
  <c r="Z35" i="8"/>
  <c r="Z34" i="8"/>
  <c r="Z33" i="8"/>
  <c r="Z30" i="8"/>
  <c r="Z29" i="8"/>
  <c r="Z28" i="8"/>
  <c r="Z27" i="8"/>
  <c r="Z26" i="8"/>
  <c r="Z25" i="8"/>
  <c r="X24" i="8"/>
  <c r="Z24" i="8"/>
  <c r="Z23" i="8"/>
  <c r="Z18" i="8"/>
  <c r="Z16" i="8"/>
  <c r="Z15" i="8"/>
  <c r="Z14" i="8"/>
  <c r="Z13" i="8"/>
  <c r="Z12" i="8"/>
  <c r="Z11" i="8"/>
  <c r="Z10" i="8"/>
  <c r="Z8" i="8"/>
  <c r="Z6" i="8"/>
  <c r="Z4" i="8"/>
  <c r="Y63" i="8"/>
  <c r="Y60" i="8"/>
  <c r="Y59" i="8"/>
  <c r="Y58" i="8"/>
  <c r="Y57" i="8"/>
  <c r="Y56" i="8"/>
  <c r="Y55" i="8"/>
  <c r="Y54" i="8"/>
  <c r="Y52" i="8"/>
  <c r="Y51" i="8"/>
  <c r="Y50" i="8"/>
  <c r="Y47" i="8"/>
  <c r="Y43" i="8"/>
  <c r="Y42" i="8"/>
  <c r="Y41" i="8"/>
  <c r="Y38" i="8"/>
  <c r="Y34" i="8"/>
  <c r="Y31" i="8"/>
  <c r="Y28" i="8"/>
  <c r="Y27" i="8"/>
  <c r="Y26" i="8"/>
  <c r="Y25" i="8"/>
  <c r="Y22" i="8"/>
  <c r="Y20" i="8"/>
  <c r="Y19" i="8"/>
  <c r="Y18" i="8"/>
  <c r="Y17" i="8"/>
  <c r="Y15" i="8"/>
  <c r="Y13" i="8"/>
  <c r="Y12" i="8"/>
  <c r="Y11" i="8"/>
  <c r="Y10" i="8"/>
  <c r="Y9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8" i="8"/>
  <c r="X46" i="8"/>
  <c r="X45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3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6" i="8"/>
  <c r="X4" i="8"/>
  <c r="X3" i="8"/>
  <c r="W60" i="8"/>
  <c r="W55" i="8"/>
  <c r="W48" i="8"/>
  <c r="W38" i="8"/>
  <c r="W31" i="8"/>
  <c r="W25" i="8"/>
  <c r="W20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4" i="8"/>
  <c r="V26" i="8"/>
  <c r="V25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U65" i="8"/>
  <c r="U64" i="8"/>
  <c r="U63" i="8"/>
  <c r="U62" i="8"/>
  <c r="U61" i="8"/>
  <c r="U60" i="8"/>
  <c r="U59" i="8"/>
  <c r="U58" i="8"/>
  <c r="U57" i="8"/>
  <c r="U55" i="8"/>
  <c r="U54" i="8"/>
  <c r="U53" i="8"/>
  <c r="U52" i="8"/>
  <c r="U51" i="8"/>
  <c r="U50" i="8"/>
  <c r="U49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2" i="8"/>
  <c r="U31" i="8"/>
  <c r="U30" i="8"/>
  <c r="U29" i="8"/>
  <c r="U28" i="8"/>
  <c r="U27" i="8"/>
  <c r="U26" i="8"/>
  <c r="U24" i="8"/>
  <c r="U25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6" i="8"/>
  <c r="T24" i="8"/>
  <c r="T28" i="8"/>
  <c r="T27" i="8"/>
  <c r="T25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R65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24" i="8"/>
  <c r="Q36" i="8"/>
  <c r="Q35" i="8"/>
  <c r="Q34" i="8"/>
  <c r="Q33" i="8"/>
  <c r="Q32" i="8"/>
  <c r="Q31" i="8"/>
  <c r="Q30" i="8"/>
  <c r="Q29" i="8"/>
  <c r="Q28" i="8"/>
  <c r="Q27" i="8"/>
  <c r="Q26" i="8"/>
  <c r="Q25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P65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7" i="8"/>
  <c r="P46" i="8"/>
  <c r="P45" i="8"/>
  <c r="P44" i="8"/>
  <c r="P43" i="8"/>
  <c r="P42" i="8"/>
  <c r="P41" i="8"/>
  <c r="P40" i="8"/>
  <c r="P39" i="8"/>
  <c r="P38" i="8"/>
  <c r="P37" i="8"/>
  <c r="P36" i="8"/>
  <c r="P34" i="8"/>
  <c r="P33" i="8"/>
  <c r="P32" i="8"/>
  <c r="P31" i="8"/>
  <c r="P30" i="8"/>
  <c r="P29" i="8"/>
  <c r="P28" i="8"/>
  <c r="P27" i="8"/>
  <c r="P26" i="8"/>
  <c r="P25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K60" i="8"/>
  <c r="K59" i="8"/>
  <c r="K58" i="8"/>
  <c r="K57" i="8"/>
  <c r="K56" i="8"/>
  <c r="K53" i="8"/>
  <c r="K43" i="8"/>
  <c r="K38" i="8"/>
  <c r="K31" i="8"/>
  <c r="K22" i="8"/>
  <c r="K20" i="8"/>
  <c r="K19" i="8"/>
  <c r="K18" i="8"/>
  <c r="K17" i="8"/>
  <c r="K14" i="8"/>
  <c r="H65" i="8"/>
  <c r="H63" i="8"/>
  <c r="H62" i="8"/>
  <c r="H61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3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4" i="8"/>
  <c r="G65" i="8"/>
  <c r="G63" i="8"/>
  <c r="G62" i="8"/>
  <c r="G61" i="8"/>
  <c r="G58" i="8"/>
  <c r="G57" i="8"/>
  <c r="G56" i="8"/>
  <c r="G55" i="8"/>
  <c r="G54" i="8"/>
  <c r="G53" i="8"/>
  <c r="G52" i="8"/>
  <c r="G51" i="8"/>
  <c r="G50" i="8"/>
  <c r="G49" i="8"/>
  <c r="G47" i="8"/>
  <c r="G46" i="8"/>
  <c r="G45" i="8"/>
  <c r="G43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4" i="8"/>
  <c r="G3" i="8"/>
  <c r="F65" i="8"/>
  <c r="F63" i="8"/>
  <c r="F62" i="8"/>
  <c r="F61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3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C3" i="8"/>
  <c r="C65" i="8"/>
  <c r="C63" i="8"/>
  <c r="C61" i="8"/>
  <c r="C60" i="8"/>
  <c r="C59" i="8"/>
  <c r="C55" i="8"/>
  <c r="C53" i="8"/>
  <c r="C51" i="8"/>
  <c r="C50" i="8"/>
  <c r="C49" i="8"/>
  <c r="C48" i="8"/>
  <c r="C47" i="8"/>
  <c r="C45" i="8"/>
  <c r="C44" i="8"/>
  <c r="C41" i="8"/>
  <c r="C40" i="8"/>
  <c r="C39" i="8"/>
  <c r="C38" i="8"/>
  <c r="C37" i="8"/>
  <c r="C36" i="8"/>
  <c r="C35" i="8"/>
  <c r="C33" i="8"/>
  <c r="C32" i="8"/>
  <c r="C29" i="8"/>
  <c r="C27" i="8"/>
  <c r="C25" i="8"/>
  <c r="C24" i="8"/>
  <c r="C22" i="8"/>
  <c r="C21" i="8"/>
  <c r="C20" i="8"/>
  <c r="C18" i="8"/>
  <c r="C17" i="8"/>
  <c r="C16" i="8"/>
  <c r="C15" i="8"/>
  <c r="C14" i="8"/>
  <c r="C12" i="8"/>
  <c r="C11" i="8"/>
  <c r="C10" i="8"/>
  <c r="C9" i="8"/>
  <c r="C8" i="8"/>
  <c r="C7" i="8"/>
  <c r="C6" i="8"/>
  <c r="C5" i="8"/>
  <c r="C4" i="8"/>
  <c r="Z3" i="8"/>
  <c r="V3" i="8"/>
  <c r="U3" i="8"/>
  <c r="T3" i="8"/>
  <c r="S3" i="8"/>
  <c r="R3" i="8"/>
  <c r="Q3" i="8"/>
  <c r="P3" i="8"/>
  <c r="O3" i="8"/>
  <c r="N3" i="8"/>
  <c r="M3" i="8"/>
  <c r="H3" i="8"/>
  <c r="C534" i="8"/>
  <c r="C443" i="8"/>
  <c r="C372" i="8"/>
  <c r="C361" i="8"/>
  <c r="C124" i="8"/>
  <c r="C613" i="8"/>
  <c r="C612" i="8"/>
  <c r="C611" i="8"/>
  <c r="C610" i="8"/>
  <c r="C609" i="8"/>
  <c r="C606" i="8"/>
  <c r="C605" i="8"/>
  <c r="C598" i="8"/>
  <c r="C596" i="8"/>
  <c r="C595" i="8"/>
  <c r="C593" i="8"/>
  <c r="C589" i="8"/>
  <c r="C588" i="8"/>
  <c r="C586" i="8"/>
  <c r="C584" i="8"/>
  <c r="C582" i="8"/>
  <c r="C581" i="8"/>
  <c r="C579" i="8"/>
  <c r="C578" i="8"/>
  <c r="C576" i="8"/>
  <c r="C574" i="8"/>
  <c r="C570" i="8"/>
  <c r="C569" i="8"/>
  <c r="C568" i="8"/>
  <c r="C567" i="8"/>
  <c r="C565" i="8"/>
  <c r="C563" i="8"/>
  <c r="C562" i="8"/>
  <c r="C561" i="8"/>
  <c r="C560" i="8"/>
  <c r="C559" i="8"/>
  <c r="C557" i="8"/>
  <c r="C556" i="8"/>
  <c r="C555" i="8"/>
  <c r="C554" i="8"/>
  <c r="C553" i="8"/>
  <c r="C551" i="8"/>
  <c r="C549" i="8"/>
  <c r="C548" i="8"/>
  <c r="C543" i="8"/>
  <c r="C542" i="8"/>
  <c r="C541" i="8"/>
  <c r="C537" i="8"/>
  <c r="C536" i="8"/>
  <c r="C535" i="8"/>
  <c r="C531" i="8"/>
  <c r="C527" i="8"/>
  <c r="C526" i="8"/>
  <c r="C525" i="8"/>
  <c r="C521" i="8"/>
  <c r="C520" i="8"/>
  <c r="C519" i="8"/>
  <c r="C518" i="8"/>
  <c r="C517" i="8"/>
  <c r="C516" i="8"/>
  <c r="C514" i="8"/>
  <c r="C512" i="8"/>
  <c r="C511" i="8"/>
  <c r="C510" i="8"/>
  <c r="C508" i="8"/>
  <c r="C507" i="8"/>
  <c r="C506" i="8"/>
  <c r="C505" i="8"/>
  <c r="C504" i="8"/>
  <c r="C503" i="8"/>
  <c r="C500" i="8"/>
  <c r="C499" i="8"/>
  <c r="C498" i="8"/>
  <c r="C497" i="8"/>
  <c r="C496" i="8"/>
  <c r="C495" i="8"/>
  <c r="C494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7" i="8"/>
  <c r="C475" i="8"/>
  <c r="C474" i="8"/>
  <c r="C473" i="8"/>
  <c r="C472" i="8"/>
  <c r="C470" i="8"/>
  <c r="C469" i="8"/>
  <c r="C468" i="8"/>
  <c r="C464" i="8"/>
  <c r="C462" i="8"/>
  <c r="C459" i="8"/>
  <c r="C456" i="8"/>
  <c r="C452" i="8"/>
  <c r="C451" i="8"/>
  <c r="C449" i="8"/>
  <c r="C447" i="8"/>
  <c r="C445" i="8"/>
  <c r="C442" i="8"/>
  <c r="C441" i="8"/>
  <c r="C439" i="8"/>
  <c r="C438" i="8"/>
  <c r="C437" i="8"/>
  <c r="C435" i="8"/>
  <c r="C433" i="8"/>
  <c r="C431" i="8"/>
  <c r="C429" i="8"/>
  <c r="C427" i="8"/>
  <c r="C426" i="8"/>
  <c r="C425" i="8"/>
  <c r="C424" i="8"/>
  <c r="C423" i="8"/>
  <c r="C422" i="8"/>
  <c r="C421" i="8"/>
  <c r="C420" i="8"/>
  <c r="C419" i="8"/>
  <c r="C418" i="8"/>
  <c r="C417" i="8"/>
  <c r="C415" i="8"/>
  <c r="C413" i="8"/>
  <c r="C411" i="8"/>
  <c r="C409" i="8"/>
  <c r="C408" i="8"/>
  <c r="C407" i="8"/>
  <c r="C406" i="8"/>
  <c r="C405" i="8"/>
  <c r="C403" i="8"/>
  <c r="C402" i="8"/>
  <c r="C400" i="8"/>
  <c r="C399" i="8"/>
  <c r="C398" i="8"/>
  <c r="C397" i="8"/>
  <c r="C396" i="8"/>
  <c r="C394" i="8"/>
  <c r="C392" i="8"/>
  <c r="C391" i="8"/>
  <c r="C390" i="8"/>
  <c r="C389" i="8"/>
  <c r="C388" i="8"/>
  <c r="C386" i="8"/>
  <c r="C385" i="8"/>
  <c r="C384" i="8"/>
  <c r="C382" i="8"/>
  <c r="C381" i="8"/>
  <c r="C380" i="8"/>
  <c r="C378" i="8"/>
  <c r="C377" i="8"/>
  <c r="C376" i="8"/>
  <c r="C374" i="8"/>
  <c r="C371" i="8"/>
  <c r="C370" i="8"/>
  <c r="C368" i="8"/>
  <c r="C366" i="8"/>
  <c r="C364" i="8"/>
  <c r="C363" i="8"/>
  <c r="C360" i="8"/>
  <c r="C358" i="8"/>
  <c r="C356" i="8"/>
  <c r="C352" i="8"/>
  <c r="C350" i="8"/>
  <c r="C349" i="8"/>
  <c r="C348" i="8"/>
  <c r="C347" i="8"/>
  <c r="C346" i="8"/>
  <c r="C344" i="8"/>
  <c r="C343" i="8"/>
  <c r="C342" i="8"/>
  <c r="C341" i="8"/>
  <c r="C340" i="8"/>
  <c r="C338" i="8"/>
  <c r="C336" i="8"/>
  <c r="C334" i="8"/>
  <c r="C332" i="8"/>
  <c r="C331" i="8"/>
  <c r="C327" i="8"/>
  <c r="C325" i="8"/>
  <c r="C324" i="8"/>
  <c r="C323" i="8"/>
  <c r="C321" i="8"/>
  <c r="C319" i="8"/>
  <c r="C317" i="8"/>
  <c r="C316" i="8"/>
  <c r="C315" i="8"/>
  <c r="C314" i="8"/>
  <c r="C313" i="8"/>
  <c r="C311" i="8"/>
  <c r="C310" i="8"/>
  <c r="C308" i="8"/>
  <c r="C307" i="8"/>
  <c r="C306" i="8"/>
  <c r="C305" i="8"/>
  <c r="C304" i="8"/>
  <c r="C303" i="8"/>
  <c r="C301" i="8"/>
  <c r="C299" i="8"/>
  <c r="C297" i="8"/>
  <c r="C295" i="8"/>
  <c r="C293" i="8"/>
  <c r="C292" i="8"/>
  <c r="C291" i="8"/>
  <c r="C289" i="8"/>
  <c r="C287" i="8"/>
  <c r="C285" i="8"/>
  <c r="C284" i="8"/>
  <c r="C283" i="8"/>
  <c r="C281" i="8"/>
  <c r="C274" i="8"/>
  <c r="C275" i="8"/>
  <c r="C276" i="8"/>
  <c r="C277" i="8"/>
  <c r="C273" i="8"/>
  <c r="C268" i="8"/>
  <c r="C267" i="8"/>
  <c r="C266" i="8"/>
  <c r="C265" i="8"/>
  <c r="C261" i="8"/>
  <c r="C259" i="8"/>
  <c r="C257" i="8"/>
  <c r="C255" i="8"/>
  <c r="C253" i="8"/>
  <c r="C251" i="8"/>
  <c r="C250" i="8"/>
  <c r="C249" i="8"/>
  <c r="C247" i="8"/>
  <c r="C245" i="8"/>
  <c r="C243" i="8"/>
  <c r="C242" i="8"/>
  <c r="C241" i="8"/>
  <c r="C239" i="8"/>
  <c r="C237" i="8"/>
  <c r="C235" i="8"/>
  <c r="C233" i="8"/>
  <c r="C232" i="8"/>
  <c r="C231" i="8"/>
  <c r="C229" i="8"/>
  <c r="C227" i="8"/>
  <c r="C225" i="8"/>
  <c r="C223" i="8"/>
  <c r="C222" i="8"/>
  <c r="C221" i="8"/>
  <c r="C219" i="8"/>
  <c r="C217" i="8"/>
  <c r="C215" i="8"/>
  <c r="C213" i="8"/>
  <c r="C211" i="8"/>
  <c r="C209" i="8"/>
  <c r="C207" i="8"/>
  <c r="C206" i="8"/>
  <c r="C205" i="8"/>
  <c r="C203" i="8"/>
  <c r="C201" i="8"/>
  <c r="C199" i="8"/>
  <c r="C197" i="8"/>
  <c r="C195" i="8"/>
  <c r="C193" i="8"/>
  <c r="C191" i="8"/>
  <c r="C187" i="8"/>
  <c r="C185" i="8"/>
  <c r="C184" i="8"/>
  <c r="C183" i="8"/>
  <c r="C181" i="8"/>
  <c r="C179" i="8"/>
  <c r="C178" i="8"/>
  <c r="C177" i="8"/>
  <c r="C175" i="8"/>
  <c r="C173" i="8"/>
  <c r="C171" i="8"/>
  <c r="C170" i="8"/>
  <c r="C169" i="8"/>
  <c r="C168" i="8"/>
  <c r="C165" i="8"/>
  <c r="C163" i="8"/>
  <c r="C161" i="8"/>
  <c r="C159" i="8"/>
  <c r="C157" i="8"/>
  <c r="C155" i="8"/>
  <c r="C154" i="8"/>
  <c r="C153" i="8"/>
  <c r="C151" i="8"/>
  <c r="C149" i="8"/>
  <c r="C147" i="8"/>
  <c r="C145" i="8"/>
  <c r="C144" i="8"/>
  <c r="C143" i="8"/>
  <c r="C141" i="8"/>
  <c r="C139" i="8"/>
  <c r="C137" i="8"/>
  <c r="C136" i="8"/>
  <c r="C135" i="8"/>
  <c r="C131" i="8"/>
  <c r="C129" i="8"/>
  <c r="C127" i="8"/>
  <c r="C120" i="8"/>
  <c r="C119" i="8"/>
  <c r="C117" i="8"/>
  <c r="C116" i="8"/>
  <c r="C115" i="8"/>
  <c r="C114" i="8"/>
  <c r="C113" i="8"/>
  <c r="C111" i="8"/>
  <c r="C110" i="8"/>
  <c r="C109" i="8"/>
  <c r="C107" i="8"/>
  <c r="C105" i="8"/>
  <c r="C103" i="8"/>
  <c r="C102" i="8"/>
  <c r="C101" i="8"/>
  <c r="C97" i="8"/>
  <c r="C96" i="8"/>
  <c r="C94" i="8"/>
  <c r="C93" i="8"/>
  <c r="C90" i="8"/>
  <c r="C89" i="8"/>
  <c r="C88" i="8"/>
  <c r="C84" i="8"/>
  <c r="C83" i="8"/>
  <c r="C82" i="8"/>
  <c r="C81" i="8"/>
  <c r="C80" i="8"/>
  <c r="C77" i="8"/>
  <c r="C76" i="8"/>
  <c r="C75" i="8"/>
  <c r="C74" i="8"/>
  <c r="C73" i="8"/>
  <c r="C72" i="8"/>
  <c r="C71" i="8"/>
  <c r="C70" i="8"/>
  <c r="C69" i="8"/>
  <c r="C64" i="8"/>
  <c r="C62" i="8"/>
  <c r="C58" i="8"/>
  <c r="C57" i="8"/>
  <c r="C56" i="8"/>
  <c r="C54" i="8"/>
  <c r="C52" i="8"/>
  <c r="C46" i="8"/>
  <c r="C43" i="8"/>
  <c r="C42" i="8"/>
  <c r="C34" i="8"/>
  <c r="C31" i="8"/>
  <c r="C30" i="8"/>
  <c r="C28" i="8"/>
  <c r="C26" i="8"/>
  <c r="C23" i="8"/>
  <c r="C19" i="8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L94" i="10"/>
  <c r="K93" i="10"/>
  <c r="J93" i="10"/>
  <c r="I93" i="10"/>
  <c r="H93" i="10"/>
  <c r="H94" i="10"/>
  <c r="G93" i="10"/>
  <c r="G94" i="10"/>
  <c r="F93" i="10"/>
  <c r="F94" i="10"/>
  <c r="E93" i="10"/>
  <c r="E94" i="10"/>
  <c r="D93" i="10"/>
  <c r="D94" i="10"/>
  <c r="C93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L81" i="10"/>
  <c r="K80" i="10"/>
  <c r="J80" i="10"/>
  <c r="I80" i="10"/>
  <c r="H80" i="10"/>
  <c r="H81" i="10"/>
  <c r="G80" i="10"/>
  <c r="G81" i="10"/>
  <c r="F80" i="10"/>
  <c r="F81" i="10"/>
  <c r="E80" i="10"/>
  <c r="E81" i="10"/>
  <c r="D80" i="10"/>
  <c r="D81" i="10"/>
  <c r="C80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L64" i="10"/>
  <c r="K63" i="10"/>
  <c r="J63" i="10"/>
  <c r="I63" i="10"/>
  <c r="H63" i="10"/>
  <c r="H64" i="10"/>
  <c r="G63" i="10"/>
  <c r="G64" i="10"/>
  <c r="F63" i="10"/>
  <c r="F64" i="10"/>
  <c r="E63" i="10"/>
  <c r="E64" i="10"/>
  <c r="D63" i="10"/>
  <c r="D64" i="10"/>
  <c r="C63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L50" i="10"/>
  <c r="K49" i="10"/>
  <c r="J49" i="10"/>
  <c r="I49" i="10"/>
  <c r="H49" i="10"/>
  <c r="H50" i="10"/>
  <c r="G49" i="10"/>
  <c r="G50" i="10"/>
  <c r="F49" i="10"/>
  <c r="F50" i="10"/>
  <c r="E49" i="10"/>
  <c r="E50" i="10"/>
  <c r="D49" i="10"/>
  <c r="D50" i="10"/>
  <c r="C49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L31" i="10"/>
  <c r="K30" i="10"/>
  <c r="J30" i="10"/>
  <c r="I30" i="10"/>
  <c r="H30" i="10"/>
  <c r="H31" i="10"/>
  <c r="G30" i="10"/>
  <c r="G31" i="10"/>
  <c r="F30" i="10"/>
  <c r="F31" i="10"/>
  <c r="E30" i="10"/>
  <c r="E31" i="10"/>
  <c r="D30" i="10"/>
  <c r="D31" i="10"/>
  <c r="C30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F18" i="10"/>
  <c r="E17" i="10"/>
  <c r="D17" i="10"/>
  <c r="C17" i="10"/>
  <c r="C17" i="2"/>
  <c r="C94" i="2"/>
  <c r="AI1877" i="7"/>
  <c r="AI1878" i="7"/>
  <c r="AK1783" i="7"/>
  <c r="AG1506" i="7"/>
  <c r="AF1515" i="7"/>
  <c r="AL1258" i="7"/>
  <c r="AF1170" i="7"/>
  <c r="AH1108" i="7"/>
  <c r="AG674" i="7"/>
  <c r="AJ631" i="7"/>
  <c r="AH631" i="7"/>
  <c r="AD622" i="7"/>
  <c r="AD623" i="7"/>
  <c r="AL492" i="7"/>
  <c r="AH368" i="7"/>
  <c r="AH357" i="7"/>
  <c r="AF842" i="7"/>
  <c r="AL1003" i="7"/>
  <c r="AI1675" i="7"/>
  <c r="AK1735" i="7"/>
  <c r="AM897" i="7"/>
  <c r="AH574" i="7"/>
  <c r="AH534" i="7"/>
  <c r="AD445" i="7"/>
  <c r="AH395" i="7"/>
  <c r="AM529" i="7"/>
  <c r="AM460" i="7"/>
  <c r="AM368" i="7"/>
  <c r="AM357" i="7"/>
  <c r="AH259" i="7"/>
  <c r="AD259" i="7"/>
  <c r="AM207" i="7"/>
  <c r="AM208" i="7"/>
  <c r="Z238" i="7"/>
  <c r="AJ1969" i="7"/>
  <c r="AB1957" i="7"/>
  <c r="AD1921" i="7"/>
  <c r="W1922" i="7"/>
  <c r="W1905" i="7"/>
  <c r="AA1749" i="7"/>
  <c r="X1758" i="7"/>
  <c r="W1516" i="7"/>
  <c r="X1179" i="7"/>
  <c r="X616" i="7"/>
  <c r="Z232" i="7"/>
  <c r="AA170" i="7"/>
  <c r="AA175" i="7"/>
  <c r="Q1792" i="7"/>
  <c r="P616" i="7"/>
  <c r="S504" i="7"/>
  <c r="K1893" i="7"/>
  <c r="K1489" i="7"/>
  <c r="H1738" i="7"/>
  <c r="J1729" i="7"/>
  <c r="F506" i="7"/>
  <c r="G506" i="7"/>
  <c r="H506" i="7"/>
  <c r="I506" i="7"/>
  <c r="J506" i="7"/>
  <c r="J466" i="7"/>
  <c r="G327" i="7"/>
  <c r="AE4" i="7"/>
  <c r="AC94" i="2"/>
  <c r="AD94" i="2"/>
  <c r="AE94" i="2"/>
  <c r="AF94" i="2"/>
  <c r="AG94" i="2"/>
  <c r="AH94" i="2"/>
  <c r="AI94" i="2"/>
  <c r="AJ94" i="2"/>
  <c r="AK94" i="2"/>
  <c r="AL94" i="2"/>
  <c r="AM94" i="2"/>
  <c r="AC80" i="2"/>
  <c r="AD80" i="2"/>
  <c r="AE80" i="2"/>
  <c r="AF80" i="2"/>
  <c r="AG80" i="2"/>
  <c r="AH80" i="2"/>
  <c r="AI80" i="2"/>
  <c r="AJ80" i="2"/>
  <c r="AK80" i="2"/>
  <c r="AL80" i="2"/>
  <c r="AM80" i="2"/>
  <c r="AC63" i="2"/>
  <c r="AD63" i="2"/>
  <c r="AE63" i="2"/>
  <c r="AF63" i="2"/>
  <c r="AG63" i="2"/>
  <c r="AH63" i="2"/>
  <c r="AI63" i="2"/>
  <c r="AJ63" i="2"/>
  <c r="AK63" i="2"/>
  <c r="AL63" i="2"/>
  <c r="AM63" i="2"/>
  <c r="AC49" i="2"/>
  <c r="AD49" i="2"/>
  <c r="AE49" i="2"/>
  <c r="AF49" i="2"/>
  <c r="AG49" i="2"/>
  <c r="AH49" i="2"/>
  <c r="AI49" i="2"/>
  <c r="AJ49" i="2"/>
  <c r="AK49" i="2"/>
  <c r="AL49" i="2"/>
  <c r="AM49" i="2"/>
  <c r="AC30" i="2"/>
  <c r="AD30" i="2"/>
  <c r="AE30" i="2"/>
  <c r="AF30" i="2"/>
  <c r="AG30" i="2"/>
  <c r="AH30" i="2"/>
  <c r="AI30" i="2"/>
  <c r="AJ30" i="2"/>
  <c r="AK30" i="2"/>
  <c r="AL30" i="2"/>
  <c r="AM30" i="2"/>
  <c r="AC17" i="2"/>
  <c r="AD17" i="2"/>
  <c r="AE17" i="2"/>
  <c r="AE101" i="2"/>
  <c r="AF17" i="2"/>
  <c r="AH17" i="2"/>
  <c r="AI17" i="2"/>
  <c r="AK17" i="2"/>
  <c r="AK101" i="2"/>
  <c r="AM17" i="2"/>
  <c r="AM1946" i="7"/>
  <c r="AM1945" i="7"/>
  <c r="AM1944" i="7"/>
  <c r="AM1943" i="7"/>
  <c r="AM1942" i="7"/>
  <c r="AM1941" i="7"/>
  <c r="AM1938" i="7"/>
  <c r="AM1935" i="7"/>
  <c r="AM1929" i="7"/>
  <c r="AM1925" i="7"/>
  <c r="AM1921" i="7"/>
  <c r="AM1919" i="7"/>
  <c r="AM1916" i="7"/>
  <c r="AM1915" i="7"/>
  <c r="AM1914" i="7"/>
  <c r="AM1908" i="7"/>
  <c r="AM1907" i="7"/>
  <c r="AM1906" i="7"/>
  <c r="AM1905" i="7"/>
  <c r="AM1902" i="7"/>
  <c r="AM1898" i="7"/>
  <c r="AM1895" i="7"/>
  <c r="AM1894" i="7"/>
  <c r="AM1893" i="7"/>
  <c r="AM1891" i="7"/>
  <c r="AM1889" i="7"/>
  <c r="AM1883" i="7"/>
  <c r="AM1879" i="7"/>
  <c r="AM1876" i="7"/>
  <c r="AM1875" i="7"/>
  <c r="AM1874" i="7"/>
  <c r="AM1873" i="7"/>
  <c r="AM1872" i="7"/>
  <c r="AM1870" i="7"/>
  <c r="AM1869" i="7"/>
  <c r="AM1868" i="7"/>
  <c r="AM1867" i="7"/>
  <c r="AM1865" i="7"/>
  <c r="AM1864" i="7"/>
  <c r="AM1863" i="7"/>
  <c r="AM1861" i="7"/>
  <c r="AM1860" i="7"/>
  <c r="AM1859" i="7"/>
  <c r="AM1858" i="7"/>
  <c r="AM1857" i="7"/>
  <c r="AM1856" i="7"/>
  <c r="AM1855" i="7"/>
  <c r="AM1854" i="7"/>
  <c r="AM1853" i="7"/>
  <c r="AM1852" i="7"/>
  <c r="AM1851" i="7"/>
  <c r="AM1850" i="7"/>
  <c r="AM1849" i="7"/>
  <c r="AM1848" i="7"/>
  <c r="AM1847" i="7"/>
  <c r="AM1846" i="7"/>
  <c r="AM1842" i="7"/>
  <c r="AM1835" i="7"/>
  <c r="AM1829" i="7"/>
  <c r="AM1828" i="7"/>
  <c r="AM1827" i="7"/>
  <c r="AM1826" i="7"/>
  <c r="AM1825" i="7"/>
  <c r="AM1824" i="7"/>
  <c r="AM1823" i="7"/>
  <c r="AM1822" i="7"/>
  <c r="AM1821" i="7"/>
  <c r="AM1820" i="7"/>
  <c r="AM1819" i="7"/>
  <c r="AM1818" i="7"/>
  <c r="AM1817" i="7"/>
  <c r="AM1816" i="7"/>
  <c r="AM1815" i="7"/>
  <c r="AM1814" i="7"/>
  <c r="AM1811" i="7"/>
  <c r="AM1800" i="7"/>
  <c r="AM1797" i="7"/>
  <c r="AM1795" i="7"/>
  <c r="AM1794" i="7"/>
  <c r="AM1792" i="7"/>
  <c r="AM1781" i="7"/>
  <c r="AM1780" i="7"/>
  <c r="AM1766" i="7"/>
  <c r="AM1757" i="7"/>
  <c r="AM1756" i="7"/>
  <c r="AM1755" i="7"/>
  <c r="AM1754" i="7"/>
  <c r="AM1753" i="7"/>
  <c r="AM1752" i="7"/>
  <c r="AM1751" i="7"/>
  <c r="AM1749" i="7"/>
  <c r="AM1743" i="7"/>
  <c r="AM1741" i="7"/>
  <c r="AM1740" i="7"/>
  <c r="AM1739" i="7"/>
  <c r="AM1738" i="7"/>
  <c r="AM1737" i="7"/>
  <c r="AM1736" i="7"/>
  <c r="AM1734" i="7"/>
  <c r="AM1733" i="7"/>
  <c r="AM1728" i="7"/>
  <c r="AM1727" i="7"/>
  <c r="AM1725" i="7"/>
  <c r="AM1724" i="7"/>
  <c r="AM1722" i="7"/>
  <c r="AM1718" i="7"/>
  <c r="AM1716" i="7"/>
  <c r="AM1712" i="7"/>
  <c r="AM1711" i="7"/>
  <c r="AM1710" i="7"/>
  <c r="AM1709" i="7"/>
  <c r="AM1708" i="7"/>
  <c r="AM1707" i="7"/>
  <c r="AM1706" i="7"/>
  <c r="AM1705" i="7"/>
  <c r="AM1703" i="7"/>
  <c r="AM1702" i="7"/>
  <c r="AM1701" i="7"/>
  <c r="AM1700" i="7"/>
  <c r="AM1686" i="7"/>
  <c r="AM1677" i="7"/>
  <c r="AM1676" i="7"/>
  <c r="AM1675" i="7"/>
  <c r="AM1673" i="7"/>
  <c r="AM1672" i="7"/>
  <c r="AM1671" i="7"/>
  <c r="AM1670" i="7"/>
  <c r="AM1668" i="7"/>
  <c r="AM1667" i="7"/>
  <c r="AM1666" i="7"/>
  <c r="AM1665" i="7"/>
  <c r="AM1659" i="7"/>
  <c r="AM1658" i="7"/>
  <c r="AM1657" i="7"/>
  <c r="AM1656" i="7"/>
  <c r="AM1655" i="7"/>
  <c r="AM1654" i="7"/>
  <c r="AM1653" i="7"/>
  <c r="AM1652" i="7"/>
  <c r="AM1651" i="7"/>
  <c r="AM1650" i="7"/>
  <c r="AM1649" i="7"/>
  <c r="AM1648" i="7"/>
  <c r="AM1647" i="7"/>
  <c r="AM1646" i="7"/>
  <c r="AM1645" i="7"/>
  <c r="AM1644" i="7"/>
  <c r="AM1643" i="7"/>
  <c r="AM1642" i="7"/>
  <c r="AM1641" i="7"/>
  <c r="AM1640" i="7"/>
  <c r="AM1639" i="7"/>
  <c r="AM1638" i="7"/>
  <c r="AM1637" i="7"/>
  <c r="AM1636" i="7"/>
  <c r="AM1635" i="7"/>
  <c r="AM1634" i="7"/>
  <c r="AM1633" i="7"/>
  <c r="AM1632" i="7"/>
  <c r="AM1631" i="7"/>
  <c r="AM1630" i="7"/>
  <c r="AM1593" i="7"/>
  <c r="AM1590" i="7"/>
  <c r="AM1589" i="7"/>
  <c r="AM1588" i="7"/>
  <c r="AM1587" i="7"/>
  <c r="AM1586" i="7"/>
  <c r="AM1585" i="7"/>
  <c r="AM1584" i="7"/>
  <c r="AM1583" i="7"/>
  <c r="AM1582" i="7"/>
  <c r="AM1581" i="7"/>
  <c r="AM1580" i="7"/>
  <c r="AM1579" i="7"/>
  <c r="AM1578" i="7"/>
  <c r="AM1577" i="7"/>
  <c r="AM1576" i="7"/>
  <c r="AM1575" i="7"/>
  <c r="AM1574" i="7"/>
  <c r="AM1573" i="7"/>
  <c r="AM1572" i="7"/>
  <c r="AM1571" i="7"/>
  <c r="AM1570" i="7"/>
  <c r="AM1569" i="7"/>
  <c r="AM1568" i="7"/>
  <c r="AM1567" i="7"/>
  <c r="AM1566" i="7"/>
  <c r="AM1565" i="7"/>
  <c r="AM1563" i="7"/>
  <c r="AM1562" i="7"/>
  <c r="AM1560" i="7"/>
  <c r="AM1559" i="7"/>
  <c r="AM1558" i="7"/>
  <c r="AM1557" i="7"/>
  <c r="AM1556" i="7"/>
  <c r="AM1555" i="7"/>
  <c r="AM1554" i="7"/>
  <c r="AM1552" i="7"/>
  <c r="AM1551" i="7"/>
  <c r="AM1550" i="7"/>
  <c r="AM1549" i="7"/>
  <c r="AM1548" i="7"/>
  <c r="AM1547" i="7"/>
  <c r="AM1546" i="7"/>
  <c r="AM1545" i="7"/>
  <c r="AM1544" i="7"/>
  <c r="AM1543" i="7"/>
  <c r="AM1542" i="7"/>
  <c r="AM1541" i="7"/>
  <c r="AM1540" i="7"/>
  <c r="AM1539" i="7"/>
  <c r="AM1538" i="7"/>
  <c r="AM1537" i="7"/>
  <c r="AM1536" i="7"/>
  <c r="AM1535" i="7"/>
  <c r="AM1534" i="7"/>
  <c r="AM1533" i="7"/>
  <c r="AM1532" i="7"/>
  <c r="AM1531" i="7"/>
  <c r="AM1530" i="7"/>
  <c r="AM1529" i="7"/>
  <c r="AM1528" i="7"/>
  <c r="AM1527" i="7"/>
  <c r="AM1526" i="7"/>
  <c r="AM1525" i="7"/>
  <c r="AM1524" i="7"/>
  <c r="AM1523" i="7"/>
  <c r="AM1522" i="7"/>
  <c r="AM1521" i="7"/>
  <c r="AM1517" i="7"/>
  <c r="AM1514" i="7"/>
  <c r="AM1513" i="7"/>
  <c r="AM1512" i="7"/>
  <c r="AM1511" i="7"/>
  <c r="AM1510" i="7"/>
  <c r="AM1507" i="7"/>
  <c r="AM1506" i="7"/>
  <c r="AM1504" i="7"/>
  <c r="AM1503" i="7"/>
  <c r="AM1502" i="7"/>
  <c r="AM1501" i="7"/>
  <c r="AM1500" i="7"/>
  <c r="AM1499" i="7"/>
  <c r="AM1498" i="7"/>
  <c r="AM1497" i="7"/>
  <c r="AM1495" i="7"/>
  <c r="AM1491" i="7"/>
  <c r="AM1490" i="7"/>
  <c r="AM1486" i="7"/>
  <c r="AM1485" i="7"/>
  <c r="AM1476" i="7"/>
  <c r="AM1475" i="7"/>
  <c r="AM1474" i="7"/>
  <c r="AM1470" i="7"/>
  <c r="AM1469" i="7"/>
  <c r="AM1462" i="7"/>
  <c r="AM1458" i="7"/>
  <c r="AM1454" i="7"/>
  <c r="AM1453" i="7"/>
  <c r="AM1452" i="7"/>
  <c r="AM1451" i="7"/>
  <c r="AM1444" i="7"/>
  <c r="AM1443" i="7"/>
  <c r="AM1423" i="7"/>
  <c r="AM1422" i="7"/>
  <c r="AM1419" i="7"/>
  <c r="AM1418" i="7"/>
  <c r="AM1416" i="7"/>
  <c r="AM1415" i="7"/>
  <c r="AM1200" i="7"/>
  <c r="AM1199" i="7"/>
  <c r="AM1193" i="7"/>
  <c r="AM1186" i="7"/>
  <c r="AM1184" i="7"/>
  <c r="AM1181" i="7"/>
  <c r="AM1180" i="7"/>
  <c r="AM1179" i="7"/>
  <c r="AM1177" i="7"/>
  <c r="AM691" i="7"/>
  <c r="AM688" i="7"/>
  <c r="AM685" i="7"/>
  <c r="AM683" i="7"/>
  <c r="AM682" i="7"/>
  <c r="AM679" i="7"/>
  <c r="AM670" i="7"/>
  <c r="AM669" i="7"/>
  <c r="AM668" i="7"/>
  <c r="AM667" i="7"/>
  <c r="AM663" i="7"/>
  <c r="AM662" i="7"/>
  <c r="AM661" i="7"/>
  <c r="AM660" i="7"/>
  <c r="AM659" i="7"/>
  <c r="AM658" i="7"/>
  <c r="AM657" i="7"/>
  <c r="AM656" i="7"/>
  <c r="AM655" i="7"/>
  <c r="AM654" i="7"/>
  <c r="AM653" i="7"/>
  <c r="AM652" i="7"/>
  <c r="AM651" i="7"/>
  <c r="AM650" i="7"/>
  <c r="AM649" i="7"/>
  <c r="AM648" i="7"/>
  <c r="AM647" i="7"/>
  <c r="AM645" i="7"/>
  <c r="AM644" i="7"/>
  <c r="AM643" i="7"/>
  <c r="AM642" i="7"/>
  <c r="AM637" i="7"/>
  <c r="AM635" i="7"/>
  <c r="AM634" i="7"/>
  <c r="AM631" i="7"/>
  <c r="AM629" i="7"/>
  <c r="AM628" i="7"/>
  <c r="AM627" i="7"/>
  <c r="AM626" i="7"/>
  <c r="AM624" i="7"/>
  <c r="AM623" i="7"/>
  <c r="AM622" i="7"/>
  <c r="AM620" i="7"/>
  <c r="AM619" i="7"/>
  <c r="AM618" i="7"/>
  <c r="AM617" i="7"/>
  <c r="AM616" i="7"/>
  <c r="AM615" i="7"/>
  <c r="AM613" i="7"/>
  <c r="AM612" i="7"/>
  <c r="AM611" i="7"/>
  <c r="AM610" i="7"/>
  <c r="AM609" i="7"/>
  <c r="AM606" i="7"/>
  <c r="AM605" i="7"/>
  <c r="AM604" i="7"/>
  <c r="AM603" i="7"/>
  <c r="AM602" i="7"/>
  <c r="AM601" i="7"/>
  <c r="AM600" i="7"/>
  <c r="AM599" i="7"/>
  <c r="AM598" i="7"/>
  <c r="AM597" i="7"/>
  <c r="AM596" i="7"/>
  <c r="AM595" i="7"/>
  <c r="AM594" i="7"/>
  <c r="AM593" i="7"/>
  <c r="AM592" i="7"/>
  <c r="AM589" i="7"/>
  <c r="AM587" i="7"/>
  <c r="AM586" i="7"/>
  <c r="AM585" i="7"/>
  <c r="AM584" i="7"/>
  <c r="AM583" i="7"/>
  <c r="AM582" i="7"/>
  <c r="AM581" i="7"/>
  <c r="AM580" i="7"/>
  <c r="AM579" i="7"/>
  <c r="AM578" i="7"/>
  <c r="AM576" i="7"/>
  <c r="AM575" i="7"/>
  <c r="AM574" i="7"/>
  <c r="AM571" i="7"/>
  <c r="AM570" i="7"/>
  <c r="AM568" i="7"/>
  <c r="AM567" i="7"/>
  <c r="AM566" i="7"/>
  <c r="AM565" i="7"/>
  <c r="AM564" i="7"/>
  <c r="AM563" i="7"/>
  <c r="AM562" i="7"/>
  <c r="AM561" i="7"/>
  <c r="AM560" i="7"/>
  <c r="AM559" i="7"/>
  <c r="AM558" i="7"/>
  <c r="AM557" i="7"/>
  <c r="AM556" i="7"/>
  <c r="AM555" i="7"/>
  <c r="AM554" i="7"/>
  <c r="AM553" i="7"/>
  <c r="AM552" i="7"/>
  <c r="AM551" i="7"/>
  <c r="AM550" i="7"/>
  <c r="AM549" i="7"/>
  <c r="AM548" i="7"/>
  <c r="AM547" i="7"/>
  <c r="AM546" i="7"/>
  <c r="AM545" i="7"/>
  <c r="AM544" i="7"/>
  <c r="AM543" i="7"/>
  <c r="AM542" i="7"/>
  <c r="AM541" i="7"/>
  <c r="AM540" i="7"/>
  <c r="AM539" i="7"/>
  <c r="AM538" i="7"/>
  <c r="AM537" i="7"/>
  <c r="AM536" i="7"/>
  <c r="AM535" i="7"/>
  <c r="AM534" i="7"/>
  <c r="AM533" i="7"/>
  <c r="AM532" i="7"/>
  <c r="AM531" i="7"/>
  <c r="AM530" i="7"/>
  <c r="AM448" i="7"/>
  <c r="AM447" i="7"/>
  <c r="AM288" i="7"/>
  <c r="AM267" i="7"/>
  <c r="AM221" i="7"/>
  <c r="AM219" i="7"/>
  <c r="AM218" i="7"/>
  <c r="AM217" i="7"/>
  <c r="AM215" i="7"/>
  <c r="AM212" i="7"/>
  <c r="AM211" i="7"/>
  <c r="AM210" i="7"/>
  <c r="AM209" i="7"/>
  <c r="AM183" i="7"/>
  <c r="AM182" i="7"/>
  <c r="AM181" i="7"/>
  <c r="AM180" i="7"/>
  <c r="AM179" i="7"/>
  <c r="AM178" i="7"/>
  <c r="AM173" i="7"/>
  <c r="AM170" i="7"/>
  <c r="AM161" i="7"/>
  <c r="AM160" i="7"/>
  <c r="AM159" i="7"/>
  <c r="AM157" i="7"/>
  <c r="AM156" i="7"/>
  <c r="AM155" i="7"/>
  <c r="AM154" i="7"/>
  <c r="AM152" i="7"/>
  <c r="AM151" i="7"/>
  <c r="AM145" i="7"/>
  <c r="AM144" i="7"/>
  <c r="AM143" i="7"/>
  <c r="AM142" i="7"/>
  <c r="AM136" i="7"/>
  <c r="AM125" i="7"/>
  <c r="AM112" i="7"/>
  <c r="AM100" i="7"/>
  <c r="AM89" i="7"/>
  <c r="AM79" i="7"/>
  <c r="AM69" i="7"/>
  <c r="AM49" i="7"/>
  <c r="AM15" i="7"/>
  <c r="AL1972" i="7"/>
  <c r="AL1971" i="7"/>
  <c r="AL1969" i="7"/>
  <c r="AL1966" i="7"/>
  <c r="AL1965" i="7"/>
  <c r="AL1964" i="7"/>
  <c r="AL1963" i="7"/>
  <c r="AL1962" i="7"/>
  <c r="AL1961" i="7"/>
  <c r="AL1960" i="7"/>
  <c r="AL1959" i="7"/>
  <c r="AL1958" i="7"/>
  <c r="AL1957" i="7"/>
  <c r="AL1956" i="7"/>
  <c r="AL1955" i="7"/>
  <c r="AL1954" i="7"/>
  <c r="AL1953" i="7"/>
  <c r="AL1952" i="7"/>
  <c r="AL1951" i="7"/>
  <c r="AL1950" i="7"/>
  <c r="AL1949" i="7"/>
  <c r="AL1946" i="7"/>
  <c r="AL1945" i="7"/>
  <c r="AL1944" i="7"/>
  <c r="AL1943" i="7"/>
  <c r="AL1942" i="7"/>
  <c r="AL1941" i="7"/>
  <c r="AL1940" i="7"/>
  <c r="AL1939" i="7"/>
  <c r="AL1938" i="7"/>
  <c r="AL1937" i="7"/>
  <c r="AL1936" i="7"/>
  <c r="AL1935" i="7"/>
  <c r="AL1934" i="7"/>
  <c r="AL1933" i="7"/>
  <c r="AL1932" i="7"/>
  <c r="AL1930" i="7"/>
  <c r="AL1929" i="7"/>
  <c r="AL1928" i="7"/>
  <c r="AL1927" i="7"/>
  <c r="AL1926" i="7"/>
  <c r="AL1925" i="7"/>
  <c r="AL1924" i="7"/>
  <c r="AL1923" i="7"/>
  <c r="AL1922" i="7"/>
  <c r="AL1921" i="7"/>
  <c r="AL1920" i="7"/>
  <c r="AL1919" i="7"/>
  <c r="AL1918" i="7"/>
  <c r="AL1917" i="7"/>
  <c r="AL1916" i="7"/>
  <c r="AL1915" i="7"/>
  <c r="AL1914" i="7"/>
  <c r="AL1912" i="7"/>
  <c r="AL1909" i="7"/>
  <c r="AL1908" i="7"/>
  <c r="AL1907" i="7"/>
  <c r="AL1906" i="7"/>
  <c r="AL1905" i="7"/>
  <c r="AL1904" i="7"/>
  <c r="AL1903" i="7"/>
  <c r="AL1902" i="7"/>
  <c r="AL1899" i="7"/>
  <c r="AL1898" i="7"/>
  <c r="AL1897" i="7"/>
  <c r="AL1895" i="7"/>
  <c r="AL1894" i="7"/>
  <c r="AL1893" i="7"/>
  <c r="AL1892" i="7"/>
  <c r="AL1891" i="7"/>
  <c r="AL1889" i="7"/>
  <c r="AL1886" i="7"/>
  <c r="AL1885" i="7"/>
  <c r="AL1884" i="7"/>
  <c r="AL1883" i="7"/>
  <c r="AL1882" i="7"/>
  <c r="AL1881" i="7"/>
  <c r="AL1879" i="7"/>
  <c r="AL1876" i="7"/>
  <c r="AL1875" i="7"/>
  <c r="AL1874" i="7"/>
  <c r="AL1873" i="7"/>
  <c r="AL1872" i="7"/>
  <c r="AL1871" i="7"/>
  <c r="AL1870" i="7"/>
  <c r="AL1869" i="7"/>
  <c r="AL1868" i="7"/>
  <c r="AL1867" i="7"/>
  <c r="AL1866" i="7"/>
  <c r="AL1865" i="7"/>
  <c r="AL1864" i="7"/>
  <c r="AL1863" i="7"/>
  <c r="AL1862" i="7"/>
  <c r="AL1861" i="7"/>
  <c r="AL1860" i="7"/>
  <c r="AL1859" i="7"/>
  <c r="AL1858" i="7"/>
  <c r="AL1857" i="7"/>
  <c r="AL1856" i="7"/>
  <c r="AL1855" i="7"/>
  <c r="AL1854" i="7"/>
  <c r="AL1853" i="7"/>
  <c r="AL1852" i="7"/>
  <c r="AL1851" i="7"/>
  <c r="AL1850" i="7"/>
  <c r="AL1849" i="7"/>
  <c r="AL1848" i="7"/>
  <c r="AL1847" i="7"/>
  <c r="AL1846" i="7"/>
  <c r="AL1845" i="7"/>
  <c r="AL1844" i="7"/>
  <c r="AL1843" i="7"/>
  <c r="AL1842" i="7"/>
  <c r="AL1841" i="7"/>
  <c r="AL1840" i="7"/>
  <c r="AL1839" i="7"/>
  <c r="AL1838" i="7"/>
  <c r="AL1837" i="7"/>
  <c r="AL1836" i="7"/>
  <c r="AL1835" i="7"/>
  <c r="AL1833" i="7"/>
  <c r="AL1832" i="7"/>
  <c r="AL1831" i="7"/>
  <c r="AL1830" i="7"/>
  <c r="AL1829" i="7"/>
  <c r="AL1828" i="7"/>
  <c r="AL1827" i="7"/>
  <c r="AL1826" i="7"/>
  <c r="AL1825" i="7"/>
  <c r="AL1824" i="7"/>
  <c r="AL1823" i="7"/>
  <c r="AL1822" i="7"/>
  <c r="AL1821" i="7"/>
  <c r="AL1820" i="7"/>
  <c r="AL1819" i="7"/>
  <c r="AL1818" i="7"/>
  <c r="AL1817" i="7"/>
  <c r="AL1816" i="7"/>
  <c r="AL1815" i="7"/>
  <c r="AL1814" i="7"/>
  <c r="AL1813" i="7"/>
  <c r="AL1812" i="7"/>
  <c r="AL1811" i="7"/>
  <c r="AL1810" i="7"/>
  <c r="AL1809" i="7"/>
  <c r="AL1808" i="7"/>
  <c r="AL1807" i="7"/>
  <c r="AL1806" i="7"/>
  <c r="AL1805" i="7"/>
  <c r="AL1804" i="7"/>
  <c r="AL1803" i="7"/>
  <c r="AL1800" i="7"/>
  <c r="AL1797" i="7"/>
  <c r="AL1796" i="7"/>
  <c r="AL1795" i="7"/>
  <c r="AL1794" i="7"/>
  <c r="AL1793" i="7"/>
  <c r="AL1792" i="7"/>
  <c r="AL1784" i="7"/>
  <c r="AL1783" i="7"/>
  <c r="AL1781" i="7"/>
  <c r="AL1780" i="7"/>
  <c r="AL1778" i="7"/>
  <c r="AL1776" i="7"/>
  <c r="AL1773" i="7"/>
  <c r="AL1772" i="7"/>
  <c r="AL1771" i="7"/>
  <c r="AL1766" i="7"/>
  <c r="AL1760" i="7"/>
  <c r="AL1759" i="7"/>
  <c r="AL1758" i="7"/>
  <c r="AL1757" i="7"/>
  <c r="AL1756" i="7"/>
  <c r="AL1755" i="7"/>
  <c r="AL1754" i="7"/>
  <c r="AL1753" i="7"/>
  <c r="AL1752" i="7"/>
  <c r="AL1751" i="7"/>
  <c r="AL1749" i="7"/>
  <c r="AL1748" i="7"/>
  <c r="AL1743" i="7"/>
  <c r="AL1741" i="7"/>
  <c r="AL1740" i="7"/>
  <c r="AL1739" i="7"/>
  <c r="AL1738" i="7"/>
  <c r="AL1737" i="7"/>
  <c r="AL1736" i="7"/>
  <c r="AL1735" i="7"/>
  <c r="AL1734" i="7"/>
  <c r="AL1733" i="7"/>
  <c r="AL1732" i="7"/>
  <c r="AL1731" i="7"/>
  <c r="AL1730" i="7"/>
  <c r="AL1729" i="7"/>
  <c r="AL1728" i="7"/>
  <c r="AL1727" i="7"/>
  <c r="AL1726" i="7"/>
  <c r="AL1725" i="7"/>
  <c r="AL1724" i="7"/>
  <c r="AL1722" i="7"/>
  <c r="AL1718" i="7"/>
  <c r="AL1717" i="7"/>
  <c r="AL1716" i="7"/>
  <c r="AL1712" i="7"/>
  <c r="AL1711" i="7"/>
  <c r="AL1710" i="7"/>
  <c r="AL1709" i="7"/>
  <c r="AL1708" i="7"/>
  <c r="AL1707" i="7"/>
  <c r="AL1706" i="7"/>
  <c r="AL1705" i="7"/>
  <c r="AL1703" i="7"/>
  <c r="AL1702" i="7"/>
  <c r="AL1701" i="7"/>
  <c r="AL1700" i="7"/>
  <c r="AL1699" i="7"/>
  <c r="AL1698" i="7"/>
  <c r="AL1697" i="7"/>
  <c r="AL1696" i="7"/>
  <c r="AL1695" i="7"/>
  <c r="AL1693" i="7"/>
  <c r="AL1686" i="7"/>
  <c r="AL1677" i="7"/>
  <c r="AL1676" i="7"/>
  <c r="AL1675" i="7"/>
  <c r="AL1673" i="7"/>
  <c r="AL1672" i="7"/>
  <c r="AL1671" i="7"/>
  <c r="AL1670" i="7"/>
  <c r="AL1669" i="7"/>
  <c r="AL1668" i="7"/>
  <c r="AL1667" i="7"/>
  <c r="AL1666" i="7"/>
  <c r="AL1665" i="7"/>
  <c r="AL1659" i="7"/>
  <c r="AL1658" i="7"/>
  <c r="AL1657" i="7"/>
  <c r="AL1656" i="7"/>
  <c r="AL1655" i="7"/>
  <c r="AL1654" i="7"/>
  <c r="AL1653" i="7"/>
  <c r="AL1652" i="7"/>
  <c r="AL1651" i="7"/>
  <c r="AL1650" i="7"/>
  <c r="AL1649" i="7"/>
  <c r="AL1648" i="7"/>
  <c r="AL1647" i="7"/>
  <c r="AL1646" i="7"/>
  <c r="AL1645" i="7"/>
  <c r="AL1644" i="7"/>
  <c r="AL1643" i="7"/>
  <c r="AL1642" i="7"/>
  <c r="AL1641" i="7"/>
  <c r="AL1640" i="7"/>
  <c r="AL1639" i="7"/>
  <c r="AL1638" i="7"/>
  <c r="AL1637" i="7"/>
  <c r="AL1636" i="7"/>
  <c r="AL1635" i="7"/>
  <c r="AL1634" i="7"/>
  <c r="AL1633" i="7"/>
  <c r="AL1632" i="7"/>
  <c r="AL1631" i="7"/>
  <c r="AL1630" i="7"/>
  <c r="AL1627" i="7"/>
  <c r="AL1607" i="7"/>
  <c r="AL1599" i="7"/>
  <c r="AL1593" i="7"/>
  <c r="AL1592" i="7"/>
  <c r="AL1591" i="7"/>
  <c r="AL1590" i="7"/>
  <c r="AL1589" i="7"/>
  <c r="AL1588" i="7"/>
  <c r="AL1587" i="7"/>
  <c r="AL1586" i="7"/>
  <c r="AL1585" i="7"/>
  <c r="AL1584" i="7"/>
  <c r="AL1583" i="7"/>
  <c r="AL1582" i="7"/>
  <c r="AL1581" i="7"/>
  <c r="AL1580" i="7"/>
  <c r="AL1579" i="7"/>
  <c r="AL1578" i="7"/>
  <c r="AL1577" i="7"/>
  <c r="AL1576" i="7"/>
  <c r="AL1575" i="7"/>
  <c r="AL1574" i="7"/>
  <c r="AL1573" i="7"/>
  <c r="AL1572" i="7"/>
  <c r="AL1571" i="7"/>
  <c r="AL1570" i="7"/>
  <c r="AL1569" i="7"/>
  <c r="AL1568" i="7"/>
  <c r="AL1567" i="7"/>
  <c r="AL1566" i="7"/>
  <c r="AL1565" i="7"/>
  <c r="AL1563" i="7"/>
  <c r="AL1562" i="7"/>
  <c r="AL1561" i="7"/>
  <c r="AL1560" i="7"/>
  <c r="AL1559" i="7"/>
  <c r="AL1558" i="7"/>
  <c r="AL1557" i="7"/>
  <c r="AL1556" i="7"/>
  <c r="AL1555" i="7"/>
  <c r="AL1554" i="7"/>
  <c r="AL1552" i="7"/>
  <c r="AL1551" i="7"/>
  <c r="AL1550" i="7"/>
  <c r="AL1549" i="7"/>
  <c r="AL1548" i="7"/>
  <c r="AL1547" i="7"/>
  <c r="AL1546" i="7"/>
  <c r="AL1545" i="7"/>
  <c r="AL1544" i="7"/>
  <c r="AL1543" i="7"/>
  <c r="AL1542" i="7"/>
  <c r="AL1541" i="7"/>
  <c r="AL1540" i="7"/>
  <c r="AL1539" i="7"/>
  <c r="AL1538" i="7"/>
  <c r="AL1537" i="7"/>
  <c r="AL1536" i="7"/>
  <c r="AL1535" i="7"/>
  <c r="AL1534" i="7"/>
  <c r="AL1533" i="7"/>
  <c r="AL1532" i="7"/>
  <c r="AL1531" i="7"/>
  <c r="AL1530" i="7"/>
  <c r="AL1529" i="7"/>
  <c r="AL1528" i="7"/>
  <c r="AL1527" i="7"/>
  <c r="AL1526" i="7"/>
  <c r="AL1525" i="7"/>
  <c r="AL1524" i="7"/>
  <c r="AL1523" i="7"/>
  <c r="AL1522" i="7"/>
  <c r="AL1521" i="7"/>
  <c r="AL1520" i="7"/>
  <c r="AL1519" i="7"/>
  <c r="AL1518" i="7"/>
  <c r="AL1517" i="7"/>
  <c r="AL1516" i="7"/>
  <c r="AL1515" i="7"/>
  <c r="AL1514" i="7"/>
  <c r="AL1513" i="7"/>
  <c r="AL1512" i="7"/>
  <c r="AL1511" i="7"/>
  <c r="AL1510" i="7"/>
  <c r="AL1507" i="7"/>
  <c r="AL1506" i="7"/>
  <c r="AL1504" i="7"/>
  <c r="AL1503" i="7"/>
  <c r="AL1502" i="7"/>
  <c r="AL1501" i="7"/>
  <c r="AL1500" i="7"/>
  <c r="AL1499" i="7"/>
  <c r="AL1498" i="7"/>
  <c r="AL1497" i="7"/>
  <c r="AL1495" i="7"/>
  <c r="AL1494" i="7"/>
  <c r="AL1493" i="7"/>
  <c r="AL1492" i="7"/>
  <c r="AL1491" i="7"/>
  <c r="AL1490" i="7"/>
  <c r="AL1489" i="7"/>
  <c r="AL1488" i="7"/>
  <c r="AL1487" i="7"/>
  <c r="AL1486" i="7"/>
  <c r="AL1485" i="7"/>
  <c r="AL1484" i="7"/>
  <c r="AL1483" i="7"/>
  <c r="AL1482" i="7"/>
  <c r="AL1481" i="7"/>
  <c r="AL1480" i="7"/>
  <c r="AL1479" i="7"/>
  <c r="AL1478" i="7"/>
  <c r="AL1477" i="7"/>
  <c r="AL1476" i="7"/>
  <c r="AL1475" i="7"/>
  <c r="AL1474" i="7"/>
  <c r="AL1473" i="7"/>
  <c r="AL1472" i="7"/>
  <c r="AL1471" i="7"/>
  <c r="AL1470" i="7"/>
  <c r="AL1469" i="7"/>
  <c r="AL1468" i="7"/>
  <c r="AL1467" i="7"/>
  <c r="AL1466" i="7"/>
  <c r="AL1465" i="7"/>
  <c r="AL1464" i="7"/>
  <c r="AL1463" i="7"/>
  <c r="AL1462" i="7"/>
  <c r="AL1461" i="7"/>
  <c r="AL1460" i="7"/>
  <c r="AL1459" i="7"/>
  <c r="AL1458" i="7"/>
  <c r="AL1457" i="7"/>
  <c r="AL1456" i="7"/>
  <c r="AL1455" i="7"/>
  <c r="AL1454" i="7"/>
  <c r="AL1453" i="7"/>
  <c r="AL1452" i="7"/>
  <c r="AL1451" i="7"/>
  <c r="AL1450" i="7"/>
  <c r="AL1449" i="7"/>
  <c r="AL1448" i="7"/>
  <c r="AL1447" i="7"/>
  <c r="AL1446" i="7"/>
  <c r="AL1445" i="7"/>
  <c r="AL1444" i="7"/>
  <c r="AL1443" i="7"/>
  <c r="AL1442" i="7"/>
  <c r="AL1441" i="7"/>
  <c r="AL1440" i="7"/>
  <c r="AL1439" i="7"/>
  <c r="AL1438" i="7"/>
  <c r="AL1437" i="7"/>
  <c r="AL1436" i="7"/>
  <c r="AL1435" i="7"/>
  <c r="AL1434" i="7"/>
  <c r="AL1433" i="7"/>
  <c r="AL1432" i="7"/>
  <c r="AL1431" i="7"/>
  <c r="AL1430" i="7"/>
  <c r="AL1429" i="7"/>
  <c r="AL1428" i="7"/>
  <c r="AL1427" i="7"/>
  <c r="AL1426" i="7"/>
  <c r="AL1425" i="7"/>
  <c r="AL1424" i="7"/>
  <c r="AL1423" i="7"/>
  <c r="AL1422" i="7"/>
  <c r="AL1421" i="7"/>
  <c r="AL1420" i="7"/>
  <c r="AL1419" i="7"/>
  <c r="AL1418" i="7"/>
  <c r="AL1417" i="7"/>
  <c r="AL1416" i="7"/>
  <c r="AL1415" i="7"/>
  <c r="AL1414" i="7"/>
  <c r="AL1413" i="7"/>
  <c r="AL1412" i="7"/>
  <c r="AL1411" i="7"/>
  <c r="AL1410" i="7"/>
  <c r="AL1409" i="7"/>
  <c r="AL1408" i="7"/>
  <c r="AL1387" i="7"/>
  <c r="AL1386" i="7"/>
  <c r="AL1385" i="7"/>
  <c r="AL1384" i="7"/>
  <c r="AL1383" i="7"/>
  <c r="AL1382" i="7"/>
  <c r="AL1381" i="7"/>
  <c r="AL1380" i="7"/>
  <c r="AL1379" i="7"/>
  <c r="AL1378" i="7"/>
  <c r="AL1377" i="7"/>
  <c r="AL1376" i="7"/>
  <c r="AL1375" i="7"/>
  <c r="AL1374" i="7"/>
  <c r="AL1373" i="7"/>
  <c r="AL1372" i="7"/>
  <c r="AL1371" i="7"/>
  <c r="AL1366" i="7"/>
  <c r="AL1365" i="7"/>
  <c r="AL1364" i="7"/>
  <c r="AL1363" i="7"/>
  <c r="AL1362" i="7"/>
  <c r="AL1361" i="7"/>
  <c r="AL1360" i="7"/>
  <c r="AL1359" i="7"/>
  <c r="AL1358" i="7"/>
  <c r="AL1357" i="7"/>
  <c r="AL1356" i="7"/>
  <c r="AL1337" i="7"/>
  <c r="AL1328" i="7"/>
  <c r="AL1326" i="7"/>
  <c r="AL1325" i="7"/>
  <c r="AL1320" i="7"/>
  <c r="AL1319" i="7"/>
  <c r="AL1314" i="7"/>
  <c r="AL1308" i="7"/>
  <c r="AL1303" i="7"/>
  <c r="AL1296" i="7"/>
  <c r="AL1294" i="7"/>
  <c r="AL1280" i="7"/>
  <c r="AL1279" i="7"/>
  <c r="AL1277" i="7"/>
  <c r="AL1270" i="7"/>
  <c r="AL1268" i="7"/>
  <c r="AL1267" i="7"/>
  <c r="AL1265" i="7"/>
  <c r="AL1256" i="7"/>
  <c r="AL1253" i="7"/>
  <c r="AL1246" i="7"/>
  <c r="AL1245" i="7"/>
  <c r="AL1243" i="7"/>
  <c r="AL1237" i="7"/>
  <c r="AL1235" i="7"/>
  <c r="AL1233" i="7"/>
  <c r="AL1232" i="7"/>
  <c r="AL1230" i="7"/>
  <c r="AL1222" i="7"/>
  <c r="AL1220" i="7"/>
  <c r="AL1213" i="7"/>
  <c r="AL1211" i="7"/>
  <c r="AL1204" i="7"/>
  <c r="AL1203" i="7"/>
  <c r="AL1202" i="7"/>
  <c r="AL1200" i="7"/>
  <c r="AL1199" i="7"/>
  <c r="AL1198" i="7"/>
  <c r="AL1196" i="7"/>
  <c r="AL1193" i="7"/>
  <c r="AL1186" i="7"/>
  <c r="AL1184" i="7"/>
  <c r="AL1182" i="7"/>
  <c r="AL1181" i="7"/>
  <c r="AL1180" i="7"/>
  <c r="AL1179" i="7"/>
  <c r="AL1178" i="7"/>
  <c r="AL1177" i="7"/>
  <c r="AL1176" i="7"/>
  <c r="AL1175" i="7"/>
  <c r="AL1174" i="7"/>
  <c r="AL1173" i="7"/>
  <c r="AL1172" i="7"/>
  <c r="AL1171" i="7"/>
  <c r="AL1170" i="7"/>
  <c r="AL1169" i="7"/>
  <c r="AL1168" i="7"/>
  <c r="AL1167" i="7"/>
  <c r="AL1166" i="7"/>
  <c r="AL1165" i="7"/>
  <c r="AL1164" i="7"/>
  <c r="AL1162" i="7"/>
  <c r="AL1161" i="7"/>
  <c r="AL1160" i="7"/>
  <c r="AL1158" i="7"/>
  <c r="AL1152" i="7"/>
  <c r="AL1151" i="7"/>
  <c r="AL1149" i="7"/>
  <c r="AL1141" i="7"/>
  <c r="AL1140" i="7"/>
  <c r="AL1133" i="7"/>
  <c r="AL1132" i="7"/>
  <c r="AL1130" i="7"/>
  <c r="AL1120" i="7"/>
  <c r="AL1118" i="7"/>
  <c r="AL1112" i="7"/>
  <c r="AL1109" i="7"/>
  <c r="AL1099" i="7"/>
  <c r="AL1094" i="7"/>
  <c r="AL1093" i="7"/>
  <c r="AL1091" i="7"/>
  <c r="AL1084" i="7"/>
  <c r="AL1083" i="7"/>
  <c r="AL1077" i="7"/>
  <c r="AL1076" i="7"/>
  <c r="AL1075" i="7"/>
  <c r="AL1061" i="7"/>
  <c r="AL1060" i="7"/>
  <c r="AL1058" i="7"/>
  <c r="AL1040" i="7"/>
  <c r="AL1037" i="7"/>
  <c r="AL1036" i="7"/>
  <c r="AL1035" i="7"/>
  <c r="AL1034" i="7"/>
  <c r="AL1032" i="7"/>
  <c r="AL1020" i="7"/>
  <c r="AL1019" i="7"/>
  <c r="AL1017" i="7"/>
  <c r="AL1007" i="7"/>
  <c r="AL1006" i="7"/>
  <c r="AL1005" i="7"/>
  <c r="AL985" i="7"/>
  <c r="AL970" i="7"/>
  <c r="AL936" i="7"/>
  <c r="AL922" i="7"/>
  <c r="AL919" i="7"/>
  <c r="AL918" i="7"/>
  <c r="AL908" i="7"/>
  <c r="AL900" i="7"/>
  <c r="AL899" i="7"/>
  <c r="AL897" i="7"/>
  <c r="AL890" i="7"/>
  <c r="AL864" i="7"/>
  <c r="AL859" i="7"/>
  <c r="AL849" i="7"/>
  <c r="AL847" i="7"/>
  <c r="AL836" i="7"/>
  <c r="AL820" i="7"/>
  <c r="AL819" i="7"/>
  <c r="AL815" i="7"/>
  <c r="AL786" i="7"/>
  <c r="AL784" i="7"/>
  <c r="AL777" i="7"/>
  <c r="AL769" i="7"/>
  <c r="AL754" i="7"/>
  <c r="AL744" i="7"/>
  <c r="AL733" i="7"/>
  <c r="AL727" i="7"/>
  <c r="AL719" i="7"/>
  <c r="AL717" i="7"/>
  <c r="AL711" i="7"/>
  <c r="AL709" i="7"/>
  <c r="AL703" i="7"/>
  <c r="AL702" i="7"/>
  <c r="AL701" i="7"/>
  <c r="AL699" i="7"/>
  <c r="AL694" i="7"/>
  <c r="AL693" i="7"/>
  <c r="AL692" i="7"/>
  <c r="AL691" i="7"/>
  <c r="AL690" i="7"/>
  <c r="AL689" i="7"/>
  <c r="AL688" i="7"/>
  <c r="AL687" i="7"/>
  <c r="AL686" i="7"/>
  <c r="AL685" i="7"/>
  <c r="AL683" i="7"/>
  <c r="AL682" i="7"/>
  <c r="AL681" i="7"/>
  <c r="AL680" i="7"/>
  <c r="AL679" i="7"/>
  <c r="AL678" i="7"/>
  <c r="AL677" i="7"/>
  <c r="AL676" i="7"/>
  <c r="AL675" i="7"/>
  <c r="AL674" i="7"/>
  <c r="AL672" i="7"/>
  <c r="AL670" i="7"/>
  <c r="AL669" i="7"/>
  <c r="AL668" i="7"/>
  <c r="AL667" i="7"/>
  <c r="AL666" i="7"/>
  <c r="AL665" i="7"/>
  <c r="AL664" i="7"/>
  <c r="AL663" i="7"/>
  <c r="AL662" i="7"/>
  <c r="AL661" i="7"/>
  <c r="AL660" i="7"/>
  <c r="AL659" i="7"/>
  <c r="AL658" i="7"/>
  <c r="AL657" i="7"/>
  <c r="AL656" i="7"/>
  <c r="AL655" i="7"/>
  <c r="AL654" i="7"/>
  <c r="AL653" i="7"/>
  <c r="AL652" i="7"/>
  <c r="AL651" i="7"/>
  <c r="AL650" i="7"/>
  <c r="AL649" i="7"/>
  <c r="AL648" i="7"/>
  <c r="AL647" i="7"/>
  <c r="AL646" i="7"/>
  <c r="AL645" i="7"/>
  <c r="AL644" i="7"/>
  <c r="AL643" i="7"/>
  <c r="AL642" i="7"/>
  <c r="AL638" i="7"/>
  <c r="AL637" i="7"/>
  <c r="AL636" i="7"/>
  <c r="AL635" i="7"/>
  <c r="AL634" i="7"/>
  <c r="AL633" i="7"/>
  <c r="AL632" i="7"/>
  <c r="AL631" i="7"/>
  <c r="AL629" i="7"/>
  <c r="AL628" i="7"/>
  <c r="AL627" i="7"/>
  <c r="AL626" i="7"/>
  <c r="AL624" i="7"/>
  <c r="AL623" i="7"/>
  <c r="AL622" i="7"/>
  <c r="AL620" i="7"/>
  <c r="AL619" i="7"/>
  <c r="AL618" i="7"/>
  <c r="AL617" i="7"/>
  <c r="AL616" i="7"/>
  <c r="AL615" i="7"/>
  <c r="AL613" i="7"/>
  <c r="AL612" i="7"/>
  <c r="AL611" i="7"/>
  <c r="AL610" i="7"/>
  <c r="AL609" i="7"/>
  <c r="AL606" i="7"/>
  <c r="AL605" i="7"/>
  <c r="AL604" i="7"/>
  <c r="AL603" i="7"/>
  <c r="AL602" i="7"/>
  <c r="AL601" i="7"/>
  <c r="AL600" i="7"/>
  <c r="AL599" i="7"/>
  <c r="AL598" i="7"/>
  <c r="AL597" i="7"/>
  <c r="AL596" i="7"/>
  <c r="AL595" i="7"/>
  <c r="AL594" i="7"/>
  <c r="AL593" i="7"/>
  <c r="AL592" i="7"/>
  <c r="AL591" i="7"/>
  <c r="AL590" i="7"/>
  <c r="AL589" i="7"/>
  <c r="AL588" i="7"/>
  <c r="AL587" i="7"/>
  <c r="AL586" i="7"/>
  <c r="AL585" i="7"/>
  <c r="AL584" i="7"/>
  <c r="AL583" i="7"/>
  <c r="AL582" i="7"/>
  <c r="AL581" i="7"/>
  <c r="AL580" i="7"/>
  <c r="AL579" i="7"/>
  <c r="AL578" i="7"/>
  <c r="AL577" i="7"/>
  <c r="AL576" i="7"/>
  <c r="AL575" i="7"/>
  <c r="AL574" i="7"/>
  <c r="AL573" i="7"/>
  <c r="AL572" i="7"/>
  <c r="AL571" i="7"/>
  <c r="AL570" i="7"/>
  <c r="AL568" i="7"/>
  <c r="AL567" i="7"/>
  <c r="AL566" i="7"/>
  <c r="AL565" i="7"/>
  <c r="AL564" i="7"/>
  <c r="AL563" i="7"/>
  <c r="AL562" i="7"/>
  <c r="AL561" i="7"/>
  <c r="AL560" i="7"/>
  <c r="AL559" i="7"/>
  <c r="AL558" i="7"/>
  <c r="AL557" i="7"/>
  <c r="AL556" i="7"/>
  <c r="AL555" i="7"/>
  <c r="AL554" i="7"/>
  <c r="AL553" i="7"/>
  <c r="AL552" i="7"/>
  <c r="AL551" i="7"/>
  <c r="AL550" i="7"/>
  <c r="AL549" i="7"/>
  <c r="AL548" i="7"/>
  <c r="AL547" i="7"/>
  <c r="AL546" i="7"/>
  <c r="AL545" i="7"/>
  <c r="AL544" i="7"/>
  <c r="AL543" i="7"/>
  <c r="AL542" i="7"/>
  <c r="AL541" i="7"/>
  <c r="AL540" i="7"/>
  <c r="AL539" i="7"/>
  <c r="AL538" i="7"/>
  <c r="AL537" i="7"/>
  <c r="AL536" i="7"/>
  <c r="AL535" i="7"/>
  <c r="AL534" i="7"/>
  <c r="AL533" i="7"/>
  <c r="AL532" i="7"/>
  <c r="AL531" i="7"/>
  <c r="AL530" i="7"/>
  <c r="AL529" i="7"/>
  <c r="AL528" i="7"/>
  <c r="AL527" i="7"/>
  <c r="AL525" i="7"/>
  <c r="AL524" i="7"/>
  <c r="AL521" i="7"/>
  <c r="AL517" i="7"/>
  <c r="AL515" i="7"/>
  <c r="AL506" i="7"/>
  <c r="AL501" i="7"/>
  <c r="AL500" i="7"/>
  <c r="AL499" i="7"/>
  <c r="AL497" i="7"/>
  <c r="AL495" i="7"/>
  <c r="AL493" i="7"/>
  <c r="AL487" i="7"/>
  <c r="AL485" i="7"/>
  <c r="AL484" i="7"/>
  <c r="AL483" i="7"/>
  <c r="AL482" i="7"/>
  <c r="AL480" i="7"/>
  <c r="AL479" i="7"/>
  <c r="AL478" i="7"/>
  <c r="AL477" i="7"/>
  <c r="AL476" i="7"/>
  <c r="AL475" i="7"/>
  <c r="AL474" i="7"/>
  <c r="AL473" i="7"/>
  <c r="AL472" i="7"/>
  <c r="AL471" i="7"/>
  <c r="AL470" i="7"/>
  <c r="AL469" i="7"/>
  <c r="AL468" i="7"/>
  <c r="AL467" i="7"/>
  <c r="AL466" i="7"/>
  <c r="AL465" i="7"/>
  <c r="AL464" i="7"/>
  <c r="AL463" i="7"/>
  <c r="AL462" i="7"/>
  <c r="AL461" i="7"/>
  <c r="AL460" i="7"/>
  <c r="AL459" i="7"/>
  <c r="AL458" i="7"/>
  <c r="AL457" i="7"/>
  <c r="AL456" i="7"/>
  <c r="AL455" i="7"/>
  <c r="AL454" i="7"/>
  <c r="AL453" i="7"/>
  <c r="AL452" i="7"/>
  <c r="AL451" i="7"/>
  <c r="AL450" i="7"/>
  <c r="AL449" i="7"/>
  <c r="AL448" i="7"/>
  <c r="AL447" i="7"/>
  <c r="AL446" i="7"/>
  <c r="AL445" i="7"/>
  <c r="AL444" i="7"/>
  <c r="AL443" i="7"/>
  <c r="AL442" i="7"/>
  <c r="AL441" i="7"/>
  <c r="AL440" i="7"/>
  <c r="AL438" i="7"/>
  <c r="AL437" i="7"/>
  <c r="AL436" i="7"/>
  <c r="AL435" i="7"/>
  <c r="AL434" i="7"/>
  <c r="AL433" i="7"/>
  <c r="AL432" i="7"/>
  <c r="AL431" i="7"/>
  <c r="AL430" i="7"/>
  <c r="AL429" i="7"/>
  <c r="AL428" i="7"/>
  <c r="AL427" i="7"/>
  <c r="AL426" i="7"/>
  <c r="AL425" i="7"/>
  <c r="AL424" i="7"/>
  <c r="AL423" i="7"/>
  <c r="AL422" i="7"/>
  <c r="AL421" i="7"/>
  <c r="AL420" i="7"/>
  <c r="AL419" i="7"/>
  <c r="AL418" i="7"/>
  <c r="AL417" i="7"/>
  <c r="AL416" i="7"/>
  <c r="AL415" i="7"/>
  <c r="AL414" i="7"/>
  <c r="AL413" i="7"/>
  <c r="AL412" i="7"/>
  <c r="AL411" i="7"/>
  <c r="AL410" i="7"/>
  <c r="AL409" i="7"/>
  <c r="AL408" i="7"/>
  <c r="AL407" i="7"/>
  <c r="AL406" i="7"/>
  <c r="AL405" i="7"/>
  <c r="AL404" i="7"/>
  <c r="AL403" i="7"/>
  <c r="AL402" i="7"/>
  <c r="AL401" i="7"/>
  <c r="AL400" i="7"/>
  <c r="AL399" i="7"/>
  <c r="AL398" i="7"/>
  <c r="AL397" i="7"/>
  <c r="AL396" i="7"/>
  <c r="AL395" i="7"/>
  <c r="AL394" i="7"/>
  <c r="AL393" i="7"/>
  <c r="AL392" i="7"/>
  <c r="AL382" i="7"/>
  <c r="AL381" i="7"/>
  <c r="AL380" i="7"/>
  <c r="AL379" i="7"/>
  <c r="AL378" i="7"/>
  <c r="AL376" i="7"/>
  <c r="AL375" i="7"/>
  <c r="AL374" i="7"/>
  <c r="AL373" i="7"/>
  <c r="AL372" i="7"/>
  <c r="AL371" i="7"/>
  <c r="AL370" i="7"/>
  <c r="AL369" i="7"/>
  <c r="AL368" i="7"/>
  <c r="AL367" i="7"/>
  <c r="AL366" i="7"/>
  <c r="AL365" i="7"/>
  <c r="AL364" i="7"/>
  <c r="AL363" i="7"/>
  <c r="AL362" i="7"/>
  <c r="AL361" i="7"/>
  <c r="AL360" i="7"/>
  <c r="AL359" i="7"/>
  <c r="AL358" i="7"/>
  <c r="AL357" i="7"/>
  <c r="AL356" i="7"/>
  <c r="AL355" i="7"/>
  <c r="AL354" i="7"/>
  <c r="AL353" i="7"/>
  <c r="AL352" i="7"/>
  <c r="AL351" i="7"/>
  <c r="AL350" i="7"/>
  <c r="AL349" i="7"/>
  <c r="AL348" i="7"/>
  <c r="AL347" i="7"/>
  <c r="AL346" i="7"/>
  <c r="AL345" i="7"/>
  <c r="AL344" i="7"/>
  <c r="AL343" i="7"/>
  <c r="AL342" i="7"/>
  <c r="AL341" i="7"/>
  <c r="AL340" i="7"/>
  <c r="AL339" i="7"/>
  <c r="AL338" i="7"/>
  <c r="AL337" i="7"/>
  <c r="AL336" i="7"/>
  <c r="AL335" i="7"/>
  <c r="AL334" i="7"/>
  <c r="AL333" i="7"/>
  <c r="AL332" i="7"/>
  <c r="AL331" i="7"/>
  <c r="AL330" i="7"/>
  <c r="AL329" i="7"/>
  <c r="AL328" i="7"/>
  <c r="AL327" i="7"/>
  <c r="AL325" i="7"/>
  <c r="AL324" i="7"/>
  <c r="AL323" i="7"/>
  <c r="AL322" i="7"/>
  <c r="AL321" i="7"/>
  <c r="AL320" i="7"/>
  <c r="AL319" i="7"/>
  <c r="AL318" i="7"/>
  <c r="AL317" i="7"/>
  <c r="AL316" i="7"/>
  <c r="AL315" i="7"/>
  <c r="AL314" i="7"/>
  <c r="AL313" i="7"/>
  <c r="AL312" i="7"/>
  <c r="AL311" i="7"/>
  <c r="AL310" i="7"/>
  <c r="AL309" i="7"/>
  <c r="AL308" i="7"/>
  <c r="AL307" i="7"/>
  <c r="AL306" i="7"/>
  <c r="AL305" i="7"/>
  <c r="AL304" i="7"/>
  <c r="AL303" i="7"/>
  <c r="AL302" i="7"/>
  <c r="AL301" i="7"/>
  <c r="AL300" i="7"/>
  <c r="AL299" i="7"/>
  <c r="AL298" i="7"/>
  <c r="AL297" i="7"/>
  <c r="AL295" i="7"/>
  <c r="AL294" i="7"/>
  <c r="AL293" i="7"/>
  <c r="AL292" i="7"/>
  <c r="AL291" i="7"/>
  <c r="AL290" i="7"/>
  <c r="AL289" i="7"/>
  <c r="AL288" i="7"/>
  <c r="AL287" i="7"/>
  <c r="AL286" i="7"/>
  <c r="AL285" i="7"/>
  <c r="AL284" i="7"/>
  <c r="AL283" i="7"/>
  <c r="AL282" i="7"/>
  <c r="AL281" i="7"/>
  <c r="AL280" i="7"/>
  <c r="AL279" i="7"/>
  <c r="AL278" i="7"/>
  <c r="AL277" i="7"/>
  <c r="AL276" i="7"/>
  <c r="AL275" i="7"/>
  <c r="AL274" i="7"/>
  <c r="AL273" i="7"/>
  <c r="AL272" i="7"/>
  <c r="AL271" i="7"/>
  <c r="AL270" i="7"/>
  <c r="AL269" i="7"/>
  <c r="AL268" i="7"/>
  <c r="AL267" i="7"/>
  <c r="AL266" i="7"/>
  <c r="AL265" i="7"/>
  <c r="AL264" i="7"/>
  <c r="AL263" i="7"/>
  <c r="AL262" i="7"/>
  <c r="AL261" i="7"/>
  <c r="AL260" i="7"/>
  <c r="AL259" i="7"/>
  <c r="AL258" i="7"/>
  <c r="AL257" i="7"/>
  <c r="AL256" i="7"/>
  <c r="AL255" i="7"/>
  <c r="AL254" i="7"/>
  <c r="AL253" i="7"/>
  <c r="AL252" i="7"/>
  <c r="AL251" i="7"/>
  <c r="AL250" i="7"/>
  <c r="AL249" i="7"/>
  <c r="AL248" i="7"/>
  <c r="AL247" i="7"/>
  <c r="AL246" i="7"/>
  <c r="AL244" i="7"/>
  <c r="AL242" i="7"/>
  <c r="AL241" i="7"/>
  <c r="AL233" i="7"/>
  <c r="AL229" i="7"/>
  <c r="AL228" i="7"/>
  <c r="AL227" i="7"/>
  <c r="AL226" i="7"/>
  <c r="AL224" i="7"/>
  <c r="AL223" i="7"/>
  <c r="AL222" i="7"/>
  <c r="AL221" i="7"/>
  <c r="AL220" i="7"/>
  <c r="AL219" i="7"/>
  <c r="AL218" i="7"/>
  <c r="AL217" i="7"/>
  <c r="AL215" i="7"/>
  <c r="AL214" i="7"/>
  <c r="AL213" i="7"/>
  <c r="AL212" i="7"/>
  <c r="AL211" i="7"/>
  <c r="AL210" i="7"/>
  <c r="AL209" i="7"/>
  <c r="AL208" i="7"/>
  <c r="AL207" i="7"/>
  <c r="AL206" i="7"/>
  <c r="AL205" i="7"/>
  <c r="AL204" i="7"/>
  <c r="AL203" i="7"/>
  <c r="AL202" i="7"/>
  <c r="AL201" i="7"/>
  <c r="AL200" i="7"/>
  <c r="AL199" i="7"/>
  <c r="AL198" i="7"/>
  <c r="AL197" i="7"/>
  <c r="AL196" i="7"/>
  <c r="AL195" i="7"/>
  <c r="AL194" i="7"/>
  <c r="AL193" i="7"/>
  <c r="AL192" i="7"/>
  <c r="AL191" i="7"/>
  <c r="AL190" i="7"/>
  <c r="AL189" i="7"/>
  <c r="AL188" i="7"/>
  <c r="AL187" i="7"/>
  <c r="AL186" i="7"/>
  <c r="AL185" i="7"/>
  <c r="AL184" i="7"/>
  <c r="AL183" i="7"/>
  <c r="AL182" i="7"/>
  <c r="AL181" i="7"/>
  <c r="AL180" i="7"/>
  <c r="AL179" i="7"/>
  <c r="AL178" i="7"/>
  <c r="AL173" i="7"/>
  <c r="AL170" i="7"/>
  <c r="AL164" i="7"/>
  <c r="AL163" i="7"/>
  <c r="AL162" i="7"/>
  <c r="AL161" i="7"/>
  <c r="AL160" i="7"/>
  <c r="AL159" i="7"/>
  <c r="AL158" i="7"/>
  <c r="AL157" i="7"/>
  <c r="AL156" i="7"/>
  <c r="AL155" i="7"/>
  <c r="AL154" i="7"/>
  <c r="AL153" i="7"/>
  <c r="AL152" i="7"/>
  <c r="AL151" i="7"/>
  <c r="AL149" i="7"/>
  <c r="AL148" i="7"/>
  <c r="AL147" i="7"/>
  <c r="AL146" i="7"/>
  <c r="AL145" i="7"/>
  <c r="AL144" i="7"/>
  <c r="AL143" i="7"/>
  <c r="AL142" i="7"/>
  <c r="AL141" i="7"/>
  <c r="AL139" i="7"/>
  <c r="AL138" i="7"/>
  <c r="AL137" i="7"/>
  <c r="AL136" i="7"/>
  <c r="AL135" i="7"/>
  <c r="AL134" i="7"/>
  <c r="AL133" i="7"/>
  <c r="AL132" i="7"/>
  <c r="AL131" i="7"/>
  <c r="AL130" i="7"/>
  <c r="AL129" i="7"/>
  <c r="AL128" i="7"/>
  <c r="AL127" i="7"/>
  <c r="AL126" i="7"/>
  <c r="AL125" i="7"/>
  <c r="AL124" i="7"/>
  <c r="AL123" i="7"/>
  <c r="AL122" i="7"/>
  <c r="AL121" i="7"/>
  <c r="AL120" i="7"/>
  <c r="AL119" i="7"/>
  <c r="AL118" i="7"/>
  <c r="AL117" i="7"/>
  <c r="AL116" i="7"/>
  <c r="AL115" i="7"/>
  <c r="AL114" i="7"/>
  <c r="AL113" i="7"/>
  <c r="AL112" i="7"/>
  <c r="AL111" i="7"/>
  <c r="AL110" i="7"/>
  <c r="AL109" i="7"/>
  <c r="AL108" i="7"/>
  <c r="AL107" i="7"/>
  <c r="AL106" i="7"/>
  <c r="AL105" i="7"/>
  <c r="AL104" i="7"/>
  <c r="AL103" i="7"/>
  <c r="AL102" i="7"/>
  <c r="AL101" i="7"/>
  <c r="AL100" i="7"/>
  <c r="AL99" i="7"/>
  <c r="AL98" i="7"/>
  <c r="AL97" i="7"/>
  <c r="AL96" i="7"/>
  <c r="AL95" i="7"/>
  <c r="AL89" i="7"/>
  <c r="AL87" i="7"/>
  <c r="AL86" i="7"/>
  <c r="AL79" i="7"/>
  <c r="AL77" i="7"/>
  <c r="AL76" i="7"/>
  <c r="AL70" i="7"/>
  <c r="AL69" i="7"/>
  <c r="AL68" i="7"/>
  <c r="AL67" i="7"/>
  <c r="AL66" i="7"/>
  <c r="AL65" i="7"/>
  <c r="AL64" i="7"/>
  <c r="AL63" i="7"/>
  <c r="AL62" i="7"/>
  <c r="AL61" i="7"/>
  <c r="AL60" i="7"/>
  <c r="AL59" i="7"/>
  <c r="AL58" i="7"/>
  <c r="AL57" i="7"/>
  <c r="AL56" i="7"/>
  <c r="AL55" i="7"/>
  <c r="AL54" i="7"/>
  <c r="AL53" i="7"/>
  <c r="AL52" i="7"/>
  <c r="AL51" i="7"/>
  <c r="AL50" i="7"/>
  <c r="AL49" i="7"/>
  <c r="AL48" i="7"/>
  <c r="AL47" i="7"/>
  <c r="AL46" i="7"/>
  <c r="AL45" i="7"/>
  <c r="AL44" i="7"/>
  <c r="AL43" i="7"/>
  <c r="AL42" i="7"/>
  <c r="AL41" i="7"/>
  <c r="AL40" i="7"/>
  <c r="AL39" i="7"/>
  <c r="AL38" i="7"/>
  <c r="AL37" i="7"/>
  <c r="AL36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AL5" i="7"/>
  <c r="AL4" i="7"/>
  <c r="AK1972" i="7"/>
  <c r="AK1971" i="7"/>
  <c r="AK1969" i="7"/>
  <c r="AK1966" i="7"/>
  <c r="AK1965" i="7"/>
  <c r="AK1964" i="7"/>
  <c r="AK1963" i="7"/>
  <c r="AK1962" i="7"/>
  <c r="AK1961" i="7"/>
  <c r="AK1960" i="7"/>
  <c r="AK1959" i="7"/>
  <c r="AK1957" i="7"/>
  <c r="AK1955" i="7"/>
  <c r="AK1953" i="7"/>
  <c r="AK1951" i="7"/>
  <c r="AK1950" i="7"/>
  <c r="AK1949" i="7"/>
  <c r="AK1946" i="7"/>
  <c r="AK1945" i="7"/>
  <c r="AK1944" i="7"/>
  <c r="AK1943" i="7"/>
  <c r="AK1942" i="7"/>
  <c r="AK1941" i="7"/>
  <c r="AK1940" i="7"/>
  <c r="AK1939" i="7"/>
  <c r="AK1938" i="7"/>
  <c r="AK1937" i="7"/>
  <c r="AK1936" i="7"/>
  <c r="AK1935" i="7"/>
  <c r="AK1934" i="7"/>
  <c r="AK1933" i="7"/>
  <c r="AK1932" i="7"/>
  <c r="AK1930" i="7"/>
  <c r="AK1929" i="7"/>
  <c r="AK1928" i="7"/>
  <c r="AK1927" i="7"/>
  <c r="AK1926" i="7"/>
  <c r="AK1925" i="7"/>
  <c r="AK1924" i="7"/>
  <c r="AK1922" i="7"/>
  <c r="AK1921" i="7"/>
  <c r="AK1920" i="7"/>
  <c r="AK1919" i="7"/>
  <c r="AK1918" i="7"/>
  <c r="AK1917" i="7"/>
  <c r="AK1916" i="7"/>
  <c r="AK1915" i="7"/>
  <c r="AK1914" i="7"/>
  <c r="AK1912" i="7"/>
  <c r="AK1909" i="7"/>
  <c r="AK1908" i="7"/>
  <c r="AK1907" i="7"/>
  <c r="AK1906" i="7"/>
  <c r="AK1905" i="7"/>
  <c r="AK1904" i="7"/>
  <c r="AK1903" i="7"/>
  <c r="AK1902" i="7"/>
  <c r="AK1898" i="7"/>
  <c r="AK1895" i="7"/>
  <c r="AK1894" i="7"/>
  <c r="AK1893" i="7"/>
  <c r="AK1892" i="7"/>
  <c r="AK1891" i="7"/>
  <c r="AK1889" i="7"/>
  <c r="AK1886" i="7"/>
  <c r="AK1885" i="7"/>
  <c r="AK1884" i="7"/>
  <c r="AK1881" i="7"/>
  <c r="AK1879" i="7"/>
  <c r="AK1877" i="7"/>
  <c r="AK1876" i="7"/>
  <c r="AK1875" i="7"/>
  <c r="AK1874" i="7"/>
  <c r="AK1873" i="7"/>
  <c r="AK1872" i="7"/>
  <c r="AK1871" i="7"/>
  <c r="AK1870" i="7"/>
  <c r="AK1869" i="7"/>
  <c r="AK1868" i="7"/>
  <c r="AK1867" i="7"/>
  <c r="AK1866" i="7"/>
  <c r="AK1865" i="7"/>
  <c r="AK1864" i="7"/>
  <c r="AK1863" i="7"/>
  <c r="AK1862" i="7"/>
  <c r="AK1861" i="7"/>
  <c r="AK1860" i="7"/>
  <c r="AK1859" i="7"/>
  <c r="AK1858" i="7"/>
  <c r="AK1857" i="7"/>
  <c r="AK1856" i="7"/>
  <c r="AK1855" i="7"/>
  <c r="AK1854" i="7"/>
  <c r="AK1853" i="7"/>
  <c r="AK1852" i="7"/>
  <c r="AK1851" i="7"/>
  <c r="AK1850" i="7"/>
  <c r="AK1849" i="7"/>
  <c r="AK1848" i="7"/>
  <c r="AK1847" i="7"/>
  <c r="AK1846" i="7"/>
  <c r="AK1845" i="7"/>
  <c r="AK1844" i="7"/>
  <c r="AK1843" i="7"/>
  <c r="AK1842" i="7"/>
  <c r="AK1841" i="7"/>
  <c r="AK1840" i="7"/>
  <c r="AK1839" i="7"/>
  <c r="AK1838" i="7"/>
  <c r="AK1837" i="7"/>
  <c r="AK1836" i="7"/>
  <c r="AK1835" i="7"/>
  <c r="AK1833" i="7"/>
  <c r="AK1832" i="7"/>
  <c r="AK1831" i="7"/>
  <c r="AK1830" i="7"/>
  <c r="AK1829" i="7"/>
  <c r="AK1828" i="7"/>
  <c r="AK1827" i="7"/>
  <c r="AK1826" i="7"/>
  <c r="AK1825" i="7"/>
  <c r="AK1824" i="7"/>
  <c r="AK1823" i="7"/>
  <c r="AK1822" i="7"/>
  <c r="AK1821" i="7"/>
  <c r="AK1820" i="7"/>
  <c r="AK1819" i="7"/>
  <c r="AK1818" i="7"/>
  <c r="AK1817" i="7"/>
  <c r="AK1816" i="7"/>
  <c r="AK1815" i="7"/>
  <c r="AK1814" i="7"/>
  <c r="AK1813" i="7"/>
  <c r="AK1812" i="7"/>
  <c r="AK1811" i="7"/>
  <c r="AK1810" i="7"/>
  <c r="AK1809" i="7"/>
  <c r="AK1808" i="7"/>
  <c r="AK1807" i="7"/>
  <c r="AK1806" i="7"/>
  <c r="AK1805" i="7"/>
  <c r="AK1804" i="7"/>
  <c r="AK1803" i="7"/>
  <c r="AK1800" i="7"/>
  <c r="AK1799" i="7"/>
  <c r="AK1797" i="7"/>
  <c r="AK1796" i="7"/>
  <c r="AK1795" i="7"/>
  <c r="AK1794" i="7"/>
  <c r="AK1793" i="7"/>
  <c r="AK1792" i="7"/>
  <c r="AK1781" i="7"/>
  <c r="AK1780" i="7"/>
  <c r="AK1778" i="7"/>
  <c r="AK1773" i="7"/>
  <c r="AK1766" i="7"/>
  <c r="AK1760" i="7"/>
  <c r="AK1736" i="7"/>
  <c r="AK1703" i="7"/>
  <c r="AK1702" i="7"/>
  <c r="AK1700" i="7"/>
  <c r="AK1699" i="7"/>
  <c r="AK1698" i="7"/>
  <c r="AK1697" i="7"/>
  <c r="AK1696" i="7"/>
  <c r="AK1695" i="7"/>
  <c r="AK1693" i="7"/>
  <c r="AK1687" i="7"/>
  <c r="AK1686" i="7"/>
  <c r="AK1685" i="7"/>
  <c r="AK1684" i="7"/>
  <c r="AK1677" i="7"/>
  <c r="AK1676" i="7"/>
  <c r="AK1675" i="7"/>
  <c r="AK1673" i="7"/>
  <c r="AK1669" i="7"/>
  <c r="AK1656" i="7"/>
  <c r="AK1648" i="7"/>
  <c r="AK1647" i="7"/>
  <c r="AK1646" i="7"/>
  <c r="AK1645" i="7"/>
  <c r="AK1644" i="7"/>
  <c r="AK1643" i="7"/>
  <c r="AK1642" i="7"/>
  <c r="AK1641" i="7"/>
  <c r="AK1640" i="7"/>
  <c r="AK1639" i="7"/>
  <c r="AK1638" i="7"/>
  <c r="AK1637" i="7"/>
  <c r="AK1636" i="7"/>
  <c r="AK1635" i="7"/>
  <c r="AK1634" i="7"/>
  <c r="AK1633" i="7"/>
  <c r="AK1632" i="7"/>
  <c r="AK1631" i="7"/>
  <c r="AK1630" i="7"/>
  <c r="AK1627" i="7"/>
  <c r="AK1607" i="7"/>
  <c r="AK1599" i="7"/>
  <c r="AK1593" i="7"/>
  <c r="AK1592" i="7"/>
  <c r="AK1591" i="7"/>
  <c r="AK1590" i="7"/>
  <c r="AK1589" i="7"/>
  <c r="AK1588" i="7"/>
  <c r="AK1587" i="7"/>
  <c r="AK1586" i="7"/>
  <c r="AK1585" i="7"/>
  <c r="AK1584" i="7"/>
  <c r="AK1583" i="7"/>
  <c r="AK1582" i="7"/>
  <c r="AK1581" i="7"/>
  <c r="AK1580" i="7"/>
  <c r="AK1577" i="7"/>
  <c r="AK1576" i="7"/>
  <c r="AK1574" i="7"/>
  <c r="AK1573" i="7"/>
  <c r="AK1572" i="7"/>
  <c r="AK1571" i="7"/>
  <c r="AK1570" i="7"/>
  <c r="AK1569" i="7"/>
  <c r="AK1568" i="7"/>
  <c r="AK1567" i="7"/>
  <c r="AK1566" i="7"/>
  <c r="AK1561" i="7"/>
  <c r="AK1558" i="7"/>
  <c r="AK1556" i="7"/>
  <c r="AK1555" i="7"/>
  <c r="AK1552" i="7"/>
  <c r="AK1551" i="7"/>
  <c r="AK1550" i="7"/>
  <c r="AK1549" i="7"/>
  <c r="AK1548" i="7"/>
  <c r="AK1547" i="7"/>
  <c r="AK1546" i="7"/>
  <c r="AK1545" i="7"/>
  <c r="AK1544" i="7"/>
  <c r="AK1543" i="7"/>
  <c r="AK1535" i="7"/>
  <c r="AK1531" i="7"/>
  <c r="AK1530" i="7"/>
  <c r="AK1526" i="7"/>
  <c r="AK1520" i="7"/>
  <c r="AK1519" i="7"/>
  <c r="AK1518" i="7"/>
  <c r="AK1516" i="7"/>
  <c r="AK1515" i="7"/>
  <c r="AK1512" i="7"/>
  <c r="AK1510" i="7"/>
  <c r="AK1507" i="7"/>
  <c r="AK1506" i="7"/>
  <c r="AK1503" i="7"/>
  <c r="AK1502" i="7"/>
  <c r="AK1501" i="7"/>
  <c r="AK1500" i="7"/>
  <c r="AK1499" i="7"/>
  <c r="AK1498" i="7"/>
  <c r="AK1497" i="7"/>
  <c r="AK1494" i="7"/>
  <c r="AK1493" i="7"/>
  <c r="AK1492" i="7"/>
  <c r="AK1490" i="7"/>
  <c r="AK1489" i="7"/>
  <c r="AK1488" i="7"/>
  <c r="AK1487" i="7"/>
  <c r="AK1486" i="7"/>
  <c r="AK1485" i="7"/>
  <c r="AK1484" i="7"/>
  <c r="AK1483" i="7"/>
  <c r="AK1482" i="7"/>
  <c r="AK1481" i="7"/>
  <c r="AK1480" i="7"/>
  <c r="AK1479" i="7"/>
  <c r="AK1478" i="7"/>
  <c r="AK1477" i="7"/>
  <c r="AK1476" i="7"/>
  <c r="AK1475" i="7"/>
  <c r="AK1474" i="7"/>
  <c r="AK1473" i="7"/>
  <c r="AK1472" i="7"/>
  <c r="AK1471" i="7"/>
  <c r="AK1470" i="7"/>
  <c r="AK1469" i="7"/>
  <c r="AK1468" i="7"/>
  <c r="AK1467" i="7"/>
  <c r="AK1466" i="7"/>
  <c r="AK1465" i="7"/>
  <c r="AK1464" i="7"/>
  <c r="AK1463" i="7"/>
  <c r="AK1462" i="7"/>
  <c r="AK1461" i="7"/>
  <c r="AK1460" i="7"/>
  <c r="AK1459" i="7"/>
  <c r="AK1458" i="7"/>
  <c r="AK1457" i="7"/>
  <c r="AK1456" i="7"/>
  <c r="AK1455" i="7"/>
  <c r="AK1454" i="7"/>
  <c r="AK1453" i="7"/>
  <c r="AK1452" i="7"/>
  <c r="AK1451" i="7"/>
  <c r="AK1450" i="7"/>
  <c r="AK1449" i="7"/>
  <c r="AK1448" i="7"/>
  <c r="AK1447" i="7"/>
  <c r="AK1446" i="7"/>
  <c r="AK1445" i="7"/>
  <c r="AK1444" i="7"/>
  <c r="AK1443" i="7"/>
  <c r="AK1442" i="7"/>
  <c r="AK1441" i="7"/>
  <c r="AK1440" i="7"/>
  <c r="AK1439" i="7"/>
  <c r="AK1438" i="7"/>
  <c r="AK1437" i="7"/>
  <c r="AK1436" i="7"/>
  <c r="AK1435" i="7"/>
  <c r="AK1434" i="7"/>
  <c r="AK1433" i="7"/>
  <c r="AK1432" i="7"/>
  <c r="AK1431" i="7"/>
  <c r="AK1430" i="7"/>
  <c r="AK1429" i="7"/>
  <c r="AK1428" i="7"/>
  <c r="AK1427" i="7"/>
  <c r="AK1426" i="7"/>
  <c r="AK1425" i="7"/>
  <c r="AK1424" i="7"/>
  <c r="AK1423" i="7"/>
  <c r="AK1422" i="7"/>
  <c r="AK1421" i="7"/>
  <c r="AK1420" i="7"/>
  <c r="AK1419" i="7"/>
  <c r="AK1418" i="7"/>
  <c r="AK1417" i="7"/>
  <c r="AK1416" i="7"/>
  <c r="AK1415" i="7"/>
  <c r="AK1414" i="7"/>
  <c r="AK1413" i="7"/>
  <c r="AK1412" i="7"/>
  <c r="AK1411" i="7"/>
  <c r="AK1410" i="7"/>
  <c r="AK1409" i="7"/>
  <c r="AK1408" i="7"/>
  <c r="AK1407" i="7"/>
  <c r="AK1406" i="7"/>
  <c r="AK1405" i="7"/>
  <c r="AK1404" i="7"/>
  <c r="AK1403" i="7"/>
  <c r="AK1399" i="7"/>
  <c r="AK1398" i="7"/>
  <c r="AK1397" i="7"/>
  <c r="AK1396" i="7"/>
  <c r="AK1395" i="7"/>
  <c r="AK1394" i="7"/>
  <c r="AK1393" i="7"/>
  <c r="AK1392" i="7"/>
  <c r="AK1391" i="7"/>
  <c r="AK1390" i="7"/>
  <c r="AK1389" i="7"/>
  <c r="AK1388" i="7"/>
  <c r="AK1387" i="7"/>
  <c r="AK1386" i="7"/>
  <c r="AK1385" i="7"/>
  <c r="AK1384" i="7"/>
  <c r="AK1383" i="7"/>
  <c r="AK1382" i="7"/>
  <c r="AK1381" i="7"/>
  <c r="AK1380" i="7"/>
  <c r="AK1379" i="7"/>
  <c r="AK1378" i="7"/>
  <c r="AK1377" i="7"/>
  <c r="AK1376" i="7"/>
  <c r="AK1375" i="7"/>
  <c r="AK1374" i="7"/>
  <c r="AK1373" i="7"/>
  <c r="AK1372" i="7"/>
  <c r="AK1371" i="7"/>
  <c r="AK1370" i="7"/>
  <c r="AK1369" i="7"/>
  <c r="AK1368" i="7"/>
  <c r="AK1367" i="7"/>
  <c r="AK1366" i="7"/>
  <c r="AK1365" i="7"/>
  <c r="AK1364" i="7"/>
  <c r="AK1363" i="7"/>
  <c r="AK1362" i="7"/>
  <c r="AK1361" i="7"/>
  <c r="AK1360" i="7"/>
  <c r="AK1359" i="7"/>
  <c r="AK1358" i="7"/>
  <c r="AK1357" i="7"/>
  <c r="AK1356" i="7"/>
  <c r="AK1355" i="7"/>
  <c r="AK1353" i="7"/>
  <c r="AK1352" i="7"/>
  <c r="AK1351" i="7"/>
  <c r="AK1350" i="7"/>
  <c r="AK1349" i="7"/>
  <c r="AK1341" i="7"/>
  <c r="AK1340" i="7"/>
  <c r="AK1339" i="7"/>
  <c r="AK1338" i="7"/>
  <c r="AK1337" i="7"/>
  <c r="AK1336" i="7"/>
  <c r="AK1335" i="7"/>
  <c r="AK1334" i="7"/>
  <c r="AK1333" i="7"/>
  <c r="AK1332" i="7"/>
  <c r="AK1331" i="7"/>
  <c r="AK1330" i="7"/>
  <c r="AK1329" i="7"/>
  <c r="AK1328" i="7"/>
  <c r="AK1326" i="7"/>
  <c r="AK1325" i="7"/>
  <c r="AK1320" i="7"/>
  <c r="AK1319" i="7"/>
  <c r="AK1318" i="7"/>
  <c r="AK1317" i="7"/>
  <c r="AK1316" i="7"/>
  <c r="AK1315" i="7"/>
  <c r="AK1314" i="7"/>
  <c r="AK1313" i="7"/>
  <c r="AK1312" i="7"/>
  <c r="AK1311" i="7"/>
  <c r="AK1310" i="7"/>
  <c r="AK1309" i="7"/>
  <c r="AK1308" i="7"/>
  <c r="AK1307" i="7"/>
  <c r="AK1306" i="7"/>
  <c r="AK1305" i="7"/>
  <c r="AK1304" i="7"/>
  <c r="AK1303" i="7"/>
  <c r="AK1302" i="7"/>
  <c r="AK1301" i="7"/>
  <c r="AK1300" i="7"/>
  <c r="AK1299" i="7"/>
  <c r="AK1298" i="7"/>
  <c r="AK1297" i="7"/>
  <c r="AK1296" i="7"/>
  <c r="AK1295" i="7"/>
  <c r="AK1294" i="7"/>
  <c r="AK1293" i="7"/>
  <c r="AK1292" i="7"/>
  <c r="AK1291" i="7"/>
  <c r="AK1290" i="7"/>
  <c r="AK1289" i="7"/>
  <c r="AK1288" i="7"/>
  <c r="AK1287" i="7"/>
  <c r="AK1286" i="7"/>
  <c r="AK1285" i="7"/>
  <c r="AK1284" i="7"/>
  <c r="AK1283" i="7"/>
  <c r="AK1282" i="7"/>
  <c r="AK1281" i="7"/>
  <c r="AK1280" i="7"/>
  <c r="AK1279" i="7"/>
  <c r="AK1278" i="7"/>
  <c r="AK1277" i="7"/>
  <c r="AK1276" i="7"/>
  <c r="AK1275" i="7"/>
  <c r="AK1274" i="7"/>
  <c r="AK1273" i="7"/>
  <c r="AK1272" i="7"/>
  <c r="AK1271" i="7"/>
  <c r="AK1270" i="7"/>
  <c r="AK1269" i="7"/>
  <c r="AK1268" i="7"/>
  <c r="AK1267" i="7"/>
  <c r="AK1266" i="7"/>
  <c r="AK1265" i="7"/>
  <c r="AK1264" i="7"/>
  <c r="AK1263" i="7"/>
  <c r="AK1262" i="7"/>
  <c r="AK1261" i="7"/>
  <c r="AK1260" i="7"/>
  <c r="AK1259" i="7"/>
  <c r="AK1258" i="7"/>
  <c r="AK1257" i="7"/>
  <c r="AK1256" i="7"/>
  <c r="AK1255" i="7"/>
  <c r="AK1254" i="7"/>
  <c r="AK1253" i="7"/>
  <c r="AK1252" i="7"/>
  <c r="AK1251" i="7"/>
  <c r="AK1250" i="7"/>
  <c r="AK1249" i="7"/>
  <c r="AK1248" i="7"/>
  <c r="AK1247" i="7"/>
  <c r="AK1246" i="7"/>
  <c r="AK1245" i="7"/>
  <c r="AK1244" i="7"/>
  <c r="AK1243" i="7"/>
  <c r="AK1242" i="7"/>
  <c r="AK1241" i="7"/>
  <c r="AK1240" i="7"/>
  <c r="AK1239" i="7"/>
  <c r="AK1238" i="7"/>
  <c r="AK1237" i="7"/>
  <c r="AK1236" i="7"/>
  <c r="AK1235" i="7"/>
  <c r="AK1234" i="7"/>
  <c r="AK1233" i="7"/>
  <c r="AK1232" i="7"/>
  <c r="AK1231" i="7"/>
  <c r="AK1230" i="7"/>
  <c r="AK1229" i="7"/>
  <c r="AK1228" i="7"/>
  <c r="AK1227" i="7"/>
  <c r="AK1226" i="7"/>
  <c r="AK1225" i="7"/>
  <c r="AK1224" i="7"/>
  <c r="AK1223" i="7"/>
  <c r="AK1222" i="7"/>
  <c r="AK1221" i="7"/>
  <c r="AK1220" i="7"/>
  <c r="AK1219" i="7"/>
  <c r="AK1218" i="7"/>
  <c r="AK1217" i="7"/>
  <c r="AK1216" i="7"/>
  <c r="AK1215" i="7"/>
  <c r="AK1214" i="7"/>
  <c r="AK1213" i="7"/>
  <c r="AK1212" i="7"/>
  <c r="AK1211" i="7"/>
  <c r="AK1210" i="7"/>
  <c r="AK1209" i="7"/>
  <c r="AK1208" i="7"/>
  <c r="AK1207" i="7"/>
  <c r="AK1206" i="7"/>
  <c r="AK1205" i="7"/>
  <c r="AK1204" i="7"/>
  <c r="AK1203" i="7"/>
  <c r="AK1202" i="7"/>
  <c r="AK1201" i="7"/>
  <c r="AK1200" i="7"/>
  <c r="AK1199" i="7"/>
  <c r="AK1198" i="7"/>
  <c r="AK1197" i="7"/>
  <c r="AK1196" i="7"/>
  <c r="AK1195" i="7"/>
  <c r="AK1194" i="7"/>
  <c r="AK1193" i="7"/>
  <c r="AK1186" i="7"/>
  <c r="AK1184" i="7"/>
  <c r="AK1182" i="7"/>
  <c r="AK1181" i="7"/>
  <c r="AK1180" i="7"/>
  <c r="AK1179" i="7"/>
  <c r="AK1178" i="7"/>
  <c r="AK1177" i="7"/>
  <c r="AK1176" i="7"/>
  <c r="AK1175" i="7"/>
  <c r="AK1174" i="7"/>
  <c r="AK1173" i="7"/>
  <c r="AK1172" i="7"/>
  <c r="AK1171" i="7"/>
  <c r="AK1170" i="7"/>
  <c r="AK1169" i="7"/>
  <c r="AK1168" i="7"/>
  <c r="AK1167" i="7"/>
  <c r="AK1166" i="7"/>
  <c r="AK1162" i="7"/>
  <c r="AK1161" i="7"/>
  <c r="AK1160" i="7"/>
  <c r="AK1159" i="7"/>
  <c r="AK1158" i="7"/>
  <c r="AK1157" i="7"/>
  <c r="AK1156" i="7"/>
  <c r="AK1155" i="7"/>
  <c r="AK1154" i="7"/>
  <c r="AK1153" i="7"/>
  <c r="AK1152" i="7"/>
  <c r="AK1151" i="7"/>
  <c r="AK1150" i="7"/>
  <c r="AK1149" i="7"/>
  <c r="AK1148" i="7"/>
  <c r="AK1147" i="7"/>
  <c r="AK1146" i="7"/>
  <c r="AK1145" i="7"/>
  <c r="AK1144" i="7"/>
  <c r="AK1143" i="7"/>
  <c r="AK1142" i="7"/>
  <c r="AK1141" i="7"/>
  <c r="AK1140" i="7"/>
  <c r="AK1139" i="7"/>
  <c r="AK1138" i="7"/>
  <c r="AK1137" i="7"/>
  <c r="AK1136" i="7"/>
  <c r="AK1135" i="7"/>
  <c r="AK1134" i="7"/>
  <c r="AK1133" i="7"/>
  <c r="AK1132" i="7"/>
  <c r="AK1131" i="7"/>
  <c r="AK1130" i="7"/>
  <c r="AK1129" i="7"/>
  <c r="AK1128" i="7"/>
  <c r="AK1127" i="7"/>
  <c r="AK1126" i="7"/>
  <c r="AK1125" i="7"/>
  <c r="AK1124" i="7"/>
  <c r="AK1123" i="7"/>
  <c r="AK1122" i="7"/>
  <c r="AK1121" i="7"/>
  <c r="AK1120" i="7"/>
  <c r="AK1119" i="7"/>
  <c r="AK1118" i="7"/>
  <c r="AK1117" i="7"/>
  <c r="AK1116" i="7"/>
  <c r="AK1115" i="7"/>
  <c r="AK1114" i="7"/>
  <c r="AK1113" i="7"/>
  <c r="AK1112" i="7"/>
  <c r="AK1111" i="7"/>
  <c r="AK1110" i="7"/>
  <c r="AK1109" i="7"/>
  <c r="AK1108" i="7"/>
  <c r="AK1107" i="7"/>
  <c r="AK1106" i="7"/>
  <c r="AK1105" i="7"/>
  <c r="AK1104" i="7"/>
  <c r="AK1103" i="7"/>
  <c r="AK1102" i="7"/>
  <c r="AK1101" i="7"/>
  <c r="AK1100" i="7"/>
  <c r="AK1099" i="7"/>
  <c r="AK1098" i="7"/>
  <c r="AK1097" i="7"/>
  <c r="AK1096" i="7"/>
  <c r="AK1095" i="7"/>
  <c r="AK1094" i="7"/>
  <c r="AK1093" i="7"/>
  <c r="AK1092" i="7"/>
  <c r="AK1091" i="7"/>
  <c r="AK1090" i="7"/>
  <c r="AK1089" i="7"/>
  <c r="AK1088" i="7"/>
  <c r="AK1087" i="7"/>
  <c r="AK1086" i="7"/>
  <c r="AK1085" i="7"/>
  <c r="AK1084" i="7"/>
  <c r="AK1083" i="7"/>
  <c r="AK1082" i="7"/>
  <c r="AK1081" i="7"/>
  <c r="AK1080" i="7"/>
  <c r="AK1079" i="7"/>
  <c r="AK1078" i="7"/>
  <c r="AK1077" i="7"/>
  <c r="AK1076" i="7"/>
  <c r="AK1075" i="7"/>
  <c r="AK1074" i="7"/>
  <c r="AK1073" i="7"/>
  <c r="AK1072" i="7"/>
  <c r="AK1071" i="7"/>
  <c r="AK1070" i="7"/>
  <c r="AK1061" i="7"/>
  <c r="AK1060" i="7"/>
  <c r="AK1046" i="7"/>
  <c r="AK1045" i="7"/>
  <c r="AK1044" i="7"/>
  <c r="AK1043" i="7"/>
  <c r="AK1042" i="7"/>
  <c r="AK1040" i="7"/>
  <c r="AK1037" i="7"/>
  <c r="AK1036" i="7"/>
  <c r="AK1035" i="7"/>
  <c r="AK1034" i="7"/>
  <c r="AK1026" i="7"/>
  <c r="AK1025" i="7"/>
  <c r="AK1024" i="7"/>
  <c r="AK1023" i="7"/>
  <c r="AK1020" i="7"/>
  <c r="AK1019" i="7"/>
  <c r="AK1007" i="7"/>
  <c r="AK1006" i="7"/>
  <c r="AK1005" i="7"/>
  <c r="AK998" i="7"/>
  <c r="AK992" i="7"/>
  <c r="AK991" i="7"/>
  <c r="AK985" i="7"/>
  <c r="AK978" i="7"/>
  <c r="AK977" i="7"/>
  <c r="AK973" i="7"/>
  <c r="AK972" i="7"/>
  <c r="AK971" i="7"/>
  <c r="AK970" i="7"/>
  <c r="AK965" i="7"/>
  <c r="AK964" i="7"/>
  <c r="AK963" i="7"/>
  <c r="AK962" i="7"/>
  <c r="AK961" i="7"/>
  <c r="AK937" i="7"/>
  <c r="AK936" i="7"/>
  <c r="AK935" i="7"/>
  <c r="AK929" i="7"/>
  <c r="AK928" i="7"/>
  <c r="AK927" i="7"/>
  <c r="AK922" i="7"/>
  <c r="AK919" i="7"/>
  <c r="AK918" i="7"/>
  <c r="AK911" i="7"/>
  <c r="AK910" i="7"/>
  <c r="AK909" i="7"/>
  <c r="AK908" i="7"/>
  <c r="AK907" i="7"/>
  <c r="AK906" i="7"/>
  <c r="AK905" i="7"/>
  <c r="AK904" i="7"/>
  <c r="AK903" i="7"/>
  <c r="AK902" i="7"/>
  <c r="AK901" i="7"/>
  <c r="AK900" i="7"/>
  <c r="AK899" i="7"/>
  <c r="AK898" i="7"/>
  <c r="AK897" i="7"/>
  <c r="AK896" i="7"/>
  <c r="AK895" i="7"/>
  <c r="AK894" i="7"/>
  <c r="AK893" i="7"/>
  <c r="AK892" i="7"/>
  <c r="AK891" i="7"/>
  <c r="AK890" i="7"/>
  <c r="AK889" i="7"/>
  <c r="AK888" i="7"/>
  <c r="AK887" i="7"/>
  <c r="AK886" i="7"/>
  <c r="AK885" i="7"/>
  <c r="AK884" i="7"/>
  <c r="AK883" i="7"/>
  <c r="AK882" i="7"/>
  <c r="AK881" i="7"/>
  <c r="AK880" i="7"/>
  <c r="AK879" i="7"/>
  <c r="AK878" i="7"/>
  <c r="AK877" i="7"/>
  <c r="AK876" i="7"/>
  <c r="AK875" i="7"/>
  <c r="AK874" i="7"/>
  <c r="AK873" i="7"/>
  <c r="AK872" i="7"/>
  <c r="AK871" i="7"/>
  <c r="AK870" i="7"/>
  <c r="AK869" i="7"/>
  <c r="AK868" i="7"/>
  <c r="AK867" i="7"/>
  <c r="AK865" i="7"/>
  <c r="AK864" i="7"/>
  <c r="AK863" i="7"/>
  <c r="AK862" i="7"/>
  <c r="AK859" i="7"/>
  <c r="AK851" i="7"/>
  <c r="AK850" i="7"/>
  <c r="AK849" i="7"/>
  <c r="AK848" i="7"/>
  <c r="AK847" i="7"/>
  <c r="AK846" i="7"/>
  <c r="AK845" i="7"/>
  <c r="AK844" i="7"/>
  <c r="AK843" i="7"/>
  <c r="AK842" i="7"/>
  <c r="AK836" i="7"/>
  <c r="AK829" i="7"/>
  <c r="AK820" i="7"/>
  <c r="AK819" i="7"/>
  <c r="AK818" i="7"/>
  <c r="AK817" i="7"/>
  <c r="AK786" i="7"/>
  <c r="AK784" i="7"/>
  <c r="AK777" i="7"/>
  <c r="AK754" i="7"/>
  <c r="AK744" i="7"/>
  <c r="AK733" i="7"/>
  <c r="AK727" i="7"/>
  <c r="AK719" i="7"/>
  <c r="AK711" i="7"/>
  <c r="AK703" i="7"/>
  <c r="AK702" i="7"/>
  <c r="AK694" i="7"/>
  <c r="AK691" i="7"/>
  <c r="AK690" i="7"/>
  <c r="AK689" i="7"/>
  <c r="AK688" i="7"/>
  <c r="AK687" i="7"/>
  <c r="AK686" i="7"/>
  <c r="AK685" i="7"/>
  <c r="AK684" i="7"/>
  <c r="AK683" i="7"/>
  <c r="AK682" i="7"/>
  <c r="AK681" i="7"/>
  <c r="AK680" i="7"/>
  <c r="AK679" i="7"/>
  <c r="AK675" i="7"/>
  <c r="AK674" i="7"/>
  <c r="AK672" i="7"/>
  <c r="AK668" i="7"/>
  <c r="AK667" i="7"/>
  <c r="AK666" i="7"/>
  <c r="AK662" i="7"/>
  <c r="AK661" i="7"/>
  <c r="AK660" i="7"/>
  <c r="AK659" i="7"/>
  <c r="AK658" i="7"/>
  <c r="AK657" i="7"/>
  <c r="AK656" i="7"/>
  <c r="AK655" i="7"/>
  <c r="AK654" i="7"/>
  <c r="AK653" i="7"/>
  <c r="AK652" i="7"/>
  <c r="AK651" i="7"/>
  <c r="AK650" i="7"/>
  <c r="AK646" i="7"/>
  <c r="AK645" i="7"/>
  <c r="AK644" i="7"/>
  <c r="AK643" i="7"/>
  <c r="AK642" i="7"/>
  <c r="AK638" i="7"/>
  <c r="AK637" i="7"/>
  <c r="AK636" i="7"/>
  <c r="AK634" i="7"/>
  <c r="AK633" i="7"/>
  <c r="AK632" i="7"/>
  <c r="AK631" i="7"/>
  <c r="AK629" i="7"/>
  <c r="AK628" i="7"/>
  <c r="AK627" i="7"/>
  <c r="AK626" i="7"/>
  <c r="AK623" i="7"/>
  <c r="AK622" i="7"/>
  <c r="AK620" i="7"/>
  <c r="AK619" i="7"/>
  <c r="AK618" i="7"/>
  <c r="AK617" i="7"/>
  <c r="AK616" i="7"/>
  <c r="AK613" i="7"/>
  <c r="AK612" i="7"/>
  <c r="AK606" i="7"/>
  <c r="AK605" i="7"/>
  <c r="AK604" i="7"/>
  <c r="AK603" i="7"/>
  <c r="AK602" i="7"/>
  <c r="AK601" i="7"/>
  <c r="AK600" i="7"/>
  <c r="AK599" i="7"/>
  <c r="AK598" i="7"/>
  <c r="AK597" i="7"/>
  <c r="AK596" i="7"/>
  <c r="AK594" i="7"/>
  <c r="AK593" i="7"/>
  <c r="AK592" i="7"/>
  <c r="AK589" i="7"/>
  <c r="AK585" i="7"/>
  <c r="AK582" i="7"/>
  <c r="AK578" i="7"/>
  <c r="AK577" i="7"/>
  <c r="AK576" i="7"/>
  <c r="AK575" i="7"/>
  <c r="AK574" i="7"/>
  <c r="AK572" i="7"/>
  <c r="AK565" i="7"/>
  <c r="AK564" i="7"/>
  <c r="AK563" i="7"/>
  <c r="AK562" i="7"/>
  <c r="AK561" i="7"/>
  <c r="AK560" i="7"/>
  <c r="AK558" i="7"/>
  <c r="AK556" i="7"/>
  <c r="AK554" i="7"/>
  <c r="AK552" i="7"/>
  <c r="AK550" i="7"/>
  <c r="AK548" i="7"/>
  <c r="AK547" i="7"/>
  <c r="AK546" i="7"/>
  <c r="AK545" i="7"/>
  <c r="AK544" i="7"/>
  <c r="AK538" i="7"/>
  <c r="AK534" i="7"/>
  <c r="AK528" i="7"/>
  <c r="AK527" i="7"/>
  <c r="AK526" i="7"/>
  <c r="AK525" i="7"/>
  <c r="AK524" i="7"/>
  <c r="AK521" i="7"/>
  <c r="AK520" i="7"/>
  <c r="AK517" i="7"/>
  <c r="AK510" i="7"/>
  <c r="AK504" i="7"/>
  <c r="AK500" i="7"/>
  <c r="AK499" i="7"/>
  <c r="AK495" i="7"/>
  <c r="AK493" i="7"/>
  <c r="AK492" i="7"/>
  <c r="AK487" i="7"/>
  <c r="AK486" i="7"/>
  <c r="AK485" i="7"/>
  <c r="AK484" i="7"/>
  <c r="AK483" i="7"/>
  <c r="AK482" i="7"/>
  <c r="AK479" i="7"/>
  <c r="AK475" i="7"/>
  <c r="AK474" i="7"/>
  <c r="AK473" i="7"/>
  <c r="AK472" i="7"/>
  <c r="AK471" i="7"/>
  <c r="AK470" i="7"/>
  <c r="AK469" i="7"/>
  <c r="AK468" i="7"/>
  <c r="AK467" i="7"/>
  <c r="AK466" i="7"/>
  <c r="AK465" i="7"/>
  <c r="AK464" i="7"/>
  <c r="AK463" i="7"/>
  <c r="AK462" i="7"/>
  <c r="AK461" i="7"/>
  <c r="AK459" i="7"/>
  <c r="AK458" i="7"/>
  <c r="AK457" i="7"/>
  <c r="AK456" i="7"/>
  <c r="AK455" i="7"/>
  <c r="AK454" i="7"/>
  <c r="AK453" i="7"/>
  <c r="AK452" i="7"/>
  <c r="AK451" i="7"/>
  <c r="AK450" i="7"/>
  <c r="AK449" i="7"/>
  <c r="AK448" i="7"/>
  <c r="AK447" i="7"/>
  <c r="AK446" i="7"/>
  <c r="AK445" i="7"/>
  <c r="AK444" i="7"/>
  <c r="AK443" i="7"/>
  <c r="AK442" i="7"/>
  <c r="AK441" i="7"/>
  <c r="AK440" i="7"/>
  <c r="AK438" i="7"/>
  <c r="AK437" i="7"/>
  <c r="AK436" i="7"/>
  <c r="AK435" i="7"/>
  <c r="AK434" i="7"/>
  <c r="AK433" i="7"/>
  <c r="AK431" i="7"/>
  <c r="AK430" i="7"/>
  <c r="AK429" i="7"/>
  <c r="AK428" i="7"/>
  <c r="AK427" i="7"/>
  <c r="AK426" i="7"/>
  <c r="AK425" i="7"/>
  <c r="AK424" i="7"/>
  <c r="AK423" i="7"/>
  <c r="AK422" i="7"/>
  <c r="AK421" i="7"/>
  <c r="AK420" i="7"/>
  <c r="AK419" i="7"/>
  <c r="AK418" i="7"/>
  <c r="AK417" i="7"/>
  <c r="AK416" i="7"/>
  <c r="AK415" i="7"/>
  <c r="AK414" i="7"/>
  <c r="AK413" i="7"/>
  <c r="AK412" i="7"/>
  <c r="AK411" i="7"/>
  <c r="AK410" i="7"/>
  <c r="AK409" i="7"/>
  <c r="AK408" i="7"/>
  <c r="AK406" i="7"/>
  <c r="AK405" i="7"/>
  <c r="AK404" i="7"/>
  <c r="AK403" i="7"/>
  <c r="AK402" i="7"/>
  <c r="AK401" i="7"/>
  <c r="AK400" i="7"/>
  <c r="AK399" i="7"/>
  <c r="AK398" i="7"/>
  <c r="AK397" i="7"/>
  <c r="AK396" i="7"/>
  <c r="AK395" i="7"/>
  <c r="AK394" i="7"/>
  <c r="AK393" i="7"/>
  <c r="AK392" i="7"/>
  <c r="AK377" i="7"/>
  <c r="AK376" i="7"/>
  <c r="AK375" i="7"/>
  <c r="AK374" i="7"/>
  <c r="AK373" i="7"/>
  <c r="AK372" i="7"/>
  <c r="AK371" i="7"/>
  <c r="AK370" i="7"/>
  <c r="AK369" i="7"/>
  <c r="AK368" i="7"/>
  <c r="AK364" i="7"/>
  <c r="AK359" i="7"/>
  <c r="AK358" i="7"/>
  <c r="AK357" i="7"/>
  <c r="AK356" i="7"/>
  <c r="AK355" i="7"/>
  <c r="AK354" i="7"/>
  <c r="AK353" i="7"/>
  <c r="AK352" i="7"/>
  <c r="AK351" i="7"/>
  <c r="AK350" i="7"/>
  <c r="AK349" i="7"/>
  <c r="AK348" i="7"/>
  <c r="AK347" i="7"/>
  <c r="AK346" i="7"/>
  <c r="AK345" i="7"/>
  <c r="AK344" i="7"/>
  <c r="AK343" i="7"/>
  <c r="AK342" i="7"/>
  <c r="AK341" i="7"/>
  <c r="AK340" i="7"/>
  <c r="AK339" i="7"/>
  <c r="AK338" i="7"/>
  <c r="AK337" i="7"/>
  <c r="AK336" i="7"/>
  <c r="AK335" i="7"/>
  <c r="AK334" i="7"/>
  <c r="AK333" i="7"/>
  <c r="AK332" i="7"/>
  <c r="AK331" i="7"/>
  <c r="AK330" i="7"/>
  <c r="AK329" i="7"/>
  <c r="AK328" i="7"/>
  <c r="AK327" i="7"/>
  <c r="AK325" i="7"/>
  <c r="AK324" i="7"/>
  <c r="AK323" i="7"/>
  <c r="AK322" i="7"/>
  <c r="AK321" i="7"/>
  <c r="AK320" i="7"/>
  <c r="AK319" i="7"/>
  <c r="AK318" i="7"/>
  <c r="AK317" i="7"/>
  <c r="AK316" i="7"/>
  <c r="AK315" i="7"/>
  <c r="AK314" i="7"/>
  <c r="AK313" i="7"/>
  <c r="AK312" i="7"/>
  <c r="AK311" i="7"/>
  <c r="AK310" i="7"/>
  <c r="AK309" i="7"/>
  <c r="AK308" i="7"/>
  <c r="AK307" i="7"/>
  <c r="AK306" i="7"/>
  <c r="AK305" i="7"/>
  <c r="AK304" i="7"/>
  <c r="AK303" i="7"/>
  <c r="AK302" i="7"/>
  <c r="AK301" i="7"/>
  <c r="AK300" i="7"/>
  <c r="AK299" i="7"/>
  <c r="AK298" i="7"/>
  <c r="AK297" i="7"/>
  <c r="AK296" i="7"/>
  <c r="AK295" i="7"/>
  <c r="AK294" i="7"/>
  <c r="AK293" i="7"/>
  <c r="AK292" i="7"/>
  <c r="AK291" i="7"/>
  <c r="AK290" i="7"/>
  <c r="AK289" i="7"/>
  <c r="AK288" i="7"/>
  <c r="AK287" i="7"/>
  <c r="AK286" i="7"/>
  <c r="AK285" i="7"/>
  <c r="AK284" i="7"/>
  <c r="AK283" i="7"/>
  <c r="AK282" i="7"/>
  <c r="AK281" i="7"/>
  <c r="AK280" i="7"/>
  <c r="AK279" i="7"/>
  <c r="AK278" i="7"/>
  <c r="AK277" i="7"/>
  <c r="AK276" i="7"/>
  <c r="AK275" i="7"/>
  <c r="AK274" i="7"/>
  <c r="AK273" i="7"/>
  <c r="AK272" i="7"/>
  <c r="AK271" i="7"/>
  <c r="AK270" i="7"/>
  <c r="AK269" i="7"/>
  <c r="AK268" i="7"/>
  <c r="AK267" i="7"/>
  <c r="AK266" i="7"/>
  <c r="AK265" i="7"/>
  <c r="AK264" i="7"/>
  <c r="AK263" i="7"/>
  <c r="AK262" i="7"/>
  <c r="AK261" i="7"/>
  <c r="AK260" i="7"/>
  <c r="AK259" i="7"/>
  <c r="AK258" i="7"/>
  <c r="AK257" i="7"/>
  <c r="AK256" i="7"/>
  <c r="AK255" i="7"/>
  <c r="AK254" i="7"/>
  <c r="AK253" i="7"/>
  <c r="AK252" i="7"/>
  <c r="AK251" i="7"/>
  <c r="AK250" i="7"/>
  <c r="AK249" i="7"/>
  <c r="AK248" i="7"/>
  <c r="AK247" i="7"/>
  <c r="AK246" i="7"/>
  <c r="AK242" i="7"/>
  <c r="AK233" i="7"/>
  <c r="AK232" i="7"/>
  <c r="AK227" i="7"/>
  <c r="AK226" i="7"/>
  <c r="AK222" i="7"/>
  <c r="AK221" i="7"/>
  <c r="AK219" i="7"/>
  <c r="AK218" i="7"/>
  <c r="AK217" i="7"/>
  <c r="AK216" i="7"/>
  <c r="AK215" i="7"/>
  <c r="AK212" i="7"/>
  <c r="AK211" i="7"/>
  <c r="AK210" i="7"/>
  <c r="AK209" i="7"/>
  <c r="AK208" i="7"/>
  <c r="AK207" i="7"/>
  <c r="AK201" i="7"/>
  <c r="AK196" i="7"/>
  <c r="AK194" i="7"/>
  <c r="AK193" i="7"/>
  <c r="AK185" i="7"/>
  <c r="AK183" i="7"/>
  <c r="AK182" i="7"/>
  <c r="AK181" i="7"/>
  <c r="AK180" i="7"/>
  <c r="AK179" i="7"/>
  <c r="AK178" i="7"/>
  <c r="AK177" i="7"/>
  <c r="AK173" i="7"/>
  <c r="AK170" i="7"/>
  <c r="AK164" i="7"/>
  <c r="AK163" i="7"/>
  <c r="AK162" i="7"/>
  <c r="AK161" i="7"/>
  <c r="AK160" i="7"/>
  <c r="AK159" i="7"/>
  <c r="AK158" i="7"/>
  <c r="AK157" i="7"/>
  <c r="AK156" i="7"/>
  <c r="AK155" i="7"/>
  <c r="AK154" i="7"/>
  <c r="AK153" i="7"/>
  <c r="AK150" i="7"/>
  <c r="AK149" i="7"/>
  <c r="AK146" i="7"/>
  <c r="AK145" i="7"/>
  <c r="AK144" i="7"/>
  <c r="AK143" i="7"/>
  <c r="AK142" i="7"/>
  <c r="AK141" i="7"/>
  <c r="AK140" i="7"/>
  <c r="AK137" i="7"/>
  <c r="AK136" i="7"/>
  <c r="AK135" i="7"/>
  <c r="AK134" i="7"/>
  <c r="AK133" i="7"/>
  <c r="AK132" i="7"/>
  <c r="AK131" i="7"/>
  <c r="AK130" i="7"/>
  <c r="AK129" i="7"/>
  <c r="AK128" i="7"/>
  <c r="AK127" i="7"/>
  <c r="AK126" i="7"/>
  <c r="AK125" i="7"/>
  <c r="AK124" i="7"/>
  <c r="AK123" i="7"/>
  <c r="AK122" i="7"/>
  <c r="AK121" i="7"/>
  <c r="AK118" i="7"/>
  <c r="AK117" i="7"/>
  <c r="AK116" i="7"/>
  <c r="AK115" i="7"/>
  <c r="AK114" i="7"/>
  <c r="AK113" i="7"/>
  <c r="AK112" i="7"/>
  <c r="AK111" i="7"/>
  <c r="AK110" i="7"/>
  <c r="AK109" i="7"/>
  <c r="AK108" i="7"/>
  <c r="AK107" i="7"/>
  <c r="AK106" i="7"/>
  <c r="AK105" i="7"/>
  <c r="AK104" i="7"/>
  <c r="AK103" i="7"/>
  <c r="AK102" i="7"/>
  <c r="AK101" i="7"/>
  <c r="AK100" i="7"/>
  <c r="AK99" i="7"/>
  <c r="AK98" i="7"/>
  <c r="AK97" i="7"/>
  <c r="AK96" i="7"/>
  <c r="AK95" i="7"/>
  <c r="AK89" i="7"/>
  <c r="AK87" i="7"/>
  <c r="AK86" i="7"/>
  <c r="AK79" i="7"/>
  <c r="AK77" i="7"/>
  <c r="AK76" i="7"/>
  <c r="AK70" i="7"/>
  <c r="AK69" i="7"/>
  <c r="AK68" i="7"/>
  <c r="AK67" i="7"/>
  <c r="AK66" i="7"/>
  <c r="AK65" i="7"/>
  <c r="AK64" i="7"/>
  <c r="AK63" i="7"/>
  <c r="AK62" i="7"/>
  <c r="AK61" i="7"/>
  <c r="AK60" i="7"/>
  <c r="AK59" i="7"/>
  <c r="AK58" i="7"/>
  <c r="AK57" i="7"/>
  <c r="AK56" i="7"/>
  <c r="AK55" i="7"/>
  <c r="AK54" i="7"/>
  <c r="AK53" i="7"/>
  <c r="AK52" i="7"/>
  <c r="AK51" i="7"/>
  <c r="AK50" i="7"/>
  <c r="AK49" i="7"/>
  <c r="AK48" i="7"/>
  <c r="AK47" i="7"/>
  <c r="AK46" i="7"/>
  <c r="AK45" i="7"/>
  <c r="AK44" i="7"/>
  <c r="AK43" i="7"/>
  <c r="AK42" i="7"/>
  <c r="AK41" i="7"/>
  <c r="AK40" i="7"/>
  <c r="AK39" i="7"/>
  <c r="AK38" i="7"/>
  <c r="AK37" i="7"/>
  <c r="AK36" i="7"/>
  <c r="AK33" i="7"/>
  <c r="AK31" i="7"/>
  <c r="AK30" i="7"/>
  <c r="AK28" i="7"/>
  <c r="AK27" i="7"/>
  <c r="AK26" i="7"/>
  <c r="AK23" i="7"/>
  <c r="AK22" i="7"/>
  <c r="AK21" i="7"/>
  <c r="AK20" i="7"/>
  <c r="AK19" i="7"/>
  <c r="AK17" i="7"/>
  <c r="AK16" i="7"/>
  <c r="AK15" i="7"/>
  <c r="AK14" i="7"/>
  <c r="AK13" i="7"/>
  <c r="AK12" i="7"/>
  <c r="AK11" i="7"/>
  <c r="AK10" i="7"/>
  <c r="AK9" i="7"/>
  <c r="AK8" i="7"/>
  <c r="AK7" i="7"/>
  <c r="AK6" i="7"/>
  <c r="AK5" i="7"/>
  <c r="AK4" i="7"/>
  <c r="AJ1972" i="7"/>
  <c r="AJ1971" i="7"/>
  <c r="AJ1966" i="7"/>
  <c r="AJ1965" i="7"/>
  <c r="AJ1964" i="7"/>
  <c r="AJ1963" i="7"/>
  <c r="AJ1962" i="7"/>
  <c r="AJ1961" i="7"/>
  <c r="AJ1959" i="7"/>
  <c r="AJ1958" i="7"/>
  <c r="AJ1957" i="7"/>
  <c r="AJ1956" i="7"/>
  <c r="AJ1955" i="7"/>
  <c r="AJ1954" i="7"/>
  <c r="AJ1953" i="7"/>
  <c r="AJ1952" i="7"/>
  <c r="AJ1951" i="7"/>
  <c r="AJ1950" i="7"/>
  <c r="AJ1948" i="7"/>
  <c r="AJ1946" i="7"/>
  <c r="AJ1945" i="7"/>
  <c r="AJ1944" i="7"/>
  <c r="AJ1943" i="7"/>
  <c r="AJ1942" i="7"/>
  <c r="AJ1941" i="7"/>
  <c r="AJ1940" i="7"/>
  <c r="AJ1939" i="7"/>
  <c r="AJ1938" i="7"/>
  <c r="AJ1937" i="7"/>
  <c r="AJ1936" i="7"/>
  <c r="AJ1935" i="7"/>
  <c r="AJ1934" i="7"/>
  <c r="AJ1933" i="7"/>
  <c r="AJ1932" i="7"/>
  <c r="AJ1930" i="7"/>
  <c r="AJ1929" i="7"/>
  <c r="AJ1928" i="7"/>
  <c r="AJ1927" i="7"/>
  <c r="AJ1926" i="7"/>
  <c r="AJ1925" i="7"/>
  <c r="AJ1924" i="7"/>
  <c r="AJ1923" i="7"/>
  <c r="AJ1922" i="7"/>
  <c r="AJ1921" i="7"/>
  <c r="AJ1920" i="7"/>
  <c r="AJ1919" i="7"/>
  <c r="AJ1918" i="7"/>
  <c r="AJ1917" i="7"/>
  <c r="AJ1916" i="7"/>
  <c r="AJ1915" i="7"/>
  <c r="AJ1914" i="7"/>
  <c r="AJ1912" i="7"/>
  <c r="AJ1910" i="7"/>
  <c r="AJ1909" i="7"/>
  <c r="AJ1908" i="7"/>
  <c r="AJ1907" i="7"/>
  <c r="AJ1906" i="7"/>
  <c r="AJ1905" i="7"/>
  <c r="AJ1904" i="7"/>
  <c r="AJ1903" i="7"/>
  <c r="AJ1902" i="7"/>
  <c r="AJ1901" i="7"/>
  <c r="AJ1899" i="7"/>
  <c r="AJ1898" i="7"/>
  <c r="AJ1897" i="7"/>
  <c r="AJ1895" i="7"/>
  <c r="AJ1894" i="7"/>
  <c r="AJ1893" i="7"/>
  <c r="AJ1892" i="7"/>
  <c r="AJ1891" i="7"/>
  <c r="AJ1889" i="7"/>
  <c r="AJ1886" i="7"/>
  <c r="AJ1885" i="7"/>
  <c r="AJ1884" i="7"/>
  <c r="AJ1883" i="7"/>
  <c r="AJ1882" i="7"/>
  <c r="AJ1881" i="7"/>
  <c r="AJ1879" i="7"/>
  <c r="AJ1878" i="7"/>
  <c r="AJ1877" i="7"/>
  <c r="AJ1876" i="7"/>
  <c r="AJ1875" i="7"/>
  <c r="AJ1874" i="7"/>
  <c r="AJ1873" i="7"/>
  <c r="AJ1872" i="7"/>
  <c r="AJ1871" i="7"/>
  <c r="AJ1870" i="7"/>
  <c r="AJ1869" i="7"/>
  <c r="AJ1868" i="7"/>
  <c r="AJ1867" i="7"/>
  <c r="AJ1866" i="7"/>
  <c r="AJ1865" i="7"/>
  <c r="AJ1864" i="7"/>
  <c r="AJ1863" i="7"/>
  <c r="AJ1862" i="7"/>
  <c r="AJ1861" i="7"/>
  <c r="AJ1860" i="7"/>
  <c r="AJ1859" i="7"/>
  <c r="AJ1858" i="7"/>
  <c r="AJ1857" i="7"/>
  <c r="AJ1856" i="7"/>
  <c r="AJ1855" i="7"/>
  <c r="AJ1854" i="7"/>
  <c r="AJ1853" i="7"/>
  <c r="AJ1852" i="7"/>
  <c r="AJ1851" i="7"/>
  <c r="AJ1850" i="7"/>
  <c r="AJ1849" i="7"/>
  <c r="AJ1848" i="7"/>
  <c r="AJ1847" i="7"/>
  <c r="AJ1846" i="7"/>
  <c r="AJ1845" i="7"/>
  <c r="AJ1844" i="7"/>
  <c r="AJ1843" i="7"/>
  <c r="AJ1842" i="7"/>
  <c r="AJ1841" i="7"/>
  <c r="AJ1840" i="7"/>
  <c r="AJ1839" i="7"/>
  <c r="AJ1838" i="7"/>
  <c r="AJ1837" i="7"/>
  <c r="AJ1836" i="7"/>
  <c r="AJ1835" i="7"/>
  <c r="AJ1833" i="7"/>
  <c r="AJ1832" i="7"/>
  <c r="AJ1831" i="7"/>
  <c r="AJ1830" i="7"/>
  <c r="AJ1829" i="7"/>
  <c r="AJ1828" i="7"/>
  <c r="AJ1827" i="7"/>
  <c r="AJ1826" i="7"/>
  <c r="AJ1825" i="7"/>
  <c r="AJ1824" i="7"/>
  <c r="AJ1823" i="7"/>
  <c r="AJ1822" i="7"/>
  <c r="AJ1821" i="7"/>
  <c r="AJ1820" i="7"/>
  <c r="AJ1819" i="7"/>
  <c r="AJ1818" i="7"/>
  <c r="AJ1817" i="7"/>
  <c r="AJ1816" i="7"/>
  <c r="AJ1815" i="7"/>
  <c r="AJ1814" i="7"/>
  <c r="AJ1813" i="7"/>
  <c r="AJ1812" i="7"/>
  <c r="AJ1811" i="7"/>
  <c r="AJ1810" i="7"/>
  <c r="AJ1809" i="7"/>
  <c r="AJ1808" i="7"/>
  <c r="AJ1807" i="7"/>
  <c r="AJ1806" i="7"/>
  <c r="AJ1805" i="7"/>
  <c r="AJ1804" i="7"/>
  <c r="AJ1803" i="7"/>
  <c r="AJ1802" i="7"/>
  <c r="AJ1800" i="7"/>
  <c r="AJ1799" i="7"/>
  <c r="AJ1797" i="7"/>
  <c r="AJ1796" i="7"/>
  <c r="AJ1795" i="7"/>
  <c r="AJ1794" i="7"/>
  <c r="AJ1793" i="7"/>
  <c r="AJ1792" i="7"/>
  <c r="AJ1790" i="7"/>
  <c r="AJ1789" i="7"/>
  <c r="AJ1788" i="7"/>
  <c r="AJ1787" i="7"/>
  <c r="AJ1784" i="7"/>
  <c r="AJ1783" i="7"/>
  <c r="AJ1781" i="7"/>
  <c r="AJ1780" i="7"/>
  <c r="AJ1778" i="7"/>
  <c r="AJ1776" i="7"/>
  <c r="AJ1773" i="7"/>
  <c r="AJ1772" i="7"/>
  <c r="AJ1771" i="7"/>
  <c r="AJ1766" i="7"/>
  <c r="AJ1763" i="7"/>
  <c r="AJ1762" i="7"/>
  <c r="AJ1760" i="7"/>
  <c r="AJ1759" i="7"/>
  <c r="AJ1758" i="7"/>
  <c r="AJ1755" i="7"/>
  <c r="AJ1754" i="7"/>
  <c r="AJ1753" i="7"/>
  <c r="AJ1752" i="7"/>
  <c r="AJ1751" i="7"/>
  <c r="AJ1748" i="7"/>
  <c r="AJ1743" i="7"/>
  <c r="AJ1741" i="7"/>
  <c r="AJ1740" i="7"/>
  <c r="AJ1738" i="7"/>
  <c r="AJ1736" i="7"/>
  <c r="AJ1735" i="7"/>
  <c r="AJ1734" i="7"/>
  <c r="AJ1733" i="7"/>
  <c r="AJ1732" i="7"/>
  <c r="AJ1731" i="7"/>
  <c r="AJ1730" i="7"/>
  <c r="AJ1729" i="7"/>
  <c r="AJ1728" i="7"/>
  <c r="AJ1727" i="7"/>
  <c r="AJ1726" i="7"/>
  <c r="AJ1725" i="7"/>
  <c r="AJ1724" i="7"/>
  <c r="AJ1717" i="7"/>
  <c r="AJ1706" i="7"/>
  <c r="AJ1705" i="7"/>
  <c r="AJ1704" i="7"/>
  <c r="AJ1703" i="7"/>
  <c r="AJ1702" i="7"/>
  <c r="AJ1701" i="7"/>
  <c r="AJ1700" i="7"/>
  <c r="AJ1699" i="7"/>
  <c r="AJ1698" i="7"/>
  <c r="AJ1697" i="7"/>
  <c r="AJ1696" i="7"/>
  <c r="AJ1695" i="7"/>
  <c r="AJ1693" i="7"/>
  <c r="AJ1692" i="7"/>
  <c r="AJ1691" i="7"/>
  <c r="AJ1687" i="7"/>
  <c r="AJ1686" i="7"/>
  <c r="AJ1685" i="7"/>
  <c r="AJ1684" i="7"/>
  <c r="AJ1683" i="7"/>
  <c r="AJ1682" i="7"/>
  <c r="AJ1681" i="7"/>
  <c r="AJ1680" i="7"/>
  <c r="AJ1679" i="7"/>
  <c r="AJ1678" i="7"/>
  <c r="AJ1677" i="7"/>
  <c r="AJ1676" i="7"/>
  <c r="AJ1675" i="7"/>
  <c r="AJ1674" i="7"/>
  <c r="AJ1673" i="7"/>
  <c r="AJ1672" i="7"/>
  <c r="AJ1671" i="7"/>
  <c r="AJ1670" i="7"/>
  <c r="AJ1668" i="7"/>
  <c r="AJ1667" i="7"/>
  <c r="AJ1666" i="7"/>
  <c r="AJ1665" i="7"/>
  <c r="AJ1659" i="7"/>
  <c r="AJ1658" i="7"/>
  <c r="AJ1657" i="7"/>
  <c r="AJ1656" i="7"/>
  <c r="AJ1655" i="7"/>
  <c r="AJ1654" i="7"/>
  <c r="AJ1653" i="7"/>
  <c r="AJ1652" i="7"/>
  <c r="AJ1651" i="7"/>
  <c r="AJ1650" i="7"/>
  <c r="AJ1649" i="7"/>
  <c r="AJ1648" i="7"/>
  <c r="AJ1647" i="7"/>
  <c r="AJ1646" i="7"/>
  <c r="AJ1645" i="7"/>
  <c r="AJ1644" i="7"/>
  <c r="AJ1643" i="7"/>
  <c r="AJ1642" i="7"/>
  <c r="AJ1641" i="7"/>
  <c r="AJ1640" i="7"/>
  <c r="AJ1639" i="7"/>
  <c r="AJ1638" i="7"/>
  <c r="AJ1637" i="7"/>
  <c r="AJ1636" i="7"/>
  <c r="AJ1635" i="7"/>
  <c r="AJ1634" i="7"/>
  <c r="AJ1633" i="7"/>
  <c r="AJ1632" i="7"/>
  <c r="AJ1631" i="7"/>
  <c r="AJ1630" i="7"/>
  <c r="AJ1629" i="7"/>
  <c r="AJ1628" i="7"/>
  <c r="AJ1627" i="7"/>
  <c r="AJ1626" i="7"/>
  <c r="AJ1625" i="7"/>
  <c r="AJ1624" i="7"/>
  <c r="AJ1623" i="7"/>
  <c r="AJ1622" i="7"/>
  <c r="AJ1621" i="7"/>
  <c r="AJ1618" i="7"/>
  <c r="AJ1617" i="7"/>
  <c r="AJ1611" i="7"/>
  <c r="AJ1610" i="7"/>
  <c r="AJ1608" i="7"/>
  <c r="AJ1607" i="7"/>
  <c r="AJ1606" i="7"/>
  <c r="AJ1605" i="7"/>
  <c r="AJ1600" i="7"/>
  <c r="AJ1599" i="7"/>
  <c r="AJ1598" i="7"/>
  <c r="AJ1597" i="7"/>
  <c r="AJ1593" i="7"/>
  <c r="AJ1592" i="7"/>
  <c r="AJ1591" i="7"/>
  <c r="AJ1590" i="7"/>
  <c r="AJ1589" i="7"/>
  <c r="AJ1588" i="7"/>
  <c r="AJ1587" i="7"/>
  <c r="AJ1586" i="7"/>
  <c r="AJ1585" i="7"/>
  <c r="AJ1584" i="7"/>
  <c r="AJ1583" i="7"/>
  <c r="AJ1582" i="7"/>
  <c r="AJ1581" i="7"/>
  <c r="AJ1580" i="7"/>
  <c r="AJ1579" i="7"/>
  <c r="AJ1578" i="7"/>
  <c r="AJ1577" i="7"/>
  <c r="AJ1576" i="7"/>
  <c r="AJ1575" i="7"/>
  <c r="AJ1574" i="7"/>
  <c r="AJ1573" i="7"/>
  <c r="AJ1572" i="7"/>
  <c r="AJ1571" i="7"/>
  <c r="AJ1570" i="7"/>
  <c r="AJ1569" i="7"/>
  <c r="AJ1568" i="7"/>
  <c r="AJ1567" i="7"/>
  <c r="AJ1566" i="7"/>
  <c r="AJ1565" i="7"/>
  <c r="AJ1563" i="7"/>
  <c r="AJ1562" i="7"/>
  <c r="AJ1561" i="7"/>
  <c r="AJ1558" i="7"/>
  <c r="AJ1556" i="7"/>
  <c r="AJ1555" i="7"/>
  <c r="AJ1552" i="7"/>
  <c r="AJ1551" i="7"/>
  <c r="AJ1550" i="7"/>
  <c r="AJ1549" i="7"/>
  <c r="AJ1548" i="7"/>
  <c r="AJ1547" i="7"/>
  <c r="AJ1546" i="7"/>
  <c r="AJ1545" i="7"/>
  <c r="AJ1544" i="7"/>
  <c r="AJ1543" i="7"/>
  <c r="AJ1535" i="7"/>
  <c r="AJ1531" i="7"/>
  <c r="AJ1530" i="7"/>
  <c r="AJ1526" i="7"/>
  <c r="AJ1520" i="7"/>
  <c r="AJ1519" i="7"/>
  <c r="AJ1518" i="7"/>
  <c r="AJ1516" i="7"/>
  <c r="AJ1515" i="7"/>
  <c r="AJ1512" i="7"/>
  <c r="AJ1510" i="7"/>
  <c r="AJ1507" i="7"/>
  <c r="AJ1506" i="7"/>
  <c r="AJ1504" i="7"/>
  <c r="AJ1503" i="7"/>
  <c r="AJ1502" i="7"/>
  <c r="AJ1501" i="7"/>
  <c r="AJ1500" i="7"/>
  <c r="AJ1499" i="7"/>
  <c r="AJ1498" i="7"/>
  <c r="AJ1497" i="7"/>
  <c r="AJ1495" i="7"/>
  <c r="AJ1494" i="7"/>
  <c r="AJ1493" i="7"/>
  <c r="AJ1492" i="7"/>
  <c r="AJ1491" i="7"/>
  <c r="AJ1490" i="7"/>
  <c r="AJ1489" i="7"/>
  <c r="AJ1488" i="7"/>
  <c r="AJ1487" i="7"/>
  <c r="AJ1486" i="7"/>
  <c r="AJ1485" i="7"/>
  <c r="AJ1484" i="7"/>
  <c r="AJ1483" i="7"/>
  <c r="AJ1482" i="7"/>
  <c r="AJ1481" i="7"/>
  <c r="AJ1480" i="7"/>
  <c r="AJ1479" i="7"/>
  <c r="AJ1478" i="7"/>
  <c r="AJ1477" i="7"/>
  <c r="AJ1476" i="7"/>
  <c r="AJ1475" i="7"/>
  <c r="AJ1474" i="7"/>
  <c r="AJ1473" i="7"/>
  <c r="AJ1472" i="7"/>
  <c r="AJ1471" i="7"/>
  <c r="AJ1470" i="7"/>
  <c r="AJ1469" i="7"/>
  <c r="AJ1468" i="7"/>
  <c r="AJ1467" i="7"/>
  <c r="AJ1466" i="7"/>
  <c r="AJ1465" i="7"/>
  <c r="AJ1463" i="7"/>
  <c r="AJ1462" i="7"/>
  <c r="AJ1461" i="7"/>
  <c r="AJ1460" i="7"/>
  <c r="AJ1459" i="7"/>
  <c r="AJ1458" i="7"/>
  <c r="AJ1457" i="7"/>
  <c r="AJ1456" i="7"/>
  <c r="AJ1455" i="7"/>
  <c r="AJ1454" i="7"/>
  <c r="AJ1453" i="7"/>
  <c r="AJ1452" i="7"/>
  <c r="AJ1451" i="7"/>
  <c r="AJ1450" i="7"/>
  <c r="AJ1449" i="7"/>
  <c r="AJ1448" i="7"/>
  <c r="AJ1447" i="7"/>
  <c r="AJ1446" i="7"/>
  <c r="AJ1445" i="7"/>
  <c r="AJ1444" i="7"/>
  <c r="AJ1443" i="7"/>
  <c r="AJ1442" i="7"/>
  <c r="AJ1441" i="7"/>
  <c r="AJ1440" i="7"/>
  <c r="AJ1439" i="7"/>
  <c r="AJ1438" i="7"/>
  <c r="AJ1437" i="7"/>
  <c r="AJ1436" i="7"/>
  <c r="AJ1435" i="7"/>
  <c r="AJ1434" i="7"/>
  <c r="AJ1433" i="7"/>
  <c r="AJ1432" i="7"/>
  <c r="AJ1431" i="7"/>
  <c r="AJ1430" i="7"/>
  <c r="AJ1429" i="7"/>
  <c r="AJ1427" i="7"/>
  <c r="AJ1426" i="7"/>
  <c r="AJ1425" i="7"/>
  <c r="AJ1424" i="7"/>
  <c r="AJ1423" i="7"/>
  <c r="AJ1422" i="7"/>
  <c r="AJ1421" i="7"/>
  <c r="AJ1420" i="7"/>
  <c r="AJ1419" i="7"/>
  <c r="AJ1418" i="7"/>
  <c r="AJ1417" i="7"/>
  <c r="AJ1416" i="7"/>
  <c r="AJ1415" i="7"/>
  <c r="AJ1414" i="7"/>
  <c r="AJ1413" i="7"/>
  <c r="AJ1412" i="7"/>
  <c r="AJ1411" i="7"/>
  <c r="AJ1410" i="7"/>
  <c r="AJ1409" i="7"/>
  <c r="AJ1408" i="7"/>
  <c r="AJ1407" i="7"/>
  <c r="AJ1406" i="7"/>
  <c r="AJ1405" i="7"/>
  <c r="AJ1404" i="7"/>
  <c r="AJ1403" i="7"/>
  <c r="AJ1402" i="7"/>
  <c r="AJ1401" i="7"/>
  <c r="AJ1400" i="7"/>
  <c r="AJ1399" i="7"/>
  <c r="AJ1398" i="7"/>
  <c r="AJ1397" i="7"/>
  <c r="AJ1396" i="7"/>
  <c r="AJ1395" i="7"/>
  <c r="AJ1394" i="7"/>
  <c r="AJ1393" i="7"/>
  <c r="AJ1392" i="7"/>
  <c r="AJ1391" i="7"/>
  <c r="AJ1390" i="7"/>
  <c r="AJ1389" i="7"/>
  <c r="AJ1388" i="7"/>
  <c r="AJ1387" i="7"/>
  <c r="AJ1386" i="7"/>
  <c r="AJ1385" i="7"/>
  <c r="AJ1384" i="7"/>
  <c r="AJ1383" i="7"/>
  <c r="AJ1382" i="7"/>
  <c r="AJ1381" i="7"/>
  <c r="AJ1380" i="7"/>
  <c r="AJ1379" i="7"/>
  <c r="AJ1378" i="7"/>
  <c r="AJ1377" i="7"/>
  <c r="AJ1376" i="7"/>
  <c r="AJ1375" i="7"/>
  <c r="AJ1374" i="7"/>
  <c r="AJ1373" i="7"/>
  <c r="AJ1372" i="7"/>
  <c r="AJ1371" i="7"/>
  <c r="AJ1370" i="7"/>
  <c r="AJ1369" i="7"/>
  <c r="AJ1368" i="7"/>
  <c r="AJ1367" i="7"/>
  <c r="AJ1366" i="7"/>
  <c r="AJ1365" i="7"/>
  <c r="AJ1364" i="7"/>
  <c r="AJ1363" i="7"/>
  <c r="AJ1362" i="7"/>
  <c r="AJ1361" i="7"/>
  <c r="AJ1360" i="7"/>
  <c r="AJ1359" i="7"/>
  <c r="AJ1358" i="7"/>
  <c r="AJ1357" i="7"/>
  <c r="AJ1356" i="7"/>
  <c r="AJ1355" i="7"/>
  <c r="AJ1354" i="7"/>
  <c r="AJ1353" i="7"/>
  <c r="AJ1352" i="7"/>
  <c r="AJ1351" i="7"/>
  <c r="AJ1350" i="7"/>
  <c r="AJ1349" i="7"/>
  <c r="AJ1348" i="7"/>
  <c r="AJ1347" i="7"/>
  <c r="AJ1346" i="7"/>
  <c r="AJ1345" i="7"/>
  <c r="AJ1344" i="7"/>
  <c r="AJ1343" i="7"/>
  <c r="AJ1342" i="7"/>
  <c r="AJ1341" i="7"/>
  <c r="AJ1340" i="7"/>
  <c r="AJ1339" i="7"/>
  <c r="AJ1338" i="7"/>
  <c r="AJ1337" i="7"/>
  <c r="AJ1336" i="7"/>
  <c r="AJ1335" i="7"/>
  <c r="AJ1334" i="7"/>
  <c r="AJ1333" i="7"/>
  <c r="AJ1332" i="7"/>
  <c r="AJ1331" i="7"/>
  <c r="AJ1330" i="7"/>
  <c r="AJ1329" i="7"/>
  <c r="AJ1328" i="7"/>
  <c r="AJ1327" i="7"/>
  <c r="AJ1326" i="7"/>
  <c r="AJ1325" i="7"/>
  <c r="AJ1324" i="7"/>
  <c r="AJ1323" i="7"/>
  <c r="AJ1322" i="7"/>
  <c r="AJ1321" i="7"/>
  <c r="AJ1320" i="7"/>
  <c r="AJ1319" i="7"/>
  <c r="AJ1318" i="7"/>
  <c r="AJ1317" i="7"/>
  <c r="AJ1316" i="7"/>
  <c r="AJ1315" i="7"/>
  <c r="AJ1314" i="7"/>
  <c r="AJ1313" i="7"/>
  <c r="AJ1312" i="7"/>
  <c r="AJ1311" i="7"/>
  <c r="AJ1310" i="7"/>
  <c r="AJ1309" i="7"/>
  <c r="AJ1308" i="7"/>
  <c r="AJ1307" i="7"/>
  <c r="AJ1306" i="7"/>
  <c r="AJ1305" i="7"/>
  <c r="AJ1304" i="7"/>
  <c r="AJ1303" i="7"/>
  <c r="AJ1302" i="7"/>
  <c r="AJ1301" i="7"/>
  <c r="AJ1300" i="7"/>
  <c r="AJ1299" i="7"/>
  <c r="AJ1298" i="7"/>
  <c r="AJ1297" i="7"/>
  <c r="AJ1296" i="7"/>
  <c r="AJ1295" i="7"/>
  <c r="AJ1294" i="7"/>
  <c r="AJ1293" i="7"/>
  <c r="AJ1292" i="7"/>
  <c r="AJ1291" i="7"/>
  <c r="AJ1290" i="7"/>
  <c r="AJ1289" i="7"/>
  <c r="AJ1288" i="7"/>
  <c r="AJ1287" i="7"/>
  <c r="AJ1286" i="7"/>
  <c r="AJ1285" i="7"/>
  <c r="AJ1284" i="7"/>
  <c r="AJ1283" i="7"/>
  <c r="AJ1282" i="7"/>
  <c r="AJ1281" i="7"/>
  <c r="AJ1280" i="7"/>
  <c r="AJ1279" i="7"/>
  <c r="AJ1278" i="7"/>
  <c r="AJ1277" i="7"/>
  <c r="AJ1276" i="7"/>
  <c r="AJ1275" i="7"/>
  <c r="AJ1274" i="7"/>
  <c r="AJ1273" i="7"/>
  <c r="AJ1272" i="7"/>
  <c r="AJ1271" i="7"/>
  <c r="AJ1270" i="7"/>
  <c r="AJ1269" i="7"/>
  <c r="AJ1268" i="7"/>
  <c r="AJ1267" i="7"/>
  <c r="AJ1266" i="7"/>
  <c r="AJ1265" i="7"/>
  <c r="AJ1264" i="7"/>
  <c r="AJ1263" i="7"/>
  <c r="AJ1262" i="7"/>
  <c r="AJ1261" i="7"/>
  <c r="AJ1260" i="7"/>
  <c r="AJ1259" i="7"/>
  <c r="AJ1258" i="7"/>
  <c r="AJ1257" i="7"/>
  <c r="AJ1256" i="7"/>
  <c r="AJ1255" i="7"/>
  <c r="AJ1254" i="7"/>
  <c r="AJ1253" i="7"/>
  <c r="AJ1252" i="7"/>
  <c r="AJ1251" i="7"/>
  <c r="AJ1250" i="7"/>
  <c r="AJ1249" i="7"/>
  <c r="AJ1248" i="7"/>
  <c r="AJ1247" i="7"/>
  <c r="AJ1246" i="7"/>
  <c r="AJ1245" i="7"/>
  <c r="AJ1244" i="7"/>
  <c r="AJ1243" i="7"/>
  <c r="AJ1242" i="7"/>
  <c r="AJ1241" i="7"/>
  <c r="AJ1240" i="7"/>
  <c r="AJ1239" i="7"/>
  <c r="AJ1238" i="7"/>
  <c r="AJ1237" i="7"/>
  <c r="AJ1236" i="7"/>
  <c r="AJ1235" i="7"/>
  <c r="AJ1234" i="7"/>
  <c r="AJ1233" i="7"/>
  <c r="AJ1232" i="7"/>
  <c r="AJ1231" i="7"/>
  <c r="AJ1230" i="7"/>
  <c r="AJ1229" i="7"/>
  <c r="AJ1228" i="7"/>
  <c r="AJ1227" i="7"/>
  <c r="AJ1226" i="7"/>
  <c r="AJ1225" i="7"/>
  <c r="AJ1224" i="7"/>
  <c r="AJ1223" i="7"/>
  <c r="AJ1222" i="7"/>
  <c r="AJ1221" i="7"/>
  <c r="AJ1220" i="7"/>
  <c r="AJ1219" i="7"/>
  <c r="AJ1218" i="7"/>
  <c r="AJ1217" i="7"/>
  <c r="AJ1216" i="7"/>
  <c r="AJ1215" i="7"/>
  <c r="AJ1214" i="7"/>
  <c r="AJ1213" i="7"/>
  <c r="AJ1212" i="7"/>
  <c r="AJ1211" i="7"/>
  <c r="AJ1210" i="7"/>
  <c r="AJ1209" i="7"/>
  <c r="AJ1208" i="7"/>
  <c r="AJ1207" i="7"/>
  <c r="AJ1206" i="7"/>
  <c r="AJ1205" i="7"/>
  <c r="AJ1204" i="7"/>
  <c r="AJ1203" i="7"/>
  <c r="AJ1202" i="7"/>
  <c r="AJ1201" i="7"/>
  <c r="AJ1200" i="7"/>
  <c r="AJ1199" i="7"/>
  <c r="AJ1198" i="7"/>
  <c r="AJ1197" i="7"/>
  <c r="AJ1196" i="7"/>
  <c r="AJ1195" i="7"/>
  <c r="AJ1194" i="7"/>
  <c r="AJ1193" i="7"/>
  <c r="AJ1192" i="7"/>
  <c r="AJ1191" i="7"/>
  <c r="AJ1190" i="7"/>
  <c r="AJ1189" i="7"/>
  <c r="AJ1188" i="7"/>
  <c r="AJ1187" i="7"/>
  <c r="AJ1186" i="7"/>
  <c r="AJ1185" i="7"/>
  <c r="AJ1184" i="7"/>
  <c r="AJ1183" i="7"/>
  <c r="AJ1182" i="7"/>
  <c r="AJ1181" i="7"/>
  <c r="AJ1180" i="7"/>
  <c r="AJ1179" i="7"/>
  <c r="AJ1178" i="7"/>
  <c r="AJ1177" i="7"/>
  <c r="AJ1176" i="7"/>
  <c r="AJ1175" i="7"/>
  <c r="AJ1174" i="7"/>
  <c r="AJ1173" i="7"/>
  <c r="AJ1172" i="7"/>
  <c r="AJ1171" i="7"/>
  <c r="AJ1170" i="7"/>
  <c r="AJ1169" i="7"/>
  <c r="AJ1168" i="7"/>
  <c r="AJ1167" i="7"/>
  <c r="AJ1166" i="7"/>
  <c r="AJ1165" i="7"/>
  <c r="AJ1164" i="7"/>
  <c r="AJ1163" i="7"/>
  <c r="AJ1162" i="7"/>
  <c r="AJ1161" i="7"/>
  <c r="AJ1160" i="7"/>
  <c r="AJ1159" i="7"/>
  <c r="AJ1158" i="7"/>
  <c r="AJ1157" i="7"/>
  <c r="AJ1156" i="7"/>
  <c r="AJ1155" i="7"/>
  <c r="AJ1154" i="7"/>
  <c r="AJ1153" i="7"/>
  <c r="AJ1152" i="7"/>
  <c r="AJ1151" i="7"/>
  <c r="AJ1150" i="7"/>
  <c r="AJ1149" i="7"/>
  <c r="AJ1148" i="7"/>
  <c r="AJ1147" i="7"/>
  <c r="AJ1146" i="7"/>
  <c r="AJ1145" i="7"/>
  <c r="AJ1144" i="7"/>
  <c r="AJ1143" i="7"/>
  <c r="AJ1142" i="7"/>
  <c r="AJ1141" i="7"/>
  <c r="AJ1140" i="7"/>
  <c r="AJ1139" i="7"/>
  <c r="AJ1138" i="7"/>
  <c r="AJ1137" i="7"/>
  <c r="AJ1136" i="7"/>
  <c r="AJ1135" i="7"/>
  <c r="AJ1134" i="7"/>
  <c r="AJ1133" i="7"/>
  <c r="AJ1132" i="7"/>
  <c r="AJ1131" i="7"/>
  <c r="AJ1130" i="7"/>
  <c r="AJ1129" i="7"/>
  <c r="AJ1128" i="7"/>
  <c r="AJ1127" i="7"/>
  <c r="AJ1126" i="7"/>
  <c r="AJ1125" i="7"/>
  <c r="AJ1124" i="7"/>
  <c r="AJ1123" i="7"/>
  <c r="AJ1122" i="7"/>
  <c r="AJ1121" i="7"/>
  <c r="AJ1120" i="7"/>
  <c r="AJ1119" i="7"/>
  <c r="AJ1118" i="7"/>
  <c r="AJ1117" i="7"/>
  <c r="AJ1116" i="7"/>
  <c r="AJ1115" i="7"/>
  <c r="AJ1114" i="7"/>
  <c r="AJ1113" i="7"/>
  <c r="AJ1112" i="7"/>
  <c r="AJ1111" i="7"/>
  <c r="AJ1110" i="7"/>
  <c r="AJ1109" i="7"/>
  <c r="AJ1108" i="7"/>
  <c r="AJ1107" i="7"/>
  <c r="AJ1106" i="7"/>
  <c r="AJ1105" i="7"/>
  <c r="AJ1104" i="7"/>
  <c r="AJ1103" i="7"/>
  <c r="AJ1102" i="7"/>
  <c r="AJ1101" i="7"/>
  <c r="AJ1100" i="7"/>
  <c r="AJ1099" i="7"/>
  <c r="AJ1098" i="7"/>
  <c r="AJ1097" i="7"/>
  <c r="AJ1096" i="7"/>
  <c r="AJ1095" i="7"/>
  <c r="AJ1094" i="7"/>
  <c r="AJ1093" i="7"/>
  <c r="AJ1092" i="7"/>
  <c r="AJ1091" i="7"/>
  <c r="AJ1090" i="7"/>
  <c r="AJ1089" i="7"/>
  <c r="AJ1088" i="7"/>
  <c r="AJ1087" i="7"/>
  <c r="AJ1086" i="7"/>
  <c r="AJ1085" i="7"/>
  <c r="AJ1084" i="7"/>
  <c r="AJ1083" i="7"/>
  <c r="AJ1082" i="7"/>
  <c r="AJ1081" i="7"/>
  <c r="AJ1080" i="7"/>
  <c r="AJ1079" i="7"/>
  <c r="AJ1078" i="7"/>
  <c r="AJ1077" i="7"/>
  <c r="AJ1076" i="7"/>
  <c r="AJ1075" i="7"/>
  <c r="AJ1074" i="7"/>
  <c r="AJ1073" i="7"/>
  <c r="AJ1072" i="7"/>
  <c r="AJ1071" i="7"/>
  <c r="AJ1070" i="7"/>
  <c r="AJ1069" i="7"/>
  <c r="AJ1068" i="7"/>
  <c r="AJ1067" i="7"/>
  <c r="AJ1066" i="7"/>
  <c r="AJ1065" i="7"/>
  <c r="AJ1064" i="7"/>
  <c r="AJ1063" i="7"/>
  <c r="AJ1062" i="7"/>
  <c r="AJ1061" i="7"/>
  <c r="AJ1060" i="7"/>
  <c r="AJ1059" i="7"/>
  <c r="AJ1058" i="7"/>
  <c r="AJ1057" i="7"/>
  <c r="AJ1056" i="7"/>
  <c r="AJ1055" i="7"/>
  <c r="AJ1054" i="7"/>
  <c r="AJ1053" i="7"/>
  <c r="AJ1052" i="7"/>
  <c r="AJ1051" i="7"/>
  <c r="AJ1050" i="7"/>
  <c r="AJ1049" i="7"/>
  <c r="AJ1048" i="7"/>
  <c r="AJ1047" i="7"/>
  <c r="AJ1046" i="7"/>
  <c r="AJ1045" i="7"/>
  <c r="AJ1044" i="7"/>
  <c r="AJ1043" i="7"/>
  <c r="AJ1042" i="7"/>
  <c r="AJ1041" i="7"/>
  <c r="AJ1040" i="7"/>
  <c r="AJ1039" i="7"/>
  <c r="AJ1038" i="7"/>
  <c r="AJ1037" i="7"/>
  <c r="AJ1036" i="7"/>
  <c r="AJ1035" i="7"/>
  <c r="AJ1034" i="7"/>
  <c r="AJ1033" i="7"/>
  <c r="AJ1032" i="7"/>
  <c r="AJ1031" i="7"/>
  <c r="AJ1030" i="7"/>
  <c r="AJ1029" i="7"/>
  <c r="AJ1028" i="7"/>
  <c r="AJ1027" i="7"/>
  <c r="AJ1026" i="7"/>
  <c r="AJ1025" i="7"/>
  <c r="AJ1024" i="7"/>
  <c r="AJ1023" i="7"/>
  <c r="AJ1022" i="7"/>
  <c r="AJ1021" i="7"/>
  <c r="AJ1020" i="7"/>
  <c r="AJ1019" i="7"/>
  <c r="AJ1018" i="7"/>
  <c r="AJ1017" i="7"/>
  <c r="AJ1016" i="7"/>
  <c r="AJ1015" i="7"/>
  <c r="AJ1014" i="7"/>
  <c r="AJ1013" i="7"/>
  <c r="AJ1012" i="7"/>
  <c r="AJ1011" i="7"/>
  <c r="AJ1010" i="7"/>
  <c r="AJ1009" i="7"/>
  <c r="AJ1008" i="7"/>
  <c r="AJ1007" i="7"/>
  <c r="AJ1006" i="7"/>
  <c r="AJ1005" i="7"/>
  <c r="AJ1004" i="7"/>
  <c r="AJ1003" i="7"/>
  <c r="AJ1002" i="7"/>
  <c r="AJ1001" i="7"/>
  <c r="AJ1000" i="7"/>
  <c r="AJ999" i="7"/>
  <c r="AJ998" i="7"/>
  <c r="AJ997" i="7"/>
  <c r="AJ996" i="7"/>
  <c r="AJ995" i="7"/>
  <c r="AJ994" i="7"/>
  <c r="AJ993" i="7"/>
  <c r="AJ992" i="7"/>
  <c r="AJ991" i="7"/>
  <c r="AJ990" i="7"/>
  <c r="AJ989" i="7"/>
  <c r="AJ988" i="7"/>
  <c r="AJ987" i="7"/>
  <c r="AJ986" i="7"/>
  <c r="AJ985" i="7"/>
  <c r="AJ984" i="7"/>
  <c r="AJ983" i="7"/>
  <c r="AJ982" i="7"/>
  <c r="AJ981" i="7"/>
  <c r="AJ980" i="7"/>
  <c r="AJ979" i="7"/>
  <c r="AJ978" i="7"/>
  <c r="AJ977" i="7"/>
  <c r="AJ975" i="7"/>
  <c r="AJ974" i="7"/>
  <c r="AJ973" i="7"/>
  <c r="AJ972" i="7"/>
  <c r="AJ971" i="7"/>
  <c r="AJ970" i="7"/>
  <c r="AJ969" i="7"/>
  <c r="AJ968" i="7"/>
  <c r="AJ967" i="7"/>
  <c r="AJ966" i="7"/>
  <c r="AJ965" i="7"/>
  <c r="AJ964" i="7"/>
  <c r="AJ963" i="7"/>
  <c r="AJ962" i="7"/>
  <c r="AJ961" i="7"/>
  <c r="AJ960" i="7"/>
  <c r="AJ959" i="7"/>
  <c r="AJ958" i="7"/>
  <c r="AJ957" i="7"/>
  <c r="AJ956" i="7"/>
  <c r="AJ955" i="7"/>
  <c r="AJ954" i="7"/>
  <c r="AJ953" i="7"/>
  <c r="AJ952" i="7"/>
  <c r="AJ951" i="7"/>
  <c r="AJ950" i="7"/>
  <c r="AJ949" i="7"/>
  <c r="AJ948" i="7"/>
  <c r="AJ947" i="7"/>
  <c r="AJ946" i="7"/>
  <c r="AJ945" i="7"/>
  <c r="AJ944" i="7"/>
  <c r="AJ943" i="7"/>
  <c r="AJ942" i="7"/>
  <c r="AJ941" i="7"/>
  <c r="AJ940" i="7"/>
  <c r="AJ939" i="7"/>
  <c r="AJ938" i="7"/>
  <c r="AJ937" i="7"/>
  <c r="AJ936" i="7"/>
  <c r="AJ935" i="7"/>
  <c r="AJ934" i="7"/>
  <c r="AJ933" i="7"/>
  <c r="AJ932" i="7"/>
  <c r="AJ931" i="7"/>
  <c r="AJ930" i="7"/>
  <c r="AJ929" i="7"/>
  <c r="AJ928" i="7"/>
  <c r="AJ927" i="7"/>
  <c r="AJ926" i="7"/>
  <c r="AJ925" i="7"/>
  <c r="AJ924" i="7"/>
  <c r="AJ923" i="7"/>
  <c r="AJ922" i="7"/>
  <c r="AJ921" i="7"/>
  <c r="AJ920" i="7"/>
  <c r="AJ919" i="7"/>
  <c r="AJ918" i="7"/>
  <c r="AJ917" i="7"/>
  <c r="AJ916" i="7"/>
  <c r="AJ915" i="7"/>
  <c r="AJ914" i="7"/>
  <c r="AJ913" i="7"/>
  <c r="AJ912" i="7"/>
  <c r="AJ911" i="7"/>
  <c r="AJ910" i="7"/>
  <c r="AJ909" i="7"/>
  <c r="AJ908" i="7"/>
  <c r="AJ907" i="7"/>
  <c r="AJ906" i="7"/>
  <c r="AJ905" i="7"/>
  <c r="AJ904" i="7"/>
  <c r="AJ903" i="7"/>
  <c r="AJ902" i="7"/>
  <c r="AJ901" i="7"/>
  <c r="AJ900" i="7"/>
  <c r="AJ899" i="7"/>
  <c r="AJ898" i="7"/>
  <c r="AJ897" i="7"/>
  <c r="AJ896" i="7"/>
  <c r="AJ895" i="7"/>
  <c r="AJ894" i="7"/>
  <c r="AJ893" i="7"/>
  <c r="AJ892" i="7"/>
  <c r="AJ891" i="7"/>
  <c r="AJ890" i="7"/>
  <c r="AJ889" i="7"/>
  <c r="AJ888" i="7"/>
  <c r="AJ887" i="7"/>
  <c r="AJ886" i="7"/>
  <c r="AJ885" i="7"/>
  <c r="AJ884" i="7"/>
  <c r="AJ883" i="7"/>
  <c r="AJ882" i="7"/>
  <c r="AJ881" i="7"/>
  <c r="AJ880" i="7"/>
  <c r="AJ879" i="7"/>
  <c r="AJ878" i="7"/>
  <c r="AJ877" i="7"/>
  <c r="AJ876" i="7"/>
  <c r="AJ875" i="7"/>
  <c r="AJ874" i="7"/>
  <c r="AJ873" i="7"/>
  <c r="AJ872" i="7"/>
  <c r="AJ871" i="7"/>
  <c r="AJ870" i="7"/>
  <c r="AJ869" i="7"/>
  <c r="AJ868" i="7"/>
  <c r="AJ867" i="7"/>
  <c r="AJ866" i="7"/>
  <c r="AJ865" i="7"/>
  <c r="AJ864" i="7"/>
  <c r="AJ863" i="7"/>
  <c r="AJ862" i="7"/>
  <c r="AJ861" i="7"/>
  <c r="AJ860" i="7"/>
  <c r="AJ859" i="7"/>
  <c r="AJ858" i="7"/>
  <c r="AJ857" i="7"/>
  <c r="AJ856" i="7"/>
  <c r="AJ855" i="7"/>
  <c r="AJ854" i="7"/>
  <c r="AJ851" i="7"/>
  <c r="AJ850" i="7"/>
  <c r="AJ849" i="7"/>
  <c r="AJ848" i="7"/>
  <c r="AJ847" i="7"/>
  <c r="AJ846" i="7"/>
  <c r="AJ845" i="7"/>
  <c r="AJ844" i="7"/>
  <c r="AJ843" i="7"/>
  <c r="AJ842" i="7"/>
  <c r="AJ841" i="7"/>
  <c r="AJ840" i="7"/>
  <c r="AJ839" i="7"/>
  <c r="AJ838" i="7"/>
  <c r="AJ837" i="7"/>
  <c r="AJ836" i="7"/>
  <c r="AJ835" i="7"/>
  <c r="AJ834" i="7"/>
  <c r="AJ833" i="7"/>
  <c r="AJ832" i="7"/>
  <c r="AJ831" i="7"/>
  <c r="AJ830" i="7"/>
  <c r="AJ829" i="7"/>
  <c r="AJ828" i="7"/>
  <c r="AJ827" i="7"/>
  <c r="AJ826" i="7"/>
  <c r="AJ825" i="7"/>
  <c r="AJ824" i="7"/>
  <c r="AJ823" i="7"/>
  <c r="AJ822" i="7"/>
  <c r="AJ821" i="7"/>
  <c r="AJ820" i="7"/>
  <c r="AJ819" i="7"/>
  <c r="AJ818" i="7"/>
  <c r="AJ817" i="7"/>
  <c r="AJ816" i="7"/>
  <c r="AJ815" i="7"/>
  <c r="AJ814" i="7"/>
  <c r="AJ813" i="7"/>
  <c r="AJ812" i="7"/>
  <c r="AJ811" i="7"/>
  <c r="AJ810" i="7"/>
  <c r="AJ809" i="7"/>
  <c r="AJ808" i="7"/>
  <c r="AJ807" i="7"/>
  <c r="AJ806" i="7"/>
  <c r="AJ805" i="7"/>
  <c r="AJ804" i="7"/>
  <c r="AJ803" i="7"/>
  <c r="AJ802" i="7"/>
  <c r="AJ801" i="7"/>
  <c r="AJ800" i="7"/>
  <c r="AJ799" i="7"/>
  <c r="AJ798" i="7"/>
  <c r="AJ797" i="7"/>
  <c r="AJ796" i="7"/>
  <c r="AJ795" i="7"/>
  <c r="AJ794" i="7"/>
  <c r="AJ793" i="7"/>
  <c r="AJ792" i="7"/>
  <c r="AJ791" i="7"/>
  <c r="AJ790" i="7"/>
  <c r="AJ789" i="7"/>
  <c r="AJ788" i="7"/>
  <c r="AJ787" i="7"/>
  <c r="AJ786" i="7"/>
  <c r="AJ785" i="7"/>
  <c r="AJ784" i="7"/>
  <c r="AJ783" i="7"/>
  <c r="AJ782" i="7"/>
  <c r="AJ781" i="7"/>
  <c r="AJ780" i="7"/>
  <c r="AJ779" i="7"/>
  <c r="AJ778" i="7"/>
  <c r="AJ777" i="7"/>
  <c r="AJ776" i="7"/>
  <c r="AJ775" i="7"/>
  <c r="AJ774" i="7"/>
  <c r="AJ773" i="7"/>
  <c r="AJ772" i="7"/>
  <c r="AJ771" i="7"/>
  <c r="AJ770" i="7"/>
  <c r="AJ769" i="7"/>
  <c r="AJ768" i="7"/>
  <c r="AJ767" i="7"/>
  <c r="AJ766" i="7"/>
  <c r="AJ765" i="7"/>
  <c r="AJ764" i="7"/>
  <c r="AJ763" i="7"/>
  <c r="AJ762" i="7"/>
  <c r="AJ761" i="7"/>
  <c r="AJ760" i="7"/>
  <c r="AJ759" i="7"/>
  <c r="AJ758" i="7"/>
  <c r="AJ757" i="7"/>
  <c r="AJ756" i="7"/>
  <c r="AJ755" i="7"/>
  <c r="AJ754" i="7"/>
  <c r="AJ753" i="7"/>
  <c r="AJ752" i="7"/>
  <c r="AJ751" i="7"/>
  <c r="AJ750" i="7"/>
  <c r="AJ749" i="7"/>
  <c r="AJ748" i="7"/>
  <c r="AJ747" i="7"/>
  <c r="AJ746" i="7"/>
  <c r="AJ745" i="7"/>
  <c r="AJ744" i="7"/>
  <c r="AJ743" i="7"/>
  <c r="AJ742" i="7"/>
  <c r="AJ741" i="7"/>
  <c r="AJ740" i="7"/>
  <c r="AJ739" i="7"/>
  <c r="AJ738" i="7"/>
  <c r="AJ737" i="7"/>
  <c r="AJ736" i="7"/>
  <c r="AJ735" i="7"/>
  <c r="AJ734" i="7"/>
  <c r="AJ733" i="7"/>
  <c r="AJ732" i="7"/>
  <c r="AJ731" i="7"/>
  <c r="AJ730" i="7"/>
  <c r="AJ729" i="7"/>
  <c r="AJ728" i="7"/>
  <c r="AJ727" i="7"/>
  <c r="AJ726" i="7"/>
  <c r="AJ725" i="7"/>
  <c r="AJ724" i="7"/>
  <c r="AJ723" i="7"/>
  <c r="AJ722" i="7"/>
  <c r="AJ721" i="7"/>
  <c r="AJ720" i="7"/>
  <c r="AJ719" i="7"/>
  <c r="AJ718" i="7"/>
  <c r="AJ717" i="7"/>
  <c r="AJ716" i="7"/>
  <c r="AJ715" i="7"/>
  <c r="AJ714" i="7"/>
  <c r="AJ713" i="7"/>
  <c r="AJ712" i="7"/>
  <c r="AJ711" i="7"/>
  <c r="AJ710" i="7"/>
  <c r="AJ709" i="7"/>
  <c r="AJ708" i="7"/>
  <c r="AJ707" i="7"/>
  <c r="AJ706" i="7"/>
  <c r="AJ705" i="7"/>
  <c r="AJ704" i="7"/>
  <c r="AJ703" i="7"/>
  <c r="AJ702" i="7"/>
  <c r="AJ701" i="7"/>
  <c r="AJ700" i="7"/>
  <c r="AJ699" i="7"/>
  <c r="AJ698" i="7"/>
  <c r="AJ697" i="7"/>
  <c r="AJ696" i="7"/>
  <c r="AJ695" i="7"/>
  <c r="AJ694" i="7"/>
  <c r="AJ693" i="7"/>
  <c r="AJ692" i="7"/>
  <c r="AJ691" i="7"/>
  <c r="AJ690" i="7"/>
  <c r="AJ689" i="7"/>
  <c r="AJ688" i="7"/>
  <c r="AJ687" i="7"/>
  <c r="AJ686" i="7"/>
  <c r="AJ685" i="7"/>
  <c r="AJ684" i="7"/>
  <c r="AJ683" i="7"/>
  <c r="AJ682" i="7"/>
  <c r="AJ681" i="7"/>
  <c r="AJ680" i="7"/>
  <c r="AJ679" i="7"/>
  <c r="AJ678" i="7"/>
  <c r="AJ677" i="7"/>
  <c r="AJ676" i="7"/>
  <c r="AJ675" i="7"/>
  <c r="AJ674" i="7"/>
  <c r="AJ672" i="7"/>
  <c r="AJ670" i="7"/>
  <c r="AJ669" i="7"/>
  <c r="AJ668" i="7"/>
  <c r="AJ667" i="7"/>
  <c r="AJ666" i="7"/>
  <c r="AJ665" i="7"/>
  <c r="AJ664" i="7"/>
  <c r="AJ663" i="7"/>
  <c r="AJ662" i="7"/>
  <c r="AJ661" i="7"/>
  <c r="AJ660" i="7"/>
  <c r="AJ659" i="7"/>
  <c r="AJ658" i="7"/>
  <c r="AJ657" i="7"/>
  <c r="AJ656" i="7"/>
  <c r="AJ655" i="7"/>
  <c r="AJ654" i="7"/>
  <c r="AJ653" i="7"/>
  <c r="AJ652" i="7"/>
  <c r="AJ651" i="7"/>
  <c r="AJ650" i="7"/>
  <c r="AJ649" i="7"/>
  <c r="AJ648" i="7"/>
  <c r="AJ647" i="7"/>
  <c r="AJ646" i="7"/>
  <c r="AJ645" i="7"/>
  <c r="AJ644" i="7"/>
  <c r="AJ643" i="7"/>
  <c r="AJ642" i="7"/>
  <c r="AJ638" i="7"/>
  <c r="AJ637" i="7"/>
  <c r="AJ636" i="7"/>
  <c r="AJ635" i="7"/>
  <c r="AJ634" i="7"/>
  <c r="AJ633" i="7"/>
  <c r="AJ632" i="7"/>
  <c r="AJ629" i="7"/>
  <c r="AJ628" i="7"/>
  <c r="AJ627" i="7"/>
  <c r="AJ626" i="7"/>
  <c r="AJ624" i="7"/>
  <c r="AJ623" i="7"/>
  <c r="AJ622" i="7"/>
  <c r="AJ620" i="7"/>
  <c r="AJ619" i="7"/>
  <c r="AJ618" i="7"/>
  <c r="AJ617" i="7"/>
  <c r="AJ616" i="7"/>
  <c r="AJ615" i="7"/>
  <c r="AJ613" i="7"/>
  <c r="AJ612" i="7"/>
  <c r="AJ611" i="7"/>
  <c r="AJ610" i="7"/>
  <c r="AJ609" i="7"/>
  <c r="AJ606" i="7"/>
  <c r="AJ605" i="7"/>
  <c r="AJ604" i="7"/>
  <c r="AJ603" i="7"/>
  <c r="AJ602" i="7"/>
  <c r="AJ601" i="7"/>
  <c r="AJ600" i="7"/>
  <c r="AJ599" i="7"/>
  <c r="AJ598" i="7"/>
  <c r="AJ597" i="7"/>
  <c r="AJ596" i="7"/>
  <c r="AJ595" i="7"/>
  <c r="AJ594" i="7"/>
  <c r="AJ593" i="7"/>
  <c r="AJ592" i="7"/>
  <c r="AJ591" i="7"/>
  <c r="AJ590" i="7"/>
  <c r="AJ589" i="7"/>
  <c r="AJ588" i="7"/>
  <c r="AJ587" i="7"/>
  <c r="AJ586" i="7"/>
  <c r="AJ585" i="7"/>
  <c r="AJ584" i="7"/>
  <c r="AJ583" i="7"/>
  <c r="AJ582" i="7"/>
  <c r="AJ581" i="7"/>
  <c r="AJ580" i="7"/>
  <c r="AJ579" i="7"/>
  <c r="AJ578" i="7"/>
  <c r="AJ577" i="7"/>
  <c r="AJ576" i="7"/>
  <c r="AJ575" i="7"/>
  <c r="AJ574" i="7"/>
  <c r="AJ573" i="7"/>
  <c r="AJ572" i="7"/>
  <c r="AJ570" i="7"/>
  <c r="AJ568" i="7"/>
  <c r="AJ567" i="7"/>
  <c r="AJ565" i="7"/>
  <c r="AJ564" i="7"/>
  <c r="AJ563" i="7"/>
  <c r="AJ562" i="7"/>
  <c r="AJ561" i="7"/>
  <c r="AJ560" i="7"/>
  <c r="AJ559" i="7"/>
  <c r="AJ558" i="7"/>
  <c r="AJ557" i="7"/>
  <c r="AJ556" i="7"/>
  <c r="AJ555" i="7"/>
  <c r="AJ554" i="7"/>
  <c r="AJ553" i="7"/>
  <c r="AJ552" i="7"/>
  <c r="AJ551" i="7"/>
  <c r="AJ550" i="7"/>
  <c r="AJ549" i="7"/>
  <c r="AJ548" i="7"/>
  <c r="AJ547" i="7"/>
  <c r="AJ546" i="7"/>
  <c r="AJ545" i="7"/>
  <c r="AJ544" i="7"/>
  <c r="AJ543" i="7"/>
  <c r="AJ542" i="7"/>
  <c r="AJ541" i="7"/>
  <c r="AJ540" i="7"/>
  <c r="AJ539" i="7"/>
  <c r="AJ538" i="7"/>
  <c r="AJ537" i="7"/>
  <c r="AJ536" i="7"/>
  <c r="AJ535" i="7"/>
  <c r="AJ534" i="7"/>
  <c r="AJ533" i="7"/>
  <c r="AJ530" i="7"/>
  <c r="AJ529" i="7"/>
  <c r="AJ528" i="7"/>
  <c r="AJ527" i="7"/>
  <c r="AJ526" i="7"/>
  <c r="AJ524" i="7"/>
  <c r="AJ521" i="7"/>
  <c r="AJ520" i="7"/>
  <c r="AJ515" i="7"/>
  <c r="AJ506" i="7"/>
  <c r="AJ504" i="7"/>
  <c r="AJ501" i="7"/>
  <c r="AJ500" i="7"/>
  <c r="AJ499" i="7"/>
  <c r="AJ497" i="7"/>
  <c r="AJ495" i="7"/>
  <c r="AJ493" i="7"/>
  <c r="AJ492" i="7"/>
  <c r="AJ484" i="7"/>
  <c r="AJ483" i="7"/>
  <c r="AJ482" i="7"/>
  <c r="AJ480" i="7"/>
  <c r="AJ479" i="7"/>
  <c r="AJ478" i="7"/>
  <c r="AJ477" i="7"/>
  <c r="AJ476" i="7"/>
  <c r="AJ475" i="7"/>
  <c r="AJ474" i="7"/>
  <c r="AJ473" i="7"/>
  <c r="AJ472" i="7"/>
  <c r="AJ471" i="7"/>
  <c r="AJ470" i="7"/>
  <c r="AJ469" i="7"/>
  <c r="AJ468" i="7"/>
  <c r="AJ467" i="7"/>
  <c r="AJ465" i="7"/>
  <c r="AJ464" i="7"/>
  <c r="AJ463" i="7"/>
  <c r="AJ462" i="7"/>
  <c r="AJ461" i="7"/>
  <c r="AJ460" i="7"/>
  <c r="AJ459" i="7"/>
  <c r="AJ458" i="7"/>
  <c r="AJ457" i="7"/>
  <c r="AJ456" i="7"/>
  <c r="AJ455" i="7"/>
  <c r="AJ454" i="7"/>
  <c r="AJ453" i="7"/>
  <c r="AJ452" i="7"/>
  <c r="AJ451" i="7"/>
  <c r="AJ450" i="7"/>
  <c r="AJ449" i="7"/>
  <c r="AJ448" i="7"/>
  <c r="AJ447" i="7"/>
  <c r="AJ446" i="7"/>
  <c r="AJ445" i="7"/>
  <c r="AJ444" i="7"/>
  <c r="AJ443" i="7"/>
  <c r="AJ442" i="7"/>
  <c r="AJ441" i="7"/>
  <c r="AJ440" i="7"/>
  <c r="AJ438" i="7"/>
  <c r="AJ435" i="7"/>
  <c r="AJ434" i="7"/>
  <c r="AJ433" i="7"/>
  <c r="AJ432" i="7"/>
  <c r="AJ431" i="7"/>
  <c r="AJ430" i="7"/>
  <c r="AJ429" i="7"/>
  <c r="AJ428" i="7"/>
  <c r="AJ427" i="7"/>
  <c r="AJ426" i="7"/>
  <c r="AJ425" i="7"/>
  <c r="AJ424" i="7"/>
  <c r="AJ423" i="7"/>
  <c r="AJ422" i="7"/>
  <c r="AJ421" i="7"/>
  <c r="AJ420" i="7"/>
  <c r="AJ419" i="7"/>
  <c r="AJ418" i="7"/>
  <c r="AJ417" i="7"/>
  <c r="AJ416" i="7"/>
  <c r="AJ415" i="7"/>
  <c r="AJ414" i="7"/>
  <c r="AJ413" i="7"/>
  <c r="AJ412" i="7"/>
  <c r="AJ411" i="7"/>
  <c r="AJ410" i="7"/>
  <c r="AJ409" i="7"/>
  <c r="AJ408" i="7"/>
  <c r="AJ407" i="7"/>
  <c r="AJ406" i="7"/>
  <c r="AJ405" i="7"/>
  <c r="AJ404" i="7"/>
  <c r="AJ403" i="7"/>
  <c r="AJ402" i="7"/>
  <c r="AJ401" i="7"/>
  <c r="AJ399" i="7"/>
  <c r="AJ398" i="7"/>
  <c r="AJ397" i="7"/>
  <c r="AJ396" i="7"/>
  <c r="AJ395" i="7"/>
  <c r="AJ394" i="7"/>
  <c r="AJ393" i="7"/>
  <c r="AJ391" i="7"/>
  <c r="AJ390" i="7"/>
  <c r="AJ389" i="7"/>
  <c r="AJ388" i="7"/>
  <c r="AJ387" i="7"/>
  <c r="AJ386" i="7"/>
  <c r="AJ385" i="7"/>
  <c r="AJ384" i="7"/>
  <c r="AJ383" i="7"/>
  <c r="AJ382" i="7"/>
  <c r="AJ381" i="7"/>
  <c r="AJ380" i="7"/>
  <c r="AJ379" i="7"/>
  <c r="AJ378" i="7"/>
  <c r="AJ376" i="7"/>
  <c r="AJ375" i="7"/>
  <c r="AJ374" i="7"/>
  <c r="AJ373" i="7"/>
  <c r="AJ372" i="7"/>
  <c r="AJ371" i="7"/>
  <c r="AJ370" i="7"/>
  <c r="AJ369" i="7"/>
  <c r="AJ368" i="7"/>
  <c r="AJ367" i="7"/>
  <c r="AJ366" i="7"/>
  <c r="AJ365" i="7"/>
  <c r="AJ364" i="7"/>
  <c r="AJ363" i="7"/>
  <c r="AJ362" i="7"/>
  <c r="AJ361" i="7"/>
  <c r="AJ360" i="7"/>
  <c r="AJ359" i="7"/>
  <c r="AJ358" i="7"/>
  <c r="AJ357" i="7"/>
  <c r="AJ356" i="7"/>
  <c r="AJ355" i="7"/>
  <c r="AJ354" i="7"/>
  <c r="AJ353" i="7"/>
  <c r="AJ352" i="7"/>
  <c r="AJ351" i="7"/>
  <c r="AJ350" i="7"/>
  <c r="AJ349" i="7"/>
  <c r="AJ348" i="7"/>
  <c r="AJ347" i="7"/>
  <c r="AJ346" i="7"/>
  <c r="AJ345" i="7"/>
  <c r="AJ344" i="7"/>
  <c r="AJ343" i="7"/>
  <c r="AJ342" i="7"/>
  <c r="AJ341" i="7"/>
  <c r="AJ340" i="7"/>
  <c r="AJ339" i="7"/>
  <c r="AJ338" i="7"/>
  <c r="AJ337" i="7"/>
  <c r="AJ336" i="7"/>
  <c r="AJ335" i="7"/>
  <c r="AJ334" i="7"/>
  <c r="AJ333" i="7"/>
  <c r="AJ332" i="7"/>
  <c r="AJ331" i="7"/>
  <c r="AJ330" i="7"/>
  <c r="AJ329" i="7"/>
  <c r="AJ328" i="7"/>
  <c r="AJ327" i="7"/>
  <c r="AJ325" i="7"/>
  <c r="AJ324" i="7"/>
  <c r="AJ323" i="7"/>
  <c r="AJ322" i="7"/>
  <c r="AJ321" i="7"/>
  <c r="AJ320" i="7"/>
  <c r="AJ319" i="7"/>
  <c r="AJ318" i="7"/>
  <c r="AJ317" i="7"/>
  <c r="AJ316" i="7"/>
  <c r="AJ315" i="7"/>
  <c r="AJ314" i="7"/>
  <c r="AJ313" i="7"/>
  <c r="AJ312" i="7"/>
  <c r="AJ311" i="7"/>
  <c r="AJ310" i="7"/>
  <c r="AJ309" i="7"/>
  <c r="AJ308" i="7"/>
  <c r="AJ307" i="7"/>
  <c r="AJ306" i="7"/>
  <c r="AJ305" i="7"/>
  <c r="AJ304" i="7"/>
  <c r="AJ303" i="7"/>
  <c r="AJ302" i="7"/>
  <c r="AJ301" i="7"/>
  <c r="AJ300" i="7"/>
  <c r="AJ299" i="7"/>
  <c r="AJ298" i="7"/>
  <c r="AJ297" i="7"/>
  <c r="AJ295" i="7"/>
  <c r="AJ294" i="7"/>
  <c r="AJ293" i="7"/>
  <c r="AJ292" i="7"/>
  <c r="AJ291" i="7"/>
  <c r="AJ290" i="7"/>
  <c r="AJ289" i="7"/>
  <c r="AJ288" i="7"/>
  <c r="AJ287" i="7"/>
  <c r="AJ286" i="7"/>
  <c r="AJ285" i="7"/>
  <c r="AJ284" i="7"/>
  <c r="AJ283" i="7"/>
  <c r="AJ282" i="7"/>
  <c r="AJ281" i="7"/>
  <c r="AJ280" i="7"/>
  <c r="AJ279" i="7"/>
  <c r="AJ278" i="7"/>
  <c r="AJ277" i="7"/>
  <c r="AJ276" i="7"/>
  <c r="AJ275" i="7"/>
  <c r="AJ274" i="7"/>
  <c r="AJ273" i="7"/>
  <c r="AJ272" i="7"/>
  <c r="AJ271" i="7"/>
  <c r="AJ270" i="7"/>
  <c r="AJ269" i="7"/>
  <c r="AJ268" i="7"/>
  <c r="AJ267" i="7"/>
  <c r="AJ266" i="7"/>
  <c r="AJ265" i="7"/>
  <c r="AJ264" i="7"/>
  <c r="AJ263" i="7"/>
  <c r="AJ262" i="7"/>
  <c r="AJ261" i="7"/>
  <c r="AJ260" i="7"/>
  <c r="AJ259" i="7"/>
  <c r="AJ258" i="7"/>
  <c r="AJ257" i="7"/>
  <c r="AJ256" i="7"/>
  <c r="AJ255" i="7"/>
  <c r="AJ254" i="7"/>
  <c r="AJ253" i="7"/>
  <c r="AJ252" i="7"/>
  <c r="AJ251" i="7"/>
  <c r="AJ250" i="7"/>
  <c r="AJ249" i="7"/>
  <c r="AJ248" i="7"/>
  <c r="AJ247" i="7"/>
  <c r="AJ246" i="7"/>
  <c r="AJ244" i="7"/>
  <c r="AJ242" i="7"/>
  <c r="AJ241" i="7"/>
  <c r="AJ238" i="7"/>
  <c r="AJ233" i="7"/>
  <c r="AJ229" i="7"/>
  <c r="AJ228" i="7"/>
  <c r="AJ227" i="7"/>
  <c r="AJ226" i="7"/>
  <c r="AJ224" i="7"/>
  <c r="AJ223" i="7"/>
  <c r="AJ222" i="7"/>
  <c r="AJ221" i="7"/>
  <c r="AJ220" i="7"/>
  <c r="AJ219" i="7"/>
  <c r="AJ218" i="7"/>
  <c r="AJ217" i="7"/>
  <c r="AJ215" i="7"/>
  <c r="AJ214" i="7"/>
  <c r="AJ213" i="7"/>
  <c r="AJ212" i="7"/>
  <c r="AJ211" i="7"/>
  <c r="AJ210" i="7"/>
  <c r="AJ209" i="7"/>
  <c r="AJ208" i="7"/>
  <c r="AJ207" i="7"/>
  <c r="AJ206" i="7"/>
  <c r="AJ205" i="7"/>
  <c r="AJ204" i="7"/>
  <c r="AJ203" i="7"/>
  <c r="AJ202" i="7"/>
  <c r="AJ201" i="7"/>
  <c r="AJ200" i="7"/>
  <c r="AJ199" i="7"/>
  <c r="AJ198" i="7"/>
  <c r="AJ197" i="7"/>
  <c r="AJ196" i="7"/>
  <c r="AJ195" i="7"/>
  <c r="AJ194" i="7"/>
  <c r="AJ193" i="7"/>
  <c r="AJ192" i="7"/>
  <c r="AJ191" i="7"/>
  <c r="AJ190" i="7"/>
  <c r="AJ189" i="7"/>
  <c r="AJ188" i="7"/>
  <c r="AJ187" i="7"/>
  <c r="AJ186" i="7"/>
  <c r="AJ185" i="7"/>
  <c r="AJ183" i="7"/>
  <c r="AJ182" i="7"/>
  <c r="AJ181" i="7"/>
  <c r="AJ180" i="7"/>
  <c r="AJ179" i="7"/>
  <c r="AJ178" i="7"/>
  <c r="AJ173" i="7"/>
  <c r="AJ170" i="7"/>
  <c r="AJ164" i="7"/>
  <c r="AJ163" i="7"/>
  <c r="AJ162" i="7"/>
  <c r="AJ159" i="7"/>
  <c r="AJ158" i="7"/>
  <c r="AJ157" i="7"/>
  <c r="AJ156" i="7"/>
  <c r="AJ155" i="7"/>
  <c r="AJ154" i="7"/>
  <c r="AJ153" i="7"/>
  <c r="AJ149" i="7"/>
  <c r="AJ148" i="7"/>
  <c r="AJ147" i="7"/>
  <c r="AJ145" i="7"/>
  <c r="AJ144" i="7"/>
  <c r="AJ143" i="7"/>
  <c r="AJ142" i="7"/>
  <c r="AJ141" i="7"/>
  <c r="AJ140" i="7"/>
  <c r="AJ139" i="7"/>
  <c r="AJ138" i="7"/>
  <c r="AJ137" i="7"/>
  <c r="AJ136" i="7"/>
  <c r="AJ135" i="7"/>
  <c r="AJ134" i="7"/>
  <c r="AJ133" i="7"/>
  <c r="AJ132" i="7"/>
  <c r="AJ131" i="7"/>
  <c r="AJ130" i="7"/>
  <c r="AJ129" i="7"/>
  <c r="AJ128" i="7"/>
  <c r="AJ127" i="7"/>
  <c r="AJ126" i="7"/>
  <c r="AJ125" i="7"/>
  <c r="AJ124" i="7"/>
  <c r="AJ123" i="7"/>
  <c r="AJ122" i="7"/>
  <c r="AJ121" i="7"/>
  <c r="AJ120" i="7"/>
  <c r="AJ119" i="7"/>
  <c r="AJ118" i="7"/>
  <c r="AJ117" i="7"/>
  <c r="AJ116" i="7"/>
  <c r="AJ115" i="7"/>
  <c r="AJ114" i="7"/>
  <c r="AJ113" i="7"/>
  <c r="AJ112" i="7"/>
  <c r="AJ111" i="7"/>
  <c r="AJ110" i="7"/>
  <c r="AJ109" i="7"/>
  <c r="AJ108" i="7"/>
  <c r="AJ107" i="7"/>
  <c r="AJ106" i="7"/>
  <c r="AJ105" i="7"/>
  <c r="AJ104" i="7"/>
  <c r="AJ103" i="7"/>
  <c r="AJ102" i="7"/>
  <c r="AJ101" i="7"/>
  <c r="AJ100" i="7"/>
  <c r="AJ99" i="7"/>
  <c r="AJ98" i="7"/>
  <c r="AJ97" i="7"/>
  <c r="AJ96" i="7"/>
  <c r="AJ95" i="7"/>
  <c r="AJ94" i="7"/>
  <c r="AJ89" i="7"/>
  <c r="AJ88" i="7"/>
  <c r="AJ87" i="7"/>
  <c r="AJ86" i="7"/>
  <c r="AJ85" i="7"/>
  <c r="AJ84" i="7"/>
  <c r="AJ83" i="7"/>
  <c r="AJ79" i="7"/>
  <c r="AJ78" i="7"/>
  <c r="AJ77" i="7"/>
  <c r="AJ76" i="7"/>
  <c r="AJ75" i="7"/>
  <c r="AJ74" i="7"/>
  <c r="AJ70" i="7"/>
  <c r="AJ69" i="7"/>
  <c r="AJ68" i="7"/>
  <c r="AJ67" i="7"/>
  <c r="AJ66" i="7"/>
  <c r="AJ65" i="7"/>
  <c r="AJ64" i="7"/>
  <c r="AJ63" i="7"/>
  <c r="AJ62" i="7"/>
  <c r="AJ61" i="7"/>
  <c r="AJ60" i="7"/>
  <c r="AJ59" i="7"/>
  <c r="AJ58" i="7"/>
  <c r="AJ57" i="7"/>
  <c r="AJ56" i="7"/>
  <c r="AJ55" i="7"/>
  <c r="AJ54" i="7"/>
  <c r="AJ53" i="7"/>
  <c r="AJ52" i="7"/>
  <c r="AJ51" i="7"/>
  <c r="AJ50" i="7"/>
  <c r="AJ49" i="7"/>
  <c r="AJ48" i="7"/>
  <c r="AJ47" i="7"/>
  <c r="AJ46" i="7"/>
  <c r="AJ45" i="7"/>
  <c r="AJ44" i="7"/>
  <c r="AJ43" i="7"/>
  <c r="AJ42" i="7"/>
  <c r="AJ41" i="7"/>
  <c r="AJ40" i="7"/>
  <c r="AJ39" i="7"/>
  <c r="AJ38" i="7"/>
  <c r="AJ37" i="7"/>
  <c r="AJ36" i="7"/>
  <c r="AJ35" i="7"/>
  <c r="AJ34" i="7"/>
  <c r="AJ33" i="7"/>
  <c r="AJ32" i="7"/>
  <c r="AJ31" i="7"/>
  <c r="AJ30" i="7"/>
  <c r="AJ29" i="7"/>
  <c r="AJ28" i="7"/>
  <c r="AJ27" i="7"/>
  <c r="AJ26" i="7"/>
  <c r="AJ25" i="7"/>
  <c r="AJ24" i="7"/>
  <c r="AJ23" i="7"/>
  <c r="AJ22" i="7"/>
  <c r="AJ21" i="7"/>
  <c r="AJ20" i="7"/>
  <c r="AJ19" i="7"/>
  <c r="AJ18" i="7"/>
  <c r="AJ17" i="7"/>
  <c r="AJ16" i="7"/>
  <c r="AJ15" i="7"/>
  <c r="AJ14" i="7"/>
  <c r="AJ13" i="7"/>
  <c r="AJ12" i="7"/>
  <c r="AJ11" i="7"/>
  <c r="AJ10" i="7"/>
  <c r="AJ9" i="7"/>
  <c r="AJ8" i="7"/>
  <c r="AJ7" i="7"/>
  <c r="AJ6" i="7"/>
  <c r="AJ5" i="7"/>
  <c r="AJ4" i="7"/>
  <c r="AJ3" i="7"/>
  <c r="AJ2" i="7"/>
  <c r="AI1971" i="7"/>
  <c r="AI1970" i="7"/>
  <c r="AI1966" i="7"/>
  <c r="AI1965" i="7"/>
  <c r="AI1964" i="7"/>
  <c r="AI1963" i="7"/>
  <c r="AI1962" i="7"/>
  <c r="AI1961" i="7"/>
  <c r="AI1958" i="7"/>
  <c r="AI1957" i="7"/>
  <c r="AI1956" i="7"/>
  <c r="AI1955" i="7"/>
  <c r="AI1954" i="7"/>
  <c r="AI1953" i="7"/>
  <c r="AI1952" i="7"/>
  <c r="AI1950" i="7"/>
  <c r="AI1948" i="7"/>
  <c r="AI1927" i="7"/>
  <c r="AI1923" i="7"/>
  <c r="AI1920" i="7"/>
  <c r="AI1901" i="7"/>
  <c r="AI1885" i="7"/>
  <c r="AI1884" i="7"/>
  <c r="AI1862" i="7"/>
  <c r="AI1793" i="7"/>
  <c r="AI1704" i="7"/>
  <c r="AI1687" i="7"/>
  <c r="AI1682" i="7"/>
  <c r="AI1681" i="7"/>
  <c r="AI1680" i="7"/>
  <c r="AI1679" i="7"/>
  <c r="AI1678" i="7"/>
  <c r="AI1677" i="7"/>
  <c r="AI1676" i="7"/>
  <c r="AI1636" i="7"/>
  <c r="AI1635" i="7"/>
  <c r="AI1634" i="7"/>
  <c r="AI1633" i="7"/>
  <c r="AI1632" i="7"/>
  <c r="AI1631" i="7"/>
  <c r="AI1628" i="7"/>
  <c r="AI1627" i="7"/>
  <c r="AI1626" i="7"/>
  <c r="AI1625" i="7"/>
  <c r="AI1624" i="7"/>
  <c r="AI1623" i="7"/>
  <c r="AI1622" i="7"/>
  <c r="AI1561" i="7"/>
  <c r="AI1408" i="7"/>
  <c r="AI1407" i="7"/>
  <c r="AI1406" i="7"/>
  <c r="AI1405" i="7"/>
  <c r="AI1404" i="7"/>
  <c r="AI1403" i="7"/>
  <c r="AI1402" i="7"/>
  <c r="AI1401" i="7"/>
  <c r="AI1400" i="7"/>
  <c r="AI1399" i="7"/>
  <c r="AI1398" i="7"/>
  <c r="AI1397" i="7"/>
  <c r="AI1396" i="7"/>
  <c r="AI1395" i="7"/>
  <c r="AI1394" i="7"/>
  <c r="AI1393" i="7"/>
  <c r="AI1392" i="7"/>
  <c r="AI1391" i="7"/>
  <c r="AI1390" i="7"/>
  <c r="AI1389" i="7"/>
  <c r="AI1388" i="7"/>
  <c r="AI1378" i="7"/>
  <c r="AI1377" i="7"/>
  <c r="AI1374" i="7"/>
  <c r="AI1370" i="7"/>
  <c r="AI1369" i="7"/>
  <c r="AI1368" i="7"/>
  <c r="AI1367" i="7"/>
  <c r="AI1366" i="7"/>
  <c r="AI1365" i="7"/>
  <c r="AI1364" i="7"/>
  <c r="AI1363" i="7"/>
  <c r="AI1362" i="7"/>
  <c r="AI1361" i="7"/>
  <c r="AI1355" i="7"/>
  <c r="AI1353" i="7"/>
  <c r="AI1352" i="7"/>
  <c r="AI1351" i="7"/>
  <c r="AI1350" i="7"/>
  <c r="AI1349" i="7"/>
  <c r="AI1348" i="7"/>
  <c r="AI1347" i="7"/>
  <c r="AI1346" i="7"/>
  <c r="AI1345" i="7"/>
  <c r="AI1344" i="7"/>
  <c r="AI1343" i="7"/>
  <c r="AI1342" i="7"/>
  <c r="AI1341" i="7"/>
  <c r="AI1340" i="7"/>
  <c r="AI1339" i="7"/>
  <c r="AI1338" i="7"/>
  <c r="AI1336" i="7"/>
  <c r="AI1335" i="7"/>
  <c r="AI1334" i="7"/>
  <c r="AI1333" i="7"/>
  <c r="AI1332" i="7"/>
  <c r="AI1331" i="7"/>
  <c r="AI1330" i="7"/>
  <c r="AI1329" i="7"/>
  <c r="AI1327" i="7"/>
  <c r="AI1326" i="7"/>
  <c r="AI1325" i="7"/>
  <c r="AI1324" i="7"/>
  <c r="AI1323" i="7"/>
  <c r="AI1322" i="7"/>
  <c r="AI1321" i="7"/>
  <c r="AI1319" i="7"/>
  <c r="AI1318" i="7"/>
  <c r="AI1317" i="7"/>
  <c r="AI1316" i="7"/>
  <c r="AI1315" i="7"/>
  <c r="AI1314" i="7"/>
  <c r="AI1313" i="7"/>
  <c r="AI1312" i="7"/>
  <c r="AI1311" i="7"/>
  <c r="AI1310" i="7"/>
  <c r="AI1309" i="7"/>
  <c r="AI1308" i="7"/>
  <c r="AI1307" i="7"/>
  <c r="AI1306" i="7"/>
  <c r="AI1305" i="7"/>
  <c r="AI1304" i="7"/>
  <c r="AI1303" i="7"/>
  <c r="AI1302" i="7"/>
  <c r="AI1301" i="7"/>
  <c r="AI1300" i="7"/>
  <c r="AI1299" i="7"/>
  <c r="AI1298" i="7"/>
  <c r="AI1297" i="7"/>
  <c r="AI1296" i="7"/>
  <c r="AI1295" i="7"/>
  <c r="AI1294" i="7"/>
  <c r="AI1293" i="7"/>
  <c r="AI1292" i="7"/>
  <c r="AI1291" i="7"/>
  <c r="AI1290" i="7"/>
  <c r="AI1289" i="7"/>
  <c r="AI1288" i="7"/>
  <c r="AI1287" i="7"/>
  <c r="AI1286" i="7"/>
  <c r="AI1285" i="7"/>
  <c r="AI1284" i="7"/>
  <c r="AI1283" i="7"/>
  <c r="AI1282" i="7"/>
  <c r="AI1281" i="7"/>
  <c r="AI1280" i="7"/>
  <c r="AI1279" i="7"/>
  <c r="AI1278" i="7"/>
  <c r="AI1277" i="7"/>
  <c r="AI1276" i="7"/>
  <c r="AI1275" i="7"/>
  <c r="AI1274" i="7"/>
  <c r="AI1273" i="7"/>
  <c r="AI1272" i="7"/>
  <c r="AI1271" i="7"/>
  <c r="AI1269" i="7"/>
  <c r="AI1268" i="7"/>
  <c r="AI1267" i="7"/>
  <c r="AI1266" i="7"/>
  <c r="AI1265" i="7"/>
  <c r="AI1264" i="7"/>
  <c r="AI1263" i="7"/>
  <c r="AI1262" i="7"/>
  <c r="AI1261" i="7"/>
  <c r="AI1260" i="7"/>
  <c r="AI1259" i="7"/>
  <c r="AI1257" i="7"/>
  <c r="AI1256" i="7"/>
  <c r="AI1255" i="7"/>
  <c r="AI1254" i="7"/>
  <c r="AI1253" i="7"/>
  <c r="AI1252" i="7"/>
  <c r="AI1251" i="7"/>
  <c r="AI1250" i="7"/>
  <c r="AI1249" i="7"/>
  <c r="AI1248" i="7"/>
  <c r="AI1247" i="7"/>
  <c r="AI1246" i="7"/>
  <c r="AI1245" i="7"/>
  <c r="AI1244" i="7"/>
  <c r="AI1243" i="7"/>
  <c r="AI1242" i="7"/>
  <c r="AI1241" i="7"/>
  <c r="AI1240" i="7"/>
  <c r="AI1239" i="7"/>
  <c r="AI1238" i="7"/>
  <c r="AI1236" i="7"/>
  <c r="AI1235" i="7"/>
  <c r="AI1234" i="7"/>
  <c r="AI1233" i="7"/>
  <c r="AI1232" i="7"/>
  <c r="AI1231" i="7"/>
  <c r="AI1230" i="7"/>
  <c r="AI1229" i="7"/>
  <c r="AI1228" i="7"/>
  <c r="AI1227" i="7"/>
  <c r="AI1226" i="7"/>
  <c r="AI1225" i="7"/>
  <c r="AI1224" i="7"/>
  <c r="AI1223" i="7"/>
  <c r="AI1222" i="7"/>
  <c r="AI1221" i="7"/>
  <c r="AI1220" i="7"/>
  <c r="AI1219" i="7"/>
  <c r="AI1218" i="7"/>
  <c r="AI1217" i="7"/>
  <c r="AI1216" i="7"/>
  <c r="AI1215" i="7"/>
  <c r="AI1214" i="7"/>
  <c r="AI1213" i="7"/>
  <c r="AI1212" i="7"/>
  <c r="AI1211" i="7"/>
  <c r="AI1210" i="7"/>
  <c r="AI1209" i="7"/>
  <c r="AI1208" i="7"/>
  <c r="AI1207" i="7"/>
  <c r="AI1206" i="7"/>
  <c r="AI1186" i="7"/>
  <c r="AI1176" i="7"/>
  <c r="AI1175" i="7"/>
  <c r="AI1174" i="7"/>
  <c r="AI1173" i="7"/>
  <c r="AI1153" i="7"/>
  <c r="AI1152" i="7"/>
  <c r="AI1151" i="7"/>
  <c r="AI1150" i="7"/>
  <c r="AI1149" i="7"/>
  <c r="AI1148" i="7"/>
  <c r="AI1147" i="7"/>
  <c r="AI1146" i="7"/>
  <c r="AI1145" i="7"/>
  <c r="AI1144" i="7"/>
  <c r="AI1143" i="7"/>
  <c r="AI1135" i="7"/>
  <c r="AI1134" i="7"/>
  <c r="AI1133" i="7"/>
  <c r="AI1132" i="7"/>
  <c r="AI1131" i="7"/>
  <c r="AI1130" i="7"/>
  <c r="AI1129" i="7"/>
  <c r="AI1128" i="7"/>
  <c r="AI1127" i="7"/>
  <c r="AI1126" i="7"/>
  <c r="AI1125" i="7"/>
  <c r="AI1124" i="7"/>
  <c r="AI1123" i="7"/>
  <c r="AI1114" i="7"/>
  <c r="AI1113" i="7"/>
  <c r="AI1112" i="7"/>
  <c r="AI1111" i="7"/>
  <c r="AI1110" i="7"/>
  <c r="AI1109" i="7"/>
  <c r="AI1108" i="7"/>
  <c r="AI1107" i="7"/>
  <c r="AI1106" i="7"/>
  <c r="AI1105" i="7"/>
  <c r="AI1104" i="7"/>
  <c r="AI1103" i="7"/>
  <c r="AI1102" i="7"/>
  <c r="AI1101" i="7"/>
  <c r="AI1100" i="7"/>
  <c r="AI1099" i="7"/>
  <c r="AI1098" i="7"/>
  <c r="AI1097" i="7"/>
  <c r="AI1096" i="7"/>
  <c r="AI1095" i="7"/>
  <c r="AI1094" i="7"/>
  <c r="AI1093" i="7"/>
  <c r="AI1092" i="7"/>
  <c r="AI1091" i="7"/>
  <c r="AI1090" i="7"/>
  <c r="AI1089" i="7"/>
  <c r="AI1088" i="7"/>
  <c r="AI1087" i="7"/>
  <c r="AI1086" i="7"/>
  <c r="AI1078" i="7"/>
  <c r="AI1077" i="7"/>
  <c r="AI1076" i="7"/>
  <c r="AI1075" i="7"/>
  <c r="AI1074" i="7"/>
  <c r="AI1073" i="7"/>
  <c r="AI1072" i="7"/>
  <c r="AI1071" i="7"/>
  <c r="AI1070" i="7"/>
  <c r="AI1069" i="7"/>
  <c r="AI1068" i="7"/>
  <c r="AI1067" i="7"/>
  <c r="AI1066" i="7"/>
  <c r="AI1065" i="7"/>
  <c r="AI1064" i="7"/>
  <c r="AI1063" i="7"/>
  <c r="AI1062" i="7"/>
  <c r="AI1061" i="7"/>
  <c r="AI1060" i="7"/>
  <c r="AI1059" i="7"/>
  <c r="AI1058" i="7"/>
  <c r="AI1057" i="7"/>
  <c r="AI1056" i="7"/>
  <c r="AI1055" i="7"/>
  <c r="AI1054" i="7"/>
  <c r="AI1053" i="7"/>
  <c r="AI1052" i="7"/>
  <c r="AI1051" i="7"/>
  <c r="AI1050" i="7"/>
  <c r="AI1049" i="7"/>
  <c r="AI1048" i="7"/>
  <c r="AI1047" i="7"/>
  <c r="AI1046" i="7"/>
  <c r="AI1045" i="7"/>
  <c r="AI1044" i="7"/>
  <c r="AI1043" i="7"/>
  <c r="AI1042" i="7"/>
  <c r="AI1041" i="7"/>
  <c r="AI1039" i="7"/>
  <c r="AI1038" i="7"/>
  <c r="AI1037" i="7"/>
  <c r="AI1036" i="7"/>
  <c r="AI1035" i="7"/>
  <c r="AI1034" i="7"/>
  <c r="AI1033" i="7"/>
  <c r="AI1032" i="7"/>
  <c r="AI1031" i="7"/>
  <c r="AI1030" i="7"/>
  <c r="AI1029" i="7"/>
  <c r="AI1028" i="7"/>
  <c r="AI1027" i="7"/>
  <c r="AI1026" i="7"/>
  <c r="AI1025" i="7"/>
  <c r="AI1024" i="7"/>
  <c r="AI1023" i="7"/>
  <c r="AI1022" i="7"/>
  <c r="AI1021" i="7"/>
  <c r="AI1020" i="7"/>
  <c r="AI1019" i="7"/>
  <c r="AI1018" i="7"/>
  <c r="AI1017" i="7"/>
  <c r="AI1016" i="7"/>
  <c r="AI1015" i="7"/>
  <c r="AI1014" i="7"/>
  <c r="AI1013" i="7"/>
  <c r="AI1011" i="7"/>
  <c r="AI1010" i="7"/>
  <c r="AI1009" i="7"/>
  <c r="AI1008" i="7"/>
  <c r="AI1007" i="7"/>
  <c r="AI1006" i="7"/>
  <c r="AI1005" i="7"/>
  <c r="AI1004" i="7"/>
  <c r="AI1003" i="7"/>
  <c r="AI1002" i="7"/>
  <c r="AI1001" i="7"/>
  <c r="AI1000" i="7"/>
  <c r="AI999" i="7"/>
  <c r="AI998" i="7"/>
  <c r="AI997" i="7"/>
  <c r="AI996" i="7"/>
  <c r="AI995" i="7"/>
  <c r="AI994" i="7"/>
  <c r="AI993" i="7"/>
  <c r="AI992" i="7"/>
  <c r="AI991" i="7"/>
  <c r="AI990" i="7"/>
  <c r="AI989" i="7"/>
  <c r="AI988" i="7"/>
  <c r="AI987" i="7"/>
  <c r="AI986" i="7"/>
  <c r="AI985" i="7"/>
  <c r="AI984" i="7"/>
  <c r="AI983" i="7"/>
  <c r="AI982" i="7"/>
  <c r="AI981" i="7"/>
  <c r="AI980" i="7"/>
  <c r="AI979" i="7"/>
  <c r="AI978" i="7"/>
  <c r="AI977" i="7"/>
  <c r="AI976" i="7"/>
  <c r="AI975" i="7"/>
  <c r="AI974" i="7"/>
  <c r="AI973" i="7"/>
  <c r="AI972" i="7"/>
  <c r="AI971" i="7"/>
  <c r="AI970" i="7"/>
  <c r="AI969" i="7"/>
  <c r="AI968" i="7"/>
  <c r="AI967" i="7"/>
  <c r="AI966" i="7"/>
  <c r="AI965" i="7"/>
  <c r="AI964" i="7"/>
  <c r="AI963" i="7"/>
  <c r="AI962" i="7"/>
  <c r="AI961" i="7"/>
  <c r="AI960" i="7"/>
  <c r="AI959" i="7"/>
  <c r="AI958" i="7"/>
  <c r="AI957" i="7"/>
  <c r="AI956" i="7"/>
  <c r="AI955" i="7"/>
  <c r="AI954" i="7"/>
  <c r="AI953" i="7"/>
  <c r="AI952" i="7"/>
  <c r="AI951" i="7"/>
  <c r="AI950" i="7"/>
  <c r="AI949" i="7"/>
  <c r="AI948" i="7"/>
  <c r="AI947" i="7"/>
  <c r="AI946" i="7"/>
  <c r="AI945" i="7"/>
  <c r="AI944" i="7"/>
  <c r="AI943" i="7"/>
  <c r="AI942" i="7"/>
  <c r="AI941" i="7"/>
  <c r="AI940" i="7"/>
  <c r="AI939" i="7"/>
  <c r="AI938" i="7"/>
  <c r="AI937" i="7"/>
  <c r="AI935" i="7"/>
  <c r="AI934" i="7"/>
  <c r="AI933" i="7"/>
  <c r="AI932" i="7"/>
  <c r="AI931" i="7"/>
  <c r="AI930" i="7"/>
  <c r="AI929" i="7"/>
  <c r="AI928" i="7"/>
  <c r="AI927" i="7"/>
  <c r="AI926" i="7"/>
  <c r="AI925" i="7"/>
  <c r="AI924" i="7"/>
  <c r="AI923" i="7"/>
  <c r="AI921" i="7"/>
  <c r="AI920" i="7"/>
  <c r="AI919" i="7"/>
  <c r="AI918" i="7"/>
  <c r="AI917" i="7"/>
  <c r="AI916" i="7"/>
  <c r="AI915" i="7"/>
  <c r="AI914" i="7"/>
  <c r="AI913" i="7"/>
  <c r="AI912" i="7"/>
  <c r="AI911" i="7"/>
  <c r="AI910" i="7"/>
  <c r="AI909" i="7"/>
  <c r="AI908" i="7"/>
  <c r="AI907" i="7"/>
  <c r="AI906" i="7"/>
  <c r="AI905" i="7"/>
  <c r="AI904" i="7"/>
  <c r="AI903" i="7"/>
  <c r="AI902" i="7"/>
  <c r="AI901" i="7"/>
  <c r="AI898" i="7"/>
  <c r="AI896" i="7"/>
  <c r="AI895" i="7"/>
  <c r="AI894" i="7"/>
  <c r="AI893" i="7"/>
  <c r="AI892" i="7"/>
  <c r="AI891" i="7"/>
  <c r="AI890" i="7"/>
  <c r="AI889" i="7"/>
  <c r="AI888" i="7"/>
  <c r="AI887" i="7"/>
  <c r="AI886" i="7"/>
  <c r="AI885" i="7"/>
  <c r="AI884" i="7"/>
  <c r="AI883" i="7"/>
  <c r="AI882" i="7"/>
  <c r="AI881" i="7"/>
  <c r="AI880" i="7"/>
  <c r="AI879" i="7"/>
  <c r="AI878" i="7"/>
  <c r="AI877" i="7"/>
  <c r="AI876" i="7"/>
  <c r="AI875" i="7"/>
  <c r="AI874" i="7"/>
  <c r="AI873" i="7"/>
  <c r="AI872" i="7"/>
  <c r="AI871" i="7"/>
  <c r="AI870" i="7"/>
  <c r="AI869" i="7"/>
  <c r="AI868" i="7"/>
  <c r="AI867" i="7"/>
  <c r="AI866" i="7"/>
  <c r="AI865" i="7"/>
  <c r="AI864" i="7"/>
  <c r="AI863" i="7"/>
  <c r="AI862" i="7"/>
  <c r="AI861" i="7"/>
  <c r="AI860" i="7"/>
  <c r="AI859" i="7"/>
  <c r="AI858" i="7"/>
  <c r="AI857" i="7"/>
  <c r="AI856" i="7"/>
  <c r="AI855" i="7"/>
  <c r="AI854" i="7"/>
  <c r="AI853" i="7"/>
  <c r="AI852" i="7"/>
  <c r="AI851" i="7"/>
  <c r="AI850" i="7"/>
  <c r="AI849" i="7"/>
  <c r="AI848" i="7"/>
  <c r="AI847" i="7"/>
  <c r="AI846" i="7"/>
  <c r="AI845" i="7"/>
  <c r="AI844" i="7"/>
  <c r="AI843" i="7"/>
  <c r="AI842" i="7"/>
  <c r="AI841" i="7"/>
  <c r="AI840" i="7"/>
  <c r="AI839" i="7"/>
  <c r="AI838" i="7"/>
  <c r="AI837" i="7"/>
  <c r="AI836" i="7"/>
  <c r="AI835" i="7"/>
  <c r="AI834" i="7"/>
  <c r="AI833" i="7"/>
  <c r="AI832" i="7"/>
  <c r="AI831" i="7"/>
  <c r="AI830" i="7"/>
  <c r="AI829" i="7"/>
  <c r="AI828" i="7"/>
  <c r="AI827" i="7"/>
  <c r="AI826" i="7"/>
  <c r="AI825" i="7"/>
  <c r="AI824" i="7"/>
  <c r="AI823" i="7"/>
  <c r="AI822" i="7"/>
  <c r="AI821" i="7"/>
  <c r="AI818" i="7"/>
  <c r="AI817" i="7"/>
  <c r="AI816" i="7"/>
  <c r="AI815" i="7"/>
  <c r="AI814" i="7"/>
  <c r="AI813" i="7"/>
  <c r="AI812" i="7"/>
  <c r="AI811" i="7"/>
  <c r="AI810" i="7"/>
  <c r="AI809" i="7"/>
  <c r="AI808" i="7"/>
  <c r="AI807" i="7"/>
  <c r="AI806" i="7"/>
  <c r="AI805" i="7"/>
  <c r="AI804" i="7"/>
  <c r="AI803" i="7"/>
  <c r="AI802" i="7"/>
  <c r="AI801" i="7"/>
  <c r="AI800" i="7"/>
  <c r="AI799" i="7"/>
  <c r="AI798" i="7"/>
  <c r="AI797" i="7"/>
  <c r="AI796" i="7"/>
  <c r="AI795" i="7"/>
  <c r="AI794" i="7"/>
  <c r="AI793" i="7"/>
  <c r="AI792" i="7"/>
  <c r="AI791" i="7"/>
  <c r="AI790" i="7"/>
  <c r="AI789" i="7"/>
  <c r="AI788" i="7"/>
  <c r="AI787" i="7"/>
  <c r="AI785" i="7"/>
  <c r="AI784" i="7"/>
  <c r="AI783" i="7"/>
  <c r="AI782" i="7"/>
  <c r="AI781" i="7"/>
  <c r="AI780" i="7"/>
  <c r="AI779" i="7"/>
  <c r="AI778" i="7"/>
  <c r="AI777" i="7"/>
  <c r="AI776" i="7"/>
  <c r="AI775" i="7"/>
  <c r="AI774" i="7"/>
  <c r="AI773" i="7"/>
  <c r="AI772" i="7"/>
  <c r="AI771" i="7"/>
  <c r="AI770" i="7"/>
  <c r="AI769" i="7"/>
  <c r="AI768" i="7"/>
  <c r="AI767" i="7"/>
  <c r="AI766" i="7"/>
  <c r="AI765" i="7"/>
  <c r="AI764" i="7"/>
  <c r="AI763" i="7"/>
  <c r="AI762" i="7"/>
  <c r="AI761" i="7"/>
  <c r="AI760" i="7"/>
  <c r="AI759" i="7"/>
  <c r="AI758" i="7"/>
  <c r="AI757" i="7"/>
  <c r="AI756" i="7"/>
  <c r="AI755" i="7"/>
  <c r="AI754" i="7"/>
  <c r="AI753" i="7"/>
  <c r="AI752" i="7"/>
  <c r="AI751" i="7"/>
  <c r="AI750" i="7"/>
  <c r="AI749" i="7"/>
  <c r="AI748" i="7"/>
  <c r="AI747" i="7"/>
  <c r="AI746" i="7"/>
  <c r="AI745" i="7"/>
  <c r="AI744" i="7"/>
  <c r="AI743" i="7"/>
  <c r="AI742" i="7"/>
  <c r="AI741" i="7"/>
  <c r="AI740" i="7"/>
  <c r="AI739" i="7"/>
  <c r="AI738" i="7"/>
  <c r="AI737" i="7"/>
  <c r="AI736" i="7"/>
  <c r="AI735" i="7"/>
  <c r="AI734" i="7"/>
  <c r="AI733" i="7"/>
  <c r="AI732" i="7"/>
  <c r="AI731" i="7"/>
  <c r="AI730" i="7"/>
  <c r="AI729" i="7"/>
  <c r="AI728" i="7"/>
  <c r="AI727" i="7"/>
  <c r="AI726" i="7"/>
  <c r="AI725" i="7"/>
  <c r="AI724" i="7"/>
  <c r="AI723" i="7"/>
  <c r="AI722" i="7"/>
  <c r="AI721" i="7"/>
  <c r="AI720" i="7"/>
  <c r="AI719" i="7"/>
  <c r="AI718" i="7"/>
  <c r="AI717" i="7"/>
  <c r="AI716" i="7"/>
  <c r="AI715" i="7"/>
  <c r="AI714" i="7"/>
  <c r="AI713" i="7"/>
  <c r="AI712" i="7"/>
  <c r="AI711" i="7"/>
  <c r="AI710" i="7"/>
  <c r="AI709" i="7"/>
  <c r="AI708" i="7"/>
  <c r="AI707" i="7"/>
  <c r="AI706" i="7"/>
  <c r="AI705" i="7"/>
  <c r="AI704" i="7"/>
  <c r="AI703" i="7"/>
  <c r="AI702" i="7"/>
  <c r="AI701" i="7"/>
  <c r="AI700" i="7"/>
  <c r="AI699" i="7"/>
  <c r="AI698" i="7"/>
  <c r="AI697" i="7"/>
  <c r="AI696" i="7"/>
  <c r="AI695" i="7"/>
  <c r="AI433" i="7"/>
  <c r="AI426" i="7"/>
  <c r="AI425" i="7"/>
  <c r="AI424" i="7"/>
  <c r="AI423" i="7"/>
  <c r="AI422" i="7"/>
  <c r="AI421" i="7"/>
  <c r="AI420" i="7"/>
  <c r="AI418" i="7"/>
  <c r="AI417" i="7"/>
  <c r="AI416" i="7"/>
  <c r="AI415" i="7"/>
  <c r="AI414" i="7"/>
  <c r="AI413" i="7"/>
  <c r="AI412" i="7"/>
  <c r="AI411" i="7"/>
  <c r="AI410" i="7"/>
  <c r="AI409" i="7"/>
  <c r="AI408" i="7"/>
  <c r="AI406" i="7"/>
  <c r="AI405" i="7"/>
  <c r="AI404" i="7"/>
  <c r="AI403" i="7"/>
  <c r="AI402" i="7"/>
  <c r="AI401" i="7"/>
  <c r="AI399" i="7"/>
  <c r="AI398" i="7"/>
  <c r="AI397" i="7"/>
  <c r="AI396" i="7"/>
  <c r="AI395" i="7"/>
  <c r="AI394" i="7"/>
  <c r="AI393" i="7"/>
  <c r="AI382" i="7"/>
  <c r="AI381" i="7"/>
  <c r="AI380" i="7"/>
  <c r="AI379" i="7"/>
  <c r="AI378" i="7"/>
  <c r="AI376" i="7"/>
  <c r="AI375" i="7"/>
  <c r="AI374" i="7"/>
  <c r="AI373" i="7"/>
  <c r="AI372" i="7"/>
  <c r="AI371" i="7"/>
  <c r="AI370" i="7"/>
  <c r="AI369" i="7"/>
  <c r="AI367" i="7"/>
  <c r="AI366" i="7"/>
  <c r="AI365" i="7"/>
  <c r="AI364" i="7"/>
  <c r="AI363" i="7"/>
  <c r="AI362" i="7"/>
  <c r="AI361" i="7"/>
  <c r="AI360" i="7"/>
  <c r="AI358" i="7"/>
  <c r="AI356" i="7"/>
  <c r="AI355" i="7"/>
  <c r="AI354" i="7"/>
  <c r="AI353" i="7"/>
  <c r="AI352" i="7"/>
  <c r="AI351" i="7"/>
  <c r="AI350" i="7"/>
  <c r="AI349" i="7"/>
  <c r="AI348" i="7"/>
  <c r="AI347" i="7"/>
  <c r="AI346" i="7"/>
  <c r="AI345" i="7"/>
  <c r="AI344" i="7"/>
  <c r="AI343" i="7"/>
  <c r="AI342" i="7"/>
  <c r="AI341" i="7"/>
  <c r="AI339" i="7"/>
  <c r="AI338" i="7"/>
  <c r="AI337" i="7"/>
  <c r="AI336" i="7"/>
  <c r="AI335" i="7"/>
  <c r="AI333" i="7"/>
  <c r="AI330" i="7"/>
  <c r="AI329" i="7"/>
  <c r="AI328" i="7"/>
  <c r="AI324" i="7"/>
  <c r="AI323" i="7"/>
  <c r="AI322" i="7"/>
  <c r="AI321" i="7"/>
  <c r="AI320" i="7"/>
  <c r="AI319" i="7"/>
  <c r="AI318" i="7"/>
  <c r="AI317" i="7"/>
  <c r="AI316" i="7"/>
  <c r="AI315" i="7"/>
  <c r="AI314" i="7"/>
  <c r="AI313" i="7"/>
  <c r="AI312" i="7"/>
  <c r="AI310" i="7"/>
  <c r="AI309" i="7"/>
  <c r="AI307" i="7"/>
  <c r="AI306" i="7"/>
  <c r="AI305" i="7"/>
  <c r="AI303" i="7"/>
  <c r="AI301" i="7"/>
  <c r="AI300" i="7"/>
  <c r="AI298" i="7"/>
  <c r="AI297" i="7"/>
  <c r="AI294" i="7"/>
  <c r="AI293" i="7"/>
  <c r="AI292" i="7"/>
  <c r="AI289" i="7"/>
  <c r="AI287" i="7"/>
  <c r="AI286" i="7"/>
  <c r="AI285" i="7"/>
  <c r="AI284" i="7"/>
  <c r="AI283" i="7"/>
  <c r="AI282" i="7"/>
  <c r="AI281" i="7"/>
  <c r="AI279" i="7"/>
  <c r="AI278" i="7"/>
  <c r="AI277" i="7"/>
  <c r="AI275" i="7"/>
  <c r="AI274" i="7"/>
  <c r="AI273" i="7"/>
  <c r="AI272" i="7"/>
  <c r="AI271" i="7"/>
  <c r="AI270" i="7"/>
  <c r="AI269" i="7"/>
  <c r="AI268" i="7"/>
  <c r="AI267" i="7"/>
  <c r="AI266" i="7"/>
  <c r="AI265" i="7"/>
  <c r="AI264" i="7"/>
  <c r="AI263" i="7"/>
  <c r="AI262" i="7"/>
  <c r="AI261" i="7"/>
  <c r="AI260" i="7"/>
  <c r="AI259" i="7"/>
  <c r="AI258" i="7"/>
  <c r="AI257" i="7"/>
  <c r="AI256" i="7"/>
  <c r="AI255" i="7"/>
  <c r="AI254" i="7"/>
  <c r="AI251" i="7"/>
  <c r="AI250" i="7"/>
  <c r="AI249" i="7"/>
  <c r="AI247" i="7"/>
  <c r="AI229" i="7"/>
  <c r="AI228" i="7"/>
  <c r="AI226" i="7"/>
  <c r="AI222" i="7"/>
  <c r="AI221" i="7"/>
  <c r="AI201" i="7"/>
  <c r="AI200" i="7"/>
  <c r="AI199" i="7"/>
  <c r="AI198" i="7"/>
  <c r="AI197" i="7"/>
  <c r="AI196" i="7"/>
  <c r="AI195" i="7"/>
  <c r="AI194" i="7"/>
  <c r="AI193" i="7"/>
  <c r="AI192" i="7"/>
  <c r="AI191" i="7"/>
  <c r="AI190" i="7"/>
  <c r="AI189" i="7"/>
  <c r="AI188" i="7"/>
  <c r="AI187" i="7"/>
  <c r="AI186" i="7"/>
  <c r="AI185" i="7"/>
  <c r="AI158" i="7"/>
  <c r="AI153" i="7"/>
  <c r="AI149" i="7"/>
  <c r="AI141" i="7"/>
  <c r="AI139" i="7"/>
  <c r="AI138" i="7"/>
  <c r="AI135" i="7"/>
  <c r="AI134" i="7"/>
  <c r="AI133" i="7"/>
  <c r="AI132" i="7"/>
  <c r="AI131" i="7"/>
  <c r="AI130" i="7"/>
  <c r="AI129" i="7"/>
  <c r="AI128" i="7"/>
  <c r="AI124" i="7"/>
  <c r="AI123" i="7"/>
  <c r="AI122" i="7"/>
  <c r="AI120" i="7"/>
  <c r="AI119" i="7"/>
  <c r="AI117" i="7"/>
  <c r="AI116" i="7"/>
  <c r="AI115" i="7"/>
  <c r="AI114" i="7"/>
  <c r="AI113" i="7"/>
  <c r="AI111" i="7"/>
  <c r="AI110" i="7"/>
  <c r="AI109" i="7"/>
  <c r="AI108" i="7"/>
  <c r="AI107" i="7"/>
  <c r="AI106" i="7"/>
  <c r="AI105" i="7"/>
  <c r="AI104" i="7"/>
  <c r="AI103" i="7"/>
  <c r="AI102" i="7"/>
  <c r="AI101" i="7"/>
  <c r="AI99" i="7"/>
  <c r="AI98" i="7"/>
  <c r="AI97" i="7"/>
  <c r="AI96" i="7"/>
  <c r="AI95" i="7"/>
  <c r="AI94" i="7"/>
  <c r="AI93" i="7"/>
  <c r="AI92" i="7"/>
  <c r="AI91" i="7"/>
  <c r="AI90" i="7"/>
  <c r="AI88" i="7"/>
  <c r="AI87" i="7"/>
  <c r="AI86" i="7"/>
  <c r="AI85" i="7"/>
  <c r="AI84" i="7"/>
  <c r="AI83" i="7"/>
  <c r="AI82" i="7"/>
  <c r="AI81" i="7"/>
  <c r="AI80" i="7"/>
  <c r="AI78" i="7"/>
  <c r="AI77" i="7"/>
  <c r="AI76" i="7"/>
  <c r="AI75" i="7"/>
  <c r="AI74" i="7"/>
  <c r="AI73" i="7"/>
  <c r="AI72" i="7"/>
  <c r="AI71" i="7"/>
  <c r="AI70" i="7"/>
  <c r="AI68" i="7"/>
  <c r="AI67" i="7"/>
  <c r="AI66" i="7"/>
  <c r="AI65" i="7"/>
  <c r="AI64" i="7"/>
  <c r="AI63" i="7"/>
  <c r="AI62" i="7"/>
  <c r="AI61" i="7"/>
  <c r="AI60" i="7"/>
  <c r="AI59" i="7"/>
  <c r="AI58" i="7"/>
  <c r="AI57" i="7"/>
  <c r="AI56" i="7"/>
  <c r="AI55" i="7"/>
  <c r="AI54" i="7"/>
  <c r="AI53" i="7"/>
  <c r="AI52" i="7"/>
  <c r="AI51" i="7"/>
  <c r="AI50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2" i="7"/>
  <c r="AI31" i="7"/>
  <c r="AI30" i="7"/>
  <c r="AI29" i="7"/>
  <c r="AI28" i="7"/>
  <c r="AI27" i="7"/>
  <c r="AI26" i="7"/>
  <c r="AI25" i="7"/>
  <c r="AI23" i="7"/>
  <c r="AI22" i="7"/>
  <c r="AI21" i="7"/>
  <c r="AI20" i="7"/>
  <c r="AI19" i="7"/>
  <c r="AI17" i="7"/>
  <c r="AI16" i="7"/>
  <c r="AI14" i="7"/>
  <c r="AI13" i="7"/>
  <c r="AI12" i="7"/>
  <c r="AI11" i="7"/>
  <c r="AI10" i="7"/>
  <c r="AI9" i="7"/>
  <c r="AI8" i="7"/>
  <c r="AI7" i="7"/>
  <c r="AI6" i="7"/>
  <c r="AI5" i="7"/>
  <c r="AI4" i="7"/>
  <c r="AI3" i="7"/>
  <c r="AI2" i="7"/>
  <c r="AH1972" i="7"/>
  <c r="AH1971" i="7"/>
  <c r="AH1970" i="7"/>
  <c r="AH1969" i="7"/>
  <c r="AH1965" i="7"/>
  <c r="AH1964" i="7"/>
  <c r="AH1963" i="7"/>
  <c r="AH1962" i="7"/>
  <c r="AH1961" i="7"/>
  <c r="AH1960" i="7"/>
  <c r="AH1959" i="7"/>
  <c r="AH1958" i="7"/>
  <c r="AH1957" i="7"/>
  <c r="AH1956" i="7"/>
  <c r="AH1955" i="7"/>
  <c r="AH1954" i="7"/>
  <c r="AH1953" i="7"/>
  <c r="AH1952" i="7"/>
  <c r="AH1951" i="7"/>
  <c r="AH1948" i="7"/>
  <c r="AH1946" i="7"/>
  <c r="AH1945" i="7"/>
  <c r="AH1944" i="7"/>
  <c r="AH1943" i="7"/>
  <c r="AH1930" i="7"/>
  <c r="AH1929" i="7"/>
  <c r="AH1928" i="7"/>
  <c r="AH1926" i="7"/>
  <c r="AH1925" i="7"/>
  <c r="AH1924" i="7"/>
  <c r="AH1923" i="7"/>
  <c r="AH1922" i="7"/>
  <c r="AH1921" i="7"/>
  <c r="AH1920" i="7"/>
  <c r="AH1919" i="7"/>
  <c r="AH1918" i="7"/>
  <c r="AH1917" i="7"/>
  <c r="AH1916" i="7"/>
  <c r="AH1915" i="7"/>
  <c r="AH1914" i="7"/>
  <c r="AH1912" i="7"/>
  <c r="AH1909" i="7"/>
  <c r="AH1908" i="7"/>
  <c r="AH1907" i="7"/>
  <c r="AH1906" i="7"/>
  <c r="AH1905" i="7"/>
  <c r="AH1904" i="7"/>
  <c r="AH1901" i="7"/>
  <c r="AH1898" i="7"/>
  <c r="AH1895" i="7"/>
  <c r="AH1894" i="7"/>
  <c r="AH1891" i="7"/>
  <c r="AH1889" i="7"/>
  <c r="AH1886" i="7"/>
  <c r="AH1885" i="7"/>
  <c r="AH1884" i="7"/>
  <c r="AH1883" i="7"/>
  <c r="AH1881" i="7"/>
  <c r="AH1879" i="7"/>
  <c r="AH1878" i="7"/>
  <c r="AH1877" i="7"/>
  <c r="AH1876" i="7"/>
  <c r="AH1875" i="7"/>
  <c r="AH1874" i="7"/>
  <c r="AH1873" i="7"/>
  <c r="AH1872" i="7"/>
  <c r="AH1871" i="7"/>
  <c r="AH1870" i="7"/>
  <c r="AH1869" i="7"/>
  <c r="AH1868" i="7"/>
  <c r="AH1867" i="7"/>
  <c r="AH1866" i="7"/>
  <c r="AH1865" i="7"/>
  <c r="AH1864" i="7"/>
  <c r="AH1863" i="7"/>
  <c r="AH1855" i="7"/>
  <c r="AH1854" i="7"/>
  <c r="AH1853" i="7"/>
  <c r="AH1852" i="7"/>
  <c r="AH1851" i="7"/>
  <c r="AH1850" i="7"/>
  <c r="AH1849" i="7"/>
  <c r="AH1848" i="7"/>
  <c r="AH1829" i="7"/>
  <c r="AH1828" i="7"/>
  <c r="AH1827" i="7"/>
  <c r="AH1826" i="7"/>
  <c r="AH1825" i="7"/>
  <c r="AH1824" i="7"/>
  <c r="AH1823" i="7"/>
  <c r="AH1822" i="7"/>
  <c r="AH1821" i="7"/>
  <c r="AH1820" i="7"/>
  <c r="AH1819" i="7"/>
  <c r="AH1818" i="7"/>
  <c r="AH1817" i="7"/>
  <c r="AH1816" i="7"/>
  <c r="AH1815" i="7"/>
  <c r="AH1814" i="7"/>
  <c r="AH1813" i="7"/>
  <c r="AH1812" i="7"/>
  <c r="AH1811" i="7"/>
  <c r="AH1810" i="7"/>
  <c r="AH1809" i="7"/>
  <c r="AH1808" i="7"/>
  <c r="AH1807" i="7"/>
  <c r="AH1806" i="7"/>
  <c r="AH1805" i="7"/>
  <c r="AH1803" i="7"/>
  <c r="AH1802" i="7"/>
  <c r="AH1800" i="7"/>
  <c r="AH1799" i="7"/>
  <c r="AH1797" i="7"/>
  <c r="AH1796" i="7"/>
  <c r="AH1795" i="7"/>
  <c r="AH1794" i="7"/>
  <c r="AH1793" i="7"/>
  <c r="AH1792" i="7"/>
  <c r="AH1791" i="7"/>
  <c r="AH1790" i="7"/>
  <c r="AH1789" i="7"/>
  <c r="AH1788" i="7"/>
  <c r="AH1787" i="7"/>
  <c r="AH1786" i="7"/>
  <c r="AH1755" i="7"/>
  <c r="AH1754" i="7"/>
  <c r="AH1743" i="7"/>
  <c r="AH1736" i="7"/>
  <c r="AH1704" i="7"/>
  <c r="AH1703" i="7"/>
  <c r="AH1702" i="7"/>
  <c r="AH1701" i="7"/>
  <c r="AH1700" i="7"/>
  <c r="AH1699" i="7"/>
  <c r="AH1698" i="7"/>
  <c r="AH1697" i="7"/>
  <c r="AH1696" i="7"/>
  <c r="AH1695" i="7"/>
  <c r="AH1694" i="7"/>
  <c r="AH1692" i="7"/>
  <c r="AH1691" i="7"/>
  <c r="AH1690" i="7"/>
  <c r="AH1689" i="7"/>
  <c r="AH1688" i="7"/>
  <c r="AH1687" i="7"/>
  <c r="AH1686" i="7"/>
  <c r="AH1685" i="7"/>
  <c r="AH1684" i="7"/>
  <c r="AH1683" i="7"/>
  <c r="AH1682" i="7"/>
  <c r="AH1681" i="7"/>
  <c r="AH1680" i="7"/>
  <c r="AH1679" i="7"/>
  <c r="AH1678" i="7"/>
  <c r="AH1677" i="7"/>
  <c r="AH1676" i="7"/>
  <c r="AH1675" i="7"/>
  <c r="AH1674" i="7"/>
  <c r="AH1673" i="7"/>
  <c r="AH1672" i="7"/>
  <c r="AH1671" i="7"/>
  <c r="AH1670" i="7"/>
  <c r="AH1669" i="7"/>
  <c r="AH1668" i="7"/>
  <c r="AH1667" i="7"/>
  <c r="AH1666" i="7"/>
  <c r="AH1665" i="7"/>
  <c r="AH1659" i="7"/>
  <c r="AH1658" i="7"/>
  <c r="AH1657" i="7"/>
  <c r="AH1656" i="7"/>
  <c r="AH1655" i="7"/>
  <c r="AH1654" i="7"/>
  <c r="AH1653" i="7"/>
  <c r="AH1652" i="7"/>
  <c r="AH1651" i="7"/>
  <c r="AH1650" i="7"/>
  <c r="AH1649" i="7"/>
  <c r="AH1648" i="7"/>
  <c r="AH1647" i="7"/>
  <c r="AH1646" i="7"/>
  <c r="AH1645" i="7"/>
  <c r="AH1644" i="7"/>
  <c r="AH1643" i="7"/>
  <c r="AH1642" i="7"/>
  <c r="AH1641" i="7"/>
  <c r="AH1640" i="7"/>
  <c r="AH1639" i="7"/>
  <c r="AH1638" i="7"/>
  <c r="AH1637" i="7"/>
  <c r="AH1636" i="7"/>
  <c r="AH1635" i="7"/>
  <c r="AH1634" i="7"/>
  <c r="AH1633" i="7"/>
  <c r="AH1632" i="7"/>
  <c r="AH1631" i="7"/>
  <c r="AH1630" i="7"/>
  <c r="AH1629" i="7"/>
  <c r="AH1628" i="7"/>
  <c r="AH1627" i="7"/>
  <c r="AH1626" i="7"/>
  <c r="AH1625" i="7"/>
  <c r="AH1624" i="7"/>
  <c r="AH1623" i="7"/>
  <c r="AH1622" i="7"/>
  <c r="AH1621" i="7"/>
  <c r="AH1620" i="7"/>
  <c r="AH1619" i="7"/>
  <c r="AH1618" i="7"/>
  <c r="AH1617" i="7"/>
  <c r="AH1616" i="7"/>
  <c r="AH1615" i="7"/>
  <c r="AH1614" i="7"/>
  <c r="AH1613" i="7"/>
  <c r="AH1612" i="7"/>
  <c r="AH1611" i="7"/>
  <c r="AH1610" i="7"/>
  <c r="AH1609" i="7"/>
  <c r="AH1608" i="7"/>
  <c r="AH1606" i="7"/>
  <c r="AH1605" i="7"/>
  <c r="AH1604" i="7"/>
  <c r="AH1603" i="7"/>
  <c r="AH1602" i="7"/>
  <c r="AH1601" i="7"/>
  <c r="AH1600" i="7"/>
  <c r="AH1598" i="7"/>
  <c r="AH1597" i="7"/>
  <c r="AH1596" i="7"/>
  <c r="AH1595" i="7"/>
  <c r="AH1594" i="7"/>
  <c r="AH1593" i="7"/>
  <c r="AH1592" i="7"/>
  <c r="AH1591" i="7"/>
  <c r="AH1590" i="7"/>
  <c r="AH1589" i="7"/>
  <c r="AH1588" i="7"/>
  <c r="AH1587" i="7"/>
  <c r="AH1586" i="7"/>
  <c r="AH1585" i="7"/>
  <c r="AH1584" i="7"/>
  <c r="AH1583" i="7"/>
  <c r="AH1582" i="7"/>
  <c r="AH1581" i="7"/>
  <c r="AH1580" i="7"/>
  <c r="AH1579" i="7"/>
  <c r="AH1578" i="7"/>
  <c r="AH1577" i="7"/>
  <c r="AH1576" i="7"/>
  <c r="AH1575" i="7"/>
  <c r="AH1574" i="7"/>
  <c r="AH1573" i="7"/>
  <c r="AH1572" i="7"/>
  <c r="AH1571" i="7"/>
  <c r="AH1570" i="7"/>
  <c r="AH1569" i="7"/>
  <c r="AH1568" i="7"/>
  <c r="AH1567" i="7"/>
  <c r="AH1566" i="7"/>
  <c r="AH1561" i="7"/>
  <c r="AH1560" i="7"/>
  <c r="AH1559" i="7"/>
  <c r="AH1558" i="7"/>
  <c r="AH1557" i="7"/>
  <c r="AH1556" i="7"/>
  <c r="AH1555" i="7"/>
  <c r="AH1554" i="7"/>
  <c r="AH1551" i="7"/>
  <c r="AH1549" i="7"/>
  <c r="AH1548" i="7"/>
  <c r="AH1546" i="7"/>
  <c r="AH1545" i="7"/>
  <c r="AH1544" i="7"/>
  <c r="AH1543" i="7"/>
  <c r="AH1542" i="7"/>
  <c r="AH1541" i="7"/>
  <c r="AH1540" i="7"/>
  <c r="AH1539" i="7"/>
  <c r="AH1538" i="7"/>
  <c r="AH1537" i="7"/>
  <c r="AH1536" i="7"/>
  <c r="AH1535" i="7"/>
  <c r="AH1534" i="7"/>
  <c r="AH1533" i="7"/>
  <c r="AH1532" i="7"/>
  <c r="AH1531" i="7"/>
  <c r="AH1530" i="7"/>
  <c r="AH1529" i="7"/>
  <c r="AH1528" i="7"/>
  <c r="AH1527" i="7"/>
  <c r="AH1526" i="7"/>
  <c r="AH1525" i="7"/>
  <c r="AH1524" i="7"/>
  <c r="AH1523" i="7"/>
  <c r="AH1522" i="7"/>
  <c r="AH1521" i="7"/>
  <c r="AH1520" i="7"/>
  <c r="AH1519" i="7"/>
  <c r="AH1518" i="7"/>
  <c r="AH1517" i="7"/>
  <c r="AH1516" i="7"/>
  <c r="AH1515" i="7"/>
  <c r="AH1514" i="7"/>
  <c r="AH1513" i="7"/>
  <c r="AH1512" i="7"/>
  <c r="AH1511" i="7"/>
  <c r="AH1510" i="7"/>
  <c r="AH1509" i="7"/>
  <c r="AH1508" i="7"/>
  <c r="AH1507" i="7"/>
  <c r="AH1506" i="7"/>
  <c r="AH1504" i="7"/>
  <c r="AH1503" i="7"/>
  <c r="AH1502" i="7"/>
  <c r="AH1501" i="7"/>
  <c r="AH1500" i="7"/>
  <c r="AH1499" i="7"/>
  <c r="AH1498" i="7"/>
  <c r="AH1497" i="7"/>
  <c r="AH1496" i="7"/>
  <c r="AH1495" i="7"/>
  <c r="AH1494" i="7"/>
  <c r="AH1493" i="7"/>
  <c r="AH1492" i="7"/>
  <c r="AH1489" i="7"/>
  <c r="AH1488" i="7"/>
  <c r="AH1487" i="7"/>
  <c r="AH1486" i="7"/>
  <c r="AH1485" i="7"/>
  <c r="AH1484" i="7"/>
  <c r="AH1483" i="7"/>
  <c r="AH1482" i="7"/>
  <c r="AH1481" i="7"/>
  <c r="AH1480" i="7"/>
  <c r="AH1479" i="7"/>
  <c r="AH1478" i="7"/>
  <c r="AH1477" i="7"/>
  <c r="AH1476" i="7"/>
  <c r="AH1473" i="7"/>
  <c r="AH1472" i="7"/>
  <c r="AH1471" i="7"/>
  <c r="AH1470" i="7"/>
  <c r="AH1469" i="7"/>
  <c r="AH1468" i="7"/>
  <c r="AH1467" i="7"/>
  <c r="AH1466" i="7"/>
  <c r="AH1465" i="7"/>
  <c r="AH1464" i="7"/>
  <c r="AH1463" i="7"/>
  <c r="AH1462" i="7"/>
  <c r="AH1461" i="7"/>
  <c r="AH1460" i="7"/>
  <c r="AH1459" i="7"/>
  <c r="AH1456" i="7"/>
  <c r="AH1455" i="7"/>
  <c r="AH1454" i="7"/>
  <c r="AH1453" i="7"/>
  <c r="AH1452" i="7"/>
  <c r="AH1451" i="7"/>
  <c r="AH1450" i="7"/>
  <c r="AH1449" i="7"/>
  <c r="AH1448" i="7"/>
  <c r="AH1447" i="7"/>
  <c r="AH1446" i="7"/>
  <c r="AH1445" i="7"/>
  <c r="AH1442" i="7"/>
  <c r="AH1441" i="7"/>
  <c r="AH1440" i="7"/>
  <c r="AH1439" i="7"/>
  <c r="AH1438" i="7"/>
  <c r="AH1437" i="7"/>
  <c r="AH1436" i="7"/>
  <c r="AH1435" i="7"/>
  <c r="AH1434" i="7"/>
  <c r="AH1433" i="7"/>
  <c r="AH1432" i="7"/>
  <c r="AH1431" i="7"/>
  <c r="AH1430" i="7"/>
  <c r="AH1429" i="7"/>
  <c r="AH1428" i="7"/>
  <c r="AH1427" i="7"/>
  <c r="AH1426" i="7"/>
  <c r="AH1425" i="7"/>
  <c r="AH1424" i="7"/>
  <c r="AH1423" i="7"/>
  <c r="AH1422" i="7"/>
  <c r="AH1421" i="7"/>
  <c r="AH1419" i="7"/>
  <c r="AH1418" i="7"/>
  <c r="AH1417" i="7"/>
  <c r="AH1416" i="7"/>
  <c r="AH1415" i="7"/>
  <c r="AH1414" i="7"/>
  <c r="AH1413" i="7"/>
  <c r="AH1412" i="7"/>
  <c r="AH1411" i="7"/>
  <c r="AH1410" i="7"/>
  <c r="AH1409" i="7"/>
  <c r="AH1408" i="7"/>
  <c r="AH1407" i="7"/>
  <c r="AH1406" i="7"/>
  <c r="AH1405" i="7"/>
  <c r="AH1404" i="7"/>
  <c r="AH1403" i="7"/>
  <c r="AH1402" i="7"/>
  <c r="AH1401" i="7"/>
  <c r="AH1400" i="7"/>
  <c r="AH1399" i="7"/>
  <c r="AH1398" i="7"/>
  <c r="AH1397" i="7"/>
  <c r="AH1396" i="7"/>
  <c r="AH1395" i="7"/>
  <c r="AH1394" i="7"/>
  <c r="AH1393" i="7"/>
  <c r="AH1392" i="7"/>
  <c r="AH1391" i="7"/>
  <c r="AH1390" i="7"/>
  <c r="AH1389" i="7"/>
  <c r="AH1388" i="7"/>
  <c r="AH1378" i="7"/>
  <c r="AH1377" i="7"/>
  <c r="AH1374" i="7"/>
  <c r="AH1370" i="7"/>
  <c r="AH1369" i="7"/>
  <c r="AH1368" i="7"/>
  <c r="AH1367" i="7"/>
  <c r="AH1366" i="7"/>
  <c r="AH1365" i="7"/>
  <c r="AH1364" i="7"/>
  <c r="AH1363" i="7"/>
  <c r="AH1362" i="7"/>
  <c r="AH1361" i="7"/>
  <c r="AH1360" i="7"/>
  <c r="AH1359" i="7"/>
  <c r="AH1358" i="7"/>
  <c r="AH1357" i="7"/>
  <c r="AH1356" i="7"/>
  <c r="AH1355" i="7"/>
  <c r="AH1354" i="7"/>
  <c r="AH1353" i="7"/>
  <c r="AH1352" i="7"/>
  <c r="AH1351" i="7"/>
  <c r="AH1350" i="7"/>
  <c r="AH1349" i="7"/>
  <c r="AH1348" i="7"/>
  <c r="AH1347" i="7"/>
  <c r="AH1346" i="7"/>
  <c r="AH1345" i="7"/>
  <c r="AH1344" i="7"/>
  <c r="AH1343" i="7"/>
  <c r="AH1342" i="7"/>
  <c r="AH1341" i="7"/>
  <c r="AH1340" i="7"/>
  <c r="AH1339" i="7"/>
  <c r="AH1338" i="7"/>
  <c r="AH1337" i="7"/>
  <c r="AH1336" i="7"/>
  <c r="AH1335" i="7"/>
  <c r="AH1334" i="7"/>
  <c r="AH1332" i="7"/>
  <c r="AH1328" i="7"/>
  <c r="AH1327" i="7"/>
  <c r="AH1326" i="7"/>
  <c r="AH1325" i="7"/>
  <c r="AH1324" i="7"/>
  <c r="AH1323" i="7"/>
  <c r="AH1322" i="7"/>
  <c r="AH1321" i="7"/>
  <c r="AH1320" i="7"/>
  <c r="AH1319" i="7"/>
  <c r="AH1318" i="7"/>
  <c r="AH1317" i="7"/>
  <c r="AH1316" i="7"/>
  <c r="AH1315" i="7"/>
  <c r="AH1314" i="7"/>
  <c r="AH1313" i="7"/>
  <c r="AH1312" i="7"/>
  <c r="AH1311" i="7"/>
  <c r="AH1310" i="7"/>
  <c r="AH1309" i="7"/>
  <c r="AH1308" i="7"/>
  <c r="AH1307" i="7"/>
  <c r="AH1306" i="7"/>
  <c r="AH1305" i="7"/>
  <c r="AH1304" i="7"/>
  <c r="AH1303" i="7"/>
  <c r="AH1302" i="7"/>
  <c r="AH1301" i="7"/>
  <c r="AH1300" i="7"/>
  <c r="AH1299" i="7"/>
  <c r="AH1298" i="7"/>
  <c r="AH1297" i="7"/>
  <c r="AH1296" i="7"/>
  <c r="AH1295" i="7"/>
  <c r="AH1294" i="7"/>
  <c r="AH1293" i="7"/>
  <c r="AH1292" i="7"/>
  <c r="AH1291" i="7"/>
  <c r="AH1290" i="7"/>
  <c r="AH1289" i="7"/>
  <c r="AH1288" i="7"/>
  <c r="AH1287" i="7"/>
  <c r="AH1286" i="7"/>
  <c r="AH1285" i="7"/>
  <c r="AH1284" i="7"/>
  <c r="AH1283" i="7"/>
  <c r="AH1282" i="7"/>
  <c r="AH1281" i="7"/>
  <c r="AH1280" i="7"/>
  <c r="AH1279" i="7"/>
  <c r="AH1278" i="7"/>
  <c r="AH1277" i="7"/>
  <c r="AH1276" i="7"/>
  <c r="AH1275" i="7"/>
  <c r="AH1274" i="7"/>
  <c r="AH1273" i="7"/>
  <c r="AH1272" i="7"/>
  <c r="AH1271" i="7"/>
  <c r="AH1270" i="7"/>
  <c r="AH1269" i="7"/>
  <c r="AH1268" i="7"/>
  <c r="AH1267" i="7"/>
  <c r="AH1266" i="7"/>
  <c r="AH1265" i="7"/>
  <c r="AH1264" i="7"/>
  <c r="AH1263" i="7"/>
  <c r="AH1262" i="7"/>
  <c r="AH1261" i="7"/>
  <c r="AH1260" i="7"/>
  <c r="AH1259" i="7"/>
  <c r="AH1258" i="7"/>
  <c r="AH1257" i="7"/>
  <c r="AH1256" i="7"/>
  <c r="AH1255" i="7"/>
  <c r="AH1254" i="7"/>
  <c r="AH1253" i="7"/>
  <c r="AH1252" i="7"/>
  <c r="AH1251" i="7"/>
  <c r="AH1250" i="7"/>
  <c r="AH1249" i="7"/>
  <c r="AH1248" i="7"/>
  <c r="AH1247" i="7"/>
  <c r="AH1246" i="7"/>
  <c r="AH1245" i="7"/>
  <c r="AH1244" i="7"/>
  <c r="AH1243" i="7"/>
  <c r="AH1242" i="7"/>
  <c r="AH1241" i="7"/>
  <c r="AH1240" i="7"/>
  <c r="AH1239" i="7"/>
  <c r="AH1238" i="7"/>
  <c r="AH1237" i="7"/>
  <c r="AH1236" i="7"/>
  <c r="AH1235" i="7"/>
  <c r="AH1234" i="7"/>
  <c r="AH1233" i="7"/>
  <c r="AH1232" i="7"/>
  <c r="AH1231" i="7"/>
  <c r="AH1230" i="7"/>
  <c r="AH1229" i="7"/>
  <c r="AH1228" i="7"/>
  <c r="AH1227" i="7"/>
  <c r="AH1226" i="7"/>
  <c r="AH1225" i="7"/>
  <c r="AH1224" i="7"/>
  <c r="AH1223" i="7"/>
  <c r="AH1222" i="7"/>
  <c r="AH1221" i="7"/>
  <c r="AH1220" i="7"/>
  <c r="AH1219" i="7"/>
  <c r="AH1218" i="7"/>
  <c r="AH1217" i="7"/>
  <c r="AH1216" i="7"/>
  <c r="AH1215" i="7"/>
  <c r="AH1214" i="7"/>
  <c r="AH1213" i="7"/>
  <c r="AH1212" i="7"/>
  <c r="AH1211" i="7"/>
  <c r="AH1210" i="7"/>
  <c r="AH1209" i="7"/>
  <c r="AH1208" i="7"/>
  <c r="AH1207" i="7"/>
  <c r="AH1206" i="7"/>
  <c r="AH1202" i="7"/>
  <c r="AH1200" i="7"/>
  <c r="AH1193" i="7"/>
  <c r="AH1192" i="7"/>
  <c r="AH1191" i="7"/>
  <c r="AH1190" i="7"/>
  <c r="AH1189" i="7"/>
  <c r="AH1188" i="7"/>
  <c r="AH1187" i="7"/>
  <c r="AH1186" i="7"/>
  <c r="AH1185" i="7"/>
  <c r="AH1184" i="7"/>
  <c r="AH1183" i="7"/>
  <c r="AH1182" i="7"/>
  <c r="AH1181" i="7"/>
  <c r="AH1180" i="7"/>
  <c r="AH1179" i="7"/>
  <c r="AH1178" i="7"/>
  <c r="AH1177" i="7"/>
  <c r="AH1170" i="7"/>
  <c r="AH1165" i="7"/>
  <c r="AH1164" i="7"/>
  <c r="AH1152" i="7"/>
  <c r="AH1133" i="7"/>
  <c r="AH1124" i="7"/>
  <c r="AH1114" i="7"/>
  <c r="AH1112" i="7"/>
  <c r="AH1099" i="7"/>
  <c r="AH1097" i="7"/>
  <c r="AH1096" i="7"/>
  <c r="AH1095" i="7"/>
  <c r="AH1094" i="7"/>
  <c r="AH1093" i="7"/>
  <c r="AH1092" i="7"/>
  <c r="AH1091" i="7"/>
  <c r="AH1090" i="7"/>
  <c r="AH1089" i="7"/>
  <c r="AH1088" i="7"/>
  <c r="AH1087" i="7"/>
  <c r="AH1086" i="7"/>
  <c r="AH1084" i="7"/>
  <c r="AH1077" i="7"/>
  <c r="AH1069" i="7"/>
  <c r="AH1068" i="7"/>
  <c r="AH1067" i="7"/>
  <c r="AH1066" i="7"/>
  <c r="AH1065" i="7"/>
  <c r="AH1064" i="7"/>
  <c r="AH1063" i="7"/>
  <c r="AH1062" i="7"/>
  <c r="AH1061" i="7"/>
  <c r="AH1060" i="7"/>
  <c r="AH1059" i="7"/>
  <c r="AH1058" i="7"/>
  <c r="AH1057" i="7"/>
  <c r="AH1056" i="7"/>
  <c r="AH1055" i="7"/>
  <c r="AH1054" i="7"/>
  <c r="AH1053" i="7"/>
  <c r="AH1052" i="7"/>
  <c r="AH1051" i="7"/>
  <c r="AH1050" i="7"/>
  <c r="AH1049" i="7"/>
  <c r="AH1048" i="7"/>
  <c r="AH1047" i="7"/>
  <c r="AH1046" i="7"/>
  <c r="AH1045" i="7"/>
  <c r="AH1044" i="7"/>
  <c r="AH1043" i="7"/>
  <c r="AH1042" i="7"/>
  <c r="AH1041" i="7"/>
  <c r="AH1040" i="7"/>
  <c r="AH1039" i="7"/>
  <c r="AH1038" i="7"/>
  <c r="AH1037" i="7"/>
  <c r="AH1036" i="7"/>
  <c r="AH1035" i="7"/>
  <c r="AH1034" i="7"/>
  <c r="AH1033" i="7"/>
  <c r="AH1032" i="7"/>
  <c r="AH1031" i="7"/>
  <c r="AH1030" i="7"/>
  <c r="AH1029" i="7"/>
  <c r="AH1028" i="7"/>
  <c r="AH1027" i="7"/>
  <c r="AH1026" i="7"/>
  <c r="AH1025" i="7"/>
  <c r="AH1024" i="7"/>
  <c r="AH1023" i="7"/>
  <c r="AH1022" i="7"/>
  <c r="AH1021" i="7"/>
  <c r="AH1020" i="7"/>
  <c r="AH1019" i="7"/>
  <c r="AH1018" i="7"/>
  <c r="AH1017" i="7"/>
  <c r="AH1016" i="7"/>
  <c r="AH1015" i="7"/>
  <c r="AH1014" i="7"/>
  <c r="AH1013" i="7"/>
  <c r="AH1012" i="7"/>
  <c r="AH1011" i="7"/>
  <c r="AH1010" i="7"/>
  <c r="AH1009" i="7"/>
  <c r="AH1008" i="7"/>
  <c r="AH1007" i="7"/>
  <c r="AH1006" i="7"/>
  <c r="AH1005" i="7"/>
  <c r="AH1004" i="7"/>
  <c r="AH1003" i="7"/>
  <c r="AH1002" i="7"/>
  <c r="AH1001" i="7"/>
  <c r="AH1000" i="7"/>
  <c r="AH999" i="7"/>
  <c r="AH995" i="7"/>
  <c r="AH992" i="7"/>
  <c r="AH991" i="7"/>
  <c r="AH990" i="7"/>
  <c r="AH987" i="7"/>
  <c r="AH986" i="7"/>
  <c r="AH985" i="7"/>
  <c r="AH984" i="7"/>
  <c r="AH983" i="7"/>
  <c r="AH982" i="7"/>
  <c r="AH981" i="7"/>
  <c r="AH980" i="7"/>
  <c r="AH979" i="7"/>
  <c r="AH978" i="7"/>
  <c r="AH977" i="7"/>
  <c r="AH975" i="7"/>
  <c r="AH974" i="7"/>
  <c r="AH973" i="7"/>
  <c r="AH972" i="7"/>
  <c r="AH971" i="7"/>
  <c r="AH970" i="7"/>
  <c r="AH969" i="7"/>
  <c r="AH968" i="7"/>
  <c r="AH967" i="7"/>
  <c r="AH966" i="7"/>
  <c r="AH965" i="7"/>
  <c r="AH964" i="7"/>
  <c r="AH963" i="7"/>
  <c r="AH962" i="7"/>
  <c r="AH961" i="7"/>
  <c r="AH960" i="7"/>
  <c r="AH959" i="7"/>
  <c r="AH958" i="7"/>
  <c r="AH957" i="7"/>
  <c r="AH956" i="7"/>
  <c r="AH955" i="7"/>
  <c r="AH954" i="7"/>
  <c r="AH953" i="7"/>
  <c r="AH952" i="7"/>
  <c r="AH951" i="7"/>
  <c r="AH950" i="7"/>
  <c r="AH949" i="7"/>
  <c r="AH948" i="7"/>
  <c r="AH947" i="7"/>
  <c r="AH946" i="7"/>
  <c r="AH945" i="7"/>
  <c r="AH944" i="7"/>
  <c r="AH943" i="7"/>
  <c r="AH942" i="7"/>
  <c r="AH941" i="7"/>
  <c r="AH940" i="7"/>
  <c r="AH939" i="7"/>
  <c r="AH938" i="7"/>
  <c r="AH937" i="7"/>
  <c r="AH936" i="7"/>
  <c r="AH935" i="7"/>
  <c r="AH934" i="7"/>
  <c r="AH933" i="7"/>
  <c r="AH929" i="7"/>
  <c r="AH926" i="7"/>
  <c r="AH924" i="7"/>
  <c r="AH923" i="7"/>
  <c r="AH922" i="7"/>
  <c r="AH921" i="7"/>
  <c r="AH920" i="7"/>
  <c r="AH919" i="7"/>
  <c r="AH918" i="7"/>
  <c r="AH917" i="7"/>
  <c r="AH916" i="7"/>
  <c r="AH915" i="7"/>
  <c r="AH914" i="7"/>
  <c r="AH913" i="7"/>
  <c r="AH912" i="7"/>
  <c r="AH911" i="7"/>
  <c r="AH910" i="7"/>
  <c r="AH909" i="7"/>
  <c r="AH908" i="7"/>
  <c r="AH907" i="7"/>
  <c r="AH906" i="7"/>
  <c r="AH905" i="7"/>
  <c r="AH904" i="7"/>
  <c r="AH903" i="7"/>
  <c r="AH902" i="7"/>
  <c r="AH901" i="7"/>
  <c r="AH900" i="7"/>
  <c r="AH899" i="7"/>
  <c r="AH897" i="7"/>
  <c r="AH896" i="7"/>
  <c r="AH895" i="7"/>
  <c r="AH894" i="7"/>
  <c r="AH893" i="7"/>
  <c r="AH892" i="7"/>
  <c r="AH891" i="7"/>
  <c r="AH890" i="7"/>
  <c r="AH889" i="7"/>
  <c r="AH888" i="7"/>
  <c r="AH887" i="7"/>
  <c r="AH886" i="7"/>
  <c r="AH885" i="7"/>
  <c r="AH884" i="7"/>
  <c r="AH883" i="7"/>
  <c r="AH882" i="7"/>
  <c r="AH881" i="7"/>
  <c r="AH880" i="7"/>
  <c r="AH879" i="7"/>
  <c r="AH878" i="7"/>
  <c r="AH877" i="7"/>
  <c r="AH876" i="7"/>
  <c r="AH875" i="7"/>
  <c r="AH874" i="7"/>
  <c r="AH873" i="7"/>
  <c r="AH872" i="7"/>
  <c r="AH871" i="7"/>
  <c r="AH870" i="7"/>
  <c r="AH869" i="7"/>
  <c r="AH868" i="7"/>
  <c r="AH867" i="7"/>
  <c r="AH866" i="7"/>
  <c r="AH865" i="7"/>
  <c r="AH864" i="7"/>
  <c r="AH863" i="7"/>
  <c r="AH862" i="7"/>
  <c r="AH861" i="7"/>
  <c r="AH860" i="7"/>
  <c r="AH859" i="7"/>
  <c r="AH858" i="7"/>
  <c r="AH857" i="7"/>
  <c r="AH856" i="7"/>
  <c r="AH855" i="7"/>
  <c r="AH854" i="7"/>
  <c r="AH851" i="7"/>
  <c r="AH850" i="7"/>
  <c r="AH849" i="7"/>
  <c r="AH848" i="7"/>
  <c r="AH847" i="7"/>
  <c r="AH846" i="7"/>
  <c r="AH845" i="7"/>
  <c r="AH844" i="7"/>
  <c r="AH843" i="7"/>
  <c r="AH842" i="7"/>
  <c r="AH841" i="7"/>
  <c r="AH840" i="7"/>
  <c r="AH839" i="7"/>
  <c r="AH838" i="7"/>
  <c r="AH837" i="7"/>
  <c r="AH836" i="7"/>
  <c r="AH835" i="7"/>
  <c r="AH834" i="7"/>
  <c r="AH833" i="7"/>
  <c r="AH832" i="7"/>
  <c r="AH831" i="7"/>
  <c r="AH830" i="7"/>
  <c r="AH829" i="7"/>
  <c r="AH828" i="7"/>
  <c r="AH827" i="7"/>
  <c r="AH826" i="7"/>
  <c r="AH825" i="7"/>
  <c r="AH824" i="7"/>
  <c r="AH823" i="7"/>
  <c r="AH822" i="7"/>
  <c r="AH821" i="7"/>
  <c r="AH820" i="7"/>
  <c r="AH819" i="7"/>
  <c r="AH818" i="7"/>
  <c r="AH817" i="7"/>
  <c r="AH816" i="7"/>
  <c r="AH815" i="7"/>
  <c r="AH814" i="7"/>
  <c r="AH813" i="7"/>
  <c r="AH812" i="7"/>
  <c r="AH811" i="7"/>
  <c r="AH810" i="7"/>
  <c r="AH809" i="7"/>
  <c r="AH808" i="7"/>
  <c r="AH807" i="7"/>
  <c r="AH806" i="7"/>
  <c r="AH805" i="7"/>
  <c r="AH804" i="7"/>
  <c r="AH803" i="7"/>
  <c r="AH802" i="7"/>
  <c r="AH801" i="7"/>
  <c r="AH800" i="7"/>
  <c r="AH799" i="7"/>
  <c r="AH798" i="7"/>
  <c r="AH797" i="7"/>
  <c r="AH796" i="7"/>
  <c r="AH795" i="7"/>
  <c r="AH794" i="7"/>
  <c r="AH793" i="7"/>
  <c r="AH792" i="7"/>
  <c r="AH791" i="7"/>
  <c r="AH790" i="7"/>
  <c r="AH789" i="7"/>
  <c r="AH788" i="7"/>
  <c r="AH787" i="7"/>
  <c r="AH786" i="7"/>
  <c r="AH785" i="7"/>
  <c r="AH784" i="7"/>
  <c r="AH783" i="7"/>
  <c r="AH782" i="7"/>
  <c r="AH781" i="7"/>
  <c r="AH780" i="7"/>
  <c r="AH779" i="7"/>
  <c r="AH778" i="7"/>
  <c r="AH777" i="7"/>
  <c r="AH776" i="7"/>
  <c r="AH775" i="7"/>
  <c r="AH774" i="7"/>
  <c r="AH773" i="7"/>
  <c r="AH772" i="7"/>
  <c r="AH771" i="7"/>
  <c r="AH770" i="7"/>
  <c r="AH769" i="7"/>
  <c r="AH768" i="7"/>
  <c r="AH767" i="7"/>
  <c r="AH766" i="7"/>
  <c r="AH765" i="7"/>
  <c r="AH764" i="7"/>
  <c r="AH763" i="7"/>
  <c r="AH762" i="7"/>
  <c r="AH761" i="7"/>
  <c r="AH760" i="7"/>
  <c r="AH759" i="7"/>
  <c r="AH758" i="7"/>
  <c r="AH757" i="7"/>
  <c r="AH756" i="7"/>
  <c r="AH755" i="7"/>
  <c r="AH754" i="7"/>
  <c r="AH753" i="7"/>
  <c r="AH752" i="7"/>
  <c r="AH751" i="7"/>
  <c r="AH750" i="7"/>
  <c r="AH749" i="7"/>
  <c r="AH748" i="7"/>
  <c r="AH747" i="7"/>
  <c r="AH746" i="7"/>
  <c r="AH745" i="7"/>
  <c r="AH744" i="7"/>
  <c r="AH743" i="7"/>
  <c r="AH742" i="7"/>
  <c r="AH741" i="7"/>
  <c r="AH740" i="7"/>
  <c r="AH739" i="7"/>
  <c r="AH738" i="7"/>
  <c r="AH737" i="7"/>
  <c r="AH736" i="7"/>
  <c r="AH735" i="7"/>
  <c r="AH734" i="7"/>
  <c r="AH733" i="7"/>
  <c r="AH732" i="7"/>
  <c r="AH731" i="7"/>
  <c r="AH730" i="7"/>
  <c r="AH729" i="7"/>
  <c r="AH728" i="7"/>
  <c r="AH727" i="7"/>
  <c r="AH726" i="7"/>
  <c r="AH725" i="7"/>
  <c r="AH724" i="7"/>
  <c r="AH723" i="7"/>
  <c r="AH722" i="7"/>
  <c r="AH721" i="7"/>
  <c r="AH720" i="7"/>
  <c r="AH719" i="7"/>
  <c r="AH718" i="7"/>
  <c r="AH717" i="7"/>
  <c r="AH716" i="7"/>
  <c r="AH715" i="7"/>
  <c r="AH714" i="7"/>
  <c r="AH713" i="7"/>
  <c r="AH712" i="7"/>
  <c r="AH711" i="7"/>
  <c r="AH710" i="7"/>
  <c r="AH709" i="7"/>
  <c r="AH708" i="7"/>
  <c r="AH707" i="7"/>
  <c r="AH706" i="7"/>
  <c r="AH705" i="7"/>
  <c r="AH704" i="7"/>
  <c r="AH703" i="7"/>
  <c r="AH702" i="7"/>
  <c r="AH701" i="7"/>
  <c r="AH700" i="7"/>
  <c r="AH699" i="7"/>
  <c r="AH698" i="7"/>
  <c r="AH697" i="7"/>
  <c r="AH696" i="7"/>
  <c r="AH695" i="7"/>
  <c r="AH694" i="7"/>
  <c r="AH691" i="7"/>
  <c r="AH690" i="7"/>
  <c r="AH688" i="7"/>
  <c r="AH686" i="7"/>
  <c r="AH679" i="7"/>
  <c r="AH672" i="7"/>
  <c r="AH667" i="7"/>
  <c r="AH666" i="7"/>
  <c r="AH662" i="7"/>
  <c r="AH661" i="7"/>
  <c r="AH660" i="7"/>
  <c r="AH659" i="7"/>
  <c r="AH658" i="7"/>
  <c r="AH657" i="7"/>
  <c r="AH656" i="7"/>
  <c r="AH655" i="7"/>
  <c r="AH646" i="7"/>
  <c r="AH645" i="7"/>
  <c r="AH644" i="7"/>
  <c r="AH643" i="7"/>
  <c r="AH642" i="7"/>
  <c r="AH638" i="7"/>
  <c r="AH637" i="7"/>
  <c r="AH634" i="7"/>
  <c r="AH630" i="7"/>
  <c r="AH629" i="7"/>
  <c r="AH628" i="7"/>
  <c r="AH627" i="7"/>
  <c r="AH626" i="7"/>
  <c r="AH623" i="7"/>
  <c r="AH622" i="7"/>
  <c r="AH620" i="7"/>
  <c r="AH619" i="7"/>
  <c r="AH618" i="7"/>
  <c r="AH617" i="7"/>
  <c r="AH614" i="7"/>
  <c r="AH613" i="7"/>
  <c r="AH605" i="7"/>
  <c r="AH604" i="7"/>
  <c r="AH603" i="7"/>
  <c r="AH602" i="7"/>
  <c r="AH601" i="7"/>
  <c r="AH600" i="7"/>
  <c r="AH599" i="7"/>
  <c r="AH598" i="7"/>
  <c r="AH597" i="7"/>
  <c r="AH596" i="7"/>
  <c r="AH594" i="7"/>
  <c r="AH593" i="7"/>
  <c r="AH592" i="7"/>
  <c r="AH589" i="7"/>
  <c r="AH585" i="7"/>
  <c r="AH582" i="7"/>
  <c r="AH578" i="7"/>
  <c r="AH576" i="7"/>
  <c r="AH575" i="7"/>
  <c r="AH554" i="7"/>
  <c r="AH552" i="7"/>
  <c r="AH550" i="7"/>
  <c r="AH548" i="7"/>
  <c r="AH547" i="7"/>
  <c r="AH546" i="7"/>
  <c r="AH545" i="7"/>
  <c r="AH544" i="7"/>
  <c r="AH538" i="7"/>
  <c r="AH448" i="7"/>
  <c r="AH447" i="7"/>
  <c r="AH445" i="7"/>
  <c r="AH444" i="7"/>
  <c r="AH443" i="7"/>
  <c r="AH433" i="7"/>
  <c r="AH426" i="7"/>
  <c r="AH424" i="7"/>
  <c r="AH423" i="7"/>
  <c r="AH418" i="7"/>
  <c r="AH417" i="7"/>
  <c r="AH405" i="7"/>
  <c r="AH404" i="7"/>
  <c r="AH403" i="7"/>
  <c r="AH398" i="7"/>
  <c r="AH397" i="7"/>
  <c r="AH396" i="7"/>
  <c r="AH375" i="7"/>
  <c r="AH374" i="7"/>
  <c r="AH373" i="7"/>
  <c r="AH372" i="7"/>
  <c r="AH345" i="7"/>
  <c r="AH335" i="7"/>
  <c r="AH301" i="7"/>
  <c r="AH294" i="7"/>
  <c r="AH288" i="7"/>
  <c r="AH287" i="7"/>
  <c r="AH285" i="7"/>
  <c r="AH283" i="7"/>
  <c r="AH282" i="7"/>
  <c r="AH267" i="7"/>
  <c r="AH251" i="7"/>
  <c r="AH250" i="7"/>
  <c r="AH249" i="7"/>
  <c r="AH222" i="7"/>
  <c r="AH221" i="7"/>
  <c r="AH220" i="7"/>
  <c r="AH219" i="7"/>
  <c r="AH218" i="7"/>
  <c r="AH217" i="7"/>
  <c r="AH215" i="7"/>
  <c r="AH214" i="7"/>
  <c r="AH213" i="7"/>
  <c r="AH212" i="7"/>
  <c r="AH211" i="7"/>
  <c r="AH210" i="7"/>
  <c r="AH205" i="7"/>
  <c r="AH203" i="7"/>
  <c r="AH202" i="7"/>
  <c r="AH201" i="7"/>
  <c r="AH198" i="7"/>
  <c r="AH196" i="7"/>
  <c r="AH195" i="7"/>
  <c r="AH194" i="7"/>
  <c r="AH193" i="7"/>
  <c r="AH192" i="7"/>
  <c r="AH191" i="7"/>
  <c r="AH190" i="7"/>
  <c r="AH185" i="7"/>
  <c r="AH183" i="7"/>
  <c r="AH182" i="7"/>
  <c r="AH181" i="7"/>
  <c r="AH180" i="7"/>
  <c r="AH179" i="7"/>
  <c r="AH178" i="7"/>
  <c r="AH173" i="7"/>
  <c r="AH170" i="7"/>
  <c r="AH168" i="7"/>
  <c r="AH167" i="7"/>
  <c r="AH166" i="7"/>
  <c r="AH165" i="7"/>
  <c r="AH159" i="7"/>
  <c r="AH157" i="7"/>
  <c r="AH156" i="7"/>
  <c r="AH155" i="7"/>
  <c r="AH154" i="7"/>
  <c r="AH153" i="7"/>
  <c r="AH152" i="7"/>
  <c r="AH151" i="7"/>
  <c r="AH145" i="7"/>
  <c r="AH144" i="7"/>
  <c r="AH143" i="7"/>
  <c r="AH142" i="7"/>
  <c r="AH141" i="7"/>
  <c r="AH139" i="7"/>
  <c r="AH136" i="7"/>
  <c r="AH133" i="7"/>
  <c r="AH125" i="7"/>
  <c r="AH112" i="7"/>
  <c r="AH111" i="7"/>
  <c r="AH110" i="7"/>
  <c r="AH109" i="7"/>
  <c r="AH107" i="7"/>
  <c r="AH106" i="7"/>
  <c r="AH100" i="7"/>
  <c r="AH94" i="7"/>
  <c r="AH89" i="7"/>
  <c r="AH88" i="7"/>
  <c r="AH87" i="7"/>
  <c r="AH85" i="7"/>
  <c r="AH84" i="7"/>
  <c r="AH83" i="7"/>
  <c r="AH79" i="7"/>
  <c r="AH78" i="7"/>
  <c r="AH77" i="7"/>
  <c r="AH75" i="7"/>
  <c r="AH74" i="7"/>
  <c r="AH69" i="7"/>
  <c r="AH49" i="7"/>
  <c r="AH48" i="7"/>
  <c r="AH47" i="7"/>
  <c r="AH46" i="7"/>
  <c r="AH45" i="7"/>
  <c r="AH43" i="7"/>
  <c r="AH42" i="7"/>
  <c r="AH37" i="7"/>
  <c r="AH36" i="7"/>
  <c r="AH35" i="7"/>
  <c r="AH34" i="7"/>
  <c r="AH33" i="7"/>
  <c r="AH32" i="7"/>
  <c r="AH31" i="7"/>
  <c r="AH29" i="7"/>
  <c r="AH28" i="7"/>
  <c r="AH27" i="7"/>
  <c r="AH26" i="7"/>
  <c r="AH25" i="7"/>
  <c r="AH23" i="7"/>
  <c r="AH22" i="7"/>
  <c r="AH21" i="7"/>
  <c r="AH20" i="7"/>
  <c r="AH19" i="7"/>
  <c r="AH15" i="7"/>
  <c r="AH13" i="7"/>
  <c r="AH11" i="7"/>
  <c r="AH10" i="7"/>
  <c r="AH9" i="7"/>
  <c r="AH8" i="7"/>
  <c r="AH7" i="7"/>
  <c r="AH6" i="7"/>
  <c r="AH5" i="7"/>
  <c r="AH4" i="7"/>
  <c r="AH3" i="7"/>
  <c r="AH2" i="7"/>
  <c r="AG1972" i="7"/>
  <c r="AG1971" i="7"/>
  <c r="AG1969" i="7"/>
  <c r="AG1966" i="7"/>
  <c r="AG1965" i="7"/>
  <c r="AG1964" i="7"/>
  <c r="AG1963" i="7"/>
  <c r="AG1962" i="7"/>
  <c r="AG1961" i="7"/>
  <c r="AG1960" i="7"/>
  <c r="AG1959" i="7"/>
  <c r="AG1958" i="7"/>
  <c r="AG1957" i="7"/>
  <c r="AG1956" i="7"/>
  <c r="AG1955" i="7"/>
  <c r="AG1954" i="7"/>
  <c r="AG1953" i="7"/>
  <c r="AG1952" i="7"/>
  <c r="AG1951" i="7"/>
  <c r="AG1950" i="7"/>
  <c r="AG1949" i="7"/>
  <c r="AG1948" i="7"/>
  <c r="AG1946" i="7"/>
  <c r="AG1945" i="7"/>
  <c r="AG1944" i="7"/>
  <c r="AG1943" i="7"/>
  <c r="AG1942" i="7"/>
  <c r="AG1941" i="7"/>
  <c r="AG1940" i="7"/>
  <c r="AG1939" i="7"/>
  <c r="AG1938" i="7"/>
  <c r="AG1937" i="7"/>
  <c r="AG1936" i="7"/>
  <c r="AG1935" i="7"/>
  <c r="AG1934" i="7"/>
  <c r="AG1933" i="7"/>
  <c r="AG1932" i="7"/>
  <c r="AG1930" i="7"/>
  <c r="AG1929" i="7"/>
  <c r="AG1928" i="7"/>
  <c r="AG1927" i="7"/>
  <c r="AG1926" i="7"/>
  <c r="AG1925" i="7"/>
  <c r="AG1924" i="7"/>
  <c r="AG1923" i="7"/>
  <c r="AG1922" i="7"/>
  <c r="AG1921" i="7"/>
  <c r="AG1920" i="7"/>
  <c r="AG1919" i="7"/>
  <c r="AG1918" i="7"/>
  <c r="AG1917" i="7"/>
  <c r="AG1916" i="7"/>
  <c r="AG1915" i="7"/>
  <c r="AG1914" i="7"/>
  <c r="AG1912" i="7"/>
  <c r="AG1910" i="7"/>
  <c r="AG1909" i="7"/>
  <c r="AG1908" i="7"/>
  <c r="AG1907" i="7"/>
  <c r="AG1906" i="7"/>
  <c r="AG1905" i="7"/>
  <c r="AG1904" i="7"/>
  <c r="AG1903" i="7"/>
  <c r="AG1902" i="7"/>
  <c r="AG1901" i="7"/>
  <c r="AG1899" i="7"/>
  <c r="AG1898" i="7"/>
  <c r="AG1897" i="7"/>
  <c r="AG1895" i="7"/>
  <c r="AG1894" i="7"/>
  <c r="AG1893" i="7"/>
  <c r="AG1892" i="7"/>
  <c r="AG1891" i="7"/>
  <c r="AG1889" i="7"/>
  <c r="AG1886" i="7"/>
  <c r="AG1885" i="7"/>
  <c r="AG1884" i="7"/>
  <c r="AG1883" i="7"/>
  <c r="AG1882" i="7"/>
  <c r="AG1881" i="7"/>
  <c r="AG1880" i="7"/>
  <c r="AG1879" i="7"/>
  <c r="AG1878" i="7"/>
  <c r="AG1877" i="7"/>
  <c r="AG1876" i="7"/>
  <c r="AG1875" i="7"/>
  <c r="AG1874" i="7"/>
  <c r="AG1873" i="7"/>
  <c r="AG1872" i="7"/>
  <c r="AG1871" i="7"/>
  <c r="AG1870" i="7"/>
  <c r="AG1869" i="7"/>
  <c r="AG1868" i="7"/>
  <c r="AG1867" i="7"/>
  <c r="AG1866" i="7"/>
  <c r="AG1865" i="7"/>
  <c r="AG1864" i="7"/>
  <c r="AG1863" i="7"/>
  <c r="AG1862" i="7"/>
  <c r="AG1861" i="7"/>
  <c r="AG1860" i="7"/>
  <c r="AG1859" i="7"/>
  <c r="AG1858" i="7"/>
  <c r="AG1857" i="7"/>
  <c r="AG1856" i="7"/>
  <c r="AG1855" i="7"/>
  <c r="AG1854" i="7"/>
  <c r="AG1853" i="7"/>
  <c r="AG1852" i="7"/>
  <c r="AG1851" i="7"/>
  <c r="AG1850" i="7"/>
  <c r="AG1849" i="7"/>
  <c r="AG1848" i="7"/>
  <c r="AG1847" i="7"/>
  <c r="AG1846" i="7"/>
  <c r="AG1845" i="7"/>
  <c r="AG1844" i="7"/>
  <c r="AG1843" i="7"/>
  <c r="AG1842" i="7"/>
  <c r="AG1841" i="7"/>
  <c r="AG1840" i="7"/>
  <c r="AG1839" i="7"/>
  <c r="AG1838" i="7"/>
  <c r="AG1837" i="7"/>
  <c r="AG1836" i="7"/>
  <c r="AG1835" i="7"/>
  <c r="AG1833" i="7"/>
  <c r="AG1832" i="7"/>
  <c r="AG1831" i="7"/>
  <c r="AG1830" i="7"/>
  <c r="AG1829" i="7"/>
  <c r="AG1828" i="7"/>
  <c r="AG1827" i="7"/>
  <c r="AG1826" i="7"/>
  <c r="AG1825" i="7"/>
  <c r="AG1824" i="7"/>
  <c r="AG1823" i="7"/>
  <c r="AG1822" i="7"/>
  <c r="AG1821" i="7"/>
  <c r="AG1820" i="7"/>
  <c r="AG1819" i="7"/>
  <c r="AG1818" i="7"/>
  <c r="AG1817" i="7"/>
  <c r="AG1816" i="7"/>
  <c r="AG1815" i="7"/>
  <c r="AG1814" i="7"/>
  <c r="AG1813" i="7"/>
  <c r="AG1812" i="7"/>
  <c r="AG1811" i="7"/>
  <c r="AG1810" i="7"/>
  <c r="AG1809" i="7"/>
  <c r="AG1808" i="7"/>
  <c r="AG1807" i="7"/>
  <c r="AG1806" i="7"/>
  <c r="AG1805" i="7"/>
  <c r="AG1804" i="7"/>
  <c r="AG1803" i="7"/>
  <c r="AG1802" i="7"/>
  <c r="AG1800" i="7"/>
  <c r="AG1799" i="7"/>
  <c r="AG1797" i="7"/>
  <c r="AG1796" i="7"/>
  <c r="AG1795" i="7"/>
  <c r="AG1794" i="7"/>
  <c r="AG1793" i="7"/>
  <c r="AG1792" i="7"/>
  <c r="AG1791" i="7"/>
  <c r="AG1790" i="7"/>
  <c r="AG1788" i="7"/>
  <c r="AG1787" i="7"/>
  <c r="AG1786" i="7"/>
  <c r="AG1781" i="7"/>
  <c r="AG1780" i="7"/>
  <c r="AG1766" i="7"/>
  <c r="AG1761" i="7"/>
  <c r="AG1760" i="7"/>
  <c r="AG1755" i="7"/>
  <c r="AG1754" i="7"/>
  <c r="AG1743" i="7"/>
  <c r="AG1736" i="7"/>
  <c r="AG1735" i="7"/>
  <c r="AG1729" i="7"/>
  <c r="AG1704" i="7"/>
  <c r="AG1703" i="7"/>
  <c r="AG1702" i="7"/>
  <c r="AG1701" i="7"/>
  <c r="AG1700" i="7"/>
  <c r="AG1699" i="7"/>
  <c r="AG1698" i="7"/>
  <c r="AG1697" i="7"/>
  <c r="AG1696" i="7"/>
  <c r="AG1695" i="7"/>
  <c r="AG1693" i="7"/>
  <c r="AG1692" i="7"/>
  <c r="AG1691" i="7"/>
  <c r="AG1687" i="7"/>
  <c r="AG1686" i="7"/>
  <c r="AG1685" i="7"/>
  <c r="AG1684" i="7"/>
  <c r="AG1683" i="7"/>
  <c r="AG1682" i="7"/>
  <c r="AG1681" i="7"/>
  <c r="AG1680" i="7"/>
  <c r="AG1679" i="7"/>
  <c r="AG1678" i="7"/>
  <c r="AG1677" i="7"/>
  <c r="AG1676" i="7"/>
  <c r="AG1675" i="7"/>
  <c r="AG1674" i="7"/>
  <c r="AG1673" i="7"/>
  <c r="AG1672" i="7"/>
  <c r="AG1671" i="7"/>
  <c r="AG1670" i="7"/>
  <c r="AG1669" i="7"/>
  <c r="AG1668" i="7"/>
  <c r="AG1667" i="7"/>
  <c r="AG1666" i="7"/>
  <c r="AG1665" i="7"/>
  <c r="AG1659" i="7"/>
  <c r="AG1658" i="7"/>
  <c r="AG1657" i="7"/>
  <c r="AG1656" i="7"/>
  <c r="AG1655" i="7"/>
  <c r="AG1654" i="7"/>
  <c r="AG1653" i="7"/>
  <c r="AG1652" i="7"/>
  <c r="AG1651" i="7"/>
  <c r="AG1650" i="7"/>
  <c r="AG1649" i="7"/>
  <c r="AG1648" i="7"/>
  <c r="AG1647" i="7"/>
  <c r="AG1646" i="7"/>
  <c r="AG1645" i="7"/>
  <c r="AG1644" i="7"/>
  <c r="AG1643" i="7"/>
  <c r="AG1642" i="7"/>
  <c r="AG1641" i="7"/>
  <c r="AG1640" i="7"/>
  <c r="AG1639" i="7"/>
  <c r="AG1638" i="7"/>
  <c r="AG1637" i="7"/>
  <c r="AG1636" i="7"/>
  <c r="AG1635" i="7"/>
  <c r="AG1634" i="7"/>
  <c r="AG1633" i="7"/>
  <c r="AG1632" i="7"/>
  <c r="AG1631" i="7"/>
  <c r="AG1630" i="7"/>
  <c r="AG1629" i="7"/>
  <c r="AG1628" i="7"/>
  <c r="AG1627" i="7"/>
  <c r="AG1626" i="7"/>
  <c r="AG1625" i="7"/>
  <c r="AG1624" i="7"/>
  <c r="AG1623" i="7"/>
  <c r="AG1622" i="7"/>
  <c r="AG1621" i="7"/>
  <c r="AG1618" i="7"/>
  <c r="AG1617" i="7"/>
  <c r="AG1611" i="7"/>
  <c r="AG1610" i="7"/>
  <c r="AG1608" i="7"/>
  <c r="AG1607" i="7"/>
  <c r="AG1606" i="7"/>
  <c r="AG1605" i="7"/>
  <c r="AG1600" i="7"/>
  <c r="AG1599" i="7"/>
  <c r="AG1598" i="7"/>
  <c r="AG1597" i="7"/>
  <c r="AG1593" i="7"/>
  <c r="AG1592" i="7"/>
  <c r="AG1591" i="7"/>
  <c r="AG1590" i="7"/>
  <c r="AG1589" i="7"/>
  <c r="AG1588" i="7"/>
  <c r="AG1587" i="7"/>
  <c r="AG1586" i="7"/>
  <c r="AG1585" i="7"/>
  <c r="AG1584" i="7"/>
  <c r="AG1583" i="7"/>
  <c r="AG1582" i="7"/>
  <c r="AG1581" i="7"/>
  <c r="AG1580" i="7"/>
  <c r="AG1579" i="7"/>
  <c r="AG1578" i="7"/>
  <c r="AG1577" i="7"/>
  <c r="AG1576" i="7"/>
  <c r="AG1575" i="7"/>
  <c r="AG1574" i="7"/>
  <c r="AG1573" i="7"/>
  <c r="AG1572" i="7"/>
  <c r="AG1571" i="7"/>
  <c r="AG1570" i="7"/>
  <c r="AG1569" i="7"/>
  <c r="AG1568" i="7"/>
  <c r="AG1567" i="7"/>
  <c r="AG1566" i="7"/>
  <c r="AG1565" i="7"/>
  <c r="AG1563" i="7"/>
  <c r="AG1562" i="7"/>
  <c r="AG1561" i="7"/>
  <c r="AG1558" i="7"/>
  <c r="AG1556" i="7"/>
  <c r="AG1555" i="7"/>
  <c r="AG1552" i="7"/>
  <c r="AG1551" i="7"/>
  <c r="AG1550" i="7"/>
  <c r="AG1549" i="7"/>
  <c r="AG1548" i="7"/>
  <c r="AG1547" i="7"/>
  <c r="AG1546" i="7"/>
  <c r="AG1545" i="7"/>
  <c r="AG1544" i="7"/>
  <c r="AG1543" i="7"/>
  <c r="AG1535" i="7"/>
  <c r="AG1531" i="7"/>
  <c r="AG1530" i="7"/>
  <c r="AG1526" i="7"/>
  <c r="AG1520" i="7"/>
  <c r="AG1519" i="7"/>
  <c r="AG1518" i="7"/>
  <c r="AG1516" i="7"/>
  <c r="AG1515" i="7"/>
  <c r="AG1512" i="7"/>
  <c r="AG1510" i="7"/>
  <c r="AG1507" i="7"/>
  <c r="AG1504" i="7"/>
  <c r="AG1503" i="7"/>
  <c r="AG1502" i="7"/>
  <c r="AG1501" i="7"/>
  <c r="AG1500" i="7"/>
  <c r="AG1499" i="7"/>
  <c r="AG1498" i="7"/>
  <c r="AG1497" i="7"/>
  <c r="AG1495" i="7"/>
  <c r="AG1494" i="7"/>
  <c r="AG1493" i="7"/>
  <c r="AG1492" i="7"/>
  <c r="AG1491" i="7"/>
  <c r="AG1490" i="7"/>
  <c r="AG1489" i="7"/>
  <c r="AG1488" i="7"/>
  <c r="AG1487" i="7"/>
  <c r="AG1486" i="7"/>
  <c r="AG1485" i="7"/>
  <c r="AG1484" i="7"/>
  <c r="AG1483" i="7"/>
  <c r="AG1482" i="7"/>
  <c r="AG1481" i="7"/>
  <c r="AG1480" i="7"/>
  <c r="AG1479" i="7"/>
  <c r="AG1478" i="7"/>
  <c r="AG1477" i="7"/>
  <c r="AG1476" i="7"/>
  <c r="AG1475" i="7"/>
  <c r="AG1474" i="7"/>
  <c r="AG1473" i="7"/>
  <c r="AG1472" i="7"/>
  <c r="AG1471" i="7"/>
  <c r="AG1470" i="7"/>
  <c r="AG1469" i="7"/>
  <c r="AG1468" i="7"/>
  <c r="AG1467" i="7"/>
  <c r="AG1466" i="7"/>
  <c r="AG1465" i="7"/>
  <c r="AG1464" i="7"/>
  <c r="AG1463" i="7"/>
  <c r="AG1462" i="7"/>
  <c r="AG1461" i="7"/>
  <c r="AG1460" i="7"/>
  <c r="AG1459" i="7"/>
  <c r="AG1458" i="7"/>
  <c r="AG1457" i="7"/>
  <c r="AG1456" i="7"/>
  <c r="AG1455" i="7"/>
  <c r="AG1454" i="7"/>
  <c r="AG1453" i="7"/>
  <c r="AG1452" i="7"/>
  <c r="AG1451" i="7"/>
  <c r="AG1450" i="7"/>
  <c r="AG1449" i="7"/>
  <c r="AG1448" i="7"/>
  <c r="AG1447" i="7"/>
  <c r="AG1446" i="7"/>
  <c r="AG1445" i="7"/>
  <c r="AG1444" i="7"/>
  <c r="AG1443" i="7"/>
  <c r="AG1442" i="7"/>
  <c r="AG1441" i="7"/>
  <c r="AG1440" i="7"/>
  <c r="AG1439" i="7"/>
  <c r="AG1438" i="7"/>
  <c r="AG1437" i="7"/>
  <c r="AG1436" i="7"/>
  <c r="AG1435" i="7"/>
  <c r="AG1434" i="7"/>
  <c r="AG1433" i="7"/>
  <c r="AG1432" i="7"/>
  <c r="AG1431" i="7"/>
  <c r="AG1430" i="7"/>
  <c r="AG1429" i="7"/>
  <c r="AG1428" i="7"/>
  <c r="AG1427" i="7"/>
  <c r="AG1426" i="7"/>
  <c r="AG1425" i="7"/>
  <c r="AG1424" i="7"/>
  <c r="AG1423" i="7"/>
  <c r="AG1422" i="7"/>
  <c r="AG1421" i="7"/>
  <c r="AG1419" i="7"/>
  <c r="AG1418" i="7"/>
  <c r="AG1417" i="7"/>
  <c r="AG1416" i="7"/>
  <c r="AG1415" i="7"/>
  <c r="AG1414" i="7"/>
  <c r="AG1413" i="7"/>
  <c r="AG1412" i="7"/>
  <c r="AG1411" i="7"/>
  <c r="AG1410" i="7"/>
  <c r="AG1409" i="7"/>
  <c r="AG1408" i="7"/>
  <c r="AG1407" i="7"/>
  <c r="AG1406" i="7"/>
  <c r="AG1405" i="7"/>
  <c r="AG1404" i="7"/>
  <c r="AG1403" i="7"/>
  <c r="AG1402" i="7"/>
  <c r="AG1401" i="7"/>
  <c r="AG1400" i="7"/>
  <c r="AG1399" i="7"/>
  <c r="AG1398" i="7"/>
  <c r="AG1397" i="7"/>
  <c r="AG1396" i="7"/>
  <c r="AG1395" i="7"/>
  <c r="AG1394" i="7"/>
  <c r="AG1393" i="7"/>
  <c r="AG1392" i="7"/>
  <c r="AG1391" i="7"/>
  <c r="AG1390" i="7"/>
  <c r="AG1389" i="7"/>
  <c r="AG1388" i="7"/>
  <c r="AG1387" i="7"/>
  <c r="AG1386" i="7"/>
  <c r="AG1385" i="7"/>
  <c r="AG1384" i="7"/>
  <c r="AG1383" i="7"/>
  <c r="AG1382" i="7"/>
  <c r="AG1381" i="7"/>
  <c r="AG1380" i="7"/>
  <c r="AG1379" i="7"/>
  <c r="AG1378" i="7"/>
  <c r="AG1377" i="7"/>
  <c r="AG1376" i="7"/>
  <c r="AG1375" i="7"/>
  <c r="AG1374" i="7"/>
  <c r="AG1373" i="7"/>
  <c r="AG1372" i="7"/>
  <c r="AG1371" i="7"/>
  <c r="AG1370" i="7"/>
  <c r="AG1369" i="7"/>
  <c r="AG1368" i="7"/>
  <c r="AG1367" i="7"/>
  <c r="AG1366" i="7"/>
  <c r="AG1365" i="7"/>
  <c r="AG1364" i="7"/>
  <c r="AG1363" i="7"/>
  <c r="AG1362" i="7"/>
  <c r="AG1361" i="7"/>
  <c r="AG1360" i="7"/>
  <c r="AG1359" i="7"/>
  <c r="AG1358" i="7"/>
  <c r="AG1357" i="7"/>
  <c r="AG1356" i="7"/>
  <c r="AG1355" i="7"/>
  <c r="AG1354" i="7"/>
  <c r="AG1353" i="7"/>
  <c r="AG1352" i="7"/>
  <c r="AG1351" i="7"/>
  <c r="AG1350" i="7"/>
  <c r="AG1349" i="7"/>
  <c r="AG1348" i="7"/>
  <c r="AG1347" i="7"/>
  <c r="AG1346" i="7"/>
  <c r="AG1345" i="7"/>
  <c r="AG1344" i="7"/>
  <c r="AG1343" i="7"/>
  <c r="AG1342" i="7"/>
  <c r="AG1341" i="7"/>
  <c r="AG1340" i="7"/>
  <c r="AG1339" i="7"/>
  <c r="AG1338" i="7"/>
  <c r="AG1337" i="7"/>
  <c r="AG1336" i="7"/>
  <c r="AG1335" i="7"/>
  <c r="AG1334" i="7"/>
  <c r="AG1333" i="7"/>
  <c r="AG1332" i="7"/>
  <c r="AG1331" i="7"/>
  <c r="AG1330" i="7"/>
  <c r="AG1329" i="7"/>
  <c r="AG1328" i="7"/>
  <c r="AG1327" i="7"/>
  <c r="AG1326" i="7"/>
  <c r="AG1325" i="7"/>
  <c r="AG1324" i="7"/>
  <c r="AG1323" i="7"/>
  <c r="AG1322" i="7"/>
  <c r="AG1321" i="7"/>
  <c r="AG1320" i="7"/>
  <c r="AG1319" i="7"/>
  <c r="AG1318" i="7"/>
  <c r="AG1317" i="7"/>
  <c r="AG1316" i="7"/>
  <c r="AG1315" i="7"/>
  <c r="AG1314" i="7"/>
  <c r="AG1313" i="7"/>
  <c r="AG1312" i="7"/>
  <c r="AG1311" i="7"/>
  <c r="AG1310" i="7"/>
  <c r="AG1309" i="7"/>
  <c r="AG1308" i="7"/>
  <c r="AG1307" i="7"/>
  <c r="AG1306" i="7"/>
  <c r="AG1305" i="7"/>
  <c r="AG1304" i="7"/>
  <c r="AG1303" i="7"/>
  <c r="AG1302" i="7"/>
  <c r="AG1301" i="7"/>
  <c r="AG1300" i="7"/>
  <c r="AG1299" i="7"/>
  <c r="AG1298" i="7"/>
  <c r="AG1297" i="7"/>
  <c r="AG1296" i="7"/>
  <c r="AG1295" i="7"/>
  <c r="AG1294" i="7"/>
  <c r="AG1293" i="7"/>
  <c r="AG1292" i="7"/>
  <c r="AG1291" i="7"/>
  <c r="AG1290" i="7"/>
  <c r="AG1289" i="7"/>
  <c r="AG1288" i="7"/>
  <c r="AG1287" i="7"/>
  <c r="AG1286" i="7"/>
  <c r="AG1285" i="7"/>
  <c r="AG1284" i="7"/>
  <c r="AG1283" i="7"/>
  <c r="AG1282" i="7"/>
  <c r="AG1281" i="7"/>
  <c r="AG1280" i="7"/>
  <c r="AG1279" i="7"/>
  <c r="AG1278" i="7"/>
  <c r="AG1277" i="7"/>
  <c r="AG1276" i="7"/>
  <c r="AG1275" i="7"/>
  <c r="AG1274" i="7"/>
  <c r="AG1273" i="7"/>
  <c r="AG1272" i="7"/>
  <c r="AG1271" i="7"/>
  <c r="AG1270" i="7"/>
  <c r="AG1269" i="7"/>
  <c r="AG1268" i="7"/>
  <c r="AG1267" i="7"/>
  <c r="AG1266" i="7"/>
  <c r="AG1265" i="7"/>
  <c r="AG1264" i="7"/>
  <c r="AG1263" i="7"/>
  <c r="AG1262" i="7"/>
  <c r="AG1261" i="7"/>
  <c r="AG1260" i="7"/>
  <c r="AG1259" i="7"/>
  <c r="AG1258" i="7"/>
  <c r="AG1257" i="7"/>
  <c r="AG1256" i="7"/>
  <c r="AG1255" i="7"/>
  <c r="AG1254" i="7"/>
  <c r="AG1253" i="7"/>
  <c r="AG1252" i="7"/>
  <c r="AG1251" i="7"/>
  <c r="AG1250" i="7"/>
  <c r="AG1249" i="7"/>
  <c r="AG1248" i="7"/>
  <c r="AG1247" i="7"/>
  <c r="AG1246" i="7"/>
  <c r="AG1245" i="7"/>
  <c r="AG1244" i="7"/>
  <c r="AG1243" i="7"/>
  <c r="AG1242" i="7"/>
  <c r="AG1241" i="7"/>
  <c r="AG1240" i="7"/>
  <c r="AG1239" i="7"/>
  <c r="AG1238" i="7"/>
  <c r="AG1237" i="7"/>
  <c r="AG1236" i="7"/>
  <c r="AG1235" i="7"/>
  <c r="AG1234" i="7"/>
  <c r="AG1233" i="7"/>
  <c r="AG1232" i="7"/>
  <c r="AG1231" i="7"/>
  <c r="AG1230" i="7"/>
  <c r="AG1229" i="7"/>
  <c r="AG1228" i="7"/>
  <c r="AG1227" i="7"/>
  <c r="AG1226" i="7"/>
  <c r="AG1225" i="7"/>
  <c r="AG1224" i="7"/>
  <c r="AG1223" i="7"/>
  <c r="AG1222" i="7"/>
  <c r="AG1221" i="7"/>
  <c r="AG1220" i="7"/>
  <c r="AG1219" i="7"/>
  <c r="AG1218" i="7"/>
  <c r="AG1217" i="7"/>
  <c r="AG1216" i="7"/>
  <c r="AG1215" i="7"/>
  <c r="AG1214" i="7"/>
  <c r="AG1213" i="7"/>
  <c r="AG1212" i="7"/>
  <c r="AG1211" i="7"/>
  <c r="AG1210" i="7"/>
  <c r="AG1209" i="7"/>
  <c r="AG1208" i="7"/>
  <c r="AG1207" i="7"/>
  <c r="AG1206" i="7"/>
  <c r="AG1205" i="7"/>
  <c r="AG1204" i="7"/>
  <c r="AG1203" i="7"/>
  <c r="AG1202" i="7"/>
  <c r="AG1201" i="7"/>
  <c r="AG1200" i="7"/>
  <c r="AG1199" i="7"/>
  <c r="AG1198" i="7"/>
  <c r="AG1197" i="7"/>
  <c r="AG1196" i="7"/>
  <c r="AG1195" i="7"/>
  <c r="AG1194" i="7"/>
  <c r="AG1193" i="7"/>
  <c r="AG1192" i="7"/>
  <c r="AG1191" i="7"/>
  <c r="AG1190" i="7"/>
  <c r="AG1189" i="7"/>
  <c r="AG1188" i="7"/>
  <c r="AG1187" i="7"/>
  <c r="AG1186" i="7"/>
  <c r="AG1185" i="7"/>
  <c r="AG1184" i="7"/>
  <c r="AG1183" i="7"/>
  <c r="AG1182" i="7"/>
  <c r="AG1181" i="7"/>
  <c r="AG1180" i="7"/>
  <c r="AG1179" i="7"/>
  <c r="AG1178" i="7"/>
  <c r="AG1177" i="7"/>
  <c r="AG1176" i="7"/>
  <c r="AG1175" i="7"/>
  <c r="AG1174" i="7"/>
  <c r="AG1173" i="7"/>
  <c r="AG1172" i="7"/>
  <c r="AG1171" i="7"/>
  <c r="AG1170" i="7"/>
  <c r="AG1169" i="7"/>
  <c r="AG1168" i="7"/>
  <c r="AG1167" i="7"/>
  <c r="AG1166" i="7"/>
  <c r="AG1165" i="7"/>
  <c r="AG1164" i="7"/>
  <c r="AG1163" i="7"/>
  <c r="AG1162" i="7"/>
  <c r="AG1161" i="7"/>
  <c r="AG1160" i="7"/>
  <c r="AG1159" i="7"/>
  <c r="AG1158" i="7"/>
  <c r="AG1157" i="7"/>
  <c r="AG1156" i="7"/>
  <c r="AG1155" i="7"/>
  <c r="AG1154" i="7"/>
  <c r="AG1153" i="7"/>
  <c r="AG1152" i="7"/>
  <c r="AG1151" i="7"/>
  <c r="AG1150" i="7"/>
  <c r="AG1149" i="7"/>
  <c r="AG1148" i="7"/>
  <c r="AG1147" i="7"/>
  <c r="AG1146" i="7"/>
  <c r="AG1145" i="7"/>
  <c r="AG1144" i="7"/>
  <c r="AG1143" i="7"/>
  <c r="AG1142" i="7"/>
  <c r="AG1141" i="7"/>
  <c r="AG1140" i="7"/>
  <c r="AG1139" i="7"/>
  <c r="AG1138" i="7"/>
  <c r="AG1137" i="7"/>
  <c r="AG1136" i="7"/>
  <c r="AG1135" i="7"/>
  <c r="AG1134" i="7"/>
  <c r="AG1133" i="7"/>
  <c r="AG1132" i="7"/>
  <c r="AG1131" i="7"/>
  <c r="AG1130" i="7"/>
  <c r="AG1129" i="7"/>
  <c r="AG1128" i="7"/>
  <c r="AG1127" i="7"/>
  <c r="AG1126" i="7"/>
  <c r="AG1125" i="7"/>
  <c r="AG1124" i="7"/>
  <c r="AG1123" i="7"/>
  <c r="AG1122" i="7"/>
  <c r="AG1121" i="7"/>
  <c r="AG1120" i="7"/>
  <c r="AG1119" i="7"/>
  <c r="AG1118" i="7"/>
  <c r="AG1117" i="7"/>
  <c r="AG1116" i="7"/>
  <c r="AG1115" i="7"/>
  <c r="AG1114" i="7"/>
  <c r="AG1113" i="7"/>
  <c r="AG1112" i="7"/>
  <c r="AG1111" i="7"/>
  <c r="AG1110" i="7"/>
  <c r="AG1109" i="7"/>
  <c r="AG1108" i="7"/>
  <c r="AG1107" i="7"/>
  <c r="AG1106" i="7"/>
  <c r="AG1105" i="7"/>
  <c r="AG1104" i="7"/>
  <c r="AG1103" i="7"/>
  <c r="AG1102" i="7"/>
  <c r="AG1101" i="7"/>
  <c r="AG1100" i="7"/>
  <c r="AG1099" i="7"/>
  <c r="AG1098" i="7"/>
  <c r="AG1097" i="7"/>
  <c r="AG1096" i="7"/>
  <c r="AG1095" i="7"/>
  <c r="AG1094" i="7"/>
  <c r="AG1093" i="7"/>
  <c r="AG1092" i="7"/>
  <c r="AG1091" i="7"/>
  <c r="AG1090" i="7"/>
  <c r="AG1089" i="7"/>
  <c r="AG1088" i="7"/>
  <c r="AG1087" i="7"/>
  <c r="AG1086" i="7"/>
  <c r="AG1085" i="7"/>
  <c r="AG1084" i="7"/>
  <c r="AG1083" i="7"/>
  <c r="AG1082" i="7"/>
  <c r="AG1081" i="7"/>
  <c r="AG1080" i="7"/>
  <c r="AG1079" i="7"/>
  <c r="AG1078" i="7"/>
  <c r="AG1077" i="7"/>
  <c r="AG1076" i="7"/>
  <c r="AG1075" i="7"/>
  <c r="AG1074" i="7"/>
  <c r="AG1073" i="7"/>
  <c r="AG1072" i="7"/>
  <c r="AG1071" i="7"/>
  <c r="AG1070" i="7"/>
  <c r="AG1069" i="7"/>
  <c r="AG1068" i="7"/>
  <c r="AG1067" i="7"/>
  <c r="AG1066" i="7"/>
  <c r="AG1065" i="7"/>
  <c r="AG1064" i="7"/>
  <c r="AG1063" i="7"/>
  <c r="AG1062" i="7"/>
  <c r="AG1061" i="7"/>
  <c r="AG1060" i="7"/>
  <c r="AG1059" i="7"/>
  <c r="AG1058" i="7"/>
  <c r="AG1057" i="7"/>
  <c r="AG1056" i="7"/>
  <c r="AG1055" i="7"/>
  <c r="AG1054" i="7"/>
  <c r="AG1053" i="7"/>
  <c r="AG1052" i="7"/>
  <c r="AG1051" i="7"/>
  <c r="AG1050" i="7"/>
  <c r="AG1049" i="7"/>
  <c r="AG1048" i="7"/>
  <c r="AG1047" i="7"/>
  <c r="AG1046" i="7"/>
  <c r="AG1045" i="7"/>
  <c r="AG1044" i="7"/>
  <c r="AG1043" i="7"/>
  <c r="AG1042" i="7"/>
  <c r="AG1041" i="7"/>
  <c r="AG1040" i="7"/>
  <c r="AG1039" i="7"/>
  <c r="AG1038" i="7"/>
  <c r="AG1037" i="7"/>
  <c r="AG1036" i="7"/>
  <c r="AG1035" i="7"/>
  <c r="AG1034" i="7"/>
  <c r="AG1033" i="7"/>
  <c r="AG1032" i="7"/>
  <c r="AG1031" i="7"/>
  <c r="AG1030" i="7"/>
  <c r="AG1029" i="7"/>
  <c r="AG1028" i="7"/>
  <c r="AG1027" i="7"/>
  <c r="AG1026" i="7"/>
  <c r="AG1025" i="7"/>
  <c r="AG1024" i="7"/>
  <c r="AG1023" i="7"/>
  <c r="AG1022" i="7"/>
  <c r="AG1021" i="7"/>
  <c r="AG1020" i="7"/>
  <c r="AG1019" i="7"/>
  <c r="AG1018" i="7"/>
  <c r="AG1017" i="7"/>
  <c r="AG1016" i="7"/>
  <c r="AG1015" i="7"/>
  <c r="AG1014" i="7"/>
  <c r="AG1013" i="7"/>
  <c r="AG1012" i="7"/>
  <c r="AG1011" i="7"/>
  <c r="AG1010" i="7"/>
  <c r="AG1009" i="7"/>
  <c r="AG1008" i="7"/>
  <c r="AG1007" i="7"/>
  <c r="AG1006" i="7"/>
  <c r="AG1005" i="7"/>
  <c r="AG1004" i="7"/>
  <c r="AG1003" i="7"/>
  <c r="AG1002" i="7"/>
  <c r="AG1001" i="7"/>
  <c r="AG1000" i="7"/>
  <c r="AG999" i="7"/>
  <c r="AG998" i="7"/>
  <c r="AG997" i="7"/>
  <c r="AG996" i="7"/>
  <c r="AG995" i="7"/>
  <c r="AG994" i="7"/>
  <c r="AG993" i="7"/>
  <c r="AG992" i="7"/>
  <c r="AG991" i="7"/>
  <c r="AG990" i="7"/>
  <c r="AG989" i="7"/>
  <c r="AG988" i="7"/>
  <c r="AG987" i="7"/>
  <c r="AG986" i="7"/>
  <c r="AG985" i="7"/>
  <c r="AG984" i="7"/>
  <c r="AG983" i="7"/>
  <c r="AG982" i="7"/>
  <c r="AG981" i="7"/>
  <c r="AG980" i="7"/>
  <c r="AG979" i="7"/>
  <c r="AG978" i="7"/>
  <c r="AG977" i="7"/>
  <c r="AG975" i="7"/>
  <c r="AG974" i="7"/>
  <c r="AG973" i="7"/>
  <c r="AG972" i="7"/>
  <c r="AG971" i="7"/>
  <c r="AG970" i="7"/>
  <c r="AG969" i="7"/>
  <c r="AG968" i="7"/>
  <c r="AG967" i="7"/>
  <c r="AG966" i="7"/>
  <c r="AG965" i="7"/>
  <c r="AG964" i="7"/>
  <c r="AG963" i="7"/>
  <c r="AG962" i="7"/>
  <c r="AG961" i="7"/>
  <c r="AG960" i="7"/>
  <c r="AG959" i="7"/>
  <c r="AG958" i="7"/>
  <c r="AG957" i="7"/>
  <c r="AG956" i="7"/>
  <c r="AG955" i="7"/>
  <c r="AG954" i="7"/>
  <c r="AG953" i="7"/>
  <c r="AG952" i="7"/>
  <c r="AG951" i="7"/>
  <c r="AG950" i="7"/>
  <c r="AG949" i="7"/>
  <c r="AG948" i="7"/>
  <c r="AG947" i="7"/>
  <c r="AG946" i="7"/>
  <c r="AG945" i="7"/>
  <c r="AG944" i="7"/>
  <c r="AG943" i="7"/>
  <c r="AG942" i="7"/>
  <c r="AG941" i="7"/>
  <c r="AG940" i="7"/>
  <c r="AG939" i="7"/>
  <c r="AG938" i="7"/>
  <c r="AG937" i="7"/>
  <c r="AG936" i="7"/>
  <c r="AG935" i="7"/>
  <c r="AG934" i="7"/>
  <c r="AG933" i="7"/>
  <c r="AG932" i="7"/>
  <c r="AG931" i="7"/>
  <c r="AG930" i="7"/>
  <c r="AG929" i="7"/>
  <c r="AG928" i="7"/>
  <c r="AG927" i="7"/>
  <c r="AG926" i="7"/>
  <c r="AG925" i="7"/>
  <c r="AG924" i="7"/>
  <c r="AG923" i="7"/>
  <c r="AG922" i="7"/>
  <c r="AG921" i="7"/>
  <c r="AG920" i="7"/>
  <c r="AG919" i="7"/>
  <c r="AG918" i="7"/>
  <c r="AG917" i="7"/>
  <c r="AG916" i="7"/>
  <c r="AG915" i="7"/>
  <c r="AG914" i="7"/>
  <c r="AG913" i="7"/>
  <c r="AG912" i="7"/>
  <c r="AG911" i="7"/>
  <c r="AG910" i="7"/>
  <c r="AG909" i="7"/>
  <c r="AG908" i="7"/>
  <c r="AG907" i="7"/>
  <c r="AG906" i="7"/>
  <c r="AG905" i="7"/>
  <c r="AG904" i="7"/>
  <c r="AG903" i="7"/>
  <c r="AG902" i="7"/>
  <c r="AG901" i="7"/>
  <c r="AG900" i="7"/>
  <c r="AG899" i="7"/>
  <c r="AG898" i="7"/>
  <c r="AG897" i="7"/>
  <c r="AG896" i="7"/>
  <c r="AG895" i="7"/>
  <c r="AG894" i="7"/>
  <c r="AG893" i="7"/>
  <c r="AG892" i="7"/>
  <c r="AG891" i="7"/>
  <c r="AG890" i="7"/>
  <c r="AG889" i="7"/>
  <c r="AG888" i="7"/>
  <c r="AG887" i="7"/>
  <c r="AG886" i="7"/>
  <c r="AG885" i="7"/>
  <c r="AG884" i="7"/>
  <c r="AG883" i="7"/>
  <c r="AG882" i="7"/>
  <c r="AG881" i="7"/>
  <c r="AG880" i="7"/>
  <c r="AG879" i="7"/>
  <c r="AG878" i="7"/>
  <c r="AG877" i="7"/>
  <c r="AG876" i="7"/>
  <c r="AG875" i="7"/>
  <c r="AG874" i="7"/>
  <c r="AG873" i="7"/>
  <c r="AG872" i="7"/>
  <c r="AG871" i="7"/>
  <c r="AG870" i="7"/>
  <c r="AG869" i="7"/>
  <c r="AG868" i="7"/>
  <c r="AG867" i="7"/>
  <c r="AG866" i="7"/>
  <c r="AG865" i="7"/>
  <c r="AG864" i="7"/>
  <c r="AG863" i="7"/>
  <c r="AG862" i="7"/>
  <c r="AG861" i="7"/>
  <c r="AG860" i="7"/>
  <c r="AG859" i="7"/>
  <c r="AG858" i="7"/>
  <c r="AG857" i="7"/>
  <c r="AG856" i="7"/>
  <c r="AG855" i="7"/>
  <c r="AG854" i="7"/>
  <c r="AG851" i="7"/>
  <c r="AG850" i="7"/>
  <c r="AG849" i="7"/>
  <c r="AG848" i="7"/>
  <c r="AG847" i="7"/>
  <c r="AG846" i="7"/>
  <c r="AG845" i="7"/>
  <c r="AG844" i="7"/>
  <c r="AG843" i="7"/>
  <c r="AG842" i="7"/>
  <c r="AG841" i="7"/>
  <c r="AG840" i="7"/>
  <c r="AG839" i="7"/>
  <c r="AG838" i="7"/>
  <c r="AG837" i="7"/>
  <c r="AG836" i="7"/>
  <c r="AG835" i="7"/>
  <c r="AG834" i="7"/>
  <c r="AG833" i="7"/>
  <c r="AG832" i="7"/>
  <c r="AG831" i="7"/>
  <c r="AG830" i="7"/>
  <c r="AG829" i="7"/>
  <c r="AG828" i="7"/>
  <c r="AG827" i="7"/>
  <c r="AG826" i="7"/>
  <c r="AG825" i="7"/>
  <c r="AG824" i="7"/>
  <c r="AG823" i="7"/>
  <c r="AG822" i="7"/>
  <c r="AG821" i="7"/>
  <c r="AG820" i="7"/>
  <c r="AG819" i="7"/>
  <c r="AG818" i="7"/>
  <c r="AG817" i="7"/>
  <c r="AG816" i="7"/>
  <c r="AG815" i="7"/>
  <c r="AG814" i="7"/>
  <c r="AG813" i="7"/>
  <c r="AG812" i="7"/>
  <c r="AG811" i="7"/>
  <c r="AG810" i="7"/>
  <c r="AG809" i="7"/>
  <c r="AG808" i="7"/>
  <c r="AG807" i="7"/>
  <c r="AG806" i="7"/>
  <c r="AG805" i="7"/>
  <c r="AG804" i="7"/>
  <c r="AG803" i="7"/>
  <c r="AG802" i="7"/>
  <c r="AG801" i="7"/>
  <c r="AG800" i="7"/>
  <c r="AG799" i="7"/>
  <c r="AG798" i="7"/>
  <c r="AG797" i="7"/>
  <c r="AG796" i="7"/>
  <c r="AG795" i="7"/>
  <c r="AG794" i="7"/>
  <c r="AG793" i="7"/>
  <c r="AG792" i="7"/>
  <c r="AG791" i="7"/>
  <c r="AG790" i="7"/>
  <c r="AG789" i="7"/>
  <c r="AG788" i="7"/>
  <c r="AG787" i="7"/>
  <c r="AG786" i="7"/>
  <c r="AG785" i="7"/>
  <c r="AG784" i="7"/>
  <c r="AG783" i="7"/>
  <c r="AG782" i="7"/>
  <c r="AG781" i="7"/>
  <c r="AG780" i="7"/>
  <c r="AG779" i="7"/>
  <c r="AG778" i="7"/>
  <c r="AG777" i="7"/>
  <c r="AG776" i="7"/>
  <c r="AG775" i="7"/>
  <c r="AG774" i="7"/>
  <c r="AG773" i="7"/>
  <c r="AG772" i="7"/>
  <c r="AG771" i="7"/>
  <c r="AG770" i="7"/>
  <c r="AG769" i="7"/>
  <c r="AG768" i="7"/>
  <c r="AG767" i="7"/>
  <c r="AG766" i="7"/>
  <c r="AG765" i="7"/>
  <c r="AG764" i="7"/>
  <c r="AG763" i="7"/>
  <c r="AG762" i="7"/>
  <c r="AG761" i="7"/>
  <c r="AG760" i="7"/>
  <c r="AG759" i="7"/>
  <c r="AG758" i="7"/>
  <c r="AG757" i="7"/>
  <c r="AG756" i="7"/>
  <c r="AG755" i="7"/>
  <c r="AG754" i="7"/>
  <c r="AG753" i="7"/>
  <c r="AG752" i="7"/>
  <c r="AG751" i="7"/>
  <c r="AG750" i="7"/>
  <c r="AG749" i="7"/>
  <c r="AG748" i="7"/>
  <c r="AG747" i="7"/>
  <c r="AG746" i="7"/>
  <c r="AG745" i="7"/>
  <c r="AG744" i="7"/>
  <c r="AG743" i="7"/>
  <c r="AG742" i="7"/>
  <c r="AG741" i="7"/>
  <c r="AG740" i="7"/>
  <c r="AG739" i="7"/>
  <c r="AG738" i="7"/>
  <c r="AG737" i="7"/>
  <c r="AG736" i="7"/>
  <c r="AG735" i="7"/>
  <c r="AG734" i="7"/>
  <c r="AG733" i="7"/>
  <c r="AG732" i="7"/>
  <c r="AG731" i="7"/>
  <c r="AG730" i="7"/>
  <c r="AG729" i="7"/>
  <c r="AG728" i="7"/>
  <c r="AG727" i="7"/>
  <c r="AG726" i="7"/>
  <c r="AG725" i="7"/>
  <c r="AG724" i="7"/>
  <c r="AG723" i="7"/>
  <c r="AG722" i="7"/>
  <c r="AG721" i="7"/>
  <c r="AG720" i="7"/>
  <c r="AG719" i="7"/>
  <c r="AG718" i="7"/>
  <c r="AG717" i="7"/>
  <c r="AG716" i="7"/>
  <c r="AG715" i="7"/>
  <c r="AG714" i="7"/>
  <c r="AG713" i="7"/>
  <c r="AG712" i="7"/>
  <c r="AG711" i="7"/>
  <c r="AG710" i="7"/>
  <c r="AG709" i="7"/>
  <c r="AG708" i="7"/>
  <c r="AG707" i="7"/>
  <c r="AG706" i="7"/>
  <c r="AG705" i="7"/>
  <c r="AG704" i="7"/>
  <c r="AG703" i="7"/>
  <c r="AG702" i="7"/>
  <c r="AG701" i="7"/>
  <c r="AG700" i="7"/>
  <c r="AG699" i="7"/>
  <c r="AG698" i="7"/>
  <c r="AG697" i="7"/>
  <c r="AG696" i="7"/>
  <c r="AG695" i="7"/>
  <c r="AG694" i="7"/>
  <c r="AG693" i="7"/>
  <c r="AG691" i="7"/>
  <c r="AG690" i="7"/>
  <c r="AG689" i="7"/>
  <c r="AG688" i="7"/>
  <c r="AG687" i="7"/>
  <c r="AG686" i="7"/>
  <c r="AG685" i="7"/>
  <c r="AG684" i="7"/>
  <c r="AG683" i="7"/>
  <c r="AG682" i="7"/>
  <c r="AG681" i="7"/>
  <c r="AG680" i="7"/>
  <c r="AG679" i="7"/>
  <c r="AG678" i="7"/>
  <c r="AG675" i="7"/>
  <c r="AG672" i="7"/>
  <c r="AG667" i="7"/>
  <c r="AG666" i="7"/>
  <c r="AG665" i="7"/>
  <c r="AG664" i="7"/>
  <c r="AG663" i="7"/>
  <c r="AG662" i="7"/>
  <c r="AG661" i="7"/>
  <c r="AG660" i="7"/>
  <c r="AG659" i="7"/>
  <c r="AG658" i="7"/>
  <c r="AG657" i="7"/>
  <c r="AG656" i="7"/>
  <c r="AG655" i="7"/>
  <c r="AG646" i="7"/>
  <c r="AG645" i="7"/>
  <c r="AG644" i="7"/>
  <c r="AG643" i="7"/>
  <c r="AG642" i="7"/>
  <c r="AG638" i="7"/>
  <c r="AG637" i="7"/>
  <c r="AG636" i="7"/>
  <c r="AG634" i="7"/>
  <c r="AG633" i="7"/>
  <c r="AG632" i="7"/>
  <c r="AG631" i="7"/>
  <c r="AG629" i="7"/>
  <c r="AG628" i="7"/>
  <c r="AG627" i="7"/>
  <c r="AG626" i="7"/>
  <c r="AG623" i="7"/>
  <c r="AG622" i="7"/>
  <c r="AG620" i="7"/>
  <c r="AG619" i="7"/>
  <c r="AG618" i="7"/>
  <c r="AG617" i="7"/>
  <c r="AG616" i="7"/>
  <c r="AG613" i="7"/>
  <c r="AG612" i="7"/>
  <c r="AG609" i="7"/>
  <c r="AG606" i="7"/>
  <c r="AG605" i="7"/>
  <c r="AG604" i="7"/>
  <c r="AG603" i="7"/>
  <c r="AG602" i="7"/>
  <c r="AG601" i="7"/>
  <c r="AG600" i="7"/>
  <c r="AG599" i="7"/>
  <c r="AG598" i="7"/>
  <c r="AG597" i="7"/>
  <c r="AG596" i="7"/>
  <c r="AG595" i="7"/>
  <c r="AG594" i="7"/>
  <c r="AG593" i="7"/>
  <c r="AG592" i="7"/>
  <c r="AG591" i="7"/>
  <c r="AG590" i="7"/>
  <c r="AG589" i="7"/>
  <c r="AG588" i="7"/>
  <c r="AG587" i="7"/>
  <c r="AG586" i="7"/>
  <c r="AG585" i="7"/>
  <c r="AG584" i="7"/>
  <c r="AG583" i="7"/>
  <c r="AG582" i="7"/>
  <c r="AG581" i="7"/>
  <c r="AG580" i="7"/>
  <c r="AG579" i="7"/>
  <c r="AG578" i="7"/>
  <c r="AG577" i="7"/>
  <c r="AG576" i="7"/>
  <c r="AG575" i="7"/>
  <c r="AG574" i="7"/>
  <c r="AG573" i="7"/>
  <c r="AG572" i="7"/>
  <c r="AG568" i="7"/>
  <c r="AG565" i="7"/>
  <c r="AG564" i="7"/>
  <c r="AG563" i="7"/>
  <c r="AG562" i="7"/>
  <c r="AG561" i="7"/>
  <c r="AG560" i="7"/>
  <c r="AG559" i="7"/>
  <c r="AG558" i="7"/>
  <c r="AG557" i="7"/>
  <c r="AG556" i="7"/>
  <c r="AG554" i="7"/>
  <c r="AG553" i="7"/>
  <c r="AG552" i="7"/>
  <c r="AG550" i="7"/>
  <c r="AG549" i="7"/>
  <c r="AG548" i="7"/>
  <c r="AG547" i="7"/>
  <c r="AG546" i="7"/>
  <c r="AG545" i="7"/>
  <c r="AG544" i="7"/>
  <c r="AG538" i="7"/>
  <c r="AG534" i="7"/>
  <c r="AG528" i="7"/>
  <c r="AG527" i="7"/>
  <c r="AG526" i="7"/>
  <c r="AG525" i="7"/>
  <c r="AG524" i="7"/>
  <c r="AG521" i="7"/>
  <c r="AG520" i="7"/>
  <c r="AG517" i="7"/>
  <c r="AG504" i="7"/>
  <c r="AG501" i="7"/>
  <c r="AG500" i="7"/>
  <c r="AG499" i="7"/>
  <c r="AG495" i="7"/>
  <c r="AG493" i="7"/>
  <c r="AG492" i="7"/>
  <c r="AG487" i="7"/>
  <c r="AG485" i="7"/>
  <c r="AG484" i="7"/>
  <c r="AG483" i="7"/>
  <c r="AG482" i="7"/>
  <c r="AG480" i="7"/>
  <c r="AG479" i="7"/>
  <c r="AG475" i="7"/>
  <c r="AG474" i="7"/>
  <c r="AG473" i="7"/>
  <c r="AG472" i="7"/>
  <c r="AG471" i="7"/>
  <c r="AG470" i="7"/>
  <c r="AG469" i="7"/>
  <c r="AG468" i="7"/>
  <c r="AG467" i="7"/>
  <c r="AG466" i="7"/>
  <c r="AG465" i="7"/>
  <c r="AG464" i="7"/>
  <c r="AG463" i="7"/>
  <c r="AG462" i="7"/>
  <c r="AG461" i="7"/>
  <c r="AG459" i="7"/>
  <c r="AG458" i="7"/>
  <c r="AG457" i="7"/>
  <c r="AG456" i="7"/>
  <c r="AG455" i="7"/>
  <c r="AG454" i="7"/>
  <c r="AG453" i="7"/>
  <c r="AG452" i="7"/>
  <c r="AG451" i="7"/>
  <c r="AG450" i="7"/>
  <c r="AG449" i="7"/>
  <c r="AG448" i="7"/>
  <c r="AG447" i="7"/>
  <c r="AG446" i="7"/>
  <c r="AG445" i="7"/>
  <c r="AG444" i="7"/>
  <c r="AG443" i="7"/>
  <c r="AG442" i="7"/>
  <c r="AG441" i="7"/>
  <c r="AG440" i="7"/>
  <c r="AG438" i="7"/>
  <c r="AG437" i="7"/>
  <c r="AG436" i="7"/>
  <c r="AG435" i="7"/>
  <c r="AG434" i="7"/>
  <c r="AG433" i="7"/>
  <c r="AG432" i="7"/>
  <c r="AG431" i="7"/>
  <c r="AG430" i="7"/>
  <c r="AG429" i="7"/>
  <c r="AG428" i="7"/>
  <c r="AG427" i="7"/>
  <c r="AG426" i="7"/>
  <c r="AG425" i="7"/>
  <c r="AG424" i="7"/>
  <c r="AG423" i="7"/>
  <c r="AG422" i="7"/>
  <c r="AG421" i="7"/>
  <c r="AG420" i="7"/>
  <c r="AG419" i="7"/>
  <c r="AG418" i="7"/>
  <c r="AG417" i="7"/>
  <c r="AG416" i="7"/>
  <c r="AG415" i="7"/>
  <c r="AG414" i="7"/>
  <c r="AG413" i="7"/>
  <c r="AG412" i="7"/>
  <c r="AG411" i="7"/>
  <c r="AG410" i="7"/>
  <c r="AG409" i="7"/>
  <c r="AG408" i="7"/>
  <c r="AG407" i="7"/>
  <c r="AG406" i="7"/>
  <c r="AG405" i="7"/>
  <c r="AG404" i="7"/>
  <c r="AG403" i="7"/>
  <c r="AG402" i="7"/>
  <c r="AG401" i="7"/>
  <c r="AG400" i="7"/>
  <c r="AG399" i="7"/>
  <c r="AG398" i="7"/>
  <c r="AG397" i="7"/>
  <c r="AG396" i="7"/>
  <c r="AG395" i="7"/>
  <c r="AG394" i="7"/>
  <c r="AG393" i="7"/>
  <c r="AG392" i="7"/>
  <c r="AG391" i="7"/>
  <c r="AG390" i="7"/>
  <c r="AG389" i="7"/>
  <c r="AG388" i="7"/>
  <c r="AG387" i="7"/>
  <c r="AG386" i="7"/>
  <c r="AG385" i="7"/>
  <c r="AG384" i="7"/>
  <c r="AG383" i="7"/>
  <c r="AG382" i="7"/>
  <c r="AG381" i="7"/>
  <c r="AG380" i="7"/>
  <c r="AG379" i="7"/>
  <c r="AG378" i="7"/>
  <c r="AG376" i="7"/>
  <c r="AG375" i="7"/>
  <c r="AG374" i="7"/>
  <c r="AG373" i="7"/>
  <c r="AG372" i="7"/>
  <c r="AG371" i="7"/>
  <c r="AG370" i="7"/>
  <c r="AG369" i="7"/>
  <c r="AG368" i="7"/>
  <c r="AG367" i="7"/>
  <c r="AG366" i="7"/>
  <c r="AG365" i="7"/>
  <c r="AG364" i="7"/>
  <c r="AG363" i="7"/>
  <c r="AG362" i="7"/>
  <c r="AG361" i="7"/>
  <c r="AG360" i="7"/>
  <c r="AG359" i="7"/>
  <c r="AG358" i="7"/>
  <c r="AG357" i="7"/>
  <c r="AG356" i="7"/>
  <c r="AG355" i="7"/>
  <c r="AG354" i="7"/>
  <c r="AG353" i="7"/>
  <c r="AG352" i="7"/>
  <c r="AG351" i="7"/>
  <c r="AG350" i="7"/>
  <c r="AG349" i="7"/>
  <c r="AG348" i="7"/>
  <c r="AG347" i="7"/>
  <c r="AG346" i="7"/>
  <c r="AG345" i="7"/>
  <c r="AG344" i="7"/>
  <c r="AG343" i="7"/>
  <c r="AG342" i="7"/>
  <c r="AG341" i="7"/>
  <c r="AG340" i="7"/>
  <c r="AG339" i="7"/>
  <c r="AG338" i="7"/>
  <c r="AG337" i="7"/>
  <c r="AG336" i="7"/>
  <c r="AG335" i="7"/>
  <c r="AG334" i="7"/>
  <c r="AG333" i="7"/>
  <c r="AG332" i="7"/>
  <c r="AG331" i="7"/>
  <c r="AG330" i="7"/>
  <c r="AG329" i="7"/>
  <c r="AG328" i="7"/>
  <c r="AG327" i="7"/>
  <c r="AG325" i="7"/>
  <c r="AG324" i="7"/>
  <c r="AG323" i="7"/>
  <c r="AG322" i="7"/>
  <c r="AG321" i="7"/>
  <c r="AG320" i="7"/>
  <c r="AG319" i="7"/>
  <c r="AG318" i="7"/>
  <c r="AG317" i="7"/>
  <c r="AG316" i="7"/>
  <c r="AG315" i="7"/>
  <c r="AG314" i="7"/>
  <c r="AG313" i="7"/>
  <c r="AG312" i="7"/>
  <c r="AG311" i="7"/>
  <c r="AG310" i="7"/>
  <c r="AG309" i="7"/>
  <c r="AG308" i="7"/>
  <c r="AG307" i="7"/>
  <c r="AG306" i="7"/>
  <c r="AG305" i="7"/>
  <c r="AG304" i="7"/>
  <c r="AG303" i="7"/>
  <c r="AG302" i="7"/>
  <c r="AG301" i="7"/>
  <c r="AG300" i="7"/>
  <c r="AG299" i="7"/>
  <c r="AG298" i="7"/>
  <c r="AG297" i="7"/>
  <c r="AG295" i="7"/>
  <c r="AG294" i="7"/>
  <c r="AG293" i="7"/>
  <c r="AG292" i="7"/>
  <c r="AG291" i="7"/>
  <c r="AG290" i="7"/>
  <c r="AG289" i="7"/>
  <c r="AG288" i="7"/>
  <c r="AG287" i="7"/>
  <c r="AG286" i="7"/>
  <c r="AG285" i="7"/>
  <c r="AG284" i="7"/>
  <c r="AG283" i="7"/>
  <c r="AG282" i="7"/>
  <c r="AG281" i="7"/>
  <c r="AG280" i="7"/>
  <c r="AG279" i="7"/>
  <c r="AG278" i="7"/>
  <c r="AG277" i="7"/>
  <c r="AG276" i="7"/>
  <c r="AG275" i="7"/>
  <c r="AG274" i="7"/>
  <c r="AG273" i="7"/>
  <c r="AG272" i="7"/>
  <c r="AG271" i="7"/>
  <c r="AG270" i="7"/>
  <c r="AG269" i="7"/>
  <c r="AG268" i="7"/>
  <c r="AG267" i="7"/>
  <c r="AG266" i="7"/>
  <c r="AG265" i="7"/>
  <c r="AG264" i="7"/>
  <c r="AG263" i="7"/>
  <c r="AG262" i="7"/>
  <c r="AG261" i="7"/>
  <c r="AG260" i="7"/>
  <c r="AG259" i="7"/>
  <c r="AG258" i="7"/>
  <c r="AG257" i="7"/>
  <c r="AG256" i="7"/>
  <c r="AG255" i="7"/>
  <c r="AG254" i="7"/>
  <c r="AG253" i="7"/>
  <c r="AG252" i="7"/>
  <c r="AG251" i="7"/>
  <c r="AG250" i="7"/>
  <c r="AG249" i="7"/>
  <c r="AG248" i="7"/>
  <c r="AG247" i="7"/>
  <c r="AG246" i="7"/>
  <c r="AG242" i="7"/>
  <c r="AG241" i="7"/>
  <c r="AG238" i="7"/>
  <c r="AG233" i="7"/>
  <c r="AG229" i="7"/>
  <c r="AG228" i="7"/>
  <c r="AG227" i="7"/>
  <c r="AG226" i="7"/>
  <c r="AG224" i="7"/>
  <c r="AG222" i="7"/>
  <c r="AG221" i="7"/>
  <c r="AG220" i="7"/>
  <c r="AG219" i="7"/>
  <c r="AG218" i="7"/>
  <c r="AG217" i="7"/>
  <c r="AG215" i="7"/>
  <c r="AG214" i="7"/>
  <c r="AG213" i="7"/>
  <c r="AG212" i="7"/>
  <c r="AG211" i="7"/>
  <c r="AG210" i="7"/>
  <c r="AG209" i="7"/>
  <c r="AG208" i="7"/>
  <c r="AG207" i="7"/>
  <c r="AG206" i="7"/>
  <c r="AG205" i="7"/>
  <c r="AG204" i="7"/>
  <c r="AG203" i="7"/>
  <c r="AG202" i="7"/>
  <c r="AG201" i="7"/>
  <c r="AG200" i="7"/>
  <c r="AG199" i="7"/>
  <c r="AG198" i="7"/>
  <c r="AG197" i="7"/>
  <c r="AG196" i="7"/>
  <c r="AG195" i="7"/>
  <c r="AG194" i="7"/>
  <c r="AG193" i="7"/>
  <c r="AG192" i="7"/>
  <c r="AG191" i="7"/>
  <c r="AG190" i="7"/>
  <c r="AG189" i="7"/>
  <c r="AG188" i="7"/>
  <c r="AG187" i="7"/>
  <c r="AG186" i="7"/>
  <c r="AG185" i="7"/>
  <c r="AG184" i="7"/>
  <c r="AG183" i="7"/>
  <c r="AG182" i="7"/>
  <c r="AG181" i="7"/>
  <c r="AG180" i="7"/>
  <c r="AG179" i="7"/>
  <c r="AG178" i="7"/>
  <c r="AG176" i="7"/>
  <c r="AG173" i="7"/>
  <c r="AG170" i="7"/>
  <c r="AG164" i="7"/>
  <c r="AG163" i="7"/>
  <c r="AG162" i="7"/>
  <c r="AG159" i="7"/>
  <c r="AG158" i="7"/>
  <c r="AG157" i="7"/>
  <c r="AG156" i="7"/>
  <c r="AG155" i="7"/>
  <c r="AG154" i="7"/>
  <c r="AG153" i="7"/>
  <c r="AG149" i="7"/>
  <c r="AG148" i="7"/>
  <c r="AG147" i="7"/>
  <c r="AG146" i="7"/>
  <c r="AG145" i="7"/>
  <c r="AG144" i="7"/>
  <c r="AG143" i="7"/>
  <c r="AG142" i="7"/>
  <c r="AG141" i="7"/>
  <c r="AG140" i="7"/>
  <c r="AG139" i="7"/>
  <c r="AG138" i="7"/>
  <c r="AG137" i="7"/>
  <c r="AG136" i="7"/>
  <c r="AG135" i="7"/>
  <c r="AG134" i="7"/>
  <c r="AG133" i="7"/>
  <c r="AG132" i="7"/>
  <c r="AG131" i="7"/>
  <c r="AG130" i="7"/>
  <c r="AG129" i="7"/>
  <c r="AG128" i="7"/>
  <c r="AG127" i="7"/>
  <c r="AG126" i="7"/>
  <c r="AG125" i="7"/>
  <c r="AG124" i="7"/>
  <c r="AG123" i="7"/>
  <c r="AG122" i="7"/>
  <c r="AG121" i="7"/>
  <c r="AG117" i="7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89" i="7"/>
  <c r="AG88" i="7"/>
  <c r="AG87" i="7"/>
  <c r="AG86" i="7"/>
  <c r="AG85" i="7"/>
  <c r="AG84" i="7"/>
  <c r="AG83" i="7"/>
  <c r="AG79" i="7"/>
  <c r="AG78" i="7"/>
  <c r="AG77" i="7"/>
  <c r="AG76" i="7"/>
  <c r="AG75" i="7"/>
  <c r="AG74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AG5" i="7"/>
  <c r="AG4" i="7"/>
  <c r="AG3" i="7"/>
  <c r="AG2" i="7"/>
  <c r="AF1971" i="7"/>
  <c r="AF1969" i="7"/>
  <c r="AF1965" i="7"/>
  <c r="AF1964" i="7"/>
  <c r="AF1963" i="7"/>
  <c r="AF1962" i="7"/>
  <c r="AF1961" i="7"/>
  <c r="AF1959" i="7"/>
  <c r="AF1957" i="7"/>
  <c r="AF1956" i="7"/>
  <c r="AF1955" i="7"/>
  <c r="AF1954" i="7"/>
  <c r="AF1953" i="7"/>
  <c r="AF1952" i="7"/>
  <c r="AF1951" i="7"/>
  <c r="AF1948" i="7"/>
  <c r="AF1946" i="7"/>
  <c r="AF1945" i="7"/>
  <c r="AF1944" i="7"/>
  <c r="AF1943" i="7"/>
  <c r="AF1930" i="7"/>
  <c r="AF1928" i="7"/>
  <c r="AF1925" i="7"/>
  <c r="AF1924" i="7"/>
  <c r="AF1922" i="7"/>
  <c r="AF1921" i="7"/>
  <c r="AF1919" i="7"/>
  <c r="AF1918" i="7"/>
  <c r="AF1917" i="7"/>
  <c r="AF1916" i="7"/>
  <c r="AF1915" i="7"/>
  <c r="AF1914" i="7"/>
  <c r="AF1912" i="7"/>
  <c r="AF1910" i="7"/>
  <c r="AF1909" i="7"/>
  <c r="AF1908" i="7"/>
  <c r="AF1906" i="7"/>
  <c r="AF1905" i="7"/>
  <c r="AF1904" i="7"/>
  <c r="AF1902" i="7"/>
  <c r="AF1901" i="7"/>
  <c r="AF1898" i="7"/>
  <c r="AF1895" i="7"/>
  <c r="AF1894" i="7"/>
  <c r="AF1893" i="7"/>
  <c r="AF1892" i="7"/>
  <c r="AF1891" i="7"/>
  <c r="AF1889" i="7"/>
  <c r="AF1881" i="7"/>
  <c r="AF1879" i="7"/>
  <c r="AF1878" i="7"/>
  <c r="AF1877" i="7"/>
  <c r="AF1876" i="7"/>
  <c r="AF1875" i="7"/>
  <c r="AF1874" i="7"/>
  <c r="AF1873" i="7"/>
  <c r="AF1872" i="7"/>
  <c r="AF1871" i="7"/>
  <c r="AF1870" i="7"/>
  <c r="AF1869" i="7"/>
  <c r="AF1868" i="7"/>
  <c r="AF1867" i="7"/>
  <c r="AF1866" i="7"/>
  <c r="AF1865" i="7"/>
  <c r="AF1864" i="7"/>
  <c r="AF1863" i="7"/>
  <c r="AF1855" i="7"/>
  <c r="AF1854" i="7"/>
  <c r="AF1853" i="7"/>
  <c r="AF1852" i="7"/>
  <c r="AF1851" i="7"/>
  <c r="AF1850" i="7"/>
  <c r="AF1849" i="7"/>
  <c r="AF1848" i="7"/>
  <c r="AF1829" i="7"/>
  <c r="AF1828" i="7"/>
  <c r="AF1827" i="7"/>
  <c r="AF1826" i="7"/>
  <c r="AF1825" i="7"/>
  <c r="AF1824" i="7"/>
  <c r="AF1823" i="7"/>
  <c r="AF1822" i="7"/>
  <c r="AF1821" i="7"/>
  <c r="AF1820" i="7"/>
  <c r="AF1819" i="7"/>
  <c r="AF1818" i="7"/>
  <c r="AF1817" i="7"/>
  <c r="AF1816" i="7"/>
  <c r="AF1815" i="7"/>
  <c r="AF1814" i="7"/>
  <c r="AF1813" i="7"/>
  <c r="AF1812" i="7"/>
  <c r="AF1811" i="7"/>
  <c r="AF1810" i="7"/>
  <c r="AF1809" i="7"/>
  <c r="AF1808" i="7"/>
  <c r="AF1807" i="7"/>
  <c r="AF1806" i="7"/>
  <c r="AF1805" i="7"/>
  <c r="AF1803" i="7"/>
  <c r="AF1800" i="7"/>
  <c r="AF1797" i="7"/>
  <c r="AF1796" i="7"/>
  <c r="AF1795" i="7"/>
  <c r="AF1794" i="7"/>
  <c r="AF1793" i="7"/>
  <c r="AF1792" i="7"/>
  <c r="AF1736" i="7"/>
  <c r="AF1704" i="7"/>
  <c r="AF1703" i="7"/>
  <c r="AF1702" i="7"/>
  <c r="AF1701" i="7"/>
  <c r="AF1700" i="7"/>
  <c r="AF1699" i="7"/>
  <c r="AF1698" i="7"/>
  <c r="AF1697" i="7"/>
  <c r="AF1696" i="7"/>
  <c r="AF1695" i="7"/>
  <c r="AF1687" i="7"/>
  <c r="AF1686" i="7"/>
  <c r="AF1683" i="7"/>
  <c r="AF1682" i="7"/>
  <c r="AF1681" i="7"/>
  <c r="AF1680" i="7"/>
  <c r="AF1679" i="7"/>
  <c r="AF1678" i="7"/>
  <c r="AF1677" i="7"/>
  <c r="AF1676" i="7"/>
  <c r="AF1675" i="7"/>
  <c r="AF1674" i="7"/>
  <c r="AF1673" i="7"/>
  <c r="AF1672" i="7"/>
  <c r="AF1671" i="7"/>
  <c r="AF1670" i="7"/>
  <c r="AF1668" i="7"/>
  <c r="AF1667" i="7"/>
  <c r="AF1666" i="7"/>
  <c r="AF1665" i="7"/>
  <c r="AF1659" i="7"/>
  <c r="AF1658" i="7"/>
  <c r="AF1657" i="7"/>
  <c r="AF1656" i="7"/>
  <c r="AF1655" i="7"/>
  <c r="AF1654" i="7"/>
  <c r="AF1653" i="7"/>
  <c r="AF1652" i="7"/>
  <c r="AF1651" i="7"/>
  <c r="AF1650" i="7"/>
  <c r="AF1649" i="7"/>
  <c r="AF1648" i="7"/>
  <c r="AF1647" i="7"/>
  <c r="AF1646" i="7"/>
  <c r="AF1645" i="7"/>
  <c r="AF1644" i="7"/>
  <c r="AF1643" i="7"/>
  <c r="AF1642" i="7"/>
  <c r="AF1641" i="7"/>
  <c r="AF1640" i="7"/>
  <c r="AF1639" i="7"/>
  <c r="AF1638" i="7"/>
  <c r="AF1637" i="7"/>
  <c r="AF1636" i="7"/>
  <c r="AF1635" i="7"/>
  <c r="AF1634" i="7"/>
  <c r="AF1633" i="7"/>
  <c r="AF1632" i="7"/>
  <c r="AF1631" i="7"/>
  <c r="AF1630" i="7"/>
  <c r="AF1629" i="7"/>
  <c r="AF1628" i="7"/>
  <c r="AF1627" i="7"/>
  <c r="AF1626" i="7"/>
  <c r="AF1625" i="7"/>
  <c r="AF1624" i="7"/>
  <c r="AF1623" i="7"/>
  <c r="AF1622" i="7"/>
  <c r="AF1593" i="7"/>
  <c r="AF1585" i="7"/>
  <c r="AF1584" i="7"/>
  <c r="AF1583" i="7"/>
  <c r="AF1574" i="7"/>
  <c r="AF1573" i="7"/>
  <c r="AF1572" i="7"/>
  <c r="AF1571" i="7"/>
  <c r="AF1570" i="7"/>
  <c r="AF1569" i="7"/>
  <c r="AF1568" i="7"/>
  <c r="AF1567" i="7"/>
  <c r="AF1566" i="7"/>
  <c r="AF1561" i="7"/>
  <c r="AF1558" i="7"/>
  <c r="AF1555" i="7"/>
  <c r="AF1552" i="7"/>
  <c r="AF1551" i="7"/>
  <c r="AF1550" i="7"/>
  <c r="AF1549" i="7"/>
  <c r="AF1548" i="7"/>
  <c r="AF1547" i="7"/>
  <c r="AF1546" i="7"/>
  <c r="AF1545" i="7"/>
  <c r="AF1544" i="7"/>
  <c r="AF1543" i="7"/>
  <c r="AF1535" i="7"/>
  <c r="AF1531" i="7"/>
  <c r="AF1530" i="7"/>
  <c r="AF1526" i="7"/>
  <c r="AF1519" i="7"/>
  <c r="AF1516" i="7"/>
  <c r="AF1512" i="7"/>
  <c r="AF1510" i="7"/>
  <c r="AF1506" i="7"/>
  <c r="AF1503" i="7"/>
  <c r="AF1501" i="7"/>
  <c r="AF1500" i="7"/>
  <c r="AF1499" i="7"/>
  <c r="AF1498" i="7"/>
  <c r="AF1497" i="7"/>
  <c r="AF1494" i="7"/>
  <c r="AF1493" i="7"/>
  <c r="AF1492" i="7"/>
  <c r="AF1490" i="7"/>
  <c r="AF1489" i="7"/>
  <c r="AF1488" i="7"/>
  <c r="AF1487" i="7"/>
  <c r="AF1486" i="7"/>
  <c r="AF1485" i="7"/>
  <c r="AF1484" i="7"/>
  <c r="AF1483" i="7"/>
  <c r="AF1482" i="7"/>
  <c r="AF1481" i="7"/>
  <c r="AF1479" i="7"/>
  <c r="AF1478" i="7"/>
  <c r="AF1477" i="7"/>
  <c r="AF1476" i="7"/>
  <c r="AF1473" i="7"/>
  <c r="AF1472" i="7"/>
  <c r="AF1471" i="7"/>
  <c r="AF1469" i="7"/>
  <c r="AF1468" i="7"/>
  <c r="AF1467" i="7"/>
  <c r="AF1465" i="7"/>
  <c r="AF1463" i="7"/>
  <c r="AF1462" i="7"/>
  <c r="AF1461" i="7"/>
  <c r="AF1460" i="7"/>
  <c r="AF1459" i="7"/>
  <c r="AF1456" i="7"/>
  <c r="AF1455" i="7"/>
  <c r="AF1454" i="7"/>
  <c r="AF1453" i="7"/>
  <c r="AF1452" i="7"/>
  <c r="AF1451" i="7"/>
  <c r="AF1450" i="7"/>
  <c r="AF1449" i="7"/>
  <c r="AF1448" i="7"/>
  <c r="AF1447" i="7"/>
  <c r="AF1446" i="7"/>
  <c r="AF1445" i="7"/>
  <c r="AF1442" i="7"/>
  <c r="AF1441" i="7"/>
  <c r="AF1440" i="7"/>
  <c r="AF1439" i="7"/>
  <c r="AF1438" i="7"/>
  <c r="AF1437" i="7"/>
  <c r="AF1436" i="7"/>
  <c r="AF1435" i="7"/>
  <c r="AF1434" i="7"/>
  <c r="AF1433" i="7"/>
  <c r="AF1432" i="7"/>
  <c r="AF1431" i="7"/>
  <c r="AF1430" i="7"/>
  <c r="AF1429" i="7"/>
  <c r="AF1427" i="7"/>
  <c r="AF1426" i="7"/>
  <c r="AF1425" i="7"/>
  <c r="AF1424" i="7"/>
  <c r="AF1423" i="7"/>
  <c r="AF1422" i="7"/>
  <c r="AF1421" i="7"/>
  <c r="AF1419" i="7"/>
  <c r="AF1418" i="7"/>
  <c r="AF1417" i="7"/>
  <c r="AF1416" i="7"/>
  <c r="AF1415" i="7"/>
  <c r="AF1414" i="7"/>
  <c r="AF1413" i="7"/>
  <c r="AF1412" i="7"/>
  <c r="AF1411" i="7"/>
  <c r="AF1409" i="7"/>
  <c r="AF1408" i="7"/>
  <c r="AF1407" i="7"/>
  <c r="AF1406" i="7"/>
  <c r="AF1405" i="7"/>
  <c r="AF1404" i="7"/>
  <c r="AF1403" i="7"/>
  <c r="AF1402" i="7"/>
  <c r="AF1401" i="7"/>
  <c r="AF1400" i="7"/>
  <c r="AF1399" i="7"/>
  <c r="AF1398" i="7"/>
  <c r="AF1397" i="7"/>
  <c r="AF1396" i="7"/>
  <c r="AF1395" i="7"/>
  <c r="AF1394" i="7"/>
  <c r="AF1393" i="7"/>
  <c r="AF1392" i="7"/>
  <c r="AF1391" i="7"/>
  <c r="AF1390" i="7"/>
  <c r="AF1389" i="7"/>
  <c r="AF1388" i="7"/>
  <c r="AF1387" i="7"/>
  <c r="AF1386" i="7"/>
  <c r="AF1385" i="7"/>
  <c r="AF1384" i="7"/>
  <c r="AF1383" i="7"/>
  <c r="AF1382" i="7"/>
  <c r="AF1381" i="7"/>
  <c r="AF1380" i="7"/>
  <c r="AF1379" i="7"/>
  <c r="AF1378" i="7"/>
  <c r="AF1377" i="7"/>
  <c r="AF1376" i="7"/>
  <c r="AF1375" i="7"/>
  <c r="AF1374" i="7"/>
  <c r="AF1373" i="7"/>
  <c r="AF1372" i="7"/>
  <c r="AF1371" i="7"/>
  <c r="AF1370" i="7"/>
  <c r="AF1369" i="7"/>
  <c r="AF1368" i="7"/>
  <c r="AF1367" i="7"/>
  <c r="AF1366" i="7"/>
  <c r="AF1365" i="7"/>
  <c r="AF1364" i="7"/>
  <c r="AF1363" i="7"/>
  <c r="AF1362" i="7"/>
  <c r="AF1361" i="7"/>
  <c r="AF1360" i="7"/>
  <c r="AF1359" i="7"/>
  <c r="AF1358" i="7"/>
  <c r="AF1357" i="7"/>
  <c r="AF1356" i="7"/>
  <c r="AF1354" i="7"/>
  <c r="AF1353" i="7"/>
  <c r="AF1352" i="7"/>
  <c r="AF1351" i="7"/>
  <c r="AF1350" i="7"/>
  <c r="AF1349" i="7"/>
  <c r="AF1348" i="7"/>
  <c r="AF1347" i="7"/>
  <c r="AF1346" i="7"/>
  <c r="AF1345" i="7"/>
  <c r="AF1344" i="7"/>
  <c r="AF1343" i="7"/>
  <c r="AF1342" i="7"/>
  <c r="AF1341" i="7"/>
  <c r="AF1340" i="7"/>
  <c r="AF1339" i="7"/>
  <c r="AF1338" i="7"/>
  <c r="AF1337" i="7"/>
  <c r="AF1336" i="7"/>
  <c r="AF1335" i="7"/>
  <c r="AF1334" i="7"/>
  <c r="AF1333" i="7"/>
  <c r="AF1332" i="7"/>
  <c r="AF1331" i="7"/>
  <c r="AF1330" i="7"/>
  <c r="AF1329" i="7"/>
  <c r="AF1328" i="7"/>
  <c r="AF1327" i="7"/>
  <c r="AF1326" i="7"/>
  <c r="AF1325" i="7"/>
  <c r="AF1324" i="7"/>
  <c r="AF1323" i="7"/>
  <c r="AF1322" i="7"/>
  <c r="AF1321" i="7"/>
  <c r="AF1320" i="7"/>
  <c r="AF1319" i="7"/>
  <c r="AF1318" i="7"/>
  <c r="AF1317" i="7"/>
  <c r="AF1316" i="7"/>
  <c r="AF1315" i="7"/>
  <c r="AF1314" i="7"/>
  <c r="AF1313" i="7"/>
  <c r="AF1312" i="7"/>
  <c r="AF1311" i="7"/>
  <c r="AF1310" i="7"/>
  <c r="AF1309" i="7"/>
  <c r="AF1308" i="7"/>
  <c r="AF1307" i="7"/>
  <c r="AF1306" i="7"/>
  <c r="AF1305" i="7"/>
  <c r="AF1304" i="7"/>
  <c r="AF1303" i="7"/>
  <c r="AF1302" i="7"/>
  <c r="AF1301" i="7"/>
  <c r="AF1300" i="7"/>
  <c r="AF1299" i="7"/>
  <c r="AF1298" i="7"/>
  <c r="AF1297" i="7"/>
  <c r="AF1296" i="7"/>
  <c r="AF1295" i="7"/>
  <c r="AF1294" i="7"/>
  <c r="AF1293" i="7"/>
  <c r="AF1292" i="7"/>
  <c r="AF1291" i="7"/>
  <c r="AF1290" i="7"/>
  <c r="AF1289" i="7"/>
  <c r="AF1288" i="7"/>
  <c r="AF1287" i="7"/>
  <c r="AF1286" i="7"/>
  <c r="AF1285" i="7"/>
  <c r="AF1284" i="7"/>
  <c r="AF1283" i="7"/>
  <c r="AF1282" i="7"/>
  <c r="AF1281" i="7"/>
  <c r="AF1280" i="7"/>
  <c r="AF1279" i="7"/>
  <c r="AF1278" i="7"/>
  <c r="AF1277" i="7"/>
  <c r="AF1276" i="7"/>
  <c r="AF1275" i="7"/>
  <c r="AF1274" i="7"/>
  <c r="AF1273" i="7"/>
  <c r="AF1272" i="7"/>
  <c r="AF1271" i="7"/>
  <c r="AF1270" i="7"/>
  <c r="AF1269" i="7"/>
  <c r="AF1268" i="7"/>
  <c r="AF1267" i="7"/>
  <c r="AF1266" i="7"/>
  <c r="AF1265" i="7"/>
  <c r="AF1264" i="7"/>
  <c r="AF1263" i="7"/>
  <c r="AF1262" i="7"/>
  <c r="AF1261" i="7"/>
  <c r="AF1260" i="7"/>
  <c r="AF1259" i="7"/>
  <c r="AF1258" i="7"/>
  <c r="AF1257" i="7"/>
  <c r="AF1256" i="7"/>
  <c r="AF1255" i="7"/>
  <c r="AF1254" i="7"/>
  <c r="AF1253" i="7"/>
  <c r="AF1252" i="7"/>
  <c r="AF1251" i="7"/>
  <c r="AF1250" i="7"/>
  <c r="AF1249" i="7"/>
  <c r="AF1248" i="7"/>
  <c r="AF1247" i="7"/>
  <c r="AF1246" i="7"/>
  <c r="AF1245" i="7"/>
  <c r="AF1244" i="7"/>
  <c r="AF1243" i="7"/>
  <c r="AF1242" i="7"/>
  <c r="AF1241" i="7"/>
  <c r="AF1240" i="7"/>
  <c r="AF1239" i="7"/>
  <c r="AF1238" i="7"/>
  <c r="AF1237" i="7"/>
  <c r="AF1236" i="7"/>
  <c r="AF1235" i="7"/>
  <c r="AF1234" i="7"/>
  <c r="AF1233" i="7"/>
  <c r="AF1232" i="7"/>
  <c r="AF1231" i="7"/>
  <c r="AF1230" i="7"/>
  <c r="AF1229" i="7"/>
  <c r="AF1228" i="7"/>
  <c r="AF1227" i="7"/>
  <c r="AF1226" i="7"/>
  <c r="AF1225" i="7"/>
  <c r="AF1224" i="7"/>
  <c r="AF1223" i="7"/>
  <c r="AF1222" i="7"/>
  <c r="AF1221" i="7"/>
  <c r="AF1220" i="7"/>
  <c r="AF1219" i="7"/>
  <c r="AF1218" i="7"/>
  <c r="AF1217" i="7"/>
  <c r="AF1216" i="7"/>
  <c r="AF1215" i="7"/>
  <c r="AF1214" i="7"/>
  <c r="AF1213" i="7"/>
  <c r="AF1212" i="7"/>
  <c r="AF1211" i="7"/>
  <c r="AF1210" i="7"/>
  <c r="AF1209" i="7"/>
  <c r="AF1208" i="7"/>
  <c r="AF1207" i="7"/>
  <c r="AF1206" i="7"/>
  <c r="AF1205" i="7"/>
  <c r="AF1202" i="7"/>
  <c r="AF1201" i="7"/>
  <c r="AF1200" i="7"/>
  <c r="AF1197" i="7"/>
  <c r="AF1195" i="7"/>
  <c r="AF1194" i="7"/>
  <c r="AF1193" i="7"/>
  <c r="AF1192" i="7"/>
  <c r="AF1191" i="7"/>
  <c r="AF1190" i="7"/>
  <c r="AF1189" i="7"/>
  <c r="AF1188" i="7"/>
  <c r="AF1187" i="7"/>
  <c r="AF1186" i="7"/>
  <c r="AF1185" i="7"/>
  <c r="AF1184" i="7"/>
  <c r="AF1183" i="7"/>
  <c r="AF1182" i="7"/>
  <c r="AF1181" i="7"/>
  <c r="AF1180" i="7"/>
  <c r="AF1179" i="7"/>
  <c r="AF1177" i="7"/>
  <c r="AF1165" i="7"/>
  <c r="AF1164" i="7"/>
  <c r="AF1158" i="7"/>
  <c r="AF1157" i="7"/>
  <c r="AF1156" i="7"/>
  <c r="AF1155" i="7"/>
  <c r="AF1154" i="7"/>
  <c r="AF1153" i="7"/>
  <c r="AF1152" i="7"/>
  <c r="AF1151" i="7"/>
  <c r="AF1150" i="7"/>
  <c r="AF1149" i="7"/>
  <c r="AF1148" i="7"/>
  <c r="AF1147" i="7"/>
  <c r="AF1146" i="7"/>
  <c r="AF1145" i="7"/>
  <c r="AF1144" i="7"/>
  <c r="AF1143" i="7"/>
  <c r="AF1142" i="7"/>
  <c r="AF1141" i="7"/>
  <c r="AF1140" i="7"/>
  <c r="AF1139" i="7"/>
  <c r="AF1138" i="7"/>
  <c r="AF1137" i="7"/>
  <c r="AF1136" i="7"/>
  <c r="AF1135" i="7"/>
  <c r="AF1134" i="7"/>
  <c r="AF1133" i="7"/>
  <c r="AF1132" i="7"/>
  <c r="AF1131" i="7"/>
  <c r="AF1130" i="7"/>
  <c r="AF1129" i="7"/>
  <c r="AF1128" i="7"/>
  <c r="AF1127" i="7"/>
  <c r="AF1126" i="7"/>
  <c r="AF1125" i="7"/>
  <c r="AF1124" i="7"/>
  <c r="AF1123" i="7"/>
  <c r="AF1122" i="7"/>
  <c r="AF1121" i="7"/>
  <c r="AF1120" i="7"/>
  <c r="AF1119" i="7"/>
  <c r="AF1118" i="7"/>
  <c r="AF1117" i="7"/>
  <c r="AF1116" i="7"/>
  <c r="AF1115" i="7"/>
  <c r="AF1114" i="7"/>
  <c r="AF1113" i="7"/>
  <c r="AF1111" i="7"/>
  <c r="AF1110" i="7"/>
  <c r="AF1109" i="7"/>
  <c r="AF1108" i="7"/>
  <c r="AF1107" i="7"/>
  <c r="AF1097" i="7"/>
  <c r="AF1096" i="7"/>
  <c r="AF1095" i="7"/>
  <c r="AF1094" i="7"/>
  <c r="AF1093" i="7"/>
  <c r="AF1092" i="7"/>
  <c r="AF1091" i="7"/>
  <c r="AF1090" i="7"/>
  <c r="AF1089" i="7"/>
  <c r="AF1088" i="7"/>
  <c r="AF1087" i="7"/>
  <c r="AF1086" i="7"/>
  <c r="AF1085" i="7"/>
  <c r="AF1084" i="7"/>
  <c r="AF1083" i="7"/>
  <c r="AF1082" i="7"/>
  <c r="AF1081" i="7"/>
  <c r="AF1080" i="7"/>
  <c r="AF1079" i="7"/>
  <c r="AF1078" i="7"/>
  <c r="AF1077" i="7"/>
  <c r="AF1076" i="7"/>
  <c r="AF1075" i="7"/>
  <c r="AF1074" i="7"/>
  <c r="AF1073" i="7"/>
  <c r="AF1072" i="7"/>
  <c r="AF1071" i="7"/>
  <c r="AF1070" i="7"/>
  <c r="AF1069" i="7"/>
  <c r="AF1068" i="7"/>
  <c r="AF1067" i="7"/>
  <c r="AF1066" i="7"/>
  <c r="AF1065" i="7"/>
  <c r="AF1064" i="7"/>
  <c r="AF1063" i="7"/>
  <c r="AF1062" i="7"/>
  <c r="AF1061" i="7"/>
  <c r="AF1060" i="7"/>
  <c r="AF1059" i="7"/>
  <c r="AF1058" i="7"/>
  <c r="AF1057" i="7"/>
  <c r="AF1056" i="7"/>
  <c r="AF1055" i="7"/>
  <c r="AF1054" i="7"/>
  <c r="AF1053" i="7"/>
  <c r="AF1052" i="7"/>
  <c r="AF1051" i="7"/>
  <c r="AF1050" i="7"/>
  <c r="AF1049" i="7"/>
  <c r="AF1048" i="7"/>
  <c r="AF1047" i="7"/>
  <c r="AF1046" i="7"/>
  <c r="AF1045" i="7"/>
  <c r="AF1044" i="7"/>
  <c r="AF1043" i="7"/>
  <c r="AF1042" i="7"/>
  <c r="AF1041" i="7"/>
  <c r="AF1040" i="7"/>
  <c r="AF1039" i="7"/>
  <c r="AF1038" i="7"/>
  <c r="AF1037" i="7"/>
  <c r="AF1036" i="7"/>
  <c r="AF1035" i="7"/>
  <c r="AF1034" i="7"/>
  <c r="AF1033" i="7"/>
  <c r="AF1032" i="7"/>
  <c r="AF1031" i="7"/>
  <c r="AF1030" i="7"/>
  <c r="AF1029" i="7"/>
  <c r="AF1028" i="7"/>
  <c r="AF1027" i="7"/>
  <c r="AF1026" i="7"/>
  <c r="AF1025" i="7"/>
  <c r="AF1024" i="7"/>
  <c r="AF1023" i="7"/>
  <c r="AF1022" i="7"/>
  <c r="AF1021" i="7"/>
  <c r="AF1020" i="7"/>
  <c r="AF1019" i="7"/>
  <c r="AF1018" i="7"/>
  <c r="AF1017" i="7"/>
  <c r="AF1016" i="7"/>
  <c r="AF1015" i="7"/>
  <c r="AF1014" i="7"/>
  <c r="AF1013" i="7"/>
  <c r="AF1012" i="7"/>
  <c r="AF1011" i="7"/>
  <c r="AF1010" i="7"/>
  <c r="AF1009" i="7"/>
  <c r="AF1008" i="7"/>
  <c r="AF1007" i="7"/>
  <c r="AF1006" i="7"/>
  <c r="AF1005" i="7"/>
  <c r="AF1004" i="7"/>
  <c r="AF1003" i="7"/>
  <c r="AF1002" i="7"/>
  <c r="AF1001" i="7"/>
  <c r="AF1000" i="7"/>
  <c r="AF999" i="7"/>
  <c r="AF998" i="7"/>
  <c r="AF987" i="7"/>
  <c r="AF986" i="7"/>
  <c r="AF985" i="7"/>
  <c r="AF984" i="7"/>
  <c r="AF983" i="7"/>
  <c r="AF982" i="7"/>
  <c r="AF981" i="7"/>
  <c r="AF980" i="7"/>
  <c r="AF979" i="7"/>
  <c r="AF978" i="7"/>
  <c r="AF977" i="7"/>
  <c r="AF975" i="7"/>
  <c r="AF974" i="7"/>
  <c r="AF973" i="7"/>
  <c r="AF972" i="7"/>
  <c r="AF971" i="7"/>
  <c r="AF970" i="7"/>
  <c r="AF969" i="7"/>
  <c r="AF968" i="7"/>
  <c r="AF967" i="7"/>
  <c r="AF966" i="7"/>
  <c r="AF965" i="7"/>
  <c r="AF964" i="7"/>
  <c r="AF963" i="7"/>
  <c r="AF962" i="7"/>
  <c r="AF961" i="7"/>
  <c r="AF960" i="7"/>
  <c r="AF959" i="7"/>
  <c r="AF958" i="7"/>
  <c r="AF957" i="7"/>
  <c r="AF956" i="7"/>
  <c r="AF955" i="7"/>
  <c r="AF954" i="7"/>
  <c r="AF953" i="7"/>
  <c r="AF952" i="7"/>
  <c r="AF937" i="7"/>
  <c r="AF936" i="7"/>
  <c r="AF935" i="7"/>
  <c r="AF929" i="7"/>
  <c r="AF928" i="7"/>
  <c r="AF927" i="7"/>
  <c r="AF924" i="7"/>
  <c r="AF923" i="7"/>
  <c r="AF922" i="7"/>
  <c r="AF921" i="7"/>
  <c r="AF920" i="7"/>
  <c r="AF919" i="7"/>
  <c r="AF918" i="7"/>
  <c r="AF917" i="7"/>
  <c r="AF916" i="7"/>
  <c r="AF915" i="7"/>
  <c r="AF914" i="7"/>
  <c r="AF913" i="7"/>
  <c r="AF912" i="7"/>
  <c r="AF911" i="7"/>
  <c r="AF910" i="7"/>
  <c r="AF909" i="7"/>
  <c r="AF908" i="7"/>
  <c r="AF907" i="7"/>
  <c r="AF906" i="7"/>
  <c r="AF905" i="7"/>
  <c r="AF904" i="7"/>
  <c r="AF903" i="7"/>
  <c r="AF902" i="7"/>
  <c r="AF901" i="7"/>
  <c r="AF900" i="7"/>
  <c r="AF899" i="7"/>
  <c r="AF898" i="7"/>
  <c r="AF897" i="7"/>
  <c r="AF896" i="7"/>
  <c r="AF895" i="7"/>
  <c r="AF894" i="7"/>
  <c r="AF893" i="7"/>
  <c r="AF892" i="7"/>
  <c r="AF891" i="7"/>
  <c r="AF890" i="7"/>
  <c r="AF889" i="7"/>
  <c r="AF888" i="7"/>
  <c r="AF887" i="7"/>
  <c r="AF886" i="7"/>
  <c r="AF885" i="7"/>
  <c r="AF884" i="7"/>
  <c r="AF883" i="7"/>
  <c r="AF882" i="7"/>
  <c r="AF881" i="7"/>
  <c r="AF880" i="7"/>
  <c r="AF879" i="7"/>
  <c r="AF878" i="7"/>
  <c r="AF877" i="7"/>
  <c r="AF876" i="7"/>
  <c r="AF875" i="7"/>
  <c r="AF874" i="7"/>
  <c r="AF873" i="7"/>
  <c r="AF872" i="7"/>
  <c r="AF871" i="7"/>
  <c r="AF870" i="7"/>
  <c r="AF869" i="7"/>
  <c r="AF868" i="7"/>
  <c r="AF867" i="7"/>
  <c r="AF866" i="7"/>
  <c r="AF865" i="7"/>
  <c r="AF864" i="7"/>
  <c r="AF863" i="7"/>
  <c r="AF862" i="7"/>
  <c r="AF861" i="7"/>
  <c r="AF851" i="7"/>
  <c r="AF850" i="7"/>
  <c r="AF849" i="7"/>
  <c r="AF848" i="7"/>
  <c r="AF847" i="7"/>
  <c r="AF846" i="7"/>
  <c r="AF845" i="7"/>
  <c r="AF844" i="7"/>
  <c r="AF843" i="7"/>
  <c r="AF828" i="7"/>
  <c r="AF827" i="7"/>
  <c r="AF826" i="7"/>
  <c r="AF825" i="7"/>
  <c r="AF820" i="7"/>
  <c r="AF819" i="7"/>
  <c r="AF818" i="7"/>
  <c r="AF817" i="7"/>
  <c r="AF816" i="7"/>
  <c r="AF815" i="7"/>
  <c r="AF814" i="7"/>
  <c r="AF813" i="7"/>
  <c r="AF812" i="7"/>
  <c r="AF811" i="7"/>
  <c r="AF810" i="7"/>
  <c r="AF809" i="7"/>
  <c r="AF808" i="7"/>
  <c r="AF807" i="7"/>
  <c r="AF806" i="7"/>
  <c r="AF805" i="7"/>
  <c r="AF804" i="7"/>
  <c r="AF803" i="7"/>
  <c r="AF802" i="7"/>
  <c r="AF801" i="7"/>
  <c r="AF800" i="7"/>
  <c r="AF799" i="7"/>
  <c r="AF798" i="7"/>
  <c r="AF797" i="7"/>
  <c r="AF796" i="7"/>
  <c r="AF795" i="7"/>
  <c r="AF794" i="7"/>
  <c r="AF793" i="7"/>
  <c r="AF792" i="7"/>
  <c r="AF791" i="7"/>
  <c r="AF790" i="7"/>
  <c r="AF789" i="7"/>
  <c r="AF788" i="7"/>
  <c r="AF787" i="7"/>
  <c r="AF786" i="7"/>
  <c r="AF785" i="7"/>
  <c r="AF784" i="7"/>
  <c r="AF783" i="7"/>
  <c r="AF782" i="7"/>
  <c r="AF781" i="7"/>
  <c r="AF780" i="7"/>
  <c r="AF779" i="7"/>
  <c r="AF778" i="7"/>
  <c r="AF777" i="7"/>
  <c r="AF776" i="7"/>
  <c r="AF775" i="7"/>
  <c r="AF774" i="7"/>
  <c r="AF773" i="7"/>
  <c r="AF772" i="7"/>
  <c r="AF771" i="7"/>
  <c r="AF770" i="7"/>
  <c r="AF769" i="7"/>
  <c r="AF768" i="7"/>
  <c r="AF767" i="7"/>
  <c r="AF766" i="7"/>
  <c r="AF765" i="7"/>
  <c r="AF764" i="7"/>
  <c r="AF763" i="7"/>
  <c r="AF762" i="7"/>
  <c r="AF761" i="7"/>
  <c r="AF760" i="7"/>
  <c r="AF759" i="7"/>
  <c r="AF758" i="7"/>
  <c r="AF757" i="7"/>
  <c r="AF756" i="7"/>
  <c r="AF755" i="7"/>
  <c r="AF754" i="7"/>
  <c r="AF753" i="7"/>
  <c r="AF752" i="7"/>
  <c r="AF751" i="7"/>
  <c r="AF750" i="7"/>
  <c r="AF749" i="7"/>
  <c r="AF748" i="7"/>
  <c r="AF747" i="7"/>
  <c r="AF746" i="7"/>
  <c r="AF745" i="7"/>
  <c r="AF744" i="7"/>
  <c r="AF743" i="7"/>
  <c r="AF742" i="7"/>
  <c r="AF741" i="7"/>
  <c r="AF740" i="7"/>
  <c r="AF739" i="7"/>
  <c r="AF738" i="7"/>
  <c r="AF737" i="7"/>
  <c r="AF736" i="7"/>
  <c r="AF735" i="7"/>
  <c r="AF734" i="7"/>
  <c r="AF733" i="7"/>
  <c r="AF732" i="7"/>
  <c r="AF731" i="7"/>
  <c r="AF730" i="7"/>
  <c r="AF729" i="7"/>
  <c r="AF728" i="7"/>
  <c r="AF727" i="7"/>
  <c r="AF726" i="7"/>
  <c r="AF725" i="7"/>
  <c r="AF724" i="7"/>
  <c r="AF723" i="7"/>
  <c r="AF722" i="7"/>
  <c r="AF721" i="7"/>
  <c r="AF720" i="7"/>
  <c r="AF719" i="7"/>
  <c r="AF718" i="7"/>
  <c r="AF717" i="7"/>
  <c r="AF716" i="7"/>
  <c r="AF715" i="7"/>
  <c r="AF714" i="7"/>
  <c r="AF713" i="7"/>
  <c r="AF712" i="7"/>
  <c r="AF711" i="7"/>
  <c r="AF710" i="7"/>
  <c r="AF709" i="7"/>
  <c r="AF708" i="7"/>
  <c r="AF707" i="7"/>
  <c r="AF706" i="7"/>
  <c r="AF705" i="7"/>
  <c r="AF704" i="7"/>
  <c r="AF703" i="7"/>
  <c r="AF702" i="7"/>
  <c r="AF701" i="7"/>
  <c r="AF700" i="7"/>
  <c r="AF699" i="7"/>
  <c r="AF698" i="7"/>
  <c r="AF697" i="7"/>
  <c r="AF696" i="7"/>
  <c r="AF695" i="7"/>
  <c r="AF691" i="7"/>
  <c r="AF687" i="7"/>
  <c r="AF686" i="7"/>
  <c r="AF679" i="7"/>
  <c r="AF667" i="7"/>
  <c r="AF666" i="7"/>
  <c r="AF662" i="7"/>
  <c r="AF659" i="7"/>
  <c r="AF658" i="7"/>
  <c r="AF657" i="7"/>
  <c r="AF656" i="7"/>
  <c r="AF655" i="7"/>
  <c r="AF646" i="7"/>
  <c r="AF638" i="7"/>
  <c r="AF637" i="7"/>
  <c r="AF634" i="7"/>
  <c r="AF631" i="7"/>
  <c r="AF629" i="7"/>
  <c r="AF623" i="7"/>
  <c r="AF622" i="7"/>
  <c r="AF620" i="7"/>
  <c r="AF613" i="7"/>
  <c r="AF605" i="7"/>
  <c r="AF604" i="7"/>
  <c r="AF603" i="7"/>
  <c r="AF602" i="7"/>
  <c r="AF601" i="7"/>
  <c r="AF600" i="7"/>
  <c r="AF599" i="7"/>
  <c r="AF598" i="7"/>
  <c r="AF597" i="7"/>
  <c r="AF596" i="7"/>
  <c r="AF594" i="7"/>
  <c r="AF593" i="7"/>
  <c r="AF592" i="7"/>
  <c r="AF578" i="7"/>
  <c r="AF576" i="7"/>
  <c r="AF575" i="7"/>
  <c r="AF574" i="7"/>
  <c r="AF554" i="7"/>
  <c r="AF552" i="7"/>
  <c r="AF550" i="7"/>
  <c r="AF548" i="7"/>
  <c r="AF538" i="7"/>
  <c r="AF448" i="7"/>
  <c r="AF447" i="7"/>
  <c r="AF445" i="7"/>
  <c r="AF426" i="7"/>
  <c r="AF412" i="7"/>
  <c r="AF407" i="7"/>
  <c r="AF374" i="7"/>
  <c r="AF345" i="7"/>
  <c r="AF313" i="7"/>
  <c r="AF294" i="7"/>
  <c r="AF267" i="7"/>
  <c r="AF259" i="7"/>
  <c r="AF222" i="7"/>
  <c r="AF221" i="7"/>
  <c r="AF219" i="7"/>
  <c r="AF218" i="7"/>
  <c r="AF217" i="7"/>
  <c r="AF215" i="7"/>
  <c r="AF212" i="7"/>
  <c r="AF211" i="7"/>
  <c r="AF210" i="7"/>
  <c r="AF201" i="7"/>
  <c r="AF196" i="7"/>
  <c r="AF194" i="7"/>
  <c r="AF193" i="7"/>
  <c r="AF185" i="7"/>
  <c r="AF183" i="7"/>
  <c r="AF182" i="7"/>
  <c r="AF181" i="7"/>
  <c r="AF180" i="7"/>
  <c r="AF179" i="7"/>
  <c r="AF178" i="7"/>
  <c r="AF176" i="7"/>
  <c r="AF175" i="7"/>
  <c r="AF173" i="7"/>
  <c r="AF170" i="7"/>
  <c r="AF159" i="7"/>
  <c r="AF157" i="7"/>
  <c r="AF156" i="7"/>
  <c r="AF155" i="7"/>
  <c r="AF154" i="7"/>
  <c r="AF145" i="7"/>
  <c r="AF144" i="7"/>
  <c r="AF143" i="7"/>
  <c r="AF142" i="7"/>
  <c r="AF133" i="7"/>
  <c r="AF109" i="7"/>
  <c r="AF87" i="7"/>
  <c r="AF77" i="7"/>
  <c r="AF45" i="7"/>
  <c r="AE1972" i="7"/>
  <c r="AE1971" i="7"/>
  <c r="AE1969" i="7"/>
  <c r="AE1966" i="7"/>
  <c r="AE1965" i="7"/>
  <c r="AE1964" i="7"/>
  <c r="AE1963" i="7"/>
  <c r="AE1962" i="7"/>
  <c r="AE1961" i="7"/>
  <c r="AE1960" i="7"/>
  <c r="AE1959" i="7"/>
  <c r="AE1958" i="7"/>
  <c r="AE1957" i="7"/>
  <c r="AE1956" i="7"/>
  <c r="AE1955" i="7"/>
  <c r="AE1954" i="7"/>
  <c r="AE1953" i="7"/>
  <c r="AE1952" i="7"/>
  <c r="AE1951" i="7"/>
  <c r="AE1950" i="7"/>
  <c r="AE1949" i="7"/>
  <c r="AE1948" i="7"/>
  <c r="AE1946" i="7"/>
  <c r="AE1945" i="7"/>
  <c r="AE1944" i="7"/>
  <c r="AE1943" i="7"/>
  <c r="AE1942" i="7"/>
  <c r="AE1941" i="7"/>
  <c r="AE1940" i="7"/>
  <c r="AE1939" i="7"/>
  <c r="AE1938" i="7"/>
  <c r="AE1937" i="7"/>
  <c r="AE1936" i="7"/>
  <c r="AE1935" i="7"/>
  <c r="AE1934" i="7"/>
  <c r="AE1933" i="7"/>
  <c r="AE1932" i="7"/>
  <c r="AE1930" i="7"/>
  <c r="AE1929" i="7"/>
  <c r="AE1928" i="7"/>
  <c r="AE1927" i="7"/>
  <c r="AE1926" i="7"/>
  <c r="AE1925" i="7"/>
  <c r="AE1924" i="7"/>
  <c r="AE1923" i="7"/>
  <c r="AE1922" i="7"/>
  <c r="AE1921" i="7"/>
  <c r="AE1920" i="7"/>
  <c r="AE1919" i="7"/>
  <c r="AE1918" i="7"/>
  <c r="AE1917" i="7"/>
  <c r="AE1916" i="7"/>
  <c r="AE1915" i="7"/>
  <c r="AE1914" i="7"/>
  <c r="AE1912" i="7"/>
  <c r="AE1909" i="7"/>
  <c r="AE1908" i="7"/>
  <c r="AE1907" i="7"/>
  <c r="AE1906" i="7"/>
  <c r="AE1905" i="7"/>
  <c r="AE1904" i="7"/>
  <c r="AE1903" i="7"/>
  <c r="AE1902" i="7"/>
  <c r="AE1901" i="7"/>
  <c r="AE1899" i="7"/>
  <c r="AE1898" i="7"/>
  <c r="AE1897" i="7"/>
  <c r="AE1895" i="7"/>
  <c r="AE1894" i="7"/>
  <c r="AE1893" i="7"/>
  <c r="AE1892" i="7"/>
  <c r="AE1891" i="7"/>
  <c r="AE1889" i="7"/>
  <c r="AE1886" i="7"/>
  <c r="AE1885" i="7"/>
  <c r="AE1884" i="7"/>
  <c r="AE1881" i="7"/>
  <c r="AE1880" i="7"/>
  <c r="AE1879" i="7"/>
  <c r="AE1878" i="7"/>
  <c r="AE1877" i="7"/>
  <c r="AE1876" i="7"/>
  <c r="AE1875" i="7"/>
  <c r="AE1874" i="7"/>
  <c r="AE1873" i="7"/>
  <c r="AE1872" i="7"/>
  <c r="AE1871" i="7"/>
  <c r="AE1870" i="7"/>
  <c r="AE1869" i="7"/>
  <c r="AE1868" i="7"/>
  <c r="AE1867" i="7"/>
  <c r="AE1866" i="7"/>
  <c r="AE1865" i="7"/>
  <c r="AE1864" i="7"/>
  <c r="AE1863" i="7"/>
  <c r="AE1862" i="7"/>
  <c r="AE1861" i="7"/>
  <c r="AE1860" i="7"/>
  <c r="AE1859" i="7"/>
  <c r="AE1858" i="7"/>
  <c r="AE1857" i="7"/>
  <c r="AE1856" i="7"/>
  <c r="AE1855" i="7"/>
  <c r="AE1854" i="7"/>
  <c r="AE1853" i="7"/>
  <c r="AE1852" i="7"/>
  <c r="AE1851" i="7"/>
  <c r="AE1850" i="7"/>
  <c r="AE1849" i="7"/>
  <c r="AE1848" i="7"/>
  <c r="AE1847" i="7"/>
  <c r="AE1846" i="7"/>
  <c r="AE1845" i="7"/>
  <c r="AE1844" i="7"/>
  <c r="AE1843" i="7"/>
  <c r="AE1842" i="7"/>
  <c r="AE1841" i="7"/>
  <c r="AE1840" i="7"/>
  <c r="AE1839" i="7"/>
  <c r="AE1838" i="7"/>
  <c r="AE1837" i="7"/>
  <c r="AE1836" i="7"/>
  <c r="AE1835" i="7"/>
  <c r="AE1833" i="7"/>
  <c r="AE1832" i="7"/>
  <c r="AE1831" i="7"/>
  <c r="AE1830" i="7"/>
  <c r="AE1829" i="7"/>
  <c r="AE1828" i="7"/>
  <c r="AE1827" i="7"/>
  <c r="AE1826" i="7"/>
  <c r="AE1825" i="7"/>
  <c r="AE1824" i="7"/>
  <c r="AE1823" i="7"/>
  <c r="AE1822" i="7"/>
  <c r="AE1821" i="7"/>
  <c r="AE1820" i="7"/>
  <c r="AE1819" i="7"/>
  <c r="AE1818" i="7"/>
  <c r="AE1817" i="7"/>
  <c r="AE1816" i="7"/>
  <c r="AE1815" i="7"/>
  <c r="AE1814" i="7"/>
  <c r="AE1813" i="7"/>
  <c r="AE1812" i="7"/>
  <c r="AE1811" i="7"/>
  <c r="AE1810" i="7"/>
  <c r="AE1809" i="7"/>
  <c r="AE1808" i="7"/>
  <c r="AE1807" i="7"/>
  <c r="AE1806" i="7"/>
  <c r="AE1805" i="7"/>
  <c r="AE1804" i="7"/>
  <c r="AE1803" i="7"/>
  <c r="AE1800" i="7"/>
  <c r="AE1797" i="7"/>
  <c r="AE1796" i="7"/>
  <c r="AE1795" i="7"/>
  <c r="AE1794" i="7"/>
  <c r="AE1793" i="7"/>
  <c r="AE1792" i="7"/>
  <c r="AE1784" i="7"/>
  <c r="AE1783" i="7"/>
  <c r="AE1781" i="7"/>
  <c r="AE1780" i="7"/>
  <c r="AE1778" i="7"/>
  <c r="AE1773" i="7"/>
  <c r="AE1772" i="7"/>
  <c r="AE1771" i="7"/>
  <c r="AE1766" i="7"/>
  <c r="AE1763" i="7"/>
  <c r="AE1762" i="7"/>
  <c r="AE1761" i="7"/>
  <c r="AE1760" i="7"/>
  <c r="AE1759" i="7"/>
  <c r="AE1758" i="7"/>
  <c r="AE1748" i="7"/>
  <c r="AE1742" i="7"/>
  <c r="AE1738" i="7"/>
  <c r="AE1736" i="7"/>
  <c r="AE1735" i="7"/>
  <c r="AE1733" i="7"/>
  <c r="AE1732" i="7"/>
  <c r="AE1731" i="7"/>
  <c r="AE1730" i="7"/>
  <c r="AE1726" i="7"/>
  <c r="AE1717" i="7"/>
  <c r="AE1704" i="7"/>
  <c r="AE1703" i="7"/>
  <c r="AE1702" i="7"/>
  <c r="AE1701" i="7"/>
  <c r="AE1700" i="7"/>
  <c r="AE1699" i="7"/>
  <c r="AE1698" i="7"/>
  <c r="AE1697" i="7"/>
  <c r="AE1696" i="7"/>
  <c r="AE1695" i="7"/>
  <c r="AE1693" i="7"/>
  <c r="AE1687" i="7"/>
  <c r="AE1686" i="7"/>
  <c r="AE1683" i="7"/>
  <c r="AE1682" i="7"/>
  <c r="AE1681" i="7"/>
  <c r="AE1680" i="7"/>
  <c r="AE1679" i="7"/>
  <c r="AE1678" i="7"/>
  <c r="AE1677" i="7"/>
  <c r="AE1676" i="7"/>
  <c r="AE1675" i="7"/>
  <c r="AE1674" i="7"/>
  <c r="AE1673" i="7"/>
  <c r="AE1672" i="7"/>
  <c r="AE1671" i="7"/>
  <c r="AE1670" i="7"/>
  <c r="AE1669" i="7"/>
  <c r="AE1668" i="7"/>
  <c r="AE1667" i="7"/>
  <c r="AE1666" i="7"/>
  <c r="AE1665" i="7"/>
  <c r="AE1659" i="7"/>
  <c r="AE1658" i="7"/>
  <c r="AE1657" i="7"/>
  <c r="AE1656" i="7"/>
  <c r="AE1655" i="7"/>
  <c r="AE1654" i="7"/>
  <c r="AE1653" i="7"/>
  <c r="AE1652" i="7"/>
  <c r="AE1651" i="7"/>
  <c r="AE1650" i="7"/>
  <c r="AE1649" i="7"/>
  <c r="AE1648" i="7"/>
  <c r="AE1647" i="7"/>
  <c r="AE1646" i="7"/>
  <c r="AE1645" i="7"/>
  <c r="AE1644" i="7"/>
  <c r="AE1643" i="7"/>
  <c r="AE1642" i="7"/>
  <c r="AE1641" i="7"/>
  <c r="AE1640" i="7"/>
  <c r="AE1639" i="7"/>
  <c r="AE1638" i="7"/>
  <c r="AE1637" i="7"/>
  <c r="AE1636" i="7"/>
  <c r="AE1635" i="7"/>
  <c r="AE1634" i="7"/>
  <c r="AE1633" i="7"/>
  <c r="AE1632" i="7"/>
  <c r="AE1631" i="7"/>
  <c r="AE1630" i="7"/>
  <c r="AE1629" i="7"/>
  <c r="AE1628" i="7"/>
  <c r="AE1627" i="7"/>
  <c r="AE1626" i="7"/>
  <c r="AE1625" i="7"/>
  <c r="AE1624" i="7"/>
  <c r="AE1623" i="7"/>
  <c r="AE1622" i="7"/>
  <c r="AE1607" i="7"/>
  <c r="AE1599" i="7"/>
  <c r="AE1593" i="7"/>
  <c r="AE1592" i="7"/>
  <c r="AE1591" i="7"/>
  <c r="AE1590" i="7"/>
  <c r="AE1589" i="7"/>
  <c r="AE1588" i="7"/>
  <c r="AE1587" i="7"/>
  <c r="AE1586" i="7"/>
  <c r="AE1585" i="7"/>
  <c r="AE1584" i="7"/>
  <c r="AE1583" i="7"/>
  <c r="AE1582" i="7"/>
  <c r="AE1581" i="7"/>
  <c r="AE1580" i="7"/>
  <c r="AE1579" i="7"/>
  <c r="AE1578" i="7"/>
  <c r="AE1577" i="7"/>
  <c r="AE1576" i="7"/>
  <c r="AE1575" i="7"/>
  <c r="AE1574" i="7"/>
  <c r="AE1573" i="7"/>
  <c r="AE1572" i="7"/>
  <c r="AE1571" i="7"/>
  <c r="AE1570" i="7"/>
  <c r="AE1569" i="7"/>
  <c r="AE1568" i="7"/>
  <c r="AE1567" i="7"/>
  <c r="AE1566" i="7"/>
  <c r="AE1565" i="7"/>
  <c r="AE1563" i="7"/>
  <c r="AE1562" i="7"/>
  <c r="AE1561" i="7"/>
  <c r="AE1558" i="7"/>
  <c r="AE1556" i="7"/>
  <c r="AE1555" i="7"/>
  <c r="AE1552" i="7"/>
  <c r="AE1551" i="7"/>
  <c r="AE1550" i="7"/>
  <c r="AE1549" i="7"/>
  <c r="AE1548" i="7"/>
  <c r="AE1547" i="7"/>
  <c r="AE1546" i="7"/>
  <c r="AE1545" i="7"/>
  <c r="AE1544" i="7"/>
  <c r="AE1543" i="7"/>
  <c r="AE1535" i="7"/>
  <c r="AE1531" i="7"/>
  <c r="AE1530" i="7"/>
  <c r="AE1526" i="7"/>
  <c r="AE1520" i="7"/>
  <c r="AE1519" i="7"/>
  <c r="AE1518" i="7"/>
  <c r="AE1516" i="7"/>
  <c r="AE1515" i="7"/>
  <c r="AE1512" i="7"/>
  <c r="AE1510" i="7"/>
  <c r="AE1507" i="7"/>
  <c r="AE1506" i="7"/>
  <c r="AE1504" i="7"/>
  <c r="AE1503" i="7"/>
  <c r="AE1502" i="7"/>
  <c r="AE1501" i="7"/>
  <c r="AE1500" i="7"/>
  <c r="AE1499" i="7"/>
  <c r="AE1498" i="7"/>
  <c r="AE1497" i="7"/>
  <c r="AE1495" i="7"/>
  <c r="AE1494" i="7"/>
  <c r="AE1493" i="7"/>
  <c r="AE1492" i="7"/>
  <c r="AE1491" i="7"/>
  <c r="AE1490" i="7"/>
  <c r="AE1489" i="7"/>
  <c r="AE1488" i="7"/>
  <c r="AE1487" i="7"/>
  <c r="AE1486" i="7"/>
  <c r="AE1485" i="7"/>
  <c r="AE1484" i="7"/>
  <c r="AE1483" i="7"/>
  <c r="AE1482" i="7"/>
  <c r="AE1481" i="7"/>
  <c r="AE1480" i="7"/>
  <c r="AE1479" i="7"/>
  <c r="AE1478" i="7"/>
  <c r="AE1477" i="7"/>
  <c r="AE1476" i="7"/>
  <c r="AE1475" i="7"/>
  <c r="AE1474" i="7"/>
  <c r="AE1473" i="7"/>
  <c r="AE1472" i="7"/>
  <c r="AE1471" i="7"/>
  <c r="AE1470" i="7"/>
  <c r="AE1469" i="7"/>
  <c r="AE1468" i="7"/>
  <c r="AE1467" i="7"/>
  <c r="AE1466" i="7"/>
  <c r="AE1465" i="7"/>
  <c r="AE1464" i="7"/>
  <c r="AE1463" i="7"/>
  <c r="AE1462" i="7"/>
  <c r="AE1461" i="7"/>
  <c r="AE1460" i="7"/>
  <c r="AE1459" i="7"/>
  <c r="AE1458" i="7"/>
  <c r="AE1457" i="7"/>
  <c r="AE1456" i="7"/>
  <c r="AE1455" i="7"/>
  <c r="AE1454" i="7"/>
  <c r="AE1453" i="7"/>
  <c r="AE1452" i="7"/>
  <c r="AE1451" i="7"/>
  <c r="AE1450" i="7"/>
  <c r="AE1449" i="7"/>
  <c r="AE1448" i="7"/>
  <c r="AE1447" i="7"/>
  <c r="AE1446" i="7"/>
  <c r="AE1445" i="7"/>
  <c r="AE1444" i="7"/>
  <c r="AE1443" i="7"/>
  <c r="AE1442" i="7"/>
  <c r="AE1441" i="7"/>
  <c r="AE1440" i="7"/>
  <c r="AE1439" i="7"/>
  <c r="AE1438" i="7"/>
  <c r="AE1437" i="7"/>
  <c r="AE1436" i="7"/>
  <c r="AE1435" i="7"/>
  <c r="AE1434" i="7"/>
  <c r="AE1433" i="7"/>
  <c r="AE1432" i="7"/>
  <c r="AE1431" i="7"/>
  <c r="AE1430" i="7"/>
  <c r="AE1429" i="7"/>
  <c r="AE1428" i="7"/>
  <c r="AE1427" i="7"/>
  <c r="AE1426" i="7"/>
  <c r="AE1425" i="7"/>
  <c r="AE1424" i="7"/>
  <c r="AE1423" i="7"/>
  <c r="AE1422" i="7"/>
  <c r="AE1421" i="7"/>
  <c r="AE1420" i="7"/>
  <c r="AE1419" i="7"/>
  <c r="AE1418" i="7"/>
  <c r="AE1417" i="7"/>
  <c r="AE1416" i="7"/>
  <c r="AE1415" i="7"/>
  <c r="AE1414" i="7"/>
  <c r="AE1413" i="7"/>
  <c r="AE1412" i="7"/>
  <c r="AE1411" i="7"/>
  <c r="AE1410" i="7"/>
  <c r="AE1409" i="7"/>
  <c r="AE1408" i="7"/>
  <c r="AE1407" i="7"/>
  <c r="AE1406" i="7"/>
  <c r="AE1405" i="7"/>
  <c r="AE1404" i="7"/>
  <c r="AE1403" i="7"/>
  <c r="AE1402" i="7"/>
  <c r="AE1401" i="7"/>
  <c r="AE1400" i="7"/>
  <c r="AE1399" i="7"/>
  <c r="AE1398" i="7"/>
  <c r="AE1397" i="7"/>
  <c r="AE1396" i="7"/>
  <c r="AE1395" i="7"/>
  <c r="AE1394" i="7"/>
  <c r="AE1393" i="7"/>
  <c r="AE1392" i="7"/>
  <c r="AE1391" i="7"/>
  <c r="AE1390" i="7"/>
  <c r="AE1389" i="7"/>
  <c r="AE1388" i="7"/>
  <c r="AE1387" i="7"/>
  <c r="AE1386" i="7"/>
  <c r="AE1385" i="7"/>
  <c r="AE1384" i="7"/>
  <c r="AE1383" i="7"/>
  <c r="AE1382" i="7"/>
  <c r="AE1381" i="7"/>
  <c r="AE1380" i="7"/>
  <c r="AE1379" i="7"/>
  <c r="AE1378" i="7"/>
  <c r="AE1377" i="7"/>
  <c r="AE1376" i="7"/>
  <c r="AE1375" i="7"/>
  <c r="AE1374" i="7"/>
  <c r="AE1373" i="7"/>
  <c r="AE1372" i="7"/>
  <c r="AE1371" i="7"/>
  <c r="AE1370" i="7"/>
  <c r="AE1369" i="7"/>
  <c r="AE1368" i="7"/>
  <c r="AE1367" i="7"/>
  <c r="AE1366" i="7"/>
  <c r="AE1365" i="7"/>
  <c r="AE1364" i="7"/>
  <c r="AE1363" i="7"/>
  <c r="AE1362" i="7"/>
  <c r="AE1361" i="7"/>
  <c r="AE1360" i="7"/>
  <c r="AE1359" i="7"/>
  <c r="AE1358" i="7"/>
  <c r="AE1357" i="7"/>
  <c r="AE1356" i="7"/>
  <c r="AE1355" i="7"/>
  <c r="AE1354" i="7"/>
  <c r="AE1353" i="7"/>
  <c r="AE1352" i="7"/>
  <c r="AE1351" i="7"/>
  <c r="AE1350" i="7"/>
  <c r="AE1349" i="7"/>
  <c r="AE1348" i="7"/>
  <c r="AE1347" i="7"/>
  <c r="AE1346" i="7"/>
  <c r="AE1345" i="7"/>
  <c r="AE1344" i="7"/>
  <c r="AE1343" i="7"/>
  <c r="AE1342" i="7"/>
  <c r="AE1341" i="7"/>
  <c r="AE1340" i="7"/>
  <c r="AE1339" i="7"/>
  <c r="AE1338" i="7"/>
  <c r="AE1337" i="7"/>
  <c r="AE1336" i="7"/>
  <c r="AE1335" i="7"/>
  <c r="AE1334" i="7"/>
  <c r="AE1333" i="7"/>
  <c r="AE1332" i="7"/>
  <c r="AE1331" i="7"/>
  <c r="AE1330" i="7"/>
  <c r="AE1329" i="7"/>
  <c r="AE1328" i="7"/>
  <c r="AE1327" i="7"/>
  <c r="AE1326" i="7"/>
  <c r="AE1325" i="7"/>
  <c r="AE1324" i="7"/>
  <c r="AE1323" i="7"/>
  <c r="AE1322" i="7"/>
  <c r="AE1321" i="7"/>
  <c r="AE1320" i="7"/>
  <c r="AE1319" i="7"/>
  <c r="AE1318" i="7"/>
  <c r="AE1317" i="7"/>
  <c r="AE1316" i="7"/>
  <c r="AE1315" i="7"/>
  <c r="AE1314" i="7"/>
  <c r="AE1313" i="7"/>
  <c r="AE1312" i="7"/>
  <c r="AE1311" i="7"/>
  <c r="AE1310" i="7"/>
  <c r="AE1309" i="7"/>
  <c r="AE1308" i="7"/>
  <c r="AE1307" i="7"/>
  <c r="AE1306" i="7"/>
  <c r="AE1305" i="7"/>
  <c r="AE1304" i="7"/>
  <c r="AE1303" i="7"/>
  <c r="AE1302" i="7"/>
  <c r="AE1301" i="7"/>
  <c r="AE1300" i="7"/>
  <c r="AE1299" i="7"/>
  <c r="AE1298" i="7"/>
  <c r="AE1297" i="7"/>
  <c r="AE1296" i="7"/>
  <c r="AE1295" i="7"/>
  <c r="AE1294" i="7"/>
  <c r="AE1293" i="7"/>
  <c r="AE1292" i="7"/>
  <c r="AE1291" i="7"/>
  <c r="AE1290" i="7"/>
  <c r="AE1289" i="7"/>
  <c r="AE1288" i="7"/>
  <c r="AE1287" i="7"/>
  <c r="AE1286" i="7"/>
  <c r="AE1285" i="7"/>
  <c r="AE1284" i="7"/>
  <c r="AE1283" i="7"/>
  <c r="AE1282" i="7"/>
  <c r="AE1281" i="7"/>
  <c r="AE1280" i="7"/>
  <c r="AE1279" i="7"/>
  <c r="AE1278" i="7"/>
  <c r="AE1277" i="7"/>
  <c r="AE1276" i="7"/>
  <c r="AE1275" i="7"/>
  <c r="AE1274" i="7"/>
  <c r="AE1273" i="7"/>
  <c r="AE1272" i="7"/>
  <c r="AE1271" i="7"/>
  <c r="AE1270" i="7"/>
  <c r="AE1269" i="7"/>
  <c r="AE1268" i="7"/>
  <c r="AE1267" i="7"/>
  <c r="AE1266" i="7"/>
  <c r="AE1265" i="7"/>
  <c r="AE1264" i="7"/>
  <c r="AE1263" i="7"/>
  <c r="AE1262" i="7"/>
  <c r="AE1261" i="7"/>
  <c r="AE1260" i="7"/>
  <c r="AE1259" i="7"/>
  <c r="AE1258" i="7"/>
  <c r="AE1257" i="7"/>
  <c r="AE1256" i="7"/>
  <c r="AE1255" i="7"/>
  <c r="AE1254" i="7"/>
  <c r="AE1253" i="7"/>
  <c r="AE1252" i="7"/>
  <c r="AE1251" i="7"/>
  <c r="AE1250" i="7"/>
  <c r="AE1249" i="7"/>
  <c r="AE1248" i="7"/>
  <c r="AE1247" i="7"/>
  <c r="AE1246" i="7"/>
  <c r="AE1245" i="7"/>
  <c r="AE1244" i="7"/>
  <c r="AE1243" i="7"/>
  <c r="AE1242" i="7"/>
  <c r="AE1241" i="7"/>
  <c r="AE1240" i="7"/>
  <c r="AE1239" i="7"/>
  <c r="AE1238" i="7"/>
  <c r="AE1237" i="7"/>
  <c r="AE1236" i="7"/>
  <c r="AE1235" i="7"/>
  <c r="AE1234" i="7"/>
  <c r="AE1233" i="7"/>
  <c r="AE1232" i="7"/>
  <c r="AE1231" i="7"/>
  <c r="AE1230" i="7"/>
  <c r="AE1229" i="7"/>
  <c r="AE1228" i="7"/>
  <c r="AE1227" i="7"/>
  <c r="AE1226" i="7"/>
  <c r="AE1225" i="7"/>
  <c r="AE1224" i="7"/>
  <c r="AE1223" i="7"/>
  <c r="AE1222" i="7"/>
  <c r="AE1221" i="7"/>
  <c r="AE1220" i="7"/>
  <c r="AE1219" i="7"/>
  <c r="AE1218" i="7"/>
  <c r="AE1217" i="7"/>
  <c r="AE1216" i="7"/>
  <c r="AE1215" i="7"/>
  <c r="AE1214" i="7"/>
  <c r="AE1213" i="7"/>
  <c r="AE1212" i="7"/>
  <c r="AE1211" i="7"/>
  <c r="AE1210" i="7"/>
  <c r="AE1209" i="7"/>
  <c r="AE1208" i="7"/>
  <c r="AE1207" i="7"/>
  <c r="AE1206" i="7"/>
  <c r="AE1205" i="7"/>
  <c r="AE1204" i="7"/>
  <c r="AE1203" i="7"/>
  <c r="AE1202" i="7"/>
  <c r="AE1201" i="7"/>
  <c r="AE1200" i="7"/>
  <c r="AE1199" i="7"/>
  <c r="AE1198" i="7"/>
  <c r="AE1197" i="7"/>
  <c r="AE1196" i="7"/>
  <c r="AE1195" i="7"/>
  <c r="AE1194" i="7"/>
  <c r="AE1193" i="7"/>
  <c r="AE1192" i="7"/>
  <c r="AE1191" i="7"/>
  <c r="AE1190" i="7"/>
  <c r="AE1189" i="7"/>
  <c r="AE1188" i="7"/>
  <c r="AE1187" i="7"/>
  <c r="AE1186" i="7"/>
  <c r="AE1185" i="7"/>
  <c r="AE1184" i="7"/>
  <c r="AE1183" i="7"/>
  <c r="AE1182" i="7"/>
  <c r="AE1181" i="7"/>
  <c r="AE1180" i="7"/>
  <c r="AE1179" i="7"/>
  <c r="AE1178" i="7"/>
  <c r="AE1177" i="7"/>
  <c r="AE1170" i="7"/>
  <c r="AE1169" i="7"/>
  <c r="AE1168" i="7"/>
  <c r="AE1167" i="7"/>
  <c r="AE1166" i="7"/>
  <c r="AE1165" i="7"/>
  <c r="AE1164" i="7"/>
  <c r="AE1163" i="7"/>
  <c r="AE1162" i="7"/>
  <c r="AE1161" i="7"/>
  <c r="AE1160" i="7"/>
  <c r="AE1159" i="7"/>
  <c r="AE1158" i="7"/>
  <c r="AE1157" i="7"/>
  <c r="AE1156" i="7"/>
  <c r="AE1155" i="7"/>
  <c r="AE1154" i="7"/>
  <c r="AE1153" i="7"/>
  <c r="AE1152" i="7"/>
  <c r="AE1151" i="7"/>
  <c r="AE1150" i="7"/>
  <c r="AE1149" i="7"/>
  <c r="AE1148" i="7"/>
  <c r="AE1147" i="7"/>
  <c r="AE1146" i="7"/>
  <c r="AE1145" i="7"/>
  <c r="AE1144" i="7"/>
  <c r="AE1143" i="7"/>
  <c r="AE1142" i="7"/>
  <c r="AE1141" i="7"/>
  <c r="AE1140" i="7"/>
  <c r="AE1139" i="7"/>
  <c r="AE1138" i="7"/>
  <c r="AE1137" i="7"/>
  <c r="AE1136" i="7"/>
  <c r="AE1135" i="7"/>
  <c r="AE1134" i="7"/>
  <c r="AE1133" i="7"/>
  <c r="AE1132" i="7"/>
  <c r="AE1131" i="7"/>
  <c r="AE1130" i="7"/>
  <c r="AE1129" i="7"/>
  <c r="AE1128" i="7"/>
  <c r="AE1127" i="7"/>
  <c r="AE1126" i="7"/>
  <c r="AE1125" i="7"/>
  <c r="AE1124" i="7"/>
  <c r="AE1123" i="7"/>
  <c r="AE1122" i="7"/>
  <c r="AE1121" i="7"/>
  <c r="AE1120" i="7"/>
  <c r="AE1119" i="7"/>
  <c r="AE1118" i="7"/>
  <c r="AE1117" i="7"/>
  <c r="AE1116" i="7"/>
  <c r="AE1115" i="7"/>
  <c r="AE1114" i="7"/>
  <c r="AE1113" i="7"/>
  <c r="AE1112" i="7"/>
  <c r="AE1111" i="7"/>
  <c r="AE1110" i="7"/>
  <c r="AE1109" i="7"/>
  <c r="AE1108" i="7"/>
  <c r="AE1107" i="7"/>
  <c r="AE1106" i="7"/>
  <c r="AE1105" i="7"/>
  <c r="AE1104" i="7"/>
  <c r="AE1103" i="7"/>
  <c r="AE1102" i="7"/>
  <c r="AE1101" i="7"/>
  <c r="AE1100" i="7"/>
  <c r="AE1099" i="7"/>
  <c r="AE1098" i="7"/>
  <c r="AE1097" i="7"/>
  <c r="AE1096" i="7"/>
  <c r="AE1095" i="7"/>
  <c r="AE1094" i="7"/>
  <c r="AE1093" i="7"/>
  <c r="AE1092" i="7"/>
  <c r="AE1091" i="7"/>
  <c r="AE1090" i="7"/>
  <c r="AE1089" i="7"/>
  <c r="AE1088" i="7"/>
  <c r="AE1087" i="7"/>
  <c r="AE1086" i="7"/>
  <c r="AE1085" i="7"/>
  <c r="AE1084" i="7"/>
  <c r="AE1083" i="7"/>
  <c r="AE1082" i="7"/>
  <c r="AE1081" i="7"/>
  <c r="AE1080" i="7"/>
  <c r="AE1079" i="7"/>
  <c r="AE1078" i="7"/>
  <c r="AE1077" i="7"/>
  <c r="AE1076" i="7"/>
  <c r="AE1075" i="7"/>
  <c r="AE1074" i="7"/>
  <c r="AE1073" i="7"/>
  <c r="AE1072" i="7"/>
  <c r="AE1071" i="7"/>
  <c r="AE1070" i="7"/>
  <c r="AE1069" i="7"/>
  <c r="AE1068" i="7"/>
  <c r="AE1067" i="7"/>
  <c r="AE1066" i="7"/>
  <c r="AE1065" i="7"/>
  <c r="AE1064" i="7"/>
  <c r="AE1063" i="7"/>
  <c r="AE1062" i="7"/>
  <c r="AE1061" i="7"/>
  <c r="AE1060" i="7"/>
  <c r="AE1059" i="7"/>
  <c r="AE1058" i="7"/>
  <c r="AE1057" i="7"/>
  <c r="AE1056" i="7"/>
  <c r="AE1055" i="7"/>
  <c r="AE1054" i="7"/>
  <c r="AE1053" i="7"/>
  <c r="AE1052" i="7"/>
  <c r="AE1051" i="7"/>
  <c r="AE1050" i="7"/>
  <c r="AE1049" i="7"/>
  <c r="AE1048" i="7"/>
  <c r="AE1047" i="7"/>
  <c r="AE1046" i="7"/>
  <c r="AE1045" i="7"/>
  <c r="AE1044" i="7"/>
  <c r="AE1043" i="7"/>
  <c r="AE1042" i="7"/>
  <c r="AE1041" i="7"/>
  <c r="AE1040" i="7"/>
  <c r="AE1039" i="7"/>
  <c r="AE1038" i="7"/>
  <c r="AE1037" i="7"/>
  <c r="AE1036" i="7"/>
  <c r="AE1035" i="7"/>
  <c r="AE1034" i="7"/>
  <c r="AE1033" i="7"/>
  <c r="AE1032" i="7"/>
  <c r="AE1031" i="7"/>
  <c r="AE1030" i="7"/>
  <c r="AE1029" i="7"/>
  <c r="AE1028" i="7"/>
  <c r="AE1027" i="7"/>
  <c r="AE1026" i="7"/>
  <c r="AE1025" i="7"/>
  <c r="AE1024" i="7"/>
  <c r="AE1023" i="7"/>
  <c r="AE1022" i="7"/>
  <c r="AE1021" i="7"/>
  <c r="AE1020" i="7"/>
  <c r="AE1019" i="7"/>
  <c r="AE1018" i="7"/>
  <c r="AE1017" i="7"/>
  <c r="AE1016" i="7"/>
  <c r="AE1015" i="7"/>
  <c r="AE1014" i="7"/>
  <c r="AE1013" i="7"/>
  <c r="AE1012" i="7"/>
  <c r="AE1011" i="7"/>
  <c r="AE1010" i="7"/>
  <c r="AE1009" i="7"/>
  <c r="AE1008" i="7"/>
  <c r="AE1007" i="7"/>
  <c r="AE1006" i="7"/>
  <c r="AE1005" i="7"/>
  <c r="AE1004" i="7"/>
  <c r="AE1003" i="7"/>
  <c r="AE1002" i="7"/>
  <c r="AE1001" i="7"/>
  <c r="AE1000" i="7"/>
  <c r="AE999" i="7"/>
  <c r="AE998" i="7"/>
  <c r="AE997" i="7"/>
  <c r="AE996" i="7"/>
  <c r="AE995" i="7"/>
  <c r="AE994" i="7"/>
  <c r="AE993" i="7"/>
  <c r="AE992" i="7"/>
  <c r="AE991" i="7"/>
  <c r="AE990" i="7"/>
  <c r="AE989" i="7"/>
  <c r="AE988" i="7"/>
  <c r="AE987" i="7"/>
  <c r="AE986" i="7"/>
  <c r="AE985" i="7"/>
  <c r="AE984" i="7"/>
  <c r="AE983" i="7"/>
  <c r="AE982" i="7"/>
  <c r="AE981" i="7"/>
  <c r="AE980" i="7"/>
  <c r="AE979" i="7"/>
  <c r="AE978" i="7"/>
  <c r="AE977" i="7"/>
  <c r="AE975" i="7"/>
  <c r="AE974" i="7"/>
  <c r="AE973" i="7"/>
  <c r="AE972" i="7"/>
  <c r="AE971" i="7"/>
  <c r="AE970" i="7"/>
  <c r="AE969" i="7"/>
  <c r="AE968" i="7"/>
  <c r="AE967" i="7"/>
  <c r="AE966" i="7"/>
  <c r="AE965" i="7"/>
  <c r="AE964" i="7"/>
  <c r="AE963" i="7"/>
  <c r="AE962" i="7"/>
  <c r="AE961" i="7"/>
  <c r="AE960" i="7"/>
  <c r="AE959" i="7"/>
  <c r="AE958" i="7"/>
  <c r="AE957" i="7"/>
  <c r="AE956" i="7"/>
  <c r="AE955" i="7"/>
  <c r="AE954" i="7"/>
  <c r="AE953" i="7"/>
  <c r="AE952" i="7"/>
  <c r="AE951" i="7"/>
  <c r="AE950" i="7"/>
  <c r="AE949" i="7"/>
  <c r="AE948" i="7"/>
  <c r="AE947" i="7"/>
  <c r="AE946" i="7"/>
  <c r="AE945" i="7"/>
  <c r="AE944" i="7"/>
  <c r="AE943" i="7"/>
  <c r="AE942" i="7"/>
  <c r="AE941" i="7"/>
  <c r="AE940" i="7"/>
  <c r="AE939" i="7"/>
  <c r="AE938" i="7"/>
  <c r="AE937" i="7"/>
  <c r="AE936" i="7"/>
  <c r="AE935" i="7"/>
  <c r="AE934" i="7"/>
  <c r="AE933" i="7"/>
  <c r="AE932" i="7"/>
  <c r="AE931" i="7"/>
  <c r="AE930" i="7"/>
  <c r="AE929" i="7"/>
  <c r="AE928" i="7"/>
  <c r="AE927" i="7"/>
  <c r="AE926" i="7"/>
  <c r="AE925" i="7"/>
  <c r="AE924" i="7"/>
  <c r="AE923" i="7"/>
  <c r="AE922" i="7"/>
  <c r="AE921" i="7"/>
  <c r="AE920" i="7"/>
  <c r="AE919" i="7"/>
  <c r="AE918" i="7"/>
  <c r="AE917" i="7"/>
  <c r="AE916" i="7"/>
  <c r="AE915" i="7"/>
  <c r="AE914" i="7"/>
  <c r="AE913" i="7"/>
  <c r="AE912" i="7"/>
  <c r="AE911" i="7"/>
  <c r="AE910" i="7"/>
  <c r="AE909" i="7"/>
  <c r="AE908" i="7"/>
  <c r="AE907" i="7"/>
  <c r="AE906" i="7"/>
  <c r="AE905" i="7"/>
  <c r="AE904" i="7"/>
  <c r="AE903" i="7"/>
  <c r="AE902" i="7"/>
  <c r="AE901" i="7"/>
  <c r="AE900" i="7"/>
  <c r="AE899" i="7"/>
  <c r="AE898" i="7"/>
  <c r="AE897" i="7"/>
  <c r="AE896" i="7"/>
  <c r="AE895" i="7"/>
  <c r="AE894" i="7"/>
  <c r="AE893" i="7"/>
  <c r="AE892" i="7"/>
  <c r="AE891" i="7"/>
  <c r="AE890" i="7"/>
  <c r="AE889" i="7"/>
  <c r="AE888" i="7"/>
  <c r="AE887" i="7"/>
  <c r="AE886" i="7"/>
  <c r="AE885" i="7"/>
  <c r="AE884" i="7"/>
  <c r="AE883" i="7"/>
  <c r="AE882" i="7"/>
  <c r="AE881" i="7"/>
  <c r="AE880" i="7"/>
  <c r="AE879" i="7"/>
  <c r="AE878" i="7"/>
  <c r="AE877" i="7"/>
  <c r="AE876" i="7"/>
  <c r="AE875" i="7"/>
  <c r="AE874" i="7"/>
  <c r="AE873" i="7"/>
  <c r="AE872" i="7"/>
  <c r="AE871" i="7"/>
  <c r="AE870" i="7"/>
  <c r="AE869" i="7"/>
  <c r="AE868" i="7"/>
  <c r="AE867" i="7"/>
  <c r="AE866" i="7"/>
  <c r="AE865" i="7"/>
  <c r="AE864" i="7"/>
  <c r="AE863" i="7"/>
  <c r="AE862" i="7"/>
  <c r="AE861" i="7"/>
  <c r="AE860" i="7"/>
  <c r="AE859" i="7"/>
  <c r="AE858" i="7"/>
  <c r="AE857" i="7"/>
  <c r="AE856" i="7"/>
  <c r="AE855" i="7"/>
  <c r="AE851" i="7"/>
  <c r="AE850" i="7"/>
  <c r="AE849" i="7"/>
  <c r="AE848" i="7"/>
  <c r="AE847" i="7"/>
  <c r="AE846" i="7"/>
  <c r="AE845" i="7"/>
  <c r="AE844" i="7"/>
  <c r="AE843" i="7"/>
  <c r="AE842" i="7"/>
  <c r="AE841" i="7"/>
  <c r="AE840" i="7"/>
  <c r="AE839" i="7"/>
  <c r="AE838" i="7"/>
  <c r="AE837" i="7"/>
  <c r="AE836" i="7"/>
  <c r="AE835" i="7"/>
  <c r="AE834" i="7"/>
  <c r="AE833" i="7"/>
  <c r="AE832" i="7"/>
  <c r="AE831" i="7"/>
  <c r="AE830" i="7"/>
  <c r="AE829" i="7"/>
  <c r="AE828" i="7"/>
  <c r="AE827" i="7"/>
  <c r="AE826" i="7"/>
  <c r="AE825" i="7"/>
  <c r="AE824" i="7"/>
  <c r="AE823" i="7"/>
  <c r="AE822" i="7"/>
  <c r="AE821" i="7"/>
  <c r="AE820" i="7"/>
  <c r="AE819" i="7"/>
  <c r="AE818" i="7"/>
  <c r="AE817" i="7"/>
  <c r="AE816" i="7"/>
  <c r="AE815" i="7"/>
  <c r="AE814" i="7"/>
  <c r="AE813" i="7"/>
  <c r="AE812" i="7"/>
  <c r="AE811" i="7"/>
  <c r="AE810" i="7"/>
  <c r="AE809" i="7"/>
  <c r="AE808" i="7"/>
  <c r="AE807" i="7"/>
  <c r="AE806" i="7"/>
  <c r="AE805" i="7"/>
  <c r="AE804" i="7"/>
  <c r="AE803" i="7"/>
  <c r="AE802" i="7"/>
  <c r="AE801" i="7"/>
  <c r="AE800" i="7"/>
  <c r="AE799" i="7"/>
  <c r="AE798" i="7"/>
  <c r="AE797" i="7"/>
  <c r="AE796" i="7"/>
  <c r="AE795" i="7"/>
  <c r="AE794" i="7"/>
  <c r="AE793" i="7"/>
  <c r="AE792" i="7"/>
  <c r="AE791" i="7"/>
  <c r="AE790" i="7"/>
  <c r="AE789" i="7"/>
  <c r="AE788" i="7"/>
  <c r="AE787" i="7"/>
  <c r="AE786" i="7"/>
  <c r="AE785" i="7"/>
  <c r="AE784" i="7"/>
  <c r="AE783" i="7"/>
  <c r="AE782" i="7"/>
  <c r="AE781" i="7"/>
  <c r="AE780" i="7"/>
  <c r="AE779" i="7"/>
  <c r="AE778" i="7"/>
  <c r="AE777" i="7"/>
  <c r="AE776" i="7"/>
  <c r="AE775" i="7"/>
  <c r="AE774" i="7"/>
  <c r="AE773" i="7"/>
  <c r="AE772" i="7"/>
  <c r="AE771" i="7"/>
  <c r="AE770" i="7"/>
  <c r="AE769" i="7"/>
  <c r="AE768" i="7"/>
  <c r="AE767" i="7"/>
  <c r="AE766" i="7"/>
  <c r="AE765" i="7"/>
  <c r="AE764" i="7"/>
  <c r="AE763" i="7"/>
  <c r="AE762" i="7"/>
  <c r="AE761" i="7"/>
  <c r="AE760" i="7"/>
  <c r="AE759" i="7"/>
  <c r="AE758" i="7"/>
  <c r="AE757" i="7"/>
  <c r="AE756" i="7"/>
  <c r="AE755" i="7"/>
  <c r="AE754" i="7"/>
  <c r="AE753" i="7"/>
  <c r="AE752" i="7"/>
  <c r="AE751" i="7"/>
  <c r="AE750" i="7"/>
  <c r="AE749" i="7"/>
  <c r="AE748" i="7"/>
  <c r="AE747" i="7"/>
  <c r="AE746" i="7"/>
  <c r="AE745" i="7"/>
  <c r="AE744" i="7"/>
  <c r="AE743" i="7"/>
  <c r="AE742" i="7"/>
  <c r="AE741" i="7"/>
  <c r="AE740" i="7"/>
  <c r="AE739" i="7"/>
  <c r="AE738" i="7"/>
  <c r="AE737" i="7"/>
  <c r="AE736" i="7"/>
  <c r="AE735" i="7"/>
  <c r="AE734" i="7"/>
  <c r="AE733" i="7"/>
  <c r="AE732" i="7"/>
  <c r="AE731" i="7"/>
  <c r="AE730" i="7"/>
  <c r="AE729" i="7"/>
  <c r="AE728" i="7"/>
  <c r="AE727" i="7"/>
  <c r="AE726" i="7"/>
  <c r="AE725" i="7"/>
  <c r="AE724" i="7"/>
  <c r="AE723" i="7"/>
  <c r="AE722" i="7"/>
  <c r="AE721" i="7"/>
  <c r="AE720" i="7"/>
  <c r="AE719" i="7"/>
  <c r="AE718" i="7"/>
  <c r="AE717" i="7"/>
  <c r="AE716" i="7"/>
  <c r="AE715" i="7"/>
  <c r="AE714" i="7"/>
  <c r="AE713" i="7"/>
  <c r="AE712" i="7"/>
  <c r="AE711" i="7"/>
  <c r="AE710" i="7"/>
  <c r="AE709" i="7"/>
  <c r="AE708" i="7"/>
  <c r="AE707" i="7"/>
  <c r="AE706" i="7"/>
  <c r="AE705" i="7"/>
  <c r="AE704" i="7"/>
  <c r="AE703" i="7"/>
  <c r="AE702" i="7"/>
  <c r="AE701" i="7"/>
  <c r="AE700" i="7"/>
  <c r="AE699" i="7"/>
  <c r="AE698" i="7"/>
  <c r="AE697" i="7"/>
  <c r="AE696" i="7"/>
  <c r="AE695" i="7"/>
  <c r="AE694" i="7"/>
  <c r="AE693" i="7"/>
  <c r="AE692" i="7"/>
  <c r="AE691" i="7"/>
  <c r="AE690" i="7"/>
  <c r="AE689" i="7"/>
  <c r="AE688" i="7"/>
  <c r="AE687" i="7"/>
  <c r="AE686" i="7"/>
  <c r="AE685" i="7"/>
  <c r="AE684" i="7"/>
  <c r="AE683" i="7"/>
  <c r="AE682" i="7"/>
  <c r="AE681" i="7"/>
  <c r="AE680" i="7"/>
  <c r="AE679" i="7"/>
  <c r="AE678" i="7"/>
  <c r="AE677" i="7"/>
  <c r="AE676" i="7"/>
  <c r="AE675" i="7"/>
  <c r="AE674" i="7"/>
  <c r="AE673" i="7"/>
  <c r="AE672" i="7"/>
  <c r="AE668" i="7"/>
  <c r="AE667" i="7"/>
  <c r="AE666" i="7"/>
  <c r="AE665" i="7"/>
  <c r="AE664" i="7"/>
  <c r="AE663" i="7"/>
  <c r="AE662" i="7"/>
  <c r="AE661" i="7"/>
  <c r="AE660" i="7"/>
  <c r="AE659" i="7"/>
  <c r="AE658" i="7"/>
  <c r="AE657" i="7"/>
  <c r="AE656" i="7"/>
  <c r="AE655" i="7"/>
  <c r="AE654" i="7"/>
  <c r="AE653" i="7"/>
  <c r="AE652" i="7"/>
  <c r="AE651" i="7"/>
  <c r="AE650" i="7"/>
  <c r="AE646" i="7"/>
  <c r="AE645" i="7"/>
  <c r="AE644" i="7"/>
  <c r="AE643" i="7"/>
  <c r="AE642" i="7"/>
  <c r="AE638" i="7"/>
  <c r="AE637" i="7"/>
  <c r="AE636" i="7"/>
  <c r="AE635" i="7"/>
  <c r="AE634" i="7"/>
  <c r="AE633" i="7"/>
  <c r="AE632" i="7"/>
  <c r="AE631" i="7"/>
  <c r="AE629" i="7"/>
  <c r="AE628" i="7"/>
  <c r="AE627" i="7"/>
  <c r="AE626" i="7"/>
  <c r="AE623" i="7"/>
  <c r="AE622" i="7"/>
  <c r="AE620" i="7"/>
  <c r="AE619" i="7"/>
  <c r="AE618" i="7"/>
  <c r="AE617" i="7"/>
  <c r="AE616" i="7"/>
  <c r="AE613" i="7"/>
  <c r="AE612" i="7"/>
  <c r="AE609" i="7"/>
  <c r="AE606" i="7"/>
  <c r="AE605" i="7"/>
  <c r="AE604" i="7"/>
  <c r="AE603" i="7"/>
  <c r="AE602" i="7"/>
  <c r="AE601" i="7"/>
  <c r="AE600" i="7"/>
  <c r="AE599" i="7"/>
  <c r="AE598" i="7"/>
  <c r="AE597" i="7"/>
  <c r="AE596" i="7"/>
  <c r="AE595" i="7"/>
  <c r="AE594" i="7"/>
  <c r="AE593" i="7"/>
  <c r="AE592" i="7"/>
  <c r="AE591" i="7"/>
  <c r="AE590" i="7"/>
  <c r="AE589" i="7"/>
  <c r="AE588" i="7"/>
  <c r="AE587" i="7"/>
  <c r="AE586" i="7"/>
  <c r="AE585" i="7"/>
  <c r="AE584" i="7"/>
  <c r="AE583" i="7"/>
  <c r="AE582" i="7"/>
  <c r="AE581" i="7"/>
  <c r="AE580" i="7"/>
  <c r="AE579" i="7"/>
  <c r="AE578" i="7"/>
  <c r="AE577" i="7"/>
  <c r="AE576" i="7"/>
  <c r="AE575" i="7"/>
  <c r="AE574" i="7"/>
  <c r="AE573" i="7"/>
  <c r="AE572" i="7"/>
  <c r="AE570" i="7"/>
  <c r="AE568" i="7"/>
  <c r="AE567" i="7"/>
  <c r="AE565" i="7"/>
  <c r="AE564" i="7"/>
  <c r="AE563" i="7"/>
  <c r="AE562" i="7"/>
  <c r="AE561" i="7"/>
  <c r="AE560" i="7"/>
  <c r="AE559" i="7"/>
  <c r="AE558" i="7"/>
  <c r="AE557" i="7"/>
  <c r="AE556" i="7"/>
  <c r="AE555" i="7"/>
  <c r="AE554" i="7"/>
  <c r="AE553" i="7"/>
  <c r="AE552" i="7"/>
  <c r="AE550" i="7"/>
  <c r="AE549" i="7"/>
  <c r="AE547" i="7"/>
  <c r="AE546" i="7"/>
  <c r="AE545" i="7"/>
  <c r="AE544" i="7"/>
  <c r="AE538" i="7"/>
  <c r="AE534" i="7"/>
  <c r="AE533" i="7"/>
  <c r="AE530" i="7"/>
  <c r="AE528" i="7"/>
  <c r="AE527" i="7"/>
  <c r="AE526" i="7"/>
  <c r="AE525" i="7"/>
  <c r="AE524" i="7"/>
  <c r="AE521" i="7"/>
  <c r="AE520" i="7"/>
  <c r="AE517" i="7"/>
  <c r="AE515" i="7"/>
  <c r="AE506" i="7"/>
  <c r="AE504" i="7"/>
  <c r="AE501" i="7"/>
  <c r="AE500" i="7"/>
  <c r="AE499" i="7"/>
  <c r="AE497" i="7"/>
  <c r="AE495" i="7"/>
  <c r="AE493" i="7"/>
  <c r="AE492" i="7"/>
  <c r="AE487" i="7"/>
  <c r="AE485" i="7"/>
  <c r="AE484" i="7"/>
  <c r="AE483" i="7"/>
  <c r="AE482" i="7"/>
  <c r="AE480" i="7"/>
  <c r="AE479" i="7"/>
  <c r="AE478" i="7"/>
  <c r="AE477" i="7"/>
  <c r="AE476" i="7"/>
  <c r="AE475" i="7"/>
  <c r="AE474" i="7"/>
  <c r="AE473" i="7"/>
  <c r="AE472" i="7"/>
  <c r="AE471" i="7"/>
  <c r="AE470" i="7"/>
  <c r="AE469" i="7"/>
  <c r="AE468" i="7"/>
  <c r="AE467" i="7"/>
  <c r="AE466" i="7"/>
  <c r="AE465" i="7"/>
  <c r="AE464" i="7"/>
  <c r="AE463" i="7"/>
  <c r="AE462" i="7"/>
  <c r="AE461" i="7"/>
  <c r="AE459" i="7"/>
  <c r="AE458" i="7"/>
  <c r="AE457" i="7"/>
  <c r="AE456" i="7"/>
  <c r="AE455" i="7"/>
  <c r="AE454" i="7"/>
  <c r="AE453" i="7"/>
  <c r="AE452" i="7"/>
  <c r="AE451" i="7"/>
  <c r="AE450" i="7"/>
  <c r="AE449" i="7"/>
  <c r="AE448" i="7"/>
  <c r="AE447" i="7"/>
  <c r="AE446" i="7"/>
  <c r="AE445" i="7"/>
  <c r="AE444" i="7"/>
  <c r="AE443" i="7"/>
  <c r="AE442" i="7"/>
  <c r="AE441" i="7"/>
  <c r="AE440" i="7"/>
  <c r="AE438" i="7"/>
  <c r="AE437" i="7"/>
  <c r="AE436" i="7"/>
  <c r="AE435" i="7"/>
  <c r="AE434" i="7"/>
  <c r="AE433" i="7"/>
  <c r="AE432" i="7"/>
  <c r="AE431" i="7"/>
  <c r="AE430" i="7"/>
  <c r="AE429" i="7"/>
  <c r="AE428" i="7"/>
  <c r="AE427" i="7"/>
  <c r="AE426" i="7"/>
  <c r="AE425" i="7"/>
  <c r="AE424" i="7"/>
  <c r="AE423" i="7"/>
  <c r="AE422" i="7"/>
  <c r="AE421" i="7"/>
  <c r="AE420" i="7"/>
  <c r="AE419" i="7"/>
  <c r="AE418" i="7"/>
  <c r="AE417" i="7"/>
  <c r="AE416" i="7"/>
  <c r="AE415" i="7"/>
  <c r="AE414" i="7"/>
  <c r="AE413" i="7"/>
  <c r="AE412" i="7"/>
  <c r="AE411" i="7"/>
  <c r="AE410" i="7"/>
  <c r="AE409" i="7"/>
  <c r="AE408" i="7"/>
  <c r="AE407" i="7"/>
  <c r="AE406" i="7"/>
  <c r="AE405" i="7"/>
  <c r="AE404" i="7"/>
  <c r="AE403" i="7"/>
  <c r="AE402" i="7"/>
  <c r="AE401" i="7"/>
  <c r="AE400" i="7"/>
  <c r="AE399" i="7"/>
  <c r="AE398" i="7"/>
  <c r="AE397" i="7"/>
  <c r="AE396" i="7"/>
  <c r="AE395" i="7"/>
  <c r="AE394" i="7"/>
  <c r="AE393" i="7"/>
  <c r="AE392" i="7"/>
  <c r="AE391" i="7"/>
  <c r="AE390" i="7"/>
  <c r="AE389" i="7"/>
  <c r="AE388" i="7"/>
  <c r="AE387" i="7"/>
  <c r="AE386" i="7"/>
  <c r="AE385" i="7"/>
  <c r="AE384" i="7"/>
  <c r="AE383" i="7"/>
  <c r="AE382" i="7"/>
  <c r="AE381" i="7"/>
  <c r="AE380" i="7"/>
  <c r="AE379" i="7"/>
  <c r="AE378" i="7"/>
  <c r="AE376" i="7"/>
  <c r="AE375" i="7"/>
  <c r="AE374" i="7"/>
  <c r="AE373" i="7"/>
  <c r="AE372" i="7"/>
  <c r="AE371" i="7"/>
  <c r="AE370" i="7"/>
  <c r="AE369" i="7"/>
  <c r="AE368" i="7"/>
  <c r="AE367" i="7"/>
  <c r="AE366" i="7"/>
  <c r="AE365" i="7"/>
  <c r="AE364" i="7"/>
  <c r="AE363" i="7"/>
  <c r="AE362" i="7"/>
  <c r="AE361" i="7"/>
  <c r="AE360" i="7"/>
  <c r="AE359" i="7"/>
  <c r="AE358" i="7"/>
  <c r="AE357" i="7"/>
  <c r="AE356" i="7"/>
  <c r="AE355" i="7"/>
  <c r="AE354" i="7"/>
  <c r="AE353" i="7"/>
  <c r="AE352" i="7"/>
  <c r="AE351" i="7"/>
  <c r="AE350" i="7"/>
  <c r="AE349" i="7"/>
  <c r="AE348" i="7"/>
  <c r="AE347" i="7"/>
  <c r="AE346" i="7"/>
  <c r="AE345" i="7"/>
  <c r="AE344" i="7"/>
  <c r="AE343" i="7"/>
  <c r="AE342" i="7"/>
  <c r="AE341" i="7"/>
  <c r="AE340" i="7"/>
  <c r="AE339" i="7"/>
  <c r="AE338" i="7"/>
  <c r="AE337" i="7"/>
  <c r="AE336" i="7"/>
  <c r="AE335" i="7"/>
  <c r="AE334" i="7"/>
  <c r="AE333" i="7"/>
  <c r="AE332" i="7"/>
  <c r="AE331" i="7"/>
  <c r="AE330" i="7"/>
  <c r="AE329" i="7"/>
  <c r="AE328" i="7"/>
  <c r="AE327" i="7"/>
  <c r="AE325" i="7"/>
  <c r="AE324" i="7"/>
  <c r="AE323" i="7"/>
  <c r="AE322" i="7"/>
  <c r="AE321" i="7"/>
  <c r="AE320" i="7"/>
  <c r="AE319" i="7"/>
  <c r="AE318" i="7"/>
  <c r="AE317" i="7"/>
  <c r="AE316" i="7"/>
  <c r="AE315" i="7"/>
  <c r="AE314" i="7"/>
  <c r="AE313" i="7"/>
  <c r="AE312" i="7"/>
  <c r="AE311" i="7"/>
  <c r="AE310" i="7"/>
  <c r="AE309" i="7"/>
  <c r="AE308" i="7"/>
  <c r="AE307" i="7"/>
  <c r="AE306" i="7"/>
  <c r="AE305" i="7"/>
  <c r="AE304" i="7"/>
  <c r="AE303" i="7"/>
  <c r="AE302" i="7"/>
  <c r="AE301" i="7"/>
  <c r="AE300" i="7"/>
  <c r="AE299" i="7"/>
  <c r="AE298" i="7"/>
  <c r="AE297" i="7"/>
  <c r="AE295" i="7"/>
  <c r="AE294" i="7"/>
  <c r="AE293" i="7"/>
  <c r="AE292" i="7"/>
  <c r="AE291" i="7"/>
  <c r="AE290" i="7"/>
  <c r="AE289" i="7"/>
  <c r="AE288" i="7"/>
  <c r="AE287" i="7"/>
  <c r="AE286" i="7"/>
  <c r="AE285" i="7"/>
  <c r="AE284" i="7"/>
  <c r="AE283" i="7"/>
  <c r="AE282" i="7"/>
  <c r="AE281" i="7"/>
  <c r="AE280" i="7"/>
  <c r="AE279" i="7"/>
  <c r="AE278" i="7"/>
  <c r="AE277" i="7"/>
  <c r="AE276" i="7"/>
  <c r="AE275" i="7"/>
  <c r="AE274" i="7"/>
  <c r="AE273" i="7"/>
  <c r="AE272" i="7"/>
  <c r="AE271" i="7"/>
  <c r="AE270" i="7"/>
  <c r="AE269" i="7"/>
  <c r="AE268" i="7"/>
  <c r="AE267" i="7"/>
  <c r="AE266" i="7"/>
  <c r="AE265" i="7"/>
  <c r="AE264" i="7"/>
  <c r="AE263" i="7"/>
  <c r="AE262" i="7"/>
  <c r="AE261" i="7"/>
  <c r="AE260" i="7"/>
  <c r="AE259" i="7"/>
  <c r="AE258" i="7"/>
  <c r="AE257" i="7"/>
  <c r="AE256" i="7"/>
  <c r="AE255" i="7"/>
  <c r="AE254" i="7"/>
  <c r="AE253" i="7"/>
  <c r="AE252" i="7"/>
  <c r="AE251" i="7"/>
  <c r="AE250" i="7"/>
  <c r="AE249" i="7"/>
  <c r="AE248" i="7"/>
  <c r="AE247" i="7"/>
  <c r="AE246" i="7"/>
  <c r="AE244" i="7"/>
  <c r="AE242" i="7"/>
  <c r="AE241" i="7"/>
  <c r="AE238" i="7"/>
  <c r="AE233" i="7"/>
  <c r="AE229" i="7"/>
  <c r="AE228" i="7"/>
  <c r="AE227" i="7"/>
  <c r="AE226" i="7"/>
  <c r="AE224" i="7"/>
  <c r="AE223" i="7"/>
  <c r="AE222" i="7"/>
  <c r="AE221" i="7"/>
  <c r="AE220" i="7"/>
  <c r="AE219" i="7"/>
  <c r="AE218" i="7"/>
  <c r="AE217" i="7"/>
  <c r="AE215" i="7"/>
  <c r="AE214" i="7"/>
  <c r="AE213" i="7"/>
  <c r="AE212" i="7"/>
  <c r="AE211" i="7"/>
  <c r="AE210" i="7"/>
  <c r="AE209" i="7"/>
  <c r="AE208" i="7"/>
  <c r="AE207" i="7"/>
  <c r="AE206" i="7"/>
  <c r="AE205" i="7"/>
  <c r="AE204" i="7"/>
  <c r="AE203" i="7"/>
  <c r="AE202" i="7"/>
  <c r="AE201" i="7"/>
  <c r="AE200" i="7"/>
  <c r="AE199" i="7"/>
  <c r="AE198" i="7"/>
  <c r="AE197" i="7"/>
  <c r="AE196" i="7"/>
  <c r="AE195" i="7"/>
  <c r="AE194" i="7"/>
  <c r="AE193" i="7"/>
  <c r="AE192" i="7"/>
  <c r="AE191" i="7"/>
  <c r="AE190" i="7"/>
  <c r="AE189" i="7"/>
  <c r="AE188" i="7"/>
  <c r="AE187" i="7"/>
  <c r="AE186" i="7"/>
  <c r="AE185" i="7"/>
  <c r="AE183" i="7"/>
  <c r="AE182" i="7"/>
  <c r="AE181" i="7"/>
  <c r="AE180" i="7"/>
  <c r="AE179" i="7"/>
  <c r="AE178" i="7"/>
  <c r="AE173" i="7"/>
  <c r="AE170" i="7"/>
  <c r="AE164" i="7"/>
  <c r="AE163" i="7"/>
  <c r="AE162" i="7"/>
  <c r="AE159" i="7"/>
  <c r="AE158" i="7"/>
  <c r="AE157" i="7"/>
  <c r="AE156" i="7"/>
  <c r="AE155" i="7"/>
  <c r="AE154" i="7"/>
  <c r="AE153" i="7"/>
  <c r="AE149" i="7"/>
  <c r="AE148" i="7"/>
  <c r="AE147" i="7"/>
  <c r="AE146" i="7"/>
  <c r="AE145" i="7"/>
  <c r="AE144" i="7"/>
  <c r="AE143" i="7"/>
  <c r="AE142" i="7"/>
  <c r="AE141" i="7"/>
  <c r="AE140" i="7"/>
  <c r="AE139" i="7"/>
  <c r="AE138" i="7"/>
  <c r="AE137" i="7"/>
  <c r="AE136" i="7"/>
  <c r="AE135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1" i="7"/>
  <c r="AE120" i="7"/>
  <c r="AE119" i="7"/>
  <c r="AE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AE104" i="7"/>
  <c r="AE103" i="7"/>
  <c r="AE102" i="7"/>
  <c r="AE101" i="7"/>
  <c r="AE100" i="7"/>
  <c r="AE99" i="7"/>
  <c r="AE98" i="7"/>
  <c r="AE97" i="7"/>
  <c r="AE96" i="7"/>
  <c r="AE95" i="7"/>
  <c r="AE89" i="7"/>
  <c r="AE87" i="7"/>
  <c r="AE86" i="7"/>
  <c r="AE79" i="7"/>
  <c r="AE77" i="7"/>
  <c r="AE76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D1971" i="7"/>
  <c r="AD1969" i="7"/>
  <c r="AD1965" i="7"/>
  <c r="AD1964" i="7"/>
  <c r="AD1963" i="7"/>
  <c r="AD1962" i="7"/>
  <c r="AD1961" i="7"/>
  <c r="AD1960" i="7"/>
  <c r="AD1959" i="7"/>
  <c r="AD1957" i="7"/>
  <c r="AD1956" i="7"/>
  <c r="AD1955" i="7"/>
  <c r="AD1954" i="7"/>
  <c r="AD1953" i="7"/>
  <c r="AD1952" i="7"/>
  <c r="AD1951" i="7"/>
  <c r="AD1948" i="7"/>
  <c r="AD1946" i="7"/>
  <c r="AD1945" i="7"/>
  <c r="AD1944" i="7"/>
  <c r="AD1943" i="7"/>
  <c r="AD1930" i="7"/>
  <c r="AD1929" i="7"/>
  <c r="AD1928" i="7"/>
  <c r="AD1926" i="7"/>
  <c r="AD1925" i="7"/>
  <c r="AD1924" i="7"/>
  <c r="AD1922" i="7"/>
  <c r="AD1919" i="7"/>
  <c r="AD1918" i="7"/>
  <c r="AD1917" i="7"/>
  <c r="AD1916" i="7"/>
  <c r="AD1915" i="7"/>
  <c r="AD1914" i="7"/>
  <c r="AD1912" i="7"/>
  <c r="AD1910" i="7"/>
  <c r="AD1909" i="7"/>
  <c r="AD1908" i="7"/>
  <c r="AD1906" i="7"/>
  <c r="AD1905" i="7"/>
  <c r="AD1904" i="7"/>
  <c r="AD1902" i="7"/>
  <c r="AD1901" i="7"/>
  <c r="AD1899" i="7"/>
  <c r="AD1898" i="7"/>
  <c r="AD1897" i="7"/>
  <c r="AD1895" i="7"/>
  <c r="AD1894" i="7"/>
  <c r="AD1893" i="7"/>
  <c r="AD1892" i="7"/>
  <c r="AD1891" i="7"/>
  <c r="AD1889" i="7"/>
  <c r="AD1881" i="7"/>
  <c r="AD1879" i="7"/>
  <c r="AD1878" i="7"/>
  <c r="AD1877" i="7"/>
  <c r="AD1876" i="7"/>
  <c r="AD1875" i="7"/>
  <c r="AD1874" i="7"/>
  <c r="AD1873" i="7"/>
  <c r="AD1872" i="7"/>
  <c r="AD1871" i="7"/>
  <c r="AD1870" i="7"/>
  <c r="AD1869" i="7"/>
  <c r="AD1868" i="7"/>
  <c r="AD1867" i="7"/>
  <c r="AD1866" i="7"/>
  <c r="AD1865" i="7"/>
  <c r="AD1864" i="7"/>
  <c r="AD1863" i="7"/>
  <c r="AD1855" i="7"/>
  <c r="AD1854" i="7"/>
  <c r="AD1853" i="7"/>
  <c r="AD1852" i="7"/>
  <c r="AD1851" i="7"/>
  <c r="AD1850" i="7"/>
  <c r="AD1849" i="7"/>
  <c r="AD1848" i="7"/>
  <c r="AD1829" i="7"/>
  <c r="AD1828" i="7"/>
  <c r="AD1827" i="7"/>
  <c r="AD1826" i="7"/>
  <c r="AD1825" i="7"/>
  <c r="AD1824" i="7"/>
  <c r="AD1823" i="7"/>
  <c r="AD1822" i="7"/>
  <c r="AD1821" i="7"/>
  <c r="AD1820" i="7"/>
  <c r="AD1819" i="7"/>
  <c r="AD1818" i="7"/>
  <c r="AD1817" i="7"/>
  <c r="AD1816" i="7"/>
  <c r="AD1815" i="7"/>
  <c r="AD1814" i="7"/>
  <c r="AD1813" i="7"/>
  <c r="AD1812" i="7"/>
  <c r="AD1811" i="7"/>
  <c r="AD1810" i="7"/>
  <c r="AD1809" i="7"/>
  <c r="AD1808" i="7"/>
  <c r="AD1807" i="7"/>
  <c r="AD1806" i="7"/>
  <c r="AD1805" i="7"/>
  <c r="AD1803" i="7"/>
  <c r="AD1800" i="7"/>
  <c r="AD1799" i="7"/>
  <c r="AD1797" i="7"/>
  <c r="AD1796" i="7"/>
  <c r="AD1795" i="7"/>
  <c r="AD1794" i="7"/>
  <c r="AD1793" i="7"/>
  <c r="AD1792" i="7"/>
  <c r="AD1789" i="7"/>
  <c r="AD1784" i="7"/>
  <c r="AD1763" i="7"/>
  <c r="AD1762" i="7"/>
  <c r="AD1741" i="7"/>
  <c r="AD1740" i="7"/>
  <c r="AD1736" i="7"/>
  <c r="AD1733" i="7"/>
  <c r="AD1704" i="7"/>
  <c r="AD1703" i="7"/>
  <c r="AD1702" i="7"/>
  <c r="AD1701" i="7"/>
  <c r="AD1700" i="7"/>
  <c r="AD1699" i="7"/>
  <c r="AD1698" i="7"/>
  <c r="AD1697" i="7"/>
  <c r="AD1696" i="7"/>
  <c r="AD1695" i="7"/>
  <c r="AD1687" i="7"/>
  <c r="AD1686" i="7"/>
  <c r="AD1685" i="7"/>
  <c r="AD1684" i="7"/>
  <c r="AD1683" i="7"/>
  <c r="AD1682" i="7"/>
  <c r="AD1681" i="7"/>
  <c r="AD1680" i="7"/>
  <c r="AD1679" i="7"/>
  <c r="AD1678" i="7"/>
  <c r="AD1677" i="7"/>
  <c r="AD1676" i="7"/>
  <c r="AD1675" i="7"/>
  <c r="AD1674" i="7"/>
  <c r="AD1673" i="7"/>
  <c r="AD1672" i="7"/>
  <c r="AD1671" i="7"/>
  <c r="AD1670" i="7"/>
  <c r="AD1669" i="7"/>
  <c r="AD1668" i="7"/>
  <c r="AD1667" i="7"/>
  <c r="AD1666" i="7"/>
  <c r="AD1665" i="7"/>
  <c r="AD1659" i="7"/>
  <c r="AD1658" i="7"/>
  <c r="AD1657" i="7"/>
  <c r="AD1656" i="7"/>
  <c r="AD1655" i="7"/>
  <c r="AD1654" i="7"/>
  <c r="AD1653" i="7"/>
  <c r="AD1652" i="7"/>
  <c r="AD1651" i="7"/>
  <c r="AD1650" i="7"/>
  <c r="AD1649" i="7"/>
  <c r="AD1648" i="7"/>
  <c r="AD1647" i="7"/>
  <c r="AD1646" i="7"/>
  <c r="AD1645" i="7"/>
  <c r="AD1644" i="7"/>
  <c r="AD1643" i="7"/>
  <c r="AD1642" i="7"/>
  <c r="AD1641" i="7"/>
  <c r="AD1640" i="7"/>
  <c r="AD1639" i="7"/>
  <c r="AD1638" i="7"/>
  <c r="AD1637" i="7"/>
  <c r="AD1636" i="7"/>
  <c r="AD1635" i="7"/>
  <c r="AD1634" i="7"/>
  <c r="AD1633" i="7"/>
  <c r="AD1632" i="7"/>
  <c r="AD1631" i="7"/>
  <c r="AD1630" i="7"/>
  <c r="AD1629" i="7"/>
  <c r="AD1628" i="7"/>
  <c r="AD1627" i="7"/>
  <c r="AD1626" i="7"/>
  <c r="AD1625" i="7"/>
  <c r="AD1624" i="7"/>
  <c r="AD1623" i="7"/>
  <c r="AD1622" i="7"/>
  <c r="AD1593" i="7"/>
  <c r="AD1585" i="7"/>
  <c r="AD1584" i="7"/>
  <c r="AD1583" i="7"/>
  <c r="AD1582" i="7"/>
  <c r="AD1581" i="7"/>
  <c r="AD1580" i="7"/>
  <c r="AD1577" i="7"/>
  <c r="AD1576" i="7"/>
  <c r="AD1574" i="7"/>
  <c r="AD1573" i="7"/>
  <c r="AD1572" i="7"/>
  <c r="AD1571" i="7"/>
  <c r="AD1570" i="7"/>
  <c r="AD1569" i="7"/>
  <c r="AD1568" i="7"/>
  <c r="AD1567" i="7"/>
  <c r="AD1566" i="7"/>
  <c r="AD1561" i="7"/>
  <c r="AD1558" i="7"/>
  <c r="AD1556" i="7"/>
  <c r="AD1555" i="7"/>
  <c r="AD1552" i="7"/>
  <c r="AD1551" i="7"/>
  <c r="AD1550" i="7"/>
  <c r="AD1549" i="7"/>
  <c r="AD1548" i="7"/>
  <c r="AD1547" i="7"/>
  <c r="AD1546" i="7"/>
  <c r="AD1545" i="7"/>
  <c r="AD1544" i="7"/>
  <c r="AD1543" i="7"/>
  <c r="AD1535" i="7"/>
  <c r="AD1531" i="7"/>
  <c r="AD1530" i="7"/>
  <c r="AD1526" i="7"/>
  <c r="AD1519" i="7"/>
  <c r="AD1516" i="7"/>
  <c r="AD1515" i="7"/>
  <c r="AD1512" i="7"/>
  <c r="AD1510" i="7"/>
  <c r="AD1506" i="7"/>
  <c r="AD1503" i="7"/>
  <c r="AD1502" i="7"/>
  <c r="AD1501" i="7"/>
  <c r="AD1500" i="7"/>
  <c r="AD1499" i="7"/>
  <c r="AD1498" i="7"/>
  <c r="AD1497" i="7"/>
  <c r="AD1495" i="7"/>
  <c r="AD1494" i="7"/>
  <c r="AD1493" i="7"/>
  <c r="AD1492" i="7"/>
  <c r="AD1490" i="7"/>
  <c r="AD1489" i="7"/>
  <c r="AD1488" i="7"/>
  <c r="AD1487" i="7"/>
  <c r="AD1486" i="7"/>
  <c r="AD1485" i="7"/>
  <c r="AD1484" i="7"/>
  <c r="AD1483" i="7"/>
  <c r="AD1482" i="7"/>
  <c r="AD1481" i="7"/>
  <c r="AD1480" i="7"/>
  <c r="AD1479" i="7"/>
  <c r="AD1478" i="7"/>
  <c r="AD1477" i="7"/>
  <c r="AD1476" i="7"/>
  <c r="AD1473" i="7"/>
  <c r="AD1472" i="7"/>
  <c r="AD1471" i="7"/>
  <c r="AD1470" i="7"/>
  <c r="AD1469" i="7"/>
  <c r="AD1468" i="7"/>
  <c r="AD1467" i="7"/>
  <c r="AD1466" i="7"/>
  <c r="AD1465" i="7"/>
  <c r="AD1464" i="7"/>
  <c r="AD1463" i="7"/>
  <c r="AD1462" i="7"/>
  <c r="AD1461" i="7"/>
  <c r="AD1460" i="7"/>
  <c r="AD1459" i="7"/>
  <c r="AD1456" i="7"/>
  <c r="AD1455" i="7"/>
  <c r="AD1454" i="7"/>
  <c r="AD1453" i="7"/>
  <c r="AD1452" i="7"/>
  <c r="AD1451" i="7"/>
  <c r="AD1450" i="7"/>
  <c r="AD1449" i="7"/>
  <c r="AD1448" i="7"/>
  <c r="AD1447" i="7"/>
  <c r="AD1446" i="7"/>
  <c r="AD1445" i="7"/>
  <c r="AD1442" i="7"/>
  <c r="AD1441" i="7"/>
  <c r="AD1440" i="7"/>
  <c r="AD1439" i="7"/>
  <c r="AD1438" i="7"/>
  <c r="AD1437" i="7"/>
  <c r="AD1436" i="7"/>
  <c r="AD1435" i="7"/>
  <c r="AD1434" i="7"/>
  <c r="AD1433" i="7"/>
  <c r="AD1432" i="7"/>
  <c r="AD1431" i="7"/>
  <c r="AD1430" i="7"/>
  <c r="AD1429" i="7"/>
  <c r="AD1428" i="7"/>
  <c r="AD1427" i="7"/>
  <c r="AD1426" i="7"/>
  <c r="AD1425" i="7"/>
  <c r="AD1424" i="7"/>
  <c r="AD1423" i="7"/>
  <c r="AD1422" i="7"/>
  <c r="AD1421" i="7"/>
  <c r="AD1420" i="7"/>
  <c r="AD1419" i="7"/>
  <c r="AD1418" i="7"/>
  <c r="AD1417" i="7"/>
  <c r="AD1416" i="7"/>
  <c r="AD1415" i="7"/>
  <c r="AD1414" i="7"/>
  <c r="AD1413" i="7"/>
  <c r="AD1412" i="7"/>
  <c r="AD1411" i="7"/>
  <c r="AD1410" i="7"/>
  <c r="AD1409" i="7"/>
  <c r="AD1408" i="7"/>
  <c r="AD1407" i="7"/>
  <c r="AD1406" i="7"/>
  <c r="AD1405" i="7"/>
  <c r="AD1404" i="7"/>
  <c r="AD1403" i="7"/>
  <c r="AD1402" i="7"/>
  <c r="AD1401" i="7"/>
  <c r="AD1400" i="7"/>
  <c r="AD1399" i="7"/>
  <c r="AD1398" i="7"/>
  <c r="AD1397" i="7"/>
  <c r="AD1396" i="7"/>
  <c r="AD1395" i="7"/>
  <c r="AD1394" i="7"/>
  <c r="AD1393" i="7"/>
  <c r="AD1392" i="7"/>
  <c r="AD1391" i="7"/>
  <c r="AD1390" i="7"/>
  <c r="AD1389" i="7"/>
  <c r="AD1388" i="7"/>
  <c r="AD1387" i="7"/>
  <c r="AD1386" i="7"/>
  <c r="AD1385" i="7"/>
  <c r="AD1384" i="7"/>
  <c r="AD1383" i="7"/>
  <c r="AD1382" i="7"/>
  <c r="AD1381" i="7"/>
  <c r="AD1380" i="7"/>
  <c r="AD1379" i="7"/>
  <c r="AD1378" i="7"/>
  <c r="AD1377" i="7"/>
  <c r="AD1376" i="7"/>
  <c r="AD1375" i="7"/>
  <c r="AD1374" i="7"/>
  <c r="AD1373" i="7"/>
  <c r="AD1372" i="7"/>
  <c r="AD1371" i="7"/>
  <c r="AD1370" i="7"/>
  <c r="AD1369" i="7"/>
  <c r="AD1368" i="7"/>
  <c r="AD1367" i="7"/>
  <c r="AD1366" i="7"/>
  <c r="AD1365" i="7"/>
  <c r="AD1364" i="7"/>
  <c r="AD1363" i="7"/>
  <c r="AD1362" i="7"/>
  <c r="AD1361" i="7"/>
  <c r="AD1360" i="7"/>
  <c r="AD1359" i="7"/>
  <c r="AD1358" i="7"/>
  <c r="AD1357" i="7"/>
  <c r="AD1356" i="7"/>
  <c r="AD1355" i="7"/>
  <c r="AD1354" i="7"/>
  <c r="AD1353" i="7"/>
  <c r="AD1352" i="7"/>
  <c r="AD1351" i="7"/>
  <c r="AD1350" i="7"/>
  <c r="AD1349" i="7"/>
  <c r="AD1348" i="7"/>
  <c r="AD1347" i="7"/>
  <c r="AD1346" i="7"/>
  <c r="AD1345" i="7"/>
  <c r="AD1344" i="7"/>
  <c r="AD1343" i="7"/>
  <c r="AD1342" i="7"/>
  <c r="AD1341" i="7"/>
  <c r="AD1340" i="7"/>
  <c r="AD1339" i="7"/>
  <c r="AD1338" i="7"/>
  <c r="AD1337" i="7"/>
  <c r="AD1336" i="7"/>
  <c r="AD1335" i="7"/>
  <c r="AD1334" i="7"/>
  <c r="AD1333" i="7"/>
  <c r="AD1332" i="7"/>
  <c r="AD1331" i="7"/>
  <c r="AD1330" i="7"/>
  <c r="AD1329" i="7"/>
  <c r="AD1328" i="7"/>
  <c r="AD1327" i="7"/>
  <c r="AD1326" i="7"/>
  <c r="AD1325" i="7"/>
  <c r="AD1324" i="7"/>
  <c r="AD1323" i="7"/>
  <c r="AD1322" i="7"/>
  <c r="AD1321" i="7"/>
  <c r="AD1320" i="7"/>
  <c r="AD1319" i="7"/>
  <c r="AD1318" i="7"/>
  <c r="AD1317" i="7"/>
  <c r="AD1316" i="7"/>
  <c r="AD1315" i="7"/>
  <c r="AD1314" i="7"/>
  <c r="AD1313" i="7"/>
  <c r="AD1312" i="7"/>
  <c r="AD1311" i="7"/>
  <c r="AD1310" i="7"/>
  <c r="AD1309" i="7"/>
  <c r="AD1308" i="7"/>
  <c r="AD1307" i="7"/>
  <c r="AD1306" i="7"/>
  <c r="AD1305" i="7"/>
  <c r="AD1304" i="7"/>
  <c r="AD1303" i="7"/>
  <c r="AD1302" i="7"/>
  <c r="AD1301" i="7"/>
  <c r="AD1300" i="7"/>
  <c r="AD1299" i="7"/>
  <c r="AD1298" i="7"/>
  <c r="AD1297" i="7"/>
  <c r="AD1296" i="7"/>
  <c r="AD1295" i="7"/>
  <c r="AD1294" i="7"/>
  <c r="AD1293" i="7"/>
  <c r="AD1292" i="7"/>
  <c r="AD1291" i="7"/>
  <c r="AD1290" i="7"/>
  <c r="AD1289" i="7"/>
  <c r="AD1288" i="7"/>
  <c r="AD1287" i="7"/>
  <c r="AD1286" i="7"/>
  <c r="AD1285" i="7"/>
  <c r="AD1284" i="7"/>
  <c r="AD1283" i="7"/>
  <c r="AD1282" i="7"/>
  <c r="AD1281" i="7"/>
  <c r="AD1280" i="7"/>
  <c r="AD1279" i="7"/>
  <c r="AD1278" i="7"/>
  <c r="AD1277" i="7"/>
  <c r="AD1276" i="7"/>
  <c r="AD1275" i="7"/>
  <c r="AD1274" i="7"/>
  <c r="AD1273" i="7"/>
  <c r="AD1272" i="7"/>
  <c r="AD1271" i="7"/>
  <c r="AD1270" i="7"/>
  <c r="AD1269" i="7"/>
  <c r="AD1268" i="7"/>
  <c r="AD1267" i="7"/>
  <c r="AD1266" i="7"/>
  <c r="AD1265" i="7"/>
  <c r="AD1264" i="7"/>
  <c r="AD1263" i="7"/>
  <c r="AD1262" i="7"/>
  <c r="AD1261" i="7"/>
  <c r="AD1260" i="7"/>
  <c r="AD1259" i="7"/>
  <c r="AD1258" i="7"/>
  <c r="AD1257" i="7"/>
  <c r="AD1256" i="7"/>
  <c r="AD1255" i="7"/>
  <c r="AD1254" i="7"/>
  <c r="AD1253" i="7"/>
  <c r="AD1252" i="7"/>
  <c r="AD1251" i="7"/>
  <c r="AD1250" i="7"/>
  <c r="AD1249" i="7"/>
  <c r="AD1248" i="7"/>
  <c r="AD1247" i="7"/>
  <c r="AD1246" i="7"/>
  <c r="AD1245" i="7"/>
  <c r="AD1244" i="7"/>
  <c r="AD1243" i="7"/>
  <c r="AD1242" i="7"/>
  <c r="AD1241" i="7"/>
  <c r="AD1240" i="7"/>
  <c r="AD1239" i="7"/>
  <c r="AD1238" i="7"/>
  <c r="AD1237" i="7"/>
  <c r="AD1236" i="7"/>
  <c r="AD1235" i="7"/>
  <c r="AD1234" i="7"/>
  <c r="AD1233" i="7"/>
  <c r="AD1232" i="7"/>
  <c r="AD1231" i="7"/>
  <c r="AD1230" i="7"/>
  <c r="AD1229" i="7"/>
  <c r="AD1228" i="7"/>
  <c r="AD1227" i="7"/>
  <c r="AD1226" i="7"/>
  <c r="AD1225" i="7"/>
  <c r="AD1224" i="7"/>
  <c r="AD1223" i="7"/>
  <c r="AD1222" i="7"/>
  <c r="AD1221" i="7"/>
  <c r="AD1220" i="7"/>
  <c r="AD1219" i="7"/>
  <c r="AD1218" i="7"/>
  <c r="AD1217" i="7"/>
  <c r="AD1216" i="7"/>
  <c r="AD1215" i="7"/>
  <c r="AD1214" i="7"/>
  <c r="AD1213" i="7"/>
  <c r="AD1212" i="7"/>
  <c r="AD1211" i="7"/>
  <c r="AD1210" i="7"/>
  <c r="AD1209" i="7"/>
  <c r="AD1208" i="7"/>
  <c r="AD1207" i="7"/>
  <c r="AD1206" i="7"/>
  <c r="AD1205" i="7"/>
  <c r="AD1202" i="7"/>
  <c r="AD1201" i="7"/>
  <c r="AD1200" i="7"/>
  <c r="AD1197" i="7"/>
  <c r="AD1195" i="7"/>
  <c r="AD1194" i="7"/>
  <c r="AD1193" i="7"/>
  <c r="AD1192" i="7"/>
  <c r="AD1191" i="7"/>
  <c r="AD1190" i="7"/>
  <c r="AD1189" i="7"/>
  <c r="AD1188" i="7"/>
  <c r="AD1187" i="7"/>
  <c r="AD1186" i="7"/>
  <c r="AD1185" i="7"/>
  <c r="AD1184" i="7"/>
  <c r="AD1183" i="7"/>
  <c r="AD1182" i="7"/>
  <c r="AD1181" i="7"/>
  <c r="AD1180" i="7"/>
  <c r="AD1179" i="7"/>
  <c r="AD1178" i="7"/>
  <c r="AD1177" i="7"/>
  <c r="AD1170" i="7"/>
  <c r="AD1158" i="7"/>
  <c r="AD1157" i="7"/>
  <c r="AD1156" i="7"/>
  <c r="AD1155" i="7"/>
  <c r="AD1154" i="7"/>
  <c r="AD1153" i="7"/>
  <c r="AD1152" i="7"/>
  <c r="AD1151" i="7"/>
  <c r="AD1150" i="7"/>
  <c r="AD1149" i="7"/>
  <c r="AD1148" i="7"/>
  <c r="AD1147" i="7"/>
  <c r="AD1146" i="7"/>
  <c r="AD1145" i="7"/>
  <c r="AD1144" i="7"/>
  <c r="AD1143" i="7"/>
  <c r="AD1142" i="7"/>
  <c r="AD1141" i="7"/>
  <c r="AD1140" i="7"/>
  <c r="AD1139" i="7"/>
  <c r="AD1138" i="7"/>
  <c r="AD1137" i="7"/>
  <c r="AD1136" i="7"/>
  <c r="AD1135" i="7"/>
  <c r="AD1134" i="7"/>
  <c r="AD1133" i="7"/>
  <c r="AD1132" i="7"/>
  <c r="AD1131" i="7"/>
  <c r="AD1130" i="7"/>
  <c r="AD1129" i="7"/>
  <c r="AD1128" i="7"/>
  <c r="AD1127" i="7"/>
  <c r="AD1126" i="7"/>
  <c r="AD1125" i="7"/>
  <c r="AD1124" i="7"/>
  <c r="AD1123" i="7"/>
  <c r="AD1122" i="7"/>
  <c r="AD1121" i="7"/>
  <c r="AD1120" i="7"/>
  <c r="AD1119" i="7"/>
  <c r="AD1118" i="7"/>
  <c r="AD1117" i="7"/>
  <c r="AD1116" i="7"/>
  <c r="AD1115" i="7"/>
  <c r="AD1114" i="7"/>
  <c r="AD1113" i="7"/>
  <c r="AD1112" i="7"/>
  <c r="AD1111" i="7"/>
  <c r="AD1110" i="7"/>
  <c r="AD1109" i="7"/>
  <c r="AD1108" i="7"/>
  <c r="AD1107" i="7"/>
  <c r="AD1106" i="7"/>
  <c r="AD1105" i="7"/>
  <c r="AD1104" i="7"/>
  <c r="AD1103" i="7"/>
  <c r="AD1102" i="7"/>
  <c r="AD1101" i="7"/>
  <c r="AD1100" i="7"/>
  <c r="AD1099" i="7"/>
  <c r="AD1098" i="7"/>
  <c r="AD1097" i="7"/>
  <c r="AD1096" i="7"/>
  <c r="AD1095" i="7"/>
  <c r="AD1094" i="7"/>
  <c r="AD1093" i="7"/>
  <c r="AD1092" i="7"/>
  <c r="AD1091" i="7"/>
  <c r="AD1090" i="7"/>
  <c r="AD1089" i="7"/>
  <c r="AD1088" i="7"/>
  <c r="AD1087" i="7"/>
  <c r="AD1086" i="7"/>
  <c r="AD1085" i="7"/>
  <c r="AD1084" i="7"/>
  <c r="AD1083" i="7"/>
  <c r="AD1082" i="7"/>
  <c r="AD1081" i="7"/>
  <c r="AD1080" i="7"/>
  <c r="AD1079" i="7"/>
  <c r="AD1078" i="7"/>
  <c r="AD1077" i="7"/>
  <c r="AD1076" i="7"/>
  <c r="AD1075" i="7"/>
  <c r="AD1074" i="7"/>
  <c r="AD1073" i="7"/>
  <c r="AD1072" i="7"/>
  <c r="AD1071" i="7"/>
  <c r="AD1070" i="7"/>
  <c r="AD1069" i="7"/>
  <c r="AD1068" i="7"/>
  <c r="AD1067" i="7"/>
  <c r="AD1066" i="7"/>
  <c r="AD1065" i="7"/>
  <c r="AD1064" i="7"/>
  <c r="AD1063" i="7"/>
  <c r="AD1062" i="7"/>
  <c r="AD1061" i="7"/>
  <c r="AD1060" i="7"/>
  <c r="AD1059" i="7"/>
  <c r="AD1058" i="7"/>
  <c r="AD1057" i="7"/>
  <c r="AD1056" i="7"/>
  <c r="AD1055" i="7"/>
  <c r="AD1054" i="7"/>
  <c r="AD1053" i="7"/>
  <c r="AD1052" i="7"/>
  <c r="AD1051" i="7"/>
  <c r="AD1050" i="7"/>
  <c r="AD1049" i="7"/>
  <c r="AD1048" i="7"/>
  <c r="AD1047" i="7"/>
  <c r="AD1046" i="7"/>
  <c r="AD1045" i="7"/>
  <c r="AD1044" i="7"/>
  <c r="AD1043" i="7"/>
  <c r="AD1042" i="7"/>
  <c r="AD1041" i="7"/>
  <c r="AD1040" i="7"/>
  <c r="AD1039" i="7"/>
  <c r="AD1038" i="7"/>
  <c r="AD1037" i="7"/>
  <c r="AD1036" i="7"/>
  <c r="AD1035" i="7"/>
  <c r="AD1034" i="7"/>
  <c r="AD1033" i="7"/>
  <c r="AD1032" i="7"/>
  <c r="AD1031" i="7"/>
  <c r="AD1030" i="7"/>
  <c r="AD1029" i="7"/>
  <c r="AD1028" i="7"/>
  <c r="AD1027" i="7"/>
  <c r="AD1026" i="7"/>
  <c r="AD1025" i="7"/>
  <c r="AD1024" i="7"/>
  <c r="AD1023" i="7"/>
  <c r="AD1022" i="7"/>
  <c r="AD1021" i="7"/>
  <c r="AD1020" i="7"/>
  <c r="AD1019" i="7"/>
  <c r="AD1018" i="7"/>
  <c r="AD1017" i="7"/>
  <c r="AD1016" i="7"/>
  <c r="AD1015" i="7"/>
  <c r="AD1014" i="7"/>
  <c r="AD1013" i="7"/>
  <c r="AD1012" i="7"/>
  <c r="AD1011" i="7"/>
  <c r="AD1010" i="7"/>
  <c r="AD1009" i="7"/>
  <c r="AD1008" i="7"/>
  <c r="AD1007" i="7"/>
  <c r="AD1006" i="7"/>
  <c r="AD1005" i="7"/>
  <c r="AD1004" i="7"/>
  <c r="AD1003" i="7"/>
  <c r="AD1002" i="7"/>
  <c r="AD1001" i="7"/>
  <c r="AD1000" i="7"/>
  <c r="AD999" i="7"/>
  <c r="AD998" i="7"/>
  <c r="AD997" i="7"/>
  <c r="AD996" i="7"/>
  <c r="AD995" i="7"/>
  <c r="AD994" i="7"/>
  <c r="AD993" i="7"/>
  <c r="AD992" i="7"/>
  <c r="AD991" i="7"/>
  <c r="AD990" i="7"/>
  <c r="AD989" i="7"/>
  <c r="AD988" i="7"/>
  <c r="AD987" i="7"/>
  <c r="AD986" i="7"/>
  <c r="AD985" i="7"/>
  <c r="AD984" i="7"/>
  <c r="AD983" i="7"/>
  <c r="AD982" i="7"/>
  <c r="AD981" i="7"/>
  <c r="AD980" i="7"/>
  <c r="AD979" i="7"/>
  <c r="AD978" i="7"/>
  <c r="AD977" i="7"/>
  <c r="AD975" i="7"/>
  <c r="AD974" i="7"/>
  <c r="AD973" i="7"/>
  <c r="AD972" i="7"/>
  <c r="AD971" i="7"/>
  <c r="AD970" i="7"/>
  <c r="AD969" i="7"/>
  <c r="AD968" i="7"/>
  <c r="AD967" i="7"/>
  <c r="AD966" i="7"/>
  <c r="AD965" i="7"/>
  <c r="AD964" i="7"/>
  <c r="AD963" i="7"/>
  <c r="AD962" i="7"/>
  <c r="AD961" i="7"/>
  <c r="AD960" i="7"/>
  <c r="AD959" i="7"/>
  <c r="AD958" i="7"/>
  <c r="AD957" i="7"/>
  <c r="AD956" i="7"/>
  <c r="AD955" i="7"/>
  <c r="AD954" i="7"/>
  <c r="AD953" i="7"/>
  <c r="AD952" i="7"/>
  <c r="AD951" i="7"/>
  <c r="AD950" i="7"/>
  <c r="AD949" i="7"/>
  <c r="AD948" i="7"/>
  <c r="AD947" i="7"/>
  <c r="AD946" i="7"/>
  <c r="AD945" i="7"/>
  <c r="AD944" i="7"/>
  <c r="AD943" i="7"/>
  <c r="AD942" i="7"/>
  <c r="AD941" i="7"/>
  <c r="AD940" i="7"/>
  <c r="AD939" i="7"/>
  <c r="AD938" i="7"/>
  <c r="AD937" i="7"/>
  <c r="AD936" i="7"/>
  <c r="AD935" i="7"/>
  <c r="AD934" i="7"/>
  <c r="AD933" i="7"/>
  <c r="AD932" i="7"/>
  <c r="AD931" i="7"/>
  <c r="AD930" i="7"/>
  <c r="AD929" i="7"/>
  <c r="AD928" i="7"/>
  <c r="AD927" i="7"/>
  <c r="AD926" i="7"/>
  <c r="AD925" i="7"/>
  <c r="AD924" i="7"/>
  <c r="AD923" i="7"/>
  <c r="AD922" i="7"/>
  <c r="AD921" i="7"/>
  <c r="AD920" i="7"/>
  <c r="AD919" i="7"/>
  <c r="AD918" i="7"/>
  <c r="AD917" i="7"/>
  <c r="AD916" i="7"/>
  <c r="AD915" i="7"/>
  <c r="AD914" i="7"/>
  <c r="AD913" i="7"/>
  <c r="AD912" i="7"/>
  <c r="AD911" i="7"/>
  <c r="AD910" i="7"/>
  <c r="AD909" i="7"/>
  <c r="AD908" i="7"/>
  <c r="AD907" i="7"/>
  <c r="AD906" i="7"/>
  <c r="AD905" i="7"/>
  <c r="AD904" i="7"/>
  <c r="AD903" i="7"/>
  <c r="AD902" i="7"/>
  <c r="AD901" i="7"/>
  <c r="AD900" i="7"/>
  <c r="AD899" i="7"/>
  <c r="AD898" i="7"/>
  <c r="AD897" i="7"/>
  <c r="AD896" i="7"/>
  <c r="AD895" i="7"/>
  <c r="AD894" i="7"/>
  <c r="AD893" i="7"/>
  <c r="AD892" i="7"/>
  <c r="AD891" i="7"/>
  <c r="AD890" i="7"/>
  <c r="AD889" i="7"/>
  <c r="AD888" i="7"/>
  <c r="AD887" i="7"/>
  <c r="AD886" i="7"/>
  <c r="AD885" i="7"/>
  <c r="AD884" i="7"/>
  <c r="AD883" i="7"/>
  <c r="AD882" i="7"/>
  <c r="AD881" i="7"/>
  <c r="AD880" i="7"/>
  <c r="AD879" i="7"/>
  <c r="AD878" i="7"/>
  <c r="AD877" i="7"/>
  <c r="AD876" i="7"/>
  <c r="AD875" i="7"/>
  <c r="AD874" i="7"/>
  <c r="AD873" i="7"/>
  <c r="AD872" i="7"/>
  <c r="AD871" i="7"/>
  <c r="AD870" i="7"/>
  <c r="AD869" i="7"/>
  <c r="AD868" i="7"/>
  <c r="AD867" i="7"/>
  <c r="AD866" i="7"/>
  <c r="AD865" i="7"/>
  <c r="AD864" i="7"/>
  <c r="AD863" i="7"/>
  <c r="AD862" i="7"/>
  <c r="AD861" i="7"/>
  <c r="AD860" i="7"/>
  <c r="AD859" i="7"/>
  <c r="AD858" i="7"/>
  <c r="AD857" i="7"/>
  <c r="AD856" i="7"/>
  <c r="AD855" i="7"/>
  <c r="AD851" i="7"/>
  <c r="AD850" i="7"/>
  <c r="AD849" i="7"/>
  <c r="AD848" i="7"/>
  <c r="AD847" i="7"/>
  <c r="AD846" i="7"/>
  <c r="AD845" i="7"/>
  <c r="AD844" i="7"/>
  <c r="AD843" i="7"/>
  <c r="AD842" i="7"/>
  <c r="AD841" i="7"/>
  <c r="AD840" i="7"/>
  <c r="AD839" i="7"/>
  <c r="AD838" i="7"/>
  <c r="AD837" i="7"/>
  <c r="AD836" i="7"/>
  <c r="AD835" i="7"/>
  <c r="AD834" i="7"/>
  <c r="AD833" i="7"/>
  <c r="AD832" i="7"/>
  <c r="AD831" i="7"/>
  <c r="AD830" i="7"/>
  <c r="AD829" i="7"/>
  <c r="AD828" i="7"/>
  <c r="AD827" i="7"/>
  <c r="AD826" i="7"/>
  <c r="AD825" i="7"/>
  <c r="AD824" i="7"/>
  <c r="AD823" i="7"/>
  <c r="AD822" i="7"/>
  <c r="AD821" i="7"/>
  <c r="AD820" i="7"/>
  <c r="AD819" i="7"/>
  <c r="AD818" i="7"/>
  <c r="AD817" i="7"/>
  <c r="AD816" i="7"/>
  <c r="AD815" i="7"/>
  <c r="AD814" i="7"/>
  <c r="AD813" i="7"/>
  <c r="AD812" i="7"/>
  <c r="AD811" i="7"/>
  <c r="AD810" i="7"/>
  <c r="AD809" i="7"/>
  <c r="AD808" i="7"/>
  <c r="AD807" i="7"/>
  <c r="AD806" i="7"/>
  <c r="AD805" i="7"/>
  <c r="AD804" i="7"/>
  <c r="AD803" i="7"/>
  <c r="AD802" i="7"/>
  <c r="AD801" i="7"/>
  <c r="AD800" i="7"/>
  <c r="AD799" i="7"/>
  <c r="AD798" i="7"/>
  <c r="AD797" i="7"/>
  <c r="AD796" i="7"/>
  <c r="AD795" i="7"/>
  <c r="AD794" i="7"/>
  <c r="AD793" i="7"/>
  <c r="AD792" i="7"/>
  <c r="AD791" i="7"/>
  <c r="AD790" i="7"/>
  <c r="AD789" i="7"/>
  <c r="AD788" i="7"/>
  <c r="AD787" i="7"/>
  <c r="AD786" i="7"/>
  <c r="AD785" i="7"/>
  <c r="AD784" i="7"/>
  <c r="AD783" i="7"/>
  <c r="AD782" i="7"/>
  <c r="AD781" i="7"/>
  <c r="AD780" i="7"/>
  <c r="AD779" i="7"/>
  <c r="AD778" i="7"/>
  <c r="AD777" i="7"/>
  <c r="AD776" i="7"/>
  <c r="AD775" i="7"/>
  <c r="AD774" i="7"/>
  <c r="AD773" i="7"/>
  <c r="AD772" i="7"/>
  <c r="AD771" i="7"/>
  <c r="AD770" i="7"/>
  <c r="AD769" i="7"/>
  <c r="AD768" i="7"/>
  <c r="AD767" i="7"/>
  <c r="AD766" i="7"/>
  <c r="AD765" i="7"/>
  <c r="AD764" i="7"/>
  <c r="AD763" i="7"/>
  <c r="AD762" i="7"/>
  <c r="AD761" i="7"/>
  <c r="AD760" i="7"/>
  <c r="AD759" i="7"/>
  <c r="AD758" i="7"/>
  <c r="AD757" i="7"/>
  <c r="AD756" i="7"/>
  <c r="AD755" i="7"/>
  <c r="AD754" i="7"/>
  <c r="AD753" i="7"/>
  <c r="AD752" i="7"/>
  <c r="AD751" i="7"/>
  <c r="AD750" i="7"/>
  <c r="AD749" i="7"/>
  <c r="AD748" i="7"/>
  <c r="AD747" i="7"/>
  <c r="AD746" i="7"/>
  <c r="AD745" i="7"/>
  <c r="AD744" i="7"/>
  <c r="AD743" i="7"/>
  <c r="AD742" i="7"/>
  <c r="AD741" i="7"/>
  <c r="AD740" i="7"/>
  <c r="AD739" i="7"/>
  <c r="AD738" i="7"/>
  <c r="AD737" i="7"/>
  <c r="AD736" i="7"/>
  <c r="AD735" i="7"/>
  <c r="AD734" i="7"/>
  <c r="AD733" i="7"/>
  <c r="AD732" i="7"/>
  <c r="AD731" i="7"/>
  <c r="AD730" i="7"/>
  <c r="AD729" i="7"/>
  <c r="AD728" i="7"/>
  <c r="AD727" i="7"/>
  <c r="AD726" i="7"/>
  <c r="AD725" i="7"/>
  <c r="AD724" i="7"/>
  <c r="AD723" i="7"/>
  <c r="AD722" i="7"/>
  <c r="AD721" i="7"/>
  <c r="AD720" i="7"/>
  <c r="AD719" i="7"/>
  <c r="AD718" i="7"/>
  <c r="AD717" i="7"/>
  <c r="AD716" i="7"/>
  <c r="AD715" i="7"/>
  <c r="AD714" i="7"/>
  <c r="AD713" i="7"/>
  <c r="AD712" i="7"/>
  <c r="AD711" i="7"/>
  <c r="AD710" i="7"/>
  <c r="AD709" i="7"/>
  <c r="AD708" i="7"/>
  <c r="AD707" i="7"/>
  <c r="AD706" i="7"/>
  <c r="AD705" i="7"/>
  <c r="AD704" i="7"/>
  <c r="AD703" i="7"/>
  <c r="AD702" i="7"/>
  <c r="AD701" i="7"/>
  <c r="AD700" i="7"/>
  <c r="AD699" i="7"/>
  <c r="AD698" i="7"/>
  <c r="AD697" i="7"/>
  <c r="AD696" i="7"/>
  <c r="AD695" i="7"/>
  <c r="AD691" i="7"/>
  <c r="AD687" i="7"/>
  <c r="AD686" i="7"/>
  <c r="AD679" i="7"/>
  <c r="AD667" i="7"/>
  <c r="AD666" i="7"/>
  <c r="AD662" i="7"/>
  <c r="AD659" i="7"/>
  <c r="AD658" i="7"/>
  <c r="AD657" i="7"/>
  <c r="AD656" i="7"/>
  <c r="AD655" i="7"/>
  <c r="AD646" i="7"/>
  <c r="AD645" i="7"/>
  <c r="AD644" i="7"/>
  <c r="AD643" i="7"/>
  <c r="AD642" i="7"/>
  <c r="AD638" i="7"/>
  <c r="AD637" i="7"/>
  <c r="AD635" i="7"/>
  <c r="AD634" i="7"/>
  <c r="AD631" i="7"/>
  <c r="AD629" i="7"/>
  <c r="AD620" i="7"/>
  <c r="AD619" i="7"/>
  <c r="AD618" i="7"/>
  <c r="AD617" i="7"/>
  <c r="AD616" i="7"/>
  <c r="AD613" i="7"/>
  <c r="AD605" i="7"/>
  <c r="AD604" i="7"/>
  <c r="AD603" i="7"/>
  <c r="AD602" i="7"/>
  <c r="AD601" i="7"/>
  <c r="AD600" i="7"/>
  <c r="AD599" i="7"/>
  <c r="AD598" i="7"/>
  <c r="AD597" i="7"/>
  <c r="AD596" i="7"/>
  <c r="AD594" i="7"/>
  <c r="AD593" i="7"/>
  <c r="AD592" i="7"/>
  <c r="AD589" i="7"/>
  <c r="AD585" i="7"/>
  <c r="AD578" i="7"/>
  <c r="AD576" i="7"/>
  <c r="AD575" i="7"/>
  <c r="AD574" i="7"/>
  <c r="AD570" i="7"/>
  <c r="AD554" i="7"/>
  <c r="AD552" i="7"/>
  <c r="AD550" i="7"/>
  <c r="AD548" i="7"/>
  <c r="AD547" i="7"/>
  <c r="AD546" i="7"/>
  <c r="AD545" i="7"/>
  <c r="AD544" i="7"/>
  <c r="AD538" i="7"/>
  <c r="AD534" i="7"/>
  <c r="AD448" i="7"/>
  <c r="AD447" i="7"/>
  <c r="AD426" i="7"/>
  <c r="AD412" i="7"/>
  <c r="AD374" i="7"/>
  <c r="AD368" i="7"/>
  <c r="AD357" i="7"/>
  <c r="AD345" i="7"/>
  <c r="AD313" i="7"/>
  <c r="AD294" i="7"/>
  <c r="AD288" i="7"/>
  <c r="AD267" i="7"/>
  <c r="AD222" i="7"/>
  <c r="AD221" i="7"/>
  <c r="AD220" i="7"/>
  <c r="AD219" i="7"/>
  <c r="AD218" i="7"/>
  <c r="AD217" i="7"/>
  <c r="AD215" i="7"/>
  <c r="AD214" i="7"/>
  <c r="AD213" i="7"/>
  <c r="AD212" i="7"/>
  <c r="AD211" i="7"/>
  <c r="AD210" i="7"/>
  <c r="AD209" i="7"/>
  <c r="AD208" i="7"/>
  <c r="AD207" i="7"/>
  <c r="AD205" i="7"/>
  <c r="AD203" i="7"/>
  <c r="AD202" i="7"/>
  <c r="AD201" i="7"/>
  <c r="AD196" i="7"/>
  <c r="AD194" i="7"/>
  <c r="AD193" i="7"/>
  <c r="AD185" i="7"/>
  <c r="AD183" i="7"/>
  <c r="AD182" i="7"/>
  <c r="AD181" i="7"/>
  <c r="AD180" i="7"/>
  <c r="AD179" i="7"/>
  <c r="AD178" i="7"/>
  <c r="AD176" i="7"/>
  <c r="AD175" i="7"/>
  <c r="AD173" i="7"/>
  <c r="AD170" i="7"/>
  <c r="AD159" i="7"/>
  <c r="AD157" i="7"/>
  <c r="AD156" i="7"/>
  <c r="AD155" i="7"/>
  <c r="AD154" i="7"/>
  <c r="AD145" i="7"/>
  <c r="AD144" i="7"/>
  <c r="AD143" i="7"/>
  <c r="AD142" i="7"/>
  <c r="AD136" i="7"/>
  <c r="AD133" i="7"/>
  <c r="AD125" i="7"/>
  <c r="AD112" i="7"/>
  <c r="AD109" i="7"/>
  <c r="AD100" i="7"/>
  <c r="AD89" i="7"/>
  <c r="AD87" i="7"/>
  <c r="AD79" i="7"/>
  <c r="AD77" i="7"/>
  <c r="AD69" i="7"/>
  <c r="AD49" i="7"/>
  <c r="AD45" i="7"/>
  <c r="AD15" i="7"/>
  <c r="AC1972" i="7"/>
  <c r="AC1971" i="7"/>
  <c r="AC1969" i="7"/>
  <c r="AC1966" i="7"/>
  <c r="AC1965" i="7"/>
  <c r="AC1964" i="7"/>
  <c r="AC1963" i="7"/>
  <c r="AC1962" i="7"/>
  <c r="AC1961" i="7"/>
  <c r="AC1960" i="7"/>
  <c r="AC1959" i="7"/>
  <c r="AC1958" i="7"/>
  <c r="AC1957" i="7"/>
  <c r="AC1956" i="7"/>
  <c r="AC1955" i="7"/>
  <c r="AC1954" i="7"/>
  <c r="AC1953" i="7"/>
  <c r="AC1952" i="7"/>
  <c r="AC1951" i="7"/>
  <c r="AC1950" i="7"/>
  <c r="AC1949" i="7"/>
  <c r="AC1948" i="7"/>
  <c r="AC1946" i="7"/>
  <c r="AC1945" i="7"/>
  <c r="AC1944" i="7"/>
  <c r="AC1943" i="7"/>
  <c r="AC1942" i="7"/>
  <c r="AC1941" i="7"/>
  <c r="AC1940" i="7"/>
  <c r="AC1939" i="7"/>
  <c r="AC1938" i="7"/>
  <c r="AC1937" i="7"/>
  <c r="AC1936" i="7"/>
  <c r="AC1935" i="7"/>
  <c r="AC1934" i="7"/>
  <c r="AC1933" i="7"/>
  <c r="AC1932" i="7"/>
  <c r="AC1930" i="7"/>
  <c r="AC1929" i="7"/>
  <c r="AC1928" i="7"/>
  <c r="AC1927" i="7"/>
  <c r="AC1926" i="7"/>
  <c r="AC1925" i="7"/>
  <c r="AC1924" i="7"/>
  <c r="AC1923" i="7"/>
  <c r="AC1922" i="7"/>
  <c r="AC1921" i="7"/>
  <c r="AC1920" i="7"/>
  <c r="AC1919" i="7"/>
  <c r="AC1918" i="7"/>
  <c r="AC1917" i="7"/>
  <c r="AC1916" i="7"/>
  <c r="AC1915" i="7"/>
  <c r="AC1914" i="7"/>
  <c r="AC1912" i="7"/>
  <c r="AC1909" i="7"/>
  <c r="AC1908" i="7"/>
  <c r="AC1907" i="7"/>
  <c r="AC1906" i="7"/>
  <c r="AC1905" i="7"/>
  <c r="AC1904" i="7"/>
  <c r="AC1903" i="7"/>
  <c r="AC1902" i="7"/>
  <c r="AC1901" i="7"/>
  <c r="AC1899" i="7"/>
  <c r="AC1898" i="7"/>
  <c r="AC1897" i="7"/>
  <c r="AC1895" i="7"/>
  <c r="AC1894" i="7"/>
  <c r="AC1893" i="7"/>
  <c r="AC1892" i="7"/>
  <c r="AC1891" i="7"/>
  <c r="AC1889" i="7"/>
  <c r="AC1886" i="7"/>
  <c r="AC1885" i="7"/>
  <c r="AC1884" i="7"/>
  <c r="AC1883" i="7"/>
  <c r="AC1882" i="7"/>
  <c r="AC1881" i="7"/>
  <c r="AC1880" i="7"/>
  <c r="AC1879" i="7"/>
  <c r="AC1878" i="7"/>
  <c r="AC1877" i="7"/>
  <c r="AC1876" i="7"/>
  <c r="AC1875" i="7"/>
  <c r="AC1874" i="7"/>
  <c r="AC1873" i="7"/>
  <c r="AC1872" i="7"/>
  <c r="AC1871" i="7"/>
  <c r="AC1870" i="7"/>
  <c r="AC1869" i="7"/>
  <c r="AC1868" i="7"/>
  <c r="AC1867" i="7"/>
  <c r="AC1866" i="7"/>
  <c r="AC1865" i="7"/>
  <c r="AC1864" i="7"/>
  <c r="AC1863" i="7"/>
  <c r="AC1862" i="7"/>
  <c r="AC1861" i="7"/>
  <c r="AC1860" i="7"/>
  <c r="AC1859" i="7"/>
  <c r="AC1858" i="7"/>
  <c r="AC1857" i="7"/>
  <c r="AC1856" i="7"/>
  <c r="AC1855" i="7"/>
  <c r="AC1854" i="7"/>
  <c r="AC1853" i="7"/>
  <c r="AC1852" i="7"/>
  <c r="AC1851" i="7"/>
  <c r="AC1850" i="7"/>
  <c r="AC1849" i="7"/>
  <c r="AC1848" i="7"/>
  <c r="AC1847" i="7"/>
  <c r="AC1846" i="7"/>
  <c r="AC1845" i="7"/>
  <c r="AC1844" i="7"/>
  <c r="AC1843" i="7"/>
  <c r="AC1842" i="7"/>
  <c r="AC1841" i="7"/>
  <c r="AC1840" i="7"/>
  <c r="AC1839" i="7"/>
  <c r="AC1838" i="7"/>
  <c r="AC1837" i="7"/>
  <c r="AC1836" i="7"/>
  <c r="AC1835" i="7"/>
  <c r="AC1833" i="7"/>
  <c r="AC1832" i="7"/>
  <c r="AC1831" i="7"/>
  <c r="AC1830" i="7"/>
  <c r="AC1829" i="7"/>
  <c r="AC1828" i="7"/>
  <c r="AC1827" i="7"/>
  <c r="AC1826" i="7"/>
  <c r="AC1825" i="7"/>
  <c r="AC1824" i="7"/>
  <c r="AC1823" i="7"/>
  <c r="AC1822" i="7"/>
  <c r="AC1821" i="7"/>
  <c r="AC1820" i="7"/>
  <c r="AC1819" i="7"/>
  <c r="AC1818" i="7"/>
  <c r="AC1817" i="7"/>
  <c r="AC1816" i="7"/>
  <c r="AC1815" i="7"/>
  <c r="AC1814" i="7"/>
  <c r="AC1813" i="7"/>
  <c r="AC1812" i="7"/>
  <c r="AC1811" i="7"/>
  <c r="AC1810" i="7"/>
  <c r="AC1809" i="7"/>
  <c r="AC1808" i="7"/>
  <c r="AC1807" i="7"/>
  <c r="AC1806" i="7"/>
  <c r="AC1805" i="7"/>
  <c r="AC1804" i="7"/>
  <c r="AC1803" i="7"/>
  <c r="AC1800" i="7"/>
  <c r="AC1799" i="7"/>
  <c r="AC1797" i="7"/>
  <c r="AC1796" i="7"/>
  <c r="AC1795" i="7"/>
  <c r="AC1794" i="7"/>
  <c r="AC1793" i="7"/>
  <c r="AC1792" i="7"/>
  <c r="AC1789" i="7"/>
  <c r="AC1784" i="7"/>
  <c r="AC1783" i="7"/>
  <c r="AC1781" i="7"/>
  <c r="AC1780" i="7"/>
  <c r="AC1778" i="7"/>
  <c r="AC1774" i="7"/>
  <c r="AC1773" i="7"/>
  <c r="AC1772" i="7"/>
  <c r="AC1771" i="7"/>
  <c r="AC1770" i="7"/>
  <c r="AC1769" i="7"/>
  <c r="AC1768" i="7"/>
  <c r="AC1767" i="7"/>
  <c r="AC1766" i="7"/>
  <c r="AC1763" i="7"/>
  <c r="AC1762" i="7"/>
  <c r="AC1761" i="7"/>
  <c r="AC1760" i="7"/>
  <c r="AC1759" i="7"/>
  <c r="AC1758" i="7"/>
  <c r="AC1757" i="7"/>
  <c r="AC1756" i="7"/>
  <c r="AC1755" i="7"/>
  <c r="AC1754" i="7"/>
  <c r="AC1753" i="7"/>
  <c r="AC1752" i="7"/>
  <c r="AC1751" i="7"/>
  <c r="AC1749" i="7"/>
  <c r="AC1748" i="7"/>
  <c r="AC1743" i="7"/>
  <c r="AC1741" i="7"/>
  <c r="AC1740" i="7"/>
  <c r="AC1737" i="7"/>
  <c r="AC1736" i="7"/>
  <c r="AC1735" i="7"/>
  <c r="AC1733" i="7"/>
  <c r="AC1732" i="7"/>
  <c r="AC1731" i="7"/>
  <c r="AC1730" i="7"/>
  <c r="AC1729" i="7"/>
  <c r="AC1728" i="7"/>
  <c r="AC1727" i="7"/>
  <c r="AC1726" i="7"/>
  <c r="AC1717" i="7"/>
  <c r="AC1716" i="7"/>
  <c r="AC1711" i="7"/>
  <c r="AC1704" i="7"/>
  <c r="AC1703" i="7"/>
  <c r="AC1702" i="7"/>
  <c r="AC1701" i="7"/>
  <c r="AC1700" i="7"/>
  <c r="AC1699" i="7"/>
  <c r="AC1698" i="7"/>
  <c r="AC1697" i="7"/>
  <c r="AC1696" i="7"/>
  <c r="AC1695" i="7"/>
  <c r="AC1693" i="7"/>
  <c r="AC1687" i="7"/>
  <c r="AC1686" i="7"/>
  <c r="AC1685" i="7"/>
  <c r="AC1684" i="7"/>
  <c r="AC1683" i="7"/>
  <c r="AC1682" i="7"/>
  <c r="AC1681" i="7"/>
  <c r="AC1680" i="7"/>
  <c r="AC1679" i="7"/>
  <c r="AC1678" i="7"/>
  <c r="AC1677" i="7"/>
  <c r="AC1676" i="7"/>
  <c r="AC1675" i="7"/>
  <c r="AC1674" i="7"/>
  <c r="AC1673" i="7"/>
  <c r="AC1672" i="7"/>
  <c r="AC1671" i="7"/>
  <c r="AC1670" i="7"/>
  <c r="AC1669" i="7"/>
  <c r="AC1668" i="7"/>
  <c r="AC1667" i="7"/>
  <c r="AC1666" i="7"/>
  <c r="AC1665" i="7"/>
  <c r="AC1659" i="7"/>
  <c r="AC1658" i="7"/>
  <c r="AC1657" i="7"/>
  <c r="AC1656" i="7"/>
  <c r="AC1655" i="7"/>
  <c r="AC1654" i="7"/>
  <c r="AC1653" i="7"/>
  <c r="AC1652" i="7"/>
  <c r="AC1651" i="7"/>
  <c r="AC1650" i="7"/>
  <c r="AC1649" i="7"/>
  <c r="AC1648" i="7"/>
  <c r="AC1647" i="7"/>
  <c r="AC1646" i="7"/>
  <c r="AC1645" i="7"/>
  <c r="AC1644" i="7"/>
  <c r="AC1643" i="7"/>
  <c r="AC1642" i="7"/>
  <c r="AC1641" i="7"/>
  <c r="AC1640" i="7"/>
  <c r="AC1639" i="7"/>
  <c r="AC1638" i="7"/>
  <c r="AC1637" i="7"/>
  <c r="AC1636" i="7"/>
  <c r="AC1635" i="7"/>
  <c r="AC1634" i="7"/>
  <c r="AC1633" i="7"/>
  <c r="AC1632" i="7"/>
  <c r="AC1631" i="7"/>
  <c r="AC1630" i="7"/>
  <c r="AC1629" i="7"/>
  <c r="AC1628" i="7"/>
  <c r="AC1627" i="7"/>
  <c r="AC1626" i="7"/>
  <c r="AC1625" i="7"/>
  <c r="AC1624" i="7"/>
  <c r="AC1623" i="7"/>
  <c r="AC1622" i="7"/>
  <c r="AC1607" i="7"/>
  <c r="AC1599" i="7"/>
  <c r="AC1593" i="7"/>
  <c r="AC1592" i="7"/>
  <c r="AC1591" i="7"/>
  <c r="AC1590" i="7"/>
  <c r="AC1589" i="7"/>
  <c r="AC1588" i="7"/>
  <c r="AC1587" i="7"/>
  <c r="AC1586" i="7"/>
  <c r="AC1585" i="7"/>
  <c r="AC1584" i="7"/>
  <c r="AC1583" i="7"/>
  <c r="AC1582" i="7"/>
  <c r="AC1581" i="7"/>
  <c r="AC1580" i="7"/>
  <c r="AC1579" i="7"/>
  <c r="AC1578" i="7"/>
  <c r="AC1577" i="7"/>
  <c r="AC1576" i="7"/>
  <c r="AC1575" i="7"/>
  <c r="AC1574" i="7"/>
  <c r="AC1573" i="7"/>
  <c r="AC1572" i="7"/>
  <c r="AC1571" i="7"/>
  <c r="AC1570" i="7"/>
  <c r="AC1569" i="7"/>
  <c r="AC1568" i="7"/>
  <c r="AC1567" i="7"/>
  <c r="AC1566" i="7"/>
  <c r="AC1565" i="7"/>
  <c r="AC1563" i="7"/>
  <c r="AC1562" i="7"/>
  <c r="AC1561" i="7"/>
  <c r="AC1558" i="7"/>
  <c r="AC1556" i="7"/>
  <c r="AC1555" i="7"/>
  <c r="AC1552" i="7"/>
  <c r="AC1551" i="7"/>
  <c r="AC1550" i="7"/>
  <c r="AC1549" i="7"/>
  <c r="AC1548" i="7"/>
  <c r="AC1547" i="7"/>
  <c r="AC1546" i="7"/>
  <c r="AC1545" i="7"/>
  <c r="AC1544" i="7"/>
  <c r="AC1543" i="7"/>
  <c r="AC1535" i="7"/>
  <c r="AC1531" i="7"/>
  <c r="AC1530" i="7"/>
  <c r="AC1526" i="7"/>
  <c r="AC1520" i="7"/>
  <c r="AC1519" i="7"/>
  <c r="AC1518" i="7"/>
  <c r="AC1516" i="7"/>
  <c r="AC1515" i="7"/>
  <c r="AC1512" i="7"/>
  <c r="AC1510" i="7"/>
  <c r="AC1507" i="7"/>
  <c r="AC1506" i="7"/>
  <c r="AC1504" i="7"/>
  <c r="AC1503" i="7"/>
  <c r="AC1502" i="7"/>
  <c r="AC1501" i="7"/>
  <c r="AC1500" i="7"/>
  <c r="AC1499" i="7"/>
  <c r="AC1498" i="7"/>
  <c r="AC1497" i="7"/>
  <c r="AC1495" i="7"/>
  <c r="AC1494" i="7"/>
  <c r="AC1493" i="7"/>
  <c r="AC1492" i="7"/>
  <c r="AC1491" i="7"/>
  <c r="AC1490" i="7"/>
  <c r="AC1489" i="7"/>
  <c r="AC1488" i="7"/>
  <c r="AC1487" i="7"/>
  <c r="AC1486" i="7"/>
  <c r="AC1485" i="7"/>
  <c r="AC1484" i="7"/>
  <c r="AC1483" i="7"/>
  <c r="AC1482" i="7"/>
  <c r="AC1481" i="7"/>
  <c r="AC1480" i="7"/>
  <c r="AC1479" i="7"/>
  <c r="AC1478" i="7"/>
  <c r="AC1477" i="7"/>
  <c r="AC1476" i="7"/>
  <c r="AC1475" i="7"/>
  <c r="AC1474" i="7"/>
  <c r="AC1473" i="7"/>
  <c r="AC1472" i="7"/>
  <c r="AC1471" i="7"/>
  <c r="AC1470" i="7"/>
  <c r="AC1469" i="7"/>
  <c r="AC1468" i="7"/>
  <c r="AC1467" i="7"/>
  <c r="AC1466" i="7"/>
  <c r="AC1465" i="7"/>
  <c r="AC1464" i="7"/>
  <c r="AC1463" i="7"/>
  <c r="AC1462" i="7"/>
  <c r="AC1461" i="7"/>
  <c r="AC1460" i="7"/>
  <c r="AC1459" i="7"/>
  <c r="AC1458" i="7"/>
  <c r="AC1457" i="7"/>
  <c r="AC1456" i="7"/>
  <c r="AC1455" i="7"/>
  <c r="AC1454" i="7"/>
  <c r="AC1453" i="7"/>
  <c r="AC1452" i="7"/>
  <c r="AC1451" i="7"/>
  <c r="AC1450" i="7"/>
  <c r="AC1449" i="7"/>
  <c r="AC1448" i="7"/>
  <c r="AC1447" i="7"/>
  <c r="AC1446" i="7"/>
  <c r="AC1445" i="7"/>
  <c r="AC1444" i="7"/>
  <c r="AC1443" i="7"/>
  <c r="AC1442" i="7"/>
  <c r="AC1441" i="7"/>
  <c r="AC1440" i="7"/>
  <c r="AC1439" i="7"/>
  <c r="AC1438" i="7"/>
  <c r="AC1437" i="7"/>
  <c r="AC1436" i="7"/>
  <c r="AC1435" i="7"/>
  <c r="AC1434" i="7"/>
  <c r="AC1433" i="7"/>
  <c r="AC1432" i="7"/>
  <c r="AC1431" i="7"/>
  <c r="AC1430" i="7"/>
  <c r="AC1429" i="7"/>
  <c r="AC1428" i="7"/>
  <c r="AC1427" i="7"/>
  <c r="AC1426" i="7"/>
  <c r="AC1425" i="7"/>
  <c r="AC1424" i="7"/>
  <c r="AC1423" i="7"/>
  <c r="AC1422" i="7"/>
  <c r="AC1421" i="7"/>
  <c r="AC1420" i="7"/>
  <c r="AC1419" i="7"/>
  <c r="AC1418" i="7"/>
  <c r="AC1417" i="7"/>
  <c r="AC1416" i="7"/>
  <c r="AC1415" i="7"/>
  <c r="AC1414" i="7"/>
  <c r="AC1413" i="7"/>
  <c r="AC1412" i="7"/>
  <c r="AC1411" i="7"/>
  <c r="AC1410" i="7"/>
  <c r="AC1409" i="7"/>
  <c r="AC1408" i="7"/>
  <c r="AC1407" i="7"/>
  <c r="AC1406" i="7"/>
  <c r="AC1405" i="7"/>
  <c r="AC1404" i="7"/>
  <c r="AC1403" i="7"/>
  <c r="AC1402" i="7"/>
  <c r="AC1401" i="7"/>
  <c r="AC1400" i="7"/>
  <c r="AC1399" i="7"/>
  <c r="AC1398" i="7"/>
  <c r="AC1397" i="7"/>
  <c r="AC1396" i="7"/>
  <c r="AC1395" i="7"/>
  <c r="AC1394" i="7"/>
  <c r="AC1393" i="7"/>
  <c r="AC1392" i="7"/>
  <c r="AC1391" i="7"/>
  <c r="AC1390" i="7"/>
  <c r="AC1389" i="7"/>
  <c r="AC1388" i="7"/>
  <c r="AC1387" i="7"/>
  <c r="AC1386" i="7"/>
  <c r="AC1385" i="7"/>
  <c r="AC1384" i="7"/>
  <c r="AC1383" i="7"/>
  <c r="AC1382" i="7"/>
  <c r="AC1381" i="7"/>
  <c r="AC1380" i="7"/>
  <c r="AC1379" i="7"/>
  <c r="AC1378" i="7"/>
  <c r="AC1377" i="7"/>
  <c r="AC1376" i="7"/>
  <c r="AC1375" i="7"/>
  <c r="AC1374" i="7"/>
  <c r="AC1373" i="7"/>
  <c r="AC1372" i="7"/>
  <c r="AC1371" i="7"/>
  <c r="AC1370" i="7"/>
  <c r="AC1369" i="7"/>
  <c r="AC1368" i="7"/>
  <c r="AC1367" i="7"/>
  <c r="AC1366" i="7"/>
  <c r="AC1365" i="7"/>
  <c r="AC1364" i="7"/>
  <c r="AC1363" i="7"/>
  <c r="AC1362" i="7"/>
  <c r="AC1361" i="7"/>
  <c r="AC1360" i="7"/>
  <c r="AC1359" i="7"/>
  <c r="AC1358" i="7"/>
  <c r="AC1357" i="7"/>
  <c r="AC1356" i="7"/>
  <c r="AC1355" i="7"/>
  <c r="AC1354" i="7"/>
  <c r="AC1353" i="7"/>
  <c r="AC1352" i="7"/>
  <c r="AC1351" i="7"/>
  <c r="AC1350" i="7"/>
  <c r="AC1349" i="7"/>
  <c r="AC1348" i="7"/>
  <c r="AC1347" i="7"/>
  <c r="AC1346" i="7"/>
  <c r="AC1345" i="7"/>
  <c r="AC1344" i="7"/>
  <c r="AC1343" i="7"/>
  <c r="AC1342" i="7"/>
  <c r="AC1341" i="7"/>
  <c r="AC1340" i="7"/>
  <c r="AC1339" i="7"/>
  <c r="AC1338" i="7"/>
  <c r="AC1337" i="7"/>
  <c r="AC1336" i="7"/>
  <c r="AC1335" i="7"/>
  <c r="AC1334" i="7"/>
  <c r="AC1333" i="7"/>
  <c r="AC1332" i="7"/>
  <c r="AC1331" i="7"/>
  <c r="AC1330" i="7"/>
  <c r="AC1329" i="7"/>
  <c r="AC1328" i="7"/>
  <c r="AC1327" i="7"/>
  <c r="AC1326" i="7"/>
  <c r="AC1325" i="7"/>
  <c r="AC1324" i="7"/>
  <c r="AC1323" i="7"/>
  <c r="AC1322" i="7"/>
  <c r="AC1321" i="7"/>
  <c r="AC1320" i="7"/>
  <c r="AC1319" i="7"/>
  <c r="AC1318" i="7"/>
  <c r="AC1317" i="7"/>
  <c r="AC1316" i="7"/>
  <c r="AC1315" i="7"/>
  <c r="AC1314" i="7"/>
  <c r="AC1313" i="7"/>
  <c r="AC1312" i="7"/>
  <c r="AC1311" i="7"/>
  <c r="AC1310" i="7"/>
  <c r="AC1309" i="7"/>
  <c r="AC1308" i="7"/>
  <c r="AC1307" i="7"/>
  <c r="AC1306" i="7"/>
  <c r="AC1305" i="7"/>
  <c r="AC1304" i="7"/>
  <c r="AC1303" i="7"/>
  <c r="AC1302" i="7"/>
  <c r="AC1301" i="7"/>
  <c r="AC1300" i="7"/>
  <c r="AC1299" i="7"/>
  <c r="AC1298" i="7"/>
  <c r="AC1297" i="7"/>
  <c r="AC1296" i="7"/>
  <c r="AC1295" i="7"/>
  <c r="AC1294" i="7"/>
  <c r="AC1293" i="7"/>
  <c r="AC1292" i="7"/>
  <c r="AC1291" i="7"/>
  <c r="AC1290" i="7"/>
  <c r="AC1289" i="7"/>
  <c r="AC1288" i="7"/>
  <c r="AC1287" i="7"/>
  <c r="AC1286" i="7"/>
  <c r="AC1285" i="7"/>
  <c r="AC1284" i="7"/>
  <c r="AC1283" i="7"/>
  <c r="AC1282" i="7"/>
  <c r="AC1281" i="7"/>
  <c r="AC1280" i="7"/>
  <c r="AC1279" i="7"/>
  <c r="AC1278" i="7"/>
  <c r="AC1277" i="7"/>
  <c r="AC1276" i="7"/>
  <c r="AC1275" i="7"/>
  <c r="AC1274" i="7"/>
  <c r="AC1273" i="7"/>
  <c r="AC1272" i="7"/>
  <c r="AC1271" i="7"/>
  <c r="AC1270" i="7"/>
  <c r="AC1269" i="7"/>
  <c r="AC1268" i="7"/>
  <c r="AC1267" i="7"/>
  <c r="AC1266" i="7"/>
  <c r="AC1265" i="7"/>
  <c r="AC1264" i="7"/>
  <c r="AC1263" i="7"/>
  <c r="AC1262" i="7"/>
  <c r="AC1261" i="7"/>
  <c r="AC1260" i="7"/>
  <c r="AC1259" i="7"/>
  <c r="AC1258" i="7"/>
  <c r="AC1257" i="7"/>
  <c r="AC1256" i="7"/>
  <c r="AC1255" i="7"/>
  <c r="AC1254" i="7"/>
  <c r="AC1253" i="7"/>
  <c r="AC1252" i="7"/>
  <c r="AC1251" i="7"/>
  <c r="AC1250" i="7"/>
  <c r="AC1249" i="7"/>
  <c r="AC1248" i="7"/>
  <c r="AC1247" i="7"/>
  <c r="AC1246" i="7"/>
  <c r="AC1245" i="7"/>
  <c r="AC1244" i="7"/>
  <c r="AC1243" i="7"/>
  <c r="AC1242" i="7"/>
  <c r="AC1241" i="7"/>
  <c r="AC1240" i="7"/>
  <c r="AC1239" i="7"/>
  <c r="AC1238" i="7"/>
  <c r="AC1237" i="7"/>
  <c r="AC1236" i="7"/>
  <c r="AC1235" i="7"/>
  <c r="AC1234" i="7"/>
  <c r="AC1233" i="7"/>
  <c r="AC1232" i="7"/>
  <c r="AC1231" i="7"/>
  <c r="AC1230" i="7"/>
  <c r="AC1229" i="7"/>
  <c r="AC1228" i="7"/>
  <c r="AC1227" i="7"/>
  <c r="AC1226" i="7"/>
  <c r="AC1225" i="7"/>
  <c r="AC1224" i="7"/>
  <c r="AC1223" i="7"/>
  <c r="AC1222" i="7"/>
  <c r="AC1221" i="7"/>
  <c r="AC1220" i="7"/>
  <c r="AC1219" i="7"/>
  <c r="AC1218" i="7"/>
  <c r="AC1217" i="7"/>
  <c r="AC1216" i="7"/>
  <c r="AC1215" i="7"/>
  <c r="AC1214" i="7"/>
  <c r="AC1213" i="7"/>
  <c r="AC1212" i="7"/>
  <c r="AC1211" i="7"/>
  <c r="AC1210" i="7"/>
  <c r="AC1209" i="7"/>
  <c r="AC1208" i="7"/>
  <c r="AC1207" i="7"/>
  <c r="AC1206" i="7"/>
  <c r="AC1205" i="7"/>
  <c r="AC1204" i="7"/>
  <c r="AC1203" i="7"/>
  <c r="AC1202" i="7"/>
  <c r="AC1201" i="7"/>
  <c r="AC1200" i="7"/>
  <c r="AC1199" i="7"/>
  <c r="AC1198" i="7"/>
  <c r="AC1197" i="7"/>
  <c r="AC1196" i="7"/>
  <c r="AC1195" i="7"/>
  <c r="AC1194" i="7"/>
  <c r="AC1193" i="7"/>
  <c r="AC1192" i="7"/>
  <c r="AC1191" i="7"/>
  <c r="AC1190" i="7"/>
  <c r="AC1189" i="7"/>
  <c r="AC1188" i="7"/>
  <c r="AC1187" i="7"/>
  <c r="AC1186" i="7"/>
  <c r="AC1185" i="7"/>
  <c r="AC1184" i="7"/>
  <c r="AC1183" i="7"/>
  <c r="AC1182" i="7"/>
  <c r="AC1181" i="7"/>
  <c r="AC1180" i="7"/>
  <c r="AC1179" i="7"/>
  <c r="AC1178" i="7"/>
  <c r="AC1177" i="7"/>
  <c r="AC1176" i="7"/>
  <c r="AC1175" i="7"/>
  <c r="AC1174" i="7"/>
  <c r="AC1173" i="7"/>
  <c r="AC1172" i="7"/>
  <c r="AC1171" i="7"/>
  <c r="AC1170" i="7"/>
  <c r="AC1169" i="7"/>
  <c r="AC1168" i="7"/>
  <c r="AC1167" i="7"/>
  <c r="AC1166" i="7"/>
  <c r="AC1165" i="7"/>
  <c r="AC1164" i="7"/>
  <c r="AC1163" i="7"/>
  <c r="AC1162" i="7"/>
  <c r="AC1161" i="7"/>
  <c r="AC1160" i="7"/>
  <c r="AC1159" i="7"/>
  <c r="AC1158" i="7"/>
  <c r="AC1157" i="7"/>
  <c r="AC1156" i="7"/>
  <c r="AC1155" i="7"/>
  <c r="AC1154" i="7"/>
  <c r="AC1153" i="7"/>
  <c r="AC1152" i="7"/>
  <c r="AC1151" i="7"/>
  <c r="AC1150" i="7"/>
  <c r="AC1149" i="7"/>
  <c r="AC1148" i="7"/>
  <c r="AC1147" i="7"/>
  <c r="AC1146" i="7"/>
  <c r="AC1145" i="7"/>
  <c r="AC1144" i="7"/>
  <c r="AC1143" i="7"/>
  <c r="AC1142" i="7"/>
  <c r="AC1141" i="7"/>
  <c r="AC1140" i="7"/>
  <c r="AC1139" i="7"/>
  <c r="AC1138" i="7"/>
  <c r="AC1137" i="7"/>
  <c r="AC1136" i="7"/>
  <c r="AC1135" i="7"/>
  <c r="AC1134" i="7"/>
  <c r="AC1133" i="7"/>
  <c r="AC1132" i="7"/>
  <c r="AC1131" i="7"/>
  <c r="AC1130" i="7"/>
  <c r="AC1129" i="7"/>
  <c r="AC1128" i="7"/>
  <c r="AC1127" i="7"/>
  <c r="AC1126" i="7"/>
  <c r="AC1125" i="7"/>
  <c r="AC1124" i="7"/>
  <c r="AC1123" i="7"/>
  <c r="AC1122" i="7"/>
  <c r="AC1121" i="7"/>
  <c r="AC1120" i="7"/>
  <c r="AC1119" i="7"/>
  <c r="AC1118" i="7"/>
  <c r="AC1117" i="7"/>
  <c r="AC1116" i="7"/>
  <c r="AC1115" i="7"/>
  <c r="AC1114" i="7"/>
  <c r="AC1113" i="7"/>
  <c r="AC1112" i="7"/>
  <c r="AC1111" i="7"/>
  <c r="AC1110" i="7"/>
  <c r="AC1109" i="7"/>
  <c r="AC1108" i="7"/>
  <c r="AC1107" i="7"/>
  <c r="AC1106" i="7"/>
  <c r="AC1105" i="7"/>
  <c r="AC1104" i="7"/>
  <c r="AC1103" i="7"/>
  <c r="AC1102" i="7"/>
  <c r="AC1101" i="7"/>
  <c r="AC1100" i="7"/>
  <c r="AC1099" i="7"/>
  <c r="AC1098" i="7"/>
  <c r="AC1097" i="7"/>
  <c r="AC1096" i="7"/>
  <c r="AC1095" i="7"/>
  <c r="AC1094" i="7"/>
  <c r="AC1093" i="7"/>
  <c r="AC1092" i="7"/>
  <c r="AC1091" i="7"/>
  <c r="AC1090" i="7"/>
  <c r="AC1089" i="7"/>
  <c r="AC1088" i="7"/>
  <c r="AC1087" i="7"/>
  <c r="AC1086" i="7"/>
  <c r="AC1085" i="7"/>
  <c r="AC1084" i="7"/>
  <c r="AC1083" i="7"/>
  <c r="AC1082" i="7"/>
  <c r="AC1081" i="7"/>
  <c r="AC1080" i="7"/>
  <c r="AC1079" i="7"/>
  <c r="AC1078" i="7"/>
  <c r="AC1077" i="7"/>
  <c r="AC1076" i="7"/>
  <c r="AC1075" i="7"/>
  <c r="AC1074" i="7"/>
  <c r="AC1073" i="7"/>
  <c r="AC1072" i="7"/>
  <c r="AC1071" i="7"/>
  <c r="AC1070" i="7"/>
  <c r="AC1069" i="7"/>
  <c r="AC1068" i="7"/>
  <c r="AC1067" i="7"/>
  <c r="AC1066" i="7"/>
  <c r="AC1065" i="7"/>
  <c r="AC1064" i="7"/>
  <c r="AC1063" i="7"/>
  <c r="AC1062" i="7"/>
  <c r="AC1061" i="7"/>
  <c r="AC1060" i="7"/>
  <c r="AC1059" i="7"/>
  <c r="AC1058" i="7"/>
  <c r="AC1057" i="7"/>
  <c r="AC1056" i="7"/>
  <c r="AC1055" i="7"/>
  <c r="AC1054" i="7"/>
  <c r="AC1053" i="7"/>
  <c r="AC1052" i="7"/>
  <c r="AC1051" i="7"/>
  <c r="AC1050" i="7"/>
  <c r="AC1049" i="7"/>
  <c r="AC1048" i="7"/>
  <c r="AC1047" i="7"/>
  <c r="AC1046" i="7"/>
  <c r="AC1045" i="7"/>
  <c r="AC1044" i="7"/>
  <c r="AC1043" i="7"/>
  <c r="AC1042" i="7"/>
  <c r="AC1041" i="7"/>
  <c r="AC1040" i="7"/>
  <c r="AC1039" i="7"/>
  <c r="AC1038" i="7"/>
  <c r="AC1037" i="7"/>
  <c r="AC1036" i="7"/>
  <c r="AC1035" i="7"/>
  <c r="AC1034" i="7"/>
  <c r="AC1033" i="7"/>
  <c r="AC1032" i="7"/>
  <c r="AC1031" i="7"/>
  <c r="AC1030" i="7"/>
  <c r="AC1029" i="7"/>
  <c r="AC1028" i="7"/>
  <c r="AC1027" i="7"/>
  <c r="AC1026" i="7"/>
  <c r="AC1025" i="7"/>
  <c r="AC1024" i="7"/>
  <c r="AC1023" i="7"/>
  <c r="AC1022" i="7"/>
  <c r="AC1021" i="7"/>
  <c r="AC1020" i="7"/>
  <c r="AC1019" i="7"/>
  <c r="AC1018" i="7"/>
  <c r="AC1017" i="7"/>
  <c r="AC1016" i="7"/>
  <c r="AC1015" i="7"/>
  <c r="AC1014" i="7"/>
  <c r="AC1013" i="7"/>
  <c r="AC1012" i="7"/>
  <c r="AC1011" i="7"/>
  <c r="AC1010" i="7"/>
  <c r="AC1009" i="7"/>
  <c r="AC1008" i="7"/>
  <c r="AC1007" i="7"/>
  <c r="AC1006" i="7"/>
  <c r="AC1005" i="7"/>
  <c r="AC1004" i="7"/>
  <c r="AC1003" i="7"/>
  <c r="AC1002" i="7"/>
  <c r="AC1001" i="7"/>
  <c r="AC1000" i="7"/>
  <c r="AC999" i="7"/>
  <c r="AC998" i="7"/>
  <c r="AC997" i="7"/>
  <c r="AC996" i="7"/>
  <c r="AC995" i="7"/>
  <c r="AC994" i="7"/>
  <c r="AC993" i="7"/>
  <c r="AC992" i="7"/>
  <c r="AC991" i="7"/>
  <c r="AC990" i="7"/>
  <c r="AC989" i="7"/>
  <c r="AC988" i="7"/>
  <c r="AC987" i="7"/>
  <c r="AC986" i="7"/>
  <c r="AC985" i="7"/>
  <c r="AC984" i="7"/>
  <c r="AC983" i="7"/>
  <c r="AC982" i="7"/>
  <c r="AC981" i="7"/>
  <c r="AC980" i="7"/>
  <c r="AC979" i="7"/>
  <c r="AC978" i="7"/>
  <c r="AC977" i="7"/>
  <c r="AC975" i="7"/>
  <c r="AC974" i="7"/>
  <c r="AC973" i="7"/>
  <c r="AC972" i="7"/>
  <c r="AC971" i="7"/>
  <c r="AC970" i="7"/>
  <c r="AC969" i="7"/>
  <c r="AC968" i="7"/>
  <c r="AC967" i="7"/>
  <c r="AC966" i="7"/>
  <c r="AC965" i="7"/>
  <c r="AC964" i="7"/>
  <c r="AC963" i="7"/>
  <c r="AC962" i="7"/>
  <c r="AC961" i="7"/>
  <c r="AC960" i="7"/>
  <c r="AC959" i="7"/>
  <c r="AC958" i="7"/>
  <c r="AC957" i="7"/>
  <c r="AC956" i="7"/>
  <c r="AC955" i="7"/>
  <c r="AC954" i="7"/>
  <c r="AC953" i="7"/>
  <c r="AC952" i="7"/>
  <c r="AC951" i="7"/>
  <c r="AC950" i="7"/>
  <c r="AC949" i="7"/>
  <c r="AC948" i="7"/>
  <c r="AC947" i="7"/>
  <c r="AC946" i="7"/>
  <c r="AC945" i="7"/>
  <c r="AC944" i="7"/>
  <c r="AC943" i="7"/>
  <c r="AC942" i="7"/>
  <c r="AC941" i="7"/>
  <c r="AC940" i="7"/>
  <c r="AC939" i="7"/>
  <c r="AC938" i="7"/>
  <c r="AC937" i="7"/>
  <c r="AC936" i="7"/>
  <c r="AC935" i="7"/>
  <c r="AC934" i="7"/>
  <c r="AC933" i="7"/>
  <c r="AC932" i="7"/>
  <c r="AC931" i="7"/>
  <c r="AC930" i="7"/>
  <c r="AC929" i="7"/>
  <c r="AC928" i="7"/>
  <c r="AC927" i="7"/>
  <c r="AC926" i="7"/>
  <c r="AC925" i="7"/>
  <c r="AC924" i="7"/>
  <c r="AC923" i="7"/>
  <c r="AC922" i="7"/>
  <c r="AC921" i="7"/>
  <c r="AC920" i="7"/>
  <c r="AC919" i="7"/>
  <c r="AC918" i="7"/>
  <c r="AC917" i="7"/>
  <c r="AC916" i="7"/>
  <c r="AC915" i="7"/>
  <c r="AC914" i="7"/>
  <c r="AC913" i="7"/>
  <c r="AC912" i="7"/>
  <c r="AC911" i="7"/>
  <c r="AC910" i="7"/>
  <c r="AC909" i="7"/>
  <c r="AC908" i="7"/>
  <c r="AC907" i="7"/>
  <c r="AC906" i="7"/>
  <c r="AC905" i="7"/>
  <c r="AC904" i="7"/>
  <c r="AC903" i="7"/>
  <c r="AC902" i="7"/>
  <c r="AC901" i="7"/>
  <c r="AC900" i="7"/>
  <c r="AC899" i="7"/>
  <c r="AC898" i="7"/>
  <c r="AC897" i="7"/>
  <c r="AC896" i="7"/>
  <c r="AC895" i="7"/>
  <c r="AC894" i="7"/>
  <c r="AC893" i="7"/>
  <c r="AC892" i="7"/>
  <c r="AC891" i="7"/>
  <c r="AC890" i="7"/>
  <c r="AC889" i="7"/>
  <c r="AC888" i="7"/>
  <c r="AC887" i="7"/>
  <c r="AC886" i="7"/>
  <c r="AC885" i="7"/>
  <c r="AC884" i="7"/>
  <c r="AC883" i="7"/>
  <c r="AC882" i="7"/>
  <c r="AC881" i="7"/>
  <c r="AC880" i="7"/>
  <c r="AC879" i="7"/>
  <c r="AC878" i="7"/>
  <c r="AC877" i="7"/>
  <c r="AC876" i="7"/>
  <c r="AC875" i="7"/>
  <c r="AC874" i="7"/>
  <c r="AC873" i="7"/>
  <c r="AC872" i="7"/>
  <c r="AC871" i="7"/>
  <c r="AC870" i="7"/>
  <c r="AC869" i="7"/>
  <c r="AC868" i="7"/>
  <c r="AC867" i="7"/>
  <c r="AC866" i="7"/>
  <c r="AC865" i="7"/>
  <c r="AC864" i="7"/>
  <c r="AC863" i="7"/>
  <c r="AC862" i="7"/>
  <c r="AC861" i="7"/>
  <c r="AC860" i="7"/>
  <c r="AC859" i="7"/>
  <c r="AC858" i="7"/>
  <c r="AC857" i="7"/>
  <c r="AC856" i="7"/>
  <c r="AC855" i="7"/>
  <c r="AC851" i="7"/>
  <c r="AC850" i="7"/>
  <c r="AC849" i="7"/>
  <c r="AC848" i="7"/>
  <c r="AC847" i="7"/>
  <c r="AC846" i="7"/>
  <c r="AC845" i="7"/>
  <c r="AC844" i="7"/>
  <c r="AC843" i="7"/>
  <c r="AC842" i="7"/>
  <c r="AC841" i="7"/>
  <c r="AC840" i="7"/>
  <c r="AC839" i="7"/>
  <c r="AC838" i="7"/>
  <c r="AC837" i="7"/>
  <c r="AC836" i="7"/>
  <c r="AC835" i="7"/>
  <c r="AC834" i="7"/>
  <c r="AC833" i="7"/>
  <c r="AC832" i="7"/>
  <c r="AC831" i="7"/>
  <c r="AC830" i="7"/>
  <c r="AC829" i="7"/>
  <c r="AC828" i="7"/>
  <c r="AC827" i="7"/>
  <c r="AC826" i="7"/>
  <c r="AC825" i="7"/>
  <c r="AC824" i="7"/>
  <c r="AC823" i="7"/>
  <c r="AC822" i="7"/>
  <c r="AC821" i="7"/>
  <c r="AC820" i="7"/>
  <c r="AC819" i="7"/>
  <c r="AC818" i="7"/>
  <c r="AC817" i="7"/>
  <c r="AC816" i="7"/>
  <c r="AC815" i="7"/>
  <c r="AC814" i="7"/>
  <c r="AC813" i="7"/>
  <c r="AC812" i="7"/>
  <c r="AC811" i="7"/>
  <c r="AC810" i="7"/>
  <c r="AC809" i="7"/>
  <c r="AC808" i="7"/>
  <c r="AC807" i="7"/>
  <c r="AC806" i="7"/>
  <c r="AC805" i="7"/>
  <c r="AC804" i="7"/>
  <c r="AC803" i="7"/>
  <c r="AC802" i="7"/>
  <c r="AC801" i="7"/>
  <c r="AC800" i="7"/>
  <c r="AC799" i="7"/>
  <c r="AC798" i="7"/>
  <c r="AC797" i="7"/>
  <c r="AC796" i="7"/>
  <c r="AC795" i="7"/>
  <c r="AC794" i="7"/>
  <c r="AC793" i="7"/>
  <c r="AC792" i="7"/>
  <c r="AC791" i="7"/>
  <c r="AC790" i="7"/>
  <c r="AC789" i="7"/>
  <c r="AC788" i="7"/>
  <c r="AC787" i="7"/>
  <c r="AC786" i="7"/>
  <c r="AC785" i="7"/>
  <c r="AC784" i="7"/>
  <c r="AC783" i="7"/>
  <c r="AC782" i="7"/>
  <c r="AC781" i="7"/>
  <c r="AC780" i="7"/>
  <c r="AC779" i="7"/>
  <c r="AC778" i="7"/>
  <c r="AC777" i="7"/>
  <c r="AC776" i="7"/>
  <c r="AC775" i="7"/>
  <c r="AC774" i="7"/>
  <c r="AC773" i="7"/>
  <c r="AC772" i="7"/>
  <c r="AC771" i="7"/>
  <c r="AC770" i="7"/>
  <c r="AC769" i="7"/>
  <c r="AC768" i="7"/>
  <c r="AC767" i="7"/>
  <c r="AC766" i="7"/>
  <c r="AC765" i="7"/>
  <c r="AC764" i="7"/>
  <c r="AC763" i="7"/>
  <c r="AC762" i="7"/>
  <c r="AC761" i="7"/>
  <c r="AC760" i="7"/>
  <c r="AC759" i="7"/>
  <c r="AC758" i="7"/>
  <c r="AC757" i="7"/>
  <c r="AC756" i="7"/>
  <c r="AC755" i="7"/>
  <c r="AC754" i="7"/>
  <c r="AC753" i="7"/>
  <c r="AC752" i="7"/>
  <c r="AC751" i="7"/>
  <c r="AC750" i="7"/>
  <c r="AC749" i="7"/>
  <c r="AC748" i="7"/>
  <c r="AC747" i="7"/>
  <c r="AC746" i="7"/>
  <c r="AC745" i="7"/>
  <c r="AC744" i="7"/>
  <c r="AC743" i="7"/>
  <c r="AC742" i="7"/>
  <c r="AC741" i="7"/>
  <c r="AC740" i="7"/>
  <c r="AC739" i="7"/>
  <c r="AC738" i="7"/>
  <c r="AC737" i="7"/>
  <c r="AC736" i="7"/>
  <c r="AC735" i="7"/>
  <c r="AC734" i="7"/>
  <c r="AC733" i="7"/>
  <c r="AC732" i="7"/>
  <c r="AC731" i="7"/>
  <c r="AC730" i="7"/>
  <c r="AC729" i="7"/>
  <c r="AC728" i="7"/>
  <c r="AC727" i="7"/>
  <c r="AC726" i="7"/>
  <c r="AC725" i="7"/>
  <c r="AC724" i="7"/>
  <c r="AC723" i="7"/>
  <c r="AC722" i="7"/>
  <c r="AC721" i="7"/>
  <c r="AC720" i="7"/>
  <c r="AC719" i="7"/>
  <c r="AC718" i="7"/>
  <c r="AC717" i="7"/>
  <c r="AC716" i="7"/>
  <c r="AC715" i="7"/>
  <c r="AC714" i="7"/>
  <c r="AC713" i="7"/>
  <c r="AC712" i="7"/>
  <c r="AC711" i="7"/>
  <c r="AC710" i="7"/>
  <c r="AC709" i="7"/>
  <c r="AC708" i="7"/>
  <c r="AC707" i="7"/>
  <c r="AC706" i="7"/>
  <c r="AC705" i="7"/>
  <c r="AC704" i="7"/>
  <c r="AC703" i="7"/>
  <c r="AC702" i="7"/>
  <c r="AC701" i="7"/>
  <c r="AC700" i="7"/>
  <c r="AC699" i="7"/>
  <c r="AC698" i="7"/>
  <c r="AC697" i="7"/>
  <c r="AC696" i="7"/>
  <c r="AC695" i="7"/>
  <c r="AC694" i="7"/>
  <c r="AC693" i="7"/>
  <c r="AC692" i="7"/>
  <c r="AC691" i="7"/>
  <c r="AC690" i="7"/>
  <c r="AC689" i="7"/>
  <c r="AC688" i="7"/>
  <c r="AC687" i="7"/>
  <c r="AC686" i="7"/>
  <c r="AC685" i="7"/>
  <c r="AC684" i="7"/>
  <c r="AC683" i="7"/>
  <c r="AC682" i="7"/>
  <c r="AC681" i="7"/>
  <c r="AC680" i="7"/>
  <c r="AC679" i="7"/>
  <c r="AC678" i="7"/>
  <c r="AC677" i="7"/>
  <c r="AC676" i="7"/>
  <c r="AC675" i="7"/>
  <c r="AC674" i="7"/>
  <c r="AC672" i="7"/>
  <c r="AC668" i="7"/>
  <c r="AC667" i="7"/>
  <c r="AC666" i="7"/>
  <c r="AC665" i="7"/>
  <c r="AC664" i="7"/>
  <c r="AC663" i="7"/>
  <c r="AC662" i="7"/>
  <c r="AC661" i="7"/>
  <c r="AC660" i="7"/>
  <c r="AC659" i="7"/>
  <c r="AC658" i="7"/>
  <c r="AC657" i="7"/>
  <c r="AC656" i="7"/>
  <c r="AC655" i="7"/>
  <c r="AC654" i="7"/>
  <c r="AC653" i="7"/>
  <c r="AC652" i="7"/>
  <c r="AC651" i="7"/>
  <c r="AC650" i="7"/>
  <c r="AC646" i="7"/>
  <c r="AC645" i="7"/>
  <c r="AC644" i="7"/>
  <c r="AC643" i="7"/>
  <c r="AC642" i="7"/>
  <c r="AC638" i="7"/>
  <c r="AC637" i="7"/>
  <c r="AC636" i="7"/>
  <c r="AC635" i="7"/>
  <c r="AC634" i="7"/>
  <c r="AC633" i="7"/>
  <c r="AC632" i="7"/>
  <c r="AC631" i="7"/>
  <c r="AC629" i="7"/>
  <c r="AC628" i="7"/>
  <c r="AC627" i="7"/>
  <c r="AC626" i="7"/>
  <c r="AC623" i="7"/>
  <c r="AC622" i="7"/>
  <c r="AC620" i="7"/>
  <c r="AC619" i="7"/>
  <c r="AC618" i="7"/>
  <c r="AC617" i="7"/>
  <c r="AC616" i="7"/>
  <c r="AC613" i="7"/>
  <c r="AC612" i="7"/>
  <c r="AC609" i="7"/>
  <c r="AC606" i="7"/>
  <c r="AC605" i="7"/>
  <c r="AC604" i="7"/>
  <c r="AC603" i="7"/>
  <c r="AC602" i="7"/>
  <c r="AC601" i="7"/>
  <c r="AC600" i="7"/>
  <c r="AC599" i="7"/>
  <c r="AC598" i="7"/>
  <c r="AC597" i="7"/>
  <c r="AC596" i="7"/>
  <c r="AC595" i="7"/>
  <c r="AC594" i="7"/>
  <c r="AC593" i="7"/>
  <c r="AC592" i="7"/>
  <c r="AC591" i="7"/>
  <c r="AC590" i="7"/>
  <c r="AC589" i="7"/>
  <c r="AC588" i="7"/>
  <c r="AC587" i="7"/>
  <c r="AC586" i="7"/>
  <c r="AC585" i="7"/>
  <c r="AC584" i="7"/>
  <c r="AC583" i="7"/>
  <c r="AC582" i="7"/>
  <c r="AC581" i="7"/>
  <c r="AC580" i="7"/>
  <c r="AC579" i="7"/>
  <c r="AC578" i="7"/>
  <c r="AC577" i="7"/>
  <c r="AC576" i="7"/>
  <c r="AC575" i="7"/>
  <c r="AC574" i="7"/>
  <c r="AC573" i="7"/>
  <c r="AC572" i="7"/>
  <c r="AC570" i="7"/>
  <c r="AC568" i="7"/>
  <c r="AC567" i="7"/>
  <c r="AC565" i="7"/>
  <c r="AC564" i="7"/>
  <c r="AC563" i="7"/>
  <c r="AC562" i="7"/>
  <c r="AC561" i="7"/>
  <c r="AC560" i="7"/>
  <c r="AC559" i="7"/>
  <c r="AC558" i="7"/>
  <c r="AC557" i="7"/>
  <c r="AC556" i="7"/>
  <c r="AC554" i="7"/>
  <c r="AC553" i="7"/>
  <c r="AC552" i="7"/>
  <c r="AC550" i="7"/>
  <c r="AC549" i="7"/>
  <c r="AC548" i="7"/>
  <c r="AC547" i="7"/>
  <c r="AC546" i="7"/>
  <c r="AC545" i="7"/>
  <c r="AC544" i="7"/>
  <c r="AC543" i="7"/>
  <c r="AC542" i="7"/>
  <c r="AC541" i="7"/>
  <c r="AC540" i="7"/>
  <c r="AC539" i="7"/>
  <c r="AC538" i="7"/>
  <c r="AC537" i="7"/>
  <c r="AC536" i="7"/>
  <c r="AC534" i="7"/>
  <c r="AC533" i="7"/>
  <c r="AC530" i="7"/>
  <c r="AC528" i="7"/>
  <c r="AC527" i="7"/>
  <c r="AC526" i="7"/>
  <c r="AC525" i="7"/>
  <c r="AC524" i="7"/>
  <c r="AC521" i="7"/>
  <c r="AC520" i="7"/>
  <c r="AC517" i="7"/>
  <c r="AC515" i="7"/>
  <c r="AC506" i="7"/>
  <c r="AC504" i="7"/>
  <c r="AC501" i="7"/>
  <c r="AC500" i="7"/>
  <c r="AC499" i="7"/>
  <c r="AC497" i="7"/>
  <c r="AC495" i="7"/>
  <c r="AC493" i="7"/>
  <c r="AC492" i="7"/>
  <c r="AC487" i="7"/>
  <c r="AC485" i="7"/>
  <c r="AC484" i="7"/>
  <c r="AC483" i="7"/>
  <c r="AC482" i="7"/>
  <c r="AC480" i="7"/>
  <c r="AC479" i="7"/>
  <c r="AC478" i="7"/>
  <c r="AC477" i="7"/>
  <c r="AC476" i="7"/>
  <c r="AC475" i="7"/>
  <c r="AC474" i="7"/>
  <c r="AC473" i="7"/>
  <c r="AC472" i="7"/>
  <c r="AC471" i="7"/>
  <c r="AC470" i="7"/>
  <c r="AC469" i="7"/>
  <c r="AC468" i="7"/>
  <c r="AC467" i="7"/>
  <c r="AC466" i="7"/>
  <c r="AC465" i="7"/>
  <c r="AC464" i="7"/>
  <c r="AC463" i="7"/>
  <c r="AC462" i="7"/>
  <c r="AC461" i="7"/>
  <c r="AC459" i="7"/>
  <c r="AC458" i="7"/>
  <c r="AC457" i="7"/>
  <c r="AC456" i="7"/>
  <c r="AC455" i="7"/>
  <c r="AC454" i="7"/>
  <c r="AC453" i="7"/>
  <c r="AC452" i="7"/>
  <c r="AC451" i="7"/>
  <c r="AC450" i="7"/>
  <c r="AC449" i="7"/>
  <c r="AC448" i="7"/>
  <c r="AC447" i="7"/>
  <c r="AC446" i="7"/>
  <c r="AC445" i="7"/>
  <c r="AC444" i="7"/>
  <c r="AC443" i="7"/>
  <c r="AC442" i="7"/>
  <c r="AC441" i="7"/>
  <c r="AC440" i="7"/>
  <c r="AC438" i="7"/>
  <c r="AC437" i="7"/>
  <c r="AC436" i="7"/>
  <c r="AC435" i="7"/>
  <c r="AC434" i="7"/>
  <c r="AC433" i="7"/>
  <c r="AC432" i="7"/>
  <c r="AC431" i="7"/>
  <c r="AC430" i="7"/>
  <c r="AC429" i="7"/>
  <c r="AC428" i="7"/>
  <c r="AC427" i="7"/>
  <c r="AC426" i="7"/>
  <c r="AC425" i="7"/>
  <c r="AC424" i="7"/>
  <c r="AC423" i="7"/>
  <c r="AC422" i="7"/>
  <c r="AC421" i="7"/>
  <c r="AC420" i="7"/>
  <c r="AC419" i="7"/>
  <c r="AC418" i="7"/>
  <c r="AC417" i="7"/>
  <c r="AC416" i="7"/>
  <c r="AC415" i="7"/>
  <c r="AC414" i="7"/>
  <c r="AC413" i="7"/>
  <c r="AC412" i="7"/>
  <c r="AC411" i="7"/>
  <c r="AC410" i="7"/>
  <c r="AC409" i="7"/>
  <c r="AC408" i="7"/>
  <c r="AC407" i="7"/>
  <c r="AC406" i="7"/>
  <c r="AC405" i="7"/>
  <c r="AC404" i="7"/>
  <c r="AC403" i="7"/>
  <c r="AC402" i="7"/>
  <c r="AC401" i="7"/>
  <c r="AC400" i="7"/>
  <c r="AC399" i="7"/>
  <c r="AC398" i="7"/>
  <c r="AC397" i="7"/>
  <c r="AC396" i="7"/>
  <c r="AC395" i="7"/>
  <c r="AC394" i="7"/>
  <c r="AC393" i="7"/>
  <c r="AC392" i="7"/>
  <c r="AC391" i="7"/>
  <c r="AC390" i="7"/>
  <c r="AC389" i="7"/>
  <c r="AC388" i="7"/>
  <c r="AC387" i="7"/>
  <c r="AC386" i="7"/>
  <c r="AC385" i="7"/>
  <c r="AC384" i="7"/>
  <c r="AC383" i="7"/>
  <c r="AC382" i="7"/>
  <c r="AC381" i="7"/>
  <c r="AC380" i="7"/>
  <c r="AC379" i="7"/>
  <c r="AC378" i="7"/>
  <c r="AC376" i="7"/>
  <c r="AC375" i="7"/>
  <c r="AC374" i="7"/>
  <c r="AC373" i="7"/>
  <c r="AC372" i="7"/>
  <c r="AC371" i="7"/>
  <c r="AC370" i="7"/>
  <c r="AC369" i="7"/>
  <c r="AC368" i="7"/>
  <c r="AC367" i="7"/>
  <c r="AC366" i="7"/>
  <c r="AC365" i="7"/>
  <c r="AC364" i="7"/>
  <c r="AC363" i="7"/>
  <c r="AC362" i="7"/>
  <c r="AC361" i="7"/>
  <c r="AC360" i="7"/>
  <c r="AC359" i="7"/>
  <c r="AC358" i="7"/>
  <c r="AC357" i="7"/>
  <c r="AC356" i="7"/>
  <c r="AC355" i="7"/>
  <c r="AC354" i="7"/>
  <c r="AC353" i="7"/>
  <c r="AC352" i="7"/>
  <c r="AC351" i="7"/>
  <c r="AC350" i="7"/>
  <c r="AC349" i="7"/>
  <c r="AC348" i="7"/>
  <c r="AC347" i="7"/>
  <c r="AC346" i="7"/>
  <c r="AC345" i="7"/>
  <c r="AC344" i="7"/>
  <c r="AC343" i="7"/>
  <c r="AC342" i="7"/>
  <c r="AC341" i="7"/>
  <c r="AC340" i="7"/>
  <c r="AC339" i="7"/>
  <c r="AC338" i="7"/>
  <c r="AC337" i="7"/>
  <c r="AC336" i="7"/>
  <c r="AC335" i="7"/>
  <c r="AC334" i="7"/>
  <c r="AC333" i="7"/>
  <c r="AC332" i="7"/>
  <c r="AC331" i="7"/>
  <c r="AC330" i="7"/>
  <c r="AC329" i="7"/>
  <c r="AC328" i="7"/>
  <c r="AC327" i="7"/>
  <c r="AC325" i="7"/>
  <c r="AC324" i="7"/>
  <c r="AC323" i="7"/>
  <c r="AC322" i="7"/>
  <c r="AC321" i="7"/>
  <c r="AC320" i="7"/>
  <c r="AC319" i="7"/>
  <c r="AC318" i="7"/>
  <c r="AC317" i="7"/>
  <c r="AC316" i="7"/>
  <c r="AC315" i="7"/>
  <c r="AC314" i="7"/>
  <c r="AC313" i="7"/>
  <c r="AC312" i="7"/>
  <c r="AC311" i="7"/>
  <c r="AC310" i="7"/>
  <c r="AC309" i="7"/>
  <c r="AC308" i="7"/>
  <c r="AC307" i="7"/>
  <c r="AC306" i="7"/>
  <c r="AC305" i="7"/>
  <c r="AC304" i="7"/>
  <c r="AC303" i="7"/>
  <c r="AC302" i="7"/>
  <c r="AC301" i="7"/>
  <c r="AC300" i="7"/>
  <c r="AC299" i="7"/>
  <c r="AC298" i="7"/>
  <c r="AC297" i="7"/>
  <c r="AC295" i="7"/>
  <c r="AC294" i="7"/>
  <c r="AC293" i="7"/>
  <c r="AC292" i="7"/>
  <c r="AC291" i="7"/>
  <c r="AC290" i="7"/>
  <c r="AC289" i="7"/>
  <c r="AC288" i="7"/>
  <c r="AC287" i="7"/>
  <c r="AC286" i="7"/>
  <c r="AC285" i="7"/>
  <c r="AC284" i="7"/>
  <c r="AC283" i="7"/>
  <c r="AC282" i="7"/>
  <c r="AC281" i="7"/>
  <c r="AC280" i="7"/>
  <c r="AC279" i="7"/>
  <c r="AC278" i="7"/>
  <c r="AC277" i="7"/>
  <c r="AC276" i="7"/>
  <c r="AC275" i="7"/>
  <c r="AC274" i="7"/>
  <c r="AC273" i="7"/>
  <c r="AC272" i="7"/>
  <c r="AC271" i="7"/>
  <c r="AC270" i="7"/>
  <c r="AC269" i="7"/>
  <c r="AC268" i="7"/>
  <c r="AC267" i="7"/>
  <c r="AC266" i="7"/>
  <c r="AC265" i="7"/>
  <c r="AC264" i="7"/>
  <c r="AC263" i="7"/>
  <c r="AC262" i="7"/>
  <c r="AC261" i="7"/>
  <c r="AC260" i="7"/>
  <c r="AC259" i="7"/>
  <c r="AC258" i="7"/>
  <c r="AC257" i="7"/>
  <c r="AC256" i="7"/>
  <c r="AC255" i="7"/>
  <c r="AC254" i="7"/>
  <c r="AC253" i="7"/>
  <c r="AC252" i="7"/>
  <c r="AC251" i="7"/>
  <c r="AC250" i="7"/>
  <c r="AC249" i="7"/>
  <c r="AC248" i="7"/>
  <c r="AC247" i="7"/>
  <c r="AC246" i="7"/>
  <c r="AC244" i="7"/>
  <c r="AC242" i="7"/>
  <c r="AC241" i="7"/>
  <c r="AC238" i="7"/>
  <c r="AC233" i="7"/>
  <c r="AC229" i="7"/>
  <c r="AC228" i="7"/>
  <c r="AC227" i="7"/>
  <c r="AC226" i="7"/>
  <c r="AC224" i="7"/>
  <c r="AC223" i="7"/>
  <c r="AC222" i="7"/>
  <c r="AC221" i="7"/>
  <c r="AC220" i="7"/>
  <c r="AC219" i="7"/>
  <c r="AC218" i="7"/>
  <c r="AC217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3" i="7"/>
  <c r="AC170" i="7"/>
  <c r="AC164" i="7"/>
  <c r="AC163" i="7"/>
  <c r="AC162" i="7"/>
  <c r="AC159" i="7"/>
  <c r="AC158" i="7"/>
  <c r="AC157" i="7"/>
  <c r="AC156" i="7"/>
  <c r="AC155" i="7"/>
  <c r="AC154" i="7"/>
  <c r="AC153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89" i="7"/>
  <c r="AC87" i="7"/>
  <c r="AC86" i="7"/>
  <c r="AC79" i="7"/>
  <c r="AC77" i="7"/>
  <c r="AC76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B1972" i="7"/>
  <c r="AB1970" i="7"/>
  <c r="AB1969" i="7"/>
  <c r="AB1966" i="7"/>
  <c r="AB1965" i="7"/>
  <c r="AB1964" i="7"/>
  <c r="AB1963" i="7"/>
  <c r="AB1962" i="7"/>
  <c r="AB1960" i="7"/>
  <c r="AB1955" i="7"/>
  <c r="AB1950" i="7"/>
  <c r="AB1949" i="7"/>
  <c r="AB1948" i="7"/>
  <c r="AB1946" i="7"/>
  <c r="AB1945" i="7"/>
  <c r="AB1944" i="7"/>
  <c r="AB1943" i="7"/>
  <c r="AB1942" i="7"/>
  <c r="AB1941" i="7"/>
  <c r="AB1940" i="7"/>
  <c r="AB1939" i="7"/>
  <c r="AB1938" i="7"/>
  <c r="AB1937" i="7"/>
  <c r="AB1936" i="7"/>
  <c r="AB1935" i="7"/>
  <c r="AB1934" i="7"/>
  <c r="AB1933" i="7"/>
  <c r="AB1932" i="7"/>
  <c r="AB1931" i="7"/>
  <c r="AB1930" i="7"/>
  <c r="AB1928" i="7"/>
  <c r="AB1927" i="7"/>
  <c r="AB1926" i="7"/>
  <c r="AB1925" i="7"/>
  <c r="AB1924" i="7"/>
  <c r="AB1922" i="7"/>
  <c r="AB1921" i="7"/>
  <c r="AB1920" i="7"/>
  <c r="AB1919" i="7"/>
  <c r="AB1917" i="7"/>
  <c r="AB1916" i="7"/>
  <c r="AB1915" i="7"/>
  <c r="AB1914" i="7"/>
  <c r="AB1913" i="7"/>
  <c r="AB1912" i="7"/>
  <c r="AB1910" i="7"/>
  <c r="AB1909" i="7"/>
  <c r="AB1908" i="7"/>
  <c r="AB1907" i="7"/>
  <c r="AB1906" i="7"/>
  <c r="AB1905" i="7"/>
  <c r="AB1904" i="7"/>
  <c r="AB1903" i="7"/>
  <c r="AB1902" i="7"/>
  <c r="AB1899" i="7"/>
  <c r="AB1898" i="7"/>
  <c r="AB1897" i="7"/>
  <c r="AB1895" i="7"/>
  <c r="AB1894" i="7"/>
  <c r="AB1893" i="7"/>
  <c r="AB1891" i="7"/>
  <c r="AB1889" i="7"/>
  <c r="AB1886" i="7"/>
  <c r="AB1885" i="7"/>
  <c r="AB1884" i="7"/>
  <c r="AB1879" i="7"/>
  <c r="AB1876" i="7"/>
  <c r="AB1875" i="7"/>
  <c r="AB1874" i="7"/>
  <c r="AB1873" i="7"/>
  <c r="AB1872" i="7"/>
  <c r="AB1871" i="7"/>
  <c r="AB1870" i="7"/>
  <c r="AB1869" i="7"/>
  <c r="AB1868" i="7"/>
  <c r="AB1867" i="7"/>
  <c r="AB1865" i="7"/>
  <c r="AB1864" i="7"/>
  <c r="AB1863" i="7"/>
  <c r="AB1862" i="7"/>
  <c r="AB1861" i="7"/>
  <c r="AB1860" i="7"/>
  <c r="AB1859" i="7"/>
  <c r="AB1858" i="7"/>
  <c r="AB1857" i="7"/>
  <c r="AB1856" i="7"/>
  <c r="AB1855" i="7"/>
  <c r="AB1854" i="7"/>
  <c r="AB1853" i="7"/>
  <c r="AB1852" i="7"/>
  <c r="AB1851" i="7"/>
  <c r="AB1850" i="7"/>
  <c r="AB1849" i="7"/>
  <c r="AB1848" i="7"/>
  <c r="AB1847" i="7"/>
  <c r="AB1846" i="7"/>
  <c r="AB1845" i="7"/>
  <c r="AB1844" i="7"/>
  <c r="AB1843" i="7"/>
  <c r="AB1842" i="7"/>
  <c r="AB1841" i="7"/>
  <c r="AB1840" i="7"/>
  <c r="AB1839" i="7"/>
  <c r="AB1838" i="7"/>
  <c r="AB1837" i="7"/>
  <c r="AB1836" i="7"/>
  <c r="AB1835" i="7"/>
  <c r="AB1834" i="7"/>
  <c r="AB1833" i="7"/>
  <c r="AB1832" i="7"/>
  <c r="AB1831" i="7"/>
  <c r="AB1830" i="7"/>
  <c r="AB1829" i="7"/>
  <c r="AB1828" i="7"/>
  <c r="AB1827" i="7"/>
  <c r="AB1826" i="7"/>
  <c r="AB1825" i="7"/>
  <c r="AB1824" i="7"/>
  <c r="AB1823" i="7"/>
  <c r="AB1822" i="7"/>
  <c r="AB1821" i="7"/>
  <c r="AB1820" i="7"/>
  <c r="AB1819" i="7"/>
  <c r="AB1818" i="7"/>
  <c r="AB1817" i="7"/>
  <c r="AB1816" i="7"/>
  <c r="AB1815" i="7"/>
  <c r="AB1814" i="7"/>
  <c r="AB1813" i="7"/>
  <c r="AB1812" i="7"/>
  <c r="AB1811" i="7"/>
  <c r="AB1800" i="7"/>
  <c r="AB1799" i="7"/>
  <c r="AB1797" i="7"/>
  <c r="AB1796" i="7"/>
  <c r="AB1795" i="7"/>
  <c r="AB1794" i="7"/>
  <c r="AB1793" i="7"/>
  <c r="AB1792" i="7"/>
  <c r="AB1781" i="7"/>
  <c r="AB1780" i="7"/>
  <c r="AB1766" i="7"/>
  <c r="AB1760" i="7"/>
  <c r="AB1759" i="7"/>
  <c r="AB1758" i="7"/>
  <c r="AB1753" i="7"/>
  <c r="AB1752" i="7"/>
  <c r="AB1751" i="7"/>
  <c r="AB1748" i="7"/>
  <c r="AB1740" i="7"/>
  <c r="AB1736" i="7"/>
  <c r="AB1732" i="7"/>
  <c r="AB1731" i="7"/>
  <c r="AB1730" i="7"/>
  <c r="AB1728" i="7"/>
  <c r="AB1727" i="7"/>
  <c r="AB1726" i="7"/>
  <c r="AB1717" i="7"/>
  <c r="AB1703" i="7"/>
  <c r="AB1693" i="7"/>
  <c r="AB1685" i="7"/>
  <c r="AB1684" i="7"/>
  <c r="AB1677" i="7"/>
  <c r="AB1676" i="7"/>
  <c r="AB1675" i="7"/>
  <c r="AB1673" i="7"/>
  <c r="AB1669" i="7"/>
  <c r="AB1656" i="7"/>
  <c r="AB1644" i="7"/>
  <c r="AB1643" i="7"/>
  <c r="AB1636" i="7"/>
  <c r="AB1635" i="7"/>
  <c r="AB1634" i="7"/>
  <c r="AB1633" i="7"/>
  <c r="AB1632" i="7"/>
  <c r="AB1631" i="7"/>
  <c r="AB1627" i="7"/>
  <c r="AB1607" i="7"/>
  <c r="AB1599" i="7"/>
  <c r="AB1593" i="7"/>
  <c r="AB1592" i="7"/>
  <c r="AB1591" i="7"/>
  <c r="AB1590" i="7"/>
  <c r="AB1589" i="7"/>
  <c r="AB1588" i="7"/>
  <c r="AB1585" i="7"/>
  <c r="AB1584" i="7"/>
  <c r="AB1583" i="7"/>
  <c r="AB1582" i="7"/>
  <c r="AB1581" i="7"/>
  <c r="AB1580" i="7"/>
  <c r="AB1577" i="7"/>
  <c r="AB1576" i="7"/>
  <c r="AB1574" i="7"/>
  <c r="AB1572" i="7"/>
  <c r="AB1569" i="7"/>
  <c r="AB1568" i="7"/>
  <c r="AB1565" i="7"/>
  <c r="AB1563" i="7"/>
  <c r="AB1562" i="7"/>
  <c r="AB1561" i="7"/>
  <c r="AB1556" i="7"/>
  <c r="AB1555" i="7"/>
  <c r="AB1552" i="7"/>
  <c r="AB1551" i="7"/>
  <c r="AB1550" i="7"/>
  <c r="AB1549" i="7"/>
  <c r="AB1548" i="7"/>
  <c r="AB1547" i="7"/>
  <c r="AB1546" i="7"/>
  <c r="AB1545" i="7"/>
  <c r="AB1544" i="7"/>
  <c r="AB1535" i="7"/>
  <c r="AB1531" i="7"/>
  <c r="AB1530" i="7"/>
  <c r="AB1526" i="7"/>
  <c r="AB1519" i="7"/>
  <c r="AB1515" i="7"/>
  <c r="AB1512" i="7"/>
  <c r="AB1510" i="7"/>
  <c r="AB1506" i="7"/>
  <c r="AB1503" i="7"/>
  <c r="AB1502" i="7"/>
  <c r="AB1501" i="7"/>
  <c r="AB1500" i="7"/>
  <c r="AB1499" i="7"/>
  <c r="AB1498" i="7"/>
  <c r="AB1497" i="7"/>
  <c r="AB1491" i="7"/>
  <c r="AB1490" i="7"/>
  <c r="AB1489" i="7"/>
  <c r="AB1488" i="7"/>
  <c r="AB1487" i="7"/>
  <c r="AB1486" i="7"/>
  <c r="AB1485" i="7"/>
  <c r="AB1480" i="7"/>
  <c r="AB1476" i="7"/>
  <c r="AB1475" i="7"/>
  <c r="AB1474" i="7"/>
  <c r="AB1471" i="7"/>
  <c r="AB1470" i="7"/>
  <c r="AB1469" i="7"/>
  <c r="AB1468" i="7"/>
  <c r="AB1464" i="7"/>
  <c r="AB1463" i="7"/>
  <c r="AB1462" i="7"/>
  <c r="AB1458" i="7"/>
  <c r="AB1457" i="7"/>
  <c r="AB1455" i="7"/>
  <c r="AB1454" i="7"/>
  <c r="AB1453" i="7"/>
  <c r="AB1452" i="7"/>
  <c r="AB1451" i="7"/>
  <c r="AB1443" i="7"/>
  <c r="AB1428" i="7"/>
  <c r="AB1425" i="7"/>
  <c r="AB1424" i="7"/>
  <c r="AB1423" i="7"/>
  <c r="AB1421" i="7"/>
  <c r="AB1420" i="7"/>
  <c r="AB1419" i="7"/>
  <c r="AB1418" i="7"/>
  <c r="AB1417" i="7"/>
  <c r="AB1416" i="7"/>
  <c r="AB1415" i="7"/>
  <c r="AB1413" i="7"/>
  <c r="AB1411" i="7"/>
  <c r="AB1392" i="7"/>
  <c r="AB1391" i="7"/>
  <c r="AB1390" i="7"/>
  <c r="AB1389" i="7"/>
  <c r="AB1388" i="7"/>
  <c r="AB1367" i="7"/>
  <c r="AB1355" i="7"/>
  <c r="AB1337" i="7"/>
  <c r="AB1336" i="7"/>
  <c r="AB1335" i="7"/>
  <c r="AB1334" i="7"/>
  <c r="AB1333" i="7"/>
  <c r="AB1332" i="7"/>
  <c r="AB1331" i="7"/>
  <c r="AB1330" i="7"/>
  <c r="AB1329" i="7"/>
  <c r="AB1328" i="7"/>
  <c r="AB1326" i="7"/>
  <c r="AB1325" i="7"/>
  <c r="AB1320" i="7"/>
  <c r="AB1319" i="7"/>
  <c r="AB1318" i="7"/>
  <c r="AB1317" i="7"/>
  <c r="AB1316" i="7"/>
  <c r="AB1314" i="7"/>
  <c r="AB1308" i="7"/>
  <c r="AB1303" i="7"/>
  <c r="AB1296" i="7"/>
  <c r="AB1280" i="7"/>
  <c r="AB1279" i="7"/>
  <c r="AB1270" i="7"/>
  <c r="AB1268" i="7"/>
  <c r="AB1267" i="7"/>
  <c r="AB1258" i="7"/>
  <c r="AB1256" i="7"/>
  <c r="AB1246" i="7"/>
  <c r="AB1245" i="7"/>
  <c r="AB1237" i="7"/>
  <c r="AB1233" i="7"/>
  <c r="AB1232" i="7"/>
  <c r="AB1222" i="7"/>
  <c r="AB1213" i="7"/>
  <c r="AB1204" i="7"/>
  <c r="AB1203" i="7"/>
  <c r="AB1202" i="7"/>
  <c r="AB1200" i="7"/>
  <c r="AB1199" i="7"/>
  <c r="AB1198" i="7"/>
  <c r="AB1196" i="7"/>
  <c r="AB1193" i="7"/>
  <c r="AB1186" i="7"/>
  <c r="AB1184" i="7"/>
  <c r="AB1182" i="7"/>
  <c r="AB1180" i="7"/>
  <c r="AB1179" i="7"/>
  <c r="AB1178" i="7"/>
  <c r="AB1177" i="7"/>
  <c r="AB1176" i="7"/>
  <c r="AB1175" i="7"/>
  <c r="AB1174" i="7"/>
  <c r="AB1173" i="7"/>
  <c r="AB1171" i="7"/>
  <c r="AB1170" i="7"/>
  <c r="AB1169" i="7"/>
  <c r="AB1168" i="7"/>
  <c r="AB1167" i="7"/>
  <c r="AB1166" i="7"/>
  <c r="AB1163" i="7"/>
  <c r="AB1162" i="7"/>
  <c r="AB1161" i="7"/>
  <c r="AB1160" i="7"/>
  <c r="AB1152" i="7"/>
  <c r="AB1151" i="7"/>
  <c r="AB1141" i="7"/>
  <c r="AB1133" i="7"/>
  <c r="AB1132" i="7"/>
  <c r="AB1124" i="7"/>
  <c r="AB1123" i="7"/>
  <c r="AB1120" i="7"/>
  <c r="AB1114" i="7"/>
  <c r="AB1113" i="7"/>
  <c r="AB1112" i="7"/>
  <c r="AB1111" i="7"/>
  <c r="AB1110" i="7"/>
  <c r="AB1109" i="7"/>
  <c r="AB1108" i="7"/>
  <c r="AB1107" i="7"/>
  <c r="AB1106" i="7"/>
  <c r="AB1105" i="7"/>
  <c r="AB1104" i="7"/>
  <c r="AB1103" i="7"/>
  <c r="AB1102" i="7"/>
  <c r="AB1101" i="7"/>
  <c r="AB1100" i="7"/>
  <c r="AB1099" i="7"/>
  <c r="AB1098" i="7"/>
  <c r="AB1097" i="7"/>
  <c r="AB1096" i="7"/>
  <c r="AB1095" i="7"/>
  <c r="AB1094" i="7"/>
  <c r="AB1093" i="7"/>
  <c r="AB1092" i="7"/>
  <c r="AB1091" i="7"/>
  <c r="AB1090" i="7"/>
  <c r="AB1089" i="7"/>
  <c r="AB1088" i="7"/>
  <c r="AB1087" i="7"/>
  <c r="AB1086" i="7"/>
  <c r="AB1084" i="7"/>
  <c r="AB1077" i="7"/>
  <c r="AB1076" i="7"/>
  <c r="AB1060" i="7"/>
  <c r="AB1046" i="7"/>
  <c r="AB1045" i="7"/>
  <c r="AB1044" i="7"/>
  <c r="AB1043" i="7"/>
  <c r="AB1042" i="7"/>
  <c r="AB1040" i="7"/>
  <c r="AB1035" i="7"/>
  <c r="AB1034" i="7"/>
  <c r="AB1026" i="7"/>
  <c r="AB1025" i="7"/>
  <c r="AB1024" i="7"/>
  <c r="AB1023" i="7"/>
  <c r="AB1019" i="7"/>
  <c r="AB1006" i="7"/>
  <c r="AB1005" i="7"/>
  <c r="AB997" i="7"/>
  <c r="AB996" i="7"/>
  <c r="AB995" i="7"/>
  <c r="AB994" i="7"/>
  <c r="AB993" i="7"/>
  <c r="AB990" i="7"/>
  <c r="AB989" i="7"/>
  <c r="AB988" i="7"/>
  <c r="AB985" i="7"/>
  <c r="AB973" i="7"/>
  <c r="AB972" i="7"/>
  <c r="AB971" i="7"/>
  <c r="AB970" i="7"/>
  <c r="AB965" i="7"/>
  <c r="AB964" i="7"/>
  <c r="AB963" i="7"/>
  <c r="AB962" i="7"/>
  <c r="AB961" i="7"/>
  <c r="AB937" i="7"/>
  <c r="AB936" i="7"/>
  <c r="AB935" i="7"/>
  <c r="AB934" i="7"/>
  <c r="AB933" i="7"/>
  <c r="AB932" i="7"/>
  <c r="AB931" i="7"/>
  <c r="AB930" i="7"/>
  <c r="AB929" i="7"/>
  <c r="AB928" i="7"/>
  <c r="AB927" i="7"/>
  <c r="AB922" i="7"/>
  <c r="AB919" i="7"/>
  <c r="AB918" i="7"/>
  <c r="AB911" i="7"/>
  <c r="AB910" i="7"/>
  <c r="AB909" i="7"/>
  <c r="AB908" i="7"/>
  <c r="AB907" i="7"/>
  <c r="AB906" i="7"/>
  <c r="AB905" i="7"/>
  <c r="AB904" i="7"/>
  <c r="AB903" i="7"/>
  <c r="AB902" i="7"/>
  <c r="AB901" i="7"/>
  <c r="AB900" i="7"/>
  <c r="AB899" i="7"/>
  <c r="AB898" i="7"/>
  <c r="AB896" i="7"/>
  <c r="AB895" i="7"/>
  <c r="AB894" i="7"/>
  <c r="AB893" i="7"/>
  <c r="AB890" i="7"/>
  <c r="AB883" i="7"/>
  <c r="AB882" i="7"/>
  <c r="AB881" i="7"/>
  <c r="AB880" i="7"/>
  <c r="AB879" i="7"/>
  <c r="AB867" i="7"/>
  <c r="AB865" i="7"/>
  <c r="AB864" i="7"/>
  <c r="AB863" i="7"/>
  <c r="AB862" i="7"/>
  <c r="AB860" i="7"/>
  <c r="AB859" i="7"/>
  <c r="AB858" i="7"/>
  <c r="AB857" i="7"/>
  <c r="AB856" i="7"/>
  <c r="AB855" i="7"/>
  <c r="AB851" i="7"/>
  <c r="AB850" i="7"/>
  <c r="AB849" i="7"/>
  <c r="AB848" i="7"/>
  <c r="AB847" i="7"/>
  <c r="AB846" i="7"/>
  <c r="AB845" i="7"/>
  <c r="AB844" i="7"/>
  <c r="AB843" i="7"/>
  <c r="AB842" i="7"/>
  <c r="AB836" i="7"/>
  <c r="AB829" i="7"/>
  <c r="AB820" i="7"/>
  <c r="AB819" i="7"/>
  <c r="AB818" i="7"/>
  <c r="AB817" i="7"/>
  <c r="AB786" i="7"/>
  <c r="AB784" i="7"/>
  <c r="AB777" i="7"/>
  <c r="AB754" i="7"/>
  <c r="AB744" i="7"/>
  <c r="AB733" i="7"/>
  <c r="AB727" i="7"/>
  <c r="AB719" i="7"/>
  <c r="AB711" i="7"/>
  <c r="AB702" i="7"/>
  <c r="AB701" i="7"/>
  <c r="AB694" i="7"/>
  <c r="AB693" i="7"/>
  <c r="AB691" i="7"/>
  <c r="AB690" i="7"/>
  <c r="AB688" i="7"/>
  <c r="AB685" i="7"/>
  <c r="AB684" i="7"/>
  <c r="AB683" i="7"/>
  <c r="AB682" i="7"/>
  <c r="AB681" i="7"/>
  <c r="AB680" i="7"/>
  <c r="AB679" i="7"/>
  <c r="AB678" i="7"/>
  <c r="AB675" i="7"/>
  <c r="AB674" i="7"/>
  <c r="AB672" i="7"/>
  <c r="AB668" i="7"/>
  <c r="AB665" i="7"/>
  <c r="AB664" i="7"/>
  <c r="AB663" i="7"/>
  <c r="AB662" i="7"/>
  <c r="AB661" i="7"/>
  <c r="AB660" i="7"/>
  <c r="AB654" i="7"/>
  <c r="AB653" i="7"/>
  <c r="AB652" i="7"/>
  <c r="AB651" i="7"/>
  <c r="AB650" i="7"/>
  <c r="AB646" i="7"/>
  <c r="AB645" i="7"/>
  <c r="AB644" i="7"/>
  <c r="AB643" i="7"/>
  <c r="AB642" i="7"/>
  <c r="AB638" i="7"/>
  <c r="AB637" i="7"/>
  <c r="AB636" i="7"/>
  <c r="AB633" i="7"/>
  <c r="AB632" i="7"/>
  <c r="AB631" i="7"/>
  <c r="AB628" i="7"/>
  <c r="AB627" i="7"/>
  <c r="AB626" i="7"/>
  <c r="AB623" i="7"/>
  <c r="AB622" i="7"/>
  <c r="AB621" i="7"/>
  <c r="AB619" i="7"/>
  <c r="AB616" i="7"/>
  <c r="AB612" i="7"/>
  <c r="AB611" i="7"/>
  <c r="AB609" i="7"/>
  <c r="AB606" i="7"/>
  <c r="AB605" i="7"/>
  <c r="AB602" i="7"/>
  <c r="AB601" i="7"/>
  <c r="AB600" i="7"/>
  <c r="AB597" i="7"/>
  <c r="AB595" i="7"/>
  <c r="AB594" i="7"/>
  <c r="AB593" i="7"/>
  <c r="AB592" i="7"/>
  <c r="AB587" i="7"/>
  <c r="AB585" i="7"/>
  <c r="AB583" i="7"/>
  <c r="AB582" i="7"/>
  <c r="AB581" i="7"/>
  <c r="AB580" i="7"/>
  <c r="AB579" i="7"/>
  <c r="AB576" i="7"/>
  <c r="AB573" i="7"/>
  <c r="AB572" i="7"/>
  <c r="AB568" i="7"/>
  <c r="AB567" i="7"/>
  <c r="AB565" i="7"/>
  <c r="AB564" i="7"/>
  <c r="AB563" i="7"/>
  <c r="AB562" i="7"/>
  <c r="AB561" i="7"/>
  <c r="AB560" i="7"/>
  <c r="AB559" i="7"/>
  <c r="AB558" i="7"/>
  <c r="AB556" i="7"/>
  <c r="AB554" i="7"/>
  <c r="AB553" i="7"/>
  <c r="AB552" i="7"/>
  <c r="AB550" i="7"/>
  <c r="AB549" i="7"/>
  <c r="AB548" i="7"/>
  <c r="AB547" i="7"/>
  <c r="AB546" i="7"/>
  <c r="AB538" i="7"/>
  <c r="AB535" i="7"/>
  <c r="AB534" i="7"/>
  <c r="AB528" i="7"/>
  <c r="AB527" i="7"/>
  <c r="AB526" i="7"/>
  <c r="AB525" i="7"/>
  <c r="AB524" i="7"/>
  <c r="AB523" i="7"/>
  <c r="AB522" i="7"/>
  <c r="AB521" i="7"/>
  <c r="AB520" i="7"/>
  <c r="AB519" i="7"/>
  <c r="AB517" i="7"/>
  <c r="AB516" i="7"/>
  <c r="AB515" i="7"/>
  <c r="AB514" i="7"/>
  <c r="AB513" i="7"/>
  <c r="AB512" i="7"/>
  <c r="AB511" i="7"/>
  <c r="AB510" i="7"/>
  <c r="AB508" i="7"/>
  <c r="AB507" i="7"/>
  <c r="AB506" i="7"/>
  <c r="AB505" i="7"/>
  <c r="AB504" i="7"/>
  <c r="AB502" i="7"/>
  <c r="AB501" i="7"/>
  <c r="AB500" i="7"/>
  <c r="AB499" i="7"/>
  <c r="AB498" i="7"/>
  <c r="AB497" i="7"/>
  <c r="AB496" i="7"/>
  <c r="AB495" i="7"/>
  <c r="AB494" i="7"/>
  <c r="AB493" i="7"/>
  <c r="AB492" i="7"/>
  <c r="AB491" i="7"/>
  <c r="AB490" i="7"/>
  <c r="AB489" i="7"/>
  <c r="AB488" i="7"/>
  <c r="AB487" i="7"/>
  <c r="AB485" i="7"/>
  <c r="AB484" i="7"/>
  <c r="AB483" i="7"/>
  <c r="AB482" i="7"/>
  <c r="AB481" i="7"/>
  <c r="AB480" i="7"/>
  <c r="AB479" i="7"/>
  <c r="AB478" i="7"/>
  <c r="AB477" i="7"/>
  <c r="AB476" i="7"/>
  <c r="AB475" i="7"/>
  <c r="AB474" i="7"/>
  <c r="AB473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59" i="7"/>
  <c r="AB458" i="7"/>
  <c r="AB457" i="7"/>
  <c r="AB456" i="7"/>
  <c r="AB455" i="7"/>
  <c r="AB454" i="7"/>
  <c r="AB453" i="7"/>
  <c r="AB452" i="7"/>
  <c r="AB451" i="7"/>
  <c r="AB450" i="7"/>
  <c r="AB449" i="7"/>
  <c r="AB448" i="7"/>
  <c r="AB447" i="7"/>
  <c r="AB446" i="7"/>
  <c r="AB445" i="7"/>
  <c r="AB444" i="7"/>
  <c r="AB443" i="7"/>
  <c r="AB442" i="7"/>
  <c r="AB441" i="7"/>
  <c r="AB440" i="7"/>
  <c r="AB438" i="7"/>
  <c r="AB437" i="7"/>
  <c r="AB436" i="7"/>
  <c r="AB435" i="7"/>
  <c r="AB434" i="7"/>
  <c r="AB433" i="7"/>
  <c r="AB432" i="7"/>
  <c r="AB431" i="7"/>
  <c r="AB430" i="7"/>
  <c r="AB429" i="7"/>
  <c r="AB428" i="7"/>
  <c r="AB427" i="7"/>
  <c r="AB426" i="7"/>
  <c r="AB425" i="7"/>
  <c r="AB424" i="7"/>
  <c r="AB423" i="7"/>
  <c r="AB422" i="7"/>
  <c r="AB421" i="7"/>
  <c r="AB420" i="7"/>
  <c r="AB419" i="7"/>
  <c r="AB418" i="7"/>
  <c r="AB417" i="7"/>
  <c r="AB416" i="7"/>
  <c r="AB415" i="7"/>
  <c r="AB414" i="7"/>
  <c r="AB413" i="7"/>
  <c r="AB412" i="7"/>
  <c r="AB411" i="7"/>
  <c r="AB410" i="7"/>
  <c r="AB409" i="7"/>
  <c r="AB408" i="7"/>
  <c r="AB407" i="7"/>
  <c r="AB406" i="7"/>
  <c r="AB405" i="7"/>
  <c r="AB404" i="7"/>
  <c r="AB403" i="7"/>
  <c r="AB402" i="7"/>
  <c r="AB401" i="7"/>
  <c r="AB400" i="7"/>
  <c r="AB399" i="7"/>
  <c r="AB398" i="7"/>
  <c r="AB397" i="7"/>
  <c r="AB396" i="7"/>
  <c r="AB395" i="7"/>
  <c r="AB394" i="7"/>
  <c r="AB393" i="7"/>
  <c r="AB392" i="7"/>
  <c r="AB391" i="7"/>
  <c r="AB390" i="7"/>
  <c r="AB389" i="7"/>
  <c r="AB388" i="7"/>
  <c r="AB387" i="7"/>
  <c r="AB386" i="7"/>
  <c r="AB385" i="7"/>
  <c r="AB384" i="7"/>
  <c r="AB383" i="7"/>
  <c r="AB382" i="7"/>
  <c r="AB381" i="7"/>
  <c r="AB380" i="7"/>
  <c r="AB379" i="7"/>
  <c r="AB378" i="7"/>
  <c r="AB377" i="7"/>
  <c r="AB376" i="7"/>
  <c r="AB375" i="7"/>
  <c r="AB374" i="7"/>
  <c r="AB373" i="7"/>
  <c r="AB372" i="7"/>
  <c r="AB371" i="7"/>
  <c r="AB370" i="7"/>
  <c r="AB369" i="7"/>
  <c r="AB368" i="7"/>
  <c r="AB367" i="7"/>
  <c r="AB366" i="7"/>
  <c r="AB365" i="7"/>
  <c r="AB364" i="7"/>
  <c r="AB363" i="7"/>
  <c r="AB362" i="7"/>
  <c r="AB361" i="7"/>
  <c r="AB360" i="7"/>
  <c r="AB359" i="7"/>
  <c r="AB358" i="7"/>
  <c r="AB357" i="7"/>
  <c r="AB356" i="7"/>
  <c r="AB355" i="7"/>
  <c r="AB354" i="7"/>
  <c r="AB353" i="7"/>
  <c r="AB352" i="7"/>
  <c r="AB351" i="7"/>
  <c r="AB350" i="7"/>
  <c r="AB349" i="7"/>
  <c r="AB348" i="7"/>
  <c r="AB347" i="7"/>
  <c r="AB346" i="7"/>
  <c r="AB345" i="7"/>
  <c r="AB344" i="7"/>
  <c r="AB343" i="7"/>
  <c r="AB342" i="7"/>
  <c r="AB341" i="7"/>
  <c r="AB340" i="7"/>
  <c r="AB339" i="7"/>
  <c r="AB338" i="7"/>
  <c r="AB337" i="7"/>
  <c r="AB336" i="7"/>
  <c r="AB335" i="7"/>
  <c r="AB334" i="7"/>
  <c r="AB333" i="7"/>
  <c r="AB332" i="7"/>
  <c r="AB331" i="7"/>
  <c r="AB330" i="7"/>
  <c r="AB329" i="7"/>
  <c r="AB328" i="7"/>
  <c r="AB327" i="7"/>
  <c r="AB326" i="7"/>
  <c r="AB325" i="7"/>
  <c r="AB324" i="7"/>
  <c r="AB323" i="7"/>
  <c r="AB322" i="7"/>
  <c r="AB321" i="7"/>
  <c r="AB320" i="7"/>
  <c r="AB319" i="7"/>
  <c r="AB318" i="7"/>
  <c r="AB317" i="7"/>
  <c r="AB316" i="7"/>
  <c r="AB315" i="7"/>
  <c r="AB314" i="7"/>
  <c r="AB313" i="7"/>
  <c r="AB312" i="7"/>
  <c r="AB311" i="7"/>
  <c r="AB310" i="7"/>
  <c r="AB309" i="7"/>
  <c r="AB308" i="7"/>
  <c r="AB307" i="7"/>
  <c r="AB306" i="7"/>
  <c r="AB305" i="7"/>
  <c r="AB304" i="7"/>
  <c r="AB303" i="7"/>
  <c r="AB302" i="7"/>
  <c r="AB301" i="7"/>
  <c r="AB300" i="7"/>
  <c r="AB299" i="7"/>
  <c r="AB298" i="7"/>
  <c r="AB297" i="7"/>
  <c r="AB296" i="7"/>
  <c r="AB295" i="7"/>
  <c r="AB294" i="7"/>
  <c r="AB293" i="7"/>
  <c r="AB292" i="7"/>
  <c r="AB291" i="7"/>
  <c r="AB290" i="7"/>
  <c r="AB289" i="7"/>
  <c r="AB288" i="7"/>
  <c r="AB287" i="7"/>
  <c r="AB286" i="7"/>
  <c r="AB285" i="7"/>
  <c r="AB284" i="7"/>
  <c r="AB283" i="7"/>
  <c r="AB282" i="7"/>
  <c r="AB281" i="7"/>
  <c r="AB280" i="7"/>
  <c r="AB279" i="7"/>
  <c r="AB278" i="7"/>
  <c r="AB277" i="7"/>
  <c r="AB276" i="7"/>
  <c r="AB275" i="7"/>
  <c r="AB274" i="7"/>
  <c r="AB273" i="7"/>
  <c r="AB272" i="7"/>
  <c r="AB271" i="7"/>
  <c r="AB270" i="7"/>
  <c r="AB269" i="7"/>
  <c r="AB268" i="7"/>
  <c r="AB267" i="7"/>
  <c r="AB266" i="7"/>
  <c r="AB265" i="7"/>
  <c r="AB264" i="7"/>
  <c r="AB263" i="7"/>
  <c r="AB262" i="7"/>
  <c r="AB261" i="7"/>
  <c r="AB260" i="7"/>
  <c r="AB259" i="7"/>
  <c r="AB258" i="7"/>
  <c r="AB257" i="7"/>
  <c r="AB256" i="7"/>
  <c r="AB255" i="7"/>
  <c r="AB254" i="7"/>
  <c r="AB253" i="7"/>
  <c r="AB252" i="7"/>
  <c r="AB251" i="7"/>
  <c r="AB250" i="7"/>
  <c r="AB249" i="7"/>
  <c r="AB248" i="7"/>
  <c r="AB247" i="7"/>
  <c r="AB246" i="7"/>
  <c r="AB245" i="7"/>
  <c r="AB244" i="7"/>
  <c r="AB243" i="7"/>
  <c r="AB242" i="7"/>
  <c r="AB241" i="7"/>
  <c r="AB238" i="7"/>
  <c r="AB237" i="7"/>
  <c r="AB236" i="7"/>
  <c r="AB235" i="7"/>
  <c r="AB234" i="7"/>
  <c r="AB233" i="7"/>
  <c r="AB232" i="7"/>
  <c r="AB230" i="7"/>
  <c r="AB228" i="7"/>
  <c r="AB227" i="7"/>
  <c r="AB225" i="7"/>
  <c r="AB224" i="7"/>
  <c r="AB223" i="7"/>
  <c r="AB221" i="7"/>
  <c r="AB219" i="7"/>
  <c r="AB218" i="7"/>
  <c r="AB217" i="7"/>
  <c r="AB215" i="7"/>
  <c r="AB212" i="7"/>
  <c r="AB211" i="7"/>
  <c r="AB210" i="7"/>
  <c r="AB209" i="7"/>
  <c r="AB208" i="7"/>
  <c r="AB207" i="7"/>
  <c r="AB201" i="7"/>
  <c r="AB194" i="7"/>
  <c r="AB193" i="7"/>
  <c r="AB185" i="7"/>
  <c r="AB183" i="7"/>
  <c r="AB182" i="7"/>
  <c r="AB181" i="7"/>
  <c r="AB180" i="7"/>
  <c r="AB179" i="7"/>
  <c r="AB178" i="7"/>
  <c r="AB176" i="7"/>
  <c r="AB175" i="7"/>
  <c r="AB159" i="7"/>
  <c r="AB157" i="7"/>
  <c r="AB156" i="7"/>
  <c r="AB155" i="7"/>
  <c r="AB154" i="7"/>
  <c r="AB153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6" i="7"/>
  <c r="AB31" i="7"/>
  <c r="AB28" i="7"/>
  <c r="AB27" i="7"/>
  <c r="AB26" i="7"/>
  <c r="AB24" i="7"/>
  <c r="AB23" i="7"/>
  <c r="AB22" i="7"/>
  <c r="AB21" i="7"/>
  <c r="AB20" i="7"/>
  <c r="AB19" i="7"/>
  <c r="AB15" i="7"/>
  <c r="AB10" i="7"/>
  <c r="AB9" i="7"/>
  <c r="AB8" i="7"/>
  <c r="AB7" i="7"/>
  <c r="AB6" i="7"/>
  <c r="AB5" i="7"/>
  <c r="AB4" i="7"/>
  <c r="AA1972" i="7"/>
  <c r="AA1969" i="7"/>
  <c r="AA1966" i="7"/>
  <c r="AA1965" i="7"/>
  <c r="AA1964" i="7"/>
  <c r="AA1963" i="7"/>
  <c r="AA1962" i="7"/>
  <c r="AA1961" i="7"/>
  <c r="AA1960" i="7"/>
  <c r="AA1959" i="7"/>
  <c r="AA1958" i="7"/>
  <c r="AA1957" i="7"/>
  <c r="AA1956" i="7"/>
  <c r="AA1955" i="7"/>
  <c r="AA1954" i="7"/>
  <c r="AA1953" i="7"/>
  <c r="AA1952" i="7"/>
  <c r="AA1951" i="7"/>
  <c r="AA1950" i="7"/>
  <c r="AA1949" i="7"/>
  <c r="AA1948" i="7"/>
  <c r="AA1946" i="7"/>
  <c r="AA1945" i="7"/>
  <c r="AA1944" i="7"/>
  <c r="AA1943" i="7"/>
  <c r="AA1942" i="7"/>
  <c r="AA1941" i="7"/>
  <c r="AA1940" i="7"/>
  <c r="AA1939" i="7"/>
  <c r="AA1938" i="7"/>
  <c r="AA1937" i="7"/>
  <c r="AA1936" i="7"/>
  <c r="AA1935" i="7"/>
  <c r="AA1934" i="7"/>
  <c r="AA1933" i="7"/>
  <c r="AA1932" i="7"/>
  <c r="AA1930" i="7"/>
  <c r="AA1929" i="7"/>
  <c r="AA1928" i="7"/>
  <c r="AA1927" i="7"/>
  <c r="AA1926" i="7"/>
  <c r="AA1925" i="7"/>
  <c r="AA1924" i="7"/>
  <c r="AA1923" i="7"/>
  <c r="AA1922" i="7"/>
  <c r="AA1921" i="7"/>
  <c r="AA1920" i="7"/>
  <c r="AA1919" i="7"/>
  <c r="AA1918" i="7"/>
  <c r="AA1917" i="7"/>
  <c r="AA1916" i="7"/>
  <c r="AA1915" i="7"/>
  <c r="AA1914" i="7"/>
  <c r="AA1913" i="7"/>
  <c r="AA1912" i="7"/>
  <c r="AA1911" i="7"/>
  <c r="AA1909" i="7"/>
  <c r="AA1908" i="7"/>
  <c r="AA1907" i="7"/>
  <c r="AA1906" i="7"/>
  <c r="AA1905" i="7"/>
  <c r="AA1904" i="7"/>
  <c r="AA1903" i="7"/>
  <c r="AA1902" i="7"/>
  <c r="AA1901" i="7"/>
  <c r="AA1899" i="7"/>
  <c r="AA1898" i="7"/>
  <c r="AA1897" i="7"/>
  <c r="AA1895" i="7"/>
  <c r="AA1894" i="7"/>
  <c r="AA1893" i="7"/>
  <c r="AA1892" i="7"/>
  <c r="AA1891" i="7"/>
  <c r="AA1889" i="7"/>
  <c r="AA1886" i="7"/>
  <c r="AA1885" i="7"/>
  <c r="AA1884" i="7"/>
  <c r="AA1883" i="7"/>
  <c r="AA1882" i="7"/>
  <c r="AA1881" i="7"/>
  <c r="AA1880" i="7"/>
  <c r="AA1879" i="7"/>
  <c r="AA1878" i="7"/>
  <c r="AA1877" i="7"/>
  <c r="AA1876" i="7"/>
  <c r="AA1875" i="7"/>
  <c r="AA1874" i="7"/>
  <c r="AA1873" i="7"/>
  <c r="AA1872" i="7"/>
  <c r="AA1871" i="7"/>
  <c r="AA1870" i="7"/>
  <c r="AA1869" i="7"/>
  <c r="AA1868" i="7"/>
  <c r="AA1867" i="7"/>
  <c r="AA1866" i="7"/>
  <c r="AA1865" i="7"/>
  <c r="AA1864" i="7"/>
  <c r="AA1863" i="7"/>
  <c r="AA1862" i="7"/>
  <c r="AA1861" i="7"/>
  <c r="AA1860" i="7"/>
  <c r="AA1859" i="7"/>
  <c r="AA1858" i="7"/>
  <c r="AA1857" i="7"/>
  <c r="AA1856" i="7"/>
  <c r="AA1855" i="7"/>
  <c r="AA1854" i="7"/>
  <c r="AA1853" i="7"/>
  <c r="AA1852" i="7"/>
  <c r="AA1851" i="7"/>
  <c r="AA1850" i="7"/>
  <c r="AA1849" i="7"/>
  <c r="AA1848" i="7"/>
  <c r="AA1847" i="7"/>
  <c r="AA1846" i="7"/>
  <c r="AA1845" i="7"/>
  <c r="AA1844" i="7"/>
  <c r="AA1843" i="7"/>
  <c r="AA1842" i="7"/>
  <c r="AA1841" i="7"/>
  <c r="AA1840" i="7"/>
  <c r="AA1839" i="7"/>
  <c r="AA1838" i="7"/>
  <c r="AA1837" i="7"/>
  <c r="AA1836" i="7"/>
  <c r="AA1835" i="7"/>
  <c r="AA1834" i="7"/>
  <c r="AA1833" i="7"/>
  <c r="AA1832" i="7"/>
  <c r="AA1831" i="7"/>
  <c r="AA1830" i="7"/>
  <c r="AA1829" i="7"/>
  <c r="AA1828" i="7"/>
  <c r="AA1827" i="7"/>
  <c r="AA1826" i="7"/>
  <c r="AA1825" i="7"/>
  <c r="AA1824" i="7"/>
  <c r="AA1823" i="7"/>
  <c r="AA1822" i="7"/>
  <c r="AA1821" i="7"/>
  <c r="AA1820" i="7"/>
  <c r="AA1819" i="7"/>
  <c r="AA1818" i="7"/>
  <c r="AA1817" i="7"/>
  <c r="AA1816" i="7"/>
  <c r="AA1815" i="7"/>
  <c r="AA1814" i="7"/>
  <c r="AA1813" i="7"/>
  <c r="AA1812" i="7"/>
  <c r="AA1811" i="7"/>
  <c r="AA1810" i="7"/>
  <c r="AA1809" i="7"/>
  <c r="AA1808" i="7"/>
  <c r="AA1807" i="7"/>
  <c r="AA1806" i="7"/>
  <c r="AA1805" i="7"/>
  <c r="AA1804" i="7"/>
  <c r="AA1803" i="7"/>
  <c r="AA1800" i="7"/>
  <c r="AA1799" i="7"/>
  <c r="AA1797" i="7"/>
  <c r="AA1796" i="7"/>
  <c r="AA1795" i="7"/>
  <c r="AA1794" i="7"/>
  <c r="AA1793" i="7"/>
  <c r="AA1792" i="7"/>
  <c r="AA1789" i="7"/>
  <c r="AA1784" i="7"/>
  <c r="AA1783" i="7"/>
  <c r="AA1781" i="7"/>
  <c r="AA1780" i="7"/>
  <c r="AA1778" i="7"/>
  <c r="AA1774" i="7"/>
  <c r="AA1773" i="7"/>
  <c r="AA1772" i="7"/>
  <c r="AA1771" i="7"/>
  <c r="AA1770" i="7"/>
  <c r="AA1769" i="7"/>
  <c r="AA1768" i="7"/>
  <c r="AA1767" i="7"/>
  <c r="AA1766" i="7"/>
  <c r="AA1763" i="7"/>
  <c r="AA1762" i="7"/>
  <c r="AA1761" i="7"/>
  <c r="AA1760" i="7"/>
  <c r="AA1759" i="7"/>
  <c r="AA1758" i="7"/>
  <c r="AA1757" i="7"/>
  <c r="AA1756" i="7"/>
  <c r="AA1755" i="7"/>
  <c r="AA1754" i="7"/>
  <c r="AA1753" i="7"/>
  <c r="AA1752" i="7"/>
  <c r="AA1751" i="7"/>
  <c r="AA1748" i="7"/>
  <c r="AA1743" i="7"/>
  <c r="AA1741" i="7"/>
  <c r="AA1740" i="7"/>
  <c r="AA1737" i="7"/>
  <c r="AA1736" i="7"/>
  <c r="AA1735" i="7"/>
  <c r="AA1733" i="7"/>
  <c r="AA1732" i="7"/>
  <c r="AA1731" i="7"/>
  <c r="AA1730" i="7"/>
  <c r="AA1729" i="7"/>
  <c r="AA1728" i="7"/>
  <c r="AA1727" i="7"/>
  <c r="AA1726" i="7"/>
  <c r="AA1717" i="7"/>
  <c r="AA1716" i="7"/>
  <c r="AA1711" i="7"/>
  <c r="AA1704" i="7"/>
  <c r="AA1703" i="7"/>
  <c r="AA1702" i="7"/>
  <c r="AA1701" i="7"/>
  <c r="AA1700" i="7"/>
  <c r="AA1699" i="7"/>
  <c r="AA1698" i="7"/>
  <c r="AA1697" i="7"/>
  <c r="AA1696" i="7"/>
  <c r="AA1695" i="7"/>
  <c r="AA1693" i="7"/>
  <c r="AA1687" i="7"/>
  <c r="AA1686" i="7"/>
  <c r="AA1685" i="7"/>
  <c r="AA1684" i="7"/>
  <c r="AA1683" i="7"/>
  <c r="AA1682" i="7"/>
  <c r="AA1681" i="7"/>
  <c r="AA1680" i="7"/>
  <c r="AA1679" i="7"/>
  <c r="AA1678" i="7"/>
  <c r="AA1677" i="7"/>
  <c r="AA1676" i="7"/>
  <c r="AA1675" i="7"/>
  <c r="AA1674" i="7"/>
  <c r="AA1673" i="7"/>
  <c r="AA1672" i="7"/>
  <c r="AA1671" i="7"/>
  <c r="AA1670" i="7"/>
  <c r="AA1669" i="7"/>
  <c r="AA1668" i="7"/>
  <c r="AA1667" i="7"/>
  <c r="AA1666" i="7"/>
  <c r="AA1665" i="7"/>
  <c r="AA1664" i="7"/>
  <c r="AA1663" i="7"/>
  <c r="AA1662" i="7"/>
  <c r="AA1661" i="7"/>
  <c r="AA1660" i="7"/>
  <c r="AA1659" i="7"/>
  <c r="AA1658" i="7"/>
  <c r="AA1657" i="7"/>
  <c r="AA1656" i="7"/>
  <c r="AA1655" i="7"/>
  <c r="AA1654" i="7"/>
  <c r="AA1653" i="7"/>
  <c r="AA1652" i="7"/>
  <c r="AA1651" i="7"/>
  <c r="AA1650" i="7"/>
  <c r="AA1649" i="7"/>
  <c r="AA1648" i="7"/>
  <c r="AA1647" i="7"/>
  <c r="AA1646" i="7"/>
  <c r="AA1645" i="7"/>
  <c r="AA1644" i="7"/>
  <c r="AA1643" i="7"/>
  <c r="AA1642" i="7"/>
  <c r="AA1641" i="7"/>
  <c r="AA1640" i="7"/>
  <c r="AA1639" i="7"/>
  <c r="AA1638" i="7"/>
  <c r="AA1637" i="7"/>
  <c r="AA1636" i="7"/>
  <c r="AA1635" i="7"/>
  <c r="AA1634" i="7"/>
  <c r="AA1633" i="7"/>
  <c r="AA1632" i="7"/>
  <c r="AA1631" i="7"/>
  <c r="AA1630" i="7"/>
  <c r="AA1629" i="7"/>
  <c r="AA1628" i="7"/>
  <c r="AA1627" i="7"/>
  <c r="AA1626" i="7"/>
  <c r="AA1625" i="7"/>
  <c r="AA1624" i="7"/>
  <c r="AA1623" i="7"/>
  <c r="AA1622" i="7"/>
  <c r="AA1607" i="7"/>
  <c r="AA1599" i="7"/>
  <c r="AA1593" i="7"/>
  <c r="AA1592" i="7"/>
  <c r="AA1591" i="7"/>
  <c r="AA1590" i="7"/>
  <c r="AA1589" i="7"/>
  <c r="AA1588" i="7"/>
  <c r="AA1587" i="7"/>
  <c r="AA1586" i="7"/>
  <c r="AA1585" i="7"/>
  <c r="AA1584" i="7"/>
  <c r="AA1583" i="7"/>
  <c r="AA1582" i="7"/>
  <c r="AA1581" i="7"/>
  <c r="AA1580" i="7"/>
  <c r="AA1579" i="7"/>
  <c r="AA1578" i="7"/>
  <c r="AA1577" i="7"/>
  <c r="AA1576" i="7"/>
  <c r="AA1575" i="7"/>
  <c r="AA1574" i="7"/>
  <c r="AA1573" i="7"/>
  <c r="AA1572" i="7"/>
  <c r="AA1571" i="7"/>
  <c r="AA1570" i="7"/>
  <c r="AA1569" i="7"/>
  <c r="AA1568" i="7"/>
  <c r="AA1567" i="7"/>
  <c r="AA1566" i="7"/>
  <c r="AA1565" i="7"/>
  <c r="AA1563" i="7"/>
  <c r="AA1562" i="7"/>
  <c r="AA1561" i="7"/>
  <c r="AA1560" i="7"/>
  <c r="AA1559" i="7"/>
  <c r="AA1558" i="7"/>
  <c r="AA1557" i="7"/>
  <c r="AA1556" i="7"/>
  <c r="AA1555" i="7"/>
  <c r="AA1554" i="7"/>
  <c r="AA1552" i="7"/>
  <c r="AA1551" i="7"/>
  <c r="AA1550" i="7"/>
  <c r="AA1549" i="7"/>
  <c r="AA1548" i="7"/>
  <c r="AA1547" i="7"/>
  <c r="AA1546" i="7"/>
  <c r="AA1545" i="7"/>
  <c r="AA1544" i="7"/>
  <c r="AA1543" i="7"/>
  <c r="AA1535" i="7"/>
  <c r="AA1531" i="7"/>
  <c r="AA1530" i="7"/>
  <c r="AA1529" i="7"/>
  <c r="AA1528" i="7"/>
  <c r="AA1527" i="7"/>
  <c r="AA1526" i="7"/>
  <c r="AA1525" i="7"/>
  <c r="AA1524" i="7"/>
  <c r="AA1523" i="7"/>
  <c r="AA1522" i="7"/>
  <c r="AA1521" i="7"/>
  <c r="AA1520" i="7"/>
  <c r="AA1519" i="7"/>
  <c r="AA1518" i="7"/>
  <c r="AA1517" i="7"/>
  <c r="AA1516" i="7"/>
  <c r="AA1515" i="7"/>
  <c r="AA1514" i="7"/>
  <c r="AA1513" i="7"/>
  <c r="AA1512" i="7"/>
  <c r="AA1511" i="7"/>
  <c r="AA1510" i="7"/>
  <c r="AA1508" i="7"/>
  <c r="AA1507" i="7"/>
  <c r="AA1506" i="7"/>
  <c r="AA1504" i="7"/>
  <c r="AA1503" i="7"/>
  <c r="AA1502" i="7"/>
  <c r="AA1501" i="7"/>
  <c r="AA1500" i="7"/>
  <c r="AA1499" i="7"/>
  <c r="AA1498" i="7"/>
  <c r="AA1497" i="7"/>
  <c r="AA1496" i="7"/>
  <c r="AA1495" i="7"/>
  <c r="AA1494" i="7"/>
  <c r="AA1493" i="7"/>
  <c r="AA1492" i="7"/>
  <c r="AA1491" i="7"/>
  <c r="AA1490" i="7"/>
  <c r="AA1489" i="7"/>
  <c r="AA1488" i="7"/>
  <c r="AA1487" i="7"/>
  <c r="AA1486" i="7"/>
  <c r="AA1485" i="7"/>
  <c r="AA1484" i="7"/>
  <c r="AA1483" i="7"/>
  <c r="AA1482" i="7"/>
  <c r="AA1481" i="7"/>
  <c r="AA1480" i="7"/>
  <c r="AA1479" i="7"/>
  <c r="AA1478" i="7"/>
  <c r="AA1477" i="7"/>
  <c r="AA1476" i="7"/>
  <c r="AA1475" i="7"/>
  <c r="AA1474" i="7"/>
  <c r="AA1473" i="7"/>
  <c r="AA1472" i="7"/>
  <c r="AA1471" i="7"/>
  <c r="AA1470" i="7"/>
  <c r="AA1469" i="7"/>
  <c r="AA1468" i="7"/>
  <c r="AA1467" i="7"/>
  <c r="AA1466" i="7"/>
  <c r="AA1465" i="7"/>
  <c r="AA1463" i="7"/>
  <c r="AA1462" i="7"/>
  <c r="AA1461" i="7"/>
  <c r="AA1460" i="7"/>
  <c r="AA1459" i="7"/>
  <c r="AA1458" i="7"/>
  <c r="AA1457" i="7"/>
  <c r="AA1456" i="7"/>
  <c r="AA1455" i="7"/>
  <c r="AA1454" i="7"/>
  <c r="AA1453" i="7"/>
  <c r="AA1452" i="7"/>
  <c r="AA1451" i="7"/>
  <c r="AA1450" i="7"/>
  <c r="AA1449" i="7"/>
  <c r="AA1448" i="7"/>
  <c r="AA1447" i="7"/>
  <c r="AA1446" i="7"/>
  <c r="AA1445" i="7"/>
  <c r="AA1444" i="7"/>
  <c r="AA1443" i="7"/>
  <c r="AA1442" i="7"/>
  <c r="AA1441" i="7"/>
  <c r="AA1440" i="7"/>
  <c r="AA1439" i="7"/>
  <c r="AA1438" i="7"/>
  <c r="AA1437" i="7"/>
  <c r="AA1436" i="7"/>
  <c r="AA1435" i="7"/>
  <c r="AA1434" i="7"/>
  <c r="AA1433" i="7"/>
  <c r="AA1432" i="7"/>
  <c r="AA1431" i="7"/>
  <c r="AA1430" i="7"/>
  <c r="AA1429" i="7"/>
  <c r="AA1428" i="7"/>
  <c r="AA1427" i="7"/>
  <c r="AA1426" i="7"/>
  <c r="AA1425" i="7"/>
  <c r="AA1424" i="7"/>
  <c r="AA1423" i="7"/>
  <c r="AA1422" i="7"/>
  <c r="AA1421" i="7"/>
  <c r="AA1420" i="7"/>
  <c r="AA1419" i="7"/>
  <c r="AA1418" i="7"/>
  <c r="AA1417" i="7"/>
  <c r="AA1416" i="7"/>
  <c r="AA1415" i="7"/>
  <c r="AA1414" i="7"/>
  <c r="AA1413" i="7"/>
  <c r="AA1412" i="7"/>
  <c r="AA1411" i="7"/>
  <c r="AA1410" i="7"/>
  <c r="AA1409" i="7"/>
  <c r="AA1408" i="7"/>
  <c r="AA1407" i="7"/>
  <c r="AA1406" i="7"/>
  <c r="AA1405" i="7"/>
  <c r="AA1404" i="7"/>
  <c r="AA1403" i="7"/>
  <c r="AA1402" i="7"/>
  <c r="AA1401" i="7"/>
  <c r="AA1400" i="7"/>
  <c r="AA1399" i="7"/>
  <c r="AA1398" i="7"/>
  <c r="AA1397" i="7"/>
  <c r="AA1396" i="7"/>
  <c r="AA1395" i="7"/>
  <c r="AA1394" i="7"/>
  <c r="AA1393" i="7"/>
  <c r="AA1392" i="7"/>
  <c r="AA1391" i="7"/>
  <c r="AA1390" i="7"/>
  <c r="AA1389" i="7"/>
  <c r="AA1388" i="7"/>
  <c r="AA1387" i="7"/>
  <c r="AA1386" i="7"/>
  <c r="AA1385" i="7"/>
  <c r="AA1384" i="7"/>
  <c r="AA1383" i="7"/>
  <c r="AA1382" i="7"/>
  <c r="AA1381" i="7"/>
  <c r="AA1380" i="7"/>
  <c r="AA1379" i="7"/>
  <c r="AA1378" i="7"/>
  <c r="AA1377" i="7"/>
  <c r="AA1376" i="7"/>
  <c r="AA1375" i="7"/>
  <c r="AA1374" i="7"/>
  <c r="AA1373" i="7"/>
  <c r="AA1372" i="7"/>
  <c r="AA1371" i="7"/>
  <c r="AA1370" i="7"/>
  <c r="AA1369" i="7"/>
  <c r="AA1368" i="7"/>
  <c r="AA1367" i="7"/>
  <c r="AA1366" i="7"/>
  <c r="AA1365" i="7"/>
  <c r="AA1364" i="7"/>
  <c r="AA1363" i="7"/>
  <c r="AA1362" i="7"/>
  <c r="AA1361" i="7"/>
  <c r="AA1360" i="7"/>
  <c r="AA1359" i="7"/>
  <c r="AA1358" i="7"/>
  <c r="AA1357" i="7"/>
  <c r="AA1356" i="7"/>
  <c r="AA1355" i="7"/>
  <c r="AA1354" i="7"/>
  <c r="AA1353" i="7"/>
  <c r="AA1352" i="7"/>
  <c r="AA1351" i="7"/>
  <c r="AA1350" i="7"/>
  <c r="AA1349" i="7"/>
  <c r="AA1348" i="7"/>
  <c r="AA1347" i="7"/>
  <c r="AA1346" i="7"/>
  <c r="AA1345" i="7"/>
  <c r="AA1344" i="7"/>
  <c r="AA1343" i="7"/>
  <c r="AA1342" i="7"/>
  <c r="AA1341" i="7"/>
  <c r="AA1340" i="7"/>
  <c r="AA1339" i="7"/>
  <c r="AA1338" i="7"/>
  <c r="AA1337" i="7"/>
  <c r="AA1336" i="7"/>
  <c r="AA1335" i="7"/>
  <c r="AA1334" i="7"/>
  <c r="AA1333" i="7"/>
  <c r="AA1332" i="7"/>
  <c r="AA1331" i="7"/>
  <c r="AA1330" i="7"/>
  <c r="AA1329" i="7"/>
  <c r="AA1328" i="7"/>
  <c r="AA1327" i="7"/>
  <c r="AA1326" i="7"/>
  <c r="AA1325" i="7"/>
  <c r="AA1324" i="7"/>
  <c r="AA1323" i="7"/>
  <c r="AA1322" i="7"/>
  <c r="AA1321" i="7"/>
  <c r="AA1320" i="7"/>
  <c r="AA1319" i="7"/>
  <c r="AA1318" i="7"/>
  <c r="AA1317" i="7"/>
  <c r="AA1316" i="7"/>
  <c r="AA1315" i="7"/>
  <c r="AA1314" i="7"/>
  <c r="AA1313" i="7"/>
  <c r="AA1312" i="7"/>
  <c r="AA1311" i="7"/>
  <c r="AA1310" i="7"/>
  <c r="AA1309" i="7"/>
  <c r="AA1308" i="7"/>
  <c r="AA1307" i="7"/>
  <c r="AA1306" i="7"/>
  <c r="AA1305" i="7"/>
  <c r="AA1304" i="7"/>
  <c r="AA1303" i="7"/>
  <c r="AA1302" i="7"/>
  <c r="AA1301" i="7"/>
  <c r="AA1300" i="7"/>
  <c r="AA1299" i="7"/>
  <c r="AA1298" i="7"/>
  <c r="AA1297" i="7"/>
  <c r="AA1296" i="7"/>
  <c r="AA1295" i="7"/>
  <c r="AA1294" i="7"/>
  <c r="AA1293" i="7"/>
  <c r="AA1292" i="7"/>
  <c r="AA1291" i="7"/>
  <c r="AA1290" i="7"/>
  <c r="AA1289" i="7"/>
  <c r="AA1288" i="7"/>
  <c r="AA1287" i="7"/>
  <c r="AA1286" i="7"/>
  <c r="AA1285" i="7"/>
  <c r="AA1284" i="7"/>
  <c r="AA1283" i="7"/>
  <c r="AA1282" i="7"/>
  <c r="AA1281" i="7"/>
  <c r="AA1280" i="7"/>
  <c r="AA1279" i="7"/>
  <c r="AA1278" i="7"/>
  <c r="AA1277" i="7"/>
  <c r="AA1276" i="7"/>
  <c r="AA1275" i="7"/>
  <c r="AA1274" i="7"/>
  <c r="AA1273" i="7"/>
  <c r="AA1272" i="7"/>
  <c r="AA1271" i="7"/>
  <c r="AA1270" i="7"/>
  <c r="AA1269" i="7"/>
  <c r="AA1268" i="7"/>
  <c r="AA1267" i="7"/>
  <c r="AA1266" i="7"/>
  <c r="AA1265" i="7"/>
  <c r="AA1264" i="7"/>
  <c r="AA1263" i="7"/>
  <c r="AA1262" i="7"/>
  <c r="AA1261" i="7"/>
  <c r="AA1260" i="7"/>
  <c r="AA1259" i="7"/>
  <c r="AA1258" i="7"/>
  <c r="AA1257" i="7"/>
  <c r="AA1256" i="7"/>
  <c r="AA1255" i="7"/>
  <c r="AA1254" i="7"/>
  <c r="AA1253" i="7"/>
  <c r="AA1252" i="7"/>
  <c r="AA1251" i="7"/>
  <c r="AA1250" i="7"/>
  <c r="AA1249" i="7"/>
  <c r="AA1248" i="7"/>
  <c r="AA1247" i="7"/>
  <c r="AA1246" i="7"/>
  <c r="AA1245" i="7"/>
  <c r="AA1244" i="7"/>
  <c r="AA1243" i="7"/>
  <c r="AA1242" i="7"/>
  <c r="AA1241" i="7"/>
  <c r="AA1240" i="7"/>
  <c r="AA1239" i="7"/>
  <c r="AA1238" i="7"/>
  <c r="AA1237" i="7"/>
  <c r="AA1236" i="7"/>
  <c r="AA1235" i="7"/>
  <c r="AA1234" i="7"/>
  <c r="AA1233" i="7"/>
  <c r="AA1232" i="7"/>
  <c r="AA1231" i="7"/>
  <c r="AA1230" i="7"/>
  <c r="AA1229" i="7"/>
  <c r="AA1228" i="7"/>
  <c r="AA1227" i="7"/>
  <c r="AA1226" i="7"/>
  <c r="AA1225" i="7"/>
  <c r="AA1224" i="7"/>
  <c r="AA1223" i="7"/>
  <c r="AA1222" i="7"/>
  <c r="AA1221" i="7"/>
  <c r="AA1220" i="7"/>
  <c r="AA1219" i="7"/>
  <c r="AA1218" i="7"/>
  <c r="AA1217" i="7"/>
  <c r="AA1216" i="7"/>
  <c r="AA1215" i="7"/>
  <c r="AA1214" i="7"/>
  <c r="AA1213" i="7"/>
  <c r="AA1212" i="7"/>
  <c r="AA1211" i="7"/>
  <c r="AA1210" i="7"/>
  <c r="AA1209" i="7"/>
  <c r="AA1208" i="7"/>
  <c r="AA1207" i="7"/>
  <c r="AA1206" i="7"/>
  <c r="AA1205" i="7"/>
  <c r="AA1204" i="7"/>
  <c r="AA1203" i="7"/>
  <c r="AA1202" i="7"/>
  <c r="AA1201" i="7"/>
  <c r="AA1200" i="7"/>
  <c r="AA1199" i="7"/>
  <c r="AA1198" i="7"/>
  <c r="AA1197" i="7"/>
  <c r="AA1196" i="7"/>
  <c r="AA1195" i="7"/>
  <c r="AA1194" i="7"/>
  <c r="AA1193" i="7"/>
  <c r="AA1192" i="7"/>
  <c r="AA1191" i="7"/>
  <c r="AA1190" i="7"/>
  <c r="AA1189" i="7"/>
  <c r="AA1188" i="7"/>
  <c r="AA1187" i="7"/>
  <c r="AA1186" i="7"/>
  <c r="AA1185" i="7"/>
  <c r="AA1184" i="7"/>
  <c r="AA1183" i="7"/>
  <c r="AA1182" i="7"/>
  <c r="AA1181" i="7"/>
  <c r="AA1180" i="7"/>
  <c r="AA1179" i="7"/>
  <c r="AA1178" i="7"/>
  <c r="AA1177" i="7"/>
  <c r="AA1176" i="7"/>
  <c r="AA1175" i="7"/>
  <c r="AA1174" i="7"/>
  <c r="AA1173" i="7"/>
  <c r="AA1172" i="7"/>
  <c r="AA1171" i="7"/>
  <c r="AA1170" i="7"/>
  <c r="AA1169" i="7"/>
  <c r="AA1168" i="7"/>
  <c r="AA1167" i="7"/>
  <c r="AA1166" i="7"/>
  <c r="AA1165" i="7"/>
  <c r="AA1164" i="7"/>
  <c r="AA1163" i="7"/>
  <c r="AA1162" i="7"/>
  <c r="AA1161" i="7"/>
  <c r="AA1160" i="7"/>
  <c r="AA1159" i="7"/>
  <c r="AA1158" i="7"/>
  <c r="AA1157" i="7"/>
  <c r="AA1156" i="7"/>
  <c r="AA1155" i="7"/>
  <c r="AA1154" i="7"/>
  <c r="AA1153" i="7"/>
  <c r="AA1152" i="7"/>
  <c r="AA1151" i="7"/>
  <c r="AA1150" i="7"/>
  <c r="AA1149" i="7"/>
  <c r="AA1148" i="7"/>
  <c r="AA1147" i="7"/>
  <c r="AA1146" i="7"/>
  <c r="AA1145" i="7"/>
  <c r="AA1144" i="7"/>
  <c r="AA1143" i="7"/>
  <c r="AA1142" i="7"/>
  <c r="AA1141" i="7"/>
  <c r="AA1140" i="7"/>
  <c r="AA1139" i="7"/>
  <c r="AA1138" i="7"/>
  <c r="AA1137" i="7"/>
  <c r="AA1136" i="7"/>
  <c r="AA1135" i="7"/>
  <c r="AA1134" i="7"/>
  <c r="AA1133" i="7"/>
  <c r="AA1132" i="7"/>
  <c r="AA1131" i="7"/>
  <c r="AA1130" i="7"/>
  <c r="AA1129" i="7"/>
  <c r="AA1128" i="7"/>
  <c r="AA1127" i="7"/>
  <c r="AA1126" i="7"/>
  <c r="AA1125" i="7"/>
  <c r="AA1124" i="7"/>
  <c r="AA1123" i="7"/>
  <c r="AA1122" i="7"/>
  <c r="AA1121" i="7"/>
  <c r="AA1120" i="7"/>
  <c r="AA1119" i="7"/>
  <c r="AA1118" i="7"/>
  <c r="AA1117" i="7"/>
  <c r="AA1116" i="7"/>
  <c r="AA1115" i="7"/>
  <c r="AA1114" i="7"/>
  <c r="AA1113" i="7"/>
  <c r="AA1112" i="7"/>
  <c r="AA1111" i="7"/>
  <c r="AA1110" i="7"/>
  <c r="AA1109" i="7"/>
  <c r="AA1108" i="7"/>
  <c r="AA1107" i="7"/>
  <c r="AA1106" i="7"/>
  <c r="AA1105" i="7"/>
  <c r="AA1104" i="7"/>
  <c r="AA1103" i="7"/>
  <c r="AA1102" i="7"/>
  <c r="AA1101" i="7"/>
  <c r="AA1100" i="7"/>
  <c r="AA1099" i="7"/>
  <c r="AA1098" i="7"/>
  <c r="AA1097" i="7"/>
  <c r="AA1096" i="7"/>
  <c r="AA1095" i="7"/>
  <c r="AA1094" i="7"/>
  <c r="AA1093" i="7"/>
  <c r="AA1092" i="7"/>
  <c r="AA1091" i="7"/>
  <c r="AA1090" i="7"/>
  <c r="AA1089" i="7"/>
  <c r="AA1088" i="7"/>
  <c r="AA1087" i="7"/>
  <c r="AA1086" i="7"/>
  <c r="AA1085" i="7"/>
  <c r="AA1084" i="7"/>
  <c r="AA1083" i="7"/>
  <c r="AA1082" i="7"/>
  <c r="AA1081" i="7"/>
  <c r="AA1080" i="7"/>
  <c r="AA1079" i="7"/>
  <c r="AA1078" i="7"/>
  <c r="AA1077" i="7"/>
  <c r="AA1076" i="7"/>
  <c r="AA1075" i="7"/>
  <c r="AA1074" i="7"/>
  <c r="AA1073" i="7"/>
  <c r="AA1072" i="7"/>
  <c r="AA1071" i="7"/>
  <c r="AA1070" i="7"/>
  <c r="AA1069" i="7"/>
  <c r="AA1068" i="7"/>
  <c r="AA1067" i="7"/>
  <c r="AA1066" i="7"/>
  <c r="AA1065" i="7"/>
  <c r="AA1064" i="7"/>
  <c r="AA1063" i="7"/>
  <c r="AA1062" i="7"/>
  <c r="AA1061" i="7"/>
  <c r="AA1060" i="7"/>
  <c r="AA1059" i="7"/>
  <c r="AA1058" i="7"/>
  <c r="AA1057" i="7"/>
  <c r="AA1056" i="7"/>
  <c r="AA1055" i="7"/>
  <c r="AA1054" i="7"/>
  <c r="AA1053" i="7"/>
  <c r="AA1052" i="7"/>
  <c r="AA1051" i="7"/>
  <c r="AA1050" i="7"/>
  <c r="AA1049" i="7"/>
  <c r="AA1048" i="7"/>
  <c r="AA1047" i="7"/>
  <c r="AA1046" i="7"/>
  <c r="AA1045" i="7"/>
  <c r="AA1044" i="7"/>
  <c r="AA1043" i="7"/>
  <c r="AA1042" i="7"/>
  <c r="AA1041" i="7"/>
  <c r="AA1040" i="7"/>
  <c r="AA1039" i="7"/>
  <c r="AA1038" i="7"/>
  <c r="AA1037" i="7"/>
  <c r="AA1036" i="7"/>
  <c r="AA1035" i="7"/>
  <c r="AA1034" i="7"/>
  <c r="AA1033" i="7"/>
  <c r="AA1032" i="7"/>
  <c r="AA1031" i="7"/>
  <c r="AA1030" i="7"/>
  <c r="AA1029" i="7"/>
  <c r="AA1028" i="7"/>
  <c r="AA1027" i="7"/>
  <c r="AA1026" i="7"/>
  <c r="AA1025" i="7"/>
  <c r="AA1024" i="7"/>
  <c r="AA1023" i="7"/>
  <c r="AA1022" i="7"/>
  <c r="AA1021" i="7"/>
  <c r="AA1020" i="7"/>
  <c r="AA1019" i="7"/>
  <c r="AA1018" i="7"/>
  <c r="AA1017" i="7"/>
  <c r="AA1016" i="7"/>
  <c r="AA1015" i="7"/>
  <c r="AA1014" i="7"/>
  <c r="AA1013" i="7"/>
  <c r="AA1012" i="7"/>
  <c r="AA1011" i="7"/>
  <c r="AA1010" i="7"/>
  <c r="AA1009" i="7"/>
  <c r="AA1008" i="7"/>
  <c r="AA1007" i="7"/>
  <c r="AA1006" i="7"/>
  <c r="AA1005" i="7"/>
  <c r="AA1004" i="7"/>
  <c r="AA1003" i="7"/>
  <c r="AA1002" i="7"/>
  <c r="AA1001" i="7"/>
  <c r="AA1000" i="7"/>
  <c r="AA999" i="7"/>
  <c r="AA998" i="7"/>
  <c r="AA997" i="7"/>
  <c r="AA996" i="7"/>
  <c r="AA995" i="7"/>
  <c r="AA994" i="7"/>
  <c r="AA993" i="7"/>
  <c r="AA992" i="7"/>
  <c r="AA991" i="7"/>
  <c r="AA990" i="7"/>
  <c r="AA989" i="7"/>
  <c r="AA988" i="7"/>
  <c r="AA987" i="7"/>
  <c r="AA986" i="7"/>
  <c r="AA985" i="7"/>
  <c r="AA984" i="7"/>
  <c r="AA983" i="7"/>
  <c r="AA982" i="7"/>
  <c r="AA981" i="7"/>
  <c r="AA980" i="7"/>
  <c r="AA979" i="7"/>
  <c r="AA978" i="7"/>
  <c r="AA977" i="7"/>
  <c r="AA976" i="7"/>
  <c r="AA975" i="7"/>
  <c r="AA974" i="7"/>
  <c r="AA973" i="7"/>
  <c r="AA972" i="7"/>
  <c r="AA971" i="7"/>
  <c r="AA970" i="7"/>
  <c r="AA969" i="7"/>
  <c r="AA968" i="7"/>
  <c r="AA967" i="7"/>
  <c r="AA966" i="7"/>
  <c r="AA965" i="7"/>
  <c r="AA964" i="7"/>
  <c r="AA963" i="7"/>
  <c r="AA962" i="7"/>
  <c r="AA961" i="7"/>
  <c r="AA960" i="7"/>
  <c r="AA959" i="7"/>
  <c r="AA958" i="7"/>
  <c r="AA957" i="7"/>
  <c r="AA956" i="7"/>
  <c r="AA955" i="7"/>
  <c r="AA954" i="7"/>
  <c r="AA953" i="7"/>
  <c r="AA952" i="7"/>
  <c r="AA951" i="7"/>
  <c r="AA950" i="7"/>
  <c r="AA949" i="7"/>
  <c r="AA948" i="7"/>
  <c r="AA947" i="7"/>
  <c r="AA946" i="7"/>
  <c r="AA945" i="7"/>
  <c r="AA944" i="7"/>
  <c r="AA943" i="7"/>
  <c r="AA942" i="7"/>
  <c r="AA941" i="7"/>
  <c r="AA940" i="7"/>
  <c r="AA939" i="7"/>
  <c r="AA938" i="7"/>
  <c r="AA937" i="7"/>
  <c r="AA936" i="7"/>
  <c r="AA935" i="7"/>
  <c r="AA934" i="7"/>
  <c r="AA933" i="7"/>
  <c r="AA932" i="7"/>
  <c r="AA931" i="7"/>
  <c r="AA930" i="7"/>
  <c r="AA929" i="7"/>
  <c r="AA928" i="7"/>
  <c r="AA927" i="7"/>
  <c r="AA926" i="7"/>
  <c r="AA925" i="7"/>
  <c r="AA924" i="7"/>
  <c r="AA923" i="7"/>
  <c r="AA922" i="7"/>
  <c r="AA921" i="7"/>
  <c r="AA920" i="7"/>
  <c r="AA919" i="7"/>
  <c r="AA918" i="7"/>
  <c r="AA917" i="7"/>
  <c r="AA916" i="7"/>
  <c r="AA915" i="7"/>
  <c r="AA914" i="7"/>
  <c r="AA913" i="7"/>
  <c r="AA912" i="7"/>
  <c r="AA911" i="7"/>
  <c r="AA910" i="7"/>
  <c r="AA909" i="7"/>
  <c r="AA908" i="7"/>
  <c r="AA907" i="7"/>
  <c r="AA906" i="7"/>
  <c r="AA905" i="7"/>
  <c r="AA904" i="7"/>
  <c r="AA903" i="7"/>
  <c r="AA902" i="7"/>
  <c r="AA901" i="7"/>
  <c r="AA900" i="7"/>
  <c r="AA899" i="7"/>
  <c r="AA898" i="7"/>
  <c r="AA897" i="7"/>
  <c r="AA896" i="7"/>
  <c r="AA895" i="7"/>
  <c r="AA894" i="7"/>
  <c r="AA893" i="7"/>
  <c r="AA892" i="7"/>
  <c r="AA891" i="7"/>
  <c r="AA890" i="7"/>
  <c r="AA889" i="7"/>
  <c r="AA888" i="7"/>
  <c r="AA887" i="7"/>
  <c r="AA886" i="7"/>
  <c r="AA885" i="7"/>
  <c r="AA884" i="7"/>
  <c r="AA883" i="7"/>
  <c r="AA882" i="7"/>
  <c r="AA881" i="7"/>
  <c r="AA880" i="7"/>
  <c r="AA879" i="7"/>
  <c r="AA878" i="7"/>
  <c r="AA877" i="7"/>
  <c r="AA876" i="7"/>
  <c r="AA875" i="7"/>
  <c r="AA874" i="7"/>
  <c r="AA873" i="7"/>
  <c r="AA872" i="7"/>
  <c r="AA871" i="7"/>
  <c r="AA870" i="7"/>
  <c r="AA869" i="7"/>
  <c r="AA868" i="7"/>
  <c r="AA867" i="7"/>
  <c r="AA866" i="7"/>
  <c r="AA865" i="7"/>
  <c r="AA864" i="7"/>
  <c r="AA863" i="7"/>
  <c r="AA862" i="7"/>
  <c r="AA861" i="7"/>
  <c r="AA860" i="7"/>
  <c r="AA859" i="7"/>
  <c r="AA858" i="7"/>
  <c r="AA857" i="7"/>
  <c r="AA856" i="7"/>
  <c r="AA855" i="7"/>
  <c r="AA854" i="7"/>
  <c r="AA853" i="7"/>
  <c r="AA852" i="7"/>
  <c r="AA851" i="7"/>
  <c r="AA850" i="7"/>
  <c r="AA849" i="7"/>
  <c r="AA848" i="7"/>
  <c r="AA847" i="7"/>
  <c r="AA846" i="7"/>
  <c r="AA845" i="7"/>
  <c r="AA844" i="7"/>
  <c r="AA843" i="7"/>
  <c r="AA842" i="7"/>
  <c r="AA841" i="7"/>
  <c r="AA840" i="7"/>
  <c r="AA839" i="7"/>
  <c r="AA838" i="7"/>
  <c r="AA837" i="7"/>
  <c r="AA836" i="7"/>
  <c r="AA835" i="7"/>
  <c r="AA834" i="7"/>
  <c r="AA833" i="7"/>
  <c r="AA832" i="7"/>
  <c r="AA831" i="7"/>
  <c r="AA830" i="7"/>
  <c r="AA829" i="7"/>
  <c r="AA828" i="7"/>
  <c r="AA827" i="7"/>
  <c r="AA826" i="7"/>
  <c r="AA825" i="7"/>
  <c r="AA824" i="7"/>
  <c r="AA823" i="7"/>
  <c r="AA822" i="7"/>
  <c r="AA821" i="7"/>
  <c r="AA820" i="7"/>
  <c r="AA819" i="7"/>
  <c r="AA818" i="7"/>
  <c r="AA817" i="7"/>
  <c r="AA816" i="7"/>
  <c r="AA815" i="7"/>
  <c r="AA814" i="7"/>
  <c r="AA813" i="7"/>
  <c r="AA812" i="7"/>
  <c r="AA811" i="7"/>
  <c r="AA810" i="7"/>
  <c r="AA809" i="7"/>
  <c r="AA808" i="7"/>
  <c r="AA807" i="7"/>
  <c r="AA806" i="7"/>
  <c r="AA805" i="7"/>
  <c r="AA804" i="7"/>
  <c r="AA803" i="7"/>
  <c r="AA802" i="7"/>
  <c r="AA801" i="7"/>
  <c r="AA800" i="7"/>
  <c r="AA799" i="7"/>
  <c r="AA798" i="7"/>
  <c r="AA797" i="7"/>
  <c r="AA796" i="7"/>
  <c r="AA795" i="7"/>
  <c r="AA794" i="7"/>
  <c r="AA793" i="7"/>
  <c r="AA792" i="7"/>
  <c r="AA791" i="7"/>
  <c r="AA790" i="7"/>
  <c r="AA789" i="7"/>
  <c r="AA788" i="7"/>
  <c r="AA787" i="7"/>
  <c r="AA786" i="7"/>
  <c r="AA785" i="7"/>
  <c r="AA784" i="7"/>
  <c r="AA783" i="7"/>
  <c r="AA782" i="7"/>
  <c r="AA781" i="7"/>
  <c r="AA780" i="7"/>
  <c r="AA779" i="7"/>
  <c r="AA778" i="7"/>
  <c r="AA777" i="7"/>
  <c r="AA776" i="7"/>
  <c r="AA775" i="7"/>
  <c r="AA774" i="7"/>
  <c r="AA773" i="7"/>
  <c r="AA772" i="7"/>
  <c r="AA771" i="7"/>
  <c r="AA770" i="7"/>
  <c r="AA769" i="7"/>
  <c r="AA768" i="7"/>
  <c r="AA767" i="7"/>
  <c r="AA766" i="7"/>
  <c r="AA765" i="7"/>
  <c r="AA764" i="7"/>
  <c r="AA763" i="7"/>
  <c r="AA762" i="7"/>
  <c r="AA761" i="7"/>
  <c r="AA760" i="7"/>
  <c r="AA759" i="7"/>
  <c r="AA758" i="7"/>
  <c r="AA757" i="7"/>
  <c r="AA756" i="7"/>
  <c r="AA755" i="7"/>
  <c r="AA754" i="7"/>
  <c r="AA753" i="7"/>
  <c r="AA752" i="7"/>
  <c r="AA751" i="7"/>
  <c r="AA750" i="7"/>
  <c r="AA749" i="7"/>
  <c r="AA748" i="7"/>
  <c r="AA747" i="7"/>
  <c r="AA746" i="7"/>
  <c r="AA745" i="7"/>
  <c r="AA744" i="7"/>
  <c r="AA743" i="7"/>
  <c r="AA742" i="7"/>
  <c r="AA741" i="7"/>
  <c r="AA740" i="7"/>
  <c r="AA739" i="7"/>
  <c r="AA738" i="7"/>
  <c r="AA737" i="7"/>
  <c r="AA736" i="7"/>
  <c r="AA735" i="7"/>
  <c r="AA734" i="7"/>
  <c r="AA733" i="7"/>
  <c r="AA732" i="7"/>
  <c r="AA731" i="7"/>
  <c r="AA730" i="7"/>
  <c r="AA729" i="7"/>
  <c r="AA728" i="7"/>
  <c r="AA727" i="7"/>
  <c r="AA726" i="7"/>
  <c r="AA725" i="7"/>
  <c r="AA724" i="7"/>
  <c r="AA723" i="7"/>
  <c r="AA722" i="7"/>
  <c r="AA721" i="7"/>
  <c r="AA720" i="7"/>
  <c r="AA719" i="7"/>
  <c r="AA718" i="7"/>
  <c r="AA717" i="7"/>
  <c r="AA716" i="7"/>
  <c r="AA715" i="7"/>
  <c r="AA714" i="7"/>
  <c r="AA713" i="7"/>
  <c r="AA712" i="7"/>
  <c r="AA711" i="7"/>
  <c r="AA710" i="7"/>
  <c r="AA709" i="7"/>
  <c r="AA708" i="7"/>
  <c r="AA707" i="7"/>
  <c r="AA706" i="7"/>
  <c r="AA705" i="7"/>
  <c r="AA704" i="7"/>
  <c r="AA703" i="7"/>
  <c r="AA702" i="7"/>
  <c r="AA701" i="7"/>
  <c r="AA700" i="7"/>
  <c r="AA699" i="7"/>
  <c r="AA698" i="7"/>
  <c r="AA697" i="7"/>
  <c r="AA696" i="7"/>
  <c r="AA695" i="7"/>
  <c r="AA694" i="7"/>
  <c r="AA693" i="7"/>
  <c r="AA692" i="7"/>
  <c r="AA691" i="7"/>
  <c r="AA690" i="7"/>
  <c r="AA689" i="7"/>
  <c r="AA688" i="7"/>
  <c r="AA687" i="7"/>
  <c r="AA686" i="7"/>
  <c r="AA685" i="7"/>
  <c r="AA684" i="7"/>
  <c r="AA683" i="7"/>
  <c r="AA682" i="7"/>
  <c r="AA681" i="7"/>
  <c r="AA680" i="7"/>
  <c r="AA679" i="7"/>
  <c r="AA678" i="7"/>
  <c r="AA677" i="7"/>
  <c r="AA676" i="7"/>
  <c r="AA675" i="7"/>
  <c r="AA674" i="7"/>
  <c r="AA672" i="7"/>
  <c r="AA668" i="7"/>
  <c r="AA667" i="7"/>
  <c r="AA666" i="7"/>
  <c r="AA665" i="7"/>
  <c r="AA664" i="7"/>
  <c r="AA663" i="7"/>
  <c r="AA662" i="7"/>
  <c r="AA661" i="7"/>
  <c r="AA660" i="7"/>
  <c r="AA659" i="7"/>
  <c r="AA658" i="7"/>
  <c r="AA657" i="7"/>
  <c r="AA656" i="7"/>
  <c r="AA655" i="7"/>
  <c r="AA654" i="7"/>
  <c r="AA653" i="7"/>
  <c r="AA652" i="7"/>
  <c r="AA651" i="7"/>
  <c r="AA650" i="7"/>
  <c r="AA646" i="7"/>
  <c r="AA645" i="7"/>
  <c r="AA644" i="7"/>
  <c r="AA643" i="7"/>
  <c r="AA642" i="7"/>
  <c r="AA638" i="7"/>
  <c r="AA637" i="7"/>
  <c r="AA636" i="7"/>
  <c r="AA635" i="7"/>
  <c r="AA634" i="7"/>
  <c r="AA633" i="7"/>
  <c r="AA632" i="7"/>
  <c r="AA631" i="7"/>
  <c r="AA630" i="7"/>
  <c r="AA629" i="7"/>
  <c r="AA628" i="7"/>
  <c r="AA627" i="7"/>
  <c r="AA626" i="7"/>
  <c r="AA623" i="7"/>
  <c r="AA622" i="7"/>
  <c r="AA620" i="7"/>
  <c r="AA619" i="7"/>
  <c r="AA618" i="7"/>
  <c r="AA617" i="7"/>
  <c r="AA616" i="7"/>
  <c r="AA613" i="7"/>
  <c r="AA612" i="7"/>
  <c r="AA609" i="7"/>
  <c r="AA606" i="7"/>
  <c r="AA605" i="7"/>
  <c r="AA604" i="7"/>
  <c r="AA603" i="7"/>
  <c r="AA602" i="7"/>
  <c r="AA601" i="7"/>
  <c r="AA600" i="7"/>
  <c r="AA599" i="7"/>
  <c r="AA598" i="7"/>
  <c r="AA597" i="7"/>
  <c r="AA596" i="7"/>
  <c r="AA595" i="7"/>
  <c r="AA594" i="7"/>
  <c r="AA593" i="7"/>
  <c r="AA592" i="7"/>
  <c r="AA591" i="7"/>
  <c r="AA590" i="7"/>
  <c r="AA589" i="7"/>
  <c r="AA588" i="7"/>
  <c r="AA587" i="7"/>
  <c r="AA586" i="7"/>
  <c r="AA585" i="7"/>
  <c r="AA584" i="7"/>
  <c r="AA583" i="7"/>
  <c r="AA582" i="7"/>
  <c r="AA581" i="7"/>
  <c r="AA580" i="7"/>
  <c r="AA579" i="7"/>
  <c r="AA578" i="7"/>
  <c r="AA577" i="7"/>
  <c r="AA576" i="7"/>
  <c r="AA575" i="7"/>
  <c r="AA574" i="7"/>
  <c r="AA573" i="7"/>
  <c r="AA572" i="7"/>
  <c r="AA570" i="7"/>
  <c r="AA568" i="7"/>
  <c r="AA567" i="7"/>
  <c r="AA565" i="7"/>
  <c r="AA564" i="7"/>
  <c r="AA563" i="7"/>
  <c r="AA562" i="7"/>
  <c r="AA561" i="7"/>
  <c r="AA560" i="7"/>
  <c r="AA559" i="7"/>
  <c r="AA558" i="7"/>
  <c r="AA557" i="7"/>
  <c r="AA556" i="7"/>
  <c r="AA554" i="7"/>
  <c r="AA553" i="7"/>
  <c r="AA552" i="7"/>
  <c r="AA550" i="7"/>
  <c r="AA549" i="7"/>
  <c r="AA548" i="7"/>
  <c r="AA547" i="7"/>
  <c r="AA546" i="7"/>
  <c r="AA545" i="7"/>
  <c r="AA544" i="7"/>
  <c r="AA543" i="7"/>
  <c r="AA542" i="7"/>
  <c r="AA541" i="7"/>
  <c r="AA540" i="7"/>
  <c r="AA539" i="7"/>
  <c r="AA538" i="7"/>
  <c r="AA537" i="7"/>
  <c r="AA536" i="7"/>
  <c r="AA534" i="7"/>
  <c r="AA533" i="7"/>
  <c r="AA530" i="7"/>
  <c r="AA528" i="7"/>
  <c r="AA527" i="7"/>
  <c r="AA526" i="7"/>
  <c r="AA525" i="7"/>
  <c r="AA524" i="7"/>
  <c r="AA521" i="7"/>
  <c r="AA520" i="7"/>
  <c r="AA517" i="7"/>
  <c r="AA516" i="7"/>
  <c r="AA515" i="7"/>
  <c r="AA512" i="7"/>
  <c r="AA508" i="7"/>
  <c r="AA507" i="7"/>
  <c r="AA506" i="7"/>
  <c r="AA504" i="7"/>
  <c r="AA502" i="7"/>
  <c r="AA501" i="7"/>
  <c r="AA500" i="7"/>
  <c r="AA499" i="7"/>
  <c r="AA498" i="7"/>
  <c r="AA497" i="7"/>
  <c r="AA496" i="7"/>
  <c r="AA495" i="7"/>
  <c r="AA493" i="7"/>
  <c r="AA492" i="7"/>
  <c r="AA490" i="7"/>
  <c r="AA489" i="7"/>
  <c r="AA487" i="7"/>
  <c r="AA485" i="7"/>
  <c r="AA484" i="7"/>
  <c r="AA483" i="7"/>
  <c r="AA482" i="7"/>
  <c r="AA481" i="7"/>
  <c r="AA480" i="7"/>
  <c r="AA479" i="7"/>
  <c r="AA478" i="7"/>
  <c r="AA477" i="7"/>
  <c r="AA476" i="7"/>
  <c r="AA475" i="7"/>
  <c r="AA474" i="7"/>
  <c r="AA473" i="7"/>
  <c r="AA472" i="7"/>
  <c r="AA471" i="7"/>
  <c r="AA470" i="7"/>
  <c r="AA469" i="7"/>
  <c r="AA468" i="7"/>
  <c r="AA467" i="7"/>
  <c r="AA466" i="7"/>
  <c r="AA465" i="7"/>
  <c r="AA464" i="7"/>
  <c r="AA463" i="7"/>
  <c r="AA462" i="7"/>
  <c r="AA461" i="7"/>
  <c r="AA459" i="7"/>
  <c r="AA458" i="7"/>
  <c r="AA457" i="7"/>
  <c r="AA456" i="7"/>
  <c r="AA455" i="7"/>
  <c r="AA454" i="7"/>
  <c r="AA453" i="7"/>
  <c r="AA452" i="7"/>
  <c r="AA451" i="7"/>
  <c r="AA450" i="7"/>
  <c r="AA449" i="7"/>
  <c r="AA448" i="7"/>
  <c r="AA447" i="7"/>
  <c r="AA446" i="7"/>
  <c r="AA445" i="7"/>
  <c r="AA444" i="7"/>
  <c r="AA443" i="7"/>
  <c r="AA442" i="7"/>
  <c r="AA441" i="7"/>
  <c r="AA440" i="7"/>
  <c r="AA438" i="7"/>
  <c r="AA437" i="7"/>
  <c r="AA436" i="7"/>
  <c r="AA435" i="7"/>
  <c r="AA434" i="7"/>
  <c r="AA433" i="7"/>
  <c r="AA432" i="7"/>
  <c r="AA431" i="7"/>
  <c r="AA430" i="7"/>
  <c r="AA429" i="7"/>
  <c r="AA428" i="7"/>
  <c r="AA427" i="7"/>
  <c r="AA426" i="7"/>
  <c r="AA425" i="7"/>
  <c r="AA424" i="7"/>
  <c r="AA423" i="7"/>
  <c r="AA422" i="7"/>
  <c r="AA421" i="7"/>
  <c r="AA420" i="7"/>
  <c r="AA419" i="7"/>
  <c r="AA418" i="7"/>
  <c r="AA417" i="7"/>
  <c r="AA416" i="7"/>
  <c r="AA415" i="7"/>
  <c r="AA414" i="7"/>
  <c r="AA413" i="7"/>
  <c r="AA412" i="7"/>
  <c r="AA411" i="7"/>
  <c r="AA410" i="7"/>
  <c r="AA409" i="7"/>
  <c r="AA408" i="7"/>
  <c r="AA407" i="7"/>
  <c r="AA406" i="7"/>
  <c r="AA405" i="7"/>
  <c r="AA404" i="7"/>
  <c r="AA403" i="7"/>
  <c r="AA402" i="7"/>
  <c r="AA401" i="7"/>
  <c r="AA400" i="7"/>
  <c r="AA399" i="7"/>
  <c r="AA398" i="7"/>
  <c r="AA397" i="7"/>
  <c r="AA396" i="7"/>
  <c r="AA395" i="7"/>
  <c r="AA394" i="7"/>
  <c r="AA393" i="7"/>
  <c r="AA392" i="7"/>
  <c r="AA391" i="7"/>
  <c r="AA390" i="7"/>
  <c r="AA389" i="7"/>
  <c r="AA388" i="7"/>
  <c r="AA387" i="7"/>
  <c r="AA386" i="7"/>
  <c r="AA385" i="7"/>
  <c r="AA384" i="7"/>
  <c r="AA383" i="7"/>
  <c r="AA382" i="7"/>
  <c r="AA381" i="7"/>
  <c r="AA380" i="7"/>
  <c r="AA379" i="7"/>
  <c r="AA378" i="7"/>
  <c r="AA376" i="7"/>
  <c r="AA375" i="7"/>
  <c r="AA374" i="7"/>
  <c r="AA373" i="7"/>
  <c r="AA372" i="7"/>
  <c r="AA371" i="7"/>
  <c r="AA370" i="7"/>
  <c r="AA369" i="7"/>
  <c r="AA368" i="7"/>
  <c r="AA367" i="7"/>
  <c r="AA366" i="7"/>
  <c r="AA365" i="7"/>
  <c r="AA364" i="7"/>
  <c r="AA363" i="7"/>
  <c r="AA362" i="7"/>
  <c r="AA361" i="7"/>
  <c r="AA360" i="7"/>
  <c r="AA359" i="7"/>
  <c r="AA358" i="7"/>
  <c r="AA357" i="7"/>
  <c r="AA356" i="7"/>
  <c r="AA355" i="7"/>
  <c r="AA354" i="7"/>
  <c r="AA353" i="7"/>
  <c r="AA352" i="7"/>
  <c r="AA351" i="7"/>
  <c r="AA350" i="7"/>
  <c r="AA349" i="7"/>
  <c r="AA348" i="7"/>
  <c r="AA347" i="7"/>
  <c r="AA346" i="7"/>
  <c r="AA345" i="7"/>
  <c r="AA344" i="7"/>
  <c r="AA343" i="7"/>
  <c r="AA342" i="7"/>
  <c r="AA341" i="7"/>
  <c r="AA340" i="7"/>
  <c r="AA339" i="7"/>
  <c r="AA338" i="7"/>
  <c r="AA337" i="7"/>
  <c r="AA336" i="7"/>
  <c r="AA335" i="7"/>
  <c r="AA334" i="7"/>
  <c r="AA333" i="7"/>
  <c r="AA332" i="7"/>
  <c r="AA331" i="7"/>
  <c r="AA330" i="7"/>
  <c r="AA329" i="7"/>
  <c r="AA328" i="7"/>
  <c r="AA327" i="7"/>
  <c r="AA326" i="7"/>
  <c r="AA325" i="7"/>
  <c r="AA324" i="7"/>
  <c r="AA323" i="7"/>
  <c r="AA322" i="7"/>
  <c r="AA321" i="7"/>
  <c r="AA320" i="7"/>
  <c r="AA319" i="7"/>
  <c r="AA318" i="7"/>
  <c r="AA317" i="7"/>
  <c r="AA316" i="7"/>
  <c r="AA315" i="7"/>
  <c r="AA314" i="7"/>
  <c r="AA313" i="7"/>
  <c r="AA312" i="7"/>
  <c r="AA311" i="7"/>
  <c r="AA310" i="7"/>
  <c r="AA309" i="7"/>
  <c r="AA308" i="7"/>
  <c r="AA307" i="7"/>
  <c r="AA306" i="7"/>
  <c r="AA305" i="7"/>
  <c r="AA304" i="7"/>
  <c r="AA303" i="7"/>
  <c r="AA302" i="7"/>
  <c r="AA301" i="7"/>
  <c r="AA300" i="7"/>
  <c r="AA299" i="7"/>
  <c r="AA298" i="7"/>
  <c r="AA297" i="7"/>
  <c r="AA295" i="7"/>
  <c r="AA294" i="7"/>
  <c r="AA293" i="7"/>
  <c r="AA292" i="7"/>
  <c r="AA291" i="7"/>
  <c r="AA290" i="7"/>
  <c r="AA289" i="7"/>
  <c r="AA288" i="7"/>
  <c r="AA287" i="7"/>
  <c r="AA286" i="7"/>
  <c r="AA285" i="7"/>
  <c r="AA284" i="7"/>
  <c r="AA283" i="7"/>
  <c r="AA282" i="7"/>
  <c r="AA281" i="7"/>
  <c r="AA280" i="7"/>
  <c r="AA279" i="7"/>
  <c r="AA278" i="7"/>
  <c r="AA277" i="7"/>
  <c r="AA276" i="7"/>
  <c r="AA275" i="7"/>
  <c r="AA274" i="7"/>
  <c r="AA273" i="7"/>
  <c r="AA272" i="7"/>
  <c r="AA271" i="7"/>
  <c r="AA270" i="7"/>
  <c r="AA269" i="7"/>
  <c r="AA268" i="7"/>
  <c r="AA267" i="7"/>
  <c r="AA266" i="7"/>
  <c r="AA265" i="7"/>
  <c r="AA264" i="7"/>
  <c r="AA263" i="7"/>
  <c r="AA262" i="7"/>
  <c r="AA261" i="7"/>
  <c r="AA260" i="7"/>
  <c r="AA259" i="7"/>
  <c r="AA258" i="7"/>
  <c r="AA257" i="7"/>
  <c r="AA256" i="7"/>
  <c r="AA255" i="7"/>
  <c r="AA254" i="7"/>
  <c r="AA253" i="7"/>
  <c r="AA252" i="7"/>
  <c r="AA251" i="7"/>
  <c r="AA250" i="7"/>
  <c r="AA249" i="7"/>
  <c r="AA248" i="7"/>
  <c r="AA247" i="7"/>
  <c r="AA246" i="7"/>
  <c r="AA245" i="7"/>
  <c r="AA244" i="7"/>
  <c r="AA243" i="7"/>
  <c r="AA242" i="7"/>
  <c r="AA241" i="7"/>
  <c r="AA238" i="7"/>
  <c r="AA237" i="7"/>
  <c r="AA236" i="7"/>
  <c r="AA235" i="7"/>
  <c r="AA234" i="7"/>
  <c r="AA233" i="7"/>
  <c r="AA230" i="7"/>
  <c r="AA229" i="7"/>
  <c r="AA228" i="7"/>
  <c r="AA227" i="7"/>
  <c r="AA226" i="7"/>
  <c r="AA224" i="7"/>
  <c r="AA223" i="7"/>
  <c r="AA222" i="7"/>
  <c r="AA221" i="7"/>
  <c r="AA220" i="7"/>
  <c r="AA219" i="7"/>
  <c r="AA218" i="7"/>
  <c r="AA217" i="7"/>
  <c r="AA216" i="7"/>
  <c r="AA215" i="7"/>
  <c r="AA214" i="7"/>
  <c r="AA213" i="7"/>
  <c r="AA212" i="7"/>
  <c r="AA211" i="7"/>
  <c r="AA210" i="7"/>
  <c r="AA209" i="7"/>
  <c r="AA208" i="7"/>
  <c r="AA207" i="7"/>
  <c r="AA206" i="7"/>
  <c r="AA205" i="7"/>
  <c r="AA204" i="7"/>
  <c r="AA203" i="7"/>
  <c r="AA202" i="7"/>
  <c r="AA201" i="7"/>
  <c r="AA200" i="7"/>
  <c r="AA199" i="7"/>
  <c r="AA198" i="7"/>
  <c r="AA197" i="7"/>
  <c r="AA196" i="7"/>
  <c r="AA195" i="7"/>
  <c r="AA194" i="7"/>
  <c r="AA193" i="7"/>
  <c r="AA192" i="7"/>
  <c r="AA191" i="7"/>
  <c r="AA190" i="7"/>
  <c r="AA189" i="7"/>
  <c r="AA188" i="7"/>
  <c r="AA187" i="7"/>
  <c r="AA186" i="7"/>
  <c r="AA185" i="7"/>
  <c r="AA183" i="7"/>
  <c r="AA182" i="7"/>
  <c r="AA181" i="7"/>
  <c r="AA180" i="7"/>
  <c r="AA179" i="7"/>
  <c r="AA178" i="7"/>
  <c r="AA177" i="7"/>
  <c r="AA176" i="7"/>
  <c r="AA173" i="7"/>
  <c r="AA164" i="7"/>
  <c r="AA163" i="7"/>
  <c r="AA162" i="7"/>
  <c r="AA161" i="7"/>
  <c r="AA160" i="7"/>
  <c r="AA159" i="7"/>
  <c r="AA158" i="7"/>
  <c r="AA157" i="7"/>
  <c r="AA156" i="7"/>
  <c r="AA155" i="7"/>
  <c r="AA154" i="7"/>
  <c r="AA153" i="7"/>
  <c r="AA149" i="7"/>
  <c r="AA148" i="7"/>
  <c r="AA147" i="7"/>
  <c r="AA146" i="7"/>
  <c r="AA145" i="7"/>
  <c r="AA144" i="7"/>
  <c r="AA143" i="7"/>
  <c r="AA142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117" i="7"/>
  <c r="AA116" i="7"/>
  <c r="AA115" i="7"/>
  <c r="AA114" i="7"/>
  <c r="AA113" i="7"/>
  <c r="AA112" i="7"/>
  <c r="AA111" i="7"/>
  <c r="AA110" i="7"/>
  <c r="AA109" i="7"/>
  <c r="AA108" i="7"/>
  <c r="AA107" i="7"/>
  <c r="AA106" i="7"/>
  <c r="AA105" i="7"/>
  <c r="AA104" i="7"/>
  <c r="AA103" i="7"/>
  <c r="AA102" i="7"/>
  <c r="AA101" i="7"/>
  <c r="AA100" i="7"/>
  <c r="AA99" i="7"/>
  <c r="AA98" i="7"/>
  <c r="AA97" i="7"/>
  <c r="AA96" i="7"/>
  <c r="AA95" i="7"/>
  <c r="AA89" i="7"/>
  <c r="AA87" i="7"/>
  <c r="AA86" i="7"/>
  <c r="AA79" i="7"/>
  <c r="AA77" i="7"/>
  <c r="AA76" i="7"/>
  <c r="AA70" i="7"/>
  <c r="AA69" i="7"/>
  <c r="AA68" i="7"/>
  <c r="AA67" i="7"/>
  <c r="AA66" i="7"/>
  <c r="AA65" i="7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Z1972" i="7"/>
  <c r="Z1971" i="7"/>
  <c r="Z1970" i="7"/>
  <c r="Z1969" i="7"/>
  <c r="Z1968" i="7"/>
  <c r="Z1967" i="7"/>
  <c r="Z1966" i="7"/>
  <c r="Z1965" i="7"/>
  <c r="Z1964" i="7"/>
  <c r="Z1963" i="7"/>
  <c r="Z1962" i="7"/>
  <c r="Z1961" i="7"/>
  <c r="Z1960" i="7"/>
  <c r="Z1959" i="7"/>
  <c r="Z1958" i="7"/>
  <c r="Z1957" i="7"/>
  <c r="Z1956" i="7"/>
  <c r="Z1955" i="7"/>
  <c r="Z1954" i="7"/>
  <c r="Z1953" i="7"/>
  <c r="Z1952" i="7"/>
  <c r="Z1951" i="7"/>
  <c r="Z1950" i="7"/>
  <c r="Z1949" i="7"/>
  <c r="Z1948" i="7"/>
  <c r="Z1947" i="7"/>
  <c r="Z1946" i="7"/>
  <c r="Z1945" i="7"/>
  <c r="Z1944" i="7"/>
  <c r="Z1943" i="7"/>
  <c r="Z1942" i="7"/>
  <c r="Z1941" i="7"/>
  <c r="Z1940" i="7"/>
  <c r="Z1939" i="7"/>
  <c r="Z1938" i="7"/>
  <c r="Z1937" i="7"/>
  <c r="Z1936" i="7"/>
  <c r="Z1935" i="7"/>
  <c r="Z1934" i="7"/>
  <c r="Z1933" i="7"/>
  <c r="Z1932" i="7"/>
  <c r="Z1931" i="7"/>
  <c r="Z1930" i="7"/>
  <c r="Z1929" i="7"/>
  <c r="Z1928" i="7"/>
  <c r="Z1927" i="7"/>
  <c r="Z1926" i="7"/>
  <c r="Z1925" i="7"/>
  <c r="Z1924" i="7"/>
  <c r="Z1923" i="7"/>
  <c r="Z1922" i="7"/>
  <c r="Z1921" i="7"/>
  <c r="Z1920" i="7"/>
  <c r="Z1919" i="7"/>
  <c r="Z1918" i="7"/>
  <c r="Z1917" i="7"/>
  <c r="Z1916" i="7"/>
  <c r="Z1915" i="7"/>
  <c r="Z1914" i="7"/>
  <c r="Z1913" i="7"/>
  <c r="Z1912" i="7"/>
  <c r="Z1910" i="7"/>
  <c r="Z1909" i="7"/>
  <c r="Z1908" i="7"/>
  <c r="Z1907" i="7"/>
  <c r="Z1906" i="7"/>
  <c r="Z1905" i="7"/>
  <c r="Z1904" i="7"/>
  <c r="Z1903" i="7"/>
  <c r="Z1902" i="7"/>
  <c r="Z1901" i="7"/>
  <c r="Z1900" i="7"/>
  <c r="Z1899" i="7"/>
  <c r="Z1898" i="7"/>
  <c r="Z1897" i="7"/>
  <c r="Z1896" i="7"/>
  <c r="Z1895" i="7"/>
  <c r="Z1894" i="7"/>
  <c r="Z1893" i="7"/>
  <c r="Z1892" i="7"/>
  <c r="Z1891" i="7"/>
  <c r="Z1890" i="7"/>
  <c r="Z1889" i="7"/>
  <c r="Z1886" i="7"/>
  <c r="Z1885" i="7"/>
  <c r="Z1884" i="7"/>
  <c r="Z1881" i="7"/>
  <c r="Z1880" i="7"/>
  <c r="Z1879" i="7"/>
  <c r="Z1878" i="7"/>
  <c r="Z1877" i="7"/>
  <c r="Z1876" i="7"/>
  <c r="Z1875" i="7"/>
  <c r="Z1874" i="7"/>
  <c r="Z1873" i="7"/>
  <c r="Z1872" i="7"/>
  <c r="Z1871" i="7"/>
  <c r="Z1870" i="7"/>
  <c r="Z1869" i="7"/>
  <c r="Z1868" i="7"/>
  <c r="Z1867" i="7"/>
  <c r="Z1866" i="7"/>
  <c r="Z1865" i="7"/>
  <c r="Z1864" i="7"/>
  <c r="Z1863" i="7"/>
  <c r="Z1862" i="7"/>
  <c r="Z1861" i="7"/>
  <c r="Z1860" i="7"/>
  <c r="Z1859" i="7"/>
  <c r="Z1858" i="7"/>
  <c r="Z1857" i="7"/>
  <c r="Z1856" i="7"/>
  <c r="Z1855" i="7"/>
  <c r="Z1854" i="7"/>
  <c r="Z1853" i="7"/>
  <c r="Z1852" i="7"/>
  <c r="Z1851" i="7"/>
  <c r="Z1850" i="7"/>
  <c r="Z1849" i="7"/>
  <c r="Z1848" i="7"/>
  <c r="Z1847" i="7"/>
  <c r="Z1846" i="7"/>
  <c r="Z1845" i="7"/>
  <c r="Z1844" i="7"/>
  <c r="Z1843" i="7"/>
  <c r="Z1842" i="7"/>
  <c r="Z1841" i="7"/>
  <c r="Z1840" i="7"/>
  <c r="Z1839" i="7"/>
  <c r="Z1838" i="7"/>
  <c r="Z1837" i="7"/>
  <c r="Z1836" i="7"/>
  <c r="Z1835" i="7"/>
  <c r="Z1834" i="7"/>
  <c r="Z1833" i="7"/>
  <c r="Z1832" i="7"/>
  <c r="Z1831" i="7"/>
  <c r="Z1830" i="7"/>
  <c r="Z1829" i="7"/>
  <c r="Z1828" i="7"/>
  <c r="Z1827" i="7"/>
  <c r="Z1826" i="7"/>
  <c r="Z1825" i="7"/>
  <c r="Z1824" i="7"/>
  <c r="Z1823" i="7"/>
  <c r="Z1822" i="7"/>
  <c r="Z1821" i="7"/>
  <c r="Z1820" i="7"/>
  <c r="Z1819" i="7"/>
  <c r="Z1818" i="7"/>
  <c r="Z1817" i="7"/>
  <c r="Z1816" i="7"/>
  <c r="Z1815" i="7"/>
  <c r="Z1814" i="7"/>
  <c r="Z1813" i="7"/>
  <c r="Z1812" i="7"/>
  <c r="Z1811" i="7"/>
  <c r="Z1810" i="7"/>
  <c r="Z1809" i="7"/>
  <c r="Z1808" i="7"/>
  <c r="Z1807" i="7"/>
  <c r="Z1806" i="7"/>
  <c r="Z1805" i="7"/>
  <c r="Z1804" i="7"/>
  <c r="Z1803" i="7"/>
  <c r="Z1800" i="7"/>
  <c r="Z1799" i="7"/>
  <c r="Z1797" i="7"/>
  <c r="Z1796" i="7"/>
  <c r="Z1795" i="7"/>
  <c r="Z1794" i="7"/>
  <c r="Z1793" i="7"/>
  <c r="Z1792" i="7"/>
  <c r="Z1789" i="7"/>
  <c r="Z1784" i="7"/>
  <c r="Z1783" i="7"/>
  <c r="Z1781" i="7"/>
  <c r="Z1780" i="7"/>
  <c r="Z1778" i="7"/>
  <c r="Z1774" i="7"/>
  <c r="Z1773" i="7"/>
  <c r="Z1772" i="7"/>
  <c r="Z1771" i="7"/>
  <c r="Z1770" i="7"/>
  <c r="Z1769" i="7"/>
  <c r="Z1768" i="7"/>
  <c r="Z1767" i="7"/>
  <c r="Z1766" i="7"/>
  <c r="Z1763" i="7"/>
  <c r="Z1762" i="7"/>
  <c r="Z1761" i="7"/>
  <c r="Z1760" i="7"/>
  <c r="Z1759" i="7"/>
  <c r="Z1758" i="7"/>
  <c r="Z1748" i="7"/>
  <c r="Z1741" i="7"/>
  <c r="Z1740" i="7"/>
  <c r="Z1736" i="7"/>
  <c r="Z1735" i="7"/>
  <c r="Z1733" i="7"/>
  <c r="Z1732" i="7"/>
  <c r="Z1731" i="7"/>
  <c r="Z1730" i="7"/>
  <c r="Z1729" i="7"/>
  <c r="Z1726" i="7"/>
  <c r="Z1717" i="7"/>
  <c r="Z1704" i="7"/>
  <c r="Z1703" i="7"/>
  <c r="Z1702" i="7"/>
  <c r="Z1701" i="7"/>
  <c r="Z1700" i="7"/>
  <c r="Z1699" i="7"/>
  <c r="Z1698" i="7"/>
  <c r="Z1697" i="7"/>
  <c r="Z1696" i="7"/>
  <c r="Z1695" i="7"/>
  <c r="Z1693" i="7"/>
  <c r="Z1687" i="7"/>
  <c r="Z1686" i="7"/>
  <c r="Z1685" i="7"/>
  <c r="Z1684" i="7"/>
  <c r="Z1683" i="7"/>
  <c r="Z1682" i="7"/>
  <c r="Z1681" i="7"/>
  <c r="Z1680" i="7"/>
  <c r="Z1679" i="7"/>
  <c r="Z1678" i="7"/>
  <c r="Z1677" i="7"/>
  <c r="Z1676" i="7"/>
  <c r="Z1675" i="7"/>
  <c r="Z1674" i="7"/>
  <c r="Z1673" i="7"/>
  <c r="Z1672" i="7"/>
  <c r="Z1671" i="7"/>
  <c r="Z1670" i="7"/>
  <c r="Z1669" i="7"/>
  <c r="Z1668" i="7"/>
  <c r="Z1667" i="7"/>
  <c r="Z1666" i="7"/>
  <c r="Z1665" i="7"/>
  <c r="Z1659" i="7"/>
  <c r="Z1658" i="7"/>
  <c r="Z1657" i="7"/>
  <c r="Z1656" i="7"/>
  <c r="Z1655" i="7"/>
  <c r="Z1654" i="7"/>
  <c r="Z1653" i="7"/>
  <c r="Z1652" i="7"/>
  <c r="Z1651" i="7"/>
  <c r="Z1650" i="7"/>
  <c r="Z1649" i="7"/>
  <c r="Z1648" i="7"/>
  <c r="Z1647" i="7"/>
  <c r="Z1646" i="7"/>
  <c r="Z1645" i="7"/>
  <c r="Z1644" i="7"/>
  <c r="Z1643" i="7"/>
  <c r="Z1642" i="7"/>
  <c r="Z1641" i="7"/>
  <c r="Z1640" i="7"/>
  <c r="Z1639" i="7"/>
  <c r="Z1638" i="7"/>
  <c r="Z1637" i="7"/>
  <c r="Z1636" i="7"/>
  <c r="Z1635" i="7"/>
  <c r="Z1634" i="7"/>
  <c r="Z1633" i="7"/>
  <c r="Z1632" i="7"/>
  <c r="Z1631" i="7"/>
  <c r="Z1630" i="7"/>
  <c r="Z1629" i="7"/>
  <c r="Z1628" i="7"/>
  <c r="Z1627" i="7"/>
  <c r="Z1626" i="7"/>
  <c r="Z1625" i="7"/>
  <c r="Z1624" i="7"/>
  <c r="Z1623" i="7"/>
  <c r="Z1622" i="7"/>
  <c r="Z1607" i="7"/>
  <c r="Z1599" i="7"/>
  <c r="Z1593" i="7"/>
  <c r="Z1592" i="7"/>
  <c r="Z1591" i="7"/>
  <c r="Z1590" i="7"/>
  <c r="Z1589" i="7"/>
  <c r="Z1588" i="7"/>
  <c r="Z1587" i="7"/>
  <c r="Z1586" i="7"/>
  <c r="Z1585" i="7"/>
  <c r="Z1584" i="7"/>
  <c r="Z1583" i="7"/>
  <c r="Z1582" i="7"/>
  <c r="Z1581" i="7"/>
  <c r="Z1580" i="7"/>
  <c r="Z1579" i="7"/>
  <c r="Z1578" i="7"/>
  <c r="Z1577" i="7"/>
  <c r="Z1576" i="7"/>
  <c r="Z1575" i="7"/>
  <c r="Z1574" i="7"/>
  <c r="Z1573" i="7"/>
  <c r="Z1572" i="7"/>
  <c r="Z1571" i="7"/>
  <c r="Z1570" i="7"/>
  <c r="Z1569" i="7"/>
  <c r="Z1568" i="7"/>
  <c r="Z1567" i="7"/>
  <c r="Z1566" i="7"/>
  <c r="Z1565" i="7"/>
  <c r="Z1564" i="7"/>
  <c r="Z1563" i="7"/>
  <c r="Z1562" i="7"/>
  <c r="Z1561" i="7"/>
  <c r="Z1560" i="7"/>
  <c r="Z1559" i="7"/>
  <c r="Z1558" i="7"/>
  <c r="Z1557" i="7"/>
  <c r="Z1556" i="7"/>
  <c r="Z1555" i="7"/>
  <c r="Z1554" i="7"/>
  <c r="Z1552" i="7"/>
  <c r="Z1551" i="7"/>
  <c r="Z1550" i="7"/>
  <c r="Z1549" i="7"/>
  <c r="Z1548" i="7"/>
  <c r="Z1547" i="7"/>
  <c r="Z1546" i="7"/>
  <c r="Z1545" i="7"/>
  <c r="Z1544" i="7"/>
  <c r="Z1543" i="7"/>
  <c r="Z1535" i="7"/>
  <c r="Z1531" i="7"/>
  <c r="Z1530" i="7"/>
  <c r="Z1526" i="7"/>
  <c r="Z1525" i="7"/>
  <c r="Z1520" i="7"/>
  <c r="Z1519" i="7"/>
  <c r="Z1518" i="7"/>
  <c r="Z1517" i="7"/>
  <c r="Z1516" i="7"/>
  <c r="Z1515" i="7"/>
  <c r="Z1514" i="7"/>
  <c r="Z1513" i="7"/>
  <c r="Z1512" i="7"/>
  <c r="Z1510" i="7"/>
  <c r="Z1508" i="7"/>
  <c r="Z1507" i="7"/>
  <c r="Z1506" i="7"/>
  <c r="Z1505" i="7"/>
  <c r="Z1504" i="7"/>
  <c r="Z1503" i="7"/>
  <c r="Z1502" i="7"/>
  <c r="Z1501" i="7"/>
  <c r="Z1500" i="7"/>
  <c r="Z1499" i="7"/>
  <c r="Z1498" i="7"/>
  <c r="Z1497" i="7"/>
  <c r="Z1496" i="7"/>
  <c r="Z1495" i="7"/>
  <c r="Z1494" i="7"/>
  <c r="Z1493" i="7"/>
  <c r="Z1492" i="7"/>
  <c r="Z1491" i="7"/>
  <c r="Z1490" i="7"/>
  <c r="Z1489" i="7"/>
  <c r="Z1488" i="7"/>
  <c r="Z1487" i="7"/>
  <c r="Z1486" i="7"/>
  <c r="Z1485" i="7"/>
  <c r="Z1484" i="7"/>
  <c r="Z1483" i="7"/>
  <c r="Z1482" i="7"/>
  <c r="Z1481" i="7"/>
  <c r="Z1480" i="7"/>
  <c r="Z1479" i="7"/>
  <c r="Z1478" i="7"/>
  <c r="Z1477" i="7"/>
  <c r="Z1476" i="7"/>
  <c r="Z1475" i="7"/>
  <c r="Z1474" i="7"/>
  <c r="Z1473" i="7"/>
  <c r="Z1472" i="7"/>
  <c r="Z1471" i="7"/>
  <c r="Z1470" i="7"/>
  <c r="Z1469" i="7"/>
  <c r="Z1468" i="7"/>
  <c r="Z1467" i="7"/>
  <c r="Z1466" i="7"/>
  <c r="Z1465" i="7"/>
  <c r="Z1463" i="7"/>
  <c r="Z1462" i="7"/>
  <c r="Z1461" i="7"/>
  <c r="Z1460" i="7"/>
  <c r="Z1459" i="7"/>
  <c r="Z1458" i="7"/>
  <c r="Z1457" i="7"/>
  <c r="Z1456" i="7"/>
  <c r="Z1455" i="7"/>
  <c r="Z1454" i="7"/>
  <c r="Z1453" i="7"/>
  <c r="Z1452" i="7"/>
  <c r="Z1451" i="7"/>
  <c r="Z1450" i="7"/>
  <c r="Z1449" i="7"/>
  <c r="Z1448" i="7"/>
  <c r="Z1447" i="7"/>
  <c r="Z1446" i="7"/>
  <c r="Z1445" i="7"/>
  <c r="Z1444" i="7"/>
  <c r="Z1443" i="7"/>
  <c r="Z1442" i="7"/>
  <c r="Z1441" i="7"/>
  <c r="Z1440" i="7"/>
  <c r="Z1439" i="7"/>
  <c r="Z1438" i="7"/>
  <c r="Z1437" i="7"/>
  <c r="Z1436" i="7"/>
  <c r="Z1435" i="7"/>
  <c r="Z1434" i="7"/>
  <c r="Z1433" i="7"/>
  <c r="Z1432" i="7"/>
  <c r="Z1431" i="7"/>
  <c r="Z1430" i="7"/>
  <c r="Z1429" i="7"/>
  <c r="Z1428" i="7"/>
  <c r="Z1425" i="7"/>
  <c r="Z1424" i="7"/>
  <c r="Z1423" i="7"/>
  <c r="Z1422" i="7"/>
  <c r="Z1421" i="7"/>
  <c r="Z1420" i="7"/>
  <c r="Z1419" i="7"/>
  <c r="Z1418" i="7"/>
  <c r="Z1417" i="7"/>
  <c r="Z1416" i="7"/>
  <c r="Z1415" i="7"/>
  <c r="Z1414" i="7"/>
  <c r="Z1413" i="7"/>
  <c r="Z1412" i="7"/>
  <c r="Z1411" i="7"/>
  <c r="Z1410" i="7"/>
  <c r="Z1409" i="7"/>
  <c r="Z1408" i="7"/>
  <c r="Z1407" i="7"/>
  <c r="Z1406" i="7"/>
  <c r="Z1405" i="7"/>
  <c r="Z1404" i="7"/>
  <c r="Z1403" i="7"/>
  <c r="Z1402" i="7"/>
  <c r="Z1401" i="7"/>
  <c r="Z1400" i="7"/>
  <c r="Z1399" i="7"/>
  <c r="Z1398" i="7"/>
  <c r="Z1397" i="7"/>
  <c r="Z1396" i="7"/>
  <c r="Z1395" i="7"/>
  <c r="Z1394" i="7"/>
  <c r="Z1393" i="7"/>
  <c r="Z1392" i="7"/>
  <c r="Z1391" i="7"/>
  <c r="Z1390" i="7"/>
  <c r="Z1389" i="7"/>
  <c r="Z1388" i="7"/>
  <c r="Z1387" i="7"/>
  <c r="Z1386" i="7"/>
  <c r="Z1385" i="7"/>
  <c r="Z1384" i="7"/>
  <c r="Z1383" i="7"/>
  <c r="Z1382" i="7"/>
  <c r="Z1381" i="7"/>
  <c r="Z1380" i="7"/>
  <c r="Z1379" i="7"/>
  <c r="Z1378" i="7"/>
  <c r="Z1377" i="7"/>
  <c r="Z1376" i="7"/>
  <c r="Z1375" i="7"/>
  <c r="Z1374" i="7"/>
  <c r="Z1373" i="7"/>
  <c r="Z1372" i="7"/>
  <c r="Z1371" i="7"/>
  <c r="Z1370" i="7"/>
  <c r="Z1369" i="7"/>
  <c r="Z1368" i="7"/>
  <c r="Z1367" i="7"/>
  <c r="Z1366" i="7"/>
  <c r="Z1365" i="7"/>
  <c r="Z1364" i="7"/>
  <c r="Z1363" i="7"/>
  <c r="Z1362" i="7"/>
  <c r="Z1361" i="7"/>
  <c r="Z1360" i="7"/>
  <c r="Z1359" i="7"/>
  <c r="Z1358" i="7"/>
  <c r="Z1357" i="7"/>
  <c r="Z1356" i="7"/>
  <c r="Z1355" i="7"/>
  <c r="Z1354" i="7"/>
  <c r="Z1353" i="7"/>
  <c r="Z1352" i="7"/>
  <c r="Z1351" i="7"/>
  <c r="Z1350" i="7"/>
  <c r="Z1349" i="7"/>
  <c r="Z1348" i="7"/>
  <c r="Z1347" i="7"/>
  <c r="Z1346" i="7"/>
  <c r="Z1345" i="7"/>
  <c r="Z1344" i="7"/>
  <c r="Z1343" i="7"/>
  <c r="Z1342" i="7"/>
  <c r="Z1341" i="7"/>
  <c r="Z1340" i="7"/>
  <c r="Z1339" i="7"/>
  <c r="Z1338" i="7"/>
  <c r="Z1337" i="7"/>
  <c r="Z1336" i="7"/>
  <c r="Z1335" i="7"/>
  <c r="Z1334" i="7"/>
  <c r="Z1333" i="7"/>
  <c r="Z1332" i="7"/>
  <c r="Z1331" i="7"/>
  <c r="Z1330" i="7"/>
  <c r="Z1329" i="7"/>
  <c r="Z1328" i="7"/>
  <c r="Z1327" i="7"/>
  <c r="Z1326" i="7"/>
  <c r="Z1325" i="7"/>
  <c r="Z1324" i="7"/>
  <c r="Z1323" i="7"/>
  <c r="Z1322" i="7"/>
  <c r="Z1321" i="7"/>
  <c r="Z1320" i="7"/>
  <c r="Z1319" i="7"/>
  <c r="Z1318" i="7"/>
  <c r="Z1317" i="7"/>
  <c r="Z1316" i="7"/>
  <c r="Z1315" i="7"/>
  <c r="Z1314" i="7"/>
  <c r="Z1313" i="7"/>
  <c r="Z1312" i="7"/>
  <c r="Z1311" i="7"/>
  <c r="Z1310" i="7"/>
  <c r="Z1309" i="7"/>
  <c r="Z1308" i="7"/>
  <c r="Z1307" i="7"/>
  <c r="Z1306" i="7"/>
  <c r="Z1305" i="7"/>
  <c r="Z1304" i="7"/>
  <c r="Z1303" i="7"/>
  <c r="Z1302" i="7"/>
  <c r="Z1301" i="7"/>
  <c r="Z1300" i="7"/>
  <c r="Z1299" i="7"/>
  <c r="Z1298" i="7"/>
  <c r="Z1297" i="7"/>
  <c r="Z1296" i="7"/>
  <c r="Z1295" i="7"/>
  <c r="Z1294" i="7"/>
  <c r="Z1293" i="7"/>
  <c r="Z1292" i="7"/>
  <c r="Z1291" i="7"/>
  <c r="Z1290" i="7"/>
  <c r="Z1289" i="7"/>
  <c r="Z1288" i="7"/>
  <c r="Z1287" i="7"/>
  <c r="Z1286" i="7"/>
  <c r="Z1285" i="7"/>
  <c r="Z1284" i="7"/>
  <c r="Z1283" i="7"/>
  <c r="Z1282" i="7"/>
  <c r="Z1281" i="7"/>
  <c r="Z1280" i="7"/>
  <c r="Z1279" i="7"/>
  <c r="Z1278" i="7"/>
  <c r="Z1277" i="7"/>
  <c r="Z1276" i="7"/>
  <c r="Z1275" i="7"/>
  <c r="Z1274" i="7"/>
  <c r="Z1273" i="7"/>
  <c r="Z1272" i="7"/>
  <c r="Z1271" i="7"/>
  <c r="Z1270" i="7"/>
  <c r="Z1269" i="7"/>
  <c r="Z1268" i="7"/>
  <c r="Z1267" i="7"/>
  <c r="Z1266" i="7"/>
  <c r="Z1265" i="7"/>
  <c r="Z1264" i="7"/>
  <c r="Z1263" i="7"/>
  <c r="Z1262" i="7"/>
  <c r="Z1261" i="7"/>
  <c r="Z1260" i="7"/>
  <c r="Z1259" i="7"/>
  <c r="Z1258" i="7"/>
  <c r="Z1257" i="7"/>
  <c r="Z1256" i="7"/>
  <c r="Z1255" i="7"/>
  <c r="Z1254" i="7"/>
  <c r="Z1253" i="7"/>
  <c r="Z1252" i="7"/>
  <c r="Z1251" i="7"/>
  <c r="Z1250" i="7"/>
  <c r="Z1249" i="7"/>
  <c r="Z1248" i="7"/>
  <c r="Z1247" i="7"/>
  <c r="Z1246" i="7"/>
  <c r="Z1245" i="7"/>
  <c r="Z1244" i="7"/>
  <c r="Z1243" i="7"/>
  <c r="Z1242" i="7"/>
  <c r="Z1241" i="7"/>
  <c r="Z1240" i="7"/>
  <c r="Z1239" i="7"/>
  <c r="Z1238" i="7"/>
  <c r="Z1237" i="7"/>
  <c r="Z1236" i="7"/>
  <c r="Z1235" i="7"/>
  <c r="Z1234" i="7"/>
  <c r="Z1233" i="7"/>
  <c r="Z1232" i="7"/>
  <c r="Z1231" i="7"/>
  <c r="Z1230" i="7"/>
  <c r="Z1229" i="7"/>
  <c r="Z1228" i="7"/>
  <c r="Z1227" i="7"/>
  <c r="Z1226" i="7"/>
  <c r="Z1225" i="7"/>
  <c r="Z1224" i="7"/>
  <c r="Z1223" i="7"/>
  <c r="Z1222" i="7"/>
  <c r="Z1221" i="7"/>
  <c r="Z1220" i="7"/>
  <c r="Z1219" i="7"/>
  <c r="Z1218" i="7"/>
  <c r="Z1217" i="7"/>
  <c r="Z1216" i="7"/>
  <c r="Z1215" i="7"/>
  <c r="Z1214" i="7"/>
  <c r="Z1213" i="7"/>
  <c r="Z1212" i="7"/>
  <c r="Z1211" i="7"/>
  <c r="Z1210" i="7"/>
  <c r="Z1209" i="7"/>
  <c r="Z1208" i="7"/>
  <c r="Z1207" i="7"/>
  <c r="Z1206" i="7"/>
  <c r="Z1205" i="7"/>
  <c r="Z1204" i="7"/>
  <c r="Z1203" i="7"/>
  <c r="Z1202" i="7"/>
  <c r="Z1201" i="7"/>
  <c r="Z1200" i="7"/>
  <c r="Z1199" i="7"/>
  <c r="Z1198" i="7"/>
  <c r="Z1197" i="7"/>
  <c r="Z1196" i="7"/>
  <c r="Z1195" i="7"/>
  <c r="Z1194" i="7"/>
  <c r="Z1193" i="7"/>
  <c r="Z1192" i="7"/>
  <c r="Z1191" i="7"/>
  <c r="Z1190" i="7"/>
  <c r="Z1189" i="7"/>
  <c r="Z1188" i="7"/>
  <c r="Z1187" i="7"/>
  <c r="Z1186" i="7"/>
  <c r="Z1185" i="7"/>
  <c r="Z1184" i="7"/>
  <c r="Z1183" i="7"/>
  <c r="Z1182" i="7"/>
  <c r="Z1181" i="7"/>
  <c r="Z1180" i="7"/>
  <c r="Z1179" i="7"/>
  <c r="Z1178" i="7"/>
  <c r="Z1177" i="7"/>
  <c r="Z1176" i="7"/>
  <c r="Z1175" i="7"/>
  <c r="Z1174" i="7"/>
  <c r="Z1173" i="7"/>
  <c r="Z1172" i="7"/>
  <c r="Z1171" i="7"/>
  <c r="Z1170" i="7"/>
  <c r="Z1169" i="7"/>
  <c r="Z1168" i="7"/>
  <c r="Z1167" i="7"/>
  <c r="Z1166" i="7"/>
  <c r="Z1165" i="7"/>
  <c r="Z1164" i="7"/>
  <c r="Z1163" i="7"/>
  <c r="Z1162" i="7"/>
  <c r="Z1161" i="7"/>
  <c r="Z1160" i="7"/>
  <c r="Z1159" i="7"/>
  <c r="Z1158" i="7"/>
  <c r="Z1157" i="7"/>
  <c r="Z1156" i="7"/>
  <c r="Z1155" i="7"/>
  <c r="Z1154" i="7"/>
  <c r="Z1153" i="7"/>
  <c r="Z1152" i="7"/>
  <c r="Z1151" i="7"/>
  <c r="Z1150" i="7"/>
  <c r="Z1149" i="7"/>
  <c r="Z1148" i="7"/>
  <c r="Z1147" i="7"/>
  <c r="Z1146" i="7"/>
  <c r="Z1145" i="7"/>
  <c r="Z1144" i="7"/>
  <c r="Z1143" i="7"/>
  <c r="Z1142" i="7"/>
  <c r="Z1141" i="7"/>
  <c r="Z1140" i="7"/>
  <c r="Z1139" i="7"/>
  <c r="Z1138" i="7"/>
  <c r="Z1137" i="7"/>
  <c r="Z1136" i="7"/>
  <c r="Z1135" i="7"/>
  <c r="Z1134" i="7"/>
  <c r="Z1133" i="7"/>
  <c r="Z1132" i="7"/>
  <c r="Z1131" i="7"/>
  <c r="Z1130" i="7"/>
  <c r="Z1129" i="7"/>
  <c r="Z1128" i="7"/>
  <c r="Z1127" i="7"/>
  <c r="Z1126" i="7"/>
  <c r="Z1125" i="7"/>
  <c r="Z1124" i="7"/>
  <c r="Z1123" i="7"/>
  <c r="Z1122" i="7"/>
  <c r="Z1121" i="7"/>
  <c r="Z1120" i="7"/>
  <c r="Z1119" i="7"/>
  <c r="Z1118" i="7"/>
  <c r="Z1117" i="7"/>
  <c r="Z1116" i="7"/>
  <c r="Z1115" i="7"/>
  <c r="Z1114" i="7"/>
  <c r="Z1113" i="7"/>
  <c r="Z1112" i="7"/>
  <c r="Z1111" i="7"/>
  <c r="Z1110" i="7"/>
  <c r="Z1109" i="7"/>
  <c r="Z1108" i="7"/>
  <c r="Z1107" i="7"/>
  <c r="Z1106" i="7"/>
  <c r="Z1105" i="7"/>
  <c r="Z1104" i="7"/>
  <c r="Z1103" i="7"/>
  <c r="Z1102" i="7"/>
  <c r="Z1101" i="7"/>
  <c r="Z1100" i="7"/>
  <c r="Z1099" i="7"/>
  <c r="Z1098" i="7"/>
  <c r="Z1097" i="7"/>
  <c r="Z1096" i="7"/>
  <c r="Z1095" i="7"/>
  <c r="Z1094" i="7"/>
  <c r="Z1093" i="7"/>
  <c r="Z1092" i="7"/>
  <c r="Z1091" i="7"/>
  <c r="Z1090" i="7"/>
  <c r="Z1089" i="7"/>
  <c r="Z1088" i="7"/>
  <c r="Z1087" i="7"/>
  <c r="Z1086" i="7"/>
  <c r="Z1085" i="7"/>
  <c r="Z1084" i="7"/>
  <c r="Z1083" i="7"/>
  <c r="Z1082" i="7"/>
  <c r="Z1081" i="7"/>
  <c r="Z1080" i="7"/>
  <c r="Z1079" i="7"/>
  <c r="Z1078" i="7"/>
  <c r="Z1077" i="7"/>
  <c r="Z1076" i="7"/>
  <c r="Z1075" i="7"/>
  <c r="Z1074" i="7"/>
  <c r="Z1073" i="7"/>
  <c r="Z1072" i="7"/>
  <c r="Z1071" i="7"/>
  <c r="Z1070" i="7"/>
  <c r="Z1069" i="7"/>
  <c r="Z1068" i="7"/>
  <c r="Z1067" i="7"/>
  <c r="Z1066" i="7"/>
  <c r="Z1065" i="7"/>
  <c r="Z1064" i="7"/>
  <c r="Z1063" i="7"/>
  <c r="Z1062" i="7"/>
  <c r="Z1061" i="7"/>
  <c r="Z1060" i="7"/>
  <c r="Z1059" i="7"/>
  <c r="Z1058" i="7"/>
  <c r="Z1057" i="7"/>
  <c r="Z1056" i="7"/>
  <c r="Z1055" i="7"/>
  <c r="Z1054" i="7"/>
  <c r="Z1053" i="7"/>
  <c r="Z1052" i="7"/>
  <c r="Z1051" i="7"/>
  <c r="Z1050" i="7"/>
  <c r="Z1049" i="7"/>
  <c r="Z1048" i="7"/>
  <c r="Z1047" i="7"/>
  <c r="Z1046" i="7"/>
  <c r="Z1045" i="7"/>
  <c r="Z1044" i="7"/>
  <c r="Z1043" i="7"/>
  <c r="Z1042" i="7"/>
  <c r="Z1041" i="7"/>
  <c r="Z1040" i="7"/>
  <c r="Z1039" i="7"/>
  <c r="Z1038" i="7"/>
  <c r="Z1037" i="7"/>
  <c r="Z1036" i="7"/>
  <c r="Z1035" i="7"/>
  <c r="Z1034" i="7"/>
  <c r="Z1033" i="7"/>
  <c r="Z1032" i="7"/>
  <c r="Z1031" i="7"/>
  <c r="Z1030" i="7"/>
  <c r="Z1029" i="7"/>
  <c r="Z1028" i="7"/>
  <c r="Z1027" i="7"/>
  <c r="Z1026" i="7"/>
  <c r="Z1025" i="7"/>
  <c r="Z1024" i="7"/>
  <c r="Z1023" i="7"/>
  <c r="Z1022" i="7"/>
  <c r="Z1021" i="7"/>
  <c r="Z1020" i="7"/>
  <c r="Z1019" i="7"/>
  <c r="Z1018" i="7"/>
  <c r="Z1017" i="7"/>
  <c r="Z1016" i="7"/>
  <c r="Z1015" i="7"/>
  <c r="Z1014" i="7"/>
  <c r="Z1013" i="7"/>
  <c r="Z1012" i="7"/>
  <c r="Z1011" i="7"/>
  <c r="Z1010" i="7"/>
  <c r="Z1009" i="7"/>
  <c r="Z1008" i="7"/>
  <c r="Z1007" i="7"/>
  <c r="Z1006" i="7"/>
  <c r="Z1005" i="7"/>
  <c r="Z1004" i="7"/>
  <c r="Z1003" i="7"/>
  <c r="Z1002" i="7"/>
  <c r="Z1001" i="7"/>
  <c r="Z1000" i="7"/>
  <c r="Z999" i="7"/>
  <c r="Z998" i="7"/>
  <c r="Z997" i="7"/>
  <c r="Z996" i="7"/>
  <c r="Z995" i="7"/>
  <c r="Z994" i="7"/>
  <c r="Z993" i="7"/>
  <c r="Z992" i="7"/>
  <c r="Z991" i="7"/>
  <c r="Z990" i="7"/>
  <c r="Z989" i="7"/>
  <c r="Z988" i="7"/>
  <c r="Z987" i="7"/>
  <c r="Z986" i="7"/>
  <c r="Z985" i="7"/>
  <c r="Z984" i="7"/>
  <c r="Z983" i="7"/>
  <c r="Z982" i="7"/>
  <c r="Z981" i="7"/>
  <c r="Z980" i="7"/>
  <c r="Z979" i="7"/>
  <c r="Z978" i="7"/>
  <c r="Z977" i="7"/>
  <c r="Z975" i="7"/>
  <c r="Z974" i="7"/>
  <c r="Z973" i="7"/>
  <c r="Z972" i="7"/>
  <c r="Z971" i="7"/>
  <c r="Z970" i="7"/>
  <c r="Z969" i="7"/>
  <c r="Z968" i="7"/>
  <c r="Z967" i="7"/>
  <c r="Z966" i="7"/>
  <c r="Z965" i="7"/>
  <c r="Z964" i="7"/>
  <c r="Z963" i="7"/>
  <c r="Z962" i="7"/>
  <c r="Z961" i="7"/>
  <c r="Z960" i="7"/>
  <c r="Z959" i="7"/>
  <c r="Z958" i="7"/>
  <c r="Z957" i="7"/>
  <c r="Z956" i="7"/>
  <c r="Z955" i="7"/>
  <c r="Z954" i="7"/>
  <c r="Z953" i="7"/>
  <c r="Z952" i="7"/>
  <c r="Z937" i="7"/>
  <c r="Z936" i="7"/>
  <c r="Z935" i="7"/>
  <c r="Z934" i="7"/>
  <c r="Z933" i="7"/>
  <c r="Z932" i="7"/>
  <c r="Z931" i="7"/>
  <c r="Z930" i="7"/>
  <c r="Z929" i="7"/>
  <c r="Z928" i="7"/>
  <c r="Z927" i="7"/>
  <c r="Z924" i="7"/>
  <c r="Z923" i="7"/>
  <c r="Z922" i="7"/>
  <c r="Z921" i="7"/>
  <c r="Z920" i="7"/>
  <c r="Z919" i="7"/>
  <c r="Z918" i="7"/>
  <c r="Z917" i="7"/>
  <c r="Z916" i="7"/>
  <c r="Z915" i="7"/>
  <c r="Z914" i="7"/>
  <c r="Z913" i="7"/>
  <c r="Z912" i="7"/>
  <c r="Z911" i="7"/>
  <c r="Z910" i="7"/>
  <c r="Z909" i="7"/>
  <c r="Z908" i="7"/>
  <c r="Z907" i="7"/>
  <c r="Z906" i="7"/>
  <c r="Z905" i="7"/>
  <c r="Z904" i="7"/>
  <c r="Z903" i="7"/>
  <c r="Z902" i="7"/>
  <c r="Z901" i="7"/>
  <c r="Z900" i="7"/>
  <c r="Z899" i="7"/>
  <c r="Z898" i="7"/>
  <c r="Z897" i="7"/>
  <c r="Z896" i="7"/>
  <c r="Z895" i="7"/>
  <c r="Z894" i="7"/>
  <c r="Z893" i="7"/>
  <c r="Z892" i="7"/>
  <c r="Z891" i="7"/>
  <c r="Z890" i="7"/>
  <c r="Z889" i="7"/>
  <c r="Z888" i="7"/>
  <c r="Z887" i="7"/>
  <c r="Z886" i="7"/>
  <c r="Z885" i="7"/>
  <c r="Z884" i="7"/>
  <c r="Z883" i="7"/>
  <c r="Z882" i="7"/>
  <c r="Z881" i="7"/>
  <c r="Z880" i="7"/>
  <c r="Z879" i="7"/>
  <c r="Z878" i="7"/>
  <c r="Z877" i="7"/>
  <c r="Z876" i="7"/>
  <c r="Z875" i="7"/>
  <c r="Z874" i="7"/>
  <c r="Z873" i="7"/>
  <c r="Z872" i="7"/>
  <c r="Z871" i="7"/>
  <c r="Z870" i="7"/>
  <c r="Z869" i="7"/>
  <c r="Z868" i="7"/>
  <c r="Z867" i="7"/>
  <c r="Z866" i="7"/>
  <c r="Z865" i="7"/>
  <c r="Z864" i="7"/>
  <c r="Z863" i="7"/>
  <c r="Z862" i="7"/>
  <c r="Z861" i="7"/>
  <c r="Z860" i="7"/>
  <c r="Z859" i="7"/>
  <c r="Z858" i="7"/>
  <c r="Z857" i="7"/>
  <c r="Z856" i="7"/>
  <c r="Z855" i="7"/>
  <c r="Z854" i="7"/>
  <c r="Z853" i="7"/>
  <c r="Z852" i="7"/>
  <c r="Z851" i="7"/>
  <c r="Z850" i="7"/>
  <c r="Z849" i="7"/>
  <c r="Z848" i="7"/>
  <c r="Z847" i="7"/>
  <c r="Z846" i="7"/>
  <c r="Z845" i="7"/>
  <c r="Z844" i="7"/>
  <c r="Z843" i="7"/>
  <c r="Z842" i="7"/>
  <c r="Z836" i="7"/>
  <c r="Z829" i="7"/>
  <c r="Z828" i="7"/>
  <c r="Z827" i="7"/>
  <c r="Z826" i="7"/>
  <c r="Z825" i="7"/>
  <c r="Z824" i="7"/>
  <c r="Z823" i="7"/>
  <c r="Z822" i="7"/>
  <c r="Z821" i="7"/>
  <c r="Z820" i="7"/>
  <c r="Z819" i="7"/>
  <c r="Z818" i="7"/>
  <c r="Z817" i="7"/>
  <c r="Z816" i="7"/>
  <c r="Z815" i="7"/>
  <c r="Z814" i="7"/>
  <c r="Z813" i="7"/>
  <c r="Z812" i="7"/>
  <c r="Z811" i="7"/>
  <c r="Z810" i="7"/>
  <c r="Z809" i="7"/>
  <c r="Z808" i="7"/>
  <c r="Z807" i="7"/>
  <c r="Z806" i="7"/>
  <c r="Z805" i="7"/>
  <c r="Z804" i="7"/>
  <c r="Z803" i="7"/>
  <c r="Z802" i="7"/>
  <c r="Z801" i="7"/>
  <c r="Z800" i="7"/>
  <c r="Z799" i="7"/>
  <c r="Z798" i="7"/>
  <c r="Z797" i="7"/>
  <c r="Z796" i="7"/>
  <c r="Z795" i="7"/>
  <c r="Z794" i="7"/>
  <c r="Z793" i="7"/>
  <c r="Z792" i="7"/>
  <c r="Z791" i="7"/>
  <c r="Z790" i="7"/>
  <c r="Z789" i="7"/>
  <c r="Z788" i="7"/>
  <c r="Z787" i="7"/>
  <c r="Z786" i="7"/>
  <c r="Z785" i="7"/>
  <c r="Z784" i="7"/>
  <c r="Z783" i="7"/>
  <c r="Z782" i="7"/>
  <c r="Z781" i="7"/>
  <c r="Z780" i="7"/>
  <c r="Z779" i="7"/>
  <c r="Z778" i="7"/>
  <c r="Z777" i="7"/>
  <c r="Z776" i="7"/>
  <c r="Z775" i="7"/>
  <c r="Z774" i="7"/>
  <c r="Z773" i="7"/>
  <c r="Z772" i="7"/>
  <c r="Z771" i="7"/>
  <c r="Z770" i="7"/>
  <c r="Z769" i="7"/>
  <c r="Z768" i="7"/>
  <c r="Z767" i="7"/>
  <c r="Z766" i="7"/>
  <c r="Z765" i="7"/>
  <c r="Z764" i="7"/>
  <c r="Z763" i="7"/>
  <c r="Z762" i="7"/>
  <c r="Z761" i="7"/>
  <c r="Z760" i="7"/>
  <c r="Z759" i="7"/>
  <c r="Z758" i="7"/>
  <c r="Z757" i="7"/>
  <c r="Z756" i="7"/>
  <c r="Z755" i="7"/>
  <c r="Z754" i="7"/>
  <c r="Z753" i="7"/>
  <c r="Z752" i="7"/>
  <c r="Z751" i="7"/>
  <c r="Z750" i="7"/>
  <c r="Z749" i="7"/>
  <c r="Z748" i="7"/>
  <c r="Z747" i="7"/>
  <c r="Z746" i="7"/>
  <c r="Z745" i="7"/>
  <c r="Z744" i="7"/>
  <c r="Z743" i="7"/>
  <c r="Z742" i="7"/>
  <c r="Z741" i="7"/>
  <c r="Z740" i="7"/>
  <c r="Z739" i="7"/>
  <c r="Z738" i="7"/>
  <c r="Z737" i="7"/>
  <c r="Z736" i="7"/>
  <c r="Z735" i="7"/>
  <c r="Z734" i="7"/>
  <c r="Z733" i="7"/>
  <c r="Z732" i="7"/>
  <c r="Z731" i="7"/>
  <c r="Z730" i="7"/>
  <c r="Z729" i="7"/>
  <c r="Z728" i="7"/>
  <c r="Z727" i="7"/>
  <c r="Z726" i="7"/>
  <c r="Z725" i="7"/>
  <c r="Z724" i="7"/>
  <c r="Z723" i="7"/>
  <c r="Z722" i="7"/>
  <c r="Z721" i="7"/>
  <c r="Z720" i="7"/>
  <c r="Z719" i="7"/>
  <c r="Z718" i="7"/>
  <c r="Z717" i="7"/>
  <c r="Z716" i="7"/>
  <c r="Z715" i="7"/>
  <c r="Z714" i="7"/>
  <c r="Z713" i="7"/>
  <c r="Z712" i="7"/>
  <c r="Z711" i="7"/>
  <c r="Z710" i="7"/>
  <c r="Z709" i="7"/>
  <c r="Z708" i="7"/>
  <c r="Z707" i="7"/>
  <c r="Z706" i="7"/>
  <c r="Z705" i="7"/>
  <c r="Z704" i="7"/>
  <c r="Z703" i="7"/>
  <c r="Z702" i="7"/>
  <c r="Z701" i="7"/>
  <c r="Z700" i="7"/>
  <c r="Z699" i="7"/>
  <c r="Z698" i="7"/>
  <c r="Z697" i="7"/>
  <c r="Z696" i="7"/>
  <c r="Z695" i="7"/>
  <c r="Z694" i="7"/>
  <c r="Z693" i="7"/>
  <c r="Z692" i="7"/>
  <c r="Z691" i="7"/>
  <c r="Z690" i="7"/>
  <c r="Z689" i="7"/>
  <c r="Z688" i="7"/>
  <c r="Z687" i="7"/>
  <c r="Z686" i="7"/>
  <c r="Z685" i="7"/>
  <c r="Z684" i="7"/>
  <c r="Z683" i="7"/>
  <c r="Z682" i="7"/>
  <c r="Z681" i="7"/>
  <c r="Z680" i="7"/>
  <c r="Z679" i="7"/>
  <c r="Z678" i="7"/>
  <c r="Z677" i="7"/>
  <c r="Z676" i="7"/>
  <c r="Z675" i="7"/>
  <c r="Z674" i="7"/>
  <c r="Z672" i="7"/>
  <c r="Z668" i="7"/>
  <c r="Z667" i="7"/>
  <c r="Z666" i="7"/>
  <c r="Z665" i="7"/>
  <c r="Z664" i="7"/>
  <c r="Z663" i="7"/>
  <c r="Z662" i="7"/>
  <c r="Z661" i="7"/>
  <c r="Z660" i="7"/>
  <c r="Z659" i="7"/>
  <c r="Z658" i="7"/>
  <c r="Z657" i="7"/>
  <c r="Z656" i="7"/>
  <c r="Z655" i="7"/>
  <c r="Z654" i="7"/>
  <c r="Z653" i="7"/>
  <c r="Z652" i="7"/>
  <c r="Z651" i="7"/>
  <c r="Z650" i="7"/>
  <c r="Z646" i="7"/>
  <c r="Z645" i="7"/>
  <c r="Z644" i="7"/>
  <c r="Z643" i="7"/>
  <c r="Z642" i="7"/>
  <c r="Z638" i="7"/>
  <c r="Z637" i="7"/>
  <c r="Z636" i="7"/>
  <c r="Z635" i="7"/>
  <c r="Z634" i="7"/>
  <c r="Z633" i="7"/>
  <c r="Z632" i="7"/>
  <c r="Z631" i="7"/>
  <c r="Z630" i="7"/>
  <c r="Z629" i="7"/>
  <c r="Z628" i="7"/>
  <c r="Z627" i="7"/>
  <c r="Z626" i="7"/>
  <c r="Z623" i="7"/>
  <c r="Z622" i="7"/>
  <c r="Z620" i="7"/>
  <c r="Z619" i="7"/>
  <c r="Z618" i="7"/>
  <c r="Z617" i="7"/>
  <c r="Z616" i="7"/>
  <c r="Z613" i="7"/>
  <c r="Z612" i="7"/>
  <c r="Z609" i="7"/>
  <c r="Z606" i="7"/>
  <c r="Z605" i="7"/>
  <c r="Z604" i="7"/>
  <c r="Z603" i="7"/>
  <c r="Z602" i="7"/>
  <c r="Z601" i="7"/>
  <c r="Z600" i="7"/>
  <c r="Z599" i="7"/>
  <c r="Z598" i="7"/>
  <c r="Z597" i="7"/>
  <c r="Z596" i="7"/>
  <c r="Z595" i="7"/>
  <c r="Z594" i="7"/>
  <c r="Z593" i="7"/>
  <c r="Z592" i="7"/>
  <c r="Z591" i="7"/>
  <c r="Z590" i="7"/>
  <c r="Z589" i="7"/>
  <c r="Z588" i="7"/>
  <c r="Z587" i="7"/>
  <c r="Z586" i="7"/>
  <c r="Z585" i="7"/>
  <c r="Z584" i="7"/>
  <c r="Z583" i="7"/>
  <c r="Z582" i="7"/>
  <c r="Z581" i="7"/>
  <c r="Z580" i="7"/>
  <c r="Z579" i="7"/>
  <c r="Z578" i="7"/>
  <c r="Z577" i="7"/>
  <c r="Z576" i="7"/>
  <c r="Z575" i="7"/>
  <c r="Z574" i="7"/>
  <c r="Z573" i="7"/>
  <c r="Z572" i="7"/>
  <c r="Z571" i="7"/>
  <c r="Z570" i="7"/>
  <c r="Z568" i="7"/>
  <c r="Z567" i="7"/>
  <c r="Z566" i="7"/>
  <c r="Z565" i="7"/>
  <c r="Z564" i="7"/>
  <c r="Z563" i="7"/>
  <c r="Z562" i="7"/>
  <c r="Z561" i="7"/>
  <c r="Z560" i="7"/>
  <c r="Z559" i="7"/>
  <c r="Z558" i="7"/>
  <c r="Z557" i="7"/>
  <c r="Z556" i="7"/>
  <c r="Z554" i="7"/>
  <c r="Z553" i="7"/>
  <c r="Z552" i="7"/>
  <c r="Z550" i="7"/>
  <c r="Z549" i="7"/>
  <c r="Z548" i="7"/>
  <c r="Z547" i="7"/>
  <c r="Z546" i="7"/>
  <c r="Z545" i="7"/>
  <c r="Z544" i="7"/>
  <c r="Z543" i="7"/>
  <c r="Z542" i="7"/>
  <c r="Z541" i="7"/>
  <c r="Z540" i="7"/>
  <c r="Z539" i="7"/>
  <c r="Z538" i="7"/>
  <c r="Z537" i="7"/>
  <c r="Z536" i="7"/>
  <c r="Z534" i="7"/>
  <c r="Z533" i="7"/>
  <c r="Z532" i="7"/>
  <c r="Z531" i="7"/>
  <c r="Z530" i="7"/>
  <c r="Z528" i="7"/>
  <c r="Z527" i="7"/>
  <c r="Z526" i="7"/>
  <c r="Z525" i="7"/>
  <c r="Z524" i="7"/>
  <c r="Z523" i="7"/>
  <c r="Z522" i="7"/>
  <c r="Z521" i="7"/>
  <c r="Z520" i="7"/>
  <c r="Z519" i="7"/>
  <c r="Z517" i="7"/>
  <c r="Z516" i="7"/>
  <c r="Z515" i="7"/>
  <c r="Z514" i="7"/>
  <c r="Z513" i="7"/>
  <c r="Z512" i="7"/>
  <c r="Z506" i="7"/>
  <c r="Z505" i="7"/>
  <c r="Z504" i="7"/>
  <c r="Z501" i="7"/>
  <c r="Z500" i="7"/>
  <c r="Z499" i="7"/>
  <c r="Z497" i="7"/>
  <c r="Z495" i="7"/>
  <c r="Z494" i="7"/>
  <c r="Z493" i="7"/>
  <c r="Z492" i="7"/>
  <c r="Z491" i="7"/>
  <c r="Z488" i="7"/>
  <c r="Z487" i="7"/>
  <c r="Z485" i="7"/>
  <c r="Z484" i="7"/>
  <c r="Z483" i="7"/>
  <c r="Z482" i="7"/>
  <c r="Z480" i="7"/>
  <c r="Z479" i="7"/>
  <c r="Z478" i="7"/>
  <c r="Z477" i="7"/>
  <c r="Z476" i="7"/>
  <c r="Z475" i="7"/>
  <c r="Z474" i="7"/>
  <c r="Z473" i="7"/>
  <c r="Z472" i="7"/>
  <c r="Z471" i="7"/>
  <c r="Z470" i="7"/>
  <c r="Z469" i="7"/>
  <c r="Z468" i="7"/>
  <c r="Z467" i="7"/>
  <c r="Z466" i="7"/>
  <c r="Z465" i="7"/>
  <c r="Z464" i="7"/>
  <c r="Z463" i="7"/>
  <c r="Z462" i="7"/>
  <c r="Z461" i="7"/>
  <c r="Z459" i="7"/>
  <c r="Z458" i="7"/>
  <c r="Z457" i="7"/>
  <c r="Z456" i="7"/>
  <c r="Z455" i="7"/>
  <c r="Z454" i="7"/>
  <c r="Z453" i="7"/>
  <c r="Z452" i="7"/>
  <c r="Z451" i="7"/>
  <c r="Z450" i="7"/>
  <c r="Z449" i="7"/>
  <c r="Z448" i="7"/>
  <c r="Z447" i="7"/>
  <c r="Z446" i="7"/>
  <c r="Z445" i="7"/>
  <c r="Z444" i="7"/>
  <c r="Z443" i="7"/>
  <c r="Z442" i="7"/>
  <c r="Z441" i="7"/>
  <c r="Z440" i="7"/>
  <c r="Z439" i="7"/>
  <c r="Z438" i="7"/>
  <c r="Z437" i="7"/>
  <c r="Z436" i="7"/>
  <c r="Z435" i="7"/>
  <c r="Z434" i="7"/>
  <c r="Z433" i="7"/>
  <c r="Z432" i="7"/>
  <c r="Z431" i="7"/>
  <c r="Z430" i="7"/>
  <c r="Z429" i="7"/>
  <c r="Z428" i="7"/>
  <c r="Z427" i="7"/>
  <c r="Z426" i="7"/>
  <c r="Z425" i="7"/>
  <c r="Z424" i="7"/>
  <c r="Z423" i="7"/>
  <c r="Z422" i="7"/>
  <c r="Z421" i="7"/>
  <c r="Z420" i="7"/>
  <c r="Z419" i="7"/>
  <c r="Z418" i="7"/>
  <c r="Z417" i="7"/>
  <c r="Z416" i="7"/>
  <c r="Z415" i="7"/>
  <c r="Z414" i="7"/>
  <c r="Z413" i="7"/>
  <c r="Z412" i="7"/>
  <c r="Z411" i="7"/>
  <c r="Z410" i="7"/>
  <c r="Z409" i="7"/>
  <c r="Z408" i="7"/>
  <c r="Z407" i="7"/>
  <c r="Z406" i="7"/>
  <c r="Z405" i="7"/>
  <c r="Z404" i="7"/>
  <c r="Z403" i="7"/>
  <c r="Z402" i="7"/>
  <c r="Z401" i="7"/>
  <c r="Z400" i="7"/>
  <c r="Z399" i="7"/>
  <c r="Z398" i="7"/>
  <c r="Z397" i="7"/>
  <c r="Z396" i="7"/>
  <c r="Z395" i="7"/>
  <c r="Z394" i="7"/>
  <c r="Z393" i="7"/>
  <c r="Z392" i="7"/>
  <c r="Z391" i="7"/>
  <c r="Z390" i="7"/>
  <c r="Z389" i="7"/>
  <c r="Z388" i="7"/>
  <c r="Z387" i="7"/>
  <c r="Z386" i="7"/>
  <c r="Z385" i="7"/>
  <c r="Z384" i="7"/>
  <c r="Z383" i="7"/>
  <c r="Z382" i="7"/>
  <c r="Z381" i="7"/>
  <c r="Z380" i="7"/>
  <c r="Z379" i="7"/>
  <c r="Z378" i="7"/>
  <c r="Z377" i="7"/>
  <c r="Z376" i="7"/>
  <c r="Z375" i="7"/>
  <c r="Z374" i="7"/>
  <c r="Z373" i="7"/>
  <c r="Z372" i="7"/>
  <c r="Z371" i="7"/>
  <c r="Z370" i="7"/>
  <c r="Z369" i="7"/>
  <c r="Z368" i="7"/>
  <c r="Z367" i="7"/>
  <c r="Z366" i="7"/>
  <c r="Z365" i="7"/>
  <c r="Z364" i="7"/>
  <c r="Z363" i="7"/>
  <c r="Z362" i="7"/>
  <c r="Z361" i="7"/>
  <c r="Z360" i="7"/>
  <c r="Z359" i="7"/>
  <c r="Z358" i="7"/>
  <c r="Z357" i="7"/>
  <c r="Z356" i="7"/>
  <c r="Z355" i="7"/>
  <c r="Z354" i="7"/>
  <c r="Z353" i="7"/>
  <c r="Z352" i="7"/>
  <c r="Z351" i="7"/>
  <c r="Z350" i="7"/>
  <c r="Z349" i="7"/>
  <c r="Z348" i="7"/>
  <c r="Z347" i="7"/>
  <c r="Z346" i="7"/>
  <c r="Z345" i="7"/>
  <c r="Z344" i="7"/>
  <c r="Z343" i="7"/>
  <c r="Z342" i="7"/>
  <c r="Z341" i="7"/>
  <c r="Z340" i="7"/>
  <c r="Z339" i="7"/>
  <c r="Z338" i="7"/>
  <c r="Z337" i="7"/>
  <c r="Z336" i="7"/>
  <c r="Z335" i="7"/>
  <c r="Z334" i="7"/>
  <c r="Z333" i="7"/>
  <c r="Z332" i="7"/>
  <c r="Z331" i="7"/>
  <c r="Z330" i="7"/>
  <c r="Z329" i="7"/>
  <c r="Z328" i="7"/>
  <c r="Z327" i="7"/>
  <c r="Z325" i="7"/>
  <c r="Z324" i="7"/>
  <c r="Z323" i="7"/>
  <c r="Z322" i="7"/>
  <c r="Z321" i="7"/>
  <c r="Z320" i="7"/>
  <c r="Z319" i="7"/>
  <c r="Z318" i="7"/>
  <c r="Z317" i="7"/>
  <c r="Z316" i="7"/>
  <c r="Z315" i="7"/>
  <c r="Z314" i="7"/>
  <c r="Z313" i="7"/>
  <c r="Z312" i="7"/>
  <c r="Z311" i="7"/>
  <c r="Z310" i="7"/>
  <c r="Z309" i="7"/>
  <c r="Z308" i="7"/>
  <c r="Z307" i="7"/>
  <c r="Z306" i="7"/>
  <c r="Z305" i="7"/>
  <c r="Z304" i="7"/>
  <c r="Z303" i="7"/>
  <c r="Z302" i="7"/>
  <c r="Z301" i="7"/>
  <c r="Z300" i="7"/>
  <c r="Z299" i="7"/>
  <c r="Z298" i="7"/>
  <c r="Z297" i="7"/>
  <c r="Z296" i="7"/>
  <c r="Z295" i="7"/>
  <c r="Z294" i="7"/>
  <c r="Z293" i="7"/>
  <c r="Z292" i="7"/>
  <c r="Z291" i="7"/>
  <c r="Z290" i="7"/>
  <c r="Z289" i="7"/>
  <c r="Z288" i="7"/>
  <c r="Z287" i="7"/>
  <c r="Z286" i="7"/>
  <c r="Z285" i="7"/>
  <c r="Z284" i="7"/>
  <c r="Z283" i="7"/>
  <c r="Z282" i="7"/>
  <c r="Z281" i="7"/>
  <c r="Z280" i="7"/>
  <c r="Z279" i="7"/>
  <c r="Z278" i="7"/>
  <c r="Z277" i="7"/>
  <c r="Z276" i="7"/>
  <c r="Z275" i="7"/>
  <c r="Z274" i="7"/>
  <c r="Z273" i="7"/>
  <c r="Z272" i="7"/>
  <c r="Z271" i="7"/>
  <c r="Z270" i="7"/>
  <c r="Z269" i="7"/>
  <c r="Z268" i="7"/>
  <c r="Z267" i="7"/>
  <c r="Z266" i="7"/>
  <c r="Z265" i="7"/>
  <c r="Z264" i="7"/>
  <c r="Z263" i="7"/>
  <c r="Z262" i="7"/>
  <c r="Z261" i="7"/>
  <c r="Z260" i="7"/>
  <c r="Z259" i="7"/>
  <c r="Z258" i="7"/>
  <c r="Z257" i="7"/>
  <c r="Z256" i="7"/>
  <c r="Z255" i="7"/>
  <c r="Z254" i="7"/>
  <c r="Z253" i="7"/>
  <c r="Z252" i="7"/>
  <c r="Z251" i="7"/>
  <c r="Z250" i="7"/>
  <c r="Z249" i="7"/>
  <c r="Z248" i="7"/>
  <c r="Z247" i="7"/>
  <c r="Z246" i="7"/>
  <c r="Z244" i="7"/>
  <c r="Z242" i="7"/>
  <c r="Z241" i="7"/>
  <c r="Z233" i="7"/>
  <c r="Z229" i="7"/>
  <c r="Z228" i="7"/>
  <c r="Z227" i="7"/>
  <c r="Z226" i="7"/>
  <c r="Z224" i="7"/>
  <c r="Z223" i="7"/>
  <c r="Z222" i="7"/>
  <c r="Z221" i="7"/>
  <c r="Z220" i="7"/>
  <c r="Z219" i="7"/>
  <c r="Z218" i="7"/>
  <c r="Z217" i="7"/>
  <c r="Z216" i="7"/>
  <c r="Z215" i="7"/>
  <c r="Z214" i="7"/>
  <c r="Z213" i="7"/>
  <c r="Z212" i="7"/>
  <c r="Z211" i="7"/>
  <c r="Z210" i="7"/>
  <c r="Z209" i="7"/>
  <c r="Z208" i="7"/>
  <c r="Z207" i="7"/>
  <c r="Z206" i="7"/>
  <c r="Z205" i="7"/>
  <c r="Z204" i="7"/>
  <c r="Z203" i="7"/>
  <c r="Z202" i="7"/>
  <c r="Z201" i="7"/>
  <c r="Z200" i="7"/>
  <c r="Z199" i="7"/>
  <c r="Z198" i="7"/>
  <c r="Z197" i="7"/>
  <c r="Z196" i="7"/>
  <c r="Z195" i="7"/>
  <c r="Z194" i="7"/>
  <c r="Z193" i="7"/>
  <c r="Z192" i="7"/>
  <c r="Z191" i="7"/>
  <c r="Z190" i="7"/>
  <c r="Z189" i="7"/>
  <c r="Z188" i="7"/>
  <c r="Z187" i="7"/>
  <c r="Z186" i="7"/>
  <c r="Z185" i="7"/>
  <c r="Z183" i="7"/>
  <c r="Z182" i="7"/>
  <c r="Z181" i="7"/>
  <c r="Z180" i="7"/>
  <c r="Z179" i="7"/>
  <c r="Z178" i="7"/>
  <c r="Z177" i="7"/>
  <c r="Z176" i="7"/>
  <c r="Z175" i="7"/>
  <c r="Z173" i="7"/>
  <c r="Z170" i="7"/>
  <c r="Z164" i="7"/>
  <c r="Z163" i="7"/>
  <c r="Z162" i="7"/>
  <c r="Z161" i="7"/>
  <c r="Z160" i="7"/>
  <c r="Z159" i="7"/>
  <c r="Z158" i="7"/>
  <c r="Z157" i="7"/>
  <c r="Z156" i="7"/>
  <c r="Z155" i="7"/>
  <c r="Z154" i="7"/>
  <c r="Z153" i="7"/>
  <c r="Z150" i="7"/>
  <c r="Z149" i="7"/>
  <c r="Z148" i="7"/>
  <c r="Z147" i="7"/>
  <c r="Z146" i="7"/>
  <c r="Z145" i="7"/>
  <c r="Z144" i="7"/>
  <c r="Z143" i="7"/>
  <c r="Z142" i="7"/>
  <c r="Z141" i="7"/>
  <c r="Z140" i="7"/>
  <c r="Z139" i="7"/>
  <c r="Z138" i="7"/>
  <c r="Z137" i="7"/>
  <c r="Z136" i="7"/>
  <c r="Z135" i="7"/>
  <c r="Z134" i="7"/>
  <c r="Z133" i="7"/>
  <c r="Z132" i="7"/>
  <c r="Z131" i="7"/>
  <c r="Z130" i="7"/>
  <c r="Z129" i="7"/>
  <c r="Z128" i="7"/>
  <c r="Z127" i="7"/>
  <c r="Z126" i="7"/>
  <c r="Z125" i="7"/>
  <c r="Z124" i="7"/>
  <c r="Z123" i="7"/>
  <c r="Z122" i="7"/>
  <c r="Z121" i="7"/>
  <c r="Z120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Z100" i="7"/>
  <c r="Z99" i="7"/>
  <c r="Z98" i="7"/>
  <c r="Z97" i="7"/>
  <c r="Z96" i="7"/>
  <c r="Z95" i="7"/>
  <c r="Z94" i="7"/>
  <c r="Z93" i="7"/>
  <c r="Z92" i="7"/>
  <c r="Z91" i="7"/>
  <c r="Z90" i="7"/>
  <c r="Z89" i="7"/>
  <c r="Z88" i="7"/>
  <c r="Z87" i="7"/>
  <c r="Z86" i="7"/>
  <c r="Z85" i="7"/>
  <c r="Z84" i="7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Z4" i="7"/>
  <c r="Z3" i="7"/>
  <c r="X1972" i="7"/>
  <c r="X1971" i="7"/>
  <c r="X1970" i="7"/>
  <c r="X1969" i="7"/>
  <c r="X1968" i="7"/>
  <c r="X1967" i="7"/>
  <c r="X1966" i="7"/>
  <c r="X1965" i="7"/>
  <c r="X1964" i="7"/>
  <c r="X1963" i="7"/>
  <c r="X1962" i="7"/>
  <c r="X1961" i="7"/>
  <c r="X1960" i="7"/>
  <c r="X1959" i="7"/>
  <c r="X1958" i="7"/>
  <c r="X1957" i="7"/>
  <c r="X1956" i="7"/>
  <c r="X1955" i="7"/>
  <c r="X1954" i="7"/>
  <c r="X1953" i="7"/>
  <c r="X1952" i="7"/>
  <c r="X1951" i="7"/>
  <c r="X1950" i="7"/>
  <c r="X1949" i="7"/>
  <c r="X1948" i="7"/>
  <c r="X1947" i="7"/>
  <c r="X1946" i="7"/>
  <c r="X1945" i="7"/>
  <c r="X1944" i="7"/>
  <c r="X1943" i="7"/>
  <c r="X1942" i="7"/>
  <c r="X1941" i="7"/>
  <c r="X1940" i="7"/>
  <c r="X1938" i="7"/>
  <c r="X1937" i="7"/>
  <c r="X1936" i="7"/>
  <c r="X1935" i="7"/>
  <c r="X1934" i="7"/>
  <c r="X1933" i="7"/>
  <c r="X1932" i="7"/>
  <c r="X1930" i="7"/>
  <c r="X1929" i="7"/>
  <c r="X1928" i="7"/>
  <c r="X1927" i="7"/>
  <c r="X1926" i="7"/>
  <c r="X1925" i="7"/>
  <c r="X1924" i="7"/>
  <c r="X1923" i="7"/>
  <c r="X1922" i="7"/>
  <c r="X1921" i="7"/>
  <c r="X1920" i="7"/>
  <c r="X1919" i="7"/>
  <c r="X1918" i="7"/>
  <c r="X1917" i="7"/>
  <c r="X1916" i="7"/>
  <c r="X1915" i="7"/>
  <c r="X1914" i="7"/>
  <c r="X1913" i="7"/>
  <c r="X1912" i="7"/>
  <c r="X1910" i="7"/>
  <c r="X1909" i="7"/>
  <c r="X1908" i="7"/>
  <c r="X1907" i="7"/>
  <c r="X1906" i="7"/>
  <c r="X1905" i="7"/>
  <c r="X1904" i="7"/>
  <c r="X1903" i="7"/>
  <c r="X1902" i="7"/>
  <c r="X1901" i="7"/>
  <c r="X1900" i="7"/>
  <c r="X1899" i="7"/>
  <c r="X1898" i="7"/>
  <c r="X1897" i="7"/>
  <c r="X1896" i="7"/>
  <c r="X1895" i="7"/>
  <c r="X1894" i="7"/>
  <c r="X1893" i="7"/>
  <c r="X1891" i="7"/>
  <c r="X1890" i="7"/>
  <c r="X1889" i="7"/>
  <c r="X1886" i="7"/>
  <c r="X1885" i="7"/>
  <c r="X1884" i="7"/>
  <c r="X1883" i="7"/>
  <c r="X1881" i="7"/>
  <c r="X1880" i="7"/>
  <c r="X1879" i="7"/>
  <c r="X1878" i="7"/>
  <c r="X1877" i="7"/>
  <c r="X1876" i="7"/>
  <c r="X1875" i="7"/>
  <c r="X1874" i="7"/>
  <c r="X1873" i="7"/>
  <c r="X1872" i="7"/>
  <c r="X1871" i="7"/>
  <c r="X1870" i="7"/>
  <c r="X1869" i="7"/>
  <c r="X1868" i="7"/>
  <c r="X1867" i="7"/>
  <c r="X1866" i="7"/>
  <c r="X1865" i="7"/>
  <c r="X1864" i="7"/>
  <c r="X1863" i="7"/>
  <c r="X1862" i="7"/>
  <c r="X1861" i="7"/>
  <c r="X1860" i="7"/>
  <c r="X1859" i="7"/>
  <c r="X1858" i="7"/>
  <c r="X1857" i="7"/>
  <c r="X1856" i="7"/>
  <c r="X1855" i="7"/>
  <c r="X1854" i="7"/>
  <c r="X1853" i="7"/>
  <c r="X1852" i="7"/>
  <c r="X1851" i="7"/>
  <c r="X1850" i="7"/>
  <c r="X1849" i="7"/>
  <c r="X1848" i="7"/>
  <c r="X1847" i="7"/>
  <c r="X1846" i="7"/>
  <c r="X1845" i="7"/>
  <c r="X1844" i="7"/>
  <c r="X1842" i="7"/>
  <c r="X1841" i="7"/>
  <c r="X1840" i="7"/>
  <c r="X1839" i="7"/>
  <c r="X1838" i="7"/>
  <c r="X1837" i="7"/>
  <c r="X1836" i="7"/>
  <c r="X1835" i="7"/>
  <c r="X1834" i="7"/>
  <c r="X1833" i="7"/>
  <c r="X1832" i="7"/>
  <c r="X1831" i="7"/>
  <c r="X1830" i="7"/>
  <c r="X1829" i="7"/>
  <c r="X1828" i="7"/>
  <c r="X1827" i="7"/>
  <c r="X1826" i="7"/>
  <c r="X1825" i="7"/>
  <c r="X1824" i="7"/>
  <c r="X1823" i="7"/>
  <c r="X1822" i="7"/>
  <c r="X1821" i="7"/>
  <c r="X1820" i="7"/>
  <c r="X1819" i="7"/>
  <c r="X1818" i="7"/>
  <c r="X1817" i="7"/>
  <c r="X1816" i="7"/>
  <c r="X1815" i="7"/>
  <c r="X1814" i="7"/>
  <c r="X1813" i="7"/>
  <c r="X1812" i="7"/>
  <c r="X1811" i="7"/>
  <c r="X1810" i="7"/>
  <c r="X1809" i="7"/>
  <c r="X1808" i="7"/>
  <c r="X1807" i="7"/>
  <c r="X1806" i="7"/>
  <c r="X1805" i="7"/>
  <c r="X1804" i="7"/>
  <c r="X1803" i="7"/>
  <c r="X1802" i="7"/>
  <c r="X1801" i="7"/>
  <c r="X1800" i="7"/>
  <c r="X1799" i="7"/>
  <c r="X1798" i="7"/>
  <c r="X1797" i="7"/>
  <c r="X1796" i="7"/>
  <c r="X1795" i="7"/>
  <c r="X1794" i="7"/>
  <c r="X1793" i="7"/>
  <c r="X1792" i="7"/>
  <c r="X1789" i="7"/>
  <c r="X1784" i="7"/>
  <c r="X1783" i="7"/>
  <c r="X1781" i="7"/>
  <c r="X1780" i="7"/>
  <c r="X1778" i="7"/>
  <c r="X1774" i="7"/>
  <c r="X1773" i="7"/>
  <c r="X1772" i="7"/>
  <c r="X1771" i="7"/>
  <c r="X1770" i="7"/>
  <c r="X1769" i="7"/>
  <c r="X1768" i="7"/>
  <c r="X1767" i="7"/>
  <c r="X1766" i="7"/>
  <c r="X1763" i="7"/>
  <c r="X1762" i="7"/>
  <c r="X1761" i="7"/>
  <c r="X1760" i="7"/>
  <c r="X1759" i="7"/>
  <c r="X1750" i="7"/>
  <c r="X1748" i="7"/>
  <c r="X1743" i="7"/>
  <c r="X1741" i="7"/>
  <c r="X1740" i="7"/>
  <c r="X1736" i="7"/>
  <c r="X1735" i="7"/>
  <c r="X1733" i="7"/>
  <c r="X1732" i="7"/>
  <c r="X1731" i="7"/>
  <c r="X1730" i="7"/>
  <c r="X1729" i="7"/>
  <c r="X1726" i="7"/>
  <c r="X1725" i="7"/>
  <c r="X1724" i="7"/>
  <c r="X1723" i="7"/>
  <c r="X1717" i="7"/>
  <c r="X1715" i="7"/>
  <c r="X1714" i="7"/>
  <c r="X1713" i="7"/>
  <c r="X1704" i="7"/>
  <c r="X1703" i="7"/>
  <c r="X1702" i="7"/>
  <c r="X1701" i="7"/>
  <c r="X1700" i="7"/>
  <c r="X1699" i="7"/>
  <c r="X1698" i="7"/>
  <c r="X1697" i="7"/>
  <c r="X1696" i="7"/>
  <c r="X1695" i="7"/>
  <c r="X1693" i="7"/>
  <c r="X1687" i="7"/>
  <c r="X1686" i="7"/>
  <c r="X1685" i="7"/>
  <c r="X1684" i="7"/>
  <c r="X1683" i="7"/>
  <c r="X1682" i="7"/>
  <c r="X1681" i="7"/>
  <c r="X1680" i="7"/>
  <c r="X1679" i="7"/>
  <c r="X1678" i="7"/>
  <c r="X1677" i="7"/>
  <c r="X1676" i="7"/>
  <c r="X1675" i="7"/>
  <c r="X1674" i="7"/>
  <c r="X1673" i="7"/>
  <c r="X1672" i="7"/>
  <c r="X1671" i="7"/>
  <c r="X1670" i="7"/>
  <c r="X1669" i="7"/>
  <c r="X1668" i="7"/>
  <c r="X1667" i="7"/>
  <c r="X1666" i="7"/>
  <c r="X1665" i="7"/>
  <c r="X1664" i="7"/>
  <c r="X1663" i="7"/>
  <c r="X1662" i="7"/>
  <c r="X1661" i="7"/>
  <c r="X1660" i="7"/>
  <c r="X1659" i="7"/>
  <c r="X1658" i="7"/>
  <c r="X1657" i="7"/>
  <c r="X1656" i="7"/>
  <c r="X1655" i="7"/>
  <c r="X1654" i="7"/>
  <c r="X1653" i="7"/>
  <c r="X1652" i="7"/>
  <c r="X1651" i="7"/>
  <c r="X1650" i="7"/>
  <c r="X1649" i="7"/>
  <c r="X1648" i="7"/>
  <c r="X1647" i="7"/>
  <c r="X1646" i="7"/>
  <c r="X1645" i="7"/>
  <c r="X1644" i="7"/>
  <c r="X1643" i="7"/>
  <c r="X1642" i="7"/>
  <c r="X1641" i="7"/>
  <c r="X1640" i="7"/>
  <c r="X1639" i="7"/>
  <c r="X1638" i="7"/>
  <c r="X1637" i="7"/>
  <c r="X1636" i="7"/>
  <c r="X1635" i="7"/>
  <c r="X1634" i="7"/>
  <c r="X1633" i="7"/>
  <c r="X1632" i="7"/>
  <c r="X1631" i="7"/>
  <c r="X1630" i="7"/>
  <c r="X1629" i="7"/>
  <c r="X1628" i="7"/>
  <c r="X1627" i="7"/>
  <c r="X1626" i="7"/>
  <c r="X1625" i="7"/>
  <c r="X1624" i="7"/>
  <c r="X1623" i="7"/>
  <c r="X1622" i="7"/>
  <c r="X1607" i="7"/>
  <c r="X1599" i="7"/>
  <c r="X1593" i="7"/>
  <c r="X1592" i="7"/>
  <c r="X1591" i="7"/>
  <c r="X1590" i="7"/>
  <c r="X1589" i="7"/>
  <c r="X1588" i="7"/>
  <c r="X1587" i="7"/>
  <c r="X1586" i="7"/>
  <c r="X1585" i="7"/>
  <c r="X1584" i="7"/>
  <c r="X1583" i="7"/>
  <c r="X1582" i="7"/>
  <c r="X1581" i="7"/>
  <c r="X1580" i="7"/>
  <c r="X1579" i="7"/>
  <c r="X1578" i="7"/>
  <c r="X1577" i="7"/>
  <c r="X1576" i="7"/>
  <c r="X1575" i="7"/>
  <c r="X1574" i="7"/>
  <c r="X1573" i="7"/>
  <c r="X1572" i="7"/>
  <c r="X1571" i="7"/>
  <c r="X1570" i="7"/>
  <c r="X1569" i="7"/>
  <c r="X1568" i="7"/>
  <c r="X1567" i="7"/>
  <c r="X1566" i="7"/>
  <c r="X1565" i="7"/>
  <c r="X1564" i="7"/>
  <c r="X1563" i="7"/>
  <c r="X1562" i="7"/>
  <c r="X1561" i="7"/>
  <c r="X1560" i="7"/>
  <c r="X1559" i="7"/>
  <c r="X1558" i="7"/>
  <c r="X1557" i="7"/>
  <c r="X1556" i="7"/>
  <c r="X1555" i="7"/>
  <c r="X1554" i="7"/>
  <c r="X1552" i="7"/>
  <c r="X1551" i="7"/>
  <c r="X1550" i="7"/>
  <c r="X1549" i="7"/>
  <c r="X1548" i="7"/>
  <c r="X1547" i="7"/>
  <c r="X1546" i="7"/>
  <c r="X1545" i="7"/>
  <c r="X1544" i="7"/>
  <c r="X1543" i="7"/>
  <c r="X1542" i="7"/>
  <c r="X1541" i="7"/>
  <c r="X1540" i="7"/>
  <c r="X1539" i="7"/>
  <c r="X1538" i="7"/>
  <c r="X1537" i="7"/>
  <c r="X1536" i="7"/>
  <c r="X1535" i="7"/>
  <c r="X1534" i="7"/>
  <c r="X1533" i="7"/>
  <c r="X1532" i="7"/>
  <c r="X1531" i="7"/>
  <c r="X1530" i="7"/>
  <c r="X1529" i="7"/>
  <c r="X1528" i="7"/>
  <c r="X1527" i="7"/>
  <c r="X1526" i="7"/>
  <c r="X1525" i="7"/>
  <c r="X1524" i="7"/>
  <c r="X1523" i="7"/>
  <c r="X1522" i="7"/>
  <c r="X1521" i="7"/>
  <c r="X1520" i="7"/>
  <c r="X1519" i="7"/>
  <c r="X1518" i="7"/>
  <c r="X1517" i="7"/>
  <c r="X1516" i="7"/>
  <c r="X1515" i="7"/>
  <c r="X1514" i="7"/>
  <c r="X1513" i="7"/>
  <c r="X1512" i="7"/>
  <c r="X1511" i="7"/>
  <c r="X1510" i="7"/>
  <c r="X1509" i="7"/>
  <c r="X1508" i="7"/>
  <c r="X1507" i="7"/>
  <c r="X1506" i="7"/>
  <c r="X1505" i="7"/>
  <c r="X1504" i="7"/>
  <c r="X1503" i="7"/>
  <c r="X1502" i="7"/>
  <c r="X1501" i="7"/>
  <c r="X1500" i="7"/>
  <c r="X1499" i="7"/>
  <c r="X1498" i="7"/>
  <c r="X1497" i="7"/>
  <c r="X1496" i="7"/>
  <c r="X1495" i="7"/>
  <c r="X1494" i="7"/>
  <c r="X1493" i="7"/>
  <c r="X1492" i="7"/>
  <c r="X1491" i="7"/>
  <c r="X1490" i="7"/>
  <c r="X1489" i="7"/>
  <c r="X1488" i="7"/>
  <c r="X1487" i="7"/>
  <c r="X1486" i="7"/>
  <c r="X1485" i="7"/>
  <c r="X1484" i="7"/>
  <c r="X1483" i="7"/>
  <c r="X1482" i="7"/>
  <c r="X1481" i="7"/>
  <c r="X1480" i="7"/>
  <c r="X1479" i="7"/>
  <c r="X1478" i="7"/>
  <c r="X1477" i="7"/>
  <c r="X1476" i="7"/>
  <c r="X1475" i="7"/>
  <c r="X1474" i="7"/>
  <c r="X1473" i="7"/>
  <c r="X1472" i="7"/>
  <c r="X1471" i="7"/>
  <c r="X1470" i="7"/>
  <c r="X1469" i="7"/>
  <c r="X1468" i="7"/>
  <c r="X1467" i="7"/>
  <c r="X1466" i="7"/>
  <c r="X1465" i="7"/>
  <c r="X1463" i="7"/>
  <c r="X1462" i="7"/>
  <c r="X1461" i="7"/>
  <c r="X1460" i="7"/>
  <c r="X1459" i="7"/>
  <c r="X1458" i="7"/>
  <c r="X1457" i="7"/>
  <c r="X1456" i="7"/>
  <c r="X1455" i="7"/>
  <c r="X1454" i="7"/>
  <c r="X1453" i="7"/>
  <c r="X1452" i="7"/>
  <c r="X1451" i="7"/>
  <c r="X1450" i="7"/>
  <c r="X1449" i="7"/>
  <c r="X1448" i="7"/>
  <c r="X1447" i="7"/>
  <c r="X1446" i="7"/>
  <c r="X1445" i="7"/>
  <c r="X1444" i="7"/>
  <c r="X1443" i="7"/>
  <c r="X1442" i="7"/>
  <c r="X1441" i="7"/>
  <c r="X1440" i="7"/>
  <c r="X1439" i="7"/>
  <c r="X1438" i="7"/>
  <c r="X1437" i="7"/>
  <c r="X1436" i="7"/>
  <c r="X1435" i="7"/>
  <c r="X1434" i="7"/>
  <c r="X1433" i="7"/>
  <c r="X1432" i="7"/>
  <c r="X1431" i="7"/>
  <c r="X1430" i="7"/>
  <c r="X1429" i="7"/>
  <c r="X1428" i="7"/>
  <c r="X1427" i="7"/>
  <c r="X1426" i="7"/>
  <c r="X1425" i="7"/>
  <c r="X1424" i="7"/>
  <c r="X1423" i="7"/>
  <c r="X1422" i="7"/>
  <c r="X1421" i="7"/>
  <c r="X1420" i="7"/>
  <c r="X1419" i="7"/>
  <c r="X1418" i="7"/>
  <c r="X1417" i="7"/>
  <c r="X1416" i="7"/>
  <c r="X1415" i="7"/>
  <c r="X1414" i="7"/>
  <c r="X1413" i="7"/>
  <c r="X1412" i="7"/>
  <c r="X1411" i="7"/>
  <c r="X1410" i="7"/>
  <c r="X1409" i="7"/>
  <c r="X1408" i="7"/>
  <c r="X1407" i="7"/>
  <c r="X1406" i="7"/>
  <c r="X1405" i="7"/>
  <c r="X1404" i="7"/>
  <c r="X1403" i="7"/>
  <c r="X1402" i="7"/>
  <c r="X1401" i="7"/>
  <c r="X1400" i="7"/>
  <c r="X1399" i="7"/>
  <c r="X1398" i="7"/>
  <c r="X1397" i="7"/>
  <c r="X1396" i="7"/>
  <c r="X1395" i="7"/>
  <c r="X1394" i="7"/>
  <c r="X1393" i="7"/>
  <c r="X1392" i="7"/>
  <c r="X1391" i="7"/>
  <c r="X1390" i="7"/>
  <c r="X1389" i="7"/>
  <c r="X1388" i="7"/>
  <c r="X1387" i="7"/>
  <c r="X1386" i="7"/>
  <c r="X1385" i="7"/>
  <c r="X1384" i="7"/>
  <c r="X1383" i="7"/>
  <c r="X1382" i="7"/>
  <c r="X1381" i="7"/>
  <c r="X1380" i="7"/>
  <c r="X1379" i="7"/>
  <c r="X1378" i="7"/>
  <c r="X1377" i="7"/>
  <c r="X1376" i="7"/>
  <c r="X1375" i="7"/>
  <c r="X1374" i="7"/>
  <c r="X1373" i="7"/>
  <c r="X1372" i="7"/>
  <c r="X1371" i="7"/>
  <c r="X1370" i="7"/>
  <c r="X1369" i="7"/>
  <c r="X1368" i="7"/>
  <c r="X1367" i="7"/>
  <c r="X1366" i="7"/>
  <c r="X1365" i="7"/>
  <c r="X1364" i="7"/>
  <c r="X1363" i="7"/>
  <c r="X1362" i="7"/>
  <c r="X1361" i="7"/>
  <c r="X1360" i="7"/>
  <c r="X1359" i="7"/>
  <c r="X1358" i="7"/>
  <c r="X1357" i="7"/>
  <c r="X1356" i="7"/>
  <c r="X1355" i="7"/>
  <c r="X1354" i="7"/>
  <c r="X1353" i="7"/>
  <c r="X1352" i="7"/>
  <c r="X1351" i="7"/>
  <c r="X1350" i="7"/>
  <c r="X1349" i="7"/>
  <c r="X1348" i="7"/>
  <c r="X1347" i="7"/>
  <c r="X1346" i="7"/>
  <c r="X1345" i="7"/>
  <c r="X1344" i="7"/>
  <c r="X1343" i="7"/>
  <c r="X1342" i="7"/>
  <c r="X1341" i="7"/>
  <c r="X1340" i="7"/>
  <c r="X1339" i="7"/>
  <c r="X1338" i="7"/>
  <c r="X1337" i="7"/>
  <c r="X1336" i="7"/>
  <c r="X1335" i="7"/>
  <c r="X1334" i="7"/>
  <c r="X1333" i="7"/>
  <c r="X1332" i="7"/>
  <c r="X1331" i="7"/>
  <c r="X1330" i="7"/>
  <c r="X1329" i="7"/>
  <c r="X1328" i="7"/>
  <c r="X1327" i="7"/>
  <c r="X1326" i="7"/>
  <c r="X1325" i="7"/>
  <c r="X1324" i="7"/>
  <c r="X1323" i="7"/>
  <c r="X1322" i="7"/>
  <c r="X1321" i="7"/>
  <c r="X1320" i="7"/>
  <c r="X1319" i="7"/>
  <c r="X1318" i="7"/>
  <c r="X1317" i="7"/>
  <c r="X1316" i="7"/>
  <c r="X1315" i="7"/>
  <c r="X1314" i="7"/>
  <c r="X1313" i="7"/>
  <c r="X1312" i="7"/>
  <c r="X1311" i="7"/>
  <c r="X1310" i="7"/>
  <c r="X1309" i="7"/>
  <c r="X1308" i="7"/>
  <c r="X1307" i="7"/>
  <c r="X1306" i="7"/>
  <c r="X1305" i="7"/>
  <c r="X1304" i="7"/>
  <c r="X1303" i="7"/>
  <c r="X1302" i="7"/>
  <c r="X1301" i="7"/>
  <c r="X1300" i="7"/>
  <c r="X1299" i="7"/>
  <c r="X1298" i="7"/>
  <c r="X1297" i="7"/>
  <c r="X1296" i="7"/>
  <c r="X1295" i="7"/>
  <c r="X1294" i="7"/>
  <c r="X1293" i="7"/>
  <c r="X1292" i="7"/>
  <c r="X1291" i="7"/>
  <c r="X1290" i="7"/>
  <c r="X1289" i="7"/>
  <c r="X1288" i="7"/>
  <c r="X1287" i="7"/>
  <c r="X1286" i="7"/>
  <c r="X1285" i="7"/>
  <c r="X1284" i="7"/>
  <c r="X1283" i="7"/>
  <c r="X1282" i="7"/>
  <c r="X1281" i="7"/>
  <c r="X1280" i="7"/>
  <c r="X1279" i="7"/>
  <c r="X1278" i="7"/>
  <c r="X1277" i="7"/>
  <c r="X1276" i="7"/>
  <c r="X1275" i="7"/>
  <c r="X1274" i="7"/>
  <c r="X1273" i="7"/>
  <c r="X1272" i="7"/>
  <c r="X1271" i="7"/>
  <c r="X1270" i="7"/>
  <c r="X1269" i="7"/>
  <c r="X1268" i="7"/>
  <c r="X1267" i="7"/>
  <c r="X1266" i="7"/>
  <c r="X1265" i="7"/>
  <c r="X1264" i="7"/>
  <c r="X1263" i="7"/>
  <c r="X1262" i="7"/>
  <c r="X1261" i="7"/>
  <c r="X1260" i="7"/>
  <c r="X1259" i="7"/>
  <c r="X1258" i="7"/>
  <c r="X1257" i="7"/>
  <c r="X1256" i="7"/>
  <c r="X1255" i="7"/>
  <c r="X1254" i="7"/>
  <c r="X1253" i="7"/>
  <c r="X1252" i="7"/>
  <c r="X1251" i="7"/>
  <c r="X1250" i="7"/>
  <c r="X1249" i="7"/>
  <c r="X1248" i="7"/>
  <c r="X1247" i="7"/>
  <c r="X1246" i="7"/>
  <c r="X1245" i="7"/>
  <c r="X1244" i="7"/>
  <c r="X1243" i="7"/>
  <c r="X1242" i="7"/>
  <c r="X1241" i="7"/>
  <c r="X1240" i="7"/>
  <c r="X1239" i="7"/>
  <c r="X1238" i="7"/>
  <c r="X1237" i="7"/>
  <c r="X1236" i="7"/>
  <c r="X1235" i="7"/>
  <c r="X1234" i="7"/>
  <c r="X1233" i="7"/>
  <c r="X1232" i="7"/>
  <c r="X1231" i="7"/>
  <c r="X1230" i="7"/>
  <c r="X1229" i="7"/>
  <c r="X1228" i="7"/>
  <c r="X1227" i="7"/>
  <c r="X1226" i="7"/>
  <c r="X1225" i="7"/>
  <c r="X1224" i="7"/>
  <c r="X1223" i="7"/>
  <c r="X1222" i="7"/>
  <c r="X1221" i="7"/>
  <c r="X1220" i="7"/>
  <c r="X1219" i="7"/>
  <c r="X1218" i="7"/>
  <c r="X1217" i="7"/>
  <c r="X1216" i="7"/>
  <c r="X1215" i="7"/>
  <c r="X1214" i="7"/>
  <c r="X1213" i="7"/>
  <c r="X1212" i="7"/>
  <c r="X1211" i="7"/>
  <c r="X1210" i="7"/>
  <c r="X1209" i="7"/>
  <c r="X1208" i="7"/>
  <c r="X1207" i="7"/>
  <c r="X1206" i="7"/>
  <c r="X1205" i="7"/>
  <c r="X1204" i="7"/>
  <c r="X1203" i="7"/>
  <c r="X1202" i="7"/>
  <c r="X1201" i="7"/>
  <c r="X1200" i="7"/>
  <c r="X1199" i="7"/>
  <c r="X1198" i="7"/>
  <c r="X1197" i="7"/>
  <c r="X1196" i="7"/>
  <c r="X1195" i="7"/>
  <c r="X1194" i="7"/>
  <c r="X1193" i="7"/>
  <c r="X1192" i="7"/>
  <c r="X1191" i="7"/>
  <c r="X1190" i="7"/>
  <c r="X1189" i="7"/>
  <c r="X1188" i="7"/>
  <c r="X1187" i="7"/>
  <c r="X1186" i="7"/>
  <c r="X1185" i="7"/>
  <c r="X1184" i="7"/>
  <c r="X1183" i="7"/>
  <c r="X1182" i="7"/>
  <c r="X1181" i="7"/>
  <c r="X1180" i="7"/>
  <c r="X1178" i="7"/>
  <c r="X1177" i="7"/>
  <c r="X1176" i="7"/>
  <c r="X1175" i="7"/>
  <c r="X1174" i="7"/>
  <c r="X1173" i="7"/>
  <c r="X1172" i="7"/>
  <c r="X1171" i="7"/>
  <c r="X1170" i="7"/>
  <c r="X1169" i="7"/>
  <c r="X1168" i="7"/>
  <c r="X1167" i="7"/>
  <c r="X1166" i="7"/>
  <c r="X1165" i="7"/>
  <c r="X1164" i="7"/>
  <c r="X1163" i="7"/>
  <c r="X1162" i="7"/>
  <c r="X1161" i="7"/>
  <c r="X1160" i="7"/>
  <c r="X1159" i="7"/>
  <c r="X1158" i="7"/>
  <c r="X1157" i="7"/>
  <c r="X1156" i="7"/>
  <c r="X1155" i="7"/>
  <c r="X1154" i="7"/>
  <c r="X1153" i="7"/>
  <c r="X1152" i="7"/>
  <c r="X1151" i="7"/>
  <c r="X1150" i="7"/>
  <c r="X1149" i="7"/>
  <c r="X1148" i="7"/>
  <c r="X1147" i="7"/>
  <c r="X1146" i="7"/>
  <c r="X1145" i="7"/>
  <c r="X1144" i="7"/>
  <c r="X1143" i="7"/>
  <c r="X1142" i="7"/>
  <c r="X1141" i="7"/>
  <c r="X1140" i="7"/>
  <c r="X1139" i="7"/>
  <c r="X1138" i="7"/>
  <c r="X1137" i="7"/>
  <c r="X1136" i="7"/>
  <c r="X1135" i="7"/>
  <c r="X1134" i="7"/>
  <c r="X1133" i="7"/>
  <c r="X1132" i="7"/>
  <c r="X1131" i="7"/>
  <c r="X1130" i="7"/>
  <c r="X1129" i="7"/>
  <c r="X1128" i="7"/>
  <c r="X1127" i="7"/>
  <c r="X1126" i="7"/>
  <c r="X1125" i="7"/>
  <c r="X1124" i="7"/>
  <c r="X1123" i="7"/>
  <c r="X1122" i="7"/>
  <c r="X1121" i="7"/>
  <c r="X1120" i="7"/>
  <c r="X1119" i="7"/>
  <c r="X1118" i="7"/>
  <c r="X1117" i="7"/>
  <c r="X1116" i="7"/>
  <c r="X1115" i="7"/>
  <c r="X1114" i="7"/>
  <c r="X1113" i="7"/>
  <c r="X1112" i="7"/>
  <c r="X1111" i="7"/>
  <c r="X1110" i="7"/>
  <c r="X1109" i="7"/>
  <c r="X1108" i="7"/>
  <c r="X1107" i="7"/>
  <c r="X1106" i="7"/>
  <c r="X1105" i="7"/>
  <c r="X1104" i="7"/>
  <c r="X1103" i="7"/>
  <c r="X1102" i="7"/>
  <c r="X1101" i="7"/>
  <c r="X1100" i="7"/>
  <c r="X1099" i="7"/>
  <c r="X1098" i="7"/>
  <c r="X1097" i="7"/>
  <c r="X1096" i="7"/>
  <c r="X1095" i="7"/>
  <c r="X1094" i="7"/>
  <c r="X1093" i="7"/>
  <c r="X1092" i="7"/>
  <c r="X1091" i="7"/>
  <c r="X1090" i="7"/>
  <c r="X1089" i="7"/>
  <c r="X1088" i="7"/>
  <c r="X1087" i="7"/>
  <c r="X1086" i="7"/>
  <c r="X1085" i="7"/>
  <c r="X1084" i="7"/>
  <c r="X1083" i="7"/>
  <c r="X1082" i="7"/>
  <c r="X1081" i="7"/>
  <c r="X1080" i="7"/>
  <c r="X1079" i="7"/>
  <c r="X1078" i="7"/>
  <c r="X1077" i="7"/>
  <c r="X1076" i="7"/>
  <c r="X1075" i="7"/>
  <c r="X1074" i="7"/>
  <c r="X1073" i="7"/>
  <c r="X1072" i="7"/>
  <c r="X1071" i="7"/>
  <c r="X1070" i="7"/>
  <c r="X1069" i="7"/>
  <c r="X1068" i="7"/>
  <c r="X1067" i="7"/>
  <c r="X1066" i="7"/>
  <c r="X1065" i="7"/>
  <c r="X1064" i="7"/>
  <c r="X1063" i="7"/>
  <c r="X1062" i="7"/>
  <c r="X1061" i="7"/>
  <c r="X1060" i="7"/>
  <c r="X1059" i="7"/>
  <c r="X1058" i="7"/>
  <c r="X1057" i="7"/>
  <c r="X1056" i="7"/>
  <c r="X1055" i="7"/>
  <c r="X1054" i="7"/>
  <c r="X1053" i="7"/>
  <c r="X1052" i="7"/>
  <c r="X1051" i="7"/>
  <c r="X1050" i="7"/>
  <c r="X1049" i="7"/>
  <c r="X1048" i="7"/>
  <c r="X1047" i="7"/>
  <c r="X1046" i="7"/>
  <c r="X1045" i="7"/>
  <c r="X1044" i="7"/>
  <c r="X1043" i="7"/>
  <c r="X1042" i="7"/>
  <c r="X1041" i="7"/>
  <c r="X1040" i="7"/>
  <c r="X1039" i="7"/>
  <c r="X1038" i="7"/>
  <c r="X1037" i="7"/>
  <c r="X1036" i="7"/>
  <c r="X1035" i="7"/>
  <c r="X1034" i="7"/>
  <c r="X1033" i="7"/>
  <c r="X1032" i="7"/>
  <c r="X1031" i="7"/>
  <c r="X1030" i="7"/>
  <c r="X1029" i="7"/>
  <c r="X1028" i="7"/>
  <c r="X1027" i="7"/>
  <c r="X1026" i="7"/>
  <c r="X1025" i="7"/>
  <c r="X1024" i="7"/>
  <c r="X1023" i="7"/>
  <c r="X1022" i="7"/>
  <c r="X1021" i="7"/>
  <c r="X1020" i="7"/>
  <c r="X1019" i="7"/>
  <c r="X1018" i="7"/>
  <c r="X1017" i="7"/>
  <c r="X1016" i="7"/>
  <c r="X1015" i="7"/>
  <c r="X1014" i="7"/>
  <c r="X1013" i="7"/>
  <c r="X1012" i="7"/>
  <c r="X1011" i="7"/>
  <c r="X1010" i="7"/>
  <c r="X1009" i="7"/>
  <c r="X1008" i="7"/>
  <c r="X1007" i="7"/>
  <c r="X1006" i="7"/>
  <c r="X1005" i="7"/>
  <c r="X1004" i="7"/>
  <c r="X1003" i="7"/>
  <c r="X1002" i="7"/>
  <c r="X1001" i="7"/>
  <c r="X1000" i="7"/>
  <c r="X999" i="7"/>
  <c r="X998" i="7"/>
  <c r="X997" i="7"/>
  <c r="X996" i="7"/>
  <c r="X995" i="7"/>
  <c r="X994" i="7"/>
  <c r="X993" i="7"/>
  <c r="X992" i="7"/>
  <c r="X991" i="7"/>
  <c r="X990" i="7"/>
  <c r="X989" i="7"/>
  <c r="X988" i="7"/>
  <c r="X987" i="7"/>
  <c r="X986" i="7"/>
  <c r="X985" i="7"/>
  <c r="X984" i="7"/>
  <c r="X983" i="7"/>
  <c r="X982" i="7"/>
  <c r="X981" i="7"/>
  <c r="X980" i="7"/>
  <c r="X979" i="7"/>
  <c r="X978" i="7"/>
  <c r="X977" i="7"/>
  <c r="X975" i="7"/>
  <c r="X974" i="7"/>
  <c r="X973" i="7"/>
  <c r="X972" i="7"/>
  <c r="X971" i="7"/>
  <c r="X970" i="7"/>
  <c r="X969" i="7"/>
  <c r="X968" i="7"/>
  <c r="X967" i="7"/>
  <c r="X966" i="7"/>
  <c r="X965" i="7"/>
  <c r="X964" i="7"/>
  <c r="X963" i="7"/>
  <c r="X962" i="7"/>
  <c r="X961" i="7"/>
  <c r="X960" i="7"/>
  <c r="X959" i="7"/>
  <c r="X958" i="7"/>
  <c r="X957" i="7"/>
  <c r="X956" i="7"/>
  <c r="X955" i="7"/>
  <c r="X954" i="7"/>
  <c r="X953" i="7"/>
  <c r="X952" i="7"/>
  <c r="X951" i="7"/>
  <c r="X950" i="7"/>
  <c r="X949" i="7"/>
  <c r="X948" i="7"/>
  <c r="X947" i="7"/>
  <c r="X946" i="7"/>
  <c r="X945" i="7"/>
  <c r="X944" i="7"/>
  <c r="X943" i="7"/>
  <c r="X942" i="7"/>
  <c r="X941" i="7"/>
  <c r="X940" i="7"/>
  <c r="X939" i="7"/>
  <c r="X938" i="7"/>
  <c r="X937" i="7"/>
  <c r="X936" i="7"/>
  <c r="X935" i="7"/>
  <c r="X934" i="7"/>
  <c r="X933" i="7"/>
  <c r="X932" i="7"/>
  <c r="X931" i="7"/>
  <c r="X930" i="7"/>
  <c r="X929" i="7"/>
  <c r="X928" i="7"/>
  <c r="X927" i="7"/>
  <c r="X926" i="7"/>
  <c r="X925" i="7"/>
  <c r="X924" i="7"/>
  <c r="X923" i="7"/>
  <c r="X922" i="7"/>
  <c r="X921" i="7"/>
  <c r="X920" i="7"/>
  <c r="X919" i="7"/>
  <c r="X918" i="7"/>
  <c r="X917" i="7"/>
  <c r="X916" i="7"/>
  <c r="X915" i="7"/>
  <c r="X914" i="7"/>
  <c r="X913" i="7"/>
  <c r="X912" i="7"/>
  <c r="X911" i="7"/>
  <c r="X910" i="7"/>
  <c r="X909" i="7"/>
  <c r="X908" i="7"/>
  <c r="X907" i="7"/>
  <c r="X906" i="7"/>
  <c r="X905" i="7"/>
  <c r="X904" i="7"/>
  <c r="X903" i="7"/>
  <c r="X902" i="7"/>
  <c r="X901" i="7"/>
  <c r="X900" i="7"/>
  <c r="X899" i="7"/>
  <c r="X898" i="7"/>
  <c r="X897" i="7"/>
  <c r="X896" i="7"/>
  <c r="X895" i="7"/>
  <c r="X894" i="7"/>
  <c r="X893" i="7"/>
  <c r="X892" i="7"/>
  <c r="X891" i="7"/>
  <c r="X890" i="7"/>
  <c r="X889" i="7"/>
  <c r="X888" i="7"/>
  <c r="X887" i="7"/>
  <c r="X886" i="7"/>
  <c r="X885" i="7"/>
  <c r="X884" i="7"/>
  <c r="X883" i="7"/>
  <c r="X882" i="7"/>
  <c r="X881" i="7"/>
  <c r="X880" i="7"/>
  <c r="X879" i="7"/>
  <c r="X878" i="7"/>
  <c r="X877" i="7"/>
  <c r="X876" i="7"/>
  <c r="X875" i="7"/>
  <c r="X874" i="7"/>
  <c r="X873" i="7"/>
  <c r="X872" i="7"/>
  <c r="X871" i="7"/>
  <c r="X870" i="7"/>
  <c r="X869" i="7"/>
  <c r="X868" i="7"/>
  <c r="X867" i="7"/>
  <c r="X866" i="7"/>
  <c r="X865" i="7"/>
  <c r="X864" i="7"/>
  <c r="X863" i="7"/>
  <c r="X862" i="7"/>
  <c r="X861" i="7"/>
  <c r="X860" i="7"/>
  <c r="X859" i="7"/>
  <c r="X858" i="7"/>
  <c r="X857" i="7"/>
  <c r="X856" i="7"/>
  <c r="X855" i="7"/>
  <c r="X851" i="7"/>
  <c r="X850" i="7"/>
  <c r="X849" i="7"/>
  <c r="X848" i="7"/>
  <c r="X847" i="7"/>
  <c r="X846" i="7"/>
  <c r="X845" i="7"/>
  <c r="X844" i="7"/>
  <c r="X843" i="7"/>
  <c r="X842" i="7"/>
  <c r="X836" i="7"/>
  <c r="X829" i="7"/>
  <c r="X828" i="7"/>
  <c r="X827" i="7"/>
  <c r="X826" i="7"/>
  <c r="X825" i="7"/>
  <c r="X824" i="7"/>
  <c r="X823" i="7"/>
  <c r="X822" i="7"/>
  <c r="X821" i="7"/>
  <c r="X820" i="7"/>
  <c r="X819" i="7"/>
  <c r="X818" i="7"/>
  <c r="X817" i="7"/>
  <c r="X816" i="7"/>
  <c r="X815" i="7"/>
  <c r="X814" i="7"/>
  <c r="X813" i="7"/>
  <c r="X812" i="7"/>
  <c r="X811" i="7"/>
  <c r="X810" i="7"/>
  <c r="X809" i="7"/>
  <c r="X808" i="7"/>
  <c r="X807" i="7"/>
  <c r="X806" i="7"/>
  <c r="X805" i="7"/>
  <c r="X804" i="7"/>
  <c r="X803" i="7"/>
  <c r="X802" i="7"/>
  <c r="X801" i="7"/>
  <c r="X800" i="7"/>
  <c r="X799" i="7"/>
  <c r="X798" i="7"/>
  <c r="X797" i="7"/>
  <c r="X796" i="7"/>
  <c r="X795" i="7"/>
  <c r="X794" i="7"/>
  <c r="X793" i="7"/>
  <c r="X792" i="7"/>
  <c r="X791" i="7"/>
  <c r="X790" i="7"/>
  <c r="X789" i="7"/>
  <c r="X788" i="7"/>
  <c r="X787" i="7"/>
  <c r="X786" i="7"/>
  <c r="X785" i="7"/>
  <c r="X784" i="7"/>
  <c r="X783" i="7"/>
  <c r="X782" i="7"/>
  <c r="X781" i="7"/>
  <c r="X780" i="7"/>
  <c r="X779" i="7"/>
  <c r="X778" i="7"/>
  <c r="X777" i="7"/>
  <c r="X776" i="7"/>
  <c r="X775" i="7"/>
  <c r="X774" i="7"/>
  <c r="X773" i="7"/>
  <c r="X772" i="7"/>
  <c r="X771" i="7"/>
  <c r="X770" i="7"/>
  <c r="X769" i="7"/>
  <c r="X768" i="7"/>
  <c r="X767" i="7"/>
  <c r="X766" i="7"/>
  <c r="X765" i="7"/>
  <c r="X764" i="7"/>
  <c r="X763" i="7"/>
  <c r="X762" i="7"/>
  <c r="X761" i="7"/>
  <c r="X760" i="7"/>
  <c r="X759" i="7"/>
  <c r="X758" i="7"/>
  <c r="X757" i="7"/>
  <c r="X756" i="7"/>
  <c r="X755" i="7"/>
  <c r="X754" i="7"/>
  <c r="X753" i="7"/>
  <c r="X752" i="7"/>
  <c r="X751" i="7"/>
  <c r="X750" i="7"/>
  <c r="X749" i="7"/>
  <c r="X748" i="7"/>
  <c r="X747" i="7"/>
  <c r="X746" i="7"/>
  <c r="X745" i="7"/>
  <c r="X744" i="7"/>
  <c r="X743" i="7"/>
  <c r="X742" i="7"/>
  <c r="X741" i="7"/>
  <c r="X740" i="7"/>
  <c r="X739" i="7"/>
  <c r="X738" i="7"/>
  <c r="X737" i="7"/>
  <c r="X736" i="7"/>
  <c r="X735" i="7"/>
  <c r="X734" i="7"/>
  <c r="X733" i="7"/>
  <c r="X732" i="7"/>
  <c r="X731" i="7"/>
  <c r="X730" i="7"/>
  <c r="X729" i="7"/>
  <c r="X728" i="7"/>
  <c r="X727" i="7"/>
  <c r="X726" i="7"/>
  <c r="X725" i="7"/>
  <c r="X724" i="7"/>
  <c r="X723" i="7"/>
  <c r="X722" i="7"/>
  <c r="X721" i="7"/>
  <c r="X720" i="7"/>
  <c r="X719" i="7"/>
  <c r="X718" i="7"/>
  <c r="X717" i="7"/>
  <c r="X716" i="7"/>
  <c r="X715" i="7"/>
  <c r="X714" i="7"/>
  <c r="X713" i="7"/>
  <c r="X712" i="7"/>
  <c r="X711" i="7"/>
  <c r="X710" i="7"/>
  <c r="X709" i="7"/>
  <c r="X708" i="7"/>
  <c r="X707" i="7"/>
  <c r="X706" i="7"/>
  <c r="X705" i="7"/>
  <c r="X704" i="7"/>
  <c r="X703" i="7"/>
  <c r="X702" i="7"/>
  <c r="X701" i="7"/>
  <c r="X700" i="7"/>
  <c r="X699" i="7"/>
  <c r="X698" i="7"/>
  <c r="X697" i="7"/>
  <c r="X696" i="7"/>
  <c r="X695" i="7"/>
  <c r="X694" i="7"/>
  <c r="X693" i="7"/>
  <c r="X692" i="7"/>
  <c r="X691" i="7"/>
  <c r="X690" i="7"/>
  <c r="X689" i="7"/>
  <c r="X688" i="7"/>
  <c r="X686" i="7"/>
  <c r="X685" i="7"/>
  <c r="X684" i="7"/>
  <c r="X683" i="7"/>
  <c r="X682" i="7"/>
  <c r="X681" i="7"/>
  <c r="X680" i="7"/>
  <c r="X679" i="7"/>
  <c r="X678" i="7"/>
  <c r="X677" i="7"/>
  <c r="X676" i="7"/>
  <c r="X675" i="7"/>
  <c r="X674" i="7"/>
  <c r="X673" i="7"/>
  <c r="X672" i="7"/>
  <c r="X668" i="7"/>
  <c r="X667" i="7"/>
  <c r="X666" i="7"/>
  <c r="X665" i="7"/>
  <c r="X664" i="7"/>
  <c r="X663" i="7"/>
  <c r="X662" i="7"/>
  <c r="X661" i="7"/>
  <c r="X660" i="7"/>
  <c r="X659" i="7"/>
  <c r="X658" i="7"/>
  <c r="X657" i="7"/>
  <c r="X656" i="7"/>
  <c r="X655" i="7"/>
  <c r="X654" i="7"/>
  <c r="X653" i="7"/>
  <c r="X652" i="7"/>
  <c r="X651" i="7"/>
  <c r="X650" i="7"/>
  <c r="X649" i="7"/>
  <c r="X648" i="7"/>
  <c r="X647" i="7"/>
  <c r="X646" i="7"/>
  <c r="X645" i="7"/>
  <c r="X644" i="7"/>
  <c r="X643" i="7"/>
  <c r="X642" i="7"/>
  <c r="X638" i="7"/>
  <c r="X637" i="7"/>
  <c r="X636" i="7"/>
  <c r="X635" i="7"/>
  <c r="X634" i="7"/>
  <c r="X633" i="7"/>
  <c r="X632" i="7"/>
  <c r="X631" i="7"/>
  <c r="X630" i="7"/>
  <c r="X629" i="7"/>
  <c r="X628" i="7"/>
  <c r="X627" i="7"/>
  <c r="X626" i="7"/>
  <c r="X623" i="7"/>
  <c r="X622" i="7"/>
  <c r="X620" i="7"/>
  <c r="X619" i="7"/>
  <c r="X618" i="7"/>
  <c r="X617" i="7"/>
  <c r="X613" i="7"/>
  <c r="X612" i="7"/>
  <c r="X609" i="7"/>
  <c r="X606" i="7"/>
  <c r="X605" i="7"/>
  <c r="X604" i="7"/>
  <c r="X603" i="7"/>
  <c r="X602" i="7"/>
  <c r="X601" i="7"/>
  <c r="X600" i="7"/>
  <c r="X599" i="7"/>
  <c r="X598" i="7"/>
  <c r="X597" i="7"/>
  <c r="X596" i="7"/>
  <c r="X595" i="7"/>
  <c r="X594" i="7"/>
  <c r="X593" i="7"/>
  <c r="X592" i="7"/>
  <c r="X591" i="7"/>
  <c r="X590" i="7"/>
  <c r="X589" i="7"/>
  <c r="X588" i="7"/>
  <c r="X587" i="7"/>
  <c r="X586" i="7"/>
  <c r="X585" i="7"/>
  <c r="X584" i="7"/>
  <c r="X583" i="7"/>
  <c r="X582" i="7"/>
  <c r="X581" i="7"/>
  <c r="X580" i="7"/>
  <c r="X579" i="7"/>
  <c r="X578" i="7"/>
  <c r="X577" i="7"/>
  <c r="X576" i="7"/>
  <c r="X575" i="7"/>
  <c r="X574" i="7"/>
  <c r="X573" i="7"/>
  <c r="X572" i="7"/>
  <c r="X570" i="7"/>
  <c r="X568" i="7"/>
  <c r="X565" i="7"/>
  <c r="X564" i="7"/>
  <c r="X563" i="7"/>
  <c r="X562" i="7"/>
  <c r="X561" i="7"/>
  <c r="X560" i="7"/>
  <c r="X559" i="7"/>
  <c r="X558" i="7"/>
  <c r="X557" i="7"/>
  <c r="X556" i="7"/>
  <c r="X554" i="7"/>
  <c r="X553" i="7"/>
  <c r="X552" i="7"/>
  <c r="X551" i="7"/>
  <c r="X550" i="7"/>
  <c r="X549" i="7"/>
  <c r="X548" i="7"/>
  <c r="X547" i="7"/>
  <c r="X546" i="7"/>
  <c r="X545" i="7"/>
  <c r="X544" i="7"/>
  <c r="X543" i="7"/>
  <c r="X542" i="7"/>
  <c r="X541" i="7"/>
  <c r="X540" i="7"/>
  <c r="X539" i="7"/>
  <c r="X538" i="7"/>
  <c r="X537" i="7"/>
  <c r="X536" i="7"/>
  <c r="X534" i="7"/>
  <c r="X528" i="7"/>
  <c r="X527" i="7"/>
  <c r="X526" i="7"/>
  <c r="X525" i="7"/>
  <c r="X524" i="7"/>
  <c r="X523" i="7"/>
  <c r="X521" i="7"/>
  <c r="X520" i="7"/>
  <c r="X519" i="7"/>
  <c r="X517" i="7"/>
  <c r="X516" i="7"/>
  <c r="X515" i="7"/>
  <c r="X514" i="7"/>
  <c r="X513" i="7"/>
  <c r="X512" i="7"/>
  <c r="X511" i="7"/>
  <c r="X510" i="7"/>
  <c r="X508" i="7"/>
  <c r="X507" i="7"/>
  <c r="X506" i="7"/>
  <c r="X505" i="7"/>
  <c r="X504" i="7"/>
  <c r="X502" i="7"/>
  <c r="X501" i="7"/>
  <c r="X500" i="7"/>
  <c r="X499" i="7"/>
  <c r="X498" i="7"/>
  <c r="X497" i="7"/>
  <c r="X496" i="7"/>
  <c r="X495" i="7"/>
  <c r="X494" i="7"/>
  <c r="X493" i="7"/>
  <c r="X492" i="7"/>
  <c r="X491" i="7"/>
  <c r="X490" i="7"/>
  <c r="X489" i="7"/>
  <c r="X488" i="7"/>
  <c r="X487" i="7"/>
  <c r="X485" i="7"/>
  <c r="X484" i="7"/>
  <c r="X483" i="7"/>
  <c r="X482" i="7"/>
  <c r="X481" i="7"/>
  <c r="X480" i="7"/>
  <c r="X479" i="7"/>
  <c r="X478" i="7"/>
  <c r="X477" i="7"/>
  <c r="X476" i="7"/>
  <c r="X475" i="7"/>
  <c r="X474" i="7"/>
  <c r="X473" i="7"/>
  <c r="X472" i="7"/>
  <c r="X470" i="7"/>
  <c r="X469" i="7"/>
  <c r="X468" i="7"/>
  <c r="X467" i="7"/>
  <c r="X466" i="7"/>
  <c r="X465" i="7"/>
  <c r="X464" i="7"/>
  <c r="X463" i="7"/>
  <c r="X462" i="7"/>
  <c r="X461" i="7"/>
  <c r="X460" i="7"/>
  <c r="X459" i="7"/>
  <c r="X458" i="7"/>
  <c r="X457" i="7"/>
  <c r="X456" i="7"/>
  <c r="X455" i="7"/>
  <c r="X454" i="7"/>
  <c r="X453" i="7"/>
  <c r="X452" i="7"/>
  <c r="X451" i="7"/>
  <c r="X450" i="7"/>
  <c r="X449" i="7"/>
  <c r="X448" i="7"/>
  <c r="X447" i="7"/>
  <c r="X446" i="7"/>
  <c r="X445" i="7"/>
  <c r="X444" i="7"/>
  <c r="X443" i="7"/>
  <c r="X442" i="7"/>
  <c r="X441" i="7"/>
  <c r="X440" i="7"/>
  <c r="X439" i="7"/>
  <c r="X438" i="7"/>
  <c r="X437" i="7"/>
  <c r="X436" i="7"/>
  <c r="X435" i="7"/>
  <c r="X434" i="7"/>
  <c r="X433" i="7"/>
  <c r="X432" i="7"/>
  <c r="X431" i="7"/>
  <c r="X430" i="7"/>
  <c r="X429" i="7"/>
  <c r="X428" i="7"/>
  <c r="X427" i="7"/>
  <c r="X426" i="7"/>
  <c r="X425" i="7"/>
  <c r="X424" i="7"/>
  <c r="X423" i="7"/>
  <c r="X422" i="7"/>
  <c r="X421" i="7"/>
  <c r="X420" i="7"/>
  <c r="X419" i="7"/>
  <c r="X418" i="7"/>
  <c r="X417" i="7"/>
  <c r="X416" i="7"/>
  <c r="X415" i="7"/>
  <c r="X414" i="7"/>
  <c r="X413" i="7"/>
  <c r="X412" i="7"/>
  <c r="X411" i="7"/>
  <c r="X410" i="7"/>
  <c r="X409" i="7"/>
  <c r="X408" i="7"/>
  <c r="X407" i="7"/>
  <c r="X406" i="7"/>
  <c r="X405" i="7"/>
  <c r="X404" i="7"/>
  <c r="X403" i="7"/>
  <c r="X402" i="7"/>
  <c r="X401" i="7"/>
  <c r="X400" i="7"/>
  <c r="X399" i="7"/>
  <c r="X398" i="7"/>
  <c r="X397" i="7"/>
  <c r="X396" i="7"/>
  <c r="X395" i="7"/>
  <c r="X394" i="7"/>
  <c r="X393" i="7"/>
  <c r="X392" i="7"/>
  <c r="X391" i="7"/>
  <c r="X390" i="7"/>
  <c r="X389" i="7"/>
  <c r="X388" i="7"/>
  <c r="X387" i="7"/>
  <c r="X386" i="7"/>
  <c r="X385" i="7"/>
  <c r="X384" i="7"/>
  <c r="X383" i="7"/>
  <c r="X382" i="7"/>
  <c r="X381" i="7"/>
  <c r="X380" i="7"/>
  <c r="X379" i="7"/>
  <c r="X378" i="7"/>
  <c r="X377" i="7"/>
  <c r="X376" i="7"/>
  <c r="X375" i="7"/>
  <c r="X374" i="7"/>
  <c r="X373" i="7"/>
  <c r="X372" i="7"/>
  <c r="X371" i="7"/>
  <c r="X370" i="7"/>
  <c r="X369" i="7"/>
  <c r="X368" i="7"/>
  <c r="X367" i="7"/>
  <c r="X366" i="7"/>
  <c r="X365" i="7"/>
  <c r="X364" i="7"/>
  <c r="X363" i="7"/>
  <c r="X362" i="7"/>
  <c r="X361" i="7"/>
  <c r="X360" i="7"/>
  <c r="X359" i="7"/>
  <c r="X358" i="7"/>
  <c r="X357" i="7"/>
  <c r="X356" i="7"/>
  <c r="X355" i="7"/>
  <c r="X354" i="7"/>
  <c r="X353" i="7"/>
  <c r="X352" i="7"/>
  <c r="X351" i="7"/>
  <c r="X350" i="7"/>
  <c r="X349" i="7"/>
  <c r="X348" i="7"/>
  <c r="X347" i="7"/>
  <c r="X346" i="7"/>
  <c r="X345" i="7"/>
  <c r="X344" i="7"/>
  <c r="X343" i="7"/>
  <c r="X342" i="7"/>
  <c r="X341" i="7"/>
  <c r="X340" i="7"/>
  <c r="X339" i="7"/>
  <c r="X338" i="7"/>
  <c r="X337" i="7"/>
  <c r="X336" i="7"/>
  <c r="X335" i="7"/>
  <c r="X334" i="7"/>
  <c r="X333" i="7"/>
  <c r="X332" i="7"/>
  <c r="X331" i="7"/>
  <c r="X330" i="7"/>
  <c r="X329" i="7"/>
  <c r="X328" i="7"/>
  <c r="X327" i="7"/>
  <c r="X326" i="7"/>
  <c r="X325" i="7"/>
  <c r="X324" i="7"/>
  <c r="X323" i="7"/>
  <c r="X322" i="7"/>
  <c r="X321" i="7"/>
  <c r="X320" i="7"/>
  <c r="X319" i="7"/>
  <c r="X318" i="7"/>
  <c r="X317" i="7"/>
  <c r="X316" i="7"/>
  <c r="X315" i="7"/>
  <c r="X314" i="7"/>
  <c r="X313" i="7"/>
  <c r="X312" i="7"/>
  <c r="X311" i="7"/>
  <c r="X310" i="7"/>
  <c r="X309" i="7"/>
  <c r="X308" i="7"/>
  <c r="X307" i="7"/>
  <c r="X306" i="7"/>
  <c r="X305" i="7"/>
  <c r="X304" i="7"/>
  <c r="X303" i="7"/>
  <c r="X302" i="7"/>
  <c r="X301" i="7"/>
  <c r="X300" i="7"/>
  <c r="X299" i="7"/>
  <c r="X298" i="7"/>
  <c r="X297" i="7"/>
  <c r="X295" i="7"/>
  <c r="X294" i="7"/>
  <c r="X293" i="7"/>
  <c r="X292" i="7"/>
  <c r="X291" i="7"/>
  <c r="X290" i="7"/>
  <c r="X289" i="7"/>
  <c r="X288" i="7"/>
  <c r="X287" i="7"/>
  <c r="X286" i="7"/>
  <c r="X285" i="7"/>
  <c r="X284" i="7"/>
  <c r="X283" i="7"/>
  <c r="X282" i="7"/>
  <c r="X281" i="7"/>
  <c r="X280" i="7"/>
  <c r="X279" i="7"/>
  <c r="X278" i="7"/>
  <c r="X277" i="7"/>
  <c r="X276" i="7"/>
  <c r="X275" i="7"/>
  <c r="X274" i="7"/>
  <c r="X273" i="7"/>
  <c r="X272" i="7"/>
  <c r="X271" i="7"/>
  <c r="X270" i="7"/>
  <c r="X269" i="7"/>
  <c r="X268" i="7"/>
  <c r="X267" i="7"/>
  <c r="X266" i="7"/>
  <c r="X265" i="7"/>
  <c r="X264" i="7"/>
  <c r="X263" i="7"/>
  <c r="X262" i="7"/>
  <c r="X261" i="7"/>
  <c r="X260" i="7"/>
  <c r="X259" i="7"/>
  <c r="X258" i="7"/>
  <c r="X257" i="7"/>
  <c r="X256" i="7"/>
  <c r="X255" i="7"/>
  <c r="X254" i="7"/>
  <c r="X253" i="7"/>
  <c r="X252" i="7"/>
  <c r="X251" i="7"/>
  <c r="X250" i="7"/>
  <c r="X249" i="7"/>
  <c r="X248" i="7"/>
  <c r="X247" i="7"/>
  <c r="X246" i="7"/>
  <c r="X245" i="7"/>
  <c r="X244" i="7"/>
  <c r="X243" i="7"/>
  <c r="X242" i="7"/>
  <c r="X241" i="7"/>
  <c r="X238" i="7"/>
  <c r="X237" i="7"/>
  <c r="X236" i="7"/>
  <c r="X235" i="7"/>
  <c r="X234" i="7"/>
  <c r="X233" i="7"/>
  <c r="X232" i="7"/>
  <c r="X230" i="7"/>
  <c r="X229" i="7"/>
  <c r="X228" i="7"/>
  <c r="X227" i="7"/>
  <c r="X226" i="7"/>
  <c r="X224" i="7"/>
  <c r="X223" i="7"/>
  <c r="X222" i="7"/>
  <c r="X221" i="7"/>
  <c r="X220" i="7"/>
  <c r="X219" i="7"/>
  <c r="X218" i="7"/>
  <c r="X217" i="7"/>
  <c r="X216" i="7"/>
  <c r="X215" i="7"/>
  <c r="X214" i="7"/>
  <c r="X213" i="7"/>
  <c r="X212" i="7"/>
  <c r="X211" i="7"/>
  <c r="X210" i="7"/>
  <c r="X209" i="7"/>
  <c r="X208" i="7"/>
  <c r="X207" i="7"/>
  <c r="X206" i="7"/>
  <c r="X205" i="7"/>
  <c r="X204" i="7"/>
  <c r="X203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3" i="7"/>
  <c r="X182" i="7"/>
  <c r="X181" i="7"/>
  <c r="X180" i="7"/>
  <c r="X179" i="7"/>
  <c r="X178" i="7"/>
  <c r="X177" i="7"/>
  <c r="X176" i="7"/>
  <c r="X175" i="7"/>
  <c r="X173" i="7"/>
  <c r="X172" i="7"/>
  <c r="X171" i="7"/>
  <c r="X170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W1971" i="7"/>
  <c r="W1969" i="7"/>
  <c r="W1965" i="7"/>
  <c r="W1964" i="7"/>
  <c r="W1961" i="7"/>
  <c r="W1960" i="7"/>
  <c r="W1959" i="7"/>
  <c r="W1951" i="7"/>
  <c r="W1946" i="7"/>
  <c r="W1945" i="7"/>
  <c r="W1944" i="7"/>
  <c r="W1943" i="7"/>
  <c r="W1930" i="7"/>
  <c r="W1929" i="7"/>
  <c r="W1928" i="7"/>
  <c r="W1926" i="7"/>
  <c r="W1925" i="7"/>
  <c r="W1924" i="7"/>
  <c r="W1921" i="7"/>
  <c r="W1919" i="7"/>
  <c r="W1918" i="7"/>
  <c r="W1917" i="7"/>
  <c r="W1916" i="7"/>
  <c r="W1915" i="7"/>
  <c r="W1914" i="7"/>
  <c r="W1913" i="7"/>
  <c r="W1912" i="7"/>
  <c r="W1910" i="7"/>
  <c r="W1909" i="7"/>
  <c r="W1908" i="7"/>
  <c r="W1902" i="7"/>
  <c r="W1898" i="7"/>
  <c r="W1895" i="7"/>
  <c r="W1894" i="7"/>
  <c r="W1893" i="7"/>
  <c r="W1892" i="7"/>
  <c r="W1891" i="7"/>
  <c r="W1889" i="7"/>
  <c r="W1881" i="7"/>
  <c r="W1879" i="7"/>
  <c r="W1877" i="7"/>
  <c r="W1875" i="7"/>
  <c r="W1874" i="7"/>
  <c r="W1873" i="7"/>
  <c r="W1872" i="7"/>
  <c r="W1871" i="7"/>
  <c r="W1870" i="7"/>
  <c r="W1869" i="7"/>
  <c r="W1868" i="7"/>
  <c r="W1867" i="7"/>
  <c r="W1866" i="7"/>
  <c r="W1865" i="7"/>
  <c r="W1864" i="7"/>
  <c r="W1863" i="7"/>
  <c r="W1855" i="7"/>
  <c r="W1854" i="7"/>
  <c r="W1853" i="7"/>
  <c r="W1852" i="7"/>
  <c r="W1851" i="7"/>
  <c r="W1850" i="7"/>
  <c r="W1849" i="7"/>
  <c r="W1848" i="7"/>
  <c r="W1829" i="7"/>
  <c r="W1828" i="7"/>
  <c r="W1827" i="7"/>
  <c r="W1826" i="7"/>
  <c r="W1825" i="7"/>
  <c r="W1824" i="7"/>
  <c r="W1823" i="7"/>
  <c r="W1822" i="7"/>
  <c r="W1821" i="7"/>
  <c r="W1820" i="7"/>
  <c r="W1819" i="7"/>
  <c r="W1818" i="7"/>
  <c r="W1817" i="7"/>
  <c r="W1816" i="7"/>
  <c r="W1814" i="7"/>
  <c r="W1813" i="7"/>
  <c r="W1812" i="7"/>
  <c r="W1811" i="7"/>
  <c r="W1810" i="7"/>
  <c r="W1809" i="7"/>
  <c r="W1808" i="7"/>
  <c r="W1807" i="7"/>
  <c r="W1806" i="7"/>
  <c r="W1805" i="7"/>
  <c r="W1803" i="7"/>
  <c r="W1800" i="7"/>
  <c r="W1799" i="7"/>
  <c r="W1797" i="7"/>
  <c r="W1796" i="7"/>
  <c r="W1795" i="7"/>
  <c r="W1794" i="7"/>
  <c r="W1793" i="7"/>
  <c r="W1792" i="7"/>
  <c r="W1736" i="7"/>
  <c r="W1703" i="7"/>
  <c r="W1702" i="7"/>
  <c r="W1700" i="7"/>
  <c r="W1699" i="7"/>
  <c r="W1698" i="7"/>
  <c r="W1697" i="7"/>
  <c r="W1696" i="7"/>
  <c r="W1695" i="7"/>
  <c r="W1687" i="7"/>
  <c r="W1686" i="7"/>
  <c r="W1685" i="7"/>
  <c r="W1684" i="7"/>
  <c r="W1677" i="7"/>
  <c r="W1676" i="7"/>
  <c r="W1675" i="7"/>
  <c r="W1673" i="7"/>
  <c r="W1669" i="7"/>
  <c r="W1648" i="7"/>
  <c r="W1647" i="7"/>
  <c r="W1646" i="7"/>
  <c r="W1645" i="7"/>
  <c r="W1643" i="7"/>
  <c r="W1642" i="7"/>
  <c r="W1641" i="7"/>
  <c r="W1640" i="7"/>
  <c r="W1639" i="7"/>
  <c r="W1638" i="7"/>
  <c r="W1637" i="7"/>
  <c r="W1636" i="7"/>
  <c r="W1635" i="7"/>
  <c r="W1634" i="7"/>
  <c r="W1633" i="7"/>
  <c r="W1632" i="7"/>
  <c r="W1631" i="7"/>
  <c r="W1630" i="7"/>
  <c r="W1593" i="7"/>
  <c r="W1592" i="7"/>
  <c r="W1591" i="7"/>
  <c r="W1585" i="7"/>
  <c r="W1584" i="7"/>
  <c r="W1583" i="7"/>
  <c r="W1582" i="7"/>
  <c r="W1581" i="7"/>
  <c r="W1580" i="7"/>
  <c r="W1577" i="7"/>
  <c r="W1576" i="7"/>
  <c r="W1574" i="7"/>
  <c r="W1573" i="7"/>
  <c r="W1572" i="7"/>
  <c r="W1571" i="7"/>
  <c r="W1570" i="7"/>
  <c r="W1569" i="7"/>
  <c r="W1568" i="7"/>
  <c r="W1567" i="7"/>
  <c r="W1566" i="7"/>
  <c r="W1564" i="7"/>
  <c r="W1561" i="7"/>
  <c r="W1558" i="7"/>
  <c r="W1556" i="7"/>
  <c r="W1555" i="7"/>
  <c r="W1552" i="7"/>
  <c r="W1551" i="7"/>
  <c r="W1550" i="7"/>
  <c r="W1549" i="7"/>
  <c r="W1548" i="7"/>
  <c r="W1547" i="7"/>
  <c r="W1546" i="7"/>
  <c r="W1545" i="7"/>
  <c r="W1544" i="7"/>
  <c r="W1543" i="7"/>
  <c r="W1535" i="7"/>
  <c r="W1534" i="7"/>
  <c r="W1533" i="7"/>
  <c r="W1532" i="7"/>
  <c r="W1531" i="7"/>
  <c r="W1530" i="7"/>
  <c r="W1526" i="7"/>
  <c r="W1519" i="7"/>
  <c r="W1515" i="7"/>
  <c r="W1512" i="7"/>
  <c r="W1510" i="7"/>
  <c r="W1508" i="7"/>
  <c r="W1506" i="7"/>
  <c r="W1505" i="7"/>
  <c r="W1503" i="7"/>
  <c r="W1502" i="7"/>
  <c r="W1501" i="7"/>
  <c r="W1500" i="7"/>
  <c r="W1499" i="7"/>
  <c r="W1498" i="7"/>
  <c r="W1497" i="7"/>
  <c r="W1496" i="7"/>
  <c r="W1494" i="7"/>
  <c r="W1493" i="7"/>
  <c r="W1492" i="7"/>
  <c r="W1490" i="7"/>
  <c r="W1489" i="7"/>
  <c r="W1488" i="7"/>
  <c r="W1487" i="7"/>
  <c r="W1486" i="7"/>
  <c r="W1485" i="7"/>
  <c r="W1484" i="7"/>
  <c r="W1483" i="7"/>
  <c r="W1482" i="7"/>
  <c r="W1481" i="7"/>
  <c r="W1480" i="7"/>
  <c r="W1479" i="7"/>
  <c r="W1478" i="7"/>
  <c r="W1477" i="7"/>
  <c r="W1476" i="7"/>
  <c r="W1473" i="7"/>
  <c r="W1472" i="7"/>
  <c r="W1471" i="7"/>
  <c r="W1470" i="7"/>
  <c r="W1469" i="7"/>
  <c r="W1468" i="7"/>
  <c r="W1467" i="7"/>
  <c r="W1466" i="7"/>
  <c r="W1465" i="7"/>
  <c r="W1464" i="7"/>
  <c r="W1463" i="7"/>
  <c r="W1462" i="7"/>
  <c r="W1461" i="7"/>
  <c r="W1460" i="7"/>
  <c r="W1459" i="7"/>
  <c r="W1456" i="7"/>
  <c r="W1455" i="7"/>
  <c r="W1454" i="7"/>
  <c r="W1453" i="7"/>
  <c r="W1452" i="7"/>
  <c r="W1451" i="7"/>
  <c r="W1450" i="7"/>
  <c r="W1449" i="7"/>
  <c r="W1448" i="7"/>
  <c r="W1447" i="7"/>
  <c r="W1446" i="7"/>
  <c r="W1445" i="7"/>
  <c r="W1442" i="7"/>
  <c r="W1441" i="7"/>
  <c r="W1440" i="7"/>
  <c r="W1439" i="7"/>
  <c r="W1438" i="7"/>
  <c r="W1437" i="7"/>
  <c r="W1436" i="7"/>
  <c r="W1435" i="7"/>
  <c r="W1434" i="7"/>
  <c r="W1433" i="7"/>
  <c r="W1432" i="7"/>
  <c r="W1431" i="7"/>
  <c r="W1430" i="7"/>
  <c r="W1429" i="7"/>
  <c r="W1428" i="7"/>
  <c r="W1427" i="7"/>
  <c r="W1426" i="7"/>
  <c r="W1425" i="7"/>
  <c r="W1424" i="7"/>
  <c r="W1423" i="7"/>
  <c r="W1422" i="7"/>
  <c r="W1421" i="7"/>
  <c r="W1420" i="7"/>
  <c r="W1419" i="7"/>
  <c r="W1418" i="7"/>
  <c r="W1417" i="7"/>
  <c r="W1416" i="7"/>
  <c r="W1415" i="7"/>
  <c r="W1414" i="7"/>
  <c r="W1413" i="7"/>
  <c r="W1412" i="7"/>
  <c r="W1411" i="7"/>
  <c r="W1410" i="7"/>
  <c r="W1409" i="7"/>
  <c r="W1408" i="7"/>
  <c r="W1407" i="7"/>
  <c r="W1406" i="7"/>
  <c r="W1405" i="7"/>
  <c r="W1404" i="7"/>
  <c r="W1403" i="7"/>
  <c r="W1399" i="7"/>
  <c r="W1398" i="7"/>
  <c r="W1397" i="7"/>
  <c r="W1396" i="7"/>
  <c r="W1395" i="7"/>
  <c r="W1394" i="7"/>
  <c r="W1393" i="7"/>
  <c r="W1392" i="7"/>
  <c r="W1391" i="7"/>
  <c r="W1390" i="7"/>
  <c r="W1389" i="7"/>
  <c r="W1388" i="7"/>
  <c r="W1387" i="7"/>
  <c r="W1386" i="7"/>
  <c r="W1385" i="7"/>
  <c r="W1384" i="7"/>
  <c r="W1383" i="7"/>
  <c r="W1382" i="7"/>
  <c r="W1381" i="7"/>
  <c r="W1380" i="7"/>
  <c r="W1379" i="7"/>
  <c r="W1378" i="7"/>
  <c r="W1377" i="7"/>
  <c r="W1376" i="7"/>
  <c r="W1375" i="7"/>
  <c r="W1374" i="7"/>
  <c r="W1373" i="7"/>
  <c r="W1372" i="7"/>
  <c r="W1371" i="7"/>
  <c r="W1370" i="7"/>
  <c r="W1369" i="7"/>
  <c r="W1368" i="7"/>
  <c r="W1367" i="7"/>
  <c r="W1366" i="7"/>
  <c r="W1365" i="7"/>
  <c r="W1364" i="7"/>
  <c r="W1363" i="7"/>
  <c r="W1362" i="7"/>
  <c r="W1361" i="7"/>
  <c r="W1360" i="7"/>
  <c r="W1359" i="7"/>
  <c r="W1358" i="7"/>
  <c r="W1357" i="7"/>
  <c r="W1356" i="7"/>
  <c r="W1355" i="7"/>
  <c r="W1353" i="7"/>
  <c r="W1352" i="7"/>
  <c r="W1351" i="7"/>
  <c r="W1350" i="7"/>
  <c r="W1349" i="7"/>
  <c r="W1341" i="7"/>
  <c r="W1340" i="7"/>
  <c r="W1339" i="7"/>
  <c r="W1338" i="7"/>
  <c r="W1337" i="7"/>
  <c r="W1336" i="7"/>
  <c r="W1335" i="7"/>
  <c r="W1334" i="7"/>
  <c r="W1333" i="7"/>
  <c r="W1332" i="7"/>
  <c r="W1331" i="7"/>
  <c r="W1330" i="7"/>
  <c r="W1329" i="7"/>
  <c r="W1328" i="7"/>
  <c r="W1326" i="7"/>
  <c r="W1320" i="7"/>
  <c r="W1319" i="7"/>
  <c r="W1318" i="7"/>
  <c r="W1317" i="7"/>
  <c r="W1316" i="7"/>
  <c r="W1315" i="7"/>
  <c r="W1314" i="7"/>
  <c r="W1313" i="7"/>
  <c r="W1312" i="7"/>
  <c r="W1311" i="7"/>
  <c r="W1310" i="7"/>
  <c r="W1309" i="7"/>
  <c r="W1308" i="7"/>
  <c r="W1307" i="7"/>
  <c r="W1306" i="7"/>
  <c r="W1305" i="7"/>
  <c r="W1304" i="7"/>
  <c r="W1303" i="7"/>
  <c r="W1302" i="7"/>
  <c r="W1301" i="7"/>
  <c r="W1300" i="7"/>
  <c r="W1299" i="7"/>
  <c r="W1298" i="7"/>
  <c r="W1297" i="7"/>
  <c r="W1296" i="7"/>
  <c r="W1295" i="7"/>
  <c r="W1294" i="7"/>
  <c r="W1293" i="7"/>
  <c r="W1292" i="7"/>
  <c r="W1291" i="7"/>
  <c r="W1290" i="7"/>
  <c r="W1289" i="7"/>
  <c r="W1288" i="7"/>
  <c r="W1287" i="7"/>
  <c r="W1286" i="7"/>
  <c r="W1285" i="7"/>
  <c r="W1284" i="7"/>
  <c r="W1283" i="7"/>
  <c r="W1282" i="7"/>
  <c r="W1281" i="7"/>
  <c r="W1280" i="7"/>
  <c r="W1279" i="7"/>
  <c r="W1278" i="7"/>
  <c r="W1277" i="7"/>
  <c r="W1276" i="7"/>
  <c r="W1275" i="7"/>
  <c r="W1274" i="7"/>
  <c r="W1273" i="7"/>
  <c r="W1272" i="7"/>
  <c r="W1271" i="7"/>
  <c r="W1270" i="7"/>
  <c r="W1269" i="7"/>
  <c r="W1268" i="7"/>
  <c r="W1267" i="7"/>
  <c r="W1266" i="7"/>
  <c r="W1265" i="7"/>
  <c r="W1264" i="7"/>
  <c r="W1263" i="7"/>
  <c r="W1262" i="7"/>
  <c r="W1261" i="7"/>
  <c r="W1260" i="7"/>
  <c r="W1259" i="7"/>
  <c r="W1258" i="7"/>
  <c r="W1257" i="7"/>
  <c r="W1256" i="7"/>
  <c r="W1255" i="7"/>
  <c r="W1254" i="7"/>
  <c r="W1253" i="7"/>
  <c r="W1252" i="7"/>
  <c r="W1251" i="7"/>
  <c r="W1250" i="7"/>
  <c r="W1249" i="7"/>
  <c r="W1248" i="7"/>
  <c r="W1247" i="7"/>
  <c r="W1246" i="7"/>
  <c r="W1245" i="7"/>
  <c r="W1244" i="7"/>
  <c r="W1243" i="7"/>
  <c r="W1242" i="7"/>
  <c r="W1241" i="7"/>
  <c r="W1240" i="7"/>
  <c r="W1239" i="7"/>
  <c r="W1238" i="7"/>
  <c r="W1237" i="7"/>
  <c r="W1236" i="7"/>
  <c r="W1235" i="7"/>
  <c r="W1234" i="7"/>
  <c r="W1233" i="7"/>
  <c r="W1232" i="7"/>
  <c r="W1231" i="7"/>
  <c r="W1230" i="7"/>
  <c r="W1229" i="7"/>
  <c r="W1228" i="7"/>
  <c r="W1227" i="7"/>
  <c r="W1226" i="7"/>
  <c r="W1225" i="7"/>
  <c r="W1224" i="7"/>
  <c r="W1223" i="7"/>
  <c r="W1222" i="7"/>
  <c r="W1221" i="7"/>
  <c r="W1220" i="7"/>
  <c r="W1219" i="7"/>
  <c r="W1218" i="7"/>
  <c r="W1217" i="7"/>
  <c r="W1216" i="7"/>
  <c r="W1215" i="7"/>
  <c r="W1214" i="7"/>
  <c r="W1213" i="7"/>
  <c r="W1212" i="7"/>
  <c r="W1211" i="7"/>
  <c r="W1210" i="7"/>
  <c r="W1209" i="7"/>
  <c r="W1208" i="7"/>
  <c r="W1207" i="7"/>
  <c r="W1206" i="7"/>
  <c r="W1205" i="7"/>
  <c r="W1202" i="7"/>
  <c r="W1201" i="7"/>
  <c r="W1200" i="7"/>
  <c r="W1197" i="7"/>
  <c r="W1195" i="7"/>
  <c r="W1194" i="7"/>
  <c r="W1193" i="7"/>
  <c r="W1186" i="7"/>
  <c r="W1184" i="7"/>
  <c r="W1182" i="7"/>
  <c r="W1181" i="7"/>
  <c r="W1180" i="7"/>
  <c r="W1178" i="7"/>
  <c r="W1177" i="7"/>
  <c r="W1170" i="7"/>
  <c r="W1158" i="7"/>
  <c r="W1157" i="7"/>
  <c r="W1156" i="7"/>
  <c r="W1155" i="7"/>
  <c r="W1154" i="7"/>
  <c r="W1153" i="7"/>
  <c r="W1152" i="7"/>
  <c r="W1151" i="7"/>
  <c r="W1150" i="7"/>
  <c r="W1149" i="7"/>
  <c r="W1148" i="7"/>
  <c r="W1147" i="7"/>
  <c r="W1146" i="7"/>
  <c r="W1145" i="7"/>
  <c r="W1144" i="7"/>
  <c r="W1143" i="7"/>
  <c r="W1142" i="7"/>
  <c r="W1141" i="7"/>
  <c r="W1140" i="7"/>
  <c r="W1139" i="7"/>
  <c r="W1138" i="7"/>
  <c r="W1137" i="7"/>
  <c r="W1136" i="7"/>
  <c r="W1135" i="7"/>
  <c r="W1134" i="7"/>
  <c r="W1133" i="7"/>
  <c r="W1132" i="7"/>
  <c r="W1131" i="7"/>
  <c r="W1130" i="7"/>
  <c r="W1129" i="7"/>
  <c r="W1128" i="7"/>
  <c r="W1127" i="7"/>
  <c r="W1126" i="7"/>
  <c r="W1125" i="7"/>
  <c r="W1124" i="7"/>
  <c r="W1123" i="7"/>
  <c r="W1122" i="7"/>
  <c r="W1121" i="7"/>
  <c r="W1120" i="7"/>
  <c r="W1119" i="7"/>
  <c r="W1118" i="7"/>
  <c r="W1117" i="7"/>
  <c r="W1116" i="7"/>
  <c r="W1115" i="7"/>
  <c r="W1114" i="7"/>
  <c r="W1113" i="7"/>
  <c r="W1112" i="7"/>
  <c r="W1111" i="7"/>
  <c r="W1110" i="7"/>
  <c r="W1109" i="7"/>
  <c r="W1108" i="7"/>
  <c r="W1107" i="7"/>
  <c r="W1106" i="7"/>
  <c r="W1105" i="7"/>
  <c r="W1104" i="7"/>
  <c r="W1103" i="7"/>
  <c r="W1102" i="7"/>
  <c r="W1101" i="7"/>
  <c r="W1100" i="7"/>
  <c r="W1099" i="7"/>
  <c r="W1098" i="7"/>
  <c r="W1097" i="7"/>
  <c r="W1096" i="7"/>
  <c r="W1095" i="7"/>
  <c r="W1094" i="7"/>
  <c r="W1093" i="7"/>
  <c r="W1092" i="7"/>
  <c r="W1091" i="7"/>
  <c r="W1090" i="7"/>
  <c r="W1089" i="7"/>
  <c r="W1088" i="7"/>
  <c r="W1087" i="7"/>
  <c r="W1086" i="7"/>
  <c r="W1085" i="7"/>
  <c r="W1084" i="7"/>
  <c r="W1083" i="7"/>
  <c r="W1082" i="7"/>
  <c r="W1081" i="7"/>
  <c r="W1080" i="7"/>
  <c r="W1079" i="7"/>
  <c r="W1078" i="7"/>
  <c r="W1077" i="7"/>
  <c r="W1076" i="7"/>
  <c r="W1075" i="7"/>
  <c r="W1074" i="7"/>
  <c r="W1073" i="7"/>
  <c r="W1072" i="7"/>
  <c r="W1071" i="7"/>
  <c r="W1070" i="7"/>
  <c r="W1061" i="7"/>
  <c r="W1046" i="7"/>
  <c r="W1045" i="7"/>
  <c r="W1044" i="7"/>
  <c r="W1043" i="7"/>
  <c r="W1042" i="7"/>
  <c r="W1037" i="7"/>
  <c r="W1036" i="7"/>
  <c r="W1035" i="7"/>
  <c r="W1026" i="7"/>
  <c r="W1025" i="7"/>
  <c r="W1024" i="7"/>
  <c r="W1023" i="7"/>
  <c r="W1020" i="7"/>
  <c r="W1007" i="7"/>
  <c r="W1006" i="7"/>
  <c r="W998" i="7"/>
  <c r="W992" i="7"/>
  <c r="W991" i="7"/>
  <c r="W978" i="7"/>
  <c r="W977" i="7"/>
  <c r="W973" i="7"/>
  <c r="W972" i="7"/>
  <c r="W971" i="7"/>
  <c r="W965" i="7"/>
  <c r="W964" i="7"/>
  <c r="W963" i="7"/>
  <c r="W962" i="7"/>
  <c r="W961" i="7"/>
  <c r="W937" i="7"/>
  <c r="W936" i="7"/>
  <c r="W935" i="7"/>
  <c r="W929" i="7"/>
  <c r="W928" i="7"/>
  <c r="W927" i="7"/>
  <c r="W919" i="7"/>
  <c r="W911" i="7"/>
  <c r="W910" i="7"/>
  <c r="W909" i="7"/>
  <c r="W908" i="7"/>
  <c r="W907" i="7"/>
  <c r="W906" i="7"/>
  <c r="W905" i="7"/>
  <c r="W904" i="7"/>
  <c r="W903" i="7"/>
  <c r="W902" i="7"/>
  <c r="W901" i="7"/>
  <c r="W900" i="7"/>
  <c r="W899" i="7"/>
  <c r="W898" i="7"/>
  <c r="W897" i="7"/>
  <c r="W896" i="7"/>
  <c r="W895" i="7"/>
  <c r="W894" i="7"/>
  <c r="W893" i="7"/>
  <c r="W892" i="7"/>
  <c r="W891" i="7"/>
  <c r="W890" i="7"/>
  <c r="W889" i="7"/>
  <c r="W888" i="7"/>
  <c r="W887" i="7"/>
  <c r="W886" i="7"/>
  <c r="W885" i="7"/>
  <c r="W884" i="7"/>
  <c r="W883" i="7"/>
  <c r="W882" i="7"/>
  <c r="W881" i="7"/>
  <c r="W880" i="7"/>
  <c r="W879" i="7"/>
  <c r="W878" i="7"/>
  <c r="W877" i="7"/>
  <c r="W876" i="7"/>
  <c r="W875" i="7"/>
  <c r="W874" i="7"/>
  <c r="W873" i="7"/>
  <c r="W872" i="7"/>
  <c r="W871" i="7"/>
  <c r="W870" i="7"/>
  <c r="W869" i="7"/>
  <c r="W868" i="7"/>
  <c r="W867" i="7"/>
  <c r="W865" i="7"/>
  <c r="W863" i="7"/>
  <c r="W862" i="7"/>
  <c r="W851" i="7"/>
  <c r="W850" i="7"/>
  <c r="W849" i="7"/>
  <c r="W848" i="7"/>
  <c r="W847" i="7"/>
  <c r="W846" i="7"/>
  <c r="W845" i="7"/>
  <c r="W844" i="7"/>
  <c r="W843" i="7"/>
  <c r="W842" i="7"/>
  <c r="W820" i="7"/>
  <c r="W819" i="7"/>
  <c r="W818" i="7"/>
  <c r="W817" i="7"/>
  <c r="W703" i="7"/>
  <c r="W702" i="7"/>
  <c r="W691" i="7"/>
  <c r="W687" i="7"/>
  <c r="W686" i="7"/>
  <c r="W685" i="7"/>
  <c r="W679" i="7"/>
  <c r="W667" i="7"/>
  <c r="W666" i="7"/>
  <c r="W662" i="7"/>
  <c r="W659" i="7"/>
  <c r="W658" i="7"/>
  <c r="W657" i="7"/>
  <c r="W656" i="7"/>
  <c r="W655" i="7"/>
  <c r="W646" i="7"/>
  <c r="W645" i="7"/>
  <c r="W644" i="7"/>
  <c r="W643" i="7"/>
  <c r="W642" i="7"/>
  <c r="W638" i="7"/>
  <c r="W637" i="7"/>
  <c r="W634" i="7"/>
  <c r="W631" i="7"/>
  <c r="W630" i="7"/>
  <c r="W629" i="7"/>
  <c r="W628" i="7"/>
  <c r="W627" i="7"/>
  <c r="W626" i="7"/>
  <c r="W623" i="7"/>
  <c r="W622" i="7"/>
  <c r="W620" i="7"/>
  <c r="W618" i="7"/>
  <c r="W617" i="7"/>
  <c r="W616" i="7"/>
  <c r="W613" i="7"/>
  <c r="W606" i="7"/>
  <c r="W605" i="7"/>
  <c r="W604" i="7"/>
  <c r="W603" i="7"/>
  <c r="W602" i="7"/>
  <c r="W601" i="7"/>
  <c r="W600" i="7"/>
  <c r="W599" i="7"/>
  <c r="W598" i="7"/>
  <c r="W597" i="7"/>
  <c r="W596" i="7"/>
  <c r="W594" i="7"/>
  <c r="W593" i="7"/>
  <c r="W592" i="7"/>
  <c r="W589" i="7"/>
  <c r="W582" i="7"/>
  <c r="W578" i="7"/>
  <c r="W576" i="7"/>
  <c r="W575" i="7"/>
  <c r="W574" i="7"/>
  <c r="W554" i="7"/>
  <c r="W552" i="7"/>
  <c r="W550" i="7"/>
  <c r="W548" i="7"/>
  <c r="W547" i="7"/>
  <c r="W546" i="7"/>
  <c r="W545" i="7"/>
  <c r="W544" i="7"/>
  <c r="W538" i="7"/>
  <c r="W534" i="7"/>
  <c r="W527" i="7"/>
  <c r="W512" i="7"/>
  <c r="W507" i="7"/>
  <c r="W502" i="7"/>
  <c r="W498" i="7"/>
  <c r="W490" i="7"/>
  <c r="W489" i="7"/>
  <c r="W481" i="7"/>
  <c r="W462" i="7"/>
  <c r="W461" i="7"/>
  <c r="W448" i="7"/>
  <c r="W447" i="7"/>
  <c r="W445" i="7"/>
  <c r="W426" i="7"/>
  <c r="W412" i="7"/>
  <c r="W374" i="7"/>
  <c r="W345" i="7"/>
  <c r="W334" i="7"/>
  <c r="W326" i="7"/>
  <c r="W313" i="7"/>
  <c r="W294" i="7"/>
  <c r="W267" i="7"/>
  <c r="W259" i="7"/>
  <c r="W245" i="7"/>
  <c r="W243" i="7"/>
  <c r="W237" i="7"/>
  <c r="W236" i="7"/>
  <c r="W235" i="7"/>
  <c r="W234" i="7"/>
  <c r="W231" i="7"/>
  <c r="W230" i="7"/>
  <c r="W222" i="7"/>
  <c r="W219" i="7"/>
  <c r="W218" i="7"/>
  <c r="W217" i="7"/>
  <c r="W215" i="7"/>
  <c r="W212" i="7"/>
  <c r="W211" i="7"/>
  <c r="W210" i="7"/>
  <c r="W201" i="7"/>
  <c r="W196" i="7"/>
  <c r="W194" i="7"/>
  <c r="W193" i="7"/>
  <c r="W185" i="7"/>
  <c r="W183" i="7"/>
  <c r="W182" i="7"/>
  <c r="W181" i="7"/>
  <c r="W180" i="7"/>
  <c r="W179" i="7"/>
  <c r="W178" i="7"/>
  <c r="W175" i="7"/>
  <c r="W173" i="7"/>
  <c r="W170" i="7"/>
  <c r="W159" i="7"/>
  <c r="W157" i="7"/>
  <c r="W156" i="7"/>
  <c r="W155" i="7"/>
  <c r="W154" i="7"/>
  <c r="W152" i="7"/>
  <c r="W151" i="7"/>
  <c r="W145" i="7"/>
  <c r="W144" i="7"/>
  <c r="W143" i="7"/>
  <c r="W142" i="7"/>
  <c r="W133" i="7"/>
  <c r="W109" i="7"/>
  <c r="W87" i="7"/>
  <c r="W77" i="7"/>
  <c r="W45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938" i="7"/>
  <c r="V1937" i="7"/>
  <c r="V1936" i="7"/>
  <c r="V1935" i="7"/>
  <c r="V1934" i="7"/>
  <c r="V1933" i="7"/>
  <c r="V1932" i="7"/>
  <c r="V1931" i="7"/>
  <c r="V1930" i="7"/>
  <c r="V1929" i="7"/>
  <c r="V1928" i="7"/>
  <c r="V1927" i="7"/>
  <c r="V1926" i="7"/>
  <c r="V1925" i="7"/>
  <c r="V1924" i="7"/>
  <c r="V1923" i="7"/>
  <c r="V1922" i="7"/>
  <c r="V1921" i="7"/>
  <c r="V1920" i="7"/>
  <c r="V1919" i="7"/>
  <c r="V1918" i="7"/>
  <c r="V1917" i="7"/>
  <c r="V1916" i="7"/>
  <c r="V1915" i="7"/>
  <c r="V1914" i="7"/>
  <c r="V1913" i="7"/>
  <c r="V1912" i="7"/>
  <c r="V1911" i="7"/>
  <c r="V1910" i="7"/>
  <c r="V1909" i="7"/>
  <c r="V1908" i="7"/>
  <c r="V1907" i="7"/>
  <c r="V1906" i="7"/>
  <c r="V1905" i="7"/>
  <c r="V1904" i="7"/>
  <c r="V1903" i="7"/>
  <c r="V1902" i="7"/>
  <c r="V1901" i="7"/>
  <c r="V1900" i="7"/>
  <c r="V1899" i="7"/>
  <c r="V1898" i="7"/>
  <c r="V1897" i="7"/>
  <c r="V1896" i="7"/>
  <c r="V1895" i="7"/>
  <c r="V1894" i="7"/>
  <c r="V1893" i="7"/>
  <c r="V1892" i="7"/>
  <c r="V1891" i="7"/>
  <c r="V1890" i="7"/>
  <c r="V1889" i="7"/>
  <c r="V1886" i="7"/>
  <c r="V1885" i="7"/>
  <c r="V1884" i="7"/>
  <c r="V1883" i="7"/>
  <c r="V1882" i="7"/>
  <c r="V1881" i="7"/>
  <c r="V1880" i="7"/>
  <c r="V1879" i="7"/>
  <c r="V1878" i="7"/>
  <c r="V1877" i="7"/>
  <c r="V1876" i="7"/>
  <c r="V1875" i="7"/>
  <c r="V1874" i="7"/>
  <c r="V1873" i="7"/>
  <c r="V1872" i="7"/>
  <c r="V1871" i="7"/>
  <c r="V1870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V1826" i="7"/>
  <c r="V1825" i="7"/>
  <c r="V1824" i="7"/>
  <c r="V1823" i="7"/>
  <c r="V1822" i="7"/>
  <c r="V1821" i="7"/>
  <c r="V1820" i="7"/>
  <c r="V1819" i="7"/>
  <c r="V1818" i="7"/>
  <c r="V1817" i="7"/>
  <c r="V1816" i="7"/>
  <c r="V1815" i="7"/>
  <c r="V1814" i="7"/>
  <c r="V1813" i="7"/>
  <c r="V1812" i="7"/>
  <c r="V1811" i="7"/>
  <c r="V1810" i="7"/>
  <c r="V1809" i="7"/>
  <c r="V1808" i="7"/>
  <c r="V1807" i="7"/>
  <c r="V1806" i="7"/>
  <c r="V1805" i="7"/>
  <c r="V1804" i="7"/>
  <c r="V1803" i="7"/>
  <c r="V1802" i="7"/>
  <c r="V1801" i="7"/>
  <c r="V1800" i="7"/>
  <c r="V1799" i="7"/>
  <c r="V1798" i="7"/>
  <c r="V1797" i="7"/>
  <c r="V1796" i="7"/>
  <c r="V1795" i="7"/>
  <c r="V1794" i="7"/>
  <c r="V1793" i="7"/>
  <c r="V1792" i="7"/>
  <c r="V1790" i="7"/>
  <c r="V1789" i="7"/>
  <c r="V1788" i="7"/>
  <c r="V1787" i="7"/>
  <c r="V1784" i="7"/>
  <c r="V1783" i="7"/>
  <c r="V1781" i="7"/>
  <c r="V1780" i="7"/>
  <c r="V1778" i="7"/>
  <c r="V1776" i="7"/>
  <c r="V1774" i="7"/>
  <c r="V1773" i="7"/>
  <c r="V1772" i="7"/>
  <c r="V1771" i="7"/>
  <c r="V1770" i="7"/>
  <c r="V1769" i="7"/>
  <c r="V1768" i="7"/>
  <c r="V1767" i="7"/>
  <c r="V1766" i="7"/>
  <c r="V1763" i="7"/>
  <c r="V1762" i="7"/>
  <c r="V1761" i="7"/>
  <c r="V1760" i="7"/>
  <c r="V1759" i="7"/>
  <c r="V1758" i="7"/>
  <c r="V1757" i="7"/>
  <c r="V1756" i="7"/>
  <c r="V1755" i="7"/>
  <c r="V1754" i="7"/>
  <c r="V1753" i="7"/>
  <c r="V1752" i="7"/>
  <c r="V1751" i="7"/>
  <c r="V1750" i="7"/>
  <c r="V1749" i="7"/>
  <c r="V1748" i="7"/>
  <c r="V1743" i="7"/>
  <c r="V1742" i="7"/>
  <c r="V1740" i="7"/>
  <c r="V1738" i="7"/>
  <c r="V1737" i="7"/>
  <c r="V1736" i="7"/>
  <c r="V1735" i="7"/>
  <c r="V1734" i="7"/>
  <c r="V1733" i="7"/>
  <c r="V1732" i="7"/>
  <c r="V1731" i="7"/>
  <c r="V1730" i="7"/>
  <c r="V1729" i="7"/>
  <c r="V1728" i="7"/>
  <c r="V1727" i="7"/>
  <c r="V1726" i="7"/>
  <c r="V1725" i="7"/>
  <c r="V1724" i="7"/>
  <c r="V1723" i="7"/>
  <c r="V1717" i="7"/>
  <c r="V1716" i="7"/>
  <c r="V1715" i="7"/>
  <c r="V1714" i="7"/>
  <c r="V1713" i="7"/>
  <c r="V1712" i="7"/>
  <c r="V1711" i="7"/>
  <c r="V1708" i="7"/>
  <c r="V1707" i="7"/>
  <c r="V1706" i="7"/>
  <c r="V1705" i="7"/>
  <c r="V1704" i="7"/>
  <c r="V1703" i="7"/>
  <c r="V1702" i="7"/>
  <c r="V1701" i="7"/>
  <c r="V1700" i="7"/>
  <c r="V1699" i="7"/>
  <c r="V1698" i="7"/>
  <c r="V1697" i="7"/>
  <c r="V1696" i="7"/>
  <c r="V1695" i="7"/>
  <c r="V1694" i="7"/>
  <c r="V1693" i="7"/>
  <c r="V1692" i="7"/>
  <c r="V1691" i="7"/>
  <c r="V1690" i="7"/>
  <c r="V1689" i="7"/>
  <c r="V1688" i="7"/>
  <c r="V1687" i="7"/>
  <c r="V1686" i="7"/>
  <c r="V1685" i="7"/>
  <c r="V1684" i="7"/>
  <c r="V1683" i="7"/>
  <c r="V1682" i="7"/>
  <c r="V1681" i="7"/>
  <c r="V1680" i="7"/>
  <c r="V1679" i="7"/>
  <c r="V1678" i="7"/>
  <c r="V1677" i="7"/>
  <c r="V1676" i="7"/>
  <c r="V1675" i="7"/>
  <c r="V1674" i="7"/>
  <c r="V1673" i="7"/>
  <c r="V1672" i="7"/>
  <c r="V1671" i="7"/>
  <c r="V1670" i="7"/>
  <c r="V1669" i="7"/>
  <c r="V1668" i="7"/>
  <c r="V1667" i="7"/>
  <c r="V1666" i="7"/>
  <c r="V1665" i="7"/>
  <c r="V1664" i="7"/>
  <c r="V1663" i="7"/>
  <c r="V1662" i="7"/>
  <c r="V1661" i="7"/>
  <c r="V1660" i="7"/>
  <c r="V1659" i="7"/>
  <c r="V1658" i="7"/>
  <c r="V1657" i="7"/>
  <c r="V1656" i="7"/>
  <c r="V1655" i="7"/>
  <c r="V1654" i="7"/>
  <c r="V1653" i="7"/>
  <c r="V1652" i="7"/>
  <c r="V1651" i="7"/>
  <c r="V1650" i="7"/>
  <c r="V1649" i="7"/>
  <c r="V1648" i="7"/>
  <c r="V1647" i="7"/>
  <c r="V1646" i="7"/>
  <c r="V1645" i="7"/>
  <c r="V1644" i="7"/>
  <c r="V1643" i="7"/>
  <c r="V1642" i="7"/>
  <c r="V1641" i="7"/>
  <c r="V1640" i="7"/>
  <c r="V1639" i="7"/>
  <c r="V1638" i="7"/>
  <c r="V1637" i="7"/>
  <c r="V1636" i="7"/>
  <c r="V1635" i="7"/>
  <c r="V1634" i="7"/>
  <c r="V1633" i="7"/>
  <c r="V1632" i="7"/>
  <c r="V1631" i="7"/>
  <c r="V1630" i="7"/>
  <c r="V1629" i="7"/>
  <c r="V1628" i="7"/>
  <c r="V1627" i="7"/>
  <c r="V1626" i="7"/>
  <c r="V1625" i="7"/>
  <c r="V1624" i="7"/>
  <c r="V1623" i="7"/>
  <c r="V1622" i="7"/>
  <c r="V1621" i="7"/>
  <c r="V1620" i="7"/>
  <c r="V1619" i="7"/>
  <c r="V1618" i="7"/>
  <c r="V1617" i="7"/>
  <c r="V1616" i="7"/>
  <c r="V1615" i="7"/>
  <c r="V1614" i="7"/>
  <c r="V1613" i="7"/>
  <c r="V1612" i="7"/>
  <c r="V1611" i="7"/>
  <c r="V1610" i="7"/>
  <c r="V1609" i="7"/>
  <c r="V1608" i="7"/>
  <c r="V1607" i="7"/>
  <c r="V1606" i="7"/>
  <c r="V1605" i="7"/>
  <c r="V1604" i="7"/>
  <c r="V1603" i="7"/>
  <c r="V1602" i="7"/>
  <c r="V1601" i="7"/>
  <c r="V1600" i="7"/>
  <c r="V1599" i="7"/>
  <c r="V1598" i="7"/>
  <c r="V1597" i="7"/>
  <c r="V1596" i="7"/>
  <c r="V1595" i="7"/>
  <c r="V1594" i="7"/>
  <c r="V1593" i="7"/>
  <c r="V1592" i="7"/>
  <c r="V1591" i="7"/>
  <c r="V1590" i="7"/>
  <c r="V1589" i="7"/>
  <c r="V1588" i="7"/>
  <c r="V1587" i="7"/>
  <c r="V1586" i="7"/>
  <c r="V1585" i="7"/>
  <c r="V1584" i="7"/>
  <c r="V1583" i="7"/>
  <c r="V1582" i="7"/>
  <c r="V1581" i="7"/>
  <c r="V1580" i="7"/>
  <c r="V1579" i="7"/>
  <c r="V1578" i="7"/>
  <c r="V1577" i="7"/>
  <c r="V1576" i="7"/>
  <c r="V1575" i="7"/>
  <c r="V1574" i="7"/>
  <c r="V1573" i="7"/>
  <c r="V1572" i="7"/>
  <c r="V1571" i="7"/>
  <c r="V1570" i="7"/>
  <c r="V1569" i="7"/>
  <c r="V1568" i="7"/>
  <c r="V1567" i="7"/>
  <c r="V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2" i="7"/>
  <c r="V1551" i="7"/>
  <c r="V1550" i="7"/>
  <c r="V1549" i="7"/>
  <c r="V1548" i="7"/>
  <c r="V1547" i="7"/>
  <c r="V1546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V1434" i="7"/>
  <c r="V1433" i="7"/>
  <c r="V1432" i="7"/>
  <c r="V1431" i="7"/>
  <c r="V1430" i="7"/>
  <c r="V1429" i="7"/>
  <c r="V1428" i="7"/>
  <c r="V1427" i="7"/>
  <c r="V1426" i="7"/>
  <c r="V1425" i="7"/>
  <c r="V1424" i="7"/>
  <c r="V1423" i="7"/>
  <c r="V1422" i="7"/>
  <c r="V1421" i="7"/>
  <c r="V1420" i="7"/>
  <c r="V1419" i="7"/>
  <c r="V1418" i="7"/>
  <c r="V1417" i="7"/>
  <c r="V1416" i="7"/>
  <c r="V1415" i="7"/>
  <c r="V1414" i="7"/>
  <c r="V1413" i="7"/>
  <c r="V1412" i="7"/>
  <c r="V1411" i="7"/>
  <c r="V1410" i="7"/>
  <c r="V1409" i="7"/>
  <c r="V1408" i="7"/>
  <c r="V1407" i="7"/>
  <c r="V1406" i="7"/>
  <c r="V1405" i="7"/>
  <c r="V1404" i="7"/>
  <c r="V1403" i="7"/>
  <c r="V1402" i="7"/>
  <c r="V1401" i="7"/>
  <c r="V1400" i="7"/>
  <c r="V1399" i="7"/>
  <c r="V1398" i="7"/>
  <c r="V1397" i="7"/>
  <c r="V1396" i="7"/>
  <c r="V1395" i="7"/>
  <c r="V1394" i="7"/>
  <c r="V1393" i="7"/>
  <c r="V1392" i="7"/>
  <c r="V1391" i="7"/>
  <c r="V1390" i="7"/>
  <c r="V1389" i="7"/>
  <c r="V1388" i="7"/>
  <c r="V1387" i="7"/>
  <c r="V1386" i="7"/>
  <c r="V1385" i="7"/>
  <c r="V1384" i="7"/>
  <c r="V1383" i="7"/>
  <c r="V1382" i="7"/>
  <c r="V1381" i="7"/>
  <c r="V1380" i="7"/>
  <c r="V1379" i="7"/>
  <c r="V1378" i="7"/>
  <c r="V1377" i="7"/>
  <c r="V1376" i="7"/>
  <c r="V1375" i="7"/>
  <c r="V1374" i="7"/>
  <c r="V1373" i="7"/>
  <c r="V1372" i="7"/>
  <c r="V1371" i="7"/>
  <c r="V1370" i="7"/>
  <c r="V1369" i="7"/>
  <c r="V1368" i="7"/>
  <c r="V1367" i="7"/>
  <c r="V1366" i="7"/>
  <c r="V1365" i="7"/>
  <c r="V1364" i="7"/>
  <c r="V1363" i="7"/>
  <c r="V1362" i="7"/>
  <c r="V1361" i="7"/>
  <c r="V1360" i="7"/>
  <c r="V1359" i="7"/>
  <c r="V1358" i="7"/>
  <c r="V1357" i="7"/>
  <c r="V1356" i="7"/>
  <c r="V1355" i="7"/>
  <c r="V1354" i="7"/>
  <c r="V1353" i="7"/>
  <c r="V1352" i="7"/>
  <c r="V1351" i="7"/>
  <c r="V1350" i="7"/>
  <c r="V1349" i="7"/>
  <c r="V1348" i="7"/>
  <c r="V1347" i="7"/>
  <c r="V1346" i="7"/>
  <c r="V1345" i="7"/>
  <c r="V1344" i="7"/>
  <c r="V1343" i="7"/>
  <c r="V1342" i="7"/>
  <c r="V1341" i="7"/>
  <c r="V1340" i="7"/>
  <c r="V1339" i="7"/>
  <c r="V1338" i="7"/>
  <c r="V1337" i="7"/>
  <c r="V1336" i="7"/>
  <c r="V1335" i="7"/>
  <c r="V1334" i="7"/>
  <c r="V1333" i="7"/>
  <c r="V1332" i="7"/>
  <c r="V1331" i="7"/>
  <c r="V1330" i="7"/>
  <c r="V1329" i="7"/>
  <c r="V1328" i="7"/>
  <c r="V1327" i="7"/>
  <c r="V1326" i="7"/>
  <c r="V1325" i="7"/>
  <c r="V1324" i="7"/>
  <c r="V1323" i="7"/>
  <c r="V1322" i="7"/>
  <c r="V1321" i="7"/>
  <c r="V1320" i="7"/>
  <c r="V1319" i="7"/>
  <c r="V1318" i="7"/>
  <c r="V1317" i="7"/>
  <c r="V1316" i="7"/>
  <c r="V1315" i="7"/>
  <c r="V1314" i="7"/>
  <c r="V1313" i="7"/>
  <c r="V1312" i="7"/>
  <c r="V1311" i="7"/>
  <c r="V1310" i="7"/>
  <c r="V1309" i="7"/>
  <c r="V1308" i="7"/>
  <c r="V1307" i="7"/>
  <c r="V1306" i="7"/>
  <c r="V1305" i="7"/>
  <c r="V1304" i="7"/>
  <c r="V1303" i="7"/>
  <c r="V1302" i="7"/>
  <c r="V1301" i="7"/>
  <c r="V1300" i="7"/>
  <c r="V1299" i="7"/>
  <c r="V1298" i="7"/>
  <c r="V1297" i="7"/>
  <c r="V1296" i="7"/>
  <c r="V1295" i="7"/>
  <c r="V1294" i="7"/>
  <c r="V1293" i="7"/>
  <c r="V1292" i="7"/>
  <c r="V1291" i="7"/>
  <c r="V1290" i="7"/>
  <c r="V1289" i="7"/>
  <c r="V1288" i="7"/>
  <c r="V1287" i="7"/>
  <c r="V1286" i="7"/>
  <c r="V1285" i="7"/>
  <c r="V1284" i="7"/>
  <c r="V1283" i="7"/>
  <c r="V1282" i="7"/>
  <c r="V1281" i="7"/>
  <c r="V1280" i="7"/>
  <c r="V1279" i="7"/>
  <c r="V1278" i="7"/>
  <c r="V1277" i="7"/>
  <c r="V1276" i="7"/>
  <c r="V1275" i="7"/>
  <c r="V1274" i="7"/>
  <c r="V1273" i="7"/>
  <c r="V1272" i="7"/>
  <c r="V1271" i="7"/>
  <c r="V1270" i="7"/>
  <c r="V1269" i="7"/>
  <c r="V1268" i="7"/>
  <c r="V1267" i="7"/>
  <c r="V1266" i="7"/>
  <c r="V1265" i="7"/>
  <c r="V1264" i="7"/>
  <c r="V1263" i="7"/>
  <c r="V1262" i="7"/>
  <c r="V1261" i="7"/>
  <c r="V1260" i="7"/>
  <c r="V1259" i="7"/>
  <c r="V1258" i="7"/>
  <c r="V1257" i="7"/>
  <c r="V1256" i="7"/>
  <c r="V1255" i="7"/>
  <c r="V1254" i="7"/>
  <c r="V1253" i="7"/>
  <c r="V1252" i="7"/>
  <c r="V1251" i="7"/>
  <c r="V1250" i="7"/>
  <c r="V1249" i="7"/>
  <c r="V1248" i="7"/>
  <c r="V1247" i="7"/>
  <c r="V1246" i="7"/>
  <c r="V1245" i="7"/>
  <c r="V1244" i="7"/>
  <c r="V1243" i="7"/>
  <c r="V1242" i="7"/>
  <c r="V1241" i="7"/>
  <c r="V1240" i="7"/>
  <c r="V1239" i="7"/>
  <c r="V1238" i="7"/>
  <c r="V1237" i="7"/>
  <c r="V1236" i="7"/>
  <c r="V1235" i="7"/>
  <c r="V1234" i="7"/>
  <c r="V1233" i="7"/>
  <c r="V1232" i="7"/>
  <c r="V1231" i="7"/>
  <c r="V1230" i="7"/>
  <c r="V1229" i="7"/>
  <c r="V1228" i="7"/>
  <c r="V1227" i="7"/>
  <c r="V1226" i="7"/>
  <c r="V1225" i="7"/>
  <c r="V1224" i="7"/>
  <c r="V1223" i="7"/>
  <c r="V1222" i="7"/>
  <c r="V1221" i="7"/>
  <c r="V1220" i="7"/>
  <c r="V1219" i="7"/>
  <c r="V1218" i="7"/>
  <c r="V1217" i="7"/>
  <c r="V1216" i="7"/>
  <c r="V1215" i="7"/>
  <c r="V1214" i="7"/>
  <c r="V1213" i="7"/>
  <c r="V1212" i="7"/>
  <c r="V1211" i="7"/>
  <c r="V1210" i="7"/>
  <c r="V1209" i="7"/>
  <c r="V1208" i="7"/>
  <c r="V1207" i="7"/>
  <c r="V1206" i="7"/>
  <c r="V1205" i="7"/>
  <c r="V1204" i="7"/>
  <c r="V1203" i="7"/>
  <c r="V1202" i="7"/>
  <c r="V1201" i="7"/>
  <c r="V1200" i="7"/>
  <c r="V1199" i="7"/>
  <c r="V1198" i="7"/>
  <c r="V1197" i="7"/>
  <c r="V1196" i="7"/>
  <c r="V1195" i="7"/>
  <c r="V1194" i="7"/>
  <c r="V1193" i="7"/>
  <c r="V1192" i="7"/>
  <c r="V1191" i="7"/>
  <c r="V1190" i="7"/>
  <c r="V1189" i="7"/>
  <c r="V1188" i="7"/>
  <c r="V1187" i="7"/>
  <c r="V1186" i="7"/>
  <c r="V1185" i="7"/>
  <c r="V1184" i="7"/>
  <c r="V1183" i="7"/>
  <c r="V1182" i="7"/>
  <c r="V1181" i="7"/>
  <c r="V1180" i="7"/>
  <c r="V1179" i="7"/>
  <c r="V1178" i="7"/>
  <c r="V1177" i="7"/>
  <c r="V1176" i="7"/>
  <c r="V1175" i="7"/>
  <c r="V1174" i="7"/>
  <c r="V1173" i="7"/>
  <c r="V1172" i="7"/>
  <c r="V1171" i="7"/>
  <c r="V1170" i="7"/>
  <c r="V1169" i="7"/>
  <c r="V1168" i="7"/>
  <c r="V1167" i="7"/>
  <c r="V1166" i="7"/>
  <c r="V1165" i="7"/>
  <c r="V1164" i="7"/>
  <c r="V1163" i="7"/>
  <c r="V1162" i="7"/>
  <c r="V1161" i="7"/>
  <c r="V1160" i="7"/>
  <c r="V1159" i="7"/>
  <c r="V1158" i="7"/>
  <c r="V1157" i="7"/>
  <c r="V1156" i="7"/>
  <c r="V1155" i="7"/>
  <c r="V1154" i="7"/>
  <c r="V1153" i="7"/>
  <c r="V1152" i="7"/>
  <c r="V1151" i="7"/>
  <c r="V1150" i="7"/>
  <c r="V1149" i="7"/>
  <c r="V1148" i="7"/>
  <c r="V1147" i="7"/>
  <c r="V1146" i="7"/>
  <c r="V1145" i="7"/>
  <c r="V1144" i="7"/>
  <c r="V1143" i="7"/>
  <c r="V1142" i="7"/>
  <c r="V1141" i="7"/>
  <c r="V1140" i="7"/>
  <c r="V1139" i="7"/>
  <c r="V1138" i="7"/>
  <c r="V1137" i="7"/>
  <c r="V1136" i="7"/>
  <c r="V1135" i="7"/>
  <c r="V1134" i="7"/>
  <c r="V1133" i="7"/>
  <c r="V1132" i="7"/>
  <c r="V1131" i="7"/>
  <c r="V1130" i="7"/>
  <c r="V1129" i="7"/>
  <c r="V1128" i="7"/>
  <c r="V1127" i="7"/>
  <c r="V1126" i="7"/>
  <c r="V1125" i="7"/>
  <c r="V1124" i="7"/>
  <c r="V1123" i="7"/>
  <c r="V1122" i="7"/>
  <c r="V1121" i="7"/>
  <c r="V1120" i="7"/>
  <c r="V1119" i="7"/>
  <c r="V1118" i="7"/>
  <c r="V1117" i="7"/>
  <c r="V1116" i="7"/>
  <c r="V1115" i="7"/>
  <c r="V1114" i="7"/>
  <c r="V1113" i="7"/>
  <c r="V1112" i="7"/>
  <c r="V1111" i="7"/>
  <c r="V1110" i="7"/>
  <c r="V1109" i="7"/>
  <c r="V1108" i="7"/>
  <c r="V1107" i="7"/>
  <c r="V1106" i="7"/>
  <c r="V1105" i="7"/>
  <c r="V1104" i="7"/>
  <c r="V1103" i="7"/>
  <c r="V1102" i="7"/>
  <c r="V1101" i="7"/>
  <c r="V1100" i="7"/>
  <c r="V1099" i="7"/>
  <c r="V1098" i="7"/>
  <c r="V1097" i="7"/>
  <c r="V1096" i="7"/>
  <c r="V1095" i="7"/>
  <c r="V1094" i="7"/>
  <c r="V1093" i="7"/>
  <c r="V1092" i="7"/>
  <c r="V1091" i="7"/>
  <c r="V1090" i="7"/>
  <c r="V1089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V1058" i="7"/>
  <c r="V1057" i="7"/>
  <c r="V1056" i="7"/>
  <c r="V1055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V1014" i="7"/>
  <c r="V1013" i="7"/>
  <c r="V1012" i="7"/>
  <c r="V1011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V970" i="7"/>
  <c r="V969" i="7"/>
  <c r="V968" i="7"/>
  <c r="V967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50" i="7"/>
  <c r="V949" i="7"/>
  <c r="V948" i="7"/>
  <c r="V947" i="7"/>
  <c r="V946" i="7"/>
  <c r="V945" i="7"/>
  <c r="V944" i="7"/>
  <c r="V943" i="7"/>
  <c r="V942" i="7"/>
  <c r="V941" i="7"/>
  <c r="V940" i="7"/>
  <c r="V939" i="7"/>
  <c r="V938" i="7"/>
  <c r="V937" i="7"/>
  <c r="V936" i="7"/>
  <c r="V935" i="7"/>
  <c r="V934" i="7"/>
  <c r="V933" i="7"/>
  <c r="V932" i="7"/>
  <c r="V931" i="7"/>
  <c r="V930" i="7"/>
  <c r="V929" i="7"/>
  <c r="V928" i="7"/>
  <c r="V927" i="7"/>
  <c r="V926" i="7"/>
  <c r="V925" i="7"/>
  <c r="V924" i="7"/>
  <c r="V923" i="7"/>
  <c r="V922" i="7"/>
  <c r="V921" i="7"/>
  <c r="V920" i="7"/>
  <c r="V919" i="7"/>
  <c r="V918" i="7"/>
  <c r="V917" i="7"/>
  <c r="V916" i="7"/>
  <c r="V915" i="7"/>
  <c r="V914" i="7"/>
  <c r="V913" i="7"/>
  <c r="V912" i="7"/>
  <c r="V911" i="7"/>
  <c r="V910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V882" i="7"/>
  <c r="V881" i="7"/>
  <c r="V880" i="7"/>
  <c r="V879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V838" i="7"/>
  <c r="V837" i="7"/>
  <c r="V836" i="7"/>
  <c r="V835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V794" i="7"/>
  <c r="V793" i="7"/>
  <c r="V792" i="7"/>
  <c r="V791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V750" i="7"/>
  <c r="V749" i="7"/>
  <c r="V748" i="7"/>
  <c r="V747" i="7"/>
  <c r="V746" i="7"/>
  <c r="V745" i="7"/>
  <c r="V744" i="7"/>
  <c r="V743" i="7"/>
  <c r="V742" i="7"/>
  <c r="V741" i="7"/>
  <c r="V740" i="7"/>
  <c r="V739" i="7"/>
  <c r="V738" i="7"/>
  <c r="V737" i="7"/>
  <c r="V736" i="7"/>
  <c r="V735" i="7"/>
  <c r="V734" i="7"/>
  <c r="V733" i="7"/>
  <c r="V732" i="7"/>
  <c r="V731" i="7"/>
  <c r="V730" i="7"/>
  <c r="V729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V706" i="7"/>
  <c r="V705" i="7"/>
  <c r="V704" i="7"/>
  <c r="V703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0" i="7"/>
  <c r="V669" i="7"/>
  <c r="V668" i="7"/>
  <c r="V667" i="7"/>
  <c r="V666" i="7"/>
  <c r="V665" i="7"/>
  <c r="V664" i="7"/>
  <c r="V663" i="7"/>
  <c r="V662" i="7"/>
  <c r="V661" i="7"/>
  <c r="V660" i="7"/>
  <c r="V659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3" i="7"/>
  <c r="V622" i="7"/>
  <c r="V621" i="7"/>
  <c r="V620" i="7"/>
  <c r="V619" i="7"/>
  <c r="V618" i="7"/>
  <c r="V617" i="7"/>
  <c r="V616" i="7"/>
  <c r="V614" i="7"/>
  <c r="V613" i="7"/>
  <c r="V612" i="7"/>
  <c r="V611" i="7"/>
  <c r="V609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1" i="7"/>
  <c r="V539" i="7"/>
  <c r="V538" i="7"/>
  <c r="V537" i="7"/>
  <c r="V535" i="7"/>
  <c r="V534" i="7"/>
  <c r="V533" i="7"/>
  <c r="V532" i="7"/>
  <c r="V531" i="7"/>
  <c r="V530" i="7"/>
  <c r="V528" i="7"/>
  <c r="V527" i="7"/>
  <c r="V526" i="7"/>
  <c r="V525" i="7"/>
  <c r="V524" i="7"/>
  <c r="V523" i="7"/>
  <c r="V522" i="7"/>
  <c r="V521" i="7"/>
  <c r="V520" i="7"/>
  <c r="V519" i="7"/>
  <c r="V517" i="7"/>
  <c r="V516" i="7"/>
  <c r="V515" i="7"/>
  <c r="V514" i="7"/>
  <c r="V513" i="7"/>
  <c r="V511" i="7"/>
  <c r="V510" i="7"/>
  <c r="V506" i="7"/>
  <c r="V505" i="7"/>
  <c r="V504" i="7"/>
  <c r="V501" i="7"/>
  <c r="V500" i="7"/>
  <c r="V499" i="7"/>
  <c r="V497" i="7"/>
  <c r="V496" i="7"/>
  <c r="V495" i="7"/>
  <c r="V494" i="7"/>
  <c r="V493" i="7"/>
  <c r="V492" i="7"/>
  <c r="V491" i="7"/>
  <c r="V488" i="7"/>
  <c r="V487" i="7"/>
  <c r="V486" i="7"/>
  <c r="V485" i="7"/>
  <c r="V484" i="7"/>
  <c r="V483" i="7"/>
  <c r="V482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V443" i="7"/>
  <c r="V442" i="7"/>
  <c r="V441" i="7"/>
  <c r="V440" i="7"/>
  <c r="V439" i="7"/>
  <c r="V438" i="7"/>
  <c r="V437" i="7"/>
  <c r="V436" i="7"/>
  <c r="V435" i="7"/>
  <c r="V434" i="7"/>
  <c r="V433" i="7"/>
  <c r="V432" i="7"/>
  <c r="V431" i="7"/>
  <c r="V430" i="7"/>
  <c r="V429" i="7"/>
  <c r="V428" i="7"/>
  <c r="V427" i="7"/>
  <c r="V426" i="7"/>
  <c r="V425" i="7"/>
  <c r="V424" i="7"/>
  <c r="V423" i="7"/>
  <c r="V422" i="7"/>
  <c r="V421" i="7"/>
  <c r="V420" i="7"/>
  <c r="V419" i="7"/>
  <c r="V418" i="7"/>
  <c r="V417" i="7"/>
  <c r="V416" i="7"/>
  <c r="V415" i="7"/>
  <c r="V414" i="7"/>
  <c r="V413" i="7"/>
  <c r="V412" i="7"/>
  <c r="V411" i="7"/>
  <c r="V410" i="7"/>
  <c r="V409" i="7"/>
  <c r="V408" i="7"/>
  <c r="V407" i="7"/>
  <c r="V406" i="7"/>
  <c r="V405" i="7"/>
  <c r="V404" i="7"/>
  <c r="V403" i="7"/>
  <c r="V402" i="7"/>
  <c r="V401" i="7"/>
  <c r="V400" i="7"/>
  <c r="V399" i="7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372" i="7"/>
  <c r="V371" i="7"/>
  <c r="V370" i="7"/>
  <c r="V369" i="7"/>
  <c r="V368" i="7"/>
  <c r="V367" i="7"/>
  <c r="V366" i="7"/>
  <c r="V365" i="7"/>
  <c r="V364" i="7"/>
  <c r="V363" i="7"/>
  <c r="V362" i="7"/>
  <c r="V361" i="7"/>
  <c r="V360" i="7"/>
  <c r="V359" i="7"/>
  <c r="V358" i="7"/>
  <c r="V357" i="7"/>
  <c r="V356" i="7"/>
  <c r="V355" i="7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4" i="7"/>
  <c r="V242" i="7"/>
  <c r="V241" i="7"/>
  <c r="V238" i="7"/>
  <c r="V233" i="7"/>
  <c r="V232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3" i="7"/>
  <c r="V170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V2" i="7"/>
  <c r="U1972" i="7"/>
  <c r="U1971" i="7"/>
  <c r="U1970" i="7"/>
  <c r="U1969" i="7"/>
  <c r="U1968" i="7"/>
  <c r="U1967" i="7"/>
  <c r="U1966" i="7"/>
  <c r="U1965" i="7"/>
  <c r="U1964" i="7"/>
  <c r="U1963" i="7"/>
  <c r="U1962" i="7"/>
  <c r="U1961" i="7"/>
  <c r="U1960" i="7"/>
  <c r="U1959" i="7"/>
  <c r="U1958" i="7"/>
  <c r="U1957" i="7"/>
  <c r="U1956" i="7"/>
  <c r="U1955" i="7"/>
  <c r="U1954" i="7"/>
  <c r="U1953" i="7"/>
  <c r="U1952" i="7"/>
  <c r="U1951" i="7"/>
  <c r="U1950" i="7"/>
  <c r="U1949" i="7"/>
  <c r="U1948" i="7"/>
  <c r="U1946" i="7"/>
  <c r="U1945" i="7"/>
  <c r="U1944" i="7"/>
  <c r="U1943" i="7"/>
  <c r="U1942" i="7"/>
  <c r="U1941" i="7"/>
  <c r="U1940" i="7"/>
  <c r="U1939" i="7"/>
  <c r="U1938" i="7"/>
  <c r="U1937" i="7"/>
  <c r="U1936" i="7"/>
  <c r="U1935" i="7"/>
  <c r="U1934" i="7"/>
  <c r="U1933" i="7"/>
  <c r="U1932" i="7"/>
  <c r="U1931" i="7"/>
  <c r="U1930" i="7"/>
  <c r="U1929" i="7"/>
  <c r="U1928" i="7"/>
  <c r="U1927" i="7"/>
  <c r="U1926" i="7"/>
  <c r="U1925" i="7"/>
  <c r="U1924" i="7"/>
  <c r="U1923" i="7"/>
  <c r="U1922" i="7"/>
  <c r="U1921" i="7"/>
  <c r="U1920" i="7"/>
  <c r="U1919" i="7"/>
  <c r="U1918" i="7"/>
  <c r="U1917" i="7"/>
  <c r="U1916" i="7"/>
  <c r="U1915" i="7"/>
  <c r="U1914" i="7"/>
  <c r="U1913" i="7"/>
  <c r="U1912" i="7"/>
  <c r="U1911" i="7"/>
  <c r="U1910" i="7"/>
  <c r="U1909" i="7"/>
  <c r="U1908" i="7"/>
  <c r="U1907" i="7"/>
  <c r="U1906" i="7"/>
  <c r="U1905" i="7"/>
  <c r="U1904" i="7"/>
  <c r="U1903" i="7"/>
  <c r="U1902" i="7"/>
  <c r="U1901" i="7"/>
  <c r="U1900" i="7"/>
  <c r="U1899" i="7"/>
  <c r="U1898" i="7"/>
  <c r="U1897" i="7"/>
  <c r="U1895" i="7"/>
  <c r="U1894" i="7"/>
  <c r="U1893" i="7"/>
  <c r="U1892" i="7"/>
  <c r="U1891" i="7"/>
  <c r="U1889" i="7"/>
  <c r="U1886" i="7"/>
  <c r="U1885" i="7"/>
  <c r="U1884" i="7"/>
  <c r="U1883" i="7"/>
  <c r="U1882" i="7"/>
  <c r="U1881" i="7"/>
  <c r="U1880" i="7"/>
  <c r="U1879" i="7"/>
  <c r="U1878" i="7"/>
  <c r="U1877" i="7"/>
  <c r="U1876" i="7"/>
  <c r="U1875" i="7"/>
  <c r="U1874" i="7"/>
  <c r="U1873" i="7"/>
  <c r="U1872" i="7"/>
  <c r="U1871" i="7"/>
  <c r="U1870" i="7"/>
  <c r="U1869" i="7"/>
  <c r="U1868" i="7"/>
  <c r="U1867" i="7"/>
  <c r="U1866" i="7"/>
  <c r="U1865" i="7"/>
  <c r="U1864" i="7"/>
  <c r="U1863" i="7"/>
  <c r="U1862" i="7"/>
  <c r="U1861" i="7"/>
  <c r="U1860" i="7"/>
  <c r="U1859" i="7"/>
  <c r="U1858" i="7"/>
  <c r="U1857" i="7"/>
  <c r="U1856" i="7"/>
  <c r="U1855" i="7"/>
  <c r="U1854" i="7"/>
  <c r="U1853" i="7"/>
  <c r="U1852" i="7"/>
  <c r="U1851" i="7"/>
  <c r="U1850" i="7"/>
  <c r="U1849" i="7"/>
  <c r="U1848" i="7"/>
  <c r="U1847" i="7"/>
  <c r="U1846" i="7"/>
  <c r="U1845" i="7"/>
  <c r="U1844" i="7"/>
  <c r="U1843" i="7"/>
  <c r="U1842" i="7"/>
  <c r="U1841" i="7"/>
  <c r="U1840" i="7"/>
  <c r="U1839" i="7"/>
  <c r="U1838" i="7"/>
  <c r="U1837" i="7"/>
  <c r="U1836" i="7"/>
  <c r="U1835" i="7"/>
  <c r="U1834" i="7"/>
  <c r="U1833" i="7"/>
  <c r="U1832" i="7"/>
  <c r="U1831" i="7"/>
  <c r="U1830" i="7"/>
  <c r="U1829" i="7"/>
  <c r="U1828" i="7"/>
  <c r="U1827" i="7"/>
  <c r="U1826" i="7"/>
  <c r="U1825" i="7"/>
  <c r="U1824" i="7"/>
  <c r="U1823" i="7"/>
  <c r="U1822" i="7"/>
  <c r="U1821" i="7"/>
  <c r="U1820" i="7"/>
  <c r="U1819" i="7"/>
  <c r="U1818" i="7"/>
  <c r="U1817" i="7"/>
  <c r="U1816" i="7"/>
  <c r="U1815" i="7"/>
  <c r="U1814" i="7"/>
  <c r="U1813" i="7"/>
  <c r="U1812" i="7"/>
  <c r="U1811" i="7"/>
  <c r="U1810" i="7"/>
  <c r="U1809" i="7"/>
  <c r="U1808" i="7"/>
  <c r="U1807" i="7"/>
  <c r="U1806" i="7"/>
  <c r="U1805" i="7"/>
  <c r="U1804" i="7"/>
  <c r="U1803" i="7"/>
  <c r="U1802" i="7"/>
  <c r="U1801" i="7"/>
  <c r="U1800" i="7"/>
  <c r="U1799" i="7"/>
  <c r="U1798" i="7"/>
  <c r="U1797" i="7"/>
  <c r="U1796" i="7"/>
  <c r="U1795" i="7"/>
  <c r="U1794" i="7"/>
  <c r="U1793" i="7"/>
  <c r="U1792" i="7"/>
  <c r="U1791" i="7"/>
  <c r="U1789" i="7"/>
  <c r="U1788" i="7"/>
  <c r="U1785" i="7"/>
  <c r="U1784" i="7"/>
  <c r="U1783" i="7"/>
  <c r="U1782" i="7"/>
  <c r="U1781" i="7"/>
  <c r="U1780" i="7"/>
  <c r="U1779" i="7"/>
  <c r="U1778" i="7"/>
  <c r="U1776" i="7"/>
  <c r="U1775" i="7"/>
  <c r="U1774" i="7"/>
  <c r="U1773" i="7"/>
  <c r="U1772" i="7"/>
  <c r="U1771" i="7"/>
  <c r="U1770" i="7"/>
  <c r="U1769" i="7"/>
  <c r="U1768" i="7"/>
  <c r="U1767" i="7"/>
  <c r="U1766" i="7"/>
  <c r="U1765" i="7"/>
  <c r="U1764" i="7"/>
  <c r="U1763" i="7"/>
  <c r="U1762" i="7"/>
  <c r="U1761" i="7"/>
  <c r="U1760" i="7"/>
  <c r="U1759" i="7"/>
  <c r="U1758" i="7"/>
  <c r="U1757" i="7"/>
  <c r="U1756" i="7"/>
  <c r="U1755" i="7"/>
  <c r="U1754" i="7"/>
  <c r="U1753" i="7"/>
  <c r="U1752" i="7"/>
  <c r="U1751" i="7"/>
  <c r="U1750" i="7"/>
  <c r="U1749" i="7"/>
  <c r="U1748" i="7"/>
  <c r="U1747" i="7"/>
  <c r="U1746" i="7"/>
  <c r="U1743" i="7"/>
  <c r="U1742" i="7"/>
  <c r="U1741" i="7"/>
  <c r="U1740" i="7"/>
  <c r="U1738" i="7"/>
  <c r="U1737" i="7"/>
  <c r="U1736" i="7"/>
  <c r="U1735" i="7"/>
  <c r="U1734" i="7"/>
  <c r="U1733" i="7"/>
  <c r="U1732" i="7"/>
  <c r="U1731" i="7"/>
  <c r="U1730" i="7"/>
  <c r="U1729" i="7"/>
  <c r="U1728" i="7"/>
  <c r="U1727" i="7"/>
  <c r="U1726" i="7"/>
  <c r="U1725" i="7"/>
  <c r="U1724" i="7"/>
  <c r="U1723" i="7"/>
  <c r="U1719" i="7"/>
  <c r="U1717" i="7"/>
  <c r="U1716" i="7"/>
  <c r="U1715" i="7"/>
  <c r="U1714" i="7"/>
  <c r="U1713" i="7"/>
  <c r="U1712" i="7"/>
  <c r="U1711" i="7"/>
  <c r="U1708" i="7"/>
  <c r="U1707" i="7"/>
  <c r="U1706" i="7"/>
  <c r="U1705" i="7"/>
  <c r="U1704" i="7"/>
  <c r="U1703" i="7"/>
  <c r="U1702" i="7"/>
  <c r="U1701" i="7"/>
  <c r="U1700" i="7"/>
  <c r="U1699" i="7"/>
  <c r="U1698" i="7"/>
  <c r="U1697" i="7"/>
  <c r="U1696" i="7"/>
  <c r="U1695" i="7"/>
  <c r="U1694" i="7"/>
  <c r="U1693" i="7"/>
  <c r="U1692" i="7"/>
  <c r="U1691" i="7"/>
  <c r="U1690" i="7"/>
  <c r="U1689" i="7"/>
  <c r="U1688" i="7"/>
  <c r="U1687" i="7"/>
  <c r="U1686" i="7"/>
  <c r="U1685" i="7"/>
  <c r="U1684" i="7"/>
  <c r="U1683" i="7"/>
  <c r="U1682" i="7"/>
  <c r="U1681" i="7"/>
  <c r="U1680" i="7"/>
  <c r="U1679" i="7"/>
  <c r="U1678" i="7"/>
  <c r="U1677" i="7"/>
  <c r="U1676" i="7"/>
  <c r="U1675" i="7"/>
  <c r="U1674" i="7"/>
  <c r="U1673" i="7"/>
  <c r="U1672" i="7"/>
  <c r="U1671" i="7"/>
  <c r="U1670" i="7"/>
  <c r="U1669" i="7"/>
  <c r="U1668" i="7"/>
  <c r="U1667" i="7"/>
  <c r="U1666" i="7"/>
  <c r="U1665" i="7"/>
  <c r="U1664" i="7"/>
  <c r="U1663" i="7"/>
  <c r="U1662" i="7"/>
  <c r="U1661" i="7"/>
  <c r="U1660" i="7"/>
  <c r="U1659" i="7"/>
  <c r="U1658" i="7"/>
  <c r="U1657" i="7"/>
  <c r="U1656" i="7"/>
  <c r="U1655" i="7"/>
  <c r="U1654" i="7"/>
  <c r="U1653" i="7"/>
  <c r="U1652" i="7"/>
  <c r="U1651" i="7"/>
  <c r="U1650" i="7"/>
  <c r="U1649" i="7"/>
  <c r="U1648" i="7"/>
  <c r="U1647" i="7"/>
  <c r="U1646" i="7"/>
  <c r="U1645" i="7"/>
  <c r="U1644" i="7"/>
  <c r="U1643" i="7"/>
  <c r="U1642" i="7"/>
  <c r="U1641" i="7"/>
  <c r="U1640" i="7"/>
  <c r="U1639" i="7"/>
  <c r="U1638" i="7"/>
  <c r="U1637" i="7"/>
  <c r="U1636" i="7"/>
  <c r="U1635" i="7"/>
  <c r="U1634" i="7"/>
  <c r="U1633" i="7"/>
  <c r="U1632" i="7"/>
  <c r="U1631" i="7"/>
  <c r="U1630" i="7"/>
  <c r="U1629" i="7"/>
  <c r="U1628" i="7"/>
  <c r="U1627" i="7"/>
  <c r="U1626" i="7"/>
  <c r="U1625" i="7"/>
  <c r="U1624" i="7"/>
  <c r="U1623" i="7"/>
  <c r="U1622" i="7"/>
  <c r="U1621" i="7"/>
  <c r="U1620" i="7"/>
  <c r="U1619" i="7"/>
  <c r="U1618" i="7"/>
  <c r="U1617" i="7"/>
  <c r="U1616" i="7"/>
  <c r="U1615" i="7"/>
  <c r="U1614" i="7"/>
  <c r="U1613" i="7"/>
  <c r="U1612" i="7"/>
  <c r="U1611" i="7"/>
  <c r="U1610" i="7"/>
  <c r="U1609" i="7"/>
  <c r="U1608" i="7"/>
  <c r="U1607" i="7"/>
  <c r="U1606" i="7"/>
  <c r="U1605" i="7"/>
  <c r="U1604" i="7"/>
  <c r="U1603" i="7"/>
  <c r="U1602" i="7"/>
  <c r="U1601" i="7"/>
  <c r="U1600" i="7"/>
  <c r="U1599" i="7"/>
  <c r="U1598" i="7"/>
  <c r="U1597" i="7"/>
  <c r="U1596" i="7"/>
  <c r="U1595" i="7"/>
  <c r="U1594" i="7"/>
  <c r="U1593" i="7"/>
  <c r="U1592" i="7"/>
  <c r="U1591" i="7"/>
  <c r="U1590" i="7"/>
  <c r="U1589" i="7"/>
  <c r="U1588" i="7"/>
  <c r="U1587" i="7"/>
  <c r="U1586" i="7"/>
  <c r="U1585" i="7"/>
  <c r="U1584" i="7"/>
  <c r="U1583" i="7"/>
  <c r="U1582" i="7"/>
  <c r="U1581" i="7"/>
  <c r="U1580" i="7"/>
  <c r="U1579" i="7"/>
  <c r="U1578" i="7"/>
  <c r="U1577" i="7"/>
  <c r="U1576" i="7"/>
  <c r="U1575" i="7"/>
  <c r="U1574" i="7"/>
  <c r="U1573" i="7"/>
  <c r="U1572" i="7"/>
  <c r="U1571" i="7"/>
  <c r="U1570" i="7"/>
  <c r="U1569" i="7"/>
  <c r="U1568" i="7"/>
  <c r="U1567" i="7"/>
  <c r="U1566" i="7"/>
  <c r="U1565" i="7"/>
  <c r="U1564" i="7"/>
  <c r="U1563" i="7"/>
  <c r="U1562" i="7"/>
  <c r="U1561" i="7"/>
  <c r="U1560" i="7"/>
  <c r="U1559" i="7"/>
  <c r="U1558" i="7"/>
  <c r="U1557" i="7"/>
  <c r="U1556" i="7"/>
  <c r="U1555" i="7"/>
  <c r="U1554" i="7"/>
  <c r="U1552" i="7"/>
  <c r="U1551" i="7"/>
  <c r="U1550" i="7"/>
  <c r="U1549" i="7"/>
  <c r="U1548" i="7"/>
  <c r="U1547" i="7"/>
  <c r="U1546" i="7"/>
  <c r="U1545" i="7"/>
  <c r="U1544" i="7"/>
  <c r="U1543" i="7"/>
  <c r="U1542" i="7"/>
  <c r="U1541" i="7"/>
  <c r="U1540" i="7"/>
  <c r="U1539" i="7"/>
  <c r="U1538" i="7"/>
  <c r="U1537" i="7"/>
  <c r="U1536" i="7"/>
  <c r="U1535" i="7"/>
  <c r="U1534" i="7"/>
  <c r="U1533" i="7"/>
  <c r="U1532" i="7"/>
  <c r="U1531" i="7"/>
  <c r="U1530" i="7"/>
  <c r="U1529" i="7"/>
  <c r="U1528" i="7"/>
  <c r="U1527" i="7"/>
  <c r="U1526" i="7"/>
  <c r="U1525" i="7"/>
  <c r="U1524" i="7"/>
  <c r="U1523" i="7"/>
  <c r="U1522" i="7"/>
  <c r="U1521" i="7"/>
  <c r="U1520" i="7"/>
  <c r="U1519" i="7"/>
  <c r="U1518" i="7"/>
  <c r="U1517" i="7"/>
  <c r="U1515" i="7"/>
  <c r="U1514" i="7"/>
  <c r="U1513" i="7"/>
  <c r="U1512" i="7"/>
  <c r="U1511" i="7"/>
  <c r="U1510" i="7"/>
  <c r="U1509" i="7"/>
  <c r="U1508" i="7"/>
  <c r="U1507" i="7"/>
  <c r="U1506" i="7"/>
  <c r="U1505" i="7"/>
  <c r="U1504" i="7"/>
  <c r="U1503" i="7"/>
  <c r="U1502" i="7"/>
  <c r="U1501" i="7"/>
  <c r="U1500" i="7"/>
  <c r="U1499" i="7"/>
  <c r="U1498" i="7"/>
  <c r="U1497" i="7"/>
  <c r="U1496" i="7"/>
  <c r="U1495" i="7"/>
  <c r="U1494" i="7"/>
  <c r="U1493" i="7"/>
  <c r="U1492" i="7"/>
  <c r="U1491" i="7"/>
  <c r="U1490" i="7"/>
  <c r="U1489" i="7"/>
  <c r="U1488" i="7"/>
  <c r="U1487" i="7"/>
  <c r="U1486" i="7"/>
  <c r="U1485" i="7"/>
  <c r="U1484" i="7"/>
  <c r="U1483" i="7"/>
  <c r="U1482" i="7"/>
  <c r="U1481" i="7"/>
  <c r="U1480" i="7"/>
  <c r="U1479" i="7"/>
  <c r="U1478" i="7"/>
  <c r="U1477" i="7"/>
  <c r="U1476" i="7"/>
  <c r="U1475" i="7"/>
  <c r="U1474" i="7"/>
  <c r="U1473" i="7"/>
  <c r="U1472" i="7"/>
  <c r="U1471" i="7"/>
  <c r="U1470" i="7"/>
  <c r="U1469" i="7"/>
  <c r="U1468" i="7"/>
  <c r="U1467" i="7"/>
  <c r="U1466" i="7"/>
  <c r="U1465" i="7"/>
  <c r="U1464" i="7"/>
  <c r="U1463" i="7"/>
  <c r="U1462" i="7"/>
  <c r="U1461" i="7"/>
  <c r="U1460" i="7"/>
  <c r="U1459" i="7"/>
  <c r="U1458" i="7"/>
  <c r="U1457" i="7"/>
  <c r="U1456" i="7"/>
  <c r="U1455" i="7"/>
  <c r="U1454" i="7"/>
  <c r="U1453" i="7"/>
  <c r="U1452" i="7"/>
  <c r="U1451" i="7"/>
  <c r="U1450" i="7"/>
  <c r="U1449" i="7"/>
  <c r="U1448" i="7"/>
  <c r="U1447" i="7"/>
  <c r="U1446" i="7"/>
  <c r="U1445" i="7"/>
  <c r="U1444" i="7"/>
  <c r="U1443" i="7"/>
  <c r="U1442" i="7"/>
  <c r="U1441" i="7"/>
  <c r="U1440" i="7"/>
  <c r="U1439" i="7"/>
  <c r="U1438" i="7"/>
  <c r="U1437" i="7"/>
  <c r="U1436" i="7"/>
  <c r="U1435" i="7"/>
  <c r="U1434" i="7"/>
  <c r="U1433" i="7"/>
  <c r="U1432" i="7"/>
  <c r="U1431" i="7"/>
  <c r="U1430" i="7"/>
  <c r="U1429" i="7"/>
  <c r="U1428" i="7"/>
  <c r="U1425" i="7"/>
  <c r="U1424" i="7"/>
  <c r="U1423" i="7"/>
  <c r="U1422" i="7"/>
  <c r="U1421" i="7"/>
  <c r="U1420" i="7"/>
  <c r="U1419" i="7"/>
  <c r="U1418" i="7"/>
  <c r="U1417" i="7"/>
  <c r="U1416" i="7"/>
  <c r="U1415" i="7"/>
  <c r="U1414" i="7"/>
  <c r="U1413" i="7"/>
  <c r="U1412" i="7"/>
  <c r="U1411" i="7"/>
  <c r="U1410" i="7"/>
  <c r="U1409" i="7"/>
  <c r="U1408" i="7"/>
  <c r="U1407" i="7"/>
  <c r="U1406" i="7"/>
  <c r="U1405" i="7"/>
  <c r="U1404" i="7"/>
  <c r="U1403" i="7"/>
  <c r="U1402" i="7"/>
  <c r="U1401" i="7"/>
  <c r="U1400" i="7"/>
  <c r="U1399" i="7"/>
  <c r="U1398" i="7"/>
  <c r="U1397" i="7"/>
  <c r="U1396" i="7"/>
  <c r="U1395" i="7"/>
  <c r="U1394" i="7"/>
  <c r="U1393" i="7"/>
  <c r="U1392" i="7"/>
  <c r="U1391" i="7"/>
  <c r="U1390" i="7"/>
  <c r="U1389" i="7"/>
  <c r="U1388" i="7"/>
  <c r="U1387" i="7"/>
  <c r="U1386" i="7"/>
  <c r="U1385" i="7"/>
  <c r="U1384" i="7"/>
  <c r="U1383" i="7"/>
  <c r="U1382" i="7"/>
  <c r="U1381" i="7"/>
  <c r="U1380" i="7"/>
  <c r="U1379" i="7"/>
  <c r="U1378" i="7"/>
  <c r="U1377" i="7"/>
  <c r="U1376" i="7"/>
  <c r="U1375" i="7"/>
  <c r="U1374" i="7"/>
  <c r="U1373" i="7"/>
  <c r="U1372" i="7"/>
  <c r="U1371" i="7"/>
  <c r="U1370" i="7"/>
  <c r="U1369" i="7"/>
  <c r="U1368" i="7"/>
  <c r="U1367" i="7"/>
  <c r="U1366" i="7"/>
  <c r="U1365" i="7"/>
  <c r="U1364" i="7"/>
  <c r="U1363" i="7"/>
  <c r="U1362" i="7"/>
  <c r="U1361" i="7"/>
  <c r="U1360" i="7"/>
  <c r="U1359" i="7"/>
  <c r="U1358" i="7"/>
  <c r="U1357" i="7"/>
  <c r="U1356" i="7"/>
  <c r="U1355" i="7"/>
  <c r="U1354" i="7"/>
  <c r="U1353" i="7"/>
  <c r="U1352" i="7"/>
  <c r="U1351" i="7"/>
  <c r="U1350" i="7"/>
  <c r="U1349" i="7"/>
  <c r="U1348" i="7"/>
  <c r="U1347" i="7"/>
  <c r="U1346" i="7"/>
  <c r="U1345" i="7"/>
  <c r="U1344" i="7"/>
  <c r="U1343" i="7"/>
  <c r="U1342" i="7"/>
  <c r="U1341" i="7"/>
  <c r="U1340" i="7"/>
  <c r="U1339" i="7"/>
  <c r="U1338" i="7"/>
  <c r="U1337" i="7"/>
  <c r="U1336" i="7"/>
  <c r="U1335" i="7"/>
  <c r="U1334" i="7"/>
  <c r="U1333" i="7"/>
  <c r="U1332" i="7"/>
  <c r="U1331" i="7"/>
  <c r="U1330" i="7"/>
  <c r="U1329" i="7"/>
  <c r="U1328" i="7"/>
  <c r="U1327" i="7"/>
  <c r="U1326" i="7"/>
  <c r="U1325" i="7"/>
  <c r="U1324" i="7"/>
  <c r="U1323" i="7"/>
  <c r="U1322" i="7"/>
  <c r="U1321" i="7"/>
  <c r="U1320" i="7"/>
  <c r="U1319" i="7"/>
  <c r="U1318" i="7"/>
  <c r="U1317" i="7"/>
  <c r="U1316" i="7"/>
  <c r="U1315" i="7"/>
  <c r="U1314" i="7"/>
  <c r="U1313" i="7"/>
  <c r="U1312" i="7"/>
  <c r="U1311" i="7"/>
  <c r="U1310" i="7"/>
  <c r="U1309" i="7"/>
  <c r="U1308" i="7"/>
  <c r="U1307" i="7"/>
  <c r="U1306" i="7"/>
  <c r="U1305" i="7"/>
  <c r="U1304" i="7"/>
  <c r="U1303" i="7"/>
  <c r="U1302" i="7"/>
  <c r="U1301" i="7"/>
  <c r="U1300" i="7"/>
  <c r="U1299" i="7"/>
  <c r="U1298" i="7"/>
  <c r="U1297" i="7"/>
  <c r="U1296" i="7"/>
  <c r="U1295" i="7"/>
  <c r="U1294" i="7"/>
  <c r="U1293" i="7"/>
  <c r="U1292" i="7"/>
  <c r="U1291" i="7"/>
  <c r="U1290" i="7"/>
  <c r="U1289" i="7"/>
  <c r="U1288" i="7"/>
  <c r="U1287" i="7"/>
  <c r="U1286" i="7"/>
  <c r="U1285" i="7"/>
  <c r="U1284" i="7"/>
  <c r="U1283" i="7"/>
  <c r="U1282" i="7"/>
  <c r="U1281" i="7"/>
  <c r="U1280" i="7"/>
  <c r="U1279" i="7"/>
  <c r="U1278" i="7"/>
  <c r="U1277" i="7"/>
  <c r="U1276" i="7"/>
  <c r="U1275" i="7"/>
  <c r="U1274" i="7"/>
  <c r="U1273" i="7"/>
  <c r="U1272" i="7"/>
  <c r="U1271" i="7"/>
  <c r="U1270" i="7"/>
  <c r="U1269" i="7"/>
  <c r="U1268" i="7"/>
  <c r="U1267" i="7"/>
  <c r="U1266" i="7"/>
  <c r="U1265" i="7"/>
  <c r="U1264" i="7"/>
  <c r="U1263" i="7"/>
  <c r="U1262" i="7"/>
  <c r="U1261" i="7"/>
  <c r="U1260" i="7"/>
  <c r="U1259" i="7"/>
  <c r="U1258" i="7"/>
  <c r="U1257" i="7"/>
  <c r="U1256" i="7"/>
  <c r="U1255" i="7"/>
  <c r="U1254" i="7"/>
  <c r="U1253" i="7"/>
  <c r="U1252" i="7"/>
  <c r="U1251" i="7"/>
  <c r="U1250" i="7"/>
  <c r="U1249" i="7"/>
  <c r="U1248" i="7"/>
  <c r="U1247" i="7"/>
  <c r="U1246" i="7"/>
  <c r="U1245" i="7"/>
  <c r="U1244" i="7"/>
  <c r="U1243" i="7"/>
  <c r="U1242" i="7"/>
  <c r="U1241" i="7"/>
  <c r="U1240" i="7"/>
  <c r="U1239" i="7"/>
  <c r="U1238" i="7"/>
  <c r="U1237" i="7"/>
  <c r="U1236" i="7"/>
  <c r="U1235" i="7"/>
  <c r="U1234" i="7"/>
  <c r="U1233" i="7"/>
  <c r="U1232" i="7"/>
  <c r="U1231" i="7"/>
  <c r="U1230" i="7"/>
  <c r="U1229" i="7"/>
  <c r="U1228" i="7"/>
  <c r="U1227" i="7"/>
  <c r="U1226" i="7"/>
  <c r="U1225" i="7"/>
  <c r="U1224" i="7"/>
  <c r="U1223" i="7"/>
  <c r="U1222" i="7"/>
  <c r="U1221" i="7"/>
  <c r="U1220" i="7"/>
  <c r="U1219" i="7"/>
  <c r="U1218" i="7"/>
  <c r="U1217" i="7"/>
  <c r="U1216" i="7"/>
  <c r="U1215" i="7"/>
  <c r="U1214" i="7"/>
  <c r="U1213" i="7"/>
  <c r="U1212" i="7"/>
  <c r="U1211" i="7"/>
  <c r="U1210" i="7"/>
  <c r="U1209" i="7"/>
  <c r="U1208" i="7"/>
  <c r="U1207" i="7"/>
  <c r="U1206" i="7"/>
  <c r="U1205" i="7"/>
  <c r="U1204" i="7"/>
  <c r="U1203" i="7"/>
  <c r="U1202" i="7"/>
  <c r="U1201" i="7"/>
  <c r="U1200" i="7"/>
  <c r="U1199" i="7"/>
  <c r="U1198" i="7"/>
  <c r="U1197" i="7"/>
  <c r="U1196" i="7"/>
  <c r="U1195" i="7"/>
  <c r="U1194" i="7"/>
  <c r="U1193" i="7"/>
  <c r="U1192" i="7"/>
  <c r="U1191" i="7"/>
  <c r="U1190" i="7"/>
  <c r="U1189" i="7"/>
  <c r="U1188" i="7"/>
  <c r="U1187" i="7"/>
  <c r="U1186" i="7"/>
  <c r="U1185" i="7"/>
  <c r="U1184" i="7"/>
  <c r="U1183" i="7"/>
  <c r="U1182" i="7"/>
  <c r="U1181" i="7"/>
  <c r="U1180" i="7"/>
  <c r="U1179" i="7"/>
  <c r="U1178" i="7"/>
  <c r="U1177" i="7"/>
  <c r="U1176" i="7"/>
  <c r="U1175" i="7"/>
  <c r="U1174" i="7"/>
  <c r="U1173" i="7"/>
  <c r="U1172" i="7"/>
  <c r="U1171" i="7"/>
  <c r="U1170" i="7"/>
  <c r="U1169" i="7"/>
  <c r="U1168" i="7"/>
  <c r="U1167" i="7"/>
  <c r="U1166" i="7"/>
  <c r="U1165" i="7"/>
  <c r="U1164" i="7"/>
  <c r="U1163" i="7"/>
  <c r="U1162" i="7"/>
  <c r="U1161" i="7"/>
  <c r="U1160" i="7"/>
  <c r="U1159" i="7"/>
  <c r="U1158" i="7"/>
  <c r="U1157" i="7"/>
  <c r="U1156" i="7"/>
  <c r="U1155" i="7"/>
  <c r="U1154" i="7"/>
  <c r="U1153" i="7"/>
  <c r="U1152" i="7"/>
  <c r="U1151" i="7"/>
  <c r="U1150" i="7"/>
  <c r="U1149" i="7"/>
  <c r="U1148" i="7"/>
  <c r="U1147" i="7"/>
  <c r="U1146" i="7"/>
  <c r="U1145" i="7"/>
  <c r="U1144" i="7"/>
  <c r="U1143" i="7"/>
  <c r="U1142" i="7"/>
  <c r="U1141" i="7"/>
  <c r="U1140" i="7"/>
  <c r="U1139" i="7"/>
  <c r="U1138" i="7"/>
  <c r="U1137" i="7"/>
  <c r="U1136" i="7"/>
  <c r="U1135" i="7"/>
  <c r="U1134" i="7"/>
  <c r="U1133" i="7"/>
  <c r="U1132" i="7"/>
  <c r="U1131" i="7"/>
  <c r="U1130" i="7"/>
  <c r="U1129" i="7"/>
  <c r="U1128" i="7"/>
  <c r="U1127" i="7"/>
  <c r="U1126" i="7"/>
  <c r="U1125" i="7"/>
  <c r="U1124" i="7"/>
  <c r="U1123" i="7"/>
  <c r="U1122" i="7"/>
  <c r="U1121" i="7"/>
  <c r="U1120" i="7"/>
  <c r="U1119" i="7"/>
  <c r="U1118" i="7"/>
  <c r="U1117" i="7"/>
  <c r="U1116" i="7"/>
  <c r="U1115" i="7"/>
  <c r="U1114" i="7"/>
  <c r="U1113" i="7"/>
  <c r="U1112" i="7"/>
  <c r="U1111" i="7"/>
  <c r="U1110" i="7"/>
  <c r="U1109" i="7"/>
  <c r="U1108" i="7"/>
  <c r="U1107" i="7"/>
  <c r="U1106" i="7"/>
  <c r="U1105" i="7"/>
  <c r="U1104" i="7"/>
  <c r="U1103" i="7"/>
  <c r="U1102" i="7"/>
  <c r="U1101" i="7"/>
  <c r="U1100" i="7"/>
  <c r="U1099" i="7"/>
  <c r="U1098" i="7"/>
  <c r="U1097" i="7"/>
  <c r="U1096" i="7"/>
  <c r="U1095" i="7"/>
  <c r="U1094" i="7"/>
  <c r="U1093" i="7"/>
  <c r="U1092" i="7"/>
  <c r="U1091" i="7"/>
  <c r="U1090" i="7"/>
  <c r="U1089" i="7"/>
  <c r="U1088" i="7"/>
  <c r="U1087" i="7"/>
  <c r="U1086" i="7"/>
  <c r="U1085" i="7"/>
  <c r="U1084" i="7"/>
  <c r="U1083" i="7"/>
  <c r="U1082" i="7"/>
  <c r="U1081" i="7"/>
  <c r="U1080" i="7"/>
  <c r="U1079" i="7"/>
  <c r="U1078" i="7"/>
  <c r="U1077" i="7"/>
  <c r="U1076" i="7"/>
  <c r="U1075" i="7"/>
  <c r="U1074" i="7"/>
  <c r="U1073" i="7"/>
  <c r="U1072" i="7"/>
  <c r="U1071" i="7"/>
  <c r="U1070" i="7"/>
  <c r="U1069" i="7"/>
  <c r="U1068" i="7"/>
  <c r="U1067" i="7"/>
  <c r="U1066" i="7"/>
  <c r="U1065" i="7"/>
  <c r="U1064" i="7"/>
  <c r="U1063" i="7"/>
  <c r="U1062" i="7"/>
  <c r="U1061" i="7"/>
  <c r="U1060" i="7"/>
  <c r="U1059" i="7"/>
  <c r="U1058" i="7"/>
  <c r="U1057" i="7"/>
  <c r="U1056" i="7"/>
  <c r="U1055" i="7"/>
  <c r="U1054" i="7"/>
  <c r="U1053" i="7"/>
  <c r="U1052" i="7"/>
  <c r="U1051" i="7"/>
  <c r="U1050" i="7"/>
  <c r="U1049" i="7"/>
  <c r="U1048" i="7"/>
  <c r="U1047" i="7"/>
  <c r="U1046" i="7"/>
  <c r="U1045" i="7"/>
  <c r="U1044" i="7"/>
  <c r="U1043" i="7"/>
  <c r="U1042" i="7"/>
  <c r="U1041" i="7"/>
  <c r="U1040" i="7"/>
  <c r="U1039" i="7"/>
  <c r="U1038" i="7"/>
  <c r="U1037" i="7"/>
  <c r="U1036" i="7"/>
  <c r="U1035" i="7"/>
  <c r="U1034" i="7"/>
  <c r="U1033" i="7"/>
  <c r="U1032" i="7"/>
  <c r="U1031" i="7"/>
  <c r="U1030" i="7"/>
  <c r="U1029" i="7"/>
  <c r="U1028" i="7"/>
  <c r="U1027" i="7"/>
  <c r="U1026" i="7"/>
  <c r="U1025" i="7"/>
  <c r="U1024" i="7"/>
  <c r="U1023" i="7"/>
  <c r="U1022" i="7"/>
  <c r="U1021" i="7"/>
  <c r="U1020" i="7"/>
  <c r="U1019" i="7"/>
  <c r="U1018" i="7"/>
  <c r="U1017" i="7"/>
  <c r="U1016" i="7"/>
  <c r="U1015" i="7"/>
  <c r="U1014" i="7"/>
  <c r="U1013" i="7"/>
  <c r="U1012" i="7"/>
  <c r="U1011" i="7"/>
  <c r="U1010" i="7"/>
  <c r="U1009" i="7"/>
  <c r="U1008" i="7"/>
  <c r="U1007" i="7"/>
  <c r="U1006" i="7"/>
  <c r="U1005" i="7"/>
  <c r="U1004" i="7"/>
  <c r="U1003" i="7"/>
  <c r="U1002" i="7"/>
  <c r="U1001" i="7"/>
  <c r="U1000" i="7"/>
  <c r="U999" i="7"/>
  <c r="U998" i="7"/>
  <c r="U997" i="7"/>
  <c r="U996" i="7"/>
  <c r="U995" i="7"/>
  <c r="U994" i="7"/>
  <c r="U993" i="7"/>
  <c r="U992" i="7"/>
  <c r="U991" i="7"/>
  <c r="U990" i="7"/>
  <c r="U989" i="7"/>
  <c r="U988" i="7"/>
  <c r="U987" i="7"/>
  <c r="U986" i="7"/>
  <c r="U985" i="7"/>
  <c r="U984" i="7"/>
  <c r="U983" i="7"/>
  <c r="U982" i="7"/>
  <c r="U981" i="7"/>
  <c r="U980" i="7"/>
  <c r="U979" i="7"/>
  <c r="U978" i="7"/>
  <c r="U977" i="7"/>
  <c r="U976" i="7"/>
  <c r="U975" i="7"/>
  <c r="U974" i="7"/>
  <c r="U973" i="7"/>
  <c r="U972" i="7"/>
  <c r="U971" i="7"/>
  <c r="U970" i="7"/>
  <c r="U969" i="7"/>
  <c r="U968" i="7"/>
  <c r="U967" i="7"/>
  <c r="U966" i="7"/>
  <c r="U965" i="7"/>
  <c r="U964" i="7"/>
  <c r="U963" i="7"/>
  <c r="U962" i="7"/>
  <c r="U961" i="7"/>
  <c r="U960" i="7"/>
  <c r="U959" i="7"/>
  <c r="U958" i="7"/>
  <c r="U957" i="7"/>
  <c r="U956" i="7"/>
  <c r="U955" i="7"/>
  <c r="U954" i="7"/>
  <c r="U953" i="7"/>
  <c r="U952" i="7"/>
  <c r="U951" i="7"/>
  <c r="U950" i="7"/>
  <c r="U949" i="7"/>
  <c r="U948" i="7"/>
  <c r="U947" i="7"/>
  <c r="U946" i="7"/>
  <c r="U945" i="7"/>
  <c r="U944" i="7"/>
  <c r="U943" i="7"/>
  <c r="U942" i="7"/>
  <c r="U941" i="7"/>
  <c r="U940" i="7"/>
  <c r="U939" i="7"/>
  <c r="U938" i="7"/>
  <c r="U937" i="7"/>
  <c r="U936" i="7"/>
  <c r="U935" i="7"/>
  <c r="U934" i="7"/>
  <c r="U933" i="7"/>
  <c r="U932" i="7"/>
  <c r="U931" i="7"/>
  <c r="U930" i="7"/>
  <c r="U929" i="7"/>
  <c r="U928" i="7"/>
  <c r="U927" i="7"/>
  <c r="U926" i="7"/>
  <c r="U925" i="7"/>
  <c r="U924" i="7"/>
  <c r="U923" i="7"/>
  <c r="U922" i="7"/>
  <c r="U921" i="7"/>
  <c r="U920" i="7"/>
  <c r="U919" i="7"/>
  <c r="U918" i="7"/>
  <c r="U917" i="7"/>
  <c r="U916" i="7"/>
  <c r="U915" i="7"/>
  <c r="U914" i="7"/>
  <c r="U913" i="7"/>
  <c r="U912" i="7"/>
  <c r="U911" i="7"/>
  <c r="U910" i="7"/>
  <c r="U909" i="7"/>
  <c r="U908" i="7"/>
  <c r="U907" i="7"/>
  <c r="U906" i="7"/>
  <c r="U905" i="7"/>
  <c r="U904" i="7"/>
  <c r="U903" i="7"/>
  <c r="U902" i="7"/>
  <c r="U901" i="7"/>
  <c r="U900" i="7"/>
  <c r="U899" i="7"/>
  <c r="U898" i="7"/>
  <c r="U897" i="7"/>
  <c r="U896" i="7"/>
  <c r="U895" i="7"/>
  <c r="U894" i="7"/>
  <c r="U893" i="7"/>
  <c r="U892" i="7"/>
  <c r="U891" i="7"/>
  <c r="U890" i="7"/>
  <c r="U889" i="7"/>
  <c r="U888" i="7"/>
  <c r="U887" i="7"/>
  <c r="U886" i="7"/>
  <c r="U885" i="7"/>
  <c r="U884" i="7"/>
  <c r="U883" i="7"/>
  <c r="U882" i="7"/>
  <c r="U881" i="7"/>
  <c r="U880" i="7"/>
  <c r="U879" i="7"/>
  <c r="U878" i="7"/>
  <c r="U877" i="7"/>
  <c r="U876" i="7"/>
  <c r="U875" i="7"/>
  <c r="U874" i="7"/>
  <c r="U873" i="7"/>
  <c r="U872" i="7"/>
  <c r="U871" i="7"/>
  <c r="U870" i="7"/>
  <c r="U869" i="7"/>
  <c r="U868" i="7"/>
  <c r="U867" i="7"/>
  <c r="U866" i="7"/>
  <c r="U865" i="7"/>
  <c r="U864" i="7"/>
  <c r="U863" i="7"/>
  <c r="U862" i="7"/>
  <c r="U861" i="7"/>
  <c r="U860" i="7"/>
  <c r="U859" i="7"/>
  <c r="U858" i="7"/>
  <c r="U857" i="7"/>
  <c r="U856" i="7"/>
  <c r="U855" i="7"/>
  <c r="U854" i="7"/>
  <c r="U853" i="7"/>
  <c r="U852" i="7"/>
  <c r="U851" i="7"/>
  <c r="U850" i="7"/>
  <c r="U849" i="7"/>
  <c r="U848" i="7"/>
  <c r="U847" i="7"/>
  <c r="U846" i="7"/>
  <c r="U845" i="7"/>
  <c r="U844" i="7"/>
  <c r="U843" i="7"/>
  <c r="U842" i="7"/>
  <c r="U836" i="7"/>
  <c r="U829" i="7"/>
  <c r="U828" i="7"/>
  <c r="U827" i="7"/>
  <c r="U826" i="7"/>
  <c r="U825" i="7"/>
  <c r="U824" i="7"/>
  <c r="U823" i="7"/>
  <c r="U822" i="7"/>
  <c r="U821" i="7"/>
  <c r="U820" i="7"/>
  <c r="U819" i="7"/>
  <c r="U818" i="7"/>
  <c r="U817" i="7"/>
  <c r="U816" i="7"/>
  <c r="U815" i="7"/>
  <c r="U814" i="7"/>
  <c r="U813" i="7"/>
  <c r="U812" i="7"/>
  <c r="U811" i="7"/>
  <c r="U810" i="7"/>
  <c r="U809" i="7"/>
  <c r="U808" i="7"/>
  <c r="U807" i="7"/>
  <c r="U806" i="7"/>
  <c r="U805" i="7"/>
  <c r="U804" i="7"/>
  <c r="U803" i="7"/>
  <c r="U802" i="7"/>
  <c r="U801" i="7"/>
  <c r="U800" i="7"/>
  <c r="U799" i="7"/>
  <c r="U798" i="7"/>
  <c r="U797" i="7"/>
  <c r="U796" i="7"/>
  <c r="U795" i="7"/>
  <c r="U794" i="7"/>
  <c r="U793" i="7"/>
  <c r="U792" i="7"/>
  <c r="U791" i="7"/>
  <c r="U790" i="7"/>
  <c r="U789" i="7"/>
  <c r="U788" i="7"/>
  <c r="U787" i="7"/>
  <c r="U786" i="7"/>
  <c r="U785" i="7"/>
  <c r="U784" i="7"/>
  <c r="U783" i="7"/>
  <c r="U782" i="7"/>
  <c r="U781" i="7"/>
  <c r="U780" i="7"/>
  <c r="U779" i="7"/>
  <c r="U778" i="7"/>
  <c r="U777" i="7"/>
  <c r="U776" i="7"/>
  <c r="U775" i="7"/>
  <c r="U774" i="7"/>
  <c r="U773" i="7"/>
  <c r="U772" i="7"/>
  <c r="U771" i="7"/>
  <c r="U770" i="7"/>
  <c r="U769" i="7"/>
  <c r="U768" i="7"/>
  <c r="U767" i="7"/>
  <c r="U766" i="7"/>
  <c r="U765" i="7"/>
  <c r="U764" i="7"/>
  <c r="U763" i="7"/>
  <c r="U762" i="7"/>
  <c r="U761" i="7"/>
  <c r="U760" i="7"/>
  <c r="U759" i="7"/>
  <c r="U758" i="7"/>
  <c r="U757" i="7"/>
  <c r="U756" i="7"/>
  <c r="U755" i="7"/>
  <c r="U754" i="7"/>
  <c r="U753" i="7"/>
  <c r="U752" i="7"/>
  <c r="U751" i="7"/>
  <c r="U750" i="7"/>
  <c r="U749" i="7"/>
  <c r="U748" i="7"/>
  <c r="U747" i="7"/>
  <c r="U746" i="7"/>
  <c r="U745" i="7"/>
  <c r="U744" i="7"/>
  <c r="U743" i="7"/>
  <c r="U742" i="7"/>
  <c r="U741" i="7"/>
  <c r="U740" i="7"/>
  <c r="U739" i="7"/>
  <c r="U738" i="7"/>
  <c r="U737" i="7"/>
  <c r="U736" i="7"/>
  <c r="U735" i="7"/>
  <c r="U734" i="7"/>
  <c r="U733" i="7"/>
  <c r="U732" i="7"/>
  <c r="U731" i="7"/>
  <c r="U730" i="7"/>
  <c r="U729" i="7"/>
  <c r="U728" i="7"/>
  <c r="U727" i="7"/>
  <c r="U726" i="7"/>
  <c r="U725" i="7"/>
  <c r="U724" i="7"/>
  <c r="U723" i="7"/>
  <c r="U722" i="7"/>
  <c r="U721" i="7"/>
  <c r="U720" i="7"/>
  <c r="U719" i="7"/>
  <c r="U718" i="7"/>
  <c r="U717" i="7"/>
  <c r="U716" i="7"/>
  <c r="U715" i="7"/>
  <c r="U714" i="7"/>
  <c r="U713" i="7"/>
  <c r="U712" i="7"/>
  <c r="U711" i="7"/>
  <c r="U710" i="7"/>
  <c r="U709" i="7"/>
  <c r="U708" i="7"/>
  <c r="U707" i="7"/>
  <c r="U706" i="7"/>
  <c r="U705" i="7"/>
  <c r="U704" i="7"/>
  <c r="U703" i="7"/>
  <c r="U702" i="7"/>
  <c r="U701" i="7"/>
  <c r="U700" i="7"/>
  <c r="U699" i="7"/>
  <c r="U698" i="7"/>
  <c r="U697" i="7"/>
  <c r="U696" i="7"/>
  <c r="U695" i="7"/>
  <c r="U694" i="7"/>
  <c r="U693" i="7"/>
  <c r="U692" i="7"/>
  <c r="U691" i="7"/>
  <c r="U690" i="7"/>
  <c r="U689" i="7"/>
  <c r="U688" i="7"/>
  <c r="U687" i="7"/>
  <c r="U686" i="7"/>
  <c r="U685" i="7"/>
  <c r="U684" i="7"/>
  <c r="U683" i="7"/>
  <c r="U682" i="7"/>
  <c r="U681" i="7"/>
  <c r="U680" i="7"/>
  <c r="U679" i="7"/>
  <c r="U678" i="7"/>
  <c r="U677" i="7"/>
  <c r="U676" i="7"/>
  <c r="U675" i="7"/>
  <c r="U674" i="7"/>
  <c r="U673" i="7"/>
  <c r="U672" i="7"/>
  <c r="U668" i="7"/>
  <c r="U667" i="7"/>
  <c r="U666" i="7"/>
  <c r="U665" i="7"/>
  <c r="U664" i="7"/>
  <c r="U663" i="7"/>
  <c r="U662" i="7"/>
  <c r="U661" i="7"/>
  <c r="U660" i="7"/>
  <c r="U659" i="7"/>
  <c r="U658" i="7"/>
  <c r="U657" i="7"/>
  <c r="U656" i="7"/>
  <c r="U655" i="7"/>
  <c r="U654" i="7"/>
  <c r="U653" i="7"/>
  <c r="U652" i="7"/>
  <c r="U651" i="7"/>
  <c r="U650" i="7"/>
  <c r="U649" i="7"/>
  <c r="U648" i="7"/>
  <c r="U647" i="7"/>
  <c r="U646" i="7"/>
  <c r="U645" i="7"/>
  <c r="U644" i="7"/>
  <c r="U643" i="7"/>
  <c r="U642" i="7"/>
  <c r="U638" i="7"/>
  <c r="U637" i="7"/>
  <c r="U636" i="7"/>
  <c r="U635" i="7"/>
  <c r="U634" i="7"/>
  <c r="U633" i="7"/>
  <c r="U632" i="7"/>
  <c r="U631" i="7"/>
  <c r="U629" i="7"/>
  <c r="U628" i="7"/>
  <c r="U627" i="7"/>
  <c r="U626" i="7"/>
  <c r="U623" i="7"/>
  <c r="U622" i="7"/>
  <c r="U621" i="7"/>
  <c r="U620" i="7"/>
  <c r="U619" i="7"/>
  <c r="U618" i="7"/>
  <c r="U617" i="7"/>
  <c r="U616" i="7"/>
  <c r="U614" i="7"/>
  <c r="U613" i="7"/>
  <c r="U612" i="7"/>
  <c r="U609" i="7"/>
  <c r="U606" i="7"/>
  <c r="U605" i="7"/>
  <c r="U604" i="7"/>
  <c r="U603" i="7"/>
  <c r="U602" i="7"/>
  <c r="U601" i="7"/>
  <c r="U600" i="7"/>
  <c r="U599" i="7"/>
  <c r="U598" i="7"/>
  <c r="U597" i="7"/>
  <c r="U596" i="7"/>
  <c r="U595" i="7"/>
  <c r="U594" i="7"/>
  <c r="U593" i="7"/>
  <c r="U592" i="7"/>
  <c r="U591" i="7"/>
  <c r="U590" i="7"/>
  <c r="U589" i="7"/>
  <c r="U588" i="7"/>
  <c r="U587" i="7"/>
  <c r="U586" i="7"/>
  <c r="U585" i="7"/>
  <c r="U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8" i="7"/>
  <c r="U567" i="7"/>
  <c r="U566" i="7"/>
  <c r="U565" i="7"/>
  <c r="U564" i="7"/>
  <c r="U563" i="7"/>
  <c r="U562" i="7"/>
  <c r="U561" i="7"/>
  <c r="U560" i="7"/>
  <c r="U559" i="7"/>
  <c r="U558" i="7"/>
  <c r="U557" i="7"/>
  <c r="U556" i="7"/>
  <c r="U555" i="7"/>
  <c r="U554" i="7"/>
  <c r="U553" i="7"/>
  <c r="U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4" i="7"/>
  <c r="U533" i="7"/>
  <c r="U532" i="7"/>
  <c r="U531" i="7"/>
  <c r="U530" i="7"/>
  <c r="U528" i="7"/>
  <c r="U527" i="7"/>
  <c r="U526" i="7"/>
  <c r="U525" i="7"/>
  <c r="U524" i="7"/>
  <c r="U523" i="7"/>
  <c r="U522" i="7"/>
  <c r="U521" i="7"/>
  <c r="U520" i="7"/>
  <c r="U519" i="7"/>
  <c r="U517" i="7"/>
  <c r="U516" i="7"/>
  <c r="U515" i="7"/>
  <c r="U514" i="7"/>
  <c r="U513" i="7"/>
  <c r="U511" i="7"/>
  <c r="U510" i="7"/>
  <c r="U506" i="7"/>
  <c r="U505" i="7"/>
  <c r="U504" i="7"/>
  <c r="U501" i="7"/>
  <c r="U500" i="7"/>
  <c r="U499" i="7"/>
  <c r="U497" i="7"/>
  <c r="U496" i="7"/>
  <c r="U495" i="7"/>
  <c r="U494" i="7"/>
  <c r="U493" i="7"/>
  <c r="U492" i="7"/>
  <c r="U491" i="7"/>
  <c r="U488" i="7"/>
  <c r="U487" i="7"/>
  <c r="U486" i="7"/>
  <c r="U485" i="7"/>
  <c r="U484" i="7"/>
  <c r="U483" i="7"/>
  <c r="U482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6" i="7"/>
  <c r="U465" i="7"/>
  <c r="U464" i="7"/>
  <c r="U463" i="7"/>
  <c r="U462" i="7"/>
  <c r="U461" i="7"/>
  <c r="U460" i="7"/>
  <c r="U459" i="7"/>
  <c r="U458" i="7"/>
  <c r="U457" i="7"/>
  <c r="U456" i="7"/>
  <c r="U455" i="7"/>
  <c r="U454" i="7"/>
  <c r="U453" i="7"/>
  <c r="U452" i="7"/>
  <c r="U451" i="7"/>
  <c r="U450" i="7"/>
  <c r="U449" i="7"/>
  <c r="U448" i="7"/>
  <c r="U447" i="7"/>
  <c r="U446" i="7"/>
  <c r="U445" i="7"/>
  <c r="U444" i="7"/>
  <c r="U443" i="7"/>
  <c r="U442" i="7"/>
  <c r="U441" i="7"/>
  <c r="U440" i="7"/>
  <c r="U439" i="7"/>
  <c r="U438" i="7"/>
  <c r="U437" i="7"/>
  <c r="U436" i="7"/>
  <c r="U435" i="7"/>
  <c r="U434" i="7"/>
  <c r="U433" i="7"/>
  <c r="U432" i="7"/>
  <c r="U431" i="7"/>
  <c r="U430" i="7"/>
  <c r="U429" i="7"/>
  <c r="U428" i="7"/>
  <c r="U427" i="7"/>
  <c r="U426" i="7"/>
  <c r="U425" i="7"/>
  <c r="U424" i="7"/>
  <c r="U423" i="7"/>
  <c r="U422" i="7"/>
  <c r="U421" i="7"/>
  <c r="U420" i="7"/>
  <c r="U419" i="7"/>
  <c r="U418" i="7"/>
  <c r="U417" i="7"/>
  <c r="U416" i="7"/>
  <c r="U415" i="7"/>
  <c r="U414" i="7"/>
  <c r="U413" i="7"/>
  <c r="U412" i="7"/>
  <c r="U411" i="7"/>
  <c r="U410" i="7"/>
  <c r="U409" i="7"/>
  <c r="U408" i="7"/>
  <c r="U407" i="7"/>
  <c r="U406" i="7"/>
  <c r="U405" i="7"/>
  <c r="U404" i="7"/>
  <c r="U403" i="7"/>
  <c r="U402" i="7"/>
  <c r="U401" i="7"/>
  <c r="U400" i="7"/>
  <c r="U399" i="7"/>
  <c r="U398" i="7"/>
  <c r="U397" i="7"/>
  <c r="U396" i="7"/>
  <c r="U395" i="7"/>
  <c r="U394" i="7"/>
  <c r="U393" i="7"/>
  <c r="U392" i="7"/>
  <c r="U391" i="7"/>
  <c r="U390" i="7"/>
  <c r="U389" i="7"/>
  <c r="U388" i="7"/>
  <c r="U387" i="7"/>
  <c r="U386" i="7"/>
  <c r="U385" i="7"/>
  <c r="U384" i="7"/>
  <c r="U383" i="7"/>
  <c r="U382" i="7"/>
  <c r="U381" i="7"/>
  <c r="U380" i="7"/>
  <c r="U379" i="7"/>
  <c r="U378" i="7"/>
  <c r="U377" i="7"/>
  <c r="U376" i="7"/>
  <c r="U375" i="7"/>
  <c r="U374" i="7"/>
  <c r="U373" i="7"/>
  <c r="U372" i="7"/>
  <c r="U371" i="7"/>
  <c r="U370" i="7"/>
  <c r="U369" i="7"/>
  <c r="U368" i="7"/>
  <c r="U367" i="7"/>
  <c r="U366" i="7"/>
  <c r="U365" i="7"/>
  <c r="U364" i="7"/>
  <c r="U363" i="7"/>
  <c r="U362" i="7"/>
  <c r="U361" i="7"/>
  <c r="U360" i="7"/>
  <c r="U359" i="7"/>
  <c r="U358" i="7"/>
  <c r="U357" i="7"/>
  <c r="U356" i="7"/>
  <c r="U355" i="7"/>
  <c r="U354" i="7"/>
  <c r="U353" i="7"/>
  <c r="U352" i="7"/>
  <c r="U351" i="7"/>
  <c r="U350" i="7"/>
  <c r="U349" i="7"/>
  <c r="U348" i="7"/>
  <c r="U347" i="7"/>
  <c r="U346" i="7"/>
  <c r="U345" i="7"/>
  <c r="U344" i="7"/>
  <c r="U343" i="7"/>
  <c r="U342" i="7"/>
  <c r="U341" i="7"/>
  <c r="U340" i="7"/>
  <c r="U339" i="7"/>
  <c r="U338" i="7"/>
  <c r="U337" i="7"/>
  <c r="U336" i="7"/>
  <c r="U335" i="7"/>
  <c r="U334" i="7"/>
  <c r="U333" i="7"/>
  <c r="U332" i="7"/>
  <c r="U331" i="7"/>
  <c r="U330" i="7"/>
  <c r="U329" i="7"/>
  <c r="U328" i="7"/>
  <c r="U327" i="7"/>
  <c r="U325" i="7"/>
  <c r="U324" i="7"/>
  <c r="U323" i="7"/>
  <c r="U322" i="7"/>
  <c r="U321" i="7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4" i="7"/>
  <c r="U242" i="7"/>
  <c r="U241" i="7"/>
  <c r="U238" i="7"/>
  <c r="U233" i="7"/>
  <c r="U232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3" i="7"/>
  <c r="U170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U2" i="7"/>
  <c r="T1972" i="7"/>
  <c r="T1971" i="7"/>
  <c r="T1970" i="7"/>
  <c r="T1969" i="7"/>
  <c r="T1968" i="7"/>
  <c r="T1967" i="7"/>
  <c r="T1966" i="7"/>
  <c r="T1965" i="7"/>
  <c r="T1964" i="7"/>
  <c r="T1963" i="7"/>
  <c r="T1962" i="7"/>
  <c r="T1961" i="7"/>
  <c r="T1960" i="7"/>
  <c r="T1959" i="7"/>
  <c r="T1958" i="7"/>
  <c r="T1957" i="7"/>
  <c r="T1956" i="7"/>
  <c r="T1955" i="7"/>
  <c r="T1954" i="7"/>
  <c r="T1953" i="7"/>
  <c r="T1952" i="7"/>
  <c r="T1951" i="7"/>
  <c r="T1950" i="7"/>
  <c r="T1949" i="7"/>
  <c r="T1948" i="7"/>
  <c r="T1947" i="7"/>
  <c r="T1946" i="7"/>
  <c r="T1945" i="7"/>
  <c r="T1944" i="7"/>
  <c r="T1943" i="7"/>
  <c r="T1942" i="7"/>
  <c r="T1941" i="7"/>
  <c r="T1940" i="7"/>
  <c r="T1939" i="7"/>
  <c r="T1938" i="7"/>
  <c r="T1937" i="7"/>
  <c r="T1936" i="7"/>
  <c r="T1935" i="7"/>
  <c r="T1934" i="7"/>
  <c r="T1933" i="7"/>
  <c r="T1932" i="7"/>
  <c r="T1931" i="7"/>
  <c r="T1930" i="7"/>
  <c r="T1929" i="7"/>
  <c r="T1928" i="7"/>
  <c r="T1927" i="7"/>
  <c r="T1926" i="7"/>
  <c r="T1925" i="7"/>
  <c r="T1924" i="7"/>
  <c r="T1923" i="7"/>
  <c r="T1922" i="7"/>
  <c r="T1921" i="7"/>
  <c r="T1920" i="7"/>
  <c r="T1919" i="7"/>
  <c r="T1918" i="7"/>
  <c r="T1917" i="7"/>
  <c r="T1916" i="7"/>
  <c r="T1915" i="7"/>
  <c r="T1914" i="7"/>
  <c r="T1913" i="7"/>
  <c r="T1912" i="7"/>
  <c r="T1911" i="7"/>
  <c r="T1910" i="7"/>
  <c r="T1909" i="7"/>
  <c r="T1908" i="7"/>
  <c r="T1907" i="7"/>
  <c r="T1906" i="7"/>
  <c r="T1905" i="7"/>
  <c r="T1904" i="7"/>
  <c r="T1903" i="7"/>
  <c r="T1902" i="7"/>
  <c r="T1901" i="7"/>
  <c r="T1900" i="7"/>
  <c r="T1899" i="7"/>
  <c r="T1898" i="7"/>
  <c r="T1897" i="7"/>
  <c r="T1896" i="7"/>
  <c r="T1895" i="7"/>
  <c r="T1894" i="7"/>
  <c r="T1893" i="7"/>
  <c r="T1892" i="7"/>
  <c r="T1891" i="7"/>
  <c r="T1890" i="7"/>
  <c r="T1889" i="7"/>
  <c r="T1886" i="7"/>
  <c r="T1885" i="7"/>
  <c r="T1884" i="7"/>
  <c r="T1883" i="7"/>
  <c r="T1882" i="7"/>
  <c r="T1881" i="7"/>
  <c r="T1880" i="7"/>
  <c r="T1879" i="7"/>
  <c r="T1878" i="7"/>
  <c r="T1877" i="7"/>
  <c r="T1876" i="7"/>
  <c r="T1875" i="7"/>
  <c r="T1874" i="7"/>
  <c r="T1873" i="7"/>
  <c r="T1872" i="7"/>
  <c r="T1871" i="7"/>
  <c r="T1870" i="7"/>
  <c r="T1869" i="7"/>
  <c r="T1868" i="7"/>
  <c r="T1867" i="7"/>
  <c r="T1866" i="7"/>
  <c r="T1865" i="7"/>
  <c r="T1864" i="7"/>
  <c r="T1863" i="7"/>
  <c r="T1862" i="7"/>
  <c r="T1861" i="7"/>
  <c r="T1860" i="7"/>
  <c r="T1859" i="7"/>
  <c r="T1858" i="7"/>
  <c r="T1857" i="7"/>
  <c r="T1856" i="7"/>
  <c r="T1855" i="7"/>
  <c r="T1854" i="7"/>
  <c r="T1853" i="7"/>
  <c r="T1852" i="7"/>
  <c r="T1851" i="7"/>
  <c r="T1850" i="7"/>
  <c r="T1849" i="7"/>
  <c r="T1848" i="7"/>
  <c r="T1847" i="7"/>
  <c r="T1846" i="7"/>
  <c r="T1845" i="7"/>
  <c r="T1844" i="7"/>
  <c r="T1843" i="7"/>
  <c r="T1842" i="7"/>
  <c r="T1841" i="7"/>
  <c r="T1840" i="7"/>
  <c r="T1839" i="7"/>
  <c r="T1838" i="7"/>
  <c r="T1837" i="7"/>
  <c r="T1836" i="7"/>
  <c r="T1835" i="7"/>
  <c r="T1834" i="7"/>
  <c r="T1833" i="7"/>
  <c r="T1832" i="7"/>
  <c r="T1831" i="7"/>
  <c r="T1830" i="7"/>
  <c r="T1829" i="7"/>
  <c r="T1828" i="7"/>
  <c r="T1827" i="7"/>
  <c r="T1826" i="7"/>
  <c r="T1825" i="7"/>
  <c r="T1824" i="7"/>
  <c r="T1823" i="7"/>
  <c r="T1822" i="7"/>
  <c r="T1821" i="7"/>
  <c r="T1820" i="7"/>
  <c r="T1819" i="7"/>
  <c r="T1818" i="7"/>
  <c r="T1817" i="7"/>
  <c r="T1816" i="7"/>
  <c r="T1815" i="7"/>
  <c r="T1814" i="7"/>
  <c r="T1813" i="7"/>
  <c r="T1812" i="7"/>
  <c r="T1811" i="7"/>
  <c r="T1810" i="7"/>
  <c r="T1809" i="7"/>
  <c r="T1808" i="7"/>
  <c r="T1807" i="7"/>
  <c r="T1806" i="7"/>
  <c r="T1805" i="7"/>
  <c r="T1804" i="7"/>
  <c r="T1803" i="7"/>
  <c r="T1802" i="7"/>
  <c r="T1801" i="7"/>
  <c r="T1800" i="7"/>
  <c r="T1799" i="7"/>
  <c r="T1798" i="7"/>
  <c r="T1797" i="7"/>
  <c r="T1796" i="7"/>
  <c r="T1795" i="7"/>
  <c r="T1794" i="7"/>
  <c r="T1793" i="7"/>
  <c r="T1792" i="7"/>
  <c r="T1789" i="7"/>
  <c r="T1786" i="7"/>
  <c r="T1784" i="7"/>
  <c r="T1783" i="7"/>
  <c r="T1781" i="7"/>
  <c r="T1780" i="7"/>
  <c r="T1778" i="7"/>
  <c r="T1776" i="7"/>
  <c r="T1774" i="7"/>
  <c r="T1773" i="7"/>
  <c r="T1772" i="7"/>
  <c r="T1771" i="7"/>
  <c r="T1770" i="7"/>
  <c r="T1769" i="7"/>
  <c r="T1768" i="7"/>
  <c r="T1767" i="7"/>
  <c r="T1766" i="7"/>
  <c r="T1763" i="7"/>
  <c r="T1762" i="7"/>
  <c r="T1761" i="7"/>
  <c r="T1760" i="7"/>
  <c r="T1759" i="7"/>
  <c r="T1758" i="7"/>
  <c r="T1757" i="7"/>
  <c r="T1756" i="7"/>
  <c r="T1755" i="7"/>
  <c r="T1754" i="7"/>
  <c r="T1753" i="7"/>
  <c r="T1752" i="7"/>
  <c r="T1751" i="7"/>
  <c r="T1750" i="7"/>
  <c r="T1749" i="7"/>
  <c r="T1748" i="7"/>
  <c r="T1747" i="7"/>
  <c r="T1746" i="7"/>
  <c r="T1743" i="7"/>
  <c r="T1742" i="7"/>
  <c r="T1741" i="7"/>
  <c r="T1740" i="7"/>
  <c r="T1739" i="7"/>
  <c r="T1738" i="7"/>
  <c r="T1737" i="7"/>
  <c r="T1736" i="7"/>
  <c r="T1735" i="7"/>
  <c r="T1734" i="7"/>
  <c r="T1733" i="7"/>
  <c r="T1732" i="7"/>
  <c r="T1731" i="7"/>
  <c r="T1730" i="7"/>
  <c r="T1729" i="7"/>
  <c r="T1728" i="7"/>
  <c r="T1727" i="7"/>
  <c r="T1726" i="7"/>
  <c r="T1725" i="7"/>
  <c r="T1724" i="7"/>
  <c r="T1723" i="7"/>
  <c r="T1722" i="7"/>
  <c r="T1719" i="7"/>
  <c r="T1718" i="7"/>
  <c r="T1717" i="7"/>
  <c r="T1716" i="7"/>
  <c r="T1715" i="7"/>
  <c r="T1714" i="7"/>
  <c r="T1713" i="7"/>
  <c r="T1712" i="7"/>
  <c r="T1711" i="7"/>
  <c r="T1710" i="7"/>
  <c r="T1709" i="7"/>
  <c r="T1708" i="7"/>
  <c r="T1707" i="7"/>
  <c r="T1706" i="7"/>
  <c r="T1705" i="7"/>
  <c r="T1704" i="7"/>
  <c r="T1703" i="7"/>
  <c r="T1702" i="7"/>
  <c r="T1701" i="7"/>
  <c r="T1700" i="7"/>
  <c r="T1699" i="7"/>
  <c r="T1698" i="7"/>
  <c r="T1697" i="7"/>
  <c r="T1696" i="7"/>
  <c r="T1695" i="7"/>
  <c r="T1694" i="7"/>
  <c r="T1693" i="7"/>
  <c r="T1692" i="7"/>
  <c r="T1691" i="7"/>
  <c r="T1690" i="7"/>
  <c r="T1689" i="7"/>
  <c r="T1688" i="7"/>
  <c r="T1687" i="7"/>
  <c r="T1686" i="7"/>
  <c r="T1685" i="7"/>
  <c r="T1684" i="7"/>
  <c r="T1683" i="7"/>
  <c r="T1682" i="7"/>
  <c r="T1681" i="7"/>
  <c r="T1680" i="7"/>
  <c r="T1679" i="7"/>
  <c r="T1678" i="7"/>
  <c r="T1677" i="7"/>
  <c r="T1676" i="7"/>
  <c r="T1675" i="7"/>
  <c r="T1674" i="7"/>
  <c r="T1673" i="7"/>
  <c r="T1672" i="7"/>
  <c r="T1671" i="7"/>
  <c r="T1670" i="7"/>
  <c r="T1669" i="7"/>
  <c r="T1668" i="7"/>
  <c r="T1667" i="7"/>
  <c r="T1666" i="7"/>
  <c r="T1665" i="7"/>
  <c r="T1664" i="7"/>
  <c r="T1663" i="7"/>
  <c r="T1662" i="7"/>
  <c r="T1661" i="7"/>
  <c r="T1660" i="7"/>
  <c r="T1659" i="7"/>
  <c r="T1658" i="7"/>
  <c r="T1657" i="7"/>
  <c r="T1656" i="7"/>
  <c r="T1655" i="7"/>
  <c r="T1654" i="7"/>
  <c r="T1653" i="7"/>
  <c r="T1652" i="7"/>
  <c r="T1651" i="7"/>
  <c r="T1650" i="7"/>
  <c r="T1649" i="7"/>
  <c r="T1648" i="7"/>
  <c r="T1647" i="7"/>
  <c r="T1646" i="7"/>
  <c r="T1645" i="7"/>
  <c r="T1644" i="7"/>
  <c r="T1643" i="7"/>
  <c r="T1642" i="7"/>
  <c r="T1641" i="7"/>
  <c r="T1640" i="7"/>
  <c r="T1639" i="7"/>
  <c r="T1638" i="7"/>
  <c r="T1637" i="7"/>
  <c r="T1636" i="7"/>
  <c r="T1635" i="7"/>
  <c r="T1634" i="7"/>
  <c r="T1633" i="7"/>
  <c r="T1632" i="7"/>
  <c r="T1631" i="7"/>
  <c r="T1630" i="7"/>
  <c r="T1629" i="7"/>
  <c r="T1628" i="7"/>
  <c r="T1627" i="7"/>
  <c r="T1626" i="7"/>
  <c r="T1625" i="7"/>
  <c r="T1624" i="7"/>
  <c r="T1623" i="7"/>
  <c r="T1622" i="7"/>
  <c r="T1621" i="7"/>
  <c r="T1620" i="7"/>
  <c r="T1619" i="7"/>
  <c r="T1618" i="7"/>
  <c r="T1617" i="7"/>
  <c r="T1616" i="7"/>
  <c r="T1615" i="7"/>
  <c r="T1614" i="7"/>
  <c r="T1613" i="7"/>
  <c r="T1612" i="7"/>
  <c r="T1611" i="7"/>
  <c r="T1610" i="7"/>
  <c r="T1609" i="7"/>
  <c r="T1608" i="7"/>
  <c r="T1607" i="7"/>
  <c r="T1606" i="7"/>
  <c r="T1605" i="7"/>
  <c r="T1604" i="7"/>
  <c r="T1603" i="7"/>
  <c r="T1602" i="7"/>
  <c r="T1601" i="7"/>
  <c r="T1600" i="7"/>
  <c r="T1599" i="7"/>
  <c r="T1598" i="7"/>
  <c r="T1597" i="7"/>
  <c r="T1596" i="7"/>
  <c r="T1595" i="7"/>
  <c r="T1594" i="7"/>
  <c r="T1593" i="7"/>
  <c r="T1592" i="7"/>
  <c r="T1591" i="7"/>
  <c r="T1590" i="7"/>
  <c r="T1589" i="7"/>
  <c r="T1588" i="7"/>
  <c r="T1587" i="7"/>
  <c r="T1586" i="7"/>
  <c r="T1585" i="7"/>
  <c r="T1584" i="7"/>
  <c r="T1583" i="7"/>
  <c r="T1582" i="7"/>
  <c r="T1581" i="7"/>
  <c r="T1580" i="7"/>
  <c r="T1579" i="7"/>
  <c r="T1578" i="7"/>
  <c r="T1577" i="7"/>
  <c r="T1576" i="7"/>
  <c r="T1575" i="7"/>
  <c r="T1574" i="7"/>
  <c r="T1573" i="7"/>
  <c r="T1572" i="7"/>
  <c r="T1571" i="7"/>
  <c r="T1570" i="7"/>
  <c r="T1569" i="7"/>
  <c r="T1568" i="7"/>
  <c r="T1567" i="7"/>
  <c r="T1566" i="7"/>
  <c r="T1565" i="7"/>
  <c r="T1564" i="7"/>
  <c r="T1563" i="7"/>
  <c r="T1562" i="7"/>
  <c r="T1561" i="7"/>
  <c r="T1560" i="7"/>
  <c r="T1559" i="7"/>
  <c r="T1558" i="7"/>
  <c r="T1557" i="7"/>
  <c r="T1556" i="7"/>
  <c r="T1555" i="7"/>
  <c r="T1554" i="7"/>
  <c r="T1552" i="7"/>
  <c r="T1551" i="7"/>
  <c r="T1550" i="7"/>
  <c r="T1549" i="7"/>
  <c r="T1548" i="7"/>
  <c r="T1547" i="7"/>
  <c r="T1546" i="7"/>
  <c r="T1545" i="7"/>
  <c r="T1544" i="7"/>
  <c r="T1543" i="7"/>
  <c r="T1542" i="7"/>
  <c r="T1541" i="7"/>
  <c r="T1540" i="7"/>
  <c r="T1539" i="7"/>
  <c r="T1538" i="7"/>
  <c r="T1537" i="7"/>
  <c r="T1536" i="7"/>
  <c r="T1535" i="7"/>
  <c r="T1534" i="7"/>
  <c r="T1533" i="7"/>
  <c r="T1532" i="7"/>
  <c r="T1531" i="7"/>
  <c r="T1530" i="7"/>
  <c r="T1529" i="7"/>
  <c r="T1528" i="7"/>
  <c r="T1527" i="7"/>
  <c r="T1526" i="7"/>
  <c r="T1525" i="7"/>
  <c r="T1524" i="7"/>
  <c r="T1523" i="7"/>
  <c r="T1522" i="7"/>
  <c r="T1521" i="7"/>
  <c r="T1520" i="7"/>
  <c r="T1519" i="7"/>
  <c r="T1518" i="7"/>
  <c r="T1517" i="7"/>
  <c r="T1516" i="7"/>
  <c r="T1515" i="7"/>
  <c r="T1514" i="7"/>
  <c r="T1513" i="7"/>
  <c r="T1512" i="7"/>
  <c r="T1511" i="7"/>
  <c r="T1510" i="7"/>
  <c r="T1509" i="7"/>
  <c r="T1508" i="7"/>
  <c r="T1507" i="7"/>
  <c r="T1506" i="7"/>
  <c r="T1505" i="7"/>
  <c r="T1504" i="7"/>
  <c r="T1503" i="7"/>
  <c r="T1502" i="7"/>
  <c r="T1501" i="7"/>
  <c r="T1500" i="7"/>
  <c r="T1499" i="7"/>
  <c r="T1498" i="7"/>
  <c r="T1497" i="7"/>
  <c r="T1496" i="7"/>
  <c r="T1495" i="7"/>
  <c r="T1494" i="7"/>
  <c r="T1493" i="7"/>
  <c r="T1492" i="7"/>
  <c r="T1491" i="7"/>
  <c r="T1490" i="7"/>
  <c r="T1489" i="7"/>
  <c r="T1488" i="7"/>
  <c r="T1487" i="7"/>
  <c r="T1486" i="7"/>
  <c r="T1485" i="7"/>
  <c r="T1484" i="7"/>
  <c r="T1483" i="7"/>
  <c r="T1482" i="7"/>
  <c r="T1481" i="7"/>
  <c r="T1480" i="7"/>
  <c r="T1479" i="7"/>
  <c r="T1478" i="7"/>
  <c r="T1477" i="7"/>
  <c r="T1476" i="7"/>
  <c r="T1475" i="7"/>
  <c r="T1474" i="7"/>
  <c r="T1473" i="7"/>
  <c r="T1472" i="7"/>
  <c r="T1471" i="7"/>
  <c r="T1470" i="7"/>
  <c r="T1469" i="7"/>
  <c r="T1468" i="7"/>
  <c r="T1467" i="7"/>
  <c r="T1466" i="7"/>
  <c r="T1465" i="7"/>
  <c r="T1464" i="7"/>
  <c r="T1463" i="7"/>
  <c r="T1462" i="7"/>
  <c r="T1461" i="7"/>
  <c r="T1460" i="7"/>
  <c r="T1459" i="7"/>
  <c r="T1458" i="7"/>
  <c r="T1457" i="7"/>
  <c r="T1456" i="7"/>
  <c r="T1455" i="7"/>
  <c r="T1454" i="7"/>
  <c r="T1453" i="7"/>
  <c r="T1452" i="7"/>
  <c r="T1451" i="7"/>
  <c r="T1450" i="7"/>
  <c r="T1449" i="7"/>
  <c r="T1448" i="7"/>
  <c r="T1447" i="7"/>
  <c r="T1446" i="7"/>
  <c r="T1445" i="7"/>
  <c r="T1444" i="7"/>
  <c r="T1443" i="7"/>
  <c r="T1442" i="7"/>
  <c r="T1441" i="7"/>
  <c r="T1440" i="7"/>
  <c r="T1439" i="7"/>
  <c r="T1438" i="7"/>
  <c r="T1437" i="7"/>
  <c r="T1436" i="7"/>
  <c r="T1435" i="7"/>
  <c r="T1434" i="7"/>
  <c r="T1433" i="7"/>
  <c r="T1432" i="7"/>
  <c r="T1431" i="7"/>
  <c r="T1430" i="7"/>
  <c r="T1429" i="7"/>
  <c r="T1428" i="7"/>
  <c r="T1427" i="7"/>
  <c r="T1426" i="7"/>
  <c r="T1425" i="7"/>
  <c r="T1424" i="7"/>
  <c r="T1423" i="7"/>
  <c r="T1422" i="7"/>
  <c r="T1421" i="7"/>
  <c r="T1420" i="7"/>
  <c r="T1419" i="7"/>
  <c r="T1418" i="7"/>
  <c r="T1417" i="7"/>
  <c r="T1416" i="7"/>
  <c r="T1415" i="7"/>
  <c r="T1414" i="7"/>
  <c r="T1413" i="7"/>
  <c r="T1412" i="7"/>
  <c r="T1411" i="7"/>
  <c r="T1410" i="7"/>
  <c r="T1409" i="7"/>
  <c r="T1408" i="7"/>
  <c r="T1407" i="7"/>
  <c r="T1406" i="7"/>
  <c r="T1405" i="7"/>
  <c r="T1404" i="7"/>
  <c r="T1403" i="7"/>
  <c r="T1402" i="7"/>
  <c r="T1401" i="7"/>
  <c r="T1400" i="7"/>
  <c r="T1399" i="7"/>
  <c r="T1398" i="7"/>
  <c r="T1397" i="7"/>
  <c r="T1396" i="7"/>
  <c r="T1395" i="7"/>
  <c r="T1394" i="7"/>
  <c r="T1393" i="7"/>
  <c r="T1392" i="7"/>
  <c r="T1391" i="7"/>
  <c r="T1390" i="7"/>
  <c r="T1389" i="7"/>
  <c r="T1388" i="7"/>
  <c r="T1387" i="7"/>
  <c r="T1386" i="7"/>
  <c r="T1385" i="7"/>
  <c r="T1384" i="7"/>
  <c r="T1383" i="7"/>
  <c r="T1382" i="7"/>
  <c r="T1381" i="7"/>
  <c r="T1380" i="7"/>
  <c r="T1379" i="7"/>
  <c r="T1378" i="7"/>
  <c r="T1377" i="7"/>
  <c r="T1376" i="7"/>
  <c r="T1375" i="7"/>
  <c r="T1374" i="7"/>
  <c r="T1373" i="7"/>
  <c r="T1372" i="7"/>
  <c r="T1371" i="7"/>
  <c r="T1370" i="7"/>
  <c r="T1369" i="7"/>
  <c r="T1368" i="7"/>
  <c r="T1367" i="7"/>
  <c r="T1366" i="7"/>
  <c r="T1365" i="7"/>
  <c r="T1364" i="7"/>
  <c r="T1363" i="7"/>
  <c r="T1362" i="7"/>
  <c r="T1361" i="7"/>
  <c r="T1360" i="7"/>
  <c r="T1359" i="7"/>
  <c r="T1358" i="7"/>
  <c r="T1357" i="7"/>
  <c r="T1356" i="7"/>
  <c r="T1355" i="7"/>
  <c r="T1354" i="7"/>
  <c r="T1353" i="7"/>
  <c r="T1352" i="7"/>
  <c r="T1351" i="7"/>
  <c r="T1350" i="7"/>
  <c r="T1349" i="7"/>
  <c r="T1348" i="7"/>
  <c r="T1347" i="7"/>
  <c r="T1346" i="7"/>
  <c r="T1345" i="7"/>
  <c r="T1344" i="7"/>
  <c r="T1343" i="7"/>
  <c r="T1342" i="7"/>
  <c r="T1341" i="7"/>
  <c r="T1340" i="7"/>
  <c r="T1339" i="7"/>
  <c r="T1338" i="7"/>
  <c r="T1337" i="7"/>
  <c r="T1336" i="7"/>
  <c r="T1335" i="7"/>
  <c r="T1334" i="7"/>
  <c r="T1333" i="7"/>
  <c r="T1332" i="7"/>
  <c r="T1331" i="7"/>
  <c r="T1330" i="7"/>
  <c r="T1329" i="7"/>
  <c r="T1328" i="7"/>
  <c r="T1327" i="7"/>
  <c r="T1326" i="7"/>
  <c r="T1325" i="7"/>
  <c r="T1324" i="7"/>
  <c r="T1323" i="7"/>
  <c r="T1322" i="7"/>
  <c r="T1321" i="7"/>
  <c r="T1320" i="7"/>
  <c r="T1319" i="7"/>
  <c r="T1318" i="7"/>
  <c r="T1317" i="7"/>
  <c r="T1316" i="7"/>
  <c r="T1315" i="7"/>
  <c r="T1314" i="7"/>
  <c r="T1313" i="7"/>
  <c r="T1312" i="7"/>
  <c r="T1311" i="7"/>
  <c r="T1310" i="7"/>
  <c r="T1309" i="7"/>
  <c r="T1308" i="7"/>
  <c r="T1307" i="7"/>
  <c r="T1306" i="7"/>
  <c r="T1305" i="7"/>
  <c r="T1304" i="7"/>
  <c r="T1303" i="7"/>
  <c r="T1302" i="7"/>
  <c r="T1301" i="7"/>
  <c r="T1300" i="7"/>
  <c r="T1299" i="7"/>
  <c r="T1298" i="7"/>
  <c r="T1297" i="7"/>
  <c r="T1296" i="7"/>
  <c r="T1295" i="7"/>
  <c r="T1294" i="7"/>
  <c r="T1293" i="7"/>
  <c r="T1292" i="7"/>
  <c r="T1291" i="7"/>
  <c r="T1290" i="7"/>
  <c r="T1289" i="7"/>
  <c r="T1288" i="7"/>
  <c r="T1287" i="7"/>
  <c r="T1286" i="7"/>
  <c r="T1285" i="7"/>
  <c r="T1284" i="7"/>
  <c r="T1283" i="7"/>
  <c r="T1282" i="7"/>
  <c r="T1281" i="7"/>
  <c r="T1280" i="7"/>
  <c r="T1279" i="7"/>
  <c r="T1278" i="7"/>
  <c r="T1277" i="7"/>
  <c r="T1276" i="7"/>
  <c r="T1275" i="7"/>
  <c r="T1274" i="7"/>
  <c r="T1273" i="7"/>
  <c r="T1272" i="7"/>
  <c r="T1271" i="7"/>
  <c r="T1270" i="7"/>
  <c r="T1269" i="7"/>
  <c r="T1268" i="7"/>
  <c r="T1267" i="7"/>
  <c r="T1266" i="7"/>
  <c r="T1265" i="7"/>
  <c r="T1264" i="7"/>
  <c r="T1263" i="7"/>
  <c r="T1262" i="7"/>
  <c r="T1261" i="7"/>
  <c r="T1260" i="7"/>
  <c r="T1259" i="7"/>
  <c r="T1258" i="7"/>
  <c r="T1257" i="7"/>
  <c r="T1256" i="7"/>
  <c r="T1255" i="7"/>
  <c r="T1254" i="7"/>
  <c r="T1253" i="7"/>
  <c r="T1252" i="7"/>
  <c r="T1251" i="7"/>
  <c r="T1250" i="7"/>
  <c r="T1249" i="7"/>
  <c r="T1248" i="7"/>
  <c r="T1247" i="7"/>
  <c r="T1246" i="7"/>
  <c r="T1245" i="7"/>
  <c r="T1244" i="7"/>
  <c r="T1243" i="7"/>
  <c r="T1242" i="7"/>
  <c r="T1241" i="7"/>
  <c r="T1240" i="7"/>
  <c r="T1239" i="7"/>
  <c r="T1238" i="7"/>
  <c r="T1237" i="7"/>
  <c r="T1236" i="7"/>
  <c r="T1235" i="7"/>
  <c r="T1234" i="7"/>
  <c r="T1233" i="7"/>
  <c r="T1232" i="7"/>
  <c r="T1231" i="7"/>
  <c r="T1230" i="7"/>
  <c r="T1229" i="7"/>
  <c r="T1228" i="7"/>
  <c r="T1227" i="7"/>
  <c r="T1226" i="7"/>
  <c r="T1225" i="7"/>
  <c r="T1224" i="7"/>
  <c r="T1223" i="7"/>
  <c r="T1222" i="7"/>
  <c r="T1221" i="7"/>
  <c r="T1220" i="7"/>
  <c r="T1219" i="7"/>
  <c r="T1218" i="7"/>
  <c r="T1217" i="7"/>
  <c r="T1216" i="7"/>
  <c r="T1215" i="7"/>
  <c r="T1214" i="7"/>
  <c r="T1213" i="7"/>
  <c r="T1212" i="7"/>
  <c r="T1211" i="7"/>
  <c r="T1210" i="7"/>
  <c r="T1209" i="7"/>
  <c r="T1208" i="7"/>
  <c r="T1207" i="7"/>
  <c r="T1206" i="7"/>
  <c r="T1205" i="7"/>
  <c r="T1204" i="7"/>
  <c r="T1203" i="7"/>
  <c r="T1202" i="7"/>
  <c r="T1201" i="7"/>
  <c r="T1200" i="7"/>
  <c r="T1199" i="7"/>
  <c r="T1198" i="7"/>
  <c r="T1197" i="7"/>
  <c r="T1196" i="7"/>
  <c r="T1195" i="7"/>
  <c r="T1194" i="7"/>
  <c r="T1193" i="7"/>
  <c r="T1192" i="7"/>
  <c r="T1191" i="7"/>
  <c r="T1190" i="7"/>
  <c r="T1189" i="7"/>
  <c r="T1188" i="7"/>
  <c r="T1187" i="7"/>
  <c r="T1186" i="7"/>
  <c r="T1185" i="7"/>
  <c r="T1184" i="7"/>
  <c r="T1183" i="7"/>
  <c r="T1182" i="7"/>
  <c r="T1181" i="7"/>
  <c r="T1180" i="7"/>
  <c r="T1179" i="7"/>
  <c r="T1178" i="7"/>
  <c r="T1177" i="7"/>
  <c r="T1176" i="7"/>
  <c r="T1175" i="7"/>
  <c r="T1174" i="7"/>
  <c r="T1173" i="7"/>
  <c r="T1172" i="7"/>
  <c r="T1171" i="7"/>
  <c r="T1170" i="7"/>
  <c r="T1169" i="7"/>
  <c r="T1168" i="7"/>
  <c r="T1167" i="7"/>
  <c r="T1166" i="7"/>
  <c r="T1165" i="7"/>
  <c r="T1164" i="7"/>
  <c r="T1163" i="7"/>
  <c r="T1162" i="7"/>
  <c r="T1161" i="7"/>
  <c r="T1160" i="7"/>
  <c r="T1159" i="7"/>
  <c r="T1158" i="7"/>
  <c r="T1157" i="7"/>
  <c r="T1156" i="7"/>
  <c r="T1155" i="7"/>
  <c r="T1154" i="7"/>
  <c r="T1153" i="7"/>
  <c r="T1152" i="7"/>
  <c r="T1151" i="7"/>
  <c r="T1150" i="7"/>
  <c r="T1149" i="7"/>
  <c r="T1148" i="7"/>
  <c r="T1147" i="7"/>
  <c r="T1146" i="7"/>
  <c r="T1145" i="7"/>
  <c r="T1144" i="7"/>
  <c r="T1143" i="7"/>
  <c r="T1142" i="7"/>
  <c r="T1141" i="7"/>
  <c r="T1140" i="7"/>
  <c r="T1139" i="7"/>
  <c r="T1138" i="7"/>
  <c r="T1137" i="7"/>
  <c r="T1136" i="7"/>
  <c r="T1135" i="7"/>
  <c r="T1134" i="7"/>
  <c r="T1133" i="7"/>
  <c r="T1132" i="7"/>
  <c r="T1131" i="7"/>
  <c r="T1130" i="7"/>
  <c r="T1129" i="7"/>
  <c r="T1128" i="7"/>
  <c r="T1127" i="7"/>
  <c r="T1126" i="7"/>
  <c r="T1125" i="7"/>
  <c r="T1124" i="7"/>
  <c r="T1123" i="7"/>
  <c r="T1122" i="7"/>
  <c r="T1121" i="7"/>
  <c r="T1120" i="7"/>
  <c r="T1119" i="7"/>
  <c r="T1118" i="7"/>
  <c r="T1117" i="7"/>
  <c r="T1116" i="7"/>
  <c r="T1115" i="7"/>
  <c r="T1114" i="7"/>
  <c r="T1113" i="7"/>
  <c r="T1112" i="7"/>
  <c r="T1111" i="7"/>
  <c r="T1110" i="7"/>
  <c r="T1109" i="7"/>
  <c r="T1108" i="7"/>
  <c r="T1107" i="7"/>
  <c r="T1106" i="7"/>
  <c r="T1105" i="7"/>
  <c r="T1104" i="7"/>
  <c r="T1103" i="7"/>
  <c r="T1102" i="7"/>
  <c r="T1101" i="7"/>
  <c r="T1100" i="7"/>
  <c r="T1099" i="7"/>
  <c r="T1098" i="7"/>
  <c r="T1097" i="7"/>
  <c r="T1096" i="7"/>
  <c r="T1095" i="7"/>
  <c r="T1094" i="7"/>
  <c r="T1093" i="7"/>
  <c r="T1092" i="7"/>
  <c r="T1091" i="7"/>
  <c r="T1090" i="7"/>
  <c r="T1089" i="7"/>
  <c r="T1088" i="7"/>
  <c r="T1087" i="7"/>
  <c r="T1086" i="7"/>
  <c r="T1085" i="7"/>
  <c r="T1084" i="7"/>
  <c r="T1083" i="7"/>
  <c r="T1082" i="7"/>
  <c r="T1081" i="7"/>
  <c r="T1080" i="7"/>
  <c r="T1079" i="7"/>
  <c r="T1078" i="7"/>
  <c r="T1077" i="7"/>
  <c r="T1076" i="7"/>
  <c r="T1075" i="7"/>
  <c r="T1074" i="7"/>
  <c r="T1073" i="7"/>
  <c r="T1072" i="7"/>
  <c r="T1071" i="7"/>
  <c r="T1070" i="7"/>
  <c r="T1069" i="7"/>
  <c r="T1068" i="7"/>
  <c r="T1067" i="7"/>
  <c r="T1066" i="7"/>
  <c r="T1065" i="7"/>
  <c r="T1064" i="7"/>
  <c r="T1063" i="7"/>
  <c r="T1062" i="7"/>
  <c r="T1061" i="7"/>
  <c r="T1060" i="7"/>
  <c r="T1059" i="7"/>
  <c r="T1058" i="7"/>
  <c r="T1057" i="7"/>
  <c r="T1056" i="7"/>
  <c r="T1055" i="7"/>
  <c r="T1054" i="7"/>
  <c r="T1053" i="7"/>
  <c r="T1052" i="7"/>
  <c r="T1051" i="7"/>
  <c r="T1050" i="7"/>
  <c r="T1049" i="7"/>
  <c r="T1048" i="7"/>
  <c r="T1047" i="7"/>
  <c r="T1046" i="7"/>
  <c r="T1045" i="7"/>
  <c r="T1044" i="7"/>
  <c r="T1043" i="7"/>
  <c r="T1042" i="7"/>
  <c r="T1041" i="7"/>
  <c r="T1040" i="7"/>
  <c r="T1039" i="7"/>
  <c r="T1038" i="7"/>
  <c r="T1037" i="7"/>
  <c r="T1036" i="7"/>
  <c r="T1035" i="7"/>
  <c r="T1034" i="7"/>
  <c r="T1033" i="7"/>
  <c r="T1032" i="7"/>
  <c r="T1031" i="7"/>
  <c r="T1030" i="7"/>
  <c r="T1029" i="7"/>
  <c r="T1028" i="7"/>
  <c r="T1027" i="7"/>
  <c r="T1026" i="7"/>
  <c r="T1025" i="7"/>
  <c r="T1024" i="7"/>
  <c r="T1023" i="7"/>
  <c r="T1022" i="7"/>
  <c r="T1021" i="7"/>
  <c r="T1020" i="7"/>
  <c r="T1019" i="7"/>
  <c r="T1018" i="7"/>
  <c r="T1017" i="7"/>
  <c r="T1016" i="7"/>
  <c r="T1015" i="7"/>
  <c r="T1014" i="7"/>
  <c r="T1013" i="7"/>
  <c r="T1012" i="7"/>
  <c r="T1011" i="7"/>
  <c r="T1010" i="7"/>
  <c r="T1009" i="7"/>
  <c r="T1008" i="7"/>
  <c r="T1007" i="7"/>
  <c r="T1006" i="7"/>
  <c r="T1005" i="7"/>
  <c r="T1004" i="7"/>
  <c r="T1003" i="7"/>
  <c r="T1002" i="7"/>
  <c r="T1001" i="7"/>
  <c r="T1000" i="7"/>
  <c r="T999" i="7"/>
  <c r="T998" i="7"/>
  <c r="T997" i="7"/>
  <c r="T996" i="7"/>
  <c r="T995" i="7"/>
  <c r="T994" i="7"/>
  <c r="T993" i="7"/>
  <c r="T992" i="7"/>
  <c r="T991" i="7"/>
  <c r="T990" i="7"/>
  <c r="T989" i="7"/>
  <c r="T988" i="7"/>
  <c r="T987" i="7"/>
  <c r="T986" i="7"/>
  <c r="T985" i="7"/>
  <c r="T984" i="7"/>
  <c r="T983" i="7"/>
  <c r="T982" i="7"/>
  <c r="T981" i="7"/>
  <c r="T980" i="7"/>
  <c r="T979" i="7"/>
  <c r="T978" i="7"/>
  <c r="T977" i="7"/>
  <c r="T976" i="7"/>
  <c r="T975" i="7"/>
  <c r="T974" i="7"/>
  <c r="T973" i="7"/>
  <c r="T972" i="7"/>
  <c r="T971" i="7"/>
  <c r="T970" i="7"/>
  <c r="T969" i="7"/>
  <c r="T968" i="7"/>
  <c r="T967" i="7"/>
  <c r="T966" i="7"/>
  <c r="T965" i="7"/>
  <c r="T964" i="7"/>
  <c r="T963" i="7"/>
  <c r="T962" i="7"/>
  <c r="T961" i="7"/>
  <c r="T960" i="7"/>
  <c r="T959" i="7"/>
  <c r="T958" i="7"/>
  <c r="T957" i="7"/>
  <c r="T956" i="7"/>
  <c r="T955" i="7"/>
  <c r="T954" i="7"/>
  <c r="T953" i="7"/>
  <c r="T952" i="7"/>
  <c r="T951" i="7"/>
  <c r="T950" i="7"/>
  <c r="T949" i="7"/>
  <c r="T948" i="7"/>
  <c r="T947" i="7"/>
  <c r="T946" i="7"/>
  <c r="T945" i="7"/>
  <c r="T944" i="7"/>
  <c r="T943" i="7"/>
  <c r="T942" i="7"/>
  <c r="T941" i="7"/>
  <c r="T940" i="7"/>
  <c r="T939" i="7"/>
  <c r="T938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22" i="7"/>
  <c r="T921" i="7"/>
  <c r="T920" i="7"/>
  <c r="T919" i="7"/>
  <c r="T918" i="7"/>
  <c r="T917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T901" i="7"/>
  <c r="T900" i="7"/>
  <c r="T899" i="7"/>
  <c r="T898" i="7"/>
  <c r="T897" i="7"/>
  <c r="T896" i="7"/>
  <c r="T895" i="7"/>
  <c r="T894" i="7"/>
  <c r="T893" i="7"/>
  <c r="T892" i="7"/>
  <c r="T891" i="7"/>
  <c r="T890" i="7"/>
  <c r="T889" i="7"/>
  <c r="T888" i="7"/>
  <c r="T887" i="7"/>
  <c r="T886" i="7"/>
  <c r="T885" i="7"/>
  <c r="T884" i="7"/>
  <c r="T883" i="7"/>
  <c r="T882" i="7"/>
  <c r="T881" i="7"/>
  <c r="T880" i="7"/>
  <c r="T879" i="7"/>
  <c r="T878" i="7"/>
  <c r="T877" i="7"/>
  <c r="T876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72" i="7"/>
  <c r="T771" i="7"/>
  <c r="T770" i="7"/>
  <c r="T769" i="7"/>
  <c r="T768" i="7"/>
  <c r="T767" i="7"/>
  <c r="T766" i="7"/>
  <c r="T765" i="7"/>
  <c r="T764" i="7"/>
  <c r="T76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7" i="7"/>
  <c r="T516" i="7"/>
  <c r="T515" i="7"/>
  <c r="T514" i="7"/>
  <c r="T513" i="7"/>
  <c r="T511" i="7"/>
  <c r="T510" i="7"/>
  <c r="T506" i="7"/>
  <c r="T505" i="7"/>
  <c r="T504" i="7"/>
  <c r="T501" i="7"/>
  <c r="T500" i="7"/>
  <c r="T499" i="7"/>
  <c r="T497" i="7"/>
  <c r="T496" i="7"/>
  <c r="T495" i="7"/>
  <c r="T494" i="7"/>
  <c r="T493" i="7"/>
  <c r="T492" i="7"/>
  <c r="T491" i="7"/>
  <c r="T488" i="7"/>
  <c r="T487" i="7"/>
  <c r="T486" i="7"/>
  <c r="T485" i="7"/>
  <c r="T484" i="7"/>
  <c r="T483" i="7"/>
  <c r="T482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4" i="7"/>
  <c r="T242" i="7"/>
  <c r="T241" i="7"/>
  <c r="T238" i="7"/>
  <c r="T233" i="7"/>
  <c r="T232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3" i="7"/>
  <c r="T172" i="7"/>
  <c r="T171" i="7"/>
  <c r="T170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T2" i="7"/>
  <c r="S1972" i="7"/>
  <c r="S1971" i="7"/>
  <c r="S1970" i="7"/>
  <c r="S1969" i="7"/>
  <c r="S1968" i="7"/>
  <c r="S1967" i="7"/>
  <c r="S1966" i="7"/>
  <c r="S1965" i="7"/>
  <c r="S1964" i="7"/>
  <c r="S1963" i="7"/>
  <c r="S1962" i="7"/>
  <c r="S1961" i="7"/>
  <c r="S1960" i="7"/>
  <c r="S1959" i="7"/>
  <c r="S1958" i="7"/>
  <c r="S1957" i="7"/>
  <c r="S1956" i="7"/>
  <c r="S1955" i="7"/>
  <c r="S1954" i="7"/>
  <c r="S1953" i="7"/>
  <c r="S1952" i="7"/>
  <c r="S1951" i="7"/>
  <c r="S1950" i="7"/>
  <c r="S1949" i="7"/>
  <c r="S1948" i="7"/>
  <c r="S1947" i="7"/>
  <c r="S1946" i="7"/>
  <c r="S1945" i="7"/>
  <c r="S1944" i="7"/>
  <c r="S1943" i="7"/>
  <c r="S1942" i="7"/>
  <c r="S1941" i="7"/>
  <c r="S1940" i="7"/>
  <c r="S1939" i="7"/>
  <c r="S1938" i="7"/>
  <c r="S1937" i="7"/>
  <c r="S1936" i="7"/>
  <c r="S1935" i="7"/>
  <c r="S1934" i="7"/>
  <c r="S1933" i="7"/>
  <c r="S1932" i="7"/>
  <c r="S1931" i="7"/>
  <c r="S1930" i="7"/>
  <c r="S1929" i="7"/>
  <c r="S1928" i="7"/>
  <c r="S1927" i="7"/>
  <c r="S1926" i="7"/>
  <c r="S1925" i="7"/>
  <c r="S1924" i="7"/>
  <c r="S1923" i="7"/>
  <c r="S1922" i="7"/>
  <c r="S1921" i="7"/>
  <c r="S1920" i="7"/>
  <c r="S1919" i="7"/>
  <c r="S1918" i="7"/>
  <c r="S1917" i="7"/>
  <c r="S1916" i="7"/>
  <c r="S1915" i="7"/>
  <c r="S1914" i="7"/>
  <c r="S1913" i="7"/>
  <c r="S1912" i="7"/>
  <c r="S1911" i="7"/>
  <c r="S1910" i="7"/>
  <c r="S1909" i="7"/>
  <c r="S1908" i="7"/>
  <c r="S1907" i="7"/>
  <c r="S1906" i="7"/>
  <c r="S1905" i="7"/>
  <c r="S1904" i="7"/>
  <c r="S1903" i="7"/>
  <c r="S1902" i="7"/>
  <c r="S1901" i="7"/>
  <c r="S1900" i="7"/>
  <c r="S1899" i="7"/>
  <c r="S1898" i="7"/>
  <c r="S1897" i="7"/>
  <c r="S1896" i="7"/>
  <c r="S1895" i="7"/>
  <c r="S1894" i="7"/>
  <c r="S1893" i="7"/>
  <c r="S1892" i="7"/>
  <c r="S1891" i="7"/>
  <c r="S1890" i="7"/>
  <c r="S1889" i="7"/>
  <c r="S1886" i="7"/>
  <c r="S1885" i="7"/>
  <c r="S1884" i="7"/>
  <c r="S1883" i="7"/>
  <c r="S1882" i="7"/>
  <c r="S1881" i="7"/>
  <c r="S1880" i="7"/>
  <c r="S1879" i="7"/>
  <c r="S1878" i="7"/>
  <c r="S1877" i="7"/>
  <c r="S1876" i="7"/>
  <c r="S1875" i="7"/>
  <c r="S1874" i="7"/>
  <c r="S1873" i="7"/>
  <c r="S1872" i="7"/>
  <c r="S1871" i="7"/>
  <c r="S1870" i="7"/>
  <c r="S1869" i="7"/>
  <c r="S1868" i="7"/>
  <c r="S1867" i="7"/>
  <c r="S1866" i="7"/>
  <c r="S1865" i="7"/>
  <c r="S1864" i="7"/>
  <c r="S1863" i="7"/>
  <c r="S1862" i="7"/>
  <c r="S1861" i="7"/>
  <c r="S1860" i="7"/>
  <c r="S1859" i="7"/>
  <c r="S1858" i="7"/>
  <c r="S1857" i="7"/>
  <c r="S1856" i="7"/>
  <c r="S1855" i="7"/>
  <c r="S1854" i="7"/>
  <c r="S1853" i="7"/>
  <c r="S1852" i="7"/>
  <c r="S1851" i="7"/>
  <c r="S1850" i="7"/>
  <c r="S1849" i="7"/>
  <c r="S1848" i="7"/>
  <c r="S1847" i="7"/>
  <c r="S1846" i="7"/>
  <c r="S1845" i="7"/>
  <c r="S1844" i="7"/>
  <c r="S1843" i="7"/>
  <c r="S1842" i="7"/>
  <c r="S1841" i="7"/>
  <c r="S1840" i="7"/>
  <c r="S1839" i="7"/>
  <c r="S1838" i="7"/>
  <c r="S1837" i="7"/>
  <c r="S1836" i="7"/>
  <c r="S1835" i="7"/>
  <c r="S1834" i="7"/>
  <c r="S1833" i="7"/>
  <c r="S1832" i="7"/>
  <c r="S1831" i="7"/>
  <c r="S1830" i="7"/>
  <c r="S1829" i="7"/>
  <c r="S1828" i="7"/>
  <c r="S1827" i="7"/>
  <c r="S1826" i="7"/>
  <c r="S1825" i="7"/>
  <c r="S1824" i="7"/>
  <c r="S1823" i="7"/>
  <c r="S1822" i="7"/>
  <c r="S1821" i="7"/>
  <c r="S1820" i="7"/>
  <c r="S1819" i="7"/>
  <c r="S1818" i="7"/>
  <c r="S1817" i="7"/>
  <c r="S1816" i="7"/>
  <c r="S1815" i="7"/>
  <c r="S1814" i="7"/>
  <c r="S1813" i="7"/>
  <c r="S1812" i="7"/>
  <c r="S1811" i="7"/>
  <c r="S1810" i="7"/>
  <c r="S1809" i="7"/>
  <c r="S1808" i="7"/>
  <c r="S1807" i="7"/>
  <c r="S1806" i="7"/>
  <c r="S1805" i="7"/>
  <c r="S1804" i="7"/>
  <c r="S1803" i="7"/>
  <c r="S1802" i="7"/>
  <c r="S1801" i="7"/>
  <c r="S1800" i="7"/>
  <c r="S1799" i="7"/>
  <c r="S1798" i="7"/>
  <c r="S1797" i="7"/>
  <c r="S1796" i="7"/>
  <c r="S1795" i="7"/>
  <c r="S1794" i="7"/>
  <c r="S1793" i="7"/>
  <c r="S1792" i="7"/>
  <c r="S1789" i="7"/>
  <c r="S1786" i="7"/>
  <c r="S1785" i="7"/>
  <c r="S1784" i="7"/>
  <c r="S1783" i="7"/>
  <c r="S1782" i="7"/>
  <c r="S1781" i="7"/>
  <c r="S1780" i="7"/>
  <c r="S1779" i="7"/>
  <c r="S1778" i="7"/>
  <c r="S1777" i="7"/>
  <c r="S1776" i="7"/>
  <c r="S1775" i="7"/>
  <c r="S1774" i="7"/>
  <c r="S1773" i="7"/>
  <c r="S1772" i="7"/>
  <c r="S1771" i="7"/>
  <c r="S1770" i="7"/>
  <c r="S1769" i="7"/>
  <c r="S1768" i="7"/>
  <c r="S1767" i="7"/>
  <c r="S1766" i="7"/>
  <c r="S1765" i="7"/>
  <c r="S1764" i="7"/>
  <c r="S1763" i="7"/>
  <c r="S1762" i="7"/>
  <c r="S1761" i="7"/>
  <c r="S1760" i="7"/>
  <c r="S1759" i="7"/>
  <c r="S1758" i="7"/>
  <c r="S1757" i="7"/>
  <c r="S1756" i="7"/>
  <c r="S1755" i="7"/>
  <c r="S1754" i="7"/>
  <c r="S1753" i="7"/>
  <c r="S1752" i="7"/>
  <c r="S1751" i="7"/>
  <c r="S1750" i="7"/>
  <c r="S1749" i="7"/>
  <c r="S1748" i="7"/>
  <c r="S1747" i="7"/>
  <c r="S1746" i="7"/>
  <c r="S1745" i="7"/>
  <c r="S1744" i="7"/>
  <c r="S1743" i="7"/>
  <c r="S1742" i="7"/>
  <c r="S1741" i="7"/>
  <c r="S1740" i="7"/>
  <c r="S1739" i="7"/>
  <c r="S1738" i="7"/>
  <c r="S1737" i="7"/>
  <c r="S1736" i="7"/>
  <c r="S1735" i="7"/>
  <c r="S1734" i="7"/>
  <c r="S1733" i="7"/>
  <c r="S1732" i="7"/>
  <c r="S1731" i="7"/>
  <c r="S1730" i="7"/>
  <c r="S1729" i="7"/>
  <c r="S1728" i="7"/>
  <c r="S1727" i="7"/>
  <c r="S1726" i="7"/>
  <c r="S1725" i="7"/>
  <c r="S1724" i="7"/>
  <c r="S1723" i="7"/>
  <c r="S1722" i="7"/>
  <c r="S1721" i="7"/>
  <c r="S1720" i="7"/>
  <c r="S1719" i="7"/>
  <c r="S1718" i="7"/>
  <c r="S1717" i="7"/>
  <c r="S1716" i="7"/>
  <c r="S1715" i="7"/>
  <c r="S1714" i="7"/>
  <c r="S1713" i="7"/>
  <c r="S1712" i="7"/>
  <c r="S1711" i="7"/>
  <c r="S1710" i="7"/>
  <c r="S1709" i="7"/>
  <c r="S1708" i="7"/>
  <c r="S1707" i="7"/>
  <c r="S1706" i="7"/>
  <c r="S1705" i="7"/>
  <c r="S1704" i="7"/>
  <c r="S1703" i="7"/>
  <c r="S1702" i="7"/>
  <c r="S1701" i="7"/>
  <c r="S1700" i="7"/>
  <c r="S1699" i="7"/>
  <c r="S1698" i="7"/>
  <c r="S1697" i="7"/>
  <c r="S1696" i="7"/>
  <c r="S1695" i="7"/>
  <c r="S1694" i="7"/>
  <c r="S1693" i="7"/>
  <c r="S1692" i="7"/>
  <c r="S1691" i="7"/>
  <c r="S1690" i="7"/>
  <c r="S1689" i="7"/>
  <c r="S1688" i="7"/>
  <c r="S1687" i="7"/>
  <c r="S1686" i="7"/>
  <c r="S1685" i="7"/>
  <c r="S1684" i="7"/>
  <c r="S1683" i="7"/>
  <c r="S1682" i="7"/>
  <c r="S1681" i="7"/>
  <c r="S1680" i="7"/>
  <c r="S1679" i="7"/>
  <c r="S1678" i="7"/>
  <c r="S1677" i="7"/>
  <c r="S1676" i="7"/>
  <c r="S1675" i="7"/>
  <c r="S1674" i="7"/>
  <c r="S1673" i="7"/>
  <c r="S1672" i="7"/>
  <c r="S1671" i="7"/>
  <c r="S1670" i="7"/>
  <c r="S1669" i="7"/>
  <c r="S1668" i="7"/>
  <c r="S1667" i="7"/>
  <c r="S1666" i="7"/>
  <c r="S1665" i="7"/>
  <c r="S1664" i="7"/>
  <c r="S1663" i="7"/>
  <c r="S1662" i="7"/>
  <c r="S1661" i="7"/>
  <c r="S1660" i="7"/>
  <c r="S1659" i="7"/>
  <c r="S1658" i="7"/>
  <c r="S1657" i="7"/>
  <c r="S1656" i="7"/>
  <c r="S1655" i="7"/>
  <c r="S1654" i="7"/>
  <c r="S1653" i="7"/>
  <c r="S1652" i="7"/>
  <c r="S1651" i="7"/>
  <c r="S1650" i="7"/>
  <c r="S1649" i="7"/>
  <c r="S1648" i="7"/>
  <c r="S1647" i="7"/>
  <c r="S1646" i="7"/>
  <c r="S1645" i="7"/>
  <c r="S1644" i="7"/>
  <c r="S1643" i="7"/>
  <c r="S1642" i="7"/>
  <c r="S1641" i="7"/>
  <c r="S1640" i="7"/>
  <c r="S1639" i="7"/>
  <c r="S1638" i="7"/>
  <c r="S1637" i="7"/>
  <c r="S1636" i="7"/>
  <c r="S1635" i="7"/>
  <c r="S1634" i="7"/>
  <c r="S1633" i="7"/>
  <c r="S1632" i="7"/>
  <c r="S1631" i="7"/>
  <c r="S1630" i="7"/>
  <c r="S1629" i="7"/>
  <c r="S1628" i="7"/>
  <c r="S1627" i="7"/>
  <c r="S1626" i="7"/>
  <c r="S1625" i="7"/>
  <c r="S1624" i="7"/>
  <c r="S1623" i="7"/>
  <c r="S1622" i="7"/>
  <c r="S1621" i="7"/>
  <c r="S1620" i="7"/>
  <c r="S1619" i="7"/>
  <c r="S1618" i="7"/>
  <c r="S1617" i="7"/>
  <c r="S1616" i="7"/>
  <c r="S1615" i="7"/>
  <c r="S1614" i="7"/>
  <c r="S1613" i="7"/>
  <c r="S1612" i="7"/>
  <c r="S1611" i="7"/>
  <c r="S1610" i="7"/>
  <c r="S1609" i="7"/>
  <c r="S1608" i="7"/>
  <c r="S1607" i="7"/>
  <c r="S1606" i="7"/>
  <c r="S1605" i="7"/>
  <c r="S1604" i="7"/>
  <c r="S1603" i="7"/>
  <c r="S1602" i="7"/>
  <c r="S1601" i="7"/>
  <c r="S1600" i="7"/>
  <c r="S1599" i="7"/>
  <c r="S1598" i="7"/>
  <c r="S1597" i="7"/>
  <c r="S1596" i="7"/>
  <c r="S1595" i="7"/>
  <c r="S1594" i="7"/>
  <c r="S1593" i="7"/>
  <c r="S1592" i="7"/>
  <c r="S1591" i="7"/>
  <c r="S1590" i="7"/>
  <c r="S1589" i="7"/>
  <c r="S1588" i="7"/>
  <c r="S1587" i="7"/>
  <c r="S1586" i="7"/>
  <c r="S1585" i="7"/>
  <c r="S1584" i="7"/>
  <c r="S1583" i="7"/>
  <c r="S1582" i="7"/>
  <c r="S1581" i="7"/>
  <c r="S1580" i="7"/>
  <c r="S1579" i="7"/>
  <c r="S1578" i="7"/>
  <c r="S1577" i="7"/>
  <c r="S1576" i="7"/>
  <c r="S1575" i="7"/>
  <c r="S1574" i="7"/>
  <c r="S1573" i="7"/>
  <c r="S1572" i="7"/>
  <c r="S1571" i="7"/>
  <c r="S1570" i="7"/>
  <c r="S1569" i="7"/>
  <c r="S1568" i="7"/>
  <c r="S1567" i="7"/>
  <c r="S1566" i="7"/>
  <c r="S1565" i="7"/>
  <c r="S1564" i="7"/>
  <c r="S1563" i="7"/>
  <c r="S1562" i="7"/>
  <c r="S1561" i="7"/>
  <c r="S1560" i="7"/>
  <c r="S1559" i="7"/>
  <c r="S1558" i="7"/>
  <c r="S1557" i="7"/>
  <c r="S1556" i="7"/>
  <c r="S1555" i="7"/>
  <c r="S1554" i="7"/>
  <c r="S1552" i="7"/>
  <c r="S1551" i="7"/>
  <c r="S1550" i="7"/>
  <c r="S1549" i="7"/>
  <c r="S1548" i="7"/>
  <c r="S1547" i="7"/>
  <c r="S1546" i="7"/>
  <c r="S1545" i="7"/>
  <c r="S1544" i="7"/>
  <c r="S1543" i="7"/>
  <c r="S1542" i="7"/>
  <c r="S1541" i="7"/>
  <c r="S1540" i="7"/>
  <c r="S1539" i="7"/>
  <c r="S1538" i="7"/>
  <c r="S1537" i="7"/>
  <c r="S1536" i="7"/>
  <c r="S1535" i="7"/>
  <c r="S1534" i="7"/>
  <c r="S1533" i="7"/>
  <c r="S1532" i="7"/>
  <c r="S1531" i="7"/>
  <c r="S1530" i="7"/>
  <c r="S1529" i="7"/>
  <c r="S1528" i="7"/>
  <c r="S1527" i="7"/>
  <c r="S1526" i="7"/>
  <c r="S1525" i="7"/>
  <c r="S1524" i="7"/>
  <c r="S1523" i="7"/>
  <c r="S1522" i="7"/>
  <c r="S1521" i="7"/>
  <c r="S1520" i="7"/>
  <c r="S1519" i="7"/>
  <c r="S1518" i="7"/>
  <c r="S1517" i="7"/>
  <c r="S1516" i="7"/>
  <c r="S1515" i="7"/>
  <c r="S1514" i="7"/>
  <c r="S1513" i="7"/>
  <c r="S1512" i="7"/>
  <c r="S1511" i="7"/>
  <c r="S1510" i="7"/>
  <c r="S1509" i="7"/>
  <c r="S1508" i="7"/>
  <c r="S1507" i="7"/>
  <c r="S1506" i="7"/>
  <c r="S1505" i="7"/>
  <c r="S1504" i="7"/>
  <c r="S1503" i="7"/>
  <c r="S1502" i="7"/>
  <c r="S1501" i="7"/>
  <c r="S1500" i="7"/>
  <c r="S1499" i="7"/>
  <c r="S1498" i="7"/>
  <c r="S1497" i="7"/>
  <c r="S1496" i="7"/>
  <c r="S1495" i="7"/>
  <c r="S1494" i="7"/>
  <c r="S1493" i="7"/>
  <c r="S1492" i="7"/>
  <c r="S1491" i="7"/>
  <c r="S1490" i="7"/>
  <c r="S1489" i="7"/>
  <c r="S1488" i="7"/>
  <c r="S1487" i="7"/>
  <c r="S1486" i="7"/>
  <c r="S1485" i="7"/>
  <c r="S1484" i="7"/>
  <c r="S1483" i="7"/>
  <c r="S1482" i="7"/>
  <c r="S1481" i="7"/>
  <c r="S1480" i="7"/>
  <c r="S1479" i="7"/>
  <c r="S1478" i="7"/>
  <c r="S1477" i="7"/>
  <c r="S1476" i="7"/>
  <c r="S1475" i="7"/>
  <c r="S1474" i="7"/>
  <c r="S1473" i="7"/>
  <c r="S1472" i="7"/>
  <c r="S1471" i="7"/>
  <c r="S1470" i="7"/>
  <c r="S1469" i="7"/>
  <c r="S1468" i="7"/>
  <c r="S1467" i="7"/>
  <c r="S1466" i="7"/>
  <c r="S1465" i="7"/>
  <c r="S1464" i="7"/>
  <c r="S1463" i="7"/>
  <c r="S1462" i="7"/>
  <c r="S1461" i="7"/>
  <c r="S1460" i="7"/>
  <c r="S1459" i="7"/>
  <c r="S1458" i="7"/>
  <c r="S1457" i="7"/>
  <c r="S1456" i="7"/>
  <c r="S1455" i="7"/>
  <c r="S1454" i="7"/>
  <c r="S1453" i="7"/>
  <c r="S1452" i="7"/>
  <c r="S1451" i="7"/>
  <c r="S1450" i="7"/>
  <c r="S1449" i="7"/>
  <c r="S1448" i="7"/>
  <c r="S1447" i="7"/>
  <c r="S1446" i="7"/>
  <c r="S1445" i="7"/>
  <c r="S1444" i="7"/>
  <c r="S1443" i="7"/>
  <c r="S1442" i="7"/>
  <c r="S1441" i="7"/>
  <c r="S1440" i="7"/>
  <c r="S1439" i="7"/>
  <c r="S1438" i="7"/>
  <c r="S1437" i="7"/>
  <c r="S1436" i="7"/>
  <c r="S1435" i="7"/>
  <c r="S1434" i="7"/>
  <c r="S1433" i="7"/>
  <c r="S1432" i="7"/>
  <c r="S1431" i="7"/>
  <c r="S1430" i="7"/>
  <c r="S1429" i="7"/>
  <c r="S1428" i="7"/>
  <c r="S1427" i="7"/>
  <c r="S1426" i="7"/>
  <c r="S1425" i="7"/>
  <c r="S1424" i="7"/>
  <c r="S1423" i="7"/>
  <c r="S1422" i="7"/>
  <c r="S1421" i="7"/>
  <c r="S1420" i="7"/>
  <c r="S1419" i="7"/>
  <c r="S1418" i="7"/>
  <c r="S1417" i="7"/>
  <c r="S1416" i="7"/>
  <c r="S1415" i="7"/>
  <c r="S1414" i="7"/>
  <c r="S1413" i="7"/>
  <c r="S1412" i="7"/>
  <c r="S1411" i="7"/>
  <c r="S1410" i="7"/>
  <c r="S1409" i="7"/>
  <c r="S1408" i="7"/>
  <c r="S1407" i="7"/>
  <c r="S1406" i="7"/>
  <c r="S1405" i="7"/>
  <c r="S1404" i="7"/>
  <c r="S1403" i="7"/>
  <c r="S1402" i="7"/>
  <c r="S1401" i="7"/>
  <c r="S1400" i="7"/>
  <c r="S1399" i="7"/>
  <c r="S1398" i="7"/>
  <c r="S1397" i="7"/>
  <c r="S1396" i="7"/>
  <c r="S1395" i="7"/>
  <c r="S1394" i="7"/>
  <c r="S1393" i="7"/>
  <c r="S1392" i="7"/>
  <c r="S1391" i="7"/>
  <c r="S1390" i="7"/>
  <c r="S1389" i="7"/>
  <c r="S1388" i="7"/>
  <c r="S1387" i="7"/>
  <c r="S1386" i="7"/>
  <c r="S1385" i="7"/>
  <c r="S1384" i="7"/>
  <c r="S1383" i="7"/>
  <c r="S1382" i="7"/>
  <c r="S1381" i="7"/>
  <c r="S1380" i="7"/>
  <c r="S1379" i="7"/>
  <c r="S1378" i="7"/>
  <c r="S1377" i="7"/>
  <c r="S1376" i="7"/>
  <c r="S1375" i="7"/>
  <c r="S1374" i="7"/>
  <c r="S1373" i="7"/>
  <c r="S1372" i="7"/>
  <c r="S1371" i="7"/>
  <c r="S1370" i="7"/>
  <c r="S1369" i="7"/>
  <c r="S1368" i="7"/>
  <c r="S1367" i="7"/>
  <c r="S1366" i="7"/>
  <c r="S1365" i="7"/>
  <c r="S1364" i="7"/>
  <c r="S1363" i="7"/>
  <c r="S1362" i="7"/>
  <c r="S1361" i="7"/>
  <c r="S1360" i="7"/>
  <c r="S1359" i="7"/>
  <c r="S1358" i="7"/>
  <c r="S1357" i="7"/>
  <c r="S1356" i="7"/>
  <c r="S1355" i="7"/>
  <c r="S1354" i="7"/>
  <c r="S1353" i="7"/>
  <c r="S1352" i="7"/>
  <c r="S1351" i="7"/>
  <c r="S1350" i="7"/>
  <c r="S1349" i="7"/>
  <c r="S1348" i="7"/>
  <c r="S1347" i="7"/>
  <c r="S1346" i="7"/>
  <c r="S1345" i="7"/>
  <c r="S1344" i="7"/>
  <c r="S1343" i="7"/>
  <c r="S1342" i="7"/>
  <c r="S1341" i="7"/>
  <c r="S1340" i="7"/>
  <c r="S1339" i="7"/>
  <c r="S1338" i="7"/>
  <c r="S1337" i="7"/>
  <c r="S1336" i="7"/>
  <c r="S1335" i="7"/>
  <c r="S1334" i="7"/>
  <c r="S1333" i="7"/>
  <c r="S1332" i="7"/>
  <c r="S1331" i="7"/>
  <c r="S1330" i="7"/>
  <c r="S1329" i="7"/>
  <c r="S1328" i="7"/>
  <c r="S1327" i="7"/>
  <c r="S1326" i="7"/>
  <c r="S1325" i="7"/>
  <c r="S1324" i="7"/>
  <c r="S1323" i="7"/>
  <c r="S1322" i="7"/>
  <c r="S1321" i="7"/>
  <c r="S1320" i="7"/>
  <c r="S1319" i="7"/>
  <c r="S1318" i="7"/>
  <c r="S1317" i="7"/>
  <c r="S1316" i="7"/>
  <c r="S1315" i="7"/>
  <c r="S1314" i="7"/>
  <c r="S1313" i="7"/>
  <c r="S1312" i="7"/>
  <c r="S1311" i="7"/>
  <c r="S1310" i="7"/>
  <c r="S1309" i="7"/>
  <c r="S1308" i="7"/>
  <c r="S1307" i="7"/>
  <c r="S1306" i="7"/>
  <c r="S1305" i="7"/>
  <c r="S1304" i="7"/>
  <c r="S1303" i="7"/>
  <c r="S1302" i="7"/>
  <c r="S1301" i="7"/>
  <c r="S1300" i="7"/>
  <c r="S1299" i="7"/>
  <c r="S1298" i="7"/>
  <c r="S1297" i="7"/>
  <c r="S1296" i="7"/>
  <c r="S1295" i="7"/>
  <c r="S1294" i="7"/>
  <c r="S1293" i="7"/>
  <c r="S1292" i="7"/>
  <c r="S1291" i="7"/>
  <c r="S1290" i="7"/>
  <c r="S1289" i="7"/>
  <c r="S1288" i="7"/>
  <c r="S1287" i="7"/>
  <c r="S1286" i="7"/>
  <c r="S1285" i="7"/>
  <c r="S1284" i="7"/>
  <c r="S1283" i="7"/>
  <c r="S1282" i="7"/>
  <c r="S1281" i="7"/>
  <c r="S1280" i="7"/>
  <c r="S1279" i="7"/>
  <c r="S1278" i="7"/>
  <c r="S1277" i="7"/>
  <c r="S1276" i="7"/>
  <c r="S1275" i="7"/>
  <c r="S1274" i="7"/>
  <c r="S1273" i="7"/>
  <c r="S1272" i="7"/>
  <c r="S1271" i="7"/>
  <c r="S1270" i="7"/>
  <c r="S1269" i="7"/>
  <c r="S1268" i="7"/>
  <c r="S1267" i="7"/>
  <c r="S1266" i="7"/>
  <c r="S1265" i="7"/>
  <c r="S1264" i="7"/>
  <c r="S1263" i="7"/>
  <c r="S1262" i="7"/>
  <c r="S1261" i="7"/>
  <c r="S1260" i="7"/>
  <c r="S1259" i="7"/>
  <c r="S1258" i="7"/>
  <c r="S1257" i="7"/>
  <c r="S1256" i="7"/>
  <c r="S1255" i="7"/>
  <c r="S1254" i="7"/>
  <c r="S1253" i="7"/>
  <c r="S1252" i="7"/>
  <c r="S1251" i="7"/>
  <c r="S1250" i="7"/>
  <c r="S1249" i="7"/>
  <c r="S1248" i="7"/>
  <c r="S1247" i="7"/>
  <c r="S1246" i="7"/>
  <c r="S1245" i="7"/>
  <c r="S1244" i="7"/>
  <c r="S1243" i="7"/>
  <c r="S1242" i="7"/>
  <c r="S1241" i="7"/>
  <c r="S1240" i="7"/>
  <c r="S1239" i="7"/>
  <c r="S1238" i="7"/>
  <c r="S1237" i="7"/>
  <c r="S1236" i="7"/>
  <c r="S1235" i="7"/>
  <c r="S1234" i="7"/>
  <c r="S1233" i="7"/>
  <c r="S1232" i="7"/>
  <c r="S1231" i="7"/>
  <c r="S1230" i="7"/>
  <c r="S1229" i="7"/>
  <c r="S1228" i="7"/>
  <c r="S1227" i="7"/>
  <c r="S1226" i="7"/>
  <c r="S1225" i="7"/>
  <c r="S1224" i="7"/>
  <c r="S1223" i="7"/>
  <c r="S1222" i="7"/>
  <c r="S1221" i="7"/>
  <c r="S1220" i="7"/>
  <c r="S1219" i="7"/>
  <c r="S1218" i="7"/>
  <c r="S1217" i="7"/>
  <c r="S1216" i="7"/>
  <c r="S1215" i="7"/>
  <c r="S1214" i="7"/>
  <c r="S1213" i="7"/>
  <c r="S1212" i="7"/>
  <c r="S1211" i="7"/>
  <c r="S1210" i="7"/>
  <c r="S1209" i="7"/>
  <c r="S1208" i="7"/>
  <c r="S1207" i="7"/>
  <c r="S1206" i="7"/>
  <c r="S1205" i="7"/>
  <c r="S1204" i="7"/>
  <c r="S1203" i="7"/>
  <c r="S1202" i="7"/>
  <c r="S1201" i="7"/>
  <c r="S1200" i="7"/>
  <c r="S1199" i="7"/>
  <c r="S1198" i="7"/>
  <c r="S1197" i="7"/>
  <c r="S1196" i="7"/>
  <c r="S1195" i="7"/>
  <c r="S1194" i="7"/>
  <c r="S1193" i="7"/>
  <c r="S1192" i="7"/>
  <c r="S1191" i="7"/>
  <c r="S1190" i="7"/>
  <c r="S1189" i="7"/>
  <c r="S1188" i="7"/>
  <c r="S1187" i="7"/>
  <c r="S1186" i="7"/>
  <c r="S1185" i="7"/>
  <c r="S1184" i="7"/>
  <c r="S1183" i="7"/>
  <c r="S1182" i="7"/>
  <c r="S1181" i="7"/>
  <c r="S1180" i="7"/>
  <c r="S1179" i="7"/>
  <c r="S1178" i="7"/>
  <c r="S1177" i="7"/>
  <c r="S1176" i="7"/>
  <c r="S1175" i="7"/>
  <c r="S1174" i="7"/>
  <c r="S1173" i="7"/>
  <c r="S1172" i="7"/>
  <c r="S1171" i="7"/>
  <c r="S1170" i="7"/>
  <c r="S1169" i="7"/>
  <c r="S1168" i="7"/>
  <c r="S1167" i="7"/>
  <c r="S1166" i="7"/>
  <c r="S1165" i="7"/>
  <c r="S1164" i="7"/>
  <c r="S1163" i="7"/>
  <c r="S1162" i="7"/>
  <c r="S1161" i="7"/>
  <c r="S1160" i="7"/>
  <c r="S1159" i="7"/>
  <c r="S1158" i="7"/>
  <c r="S1157" i="7"/>
  <c r="S1156" i="7"/>
  <c r="S1155" i="7"/>
  <c r="S1154" i="7"/>
  <c r="S1153" i="7"/>
  <c r="S1152" i="7"/>
  <c r="S1151" i="7"/>
  <c r="S1150" i="7"/>
  <c r="S1149" i="7"/>
  <c r="S1148" i="7"/>
  <c r="S1147" i="7"/>
  <c r="S1146" i="7"/>
  <c r="S1145" i="7"/>
  <c r="S1144" i="7"/>
  <c r="S1143" i="7"/>
  <c r="S1142" i="7"/>
  <c r="S1141" i="7"/>
  <c r="S1140" i="7"/>
  <c r="S1139" i="7"/>
  <c r="S1138" i="7"/>
  <c r="S1137" i="7"/>
  <c r="S1136" i="7"/>
  <c r="S1135" i="7"/>
  <c r="S1134" i="7"/>
  <c r="S1133" i="7"/>
  <c r="S1132" i="7"/>
  <c r="S1131" i="7"/>
  <c r="S1130" i="7"/>
  <c r="S1129" i="7"/>
  <c r="S1128" i="7"/>
  <c r="S1127" i="7"/>
  <c r="S1126" i="7"/>
  <c r="S1125" i="7"/>
  <c r="S1124" i="7"/>
  <c r="S1123" i="7"/>
  <c r="S1122" i="7"/>
  <c r="S1121" i="7"/>
  <c r="S1120" i="7"/>
  <c r="S1119" i="7"/>
  <c r="S1118" i="7"/>
  <c r="S1117" i="7"/>
  <c r="S1116" i="7"/>
  <c r="S1115" i="7"/>
  <c r="S1114" i="7"/>
  <c r="S1113" i="7"/>
  <c r="S1112" i="7"/>
  <c r="S1111" i="7"/>
  <c r="S1110" i="7"/>
  <c r="S1109" i="7"/>
  <c r="S1108" i="7"/>
  <c r="S1107" i="7"/>
  <c r="S1106" i="7"/>
  <c r="S1105" i="7"/>
  <c r="S1104" i="7"/>
  <c r="S1103" i="7"/>
  <c r="S1102" i="7"/>
  <c r="S1101" i="7"/>
  <c r="S1100" i="7"/>
  <c r="S1099" i="7"/>
  <c r="S1098" i="7"/>
  <c r="S1097" i="7"/>
  <c r="S1096" i="7"/>
  <c r="S1095" i="7"/>
  <c r="S1094" i="7"/>
  <c r="S1093" i="7"/>
  <c r="S1092" i="7"/>
  <c r="S1091" i="7"/>
  <c r="S1090" i="7"/>
  <c r="S1089" i="7"/>
  <c r="S1088" i="7"/>
  <c r="S1087" i="7"/>
  <c r="S1086" i="7"/>
  <c r="S1085" i="7"/>
  <c r="S1084" i="7"/>
  <c r="S1083" i="7"/>
  <c r="S1082" i="7"/>
  <c r="S1081" i="7"/>
  <c r="S1080" i="7"/>
  <c r="S1079" i="7"/>
  <c r="S1078" i="7"/>
  <c r="S1077" i="7"/>
  <c r="S1076" i="7"/>
  <c r="S1075" i="7"/>
  <c r="S1074" i="7"/>
  <c r="S1073" i="7"/>
  <c r="S1072" i="7"/>
  <c r="S1071" i="7"/>
  <c r="S1070" i="7"/>
  <c r="S1069" i="7"/>
  <c r="S1068" i="7"/>
  <c r="S1067" i="7"/>
  <c r="S1066" i="7"/>
  <c r="S1065" i="7"/>
  <c r="S1064" i="7"/>
  <c r="S1063" i="7"/>
  <c r="S1062" i="7"/>
  <c r="S1061" i="7"/>
  <c r="S1060" i="7"/>
  <c r="S1059" i="7"/>
  <c r="S1058" i="7"/>
  <c r="S1057" i="7"/>
  <c r="S1056" i="7"/>
  <c r="S1055" i="7"/>
  <c r="S1054" i="7"/>
  <c r="S1053" i="7"/>
  <c r="S1052" i="7"/>
  <c r="S1051" i="7"/>
  <c r="S1050" i="7"/>
  <c r="S1049" i="7"/>
  <c r="S1048" i="7"/>
  <c r="S1047" i="7"/>
  <c r="S1046" i="7"/>
  <c r="S1045" i="7"/>
  <c r="S1044" i="7"/>
  <c r="S1043" i="7"/>
  <c r="S1042" i="7"/>
  <c r="S1041" i="7"/>
  <c r="S1040" i="7"/>
  <c r="S1039" i="7"/>
  <c r="S1038" i="7"/>
  <c r="S1037" i="7"/>
  <c r="S1036" i="7"/>
  <c r="S1035" i="7"/>
  <c r="S1034" i="7"/>
  <c r="S1033" i="7"/>
  <c r="S1032" i="7"/>
  <c r="S1031" i="7"/>
  <c r="S1030" i="7"/>
  <c r="S1029" i="7"/>
  <c r="S1028" i="7"/>
  <c r="S1027" i="7"/>
  <c r="S1026" i="7"/>
  <c r="S1025" i="7"/>
  <c r="S1024" i="7"/>
  <c r="S1023" i="7"/>
  <c r="S1022" i="7"/>
  <c r="S1021" i="7"/>
  <c r="S1020" i="7"/>
  <c r="S1019" i="7"/>
  <c r="S1018" i="7"/>
  <c r="S1017" i="7"/>
  <c r="S1016" i="7"/>
  <c r="S1015" i="7"/>
  <c r="S1014" i="7"/>
  <c r="S1013" i="7"/>
  <c r="S1012" i="7"/>
  <c r="S1011" i="7"/>
  <c r="S1010" i="7"/>
  <c r="S1009" i="7"/>
  <c r="S1008" i="7"/>
  <c r="S1007" i="7"/>
  <c r="S1006" i="7"/>
  <c r="S1005" i="7"/>
  <c r="S1004" i="7"/>
  <c r="S1003" i="7"/>
  <c r="S1002" i="7"/>
  <c r="S1001" i="7"/>
  <c r="S1000" i="7"/>
  <c r="S999" i="7"/>
  <c r="S998" i="7"/>
  <c r="S997" i="7"/>
  <c r="S996" i="7"/>
  <c r="S995" i="7"/>
  <c r="S994" i="7"/>
  <c r="S993" i="7"/>
  <c r="S992" i="7"/>
  <c r="S991" i="7"/>
  <c r="S990" i="7"/>
  <c r="S989" i="7"/>
  <c r="S988" i="7"/>
  <c r="S987" i="7"/>
  <c r="S986" i="7"/>
  <c r="S985" i="7"/>
  <c r="S984" i="7"/>
  <c r="S983" i="7"/>
  <c r="S982" i="7"/>
  <c r="S981" i="7"/>
  <c r="S980" i="7"/>
  <c r="S979" i="7"/>
  <c r="S978" i="7"/>
  <c r="S977" i="7"/>
  <c r="S976" i="7"/>
  <c r="S975" i="7"/>
  <c r="S974" i="7"/>
  <c r="S973" i="7"/>
  <c r="S972" i="7"/>
  <c r="S971" i="7"/>
  <c r="S970" i="7"/>
  <c r="S969" i="7"/>
  <c r="S968" i="7"/>
  <c r="S967" i="7"/>
  <c r="S966" i="7"/>
  <c r="S965" i="7"/>
  <c r="S964" i="7"/>
  <c r="S963" i="7"/>
  <c r="S962" i="7"/>
  <c r="S961" i="7"/>
  <c r="S960" i="7"/>
  <c r="S959" i="7"/>
  <c r="S958" i="7"/>
  <c r="S957" i="7"/>
  <c r="S956" i="7"/>
  <c r="S955" i="7"/>
  <c r="S954" i="7"/>
  <c r="S953" i="7"/>
  <c r="S952" i="7"/>
  <c r="S951" i="7"/>
  <c r="S950" i="7"/>
  <c r="S949" i="7"/>
  <c r="S948" i="7"/>
  <c r="S947" i="7"/>
  <c r="S946" i="7"/>
  <c r="S945" i="7"/>
  <c r="S944" i="7"/>
  <c r="S943" i="7"/>
  <c r="S942" i="7"/>
  <c r="S941" i="7"/>
  <c r="S940" i="7"/>
  <c r="S939" i="7"/>
  <c r="S938" i="7"/>
  <c r="S937" i="7"/>
  <c r="S936" i="7"/>
  <c r="S935" i="7"/>
  <c r="S934" i="7"/>
  <c r="S933" i="7"/>
  <c r="S932" i="7"/>
  <c r="S931" i="7"/>
  <c r="S930" i="7"/>
  <c r="S929" i="7"/>
  <c r="S928" i="7"/>
  <c r="S927" i="7"/>
  <c r="S926" i="7"/>
  <c r="S925" i="7"/>
  <c r="S924" i="7"/>
  <c r="S923" i="7"/>
  <c r="S922" i="7"/>
  <c r="S921" i="7"/>
  <c r="S920" i="7"/>
  <c r="S919" i="7"/>
  <c r="S918" i="7"/>
  <c r="S917" i="7"/>
  <c r="S916" i="7"/>
  <c r="S915" i="7"/>
  <c r="S914" i="7"/>
  <c r="S913" i="7"/>
  <c r="S912" i="7"/>
  <c r="S911" i="7"/>
  <c r="S910" i="7"/>
  <c r="S909" i="7"/>
  <c r="S908" i="7"/>
  <c r="S907" i="7"/>
  <c r="S906" i="7"/>
  <c r="S905" i="7"/>
  <c r="S904" i="7"/>
  <c r="S903" i="7"/>
  <c r="S902" i="7"/>
  <c r="S901" i="7"/>
  <c r="S900" i="7"/>
  <c r="S899" i="7"/>
  <c r="S898" i="7"/>
  <c r="S897" i="7"/>
  <c r="S896" i="7"/>
  <c r="S895" i="7"/>
  <c r="S894" i="7"/>
  <c r="S893" i="7"/>
  <c r="S892" i="7"/>
  <c r="S891" i="7"/>
  <c r="S890" i="7"/>
  <c r="S889" i="7"/>
  <c r="S888" i="7"/>
  <c r="S887" i="7"/>
  <c r="S886" i="7"/>
  <c r="S885" i="7"/>
  <c r="S884" i="7"/>
  <c r="S883" i="7"/>
  <c r="S882" i="7"/>
  <c r="S881" i="7"/>
  <c r="S880" i="7"/>
  <c r="S879" i="7"/>
  <c r="S878" i="7"/>
  <c r="S877" i="7"/>
  <c r="S876" i="7"/>
  <c r="S875" i="7"/>
  <c r="S874" i="7"/>
  <c r="S873" i="7"/>
  <c r="S872" i="7"/>
  <c r="S871" i="7"/>
  <c r="S870" i="7"/>
  <c r="S869" i="7"/>
  <c r="S868" i="7"/>
  <c r="S867" i="7"/>
  <c r="S866" i="7"/>
  <c r="S865" i="7"/>
  <c r="S864" i="7"/>
  <c r="S863" i="7"/>
  <c r="S862" i="7"/>
  <c r="S861" i="7"/>
  <c r="S860" i="7"/>
  <c r="S859" i="7"/>
  <c r="S858" i="7"/>
  <c r="S857" i="7"/>
  <c r="S856" i="7"/>
  <c r="S855" i="7"/>
  <c r="S854" i="7"/>
  <c r="S853" i="7"/>
  <c r="S852" i="7"/>
  <c r="S851" i="7"/>
  <c r="S850" i="7"/>
  <c r="S849" i="7"/>
  <c r="S848" i="7"/>
  <c r="S847" i="7"/>
  <c r="S846" i="7"/>
  <c r="S845" i="7"/>
  <c r="S844" i="7"/>
  <c r="S843" i="7"/>
  <c r="S842" i="7"/>
  <c r="S841" i="7"/>
  <c r="S840" i="7"/>
  <c r="S839" i="7"/>
  <c r="S838" i="7"/>
  <c r="S837" i="7"/>
  <c r="S836" i="7"/>
  <c r="S835" i="7"/>
  <c r="S834" i="7"/>
  <c r="S833" i="7"/>
  <c r="S832" i="7"/>
  <c r="S831" i="7"/>
  <c r="S830" i="7"/>
  <c r="S829" i="7"/>
  <c r="S828" i="7"/>
  <c r="S827" i="7"/>
  <c r="S826" i="7"/>
  <c r="S825" i="7"/>
  <c r="S824" i="7"/>
  <c r="S823" i="7"/>
  <c r="S822" i="7"/>
  <c r="S821" i="7"/>
  <c r="S820" i="7"/>
  <c r="S819" i="7"/>
  <c r="S818" i="7"/>
  <c r="S817" i="7"/>
  <c r="S816" i="7"/>
  <c r="S815" i="7"/>
  <c r="S814" i="7"/>
  <c r="S813" i="7"/>
  <c r="S812" i="7"/>
  <c r="S811" i="7"/>
  <c r="S810" i="7"/>
  <c r="S809" i="7"/>
  <c r="S808" i="7"/>
  <c r="S807" i="7"/>
  <c r="S806" i="7"/>
  <c r="S805" i="7"/>
  <c r="S804" i="7"/>
  <c r="S803" i="7"/>
  <c r="S802" i="7"/>
  <c r="S801" i="7"/>
  <c r="S800" i="7"/>
  <c r="S799" i="7"/>
  <c r="S798" i="7"/>
  <c r="S797" i="7"/>
  <c r="S796" i="7"/>
  <c r="S795" i="7"/>
  <c r="S794" i="7"/>
  <c r="S793" i="7"/>
  <c r="S792" i="7"/>
  <c r="S791" i="7"/>
  <c r="S790" i="7"/>
  <c r="S789" i="7"/>
  <c r="S788" i="7"/>
  <c r="S787" i="7"/>
  <c r="S786" i="7"/>
  <c r="S785" i="7"/>
  <c r="S784" i="7"/>
  <c r="S783" i="7"/>
  <c r="S782" i="7"/>
  <c r="S781" i="7"/>
  <c r="S780" i="7"/>
  <c r="S779" i="7"/>
  <c r="S778" i="7"/>
  <c r="S777" i="7"/>
  <c r="S776" i="7"/>
  <c r="S775" i="7"/>
  <c r="S774" i="7"/>
  <c r="S773" i="7"/>
  <c r="S772" i="7"/>
  <c r="S771" i="7"/>
  <c r="S770" i="7"/>
  <c r="S769" i="7"/>
  <c r="S768" i="7"/>
  <c r="S767" i="7"/>
  <c r="S766" i="7"/>
  <c r="S765" i="7"/>
  <c r="S764" i="7"/>
  <c r="S763" i="7"/>
  <c r="S762" i="7"/>
  <c r="S761" i="7"/>
  <c r="S760" i="7"/>
  <c r="S759" i="7"/>
  <c r="S758" i="7"/>
  <c r="S757" i="7"/>
  <c r="S756" i="7"/>
  <c r="S755" i="7"/>
  <c r="S754" i="7"/>
  <c r="S753" i="7"/>
  <c r="S752" i="7"/>
  <c r="S751" i="7"/>
  <c r="S750" i="7"/>
  <c r="S749" i="7"/>
  <c r="S748" i="7"/>
  <c r="S747" i="7"/>
  <c r="S746" i="7"/>
  <c r="S745" i="7"/>
  <c r="S744" i="7"/>
  <c r="S743" i="7"/>
  <c r="S742" i="7"/>
  <c r="S741" i="7"/>
  <c r="S740" i="7"/>
  <c r="S739" i="7"/>
  <c r="S738" i="7"/>
  <c r="S737" i="7"/>
  <c r="S736" i="7"/>
  <c r="S735" i="7"/>
  <c r="S734" i="7"/>
  <c r="S733" i="7"/>
  <c r="S732" i="7"/>
  <c r="S731" i="7"/>
  <c r="S730" i="7"/>
  <c r="S729" i="7"/>
  <c r="S728" i="7"/>
  <c r="S727" i="7"/>
  <c r="S726" i="7"/>
  <c r="S725" i="7"/>
  <c r="S724" i="7"/>
  <c r="S723" i="7"/>
  <c r="S722" i="7"/>
  <c r="S721" i="7"/>
  <c r="S720" i="7"/>
  <c r="S719" i="7"/>
  <c r="S718" i="7"/>
  <c r="S717" i="7"/>
  <c r="S716" i="7"/>
  <c r="S715" i="7"/>
  <c r="S714" i="7"/>
  <c r="S713" i="7"/>
  <c r="S712" i="7"/>
  <c r="S711" i="7"/>
  <c r="S710" i="7"/>
  <c r="S709" i="7"/>
  <c r="S708" i="7"/>
  <c r="S707" i="7"/>
  <c r="S706" i="7"/>
  <c r="S705" i="7"/>
  <c r="S704" i="7"/>
  <c r="S703" i="7"/>
  <c r="S702" i="7"/>
  <c r="S701" i="7"/>
  <c r="S700" i="7"/>
  <c r="S699" i="7"/>
  <c r="S698" i="7"/>
  <c r="S697" i="7"/>
  <c r="S696" i="7"/>
  <c r="S695" i="7"/>
  <c r="S694" i="7"/>
  <c r="S693" i="7"/>
  <c r="S692" i="7"/>
  <c r="S691" i="7"/>
  <c r="S690" i="7"/>
  <c r="S689" i="7"/>
  <c r="S688" i="7"/>
  <c r="S687" i="7"/>
  <c r="S686" i="7"/>
  <c r="S685" i="7"/>
  <c r="S684" i="7"/>
  <c r="S683" i="7"/>
  <c r="S682" i="7"/>
  <c r="S681" i="7"/>
  <c r="S680" i="7"/>
  <c r="S679" i="7"/>
  <c r="S678" i="7"/>
  <c r="S677" i="7"/>
  <c r="S676" i="7"/>
  <c r="S675" i="7"/>
  <c r="S674" i="7"/>
  <c r="S673" i="7"/>
  <c r="S672" i="7"/>
  <c r="S671" i="7"/>
  <c r="S668" i="7"/>
  <c r="S667" i="7"/>
  <c r="S666" i="7"/>
  <c r="S665" i="7"/>
  <c r="S664" i="7"/>
  <c r="S663" i="7"/>
  <c r="S662" i="7"/>
  <c r="S661" i="7"/>
  <c r="S660" i="7"/>
  <c r="S659" i="7"/>
  <c r="S658" i="7"/>
  <c r="S657" i="7"/>
  <c r="S656" i="7"/>
  <c r="S655" i="7"/>
  <c r="S654" i="7"/>
  <c r="S653" i="7"/>
  <c r="S652" i="7"/>
  <c r="S651" i="7"/>
  <c r="S650" i="7"/>
  <c r="S649" i="7"/>
  <c r="S648" i="7"/>
  <c r="S647" i="7"/>
  <c r="S646" i="7"/>
  <c r="S645" i="7"/>
  <c r="S644" i="7"/>
  <c r="S643" i="7"/>
  <c r="S642" i="7"/>
  <c r="S638" i="7"/>
  <c r="S637" i="7"/>
  <c r="S636" i="7"/>
  <c r="S635" i="7"/>
  <c r="S634" i="7"/>
  <c r="S633" i="7"/>
  <c r="S632" i="7"/>
  <c r="S631" i="7"/>
  <c r="S630" i="7"/>
  <c r="S629" i="7"/>
  <c r="S628" i="7"/>
  <c r="S627" i="7"/>
  <c r="S626" i="7"/>
  <c r="S623" i="7"/>
  <c r="S622" i="7"/>
  <c r="S621" i="7"/>
  <c r="S620" i="7"/>
  <c r="S619" i="7"/>
  <c r="S618" i="7"/>
  <c r="S617" i="7"/>
  <c r="S616" i="7"/>
  <c r="S614" i="7"/>
  <c r="S613" i="7"/>
  <c r="S612" i="7"/>
  <c r="S611" i="7"/>
  <c r="S609" i="7"/>
  <c r="S608" i="7"/>
  <c r="S607" i="7"/>
  <c r="S606" i="7"/>
  <c r="S605" i="7"/>
  <c r="S604" i="7"/>
  <c r="S603" i="7"/>
  <c r="S602" i="7"/>
  <c r="S601" i="7"/>
  <c r="S600" i="7"/>
  <c r="S599" i="7"/>
  <c r="S598" i="7"/>
  <c r="S597" i="7"/>
  <c r="S596" i="7"/>
  <c r="S595" i="7"/>
  <c r="S594" i="7"/>
  <c r="S593" i="7"/>
  <c r="S592" i="7"/>
  <c r="S591" i="7"/>
  <c r="S590" i="7"/>
  <c r="S589" i="7"/>
  <c r="S588" i="7"/>
  <c r="S587" i="7"/>
  <c r="S586" i="7"/>
  <c r="S585" i="7"/>
  <c r="S584" i="7"/>
  <c r="S583" i="7"/>
  <c r="S582" i="7"/>
  <c r="S581" i="7"/>
  <c r="S580" i="7"/>
  <c r="S579" i="7"/>
  <c r="S578" i="7"/>
  <c r="S577" i="7"/>
  <c r="S576" i="7"/>
  <c r="S575" i="7"/>
  <c r="S574" i="7"/>
  <c r="S573" i="7"/>
  <c r="S572" i="7"/>
  <c r="S571" i="7"/>
  <c r="S570" i="7"/>
  <c r="S569" i="7"/>
  <c r="S568" i="7"/>
  <c r="S567" i="7"/>
  <c r="S566" i="7"/>
  <c r="S565" i="7"/>
  <c r="S564" i="7"/>
  <c r="S563" i="7"/>
  <c r="S562" i="7"/>
  <c r="S561" i="7"/>
  <c r="S560" i="7"/>
  <c r="S559" i="7"/>
  <c r="S558" i="7"/>
  <c r="S557" i="7"/>
  <c r="S556" i="7"/>
  <c r="S555" i="7"/>
  <c r="S554" i="7"/>
  <c r="S553" i="7"/>
  <c r="S552" i="7"/>
  <c r="S551" i="7"/>
  <c r="S550" i="7"/>
  <c r="S549" i="7"/>
  <c r="S548" i="7"/>
  <c r="S547" i="7"/>
  <c r="S546" i="7"/>
  <c r="S545" i="7"/>
  <c r="S544" i="7"/>
  <c r="S543" i="7"/>
  <c r="S542" i="7"/>
  <c r="S541" i="7"/>
  <c r="S540" i="7"/>
  <c r="S539" i="7"/>
  <c r="S538" i="7"/>
  <c r="S537" i="7"/>
  <c r="S536" i="7"/>
  <c r="S535" i="7"/>
  <c r="S534" i="7"/>
  <c r="S533" i="7"/>
  <c r="S532" i="7"/>
  <c r="S531" i="7"/>
  <c r="S530" i="7"/>
  <c r="S528" i="7"/>
  <c r="S527" i="7"/>
  <c r="S526" i="7"/>
  <c r="S525" i="7"/>
  <c r="S524" i="7"/>
  <c r="S523" i="7"/>
  <c r="S521" i="7"/>
  <c r="S520" i="7"/>
  <c r="S519" i="7"/>
  <c r="S516" i="7"/>
  <c r="S515" i="7"/>
  <c r="S511" i="7"/>
  <c r="S510" i="7"/>
  <c r="S506" i="7"/>
  <c r="S505" i="7"/>
  <c r="S501" i="7"/>
  <c r="S500" i="7"/>
  <c r="S499" i="7"/>
  <c r="S497" i="7"/>
  <c r="S496" i="7"/>
  <c r="S495" i="7"/>
  <c r="S494" i="7"/>
  <c r="S493" i="7"/>
  <c r="S492" i="7"/>
  <c r="S491" i="7"/>
  <c r="S488" i="7"/>
  <c r="S486" i="7"/>
  <c r="S484" i="7"/>
  <c r="S483" i="7"/>
  <c r="S482" i="7"/>
  <c r="S480" i="7"/>
  <c r="S479" i="7"/>
  <c r="S478" i="7"/>
  <c r="S477" i="7"/>
  <c r="S476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8" i="7"/>
  <c r="S457" i="7"/>
  <c r="S456" i="7"/>
  <c r="S455" i="7"/>
  <c r="S454" i="7"/>
  <c r="S453" i="7"/>
  <c r="S452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4" i="7"/>
  <c r="S242" i="7"/>
  <c r="S241" i="7"/>
  <c r="S238" i="7"/>
  <c r="S233" i="7"/>
  <c r="S232" i="7"/>
  <c r="S229" i="7"/>
  <c r="S228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7" i="7"/>
  <c r="S6" i="7"/>
  <c r="S5" i="7"/>
  <c r="S4" i="7"/>
  <c r="S3" i="7"/>
  <c r="S2" i="7"/>
  <c r="R1972" i="7"/>
  <c r="R1971" i="7"/>
  <c r="R1970" i="7"/>
  <c r="R1969" i="7"/>
  <c r="R1968" i="7"/>
  <c r="R1967" i="7"/>
  <c r="R1966" i="7"/>
  <c r="R1965" i="7"/>
  <c r="R1964" i="7"/>
  <c r="R1963" i="7"/>
  <c r="R1962" i="7"/>
  <c r="R1961" i="7"/>
  <c r="R1960" i="7"/>
  <c r="R1959" i="7"/>
  <c r="R1958" i="7"/>
  <c r="R1957" i="7"/>
  <c r="R1956" i="7"/>
  <c r="R1955" i="7"/>
  <c r="R1954" i="7"/>
  <c r="R1953" i="7"/>
  <c r="R1952" i="7"/>
  <c r="R1951" i="7"/>
  <c r="R1950" i="7"/>
  <c r="R1949" i="7"/>
  <c r="R1948" i="7"/>
  <c r="R1947" i="7"/>
  <c r="R1946" i="7"/>
  <c r="R1945" i="7"/>
  <c r="R1944" i="7"/>
  <c r="R1943" i="7"/>
  <c r="R1942" i="7"/>
  <c r="R1941" i="7"/>
  <c r="R1940" i="7"/>
  <c r="R1939" i="7"/>
  <c r="R1938" i="7"/>
  <c r="R1937" i="7"/>
  <c r="R1936" i="7"/>
  <c r="R1935" i="7"/>
  <c r="R1934" i="7"/>
  <c r="R1933" i="7"/>
  <c r="R1932" i="7"/>
  <c r="R1931" i="7"/>
  <c r="R1930" i="7"/>
  <c r="R1929" i="7"/>
  <c r="R1928" i="7"/>
  <c r="R1927" i="7"/>
  <c r="R1926" i="7"/>
  <c r="R1925" i="7"/>
  <c r="R1924" i="7"/>
  <c r="R1923" i="7"/>
  <c r="R1922" i="7"/>
  <c r="R1921" i="7"/>
  <c r="R1920" i="7"/>
  <c r="R1919" i="7"/>
  <c r="R1918" i="7"/>
  <c r="R1917" i="7"/>
  <c r="R1916" i="7"/>
  <c r="R1915" i="7"/>
  <c r="R1914" i="7"/>
  <c r="R1913" i="7"/>
  <c r="R1912" i="7"/>
  <c r="R1911" i="7"/>
  <c r="R1910" i="7"/>
  <c r="R1909" i="7"/>
  <c r="R1908" i="7"/>
  <c r="R1907" i="7"/>
  <c r="R1906" i="7"/>
  <c r="R1905" i="7"/>
  <c r="R1904" i="7"/>
  <c r="R1903" i="7"/>
  <c r="R1902" i="7"/>
  <c r="R1901" i="7"/>
  <c r="R1900" i="7"/>
  <c r="R1899" i="7"/>
  <c r="R1898" i="7"/>
  <c r="R1897" i="7"/>
  <c r="R1896" i="7"/>
  <c r="R1895" i="7"/>
  <c r="R1894" i="7"/>
  <c r="R1893" i="7"/>
  <c r="R1892" i="7"/>
  <c r="R1891" i="7"/>
  <c r="R1890" i="7"/>
  <c r="R1889" i="7"/>
  <c r="R1886" i="7"/>
  <c r="R1885" i="7"/>
  <c r="R1884" i="7"/>
  <c r="R1883" i="7"/>
  <c r="R1882" i="7"/>
  <c r="R1881" i="7"/>
  <c r="R1880" i="7"/>
  <c r="R1879" i="7"/>
  <c r="R1878" i="7"/>
  <c r="R1877" i="7"/>
  <c r="R1876" i="7"/>
  <c r="R1875" i="7"/>
  <c r="R1874" i="7"/>
  <c r="R1873" i="7"/>
  <c r="R1872" i="7"/>
  <c r="R1871" i="7"/>
  <c r="R1870" i="7"/>
  <c r="R1869" i="7"/>
  <c r="R1868" i="7"/>
  <c r="R1867" i="7"/>
  <c r="R1866" i="7"/>
  <c r="R1865" i="7"/>
  <c r="R1864" i="7"/>
  <c r="R1863" i="7"/>
  <c r="R1862" i="7"/>
  <c r="R1861" i="7"/>
  <c r="R1860" i="7"/>
  <c r="R1859" i="7"/>
  <c r="R1858" i="7"/>
  <c r="R1857" i="7"/>
  <c r="R1856" i="7"/>
  <c r="R1855" i="7"/>
  <c r="R1854" i="7"/>
  <c r="R1853" i="7"/>
  <c r="R1852" i="7"/>
  <c r="R1851" i="7"/>
  <c r="R1850" i="7"/>
  <c r="R1849" i="7"/>
  <c r="R1848" i="7"/>
  <c r="R1847" i="7"/>
  <c r="R1846" i="7"/>
  <c r="R1845" i="7"/>
  <c r="R1844" i="7"/>
  <c r="R1843" i="7"/>
  <c r="R1842" i="7"/>
  <c r="R1841" i="7"/>
  <c r="R1840" i="7"/>
  <c r="R1839" i="7"/>
  <c r="R1838" i="7"/>
  <c r="R1837" i="7"/>
  <c r="R1836" i="7"/>
  <c r="R1835" i="7"/>
  <c r="R1834" i="7"/>
  <c r="R1833" i="7"/>
  <c r="R1832" i="7"/>
  <c r="R1831" i="7"/>
  <c r="R1830" i="7"/>
  <c r="R1829" i="7"/>
  <c r="R1828" i="7"/>
  <c r="R1827" i="7"/>
  <c r="R1826" i="7"/>
  <c r="R1825" i="7"/>
  <c r="R1824" i="7"/>
  <c r="R1823" i="7"/>
  <c r="R1822" i="7"/>
  <c r="R1821" i="7"/>
  <c r="R1820" i="7"/>
  <c r="R1819" i="7"/>
  <c r="R1818" i="7"/>
  <c r="R1817" i="7"/>
  <c r="R1816" i="7"/>
  <c r="R1815" i="7"/>
  <c r="R1814" i="7"/>
  <c r="R1813" i="7"/>
  <c r="R1812" i="7"/>
  <c r="R1811" i="7"/>
  <c r="R1810" i="7"/>
  <c r="R1809" i="7"/>
  <c r="R1808" i="7"/>
  <c r="R1807" i="7"/>
  <c r="R1806" i="7"/>
  <c r="R1805" i="7"/>
  <c r="R1804" i="7"/>
  <c r="R1803" i="7"/>
  <c r="R1802" i="7"/>
  <c r="R1801" i="7"/>
  <c r="R1800" i="7"/>
  <c r="R1799" i="7"/>
  <c r="R1798" i="7"/>
  <c r="R1797" i="7"/>
  <c r="R1796" i="7"/>
  <c r="R1795" i="7"/>
  <c r="R1794" i="7"/>
  <c r="R1793" i="7"/>
  <c r="R1792" i="7"/>
  <c r="R1790" i="7"/>
  <c r="R1789" i="7"/>
  <c r="R1787" i="7"/>
  <c r="R1786" i="7"/>
  <c r="R1784" i="7"/>
  <c r="R1783" i="7"/>
  <c r="R1781" i="7"/>
  <c r="R1780" i="7"/>
  <c r="R1778" i="7"/>
  <c r="R1776" i="7"/>
  <c r="R1774" i="7"/>
  <c r="R1773" i="7"/>
  <c r="R1772" i="7"/>
  <c r="R1771" i="7"/>
  <c r="R1770" i="7"/>
  <c r="R1769" i="7"/>
  <c r="R1768" i="7"/>
  <c r="R1767" i="7"/>
  <c r="R1766" i="7"/>
  <c r="R1763" i="7"/>
  <c r="R1762" i="7"/>
  <c r="R1761" i="7"/>
  <c r="R1760" i="7"/>
  <c r="R1759" i="7"/>
  <c r="R1758" i="7"/>
  <c r="R1757" i="7"/>
  <c r="R1756" i="7"/>
  <c r="R1755" i="7"/>
  <c r="R1754" i="7"/>
  <c r="R1753" i="7"/>
  <c r="R1752" i="7"/>
  <c r="R1751" i="7"/>
  <c r="R1750" i="7"/>
  <c r="R1749" i="7"/>
  <c r="R1748" i="7"/>
  <c r="R1747" i="7"/>
  <c r="R1746" i="7"/>
  <c r="R1743" i="7"/>
  <c r="R1742" i="7"/>
  <c r="R1741" i="7"/>
  <c r="R1740" i="7"/>
  <c r="R1738" i="7"/>
  <c r="R1737" i="7"/>
  <c r="R1736" i="7"/>
  <c r="R1735" i="7"/>
  <c r="R1734" i="7"/>
  <c r="R1733" i="7"/>
  <c r="R1732" i="7"/>
  <c r="R1731" i="7"/>
  <c r="R1730" i="7"/>
  <c r="R1729" i="7"/>
  <c r="R1728" i="7"/>
  <c r="R1727" i="7"/>
  <c r="R1726" i="7"/>
  <c r="R1723" i="7"/>
  <c r="R1719" i="7"/>
  <c r="R1717" i="7"/>
  <c r="R1716" i="7"/>
  <c r="R1715" i="7"/>
  <c r="R1714" i="7"/>
  <c r="R1713" i="7"/>
  <c r="R1712" i="7"/>
  <c r="R1711" i="7"/>
  <c r="R1708" i="7"/>
  <c r="R1707" i="7"/>
  <c r="R1706" i="7"/>
  <c r="R1705" i="7"/>
  <c r="R1704" i="7"/>
  <c r="R1703" i="7"/>
  <c r="R1702" i="7"/>
  <c r="R1701" i="7"/>
  <c r="R1700" i="7"/>
  <c r="R1699" i="7"/>
  <c r="R1698" i="7"/>
  <c r="R1697" i="7"/>
  <c r="R1696" i="7"/>
  <c r="R1695" i="7"/>
  <c r="R1694" i="7"/>
  <c r="R1693" i="7"/>
  <c r="R1692" i="7"/>
  <c r="R1691" i="7"/>
  <c r="R1690" i="7"/>
  <c r="R1689" i="7"/>
  <c r="R1688" i="7"/>
  <c r="R1687" i="7"/>
  <c r="R1686" i="7"/>
  <c r="R1685" i="7"/>
  <c r="R1684" i="7"/>
  <c r="R1683" i="7"/>
  <c r="R1682" i="7"/>
  <c r="R1681" i="7"/>
  <c r="R1680" i="7"/>
  <c r="R1679" i="7"/>
  <c r="R1678" i="7"/>
  <c r="R1677" i="7"/>
  <c r="R1676" i="7"/>
  <c r="R1675" i="7"/>
  <c r="R1674" i="7"/>
  <c r="R1673" i="7"/>
  <c r="R1672" i="7"/>
  <c r="R1671" i="7"/>
  <c r="R1670" i="7"/>
  <c r="R1669" i="7"/>
  <c r="R1668" i="7"/>
  <c r="R1667" i="7"/>
  <c r="R1666" i="7"/>
  <c r="R1665" i="7"/>
  <c r="R1664" i="7"/>
  <c r="R1663" i="7"/>
  <c r="R1662" i="7"/>
  <c r="R1661" i="7"/>
  <c r="R1660" i="7"/>
  <c r="R1659" i="7"/>
  <c r="R1658" i="7"/>
  <c r="R1657" i="7"/>
  <c r="R1656" i="7"/>
  <c r="R1655" i="7"/>
  <c r="R1654" i="7"/>
  <c r="R1653" i="7"/>
  <c r="R1652" i="7"/>
  <c r="R1651" i="7"/>
  <c r="R1650" i="7"/>
  <c r="R1649" i="7"/>
  <c r="R1648" i="7"/>
  <c r="R1647" i="7"/>
  <c r="R1646" i="7"/>
  <c r="R1645" i="7"/>
  <c r="R1644" i="7"/>
  <c r="R1643" i="7"/>
  <c r="R1642" i="7"/>
  <c r="R1641" i="7"/>
  <c r="R1640" i="7"/>
  <c r="R1639" i="7"/>
  <c r="R1638" i="7"/>
  <c r="R1637" i="7"/>
  <c r="R1636" i="7"/>
  <c r="R1635" i="7"/>
  <c r="R1634" i="7"/>
  <c r="R1633" i="7"/>
  <c r="R1632" i="7"/>
  <c r="R1631" i="7"/>
  <c r="R1630" i="7"/>
  <c r="R1629" i="7"/>
  <c r="R1628" i="7"/>
  <c r="R1627" i="7"/>
  <c r="R1626" i="7"/>
  <c r="R1625" i="7"/>
  <c r="R1624" i="7"/>
  <c r="R1623" i="7"/>
  <c r="R1622" i="7"/>
  <c r="R1621" i="7"/>
  <c r="R1620" i="7"/>
  <c r="R1619" i="7"/>
  <c r="R1618" i="7"/>
  <c r="R1617" i="7"/>
  <c r="R1616" i="7"/>
  <c r="R1615" i="7"/>
  <c r="R1614" i="7"/>
  <c r="R1613" i="7"/>
  <c r="R1612" i="7"/>
  <c r="R1611" i="7"/>
  <c r="R1610" i="7"/>
  <c r="R1609" i="7"/>
  <c r="R1608" i="7"/>
  <c r="R1607" i="7"/>
  <c r="R1606" i="7"/>
  <c r="R1605" i="7"/>
  <c r="R1604" i="7"/>
  <c r="R1603" i="7"/>
  <c r="R1602" i="7"/>
  <c r="R1601" i="7"/>
  <c r="R1600" i="7"/>
  <c r="R1599" i="7"/>
  <c r="R1598" i="7"/>
  <c r="R1597" i="7"/>
  <c r="R1596" i="7"/>
  <c r="R1595" i="7"/>
  <c r="R1594" i="7"/>
  <c r="R1593" i="7"/>
  <c r="R1592" i="7"/>
  <c r="R1591" i="7"/>
  <c r="R1590" i="7"/>
  <c r="R1589" i="7"/>
  <c r="R1588" i="7"/>
  <c r="R1587" i="7"/>
  <c r="R1586" i="7"/>
  <c r="R1585" i="7"/>
  <c r="R1584" i="7"/>
  <c r="R1583" i="7"/>
  <c r="R1582" i="7"/>
  <c r="R1581" i="7"/>
  <c r="R1580" i="7"/>
  <c r="R1579" i="7"/>
  <c r="R1578" i="7"/>
  <c r="R1577" i="7"/>
  <c r="R1576" i="7"/>
  <c r="R1575" i="7"/>
  <c r="R1574" i="7"/>
  <c r="R1573" i="7"/>
  <c r="R1572" i="7"/>
  <c r="R1571" i="7"/>
  <c r="R1570" i="7"/>
  <c r="R1569" i="7"/>
  <c r="R1568" i="7"/>
  <c r="R1567" i="7"/>
  <c r="R1566" i="7"/>
  <c r="R1565" i="7"/>
  <c r="R1564" i="7"/>
  <c r="R1563" i="7"/>
  <c r="R1562" i="7"/>
  <c r="R1561" i="7"/>
  <c r="R1560" i="7"/>
  <c r="R1559" i="7"/>
  <c r="R1558" i="7"/>
  <c r="R1557" i="7"/>
  <c r="R1556" i="7"/>
  <c r="R1555" i="7"/>
  <c r="R1554" i="7"/>
  <c r="R1552" i="7"/>
  <c r="R1551" i="7"/>
  <c r="R1550" i="7"/>
  <c r="R1549" i="7"/>
  <c r="R1548" i="7"/>
  <c r="R1547" i="7"/>
  <c r="R1546" i="7"/>
  <c r="R1545" i="7"/>
  <c r="R1544" i="7"/>
  <c r="R1543" i="7"/>
  <c r="R1542" i="7"/>
  <c r="R1541" i="7"/>
  <c r="R1540" i="7"/>
  <c r="R1539" i="7"/>
  <c r="R1538" i="7"/>
  <c r="R1537" i="7"/>
  <c r="R1536" i="7"/>
  <c r="R1535" i="7"/>
  <c r="R1534" i="7"/>
  <c r="R1533" i="7"/>
  <c r="R1532" i="7"/>
  <c r="R1531" i="7"/>
  <c r="R1530" i="7"/>
  <c r="R1529" i="7"/>
  <c r="R1528" i="7"/>
  <c r="R1527" i="7"/>
  <c r="R1526" i="7"/>
  <c r="R1525" i="7"/>
  <c r="R1524" i="7"/>
  <c r="R1523" i="7"/>
  <c r="R1522" i="7"/>
  <c r="R1521" i="7"/>
  <c r="R1520" i="7"/>
  <c r="R1519" i="7"/>
  <c r="R1518" i="7"/>
  <c r="R1517" i="7"/>
  <c r="R1516" i="7"/>
  <c r="R1515" i="7"/>
  <c r="R1514" i="7"/>
  <c r="R1513" i="7"/>
  <c r="R1512" i="7"/>
  <c r="R1511" i="7"/>
  <c r="R1510" i="7"/>
  <c r="R1509" i="7"/>
  <c r="R1508" i="7"/>
  <c r="R1507" i="7"/>
  <c r="R1506" i="7"/>
  <c r="R1505" i="7"/>
  <c r="R1504" i="7"/>
  <c r="R1503" i="7"/>
  <c r="R1502" i="7"/>
  <c r="R1501" i="7"/>
  <c r="R1500" i="7"/>
  <c r="R1499" i="7"/>
  <c r="R1498" i="7"/>
  <c r="R1497" i="7"/>
  <c r="R1496" i="7"/>
  <c r="R1495" i="7"/>
  <c r="R1494" i="7"/>
  <c r="R1493" i="7"/>
  <c r="R1492" i="7"/>
  <c r="R1491" i="7"/>
  <c r="R1490" i="7"/>
  <c r="R1489" i="7"/>
  <c r="R1488" i="7"/>
  <c r="R1487" i="7"/>
  <c r="R1486" i="7"/>
  <c r="R1485" i="7"/>
  <c r="R1484" i="7"/>
  <c r="R1483" i="7"/>
  <c r="R1482" i="7"/>
  <c r="R1481" i="7"/>
  <c r="R1480" i="7"/>
  <c r="R1479" i="7"/>
  <c r="R1478" i="7"/>
  <c r="R1477" i="7"/>
  <c r="R1475" i="7"/>
  <c r="R1474" i="7"/>
  <c r="R1473" i="7"/>
  <c r="R1472" i="7"/>
  <c r="R1471" i="7"/>
  <c r="R1470" i="7"/>
  <c r="R1469" i="7"/>
  <c r="R1468" i="7"/>
  <c r="R1467" i="7"/>
  <c r="R1466" i="7"/>
  <c r="R1465" i="7"/>
  <c r="R1464" i="7"/>
  <c r="R1463" i="7"/>
  <c r="R1462" i="7"/>
  <c r="R1461" i="7"/>
  <c r="R1460" i="7"/>
  <c r="R1459" i="7"/>
  <c r="R1458" i="7"/>
  <c r="R1457" i="7"/>
  <c r="R1456" i="7"/>
  <c r="R1455" i="7"/>
  <c r="R1454" i="7"/>
  <c r="R1453" i="7"/>
  <c r="R1452" i="7"/>
  <c r="R1451" i="7"/>
  <c r="R1450" i="7"/>
  <c r="R1449" i="7"/>
  <c r="R1448" i="7"/>
  <c r="R1447" i="7"/>
  <c r="R1446" i="7"/>
  <c r="R1445" i="7"/>
  <c r="R1444" i="7"/>
  <c r="R1443" i="7"/>
  <c r="R1442" i="7"/>
  <c r="R1441" i="7"/>
  <c r="R1440" i="7"/>
  <c r="R1439" i="7"/>
  <c r="R1438" i="7"/>
  <c r="R1437" i="7"/>
  <c r="R1436" i="7"/>
  <c r="R1435" i="7"/>
  <c r="R1434" i="7"/>
  <c r="R1433" i="7"/>
  <c r="R1432" i="7"/>
  <c r="R1431" i="7"/>
  <c r="R1430" i="7"/>
  <c r="R1429" i="7"/>
  <c r="R1427" i="7"/>
  <c r="R1426" i="7"/>
  <c r="R1425" i="7"/>
  <c r="R1424" i="7"/>
  <c r="R1423" i="7"/>
  <c r="R1422" i="7"/>
  <c r="R1421" i="7"/>
  <c r="R1420" i="7"/>
  <c r="R1419" i="7"/>
  <c r="R1418" i="7"/>
  <c r="R1417" i="7"/>
  <c r="R1416" i="7"/>
  <c r="R1415" i="7"/>
  <c r="R1414" i="7"/>
  <c r="R1413" i="7"/>
  <c r="R1412" i="7"/>
  <c r="R1411" i="7"/>
  <c r="R1410" i="7"/>
  <c r="R1409" i="7"/>
  <c r="R1408" i="7"/>
  <c r="R1407" i="7"/>
  <c r="R1406" i="7"/>
  <c r="R1405" i="7"/>
  <c r="R1404" i="7"/>
  <c r="R1403" i="7"/>
  <c r="R1402" i="7"/>
  <c r="R1401" i="7"/>
  <c r="R1400" i="7"/>
  <c r="R1399" i="7"/>
  <c r="R1398" i="7"/>
  <c r="R1397" i="7"/>
  <c r="R1396" i="7"/>
  <c r="R1395" i="7"/>
  <c r="R1394" i="7"/>
  <c r="R1393" i="7"/>
  <c r="R1392" i="7"/>
  <c r="R1391" i="7"/>
  <c r="R1390" i="7"/>
  <c r="R1389" i="7"/>
  <c r="R1388" i="7"/>
  <c r="R1387" i="7"/>
  <c r="R1386" i="7"/>
  <c r="R1385" i="7"/>
  <c r="R1384" i="7"/>
  <c r="R1383" i="7"/>
  <c r="R1382" i="7"/>
  <c r="R1381" i="7"/>
  <c r="R1380" i="7"/>
  <c r="R1379" i="7"/>
  <c r="R1378" i="7"/>
  <c r="R1377" i="7"/>
  <c r="R1376" i="7"/>
  <c r="R1375" i="7"/>
  <c r="R1374" i="7"/>
  <c r="R1373" i="7"/>
  <c r="R1372" i="7"/>
  <c r="R1371" i="7"/>
  <c r="R1370" i="7"/>
  <c r="R1369" i="7"/>
  <c r="R1368" i="7"/>
  <c r="R1367" i="7"/>
  <c r="R1366" i="7"/>
  <c r="R1365" i="7"/>
  <c r="R1364" i="7"/>
  <c r="R1363" i="7"/>
  <c r="R1362" i="7"/>
  <c r="R1361" i="7"/>
  <c r="R1360" i="7"/>
  <c r="R1359" i="7"/>
  <c r="R1358" i="7"/>
  <c r="R1357" i="7"/>
  <c r="R1356" i="7"/>
  <c r="R1355" i="7"/>
  <c r="R1354" i="7"/>
  <c r="R1353" i="7"/>
  <c r="R1352" i="7"/>
  <c r="R1351" i="7"/>
  <c r="R1350" i="7"/>
  <c r="R1349" i="7"/>
  <c r="R1348" i="7"/>
  <c r="R1347" i="7"/>
  <c r="R1346" i="7"/>
  <c r="R1345" i="7"/>
  <c r="R1344" i="7"/>
  <c r="R1343" i="7"/>
  <c r="R1342" i="7"/>
  <c r="R1341" i="7"/>
  <c r="R1340" i="7"/>
  <c r="R1339" i="7"/>
  <c r="R1338" i="7"/>
  <c r="R1337" i="7"/>
  <c r="R1336" i="7"/>
  <c r="R1335" i="7"/>
  <c r="R1334" i="7"/>
  <c r="R1333" i="7"/>
  <c r="R1332" i="7"/>
  <c r="R1331" i="7"/>
  <c r="R1330" i="7"/>
  <c r="R1329" i="7"/>
  <c r="R1328" i="7"/>
  <c r="R1327" i="7"/>
  <c r="R1326" i="7"/>
  <c r="R1325" i="7"/>
  <c r="R1324" i="7"/>
  <c r="R1323" i="7"/>
  <c r="R1322" i="7"/>
  <c r="R1321" i="7"/>
  <c r="R1320" i="7"/>
  <c r="R1319" i="7"/>
  <c r="R1318" i="7"/>
  <c r="R1317" i="7"/>
  <c r="R1316" i="7"/>
  <c r="R1315" i="7"/>
  <c r="R1314" i="7"/>
  <c r="R1313" i="7"/>
  <c r="R1312" i="7"/>
  <c r="R1311" i="7"/>
  <c r="R1310" i="7"/>
  <c r="R1309" i="7"/>
  <c r="R1308" i="7"/>
  <c r="R1307" i="7"/>
  <c r="R1306" i="7"/>
  <c r="R1305" i="7"/>
  <c r="R1304" i="7"/>
  <c r="R1303" i="7"/>
  <c r="R1302" i="7"/>
  <c r="R1301" i="7"/>
  <c r="R1300" i="7"/>
  <c r="R1299" i="7"/>
  <c r="R1298" i="7"/>
  <c r="R1297" i="7"/>
  <c r="R1296" i="7"/>
  <c r="R1295" i="7"/>
  <c r="R1294" i="7"/>
  <c r="R1293" i="7"/>
  <c r="R1292" i="7"/>
  <c r="R1291" i="7"/>
  <c r="R1290" i="7"/>
  <c r="R1289" i="7"/>
  <c r="R1288" i="7"/>
  <c r="R1287" i="7"/>
  <c r="R1286" i="7"/>
  <c r="R1285" i="7"/>
  <c r="R1284" i="7"/>
  <c r="R1283" i="7"/>
  <c r="R1282" i="7"/>
  <c r="R1281" i="7"/>
  <c r="R1280" i="7"/>
  <c r="R1279" i="7"/>
  <c r="R1278" i="7"/>
  <c r="R1277" i="7"/>
  <c r="R1276" i="7"/>
  <c r="R1275" i="7"/>
  <c r="R1274" i="7"/>
  <c r="R1273" i="7"/>
  <c r="R1272" i="7"/>
  <c r="R1271" i="7"/>
  <c r="R1270" i="7"/>
  <c r="R1269" i="7"/>
  <c r="R1268" i="7"/>
  <c r="R1267" i="7"/>
  <c r="R1266" i="7"/>
  <c r="R1265" i="7"/>
  <c r="R1264" i="7"/>
  <c r="R1263" i="7"/>
  <c r="R1262" i="7"/>
  <c r="R1261" i="7"/>
  <c r="R1260" i="7"/>
  <c r="R1259" i="7"/>
  <c r="R1258" i="7"/>
  <c r="R1257" i="7"/>
  <c r="R1256" i="7"/>
  <c r="R1255" i="7"/>
  <c r="R1254" i="7"/>
  <c r="R1253" i="7"/>
  <c r="R1252" i="7"/>
  <c r="R1251" i="7"/>
  <c r="R1250" i="7"/>
  <c r="R1249" i="7"/>
  <c r="R1248" i="7"/>
  <c r="R1247" i="7"/>
  <c r="R1246" i="7"/>
  <c r="R1245" i="7"/>
  <c r="R1244" i="7"/>
  <c r="R1243" i="7"/>
  <c r="R1242" i="7"/>
  <c r="R1241" i="7"/>
  <c r="R1240" i="7"/>
  <c r="R1239" i="7"/>
  <c r="R1238" i="7"/>
  <c r="R1237" i="7"/>
  <c r="R1236" i="7"/>
  <c r="R1235" i="7"/>
  <c r="R1234" i="7"/>
  <c r="R1233" i="7"/>
  <c r="R1232" i="7"/>
  <c r="R1231" i="7"/>
  <c r="R1230" i="7"/>
  <c r="R1229" i="7"/>
  <c r="R1228" i="7"/>
  <c r="R1227" i="7"/>
  <c r="R1226" i="7"/>
  <c r="R1225" i="7"/>
  <c r="R1224" i="7"/>
  <c r="R1223" i="7"/>
  <c r="R1222" i="7"/>
  <c r="R1221" i="7"/>
  <c r="R1220" i="7"/>
  <c r="R1219" i="7"/>
  <c r="R1218" i="7"/>
  <c r="R1217" i="7"/>
  <c r="R1216" i="7"/>
  <c r="R1215" i="7"/>
  <c r="R1214" i="7"/>
  <c r="R1213" i="7"/>
  <c r="R1212" i="7"/>
  <c r="R1211" i="7"/>
  <c r="R1210" i="7"/>
  <c r="R1209" i="7"/>
  <c r="R1208" i="7"/>
  <c r="R1207" i="7"/>
  <c r="R1206" i="7"/>
  <c r="R1205" i="7"/>
  <c r="R1204" i="7"/>
  <c r="R1203" i="7"/>
  <c r="R1202" i="7"/>
  <c r="R1201" i="7"/>
  <c r="R1200" i="7"/>
  <c r="R1199" i="7"/>
  <c r="R1198" i="7"/>
  <c r="R1197" i="7"/>
  <c r="R1196" i="7"/>
  <c r="R1195" i="7"/>
  <c r="R1194" i="7"/>
  <c r="R1193" i="7"/>
  <c r="R1192" i="7"/>
  <c r="R1191" i="7"/>
  <c r="R1190" i="7"/>
  <c r="R1189" i="7"/>
  <c r="R1188" i="7"/>
  <c r="R1187" i="7"/>
  <c r="R1186" i="7"/>
  <c r="R1185" i="7"/>
  <c r="R1184" i="7"/>
  <c r="R1183" i="7"/>
  <c r="R1182" i="7"/>
  <c r="R1181" i="7"/>
  <c r="R1180" i="7"/>
  <c r="R1179" i="7"/>
  <c r="R1178" i="7"/>
  <c r="R1177" i="7"/>
  <c r="R1176" i="7"/>
  <c r="R1175" i="7"/>
  <c r="R1174" i="7"/>
  <c r="R1173" i="7"/>
  <c r="R1172" i="7"/>
  <c r="R1171" i="7"/>
  <c r="R1170" i="7"/>
  <c r="R1169" i="7"/>
  <c r="R1168" i="7"/>
  <c r="R1167" i="7"/>
  <c r="R1166" i="7"/>
  <c r="R1165" i="7"/>
  <c r="R1164" i="7"/>
  <c r="R1163" i="7"/>
  <c r="R1162" i="7"/>
  <c r="R1161" i="7"/>
  <c r="R1160" i="7"/>
  <c r="R1159" i="7"/>
  <c r="R1158" i="7"/>
  <c r="R1157" i="7"/>
  <c r="R1156" i="7"/>
  <c r="R1155" i="7"/>
  <c r="R1154" i="7"/>
  <c r="R1153" i="7"/>
  <c r="R1152" i="7"/>
  <c r="R1151" i="7"/>
  <c r="R1150" i="7"/>
  <c r="R1149" i="7"/>
  <c r="R1148" i="7"/>
  <c r="R1147" i="7"/>
  <c r="R1146" i="7"/>
  <c r="R1145" i="7"/>
  <c r="R1144" i="7"/>
  <c r="R1143" i="7"/>
  <c r="R1142" i="7"/>
  <c r="R1141" i="7"/>
  <c r="R1140" i="7"/>
  <c r="R1139" i="7"/>
  <c r="R1138" i="7"/>
  <c r="R1137" i="7"/>
  <c r="R1136" i="7"/>
  <c r="R1135" i="7"/>
  <c r="R1134" i="7"/>
  <c r="R1133" i="7"/>
  <c r="R1132" i="7"/>
  <c r="R1131" i="7"/>
  <c r="R1130" i="7"/>
  <c r="R1129" i="7"/>
  <c r="R1128" i="7"/>
  <c r="R1127" i="7"/>
  <c r="R1126" i="7"/>
  <c r="R1125" i="7"/>
  <c r="R1124" i="7"/>
  <c r="R1123" i="7"/>
  <c r="R1122" i="7"/>
  <c r="R1121" i="7"/>
  <c r="R1120" i="7"/>
  <c r="R1119" i="7"/>
  <c r="R1118" i="7"/>
  <c r="R1117" i="7"/>
  <c r="R1116" i="7"/>
  <c r="R1115" i="7"/>
  <c r="R1114" i="7"/>
  <c r="R1113" i="7"/>
  <c r="R1112" i="7"/>
  <c r="R1111" i="7"/>
  <c r="R1110" i="7"/>
  <c r="R1109" i="7"/>
  <c r="R1108" i="7"/>
  <c r="R1107" i="7"/>
  <c r="R1106" i="7"/>
  <c r="R1105" i="7"/>
  <c r="R1104" i="7"/>
  <c r="R1103" i="7"/>
  <c r="R1102" i="7"/>
  <c r="R1101" i="7"/>
  <c r="R1100" i="7"/>
  <c r="R1099" i="7"/>
  <c r="R1098" i="7"/>
  <c r="R1097" i="7"/>
  <c r="R1096" i="7"/>
  <c r="R1095" i="7"/>
  <c r="R1094" i="7"/>
  <c r="R1093" i="7"/>
  <c r="R1092" i="7"/>
  <c r="R1091" i="7"/>
  <c r="R1090" i="7"/>
  <c r="R1089" i="7"/>
  <c r="R1088" i="7"/>
  <c r="R1087" i="7"/>
  <c r="R1086" i="7"/>
  <c r="R1085" i="7"/>
  <c r="R1084" i="7"/>
  <c r="R1083" i="7"/>
  <c r="R1082" i="7"/>
  <c r="R1081" i="7"/>
  <c r="R1080" i="7"/>
  <c r="R1079" i="7"/>
  <c r="R1078" i="7"/>
  <c r="R1077" i="7"/>
  <c r="R1076" i="7"/>
  <c r="R1075" i="7"/>
  <c r="R1074" i="7"/>
  <c r="R1073" i="7"/>
  <c r="R1072" i="7"/>
  <c r="R1071" i="7"/>
  <c r="R1070" i="7"/>
  <c r="R1069" i="7"/>
  <c r="R1068" i="7"/>
  <c r="R1067" i="7"/>
  <c r="R1066" i="7"/>
  <c r="R1065" i="7"/>
  <c r="R1064" i="7"/>
  <c r="R1063" i="7"/>
  <c r="R1062" i="7"/>
  <c r="R1061" i="7"/>
  <c r="R1060" i="7"/>
  <c r="R1059" i="7"/>
  <c r="R1058" i="7"/>
  <c r="R1057" i="7"/>
  <c r="R1056" i="7"/>
  <c r="R1055" i="7"/>
  <c r="R1054" i="7"/>
  <c r="R1053" i="7"/>
  <c r="R1052" i="7"/>
  <c r="R1051" i="7"/>
  <c r="R1050" i="7"/>
  <c r="R1049" i="7"/>
  <c r="R1048" i="7"/>
  <c r="R1047" i="7"/>
  <c r="R1046" i="7"/>
  <c r="R1045" i="7"/>
  <c r="R1044" i="7"/>
  <c r="R1043" i="7"/>
  <c r="R1042" i="7"/>
  <c r="R1041" i="7"/>
  <c r="R1040" i="7"/>
  <c r="R1039" i="7"/>
  <c r="R1038" i="7"/>
  <c r="R1037" i="7"/>
  <c r="R1036" i="7"/>
  <c r="R1035" i="7"/>
  <c r="R1034" i="7"/>
  <c r="R1033" i="7"/>
  <c r="R1032" i="7"/>
  <c r="R1031" i="7"/>
  <c r="R1030" i="7"/>
  <c r="R1029" i="7"/>
  <c r="R1028" i="7"/>
  <c r="R1027" i="7"/>
  <c r="R1026" i="7"/>
  <c r="R1025" i="7"/>
  <c r="R1024" i="7"/>
  <c r="R1023" i="7"/>
  <c r="R1022" i="7"/>
  <c r="R1021" i="7"/>
  <c r="R1020" i="7"/>
  <c r="R1019" i="7"/>
  <c r="R1018" i="7"/>
  <c r="R1017" i="7"/>
  <c r="R1016" i="7"/>
  <c r="R1015" i="7"/>
  <c r="R1014" i="7"/>
  <c r="R1013" i="7"/>
  <c r="R1012" i="7"/>
  <c r="R1011" i="7"/>
  <c r="R1010" i="7"/>
  <c r="R1009" i="7"/>
  <c r="R1008" i="7"/>
  <c r="R1007" i="7"/>
  <c r="R1006" i="7"/>
  <c r="R1005" i="7"/>
  <c r="R1004" i="7"/>
  <c r="R1003" i="7"/>
  <c r="R1002" i="7"/>
  <c r="R1001" i="7"/>
  <c r="R1000" i="7"/>
  <c r="R999" i="7"/>
  <c r="R998" i="7"/>
  <c r="R997" i="7"/>
  <c r="R996" i="7"/>
  <c r="R995" i="7"/>
  <c r="R994" i="7"/>
  <c r="R993" i="7"/>
  <c r="R992" i="7"/>
  <c r="R991" i="7"/>
  <c r="R990" i="7"/>
  <c r="R989" i="7"/>
  <c r="R988" i="7"/>
  <c r="R987" i="7"/>
  <c r="R986" i="7"/>
  <c r="R985" i="7"/>
  <c r="R984" i="7"/>
  <c r="R983" i="7"/>
  <c r="R982" i="7"/>
  <c r="R981" i="7"/>
  <c r="R980" i="7"/>
  <c r="R979" i="7"/>
  <c r="R978" i="7"/>
  <c r="R977" i="7"/>
  <c r="R976" i="7"/>
  <c r="R975" i="7"/>
  <c r="R974" i="7"/>
  <c r="R973" i="7"/>
  <c r="R972" i="7"/>
  <c r="R971" i="7"/>
  <c r="R970" i="7"/>
  <c r="R969" i="7"/>
  <c r="R968" i="7"/>
  <c r="R967" i="7"/>
  <c r="R966" i="7"/>
  <c r="R965" i="7"/>
  <c r="R964" i="7"/>
  <c r="R963" i="7"/>
  <c r="R962" i="7"/>
  <c r="R961" i="7"/>
  <c r="R960" i="7"/>
  <c r="R959" i="7"/>
  <c r="R958" i="7"/>
  <c r="R957" i="7"/>
  <c r="R956" i="7"/>
  <c r="R955" i="7"/>
  <c r="R954" i="7"/>
  <c r="R953" i="7"/>
  <c r="R952" i="7"/>
  <c r="R951" i="7"/>
  <c r="R950" i="7"/>
  <c r="R949" i="7"/>
  <c r="R948" i="7"/>
  <c r="R947" i="7"/>
  <c r="R946" i="7"/>
  <c r="R945" i="7"/>
  <c r="R944" i="7"/>
  <c r="R943" i="7"/>
  <c r="R942" i="7"/>
  <c r="R941" i="7"/>
  <c r="R940" i="7"/>
  <c r="R939" i="7"/>
  <c r="R938" i="7"/>
  <c r="R937" i="7"/>
  <c r="R936" i="7"/>
  <c r="R935" i="7"/>
  <c r="R934" i="7"/>
  <c r="R933" i="7"/>
  <c r="R932" i="7"/>
  <c r="R931" i="7"/>
  <c r="R930" i="7"/>
  <c r="R929" i="7"/>
  <c r="R928" i="7"/>
  <c r="R927" i="7"/>
  <c r="R926" i="7"/>
  <c r="R925" i="7"/>
  <c r="R924" i="7"/>
  <c r="R923" i="7"/>
  <c r="R922" i="7"/>
  <c r="R921" i="7"/>
  <c r="R920" i="7"/>
  <c r="R919" i="7"/>
  <c r="R918" i="7"/>
  <c r="R917" i="7"/>
  <c r="R916" i="7"/>
  <c r="R915" i="7"/>
  <c r="R914" i="7"/>
  <c r="R913" i="7"/>
  <c r="R912" i="7"/>
  <c r="R911" i="7"/>
  <c r="R910" i="7"/>
  <c r="R909" i="7"/>
  <c r="R908" i="7"/>
  <c r="R907" i="7"/>
  <c r="R906" i="7"/>
  <c r="R905" i="7"/>
  <c r="R904" i="7"/>
  <c r="R903" i="7"/>
  <c r="R902" i="7"/>
  <c r="R901" i="7"/>
  <c r="R900" i="7"/>
  <c r="R899" i="7"/>
  <c r="R898" i="7"/>
  <c r="R897" i="7"/>
  <c r="R896" i="7"/>
  <c r="R895" i="7"/>
  <c r="R894" i="7"/>
  <c r="R893" i="7"/>
  <c r="R892" i="7"/>
  <c r="R891" i="7"/>
  <c r="R890" i="7"/>
  <c r="R889" i="7"/>
  <c r="R888" i="7"/>
  <c r="R887" i="7"/>
  <c r="R886" i="7"/>
  <c r="R885" i="7"/>
  <c r="R884" i="7"/>
  <c r="R883" i="7"/>
  <c r="R882" i="7"/>
  <c r="R881" i="7"/>
  <c r="R880" i="7"/>
  <c r="R879" i="7"/>
  <c r="R878" i="7"/>
  <c r="R877" i="7"/>
  <c r="R876" i="7"/>
  <c r="R875" i="7"/>
  <c r="R874" i="7"/>
  <c r="R873" i="7"/>
  <c r="R872" i="7"/>
  <c r="R871" i="7"/>
  <c r="R870" i="7"/>
  <c r="R869" i="7"/>
  <c r="R868" i="7"/>
  <c r="R867" i="7"/>
  <c r="R866" i="7"/>
  <c r="R865" i="7"/>
  <c r="R864" i="7"/>
  <c r="R863" i="7"/>
  <c r="R862" i="7"/>
  <c r="R861" i="7"/>
  <c r="R860" i="7"/>
  <c r="R859" i="7"/>
  <c r="R858" i="7"/>
  <c r="R857" i="7"/>
  <c r="R856" i="7"/>
  <c r="R855" i="7"/>
  <c r="R854" i="7"/>
  <c r="R853" i="7"/>
  <c r="R852" i="7"/>
  <c r="R851" i="7"/>
  <c r="R850" i="7"/>
  <c r="R849" i="7"/>
  <c r="R848" i="7"/>
  <c r="R847" i="7"/>
  <c r="R846" i="7"/>
  <c r="R845" i="7"/>
  <c r="R844" i="7"/>
  <c r="R843" i="7"/>
  <c r="R842" i="7"/>
  <c r="R841" i="7"/>
  <c r="R840" i="7"/>
  <c r="R839" i="7"/>
  <c r="R838" i="7"/>
  <c r="R837" i="7"/>
  <c r="R836" i="7"/>
  <c r="R835" i="7"/>
  <c r="R834" i="7"/>
  <c r="R833" i="7"/>
  <c r="R832" i="7"/>
  <c r="R831" i="7"/>
  <c r="R830" i="7"/>
  <c r="R829" i="7"/>
  <c r="R828" i="7"/>
  <c r="R827" i="7"/>
  <c r="R826" i="7"/>
  <c r="R825" i="7"/>
  <c r="R824" i="7"/>
  <c r="R823" i="7"/>
  <c r="R822" i="7"/>
  <c r="R821" i="7"/>
  <c r="R820" i="7"/>
  <c r="R819" i="7"/>
  <c r="R818" i="7"/>
  <c r="R817" i="7"/>
  <c r="R816" i="7"/>
  <c r="R815" i="7"/>
  <c r="R814" i="7"/>
  <c r="R813" i="7"/>
  <c r="R812" i="7"/>
  <c r="R811" i="7"/>
  <c r="R810" i="7"/>
  <c r="R809" i="7"/>
  <c r="R808" i="7"/>
  <c r="R807" i="7"/>
  <c r="R806" i="7"/>
  <c r="R805" i="7"/>
  <c r="R804" i="7"/>
  <c r="R803" i="7"/>
  <c r="R802" i="7"/>
  <c r="R801" i="7"/>
  <c r="R800" i="7"/>
  <c r="R799" i="7"/>
  <c r="R798" i="7"/>
  <c r="R797" i="7"/>
  <c r="R796" i="7"/>
  <c r="R795" i="7"/>
  <c r="R794" i="7"/>
  <c r="R793" i="7"/>
  <c r="R792" i="7"/>
  <c r="R791" i="7"/>
  <c r="R790" i="7"/>
  <c r="R789" i="7"/>
  <c r="R788" i="7"/>
  <c r="R787" i="7"/>
  <c r="R786" i="7"/>
  <c r="R785" i="7"/>
  <c r="R784" i="7"/>
  <c r="R783" i="7"/>
  <c r="R782" i="7"/>
  <c r="R781" i="7"/>
  <c r="R780" i="7"/>
  <c r="R779" i="7"/>
  <c r="R778" i="7"/>
  <c r="R777" i="7"/>
  <c r="R776" i="7"/>
  <c r="R775" i="7"/>
  <c r="R774" i="7"/>
  <c r="R773" i="7"/>
  <c r="R772" i="7"/>
  <c r="R771" i="7"/>
  <c r="R770" i="7"/>
  <c r="R769" i="7"/>
  <c r="R768" i="7"/>
  <c r="R767" i="7"/>
  <c r="R766" i="7"/>
  <c r="R765" i="7"/>
  <c r="R764" i="7"/>
  <c r="R763" i="7"/>
  <c r="R762" i="7"/>
  <c r="R761" i="7"/>
  <c r="R760" i="7"/>
  <c r="R759" i="7"/>
  <c r="R758" i="7"/>
  <c r="R757" i="7"/>
  <c r="R756" i="7"/>
  <c r="R755" i="7"/>
  <c r="R754" i="7"/>
  <c r="R753" i="7"/>
  <c r="R752" i="7"/>
  <c r="R751" i="7"/>
  <c r="R750" i="7"/>
  <c r="R749" i="7"/>
  <c r="R748" i="7"/>
  <c r="R747" i="7"/>
  <c r="R746" i="7"/>
  <c r="R745" i="7"/>
  <c r="R744" i="7"/>
  <c r="R743" i="7"/>
  <c r="R742" i="7"/>
  <c r="R741" i="7"/>
  <c r="R740" i="7"/>
  <c r="R739" i="7"/>
  <c r="R738" i="7"/>
  <c r="R737" i="7"/>
  <c r="R736" i="7"/>
  <c r="R735" i="7"/>
  <c r="R734" i="7"/>
  <c r="R733" i="7"/>
  <c r="R732" i="7"/>
  <c r="R731" i="7"/>
  <c r="R730" i="7"/>
  <c r="R729" i="7"/>
  <c r="R728" i="7"/>
  <c r="R727" i="7"/>
  <c r="R726" i="7"/>
  <c r="R725" i="7"/>
  <c r="R724" i="7"/>
  <c r="R723" i="7"/>
  <c r="R722" i="7"/>
  <c r="R721" i="7"/>
  <c r="R720" i="7"/>
  <c r="R719" i="7"/>
  <c r="R718" i="7"/>
  <c r="R717" i="7"/>
  <c r="R716" i="7"/>
  <c r="R715" i="7"/>
  <c r="R714" i="7"/>
  <c r="R713" i="7"/>
  <c r="R712" i="7"/>
  <c r="R711" i="7"/>
  <c r="R710" i="7"/>
  <c r="R709" i="7"/>
  <c r="R708" i="7"/>
  <c r="R707" i="7"/>
  <c r="R706" i="7"/>
  <c r="R705" i="7"/>
  <c r="R704" i="7"/>
  <c r="R703" i="7"/>
  <c r="R702" i="7"/>
  <c r="R701" i="7"/>
  <c r="R700" i="7"/>
  <c r="R699" i="7"/>
  <c r="R698" i="7"/>
  <c r="R697" i="7"/>
  <c r="R696" i="7"/>
  <c r="R695" i="7"/>
  <c r="R694" i="7"/>
  <c r="R693" i="7"/>
  <c r="R692" i="7"/>
  <c r="R691" i="7"/>
  <c r="R690" i="7"/>
  <c r="R689" i="7"/>
  <c r="R688" i="7"/>
  <c r="R687" i="7"/>
  <c r="R686" i="7"/>
  <c r="R685" i="7"/>
  <c r="R684" i="7"/>
  <c r="R683" i="7"/>
  <c r="R682" i="7"/>
  <c r="R681" i="7"/>
  <c r="R680" i="7"/>
  <c r="R679" i="7"/>
  <c r="R678" i="7"/>
  <c r="R677" i="7"/>
  <c r="R676" i="7"/>
  <c r="R675" i="7"/>
  <c r="R674" i="7"/>
  <c r="R673" i="7"/>
  <c r="R672" i="7"/>
  <c r="R670" i="7"/>
  <c r="R669" i="7"/>
  <c r="R668" i="7"/>
  <c r="R667" i="7"/>
  <c r="R666" i="7"/>
  <c r="R665" i="7"/>
  <c r="R664" i="7"/>
  <c r="R663" i="7"/>
  <c r="R662" i="7"/>
  <c r="R661" i="7"/>
  <c r="R660" i="7"/>
  <c r="R659" i="7"/>
  <c r="R658" i="7"/>
  <c r="R657" i="7"/>
  <c r="R656" i="7"/>
  <c r="R655" i="7"/>
  <c r="R654" i="7"/>
  <c r="R653" i="7"/>
  <c r="R652" i="7"/>
  <c r="R651" i="7"/>
  <c r="R650" i="7"/>
  <c r="R649" i="7"/>
  <c r="R648" i="7"/>
  <c r="R647" i="7"/>
  <c r="R646" i="7"/>
  <c r="R645" i="7"/>
  <c r="R644" i="7"/>
  <c r="R643" i="7"/>
  <c r="R642" i="7"/>
  <c r="R638" i="7"/>
  <c r="R637" i="7"/>
  <c r="R636" i="7"/>
  <c r="R635" i="7"/>
  <c r="R634" i="7"/>
  <c r="R633" i="7"/>
  <c r="R632" i="7"/>
  <c r="R631" i="7"/>
  <c r="R630" i="7"/>
  <c r="R629" i="7"/>
  <c r="R628" i="7"/>
  <c r="R627" i="7"/>
  <c r="R626" i="7"/>
  <c r="R624" i="7"/>
  <c r="R623" i="7"/>
  <c r="R622" i="7"/>
  <c r="R621" i="7"/>
  <c r="R620" i="7"/>
  <c r="R619" i="7"/>
  <c r="R618" i="7"/>
  <c r="R617" i="7"/>
  <c r="R616" i="7"/>
  <c r="R615" i="7"/>
  <c r="R614" i="7"/>
  <c r="R613" i="7"/>
  <c r="R612" i="7"/>
  <c r="R611" i="7"/>
  <c r="R610" i="7"/>
  <c r="R609" i="7"/>
  <c r="R608" i="7"/>
  <c r="R607" i="7"/>
  <c r="R606" i="7"/>
  <c r="R605" i="7"/>
  <c r="R604" i="7"/>
  <c r="R603" i="7"/>
  <c r="R602" i="7"/>
  <c r="R601" i="7"/>
  <c r="R600" i="7"/>
  <c r="R599" i="7"/>
  <c r="R598" i="7"/>
  <c r="R597" i="7"/>
  <c r="R596" i="7"/>
  <c r="R595" i="7"/>
  <c r="R594" i="7"/>
  <c r="R593" i="7"/>
  <c r="R592" i="7"/>
  <c r="R591" i="7"/>
  <c r="R590" i="7"/>
  <c r="R589" i="7"/>
  <c r="R588" i="7"/>
  <c r="R587" i="7"/>
  <c r="R586" i="7"/>
  <c r="R585" i="7"/>
  <c r="R584" i="7"/>
  <c r="R583" i="7"/>
  <c r="R582" i="7"/>
  <c r="R581" i="7"/>
  <c r="R580" i="7"/>
  <c r="R579" i="7"/>
  <c r="R578" i="7"/>
  <c r="R577" i="7"/>
  <c r="R576" i="7"/>
  <c r="R575" i="7"/>
  <c r="R574" i="7"/>
  <c r="R573" i="7"/>
  <c r="R572" i="7"/>
  <c r="R571" i="7"/>
  <c r="R570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5" i="7"/>
  <c r="R554" i="7"/>
  <c r="R553" i="7"/>
  <c r="R552" i="7"/>
  <c r="R551" i="7"/>
  <c r="R550" i="7"/>
  <c r="R548" i="7"/>
  <c r="R547" i="7"/>
  <c r="R546" i="7"/>
  <c r="R545" i="7"/>
  <c r="R544" i="7"/>
  <c r="R543" i="7"/>
  <c r="R542" i="7"/>
  <c r="R541" i="7"/>
  <c r="R540" i="7"/>
  <c r="R539" i="7"/>
  <c r="R538" i="7"/>
  <c r="R537" i="7"/>
  <c r="R536" i="7"/>
  <c r="R535" i="7"/>
  <c r="R534" i="7"/>
  <c r="R533" i="7"/>
  <c r="R532" i="7"/>
  <c r="R531" i="7"/>
  <c r="R530" i="7"/>
  <c r="R529" i="7"/>
  <c r="R528" i="7"/>
  <c r="R527" i="7"/>
  <c r="R526" i="7"/>
  <c r="R525" i="7"/>
  <c r="R524" i="7"/>
  <c r="R523" i="7"/>
  <c r="R522" i="7"/>
  <c r="R521" i="7"/>
  <c r="R520" i="7"/>
  <c r="R519" i="7"/>
  <c r="R517" i="7"/>
  <c r="R516" i="7"/>
  <c r="R515" i="7"/>
  <c r="R514" i="7"/>
  <c r="R513" i="7"/>
  <c r="R512" i="7"/>
  <c r="R511" i="7"/>
  <c r="R510" i="7"/>
  <c r="R508" i="7"/>
  <c r="R507" i="7"/>
  <c r="R506" i="7"/>
  <c r="R505" i="7"/>
  <c r="R504" i="7"/>
  <c r="R502" i="7"/>
  <c r="R501" i="7"/>
  <c r="R500" i="7"/>
  <c r="R499" i="7"/>
  <c r="R498" i="7"/>
  <c r="R497" i="7"/>
  <c r="R496" i="7"/>
  <c r="R495" i="7"/>
  <c r="R494" i="7"/>
  <c r="R493" i="7"/>
  <c r="R492" i="7"/>
  <c r="R491" i="7"/>
  <c r="R490" i="7"/>
  <c r="R489" i="7"/>
  <c r="R488" i="7"/>
  <c r="R487" i="7"/>
  <c r="R486" i="7"/>
  <c r="R485" i="7"/>
  <c r="R484" i="7"/>
  <c r="R483" i="7"/>
  <c r="R482" i="7"/>
  <c r="R481" i="7"/>
  <c r="R480" i="7"/>
  <c r="R479" i="7"/>
  <c r="R478" i="7"/>
  <c r="R477" i="7"/>
  <c r="R476" i="7"/>
  <c r="R475" i="7"/>
  <c r="R474" i="7"/>
  <c r="R473" i="7"/>
  <c r="R472" i="7"/>
  <c r="R471" i="7"/>
  <c r="R470" i="7"/>
  <c r="R469" i="7"/>
  <c r="R468" i="7"/>
  <c r="R467" i="7"/>
  <c r="R466" i="7"/>
  <c r="R465" i="7"/>
  <c r="R464" i="7"/>
  <c r="R463" i="7"/>
  <c r="R462" i="7"/>
  <c r="R461" i="7"/>
  <c r="R459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38" i="7"/>
  <c r="R437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414" i="7"/>
  <c r="R413" i="7"/>
  <c r="R412" i="7"/>
  <c r="R411" i="7"/>
  <c r="R410" i="7"/>
  <c r="R409" i="7"/>
  <c r="R408" i="7"/>
  <c r="R407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8" i="7"/>
  <c r="R387" i="7"/>
  <c r="R386" i="7"/>
  <c r="R385" i="7"/>
  <c r="R384" i="7"/>
  <c r="R383" i="7"/>
  <c r="R382" i="7"/>
  <c r="R381" i="7"/>
  <c r="R380" i="7"/>
  <c r="R379" i="7"/>
  <c r="R378" i="7"/>
  <c r="R377" i="7"/>
  <c r="R376" i="7"/>
  <c r="R375" i="7"/>
  <c r="R374" i="7"/>
  <c r="R373" i="7"/>
  <c r="R372" i="7"/>
  <c r="R371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38" i="7"/>
  <c r="R237" i="7"/>
  <c r="R236" i="7"/>
  <c r="R235" i="7"/>
  <c r="R234" i="7"/>
  <c r="R233" i="7"/>
  <c r="R232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2" i="7"/>
  <c r="Q1972" i="7"/>
  <c r="Q1971" i="7"/>
  <c r="Q1970" i="7"/>
  <c r="Q1969" i="7"/>
  <c r="Q1968" i="7"/>
  <c r="Q1967" i="7"/>
  <c r="Q1966" i="7"/>
  <c r="Q1965" i="7"/>
  <c r="Q1964" i="7"/>
  <c r="Q1963" i="7"/>
  <c r="Q1962" i="7"/>
  <c r="Q1961" i="7"/>
  <c r="Q1960" i="7"/>
  <c r="Q1959" i="7"/>
  <c r="Q1958" i="7"/>
  <c r="Q1957" i="7"/>
  <c r="Q1956" i="7"/>
  <c r="Q1955" i="7"/>
  <c r="Q1954" i="7"/>
  <c r="Q1953" i="7"/>
  <c r="Q1952" i="7"/>
  <c r="Q1951" i="7"/>
  <c r="Q1950" i="7"/>
  <c r="Q1949" i="7"/>
  <c r="Q1948" i="7"/>
  <c r="Q1947" i="7"/>
  <c r="Q1946" i="7"/>
  <c r="Q1945" i="7"/>
  <c r="Q1944" i="7"/>
  <c r="Q1943" i="7"/>
  <c r="Q1942" i="7"/>
  <c r="Q1941" i="7"/>
  <c r="Q1940" i="7"/>
  <c r="Q1939" i="7"/>
  <c r="Q1938" i="7"/>
  <c r="Q1937" i="7"/>
  <c r="Q1936" i="7"/>
  <c r="Q1935" i="7"/>
  <c r="Q1934" i="7"/>
  <c r="Q1933" i="7"/>
  <c r="Q1932" i="7"/>
  <c r="Q1931" i="7"/>
  <c r="Q1930" i="7"/>
  <c r="Q1929" i="7"/>
  <c r="Q1928" i="7"/>
  <c r="Q1927" i="7"/>
  <c r="Q1926" i="7"/>
  <c r="Q1925" i="7"/>
  <c r="Q1924" i="7"/>
  <c r="Q1923" i="7"/>
  <c r="Q1922" i="7"/>
  <c r="Q1921" i="7"/>
  <c r="Q1920" i="7"/>
  <c r="Q1919" i="7"/>
  <c r="Q1918" i="7"/>
  <c r="Q1917" i="7"/>
  <c r="Q1916" i="7"/>
  <c r="Q1915" i="7"/>
  <c r="Q1914" i="7"/>
  <c r="Q1913" i="7"/>
  <c r="Q1912" i="7"/>
  <c r="Q1911" i="7"/>
  <c r="Q1910" i="7"/>
  <c r="Q1909" i="7"/>
  <c r="Q1908" i="7"/>
  <c r="Q1907" i="7"/>
  <c r="Q1906" i="7"/>
  <c r="Q1905" i="7"/>
  <c r="Q1904" i="7"/>
  <c r="Q1903" i="7"/>
  <c r="Q1902" i="7"/>
  <c r="Q1901" i="7"/>
  <c r="Q1900" i="7"/>
  <c r="Q1899" i="7"/>
  <c r="Q1898" i="7"/>
  <c r="Q1897" i="7"/>
  <c r="Q1896" i="7"/>
  <c r="Q1895" i="7"/>
  <c r="Q1894" i="7"/>
  <c r="Q1893" i="7"/>
  <c r="Q1892" i="7"/>
  <c r="Q1891" i="7"/>
  <c r="Q1890" i="7"/>
  <c r="Q1889" i="7"/>
  <c r="Q1886" i="7"/>
  <c r="Q1885" i="7"/>
  <c r="Q1884" i="7"/>
  <c r="Q1883" i="7"/>
  <c r="Q1882" i="7"/>
  <c r="Q1881" i="7"/>
  <c r="Q1880" i="7"/>
  <c r="Q1879" i="7"/>
  <c r="Q1878" i="7"/>
  <c r="Q1877" i="7"/>
  <c r="Q1876" i="7"/>
  <c r="Q1875" i="7"/>
  <c r="Q1874" i="7"/>
  <c r="Q1873" i="7"/>
  <c r="Q1872" i="7"/>
  <c r="Q1871" i="7"/>
  <c r="Q1870" i="7"/>
  <c r="Q1869" i="7"/>
  <c r="Q1868" i="7"/>
  <c r="Q1867" i="7"/>
  <c r="Q1866" i="7"/>
  <c r="Q1865" i="7"/>
  <c r="Q1864" i="7"/>
  <c r="Q1863" i="7"/>
  <c r="Q1862" i="7"/>
  <c r="Q1861" i="7"/>
  <c r="Q1860" i="7"/>
  <c r="Q1859" i="7"/>
  <c r="Q1858" i="7"/>
  <c r="Q1857" i="7"/>
  <c r="Q1856" i="7"/>
  <c r="Q1855" i="7"/>
  <c r="Q1854" i="7"/>
  <c r="Q1853" i="7"/>
  <c r="Q1852" i="7"/>
  <c r="Q1851" i="7"/>
  <c r="Q1850" i="7"/>
  <c r="Q1849" i="7"/>
  <c r="Q1848" i="7"/>
  <c r="Q1847" i="7"/>
  <c r="Q1846" i="7"/>
  <c r="Q1845" i="7"/>
  <c r="Q1844" i="7"/>
  <c r="Q1843" i="7"/>
  <c r="Q1842" i="7"/>
  <c r="Q1840" i="7"/>
  <c r="Q1839" i="7"/>
  <c r="Q1838" i="7"/>
  <c r="Q1837" i="7"/>
  <c r="Q1836" i="7"/>
  <c r="Q1835" i="7"/>
  <c r="Q1834" i="7"/>
  <c r="Q1833" i="7"/>
  <c r="Q1832" i="7"/>
  <c r="Q1831" i="7"/>
  <c r="Q1830" i="7"/>
  <c r="Q1829" i="7"/>
  <c r="Q1828" i="7"/>
  <c r="Q1827" i="7"/>
  <c r="Q1826" i="7"/>
  <c r="Q1825" i="7"/>
  <c r="Q1824" i="7"/>
  <c r="Q1823" i="7"/>
  <c r="Q1822" i="7"/>
  <c r="Q1821" i="7"/>
  <c r="Q1820" i="7"/>
  <c r="Q1819" i="7"/>
  <c r="Q1818" i="7"/>
  <c r="Q1817" i="7"/>
  <c r="Q1816" i="7"/>
  <c r="Q1815" i="7"/>
  <c r="Q1814" i="7"/>
  <c r="Q1813" i="7"/>
  <c r="Q1812" i="7"/>
  <c r="Q1811" i="7"/>
  <c r="Q1810" i="7"/>
  <c r="Q1809" i="7"/>
  <c r="Q1808" i="7"/>
  <c r="Q1807" i="7"/>
  <c r="Q1806" i="7"/>
  <c r="Q1805" i="7"/>
  <c r="Q1804" i="7"/>
  <c r="Q1803" i="7"/>
  <c r="Q1802" i="7"/>
  <c r="Q1801" i="7"/>
  <c r="Q1800" i="7"/>
  <c r="Q1799" i="7"/>
  <c r="Q1798" i="7"/>
  <c r="Q1797" i="7"/>
  <c r="Q1796" i="7"/>
  <c r="Q1795" i="7"/>
  <c r="Q1794" i="7"/>
  <c r="Q1793" i="7"/>
  <c r="Q1789" i="7"/>
  <c r="Q1784" i="7"/>
  <c r="Q1783" i="7"/>
  <c r="Q1781" i="7"/>
  <c r="Q1780" i="7"/>
  <c r="Q1778" i="7"/>
  <c r="Q1776" i="7"/>
  <c r="Q1774" i="7"/>
  <c r="Q1773" i="7"/>
  <c r="Q1772" i="7"/>
  <c r="Q1771" i="7"/>
  <c r="Q1770" i="7"/>
  <c r="Q1769" i="7"/>
  <c r="Q1768" i="7"/>
  <c r="Q1767" i="7"/>
  <c r="Q1766" i="7"/>
  <c r="Q1763" i="7"/>
  <c r="Q1762" i="7"/>
  <c r="Q1761" i="7"/>
  <c r="Q1760" i="7"/>
  <c r="Q1759" i="7"/>
  <c r="Q1758" i="7"/>
  <c r="Q1755" i="7"/>
  <c r="Q1754" i="7"/>
  <c r="Q1750" i="7"/>
  <c r="Q1748" i="7"/>
  <c r="Q1743" i="7"/>
  <c r="Q1742" i="7"/>
  <c r="Q1740" i="7"/>
  <c r="Q1738" i="7"/>
  <c r="Q1736" i="7"/>
  <c r="Q1735" i="7"/>
  <c r="Q1734" i="7"/>
  <c r="Q1733" i="7"/>
  <c r="Q1732" i="7"/>
  <c r="Q1731" i="7"/>
  <c r="Q1730" i="7"/>
  <c r="Q1729" i="7"/>
  <c r="Q1726" i="7"/>
  <c r="Q1723" i="7"/>
  <c r="Q1717" i="7"/>
  <c r="Q1715" i="7"/>
  <c r="Q1714" i="7"/>
  <c r="Q1713" i="7"/>
  <c r="Q1712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5" i="7"/>
  <c r="Q1684" i="7"/>
  <c r="Q1683" i="7"/>
  <c r="Q1682" i="7"/>
  <c r="Q1681" i="7"/>
  <c r="Q1680" i="7"/>
  <c r="Q1679" i="7"/>
  <c r="Q1678" i="7"/>
  <c r="Q1677" i="7"/>
  <c r="Q1676" i="7"/>
  <c r="Q1675" i="7"/>
  <c r="Q1674" i="7"/>
  <c r="Q1673" i="7"/>
  <c r="Q1672" i="7"/>
  <c r="Q1671" i="7"/>
  <c r="Q1670" i="7"/>
  <c r="Q1669" i="7"/>
  <c r="Q1668" i="7"/>
  <c r="Q1667" i="7"/>
  <c r="Q1666" i="7"/>
  <c r="Q1665" i="7"/>
  <c r="Q1664" i="7"/>
  <c r="Q1663" i="7"/>
  <c r="Q1662" i="7"/>
  <c r="Q1661" i="7"/>
  <c r="Q1660" i="7"/>
  <c r="Q1659" i="7"/>
  <c r="Q1658" i="7"/>
  <c r="Q1657" i="7"/>
  <c r="Q1656" i="7"/>
  <c r="Q1655" i="7"/>
  <c r="Q1654" i="7"/>
  <c r="Q1653" i="7"/>
  <c r="Q1652" i="7"/>
  <c r="Q1651" i="7"/>
  <c r="Q1650" i="7"/>
  <c r="Q1649" i="7"/>
  <c r="Q1648" i="7"/>
  <c r="Q1647" i="7"/>
  <c r="Q1646" i="7"/>
  <c r="Q1645" i="7"/>
  <c r="Q1644" i="7"/>
  <c r="Q1643" i="7"/>
  <c r="Q1642" i="7"/>
  <c r="Q1641" i="7"/>
  <c r="Q1640" i="7"/>
  <c r="Q1639" i="7"/>
  <c r="Q1638" i="7"/>
  <c r="Q1637" i="7"/>
  <c r="Q1636" i="7"/>
  <c r="Q1635" i="7"/>
  <c r="Q1634" i="7"/>
  <c r="Q1633" i="7"/>
  <c r="Q1632" i="7"/>
  <c r="Q1631" i="7"/>
  <c r="Q1630" i="7"/>
  <c r="Q1629" i="7"/>
  <c r="Q1628" i="7"/>
  <c r="Q1627" i="7"/>
  <c r="Q1626" i="7"/>
  <c r="Q1625" i="7"/>
  <c r="Q1624" i="7"/>
  <c r="Q1623" i="7"/>
  <c r="Q1622" i="7"/>
  <c r="Q1621" i="7"/>
  <c r="Q1620" i="7"/>
  <c r="Q1619" i="7"/>
  <c r="Q1618" i="7"/>
  <c r="Q1617" i="7"/>
  <c r="Q1616" i="7"/>
  <c r="Q1615" i="7"/>
  <c r="Q1614" i="7"/>
  <c r="Q1613" i="7"/>
  <c r="Q1612" i="7"/>
  <c r="Q1611" i="7"/>
  <c r="Q1610" i="7"/>
  <c r="Q1609" i="7"/>
  <c r="Q1608" i="7"/>
  <c r="Q1607" i="7"/>
  <c r="Q1606" i="7"/>
  <c r="Q1605" i="7"/>
  <c r="Q1604" i="7"/>
  <c r="Q1603" i="7"/>
  <c r="Q1602" i="7"/>
  <c r="Q1601" i="7"/>
  <c r="Q1600" i="7"/>
  <c r="Q1599" i="7"/>
  <c r="Q1598" i="7"/>
  <c r="Q1597" i="7"/>
  <c r="Q1596" i="7"/>
  <c r="Q1595" i="7"/>
  <c r="Q1594" i="7"/>
  <c r="Q1593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6" i="7"/>
  <c r="Q1565" i="7"/>
  <c r="Q1564" i="7"/>
  <c r="Q1563" i="7"/>
  <c r="Q1562" i="7"/>
  <c r="Q1561" i="7"/>
  <c r="Q1560" i="7"/>
  <c r="Q1559" i="7"/>
  <c r="Q1558" i="7"/>
  <c r="Q1557" i="7"/>
  <c r="Q1556" i="7"/>
  <c r="Q1555" i="7"/>
  <c r="Q1554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522" i="7"/>
  <c r="Q1521" i="7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4" i="7"/>
  <c r="Q1223" i="7"/>
  <c r="Q1222" i="7"/>
  <c r="Q1221" i="7"/>
  <c r="Q1220" i="7"/>
  <c r="Q1219" i="7"/>
  <c r="Q1218" i="7"/>
  <c r="Q1217" i="7"/>
  <c r="Q1216" i="7"/>
  <c r="Q1215" i="7"/>
  <c r="Q1214" i="7"/>
  <c r="Q1213" i="7"/>
  <c r="Q1212" i="7"/>
  <c r="Q1211" i="7"/>
  <c r="Q1210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197" i="7"/>
  <c r="Q1196" i="7"/>
  <c r="Q1195" i="7"/>
  <c r="Q1194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33" i="7"/>
  <c r="Q1132" i="7"/>
  <c r="Q1131" i="7"/>
  <c r="Q1130" i="7"/>
  <c r="Q1129" i="7"/>
  <c r="Q1128" i="7"/>
  <c r="Q1127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52" i="7"/>
  <c r="Q1051" i="7"/>
  <c r="Q1050" i="7"/>
  <c r="Q1049" i="7"/>
  <c r="Q1048" i="7"/>
  <c r="Q1047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Q1031" i="7"/>
  <c r="Q1030" i="7"/>
  <c r="Q1029" i="7"/>
  <c r="Q1028" i="7"/>
  <c r="Q1027" i="7"/>
  <c r="Q1026" i="7"/>
  <c r="Q1025" i="7"/>
  <c r="Q1024" i="7"/>
  <c r="Q1023" i="7"/>
  <c r="Q1022" i="7"/>
  <c r="Q1021" i="7"/>
  <c r="Q1020" i="7"/>
  <c r="Q1019" i="7"/>
  <c r="Q1018" i="7"/>
  <c r="Q1017" i="7"/>
  <c r="Q1016" i="7"/>
  <c r="Q1015" i="7"/>
  <c r="Q1014" i="7"/>
  <c r="Q1013" i="7"/>
  <c r="Q1012" i="7"/>
  <c r="Q1011" i="7"/>
  <c r="Q1010" i="7"/>
  <c r="Q1009" i="7"/>
  <c r="Q1008" i="7"/>
  <c r="Q1007" i="7"/>
  <c r="Q1006" i="7"/>
  <c r="Q1005" i="7"/>
  <c r="Q1004" i="7"/>
  <c r="Q1003" i="7"/>
  <c r="Q1002" i="7"/>
  <c r="Q1001" i="7"/>
  <c r="Q1000" i="7"/>
  <c r="Q999" i="7"/>
  <c r="Q998" i="7"/>
  <c r="Q997" i="7"/>
  <c r="Q996" i="7"/>
  <c r="Q995" i="7"/>
  <c r="Q994" i="7"/>
  <c r="Q993" i="7"/>
  <c r="Q992" i="7"/>
  <c r="Q991" i="7"/>
  <c r="Q990" i="7"/>
  <c r="Q989" i="7"/>
  <c r="Q988" i="7"/>
  <c r="Q987" i="7"/>
  <c r="Q986" i="7"/>
  <c r="Q985" i="7"/>
  <c r="Q984" i="7"/>
  <c r="Q983" i="7"/>
  <c r="Q982" i="7"/>
  <c r="Q981" i="7"/>
  <c r="Q980" i="7"/>
  <c r="Q979" i="7"/>
  <c r="Q978" i="7"/>
  <c r="Q977" i="7"/>
  <c r="Q976" i="7"/>
  <c r="Q975" i="7"/>
  <c r="Q974" i="7"/>
  <c r="Q973" i="7"/>
  <c r="Q972" i="7"/>
  <c r="Q971" i="7"/>
  <c r="Q970" i="7"/>
  <c r="Q969" i="7"/>
  <c r="Q968" i="7"/>
  <c r="Q967" i="7"/>
  <c r="Q966" i="7"/>
  <c r="Q965" i="7"/>
  <c r="Q964" i="7"/>
  <c r="Q963" i="7"/>
  <c r="Q962" i="7"/>
  <c r="Q961" i="7"/>
  <c r="Q960" i="7"/>
  <c r="Q959" i="7"/>
  <c r="Q958" i="7"/>
  <c r="Q957" i="7"/>
  <c r="Q956" i="7"/>
  <c r="Q955" i="7"/>
  <c r="Q954" i="7"/>
  <c r="Q953" i="7"/>
  <c r="Q952" i="7"/>
  <c r="Q951" i="7"/>
  <c r="Q950" i="7"/>
  <c r="Q949" i="7"/>
  <c r="Q948" i="7"/>
  <c r="Q947" i="7"/>
  <c r="Q946" i="7"/>
  <c r="Q945" i="7"/>
  <c r="Q944" i="7"/>
  <c r="Q943" i="7"/>
  <c r="Q942" i="7"/>
  <c r="Q941" i="7"/>
  <c r="Q940" i="7"/>
  <c r="Q939" i="7"/>
  <c r="Q938" i="7"/>
  <c r="Q937" i="7"/>
  <c r="Q936" i="7"/>
  <c r="Q935" i="7"/>
  <c r="Q934" i="7"/>
  <c r="Q933" i="7"/>
  <c r="Q932" i="7"/>
  <c r="Q931" i="7"/>
  <c r="Q930" i="7"/>
  <c r="Q929" i="7"/>
  <c r="Q928" i="7"/>
  <c r="Q927" i="7"/>
  <c r="Q926" i="7"/>
  <c r="Q925" i="7"/>
  <c r="Q924" i="7"/>
  <c r="Q923" i="7"/>
  <c r="Q922" i="7"/>
  <c r="Q921" i="7"/>
  <c r="Q920" i="7"/>
  <c r="Q919" i="7"/>
  <c r="Q918" i="7"/>
  <c r="Q917" i="7"/>
  <c r="Q916" i="7"/>
  <c r="Q915" i="7"/>
  <c r="Q914" i="7"/>
  <c r="Q913" i="7"/>
  <c r="Q912" i="7"/>
  <c r="Q911" i="7"/>
  <c r="Q910" i="7"/>
  <c r="Q909" i="7"/>
  <c r="Q908" i="7"/>
  <c r="Q907" i="7"/>
  <c r="Q906" i="7"/>
  <c r="Q905" i="7"/>
  <c r="Q904" i="7"/>
  <c r="Q903" i="7"/>
  <c r="Q902" i="7"/>
  <c r="Q901" i="7"/>
  <c r="Q900" i="7"/>
  <c r="Q899" i="7"/>
  <c r="Q898" i="7"/>
  <c r="Q897" i="7"/>
  <c r="Q896" i="7"/>
  <c r="Q895" i="7"/>
  <c r="Q894" i="7"/>
  <c r="Q893" i="7"/>
  <c r="Q892" i="7"/>
  <c r="Q891" i="7"/>
  <c r="Q890" i="7"/>
  <c r="Q889" i="7"/>
  <c r="Q888" i="7"/>
  <c r="Q887" i="7"/>
  <c r="Q886" i="7"/>
  <c r="Q885" i="7"/>
  <c r="Q884" i="7"/>
  <c r="Q883" i="7"/>
  <c r="Q882" i="7"/>
  <c r="Q881" i="7"/>
  <c r="Q880" i="7"/>
  <c r="Q879" i="7"/>
  <c r="Q878" i="7"/>
  <c r="Q877" i="7"/>
  <c r="Q876" i="7"/>
  <c r="Q875" i="7"/>
  <c r="Q874" i="7"/>
  <c r="Q873" i="7"/>
  <c r="Q872" i="7"/>
  <c r="Q871" i="7"/>
  <c r="Q870" i="7"/>
  <c r="Q869" i="7"/>
  <c r="Q868" i="7"/>
  <c r="Q867" i="7"/>
  <c r="Q866" i="7"/>
  <c r="Q865" i="7"/>
  <c r="Q864" i="7"/>
  <c r="Q863" i="7"/>
  <c r="Q862" i="7"/>
  <c r="Q861" i="7"/>
  <c r="Q860" i="7"/>
  <c r="Q859" i="7"/>
  <c r="Q858" i="7"/>
  <c r="Q857" i="7"/>
  <c r="Q856" i="7"/>
  <c r="Q855" i="7"/>
  <c r="Q854" i="7"/>
  <c r="Q853" i="7"/>
  <c r="Q852" i="7"/>
  <c r="Q851" i="7"/>
  <c r="Q850" i="7"/>
  <c r="Q849" i="7"/>
  <c r="Q848" i="7"/>
  <c r="Q847" i="7"/>
  <c r="Q846" i="7"/>
  <c r="Q845" i="7"/>
  <c r="Q844" i="7"/>
  <c r="Q843" i="7"/>
  <c r="Q842" i="7"/>
  <c r="Q841" i="7"/>
  <c r="Q840" i="7"/>
  <c r="Q839" i="7"/>
  <c r="Q838" i="7"/>
  <c r="Q837" i="7"/>
  <c r="Q836" i="7"/>
  <c r="Q835" i="7"/>
  <c r="Q834" i="7"/>
  <c r="Q833" i="7"/>
  <c r="Q832" i="7"/>
  <c r="Q831" i="7"/>
  <c r="Q830" i="7"/>
  <c r="Q829" i="7"/>
  <c r="Q828" i="7"/>
  <c r="Q827" i="7"/>
  <c r="Q826" i="7"/>
  <c r="Q825" i="7"/>
  <c r="Q824" i="7"/>
  <c r="Q823" i="7"/>
  <c r="Q822" i="7"/>
  <c r="Q821" i="7"/>
  <c r="Q820" i="7"/>
  <c r="Q819" i="7"/>
  <c r="Q818" i="7"/>
  <c r="Q817" i="7"/>
  <c r="Q816" i="7"/>
  <c r="Q815" i="7"/>
  <c r="Q814" i="7"/>
  <c r="Q813" i="7"/>
  <c r="Q812" i="7"/>
  <c r="Q811" i="7"/>
  <c r="Q810" i="7"/>
  <c r="Q809" i="7"/>
  <c r="Q808" i="7"/>
  <c r="Q807" i="7"/>
  <c r="Q806" i="7"/>
  <c r="Q805" i="7"/>
  <c r="Q804" i="7"/>
  <c r="Q803" i="7"/>
  <c r="Q802" i="7"/>
  <c r="Q801" i="7"/>
  <c r="Q800" i="7"/>
  <c r="Q799" i="7"/>
  <c r="Q798" i="7"/>
  <c r="Q797" i="7"/>
  <c r="Q796" i="7"/>
  <c r="Q795" i="7"/>
  <c r="Q794" i="7"/>
  <c r="Q793" i="7"/>
  <c r="Q792" i="7"/>
  <c r="Q791" i="7"/>
  <c r="Q790" i="7"/>
  <c r="Q789" i="7"/>
  <c r="Q788" i="7"/>
  <c r="Q787" i="7"/>
  <c r="Q786" i="7"/>
  <c r="Q785" i="7"/>
  <c r="Q784" i="7"/>
  <c r="Q783" i="7"/>
  <c r="Q782" i="7"/>
  <c r="Q781" i="7"/>
  <c r="Q780" i="7"/>
  <c r="Q779" i="7"/>
  <c r="Q778" i="7"/>
  <c r="Q777" i="7"/>
  <c r="Q776" i="7"/>
  <c r="Q775" i="7"/>
  <c r="Q774" i="7"/>
  <c r="Q773" i="7"/>
  <c r="Q772" i="7"/>
  <c r="Q771" i="7"/>
  <c r="Q770" i="7"/>
  <c r="Q769" i="7"/>
  <c r="Q768" i="7"/>
  <c r="Q767" i="7"/>
  <c r="Q766" i="7"/>
  <c r="Q765" i="7"/>
  <c r="Q764" i="7"/>
  <c r="Q763" i="7"/>
  <c r="Q762" i="7"/>
  <c r="Q761" i="7"/>
  <c r="Q760" i="7"/>
  <c r="Q759" i="7"/>
  <c r="Q758" i="7"/>
  <c r="Q757" i="7"/>
  <c r="Q756" i="7"/>
  <c r="Q755" i="7"/>
  <c r="Q754" i="7"/>
  <c r="Q753" i="7"/>
  <c r="Q752" i="7"/>
  <c r="Q751" i="7"/>
  <c r="Q750" i="7"/>
  <c r="Q749" i="7"/>
  <c r="Q748" i="7"/>
  <c r="Q747" i="7"/>
  <c r="Q746" i="7"/>
  <c r="Q745" i="7"/>
  <c r="Q744" i="7"/>
  <c r="Q743" i="7"/>
  <c r="Q742" i="7"/>
  <c r="Q741" i="7"/>
  <c r="Q740" i="7"/>
  <c r="Q739" i="7"/>
  <c r="Q738" i="7"/>
  <c r="Q737" i="7"/>
  <c r="Q736" i="7"/>
  <c r="Q735" i="7"/>
  <c r="Q734" i="7"/>
  <c r="Q733" i="7"/>
  <c r="Q732" i="7"/>
  <c r="Q731" i="7"/>
  <c r="Q730" i="7"/>
  <c r="Q729" i="7"/>
  <c r="Q728" i="7"/>
  <c r="Q727" i="7"/>
  <c r="Q726" i="7"/>
  <c r="Q725" i="7"/>
  <c r="Q724" i="7"/>
  <c r="Q723" i="7"/>
  <c r="Q722" i="7"/>
  <c r="Q721" i="7"/>
  <c r="Q720" i="7"/>
  <c r="Q719" i="7"/>
  <c r="Q718" i="7"/>
  <c r="Q717" i="7"/>
  <c r="Q716" i="7"/>
  <c r="Q715" i="7"/>
  <c r="Q714" i="7"/>
  <c r="Q713" i="7"/>
  <c r="Q712" i="7"/>
  <c r="Q711" i="7"/>
  <c r="Q710" i="7"/>
  <c r="Q709" i="7"/>
  <c r="Q708" i="7"/>
  <c r="Q707" i="7"/>
  <c r="Q706" i="7"/>
  <c r="Q705" i="7"/>
  <c r="Q704" i="7"/>
  <c r="Q703" i="7"/>
  <c r="Q702" i="7"/>
  <c r="Q701" i="7"/>
  <c r="Q700" i="7"/>
  <c r="Q699" i="7"/>
  <c r="Q698" i="7"/>
  <c r="Q697" i="7"/>
  <c r="Q696" i="7"/>
  <c r="Q695" i="7"/>
  <c r="Q694" i="7"/>
  <c r="Q693" i="7"/>
  <c r="Q692" i="7"/>
  <c r="Q691" i="7"/>
  <c r="Q690" i="7"/>
  <c r="Q689" i="7"/>
  <c r="Q688" i="7"/>
  <c r="Q687" i="7"/>
  <c r="Q686" i="7"/>
  <c r="Q685" i="7"/>
  <c r="Q684" i="7"/>
  <c r="Q683" i="7"/>
  <c r="Q682" i="7"/>
  <c r="Q681" i="7"/>
  <c r="Q680" i="7"/>
  <c r="Q679" i="7"/>
  <c r="Q678" i="7"/>
  <c r="Q677" i="7"/>
  <c r="Q676" i="7"/>
  <c r="Q675" i="7"/>
  <c r="Q674" i="7"/>
  <c r="Q672" i="7"/>
  <c r="Q668" i="7"/>
  <c r="Q667" i="7"/>
  <c r="Q666" i="7"/>
  <c r="Q665" i="7"/>
  <c r="Q664" i="7"/>
  <c r="Q663" i="7"/>
  <c r="Q662" i="7"/>
  <c r="Q661" i="7"/>
  <c r="Q660" i="7"/>
  <c r="Q659" i="7"/>
  <c r="Q658" i="7"/>
  <c r="Q657" i="7"/>
  <c r="Q656" i="7"/>
  <c r="Q655" i="7"/>
  <c r="Q654" i="7"/>
  <c r="Q653" i="7"/>
  <c r="Q652" i="7"/>
  <c r="Q651" i="7"/>
  <c r="Q650" i="7"/>
  <c r="Q646" i="7"/>
  <c r="Q645" i="7"/>
  <c r="Q644" i="7"/>
  <c r="Q643" i="7"/>
  <c r="Q642" i="7"/>
  <c r="Q638" i="7"/>
  <c r="Q637" i="7"/>
  <c r="Q636" i="7"/>
  <c r="Q635" i="7"/>
  <c r="Q634" i="7"/>
  <c r="Q633" i="7"/>
  <c r="Q632" i="7"/>
  <c r="Q631" i="7"/>
  <c r="Q630" i="7"/>
  <c r="Q629" i="7"/>
  <c r="Q628" i="7"/>
  <c r="Q627" i="7"/>
  <c r="Q626" i="7"/>
  <c r="Q623" i="7"/>
  <c r="Q622" i="7"/>
  <c r="Q621" i="7"/>
  <c r="Q620" i="7"/>
  <c r="Q619" i="7"/>
  <c r="Q618" i="7"/>
  <c r="Q617" i="7"/>
  <c r="Q616" i="7"/>
  <c r="Q614" i="7"/>
  <c r="Q613" i="7"/>
  <c r="Q612" i="7"/>
  <c r="Q609" i="7"/>
  <c r="Q606" i="7"/>
  <c r="Q605" i="7"/>
  <c r="Q604" i="7"/>
  <c r="Q603" i="7"/>
  <c r="Q602" i="7"/>
  <c r="Q601" i="7"/>
  <c r="Q600" i="7"/>
  <c r="Q599" i="7"/>
  <c r="Q598" i="7"/>
  <c r="Q597" i="7"/>
  <c r="Q596" i="7"/>
  <c r="Q595" i="7"/>
  <c r="Q594" i="7"/>
  <c r="Q593" i="7"/>
  <c r="Q592" i="7"/>
  <c r="Q591" i="7"/>
  <c r="Q590" i="7"/>
  <c r="Q589" i="7"/>
  <c r="Q588" i="7"/>
  <c r="Q587" i="7"/>
  <c r="Q586" i="7"/>
  <c r="Q585" i="7"/>
  <c r="Q584" i="7"/>
  <c r="Q583" i="7"/>
  <c r="Q582" i="7"/>
  <c r="Q581" i="7"/>
  <c r="Q580" i="7"/>
  <c r="Q579" i="7"/>
  <c r="Q578" i="7"/>
  <c r="Q577" i="7"/>
  <c r="Q576" i="7"/>
  <c r="Q575" i="7"/>
  <c r="Q574" i="7"/>
  <c r="Q573" i="7"/>
  <c r="Q572" i="7"/>
  <c r="Q571" i="7"/>
  <c r="Q570" i="7"/>
  <c r="Q568" i="7"/>
  <c r="Q567" i="7"/>
  <c r="Q566" i="7"/>
  <c r="Q565" i="7"/>
  <c r="Q564" i="7"/>
  <c r="Q563" i="7"/>
  <c r="Q562" i="7"/>
  <c r="Q561" i="7"/>
  <c r="Q560" i="7"/>
  <c r="Q559" i="7"/>
  <c r="Q558" i="7"/>
  <c r="Q557" i="7"/>
  <c r="Q556" i="7"/>
  <c r="Q555" i="7"/>
  <c r="Q554" i="7"/>
  <c r="Q553" i="7"/>
  <c r="Q552" i="7"/>
  <c r="Q550" i="7"/>
  <c r="Q549" i="7"/>
  <c r="Q548" i="7"/>
  <c r="Q547" i="7"/>
  <c r="Q546" i="7"/>
  <c r="Q545" i="7"/>
  <c r="Q544" i="7"/>
  <c r="Q543" i="7"/>
  <c r="Q542" i="7"/>
  <c r="Q541" i="7"/>
  <c r="Q540" i="7"/>
  <c r="Q539" i="7"/>
  <c r="Q538" i="7"/>
  <c r="Q537" i="7"/>
  <c r="Q536" i="7"/>
  <c r="Q534" i="7"/>
  <c r="Q533" i="7"/>
  <c r="Q532" i="7"/>
  <c r="Q531" i="7"/>
  <c r="Q530" i="7"/>
  <c r="Q528" i="7"/>
  <c r="Q527" i="7"/>
  <c r="Q526" i="7"/>
  <c r="Q525" i="7"/>
  <c r="Q524" i="7"/>
  <c r="Q523" i="7"/>
  <c r="Q522" i="7"/>
  <c r="Q521" i="7"/>
  <c r="Q520" i="7"/>
  <c r="Q519" i="7"/>
  <c r="Q517" i="7"/>
  <c r="Q516" i="7"/>
  <c r="Q515" i="7"/>
  <c r="Q514" i="7"/>
  <c r="Q513" i="7"/>
  <c r="Q512" i="7"/>
  <c r="Q511" i="7"/>
  <c r="Q510" i="7"/>
  <c r="Q508" i="7"/>
  <c r="Q507" i="7"/>
  <c r="Q506" i="7"/>
  <c r="Q505" i="7"/>
  <c r="Q504" i="7"/>
  <c r="Q502" i="7"/>
  <c r="Q501" i="7"/>
  <c r="Q500" i="7"/>
  <c r="Q499" i="7"/>
  <c r="Q498" i="7"/>
  <c r="Q497" i="7"/>
  <c r="Q496" i="7"/>
  <c r="Q495" i="7"/>
  <c r="Q494" i="7"/>
  <c r="Q493" i="7"/>
  <c r="Q492" i="7"/>
  <c r="Q491" i="7"/>
  <c r="Q490" i="7"/>
  <c r="Q489" i="7"/>
  <c r="Q488" i="7"/>
  <c r="Q487" i="7"/>
  <c r="Q486" i="7"/>
  <c r="Q485" i="7"/>
  <c r="Q484" i="7"/>
  <c r="Q483" i="7"/>
  <c r="Q482" i="7"/>
  <c r="Q481" i="7"/>
  <c r="Q480" i="7"/>
  <c r="Q479" i="7"/>
  <c r="Q478" i="7"/>
  <c r="Q477" i="7"/>
  <c r="Q476" i="7"/>
  <c r="Q475" i="7"/>
  <c r="Q474" i="7"/>
  <c r="Q473" i="7"/>
  <c r="Q472" i="7"/>
  <c r="Q471" i="7"/>
  <c r="Q470" i="7"/>
  <c r="Q469" i="7"/>
  <c r="Q468" i="7"/>
  <c r="Q467" i="7"/>
  <c r="Q466" i="7"/>
  <c r="Q465" i="7"/>
  <c r="Q464" i="7"/>
  <c r="Q463" i="7"/>
  <c r="Q462" i="7"/>
  <c r="Q461" i="7"/>
  <c r="Q459" i="7"/>
  <c r="Q458" i="7"/>
  <c r="Q457" i="7"/>
  <c r="Q456" i="7"/>
  <c r="Q455" i="7"/>
  <c r="Q454" i="7"/>
  <c r="Q453" i="7"/>
  <c r="Q452" i="7"/>
  <c r="Q451" i="7"/>
  <c r="Q450" i="7"/>
  <c r="Q449" i="7"/>
  <c r="Q448" i="7"/>
  <c r="Q447" i="7"/>
  <c r="Q446" i="7"/>
  <c r="Q445" i="7"/>
  <c r="Q444" i="7"/>
  <c r="Q443" i="7"/>
  <c r="Q442" i="7"/>
  <c r="Q441" i="7"/>
  <c r="Q440" i="7"/>
  <c r="Q439" i="7"/>
  <c r="Q438" i="7"/>
  <c r="Q437" i="7"/>
  <c r="Q436" i="7"/>
  <c r="Q435" i="7"/>
  <c r="Q434" i="7"/>
  <c r="Q433" i="7"/>
  <c r="Q432" i="7"/>
  <c r="Q431" i="7"/>
  <c r="Q430" i="7"/>
  <c r="Q429" i="7"/>
  <c r="Q428" i="7"/>
  <c r="Q427" i="7"/>
  <c r="Q426" i="7"/>
  <c r="Q425" i="7"/>
  <c r="Q424" i="7"/>
  <c r="Q423" i="7"/>
  <c r="Q422" i="7"/>
  <c r="Q421" i="7"/>
  <c r="Q420" i="7"/>
  <c r="Q419" i="7"/>
  <c r="Q418" i="7"/>
  <c r="Q417" i="7"/>
  <c r="Q416" i="7"/>
  <c r="Q415" i="7"/>
  <c r="Q414" i="7"/>
  <c r="Q413" i="7"/>
  <c r="Q412" i="7"/>
  <c r="Q411" i="7"/>
  <c r="Q410" i="7"/>
  <c r="Q409" i="7"/>
  <c r="Q408" i="7"/>
  <c r="Q407" i="7"/>
  <c r="Q406" i="7"/>
  <c r="Q405" i="7"/>
  <c r="Q404" i="7"/>
  <c r="Q403" i="7"/>
  <c r="Q402" i="7"/>
  <c r="Q401" i="7"/>
  <c r="Q400" i="7"/>
  <c r="Q399" i="7"/>
  <c r="Q398" i="7"/>
  <c r="Q397" i="7"/>
  <c r="Q396" i="7"/>
  <c r="Q395" i="7"/>
  <c r="Q394" i="7"/>
  <c r="Q393" i="7"/>
  <c r="Q392" i="7"/>
  <c r="Q391" i="7"/>
  <c r="Q390" i="7"/>
  <c r="Q389" i="7"/>
  <c r="Q388" i="7"/>
  <c r="Q387" i="7"/>
  <c r="Q386" i="7"/>
  <c r="Q385" i="7"/>
  <c r="Q384" i="7"/>
  <c r="Q383" i="7"/>
  <c r="Q382" i="7"/>
  <c r="Q381" i="7"/>
  <c r="Q380" i="7"/>
  <c r="Q379" i="7"/>
  <c r="Q378" i="7"/>
  <c r="Q377" i="7"/>
  <c r="Q376" i="7"/>
  <c r="Q375" i="7"/>
  <c r="Q374" i="7"/>
  <c r="Q373" i="7"/>
  <c r="Q372" i="7"/>
  <c r="Q371" i="7"/>
  <c r="Q370" i="7"/>
  <c r="Q369" i="7"/>
  <c r="Q368" i="7"/>
  <c r="Q367" i="7"/>
  <c r="Q366" i="7"/>
  <c r="Q365" i="7"/>
  <c r="Q364" i="7"/>
  <c r="Q363" i="7"/>
  <c r="Q362" i="7"/>
  <c r="Q361" i="7"/>
  <c r="Q360" i="7"/>
  <c r="Q359" i="7"/>
  <c r="Q358" i="7"/>
  <c r="Q357" i="7"/>
  <c r="Q35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9" i="7"/>
  <c r="Q338" i="7"/>
  <c r="Q337" i="7"/>
  <c r="Q336" i="7"/>
  <c r="Q335" i="7"/>
  <c r="Q334" i="7"/>
  <c r="Q333" i="7"/>
  <c r="Q332" i="7"/>
  <c r="Q331" i="7"/>
  <c r="Q330" i="7"/>
  <c r="Q329" i="7"/>
  <c r="Q328" i="7"/>
  <c r="Q327" i="7"/>
  <c r="Q326" i="7"/>
  <c r="Q325" i="7"/>
  <c r="Q324" i="7"/>
  <c r="Q323" i="7"/>
  <c r="Q322" i="7"/>
  <c r="Q321" i="7"/>
  <c r="Q320" i="7"/>
  <c r="Q319" i="7"/>
  <c r="Q318" i="7"/>
  <c r="Q317" i="7"/>
  <c r="Q316" i="7"/>
  <c r="Q315" i="7"/>
  <c r="Q314" i="7"/>
  <c r="Q313" i="7"/>
  <c r="Q312" i="7"/>
  <c r="Q311" i="7"/>
  <c r="Q310" i="7"/>
  <c r="Q309" i="7"/>
  <c r="Q308" i="7"/>
  <c r="Q307" i="7"/>
  <c r="Q306" i="7"/>
  <c r="Q305" i="7"/>
  <c r="Q304" i="7"/>
  <c r="Q303" i="7"/>
  <c r="Q302" i="7"/>
  <c r="Q301" i="7"/>
  <c r="Q300" i="7"/>
  <c r="Q299" i="7"/>
  <c r="Q298" i="7"/>
  <c r="Q297" i="7"/>
  <c r="Q296" i="7"/>
  <c r="Q295" i="7"/>
  <c r="Q294" i="7"/>
  <c r="Q293" i="7"/>
  <c r="Q292" i="7"/>
  <c r="Q291" i="7"/>
  <c r="Q290" i="7"/>
  <c r="Q289" i="7"/>
  <c r="Q288" i="7"/>
  <c r="Q287" i="7"/>
  <c r="Q286" i="7"/>
  <c r="Q285" i="7"/>
  <c r="Q284" i="7"/>
  <c r="Q283" i="7"/>
  <c r="Q282" i="7"/>
  <c r="Q281" i="7"/>
  <c r="Q280" i="7"/>
  <c r="Q279" i="7"/>
  <c r="Q278" i="7"/>
  <c r="Q277" i="7"/>
  <c r="Q276" i="7"/>
  <c r="Q275" i="7"/>
  <c r="Q274" i="7"/>
  <c r="Q273" i="7"/>
  <c r="Q272" i="7"/>
  <c r="Q271" i="7"/>
  <c r="Q270" i="7"/>
  <c r="Q269" i="7"/>
  <c r="Q268" i="7"/>
  <c r="Q267" i="7"/>
  <c r="Q266" i="7"/>
  <c r="Q265" i="7"/>
  <c r="Q264" i="7"/>
  <c r="Q263" i="7"/>
  <c r="Q262" i="7"/>
  <c r="Q261" i="7"/>
  <c r="Q260" i="7"/>
  <c r="Q259" i="7"/>
  <c r="Q258" i="7"/>
  <c r="Q257" i="7"/>
  <c r="Q256" i="7"/>
  <c r="Q255" i="7"/>
  <c r="Q254" i="7"/>
  <c r="Q253" i="7"/>
  <c r="Q252" i="7"/>
  <c r="Q251" i="7"/>
  <c r="Q250" i="7"/>
  <c r="Q249" i="7"/>
  <c r="Q248" i="7"/>
  <c r="Q247" i="7"/>
  <c r="Q246" i="7"/>
  <c r="Q245" i="7"/>
  <c r="Q244" i="7"/>
  <c r="Q243" i="7"/>
  <c r="Q242" i="7"/>
  <c r="Q241" i="7"/>
  <c r="Q238" i="7"/>
  <c r="Q237" i="7"/>
  <c r="Q236" i="7"/>
  <c r="Q235" i="7"/>
  <c r="Q234" i="7"/>
  <c r="Q233" i="7"/>
  <c r="Q232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3" i="7"/>
  <c r="Q172" i="7"/>
  <c r="Q171" i="7"/>
  <c r="Q170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40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P1972" i="7"/>
  <c r="P1971" i="7"/>
  <c r="P1970" i="7"/>
  <c r="P1969" i="7"/>
  <c r="P1968" i="7"/>
  <c r="P1967" i="7"/>
  <c r="P1966" i="7"/>
  <c r="P1965" i="7"/>
  <c r="P1964" i="7"/>
  <c r="P1963" i="7"/>
  <c r="P1962" i="7"/>
  <c r="P1961" i="7"/>
  <c r="P1960" i="7"/>
  <c r="P1959" i="7"/>
  <c r="P1958" i="7"/>
  <c r="P1957" i="7"/>
  <c r="P1956" i="7"/>
  <c r="P1955" i="7"/>
  <c r="P1954" i="7"/>
  <c r="P1953" i="7"/>
  <c r="P1952" i="7"/>
  <c r="P1951" i="7"/>
  <c r="P1950" i="7"/>
  <c r="P1949" i="7"/>
  <c r="P1948" i="7"/>
  <c r="P1947" i="7"/>
  <c r="P1946" i="7"/>
  <c r="P1945" i="7"/>
  <c r="P1944" i="7"/>
  <c r="P1943" i="7"/>
  <c r="P1942" i="7"/>
  <c r="P1941" i="7"/>
  <c r="P1940" i="7"/>
  <c r="P1939" i="7"/>
  <c r="P1938" i="7"/>
  <c r="P1937" i="7"/>
  <c r="P1936" i="7"/>
  <c r="P1935" i="7"/>
  <c r="P1934" i="7"/>
  <c r="P1933" i="7"/>
  <c r="P1932" i="7"/>
  <c r="P1931" i="7"/>
  <c r="P1930" i="7"/>
  <c r="P1929" i="7"/>
  <c r="P1928" i="7"/>
  <c r="P1927" i="7"/>
  <c r="P1926" i="7"/>
  <c r="P1925" i="7"/>
  <c r="P1924" i="7"/>
  <c r="P1923" i="7"/>
  <c r="P1922" i="7"/>
  <c r="P1921" i="7"/>
  <c r="P1920" i="7"/>
  <c r="P1919" i="7"/>
  <c r="P1918" i="7"/>
  <c r="P1917" i="7"/>
  <c r="P1916" i="7"/>
  <c r="P1915" i="7"/>
  <c r="P1914" i="7"/>
  <c r="P1913" i="7"/>
  <c r="P1912" i="7"/>
  <c r="P1911" i="7"/>
  <c r="P1909" i="7"/>
  <c r="P1908" i="7"/>
  <c r="P1907" i="7"/>
  <c r="P1906" i="7"/>
  <c r="P1905" i="7"/>
  <c r="P1904" i="7"/>
  <c r="P1903" i="7"/>
  <c r="P1902" i="7"/>
  <c r="P1901" i="7"/>
  <c r="P1900" i="7"/>
  <c r="P1899" i="7"/>
  <c r="P1898" i="7"/>
  <c r="P1897" i="7"/>
  <c r="P1896" i="7"/>
  <c r="P1895" i="7"/>
  <c r="P1894" i="7"/>
  <c r="P1893" i="7"/>
  <c r="P1892" i="7"/>
  <c r="P1891" i="7"/>
  <c r="P1890" i="7"/>
  <c r="P1889" i="7"/>
  <c r="P1886" i="7"/>
  <c r="P1885" i="7"/>
  <c r="P1884" i="7"/>
  <c r="P1883" i="7"/>
  <c r="P1882" i="7"/>
  <c r="P1881" i="7"/>
  <c r="P1880" i="7"/>
  <c r="P1879" i="7"/>
  <c r="P1878" i="7"/>
  <c r="P1877" i="7"/>
  <c r="P1876" i="7"/>
  <c r="P1875" i="7"/>
  <c r="P1874" i="7"/>
  <c r="P1873" i="7"/>
  <c r="P1872" i="7"/>
  <c r="P1871" i="7"/>
  <c r="P1870" i="7"/>
  <c r="P1869" i="7"/>
  <c r="P1868" i="7"/>
  <c r="P1867" i="7"/>
  <c r="P1866" i="7"/>
  <c r="P1865" i="7"/>
  <c r="P1864" i="7"/>
  <c r="P1863" i="7"/>
  <c r="P1862" i="7"/>
  <c r="P1861" i="7"/>
  <c r="P1860" i="7"/>
  <c r="P1859" i="7"/>
  <c r="P1858" i="7"/>
  <c r="P1857" i="7"/>
  <c r="P1856" i="7"/>
  <c r="P1855" i="7"/>
  <c r="P1854" i="7"/>
  <c r="P1853" i="7"/>
  <c r="P1852" i="7"/>
  <c r="P1851" i="7"/>
  <c r="P1850" i="7"/>
  <c r="P1849" i="7"/>
  <c r="P1848" i="7"/>
  <c r="P1847" i="7"/>
  <c r="P1846" i="7"/>
  <c r="P1845" i="7"/>
  <c r="P1844" i="7"/>
  <c r="P1843" i="7"/>
  <c r="P1842" i="7"/>
  <c r="P1841" i="7"/>
  <c r="P1840" i="7"/>
  <c r="P1839" i="7"/>
  <c r="P1838" i="7"/>
  <c r="P1837" i="7"/>
  <c r="P1836" i="7"/>
  <c r="P1835" i="7"/>
  <c r="P1834" i="7"/>
  <c r="P1833" i="7"/>
  <c r="P1832" i="7"/>
  <c r="P1831" i="7"/>
  <c r="P1830" i="7"/>
  <c r="P1829" i="7"/>
  <c r="P1828" i="7"/>
  <c r="P1827" i="7"/>
  <c r="P1826" i="7"/>
  <c r="P1825" i="7"/>
  <c r="P1824" i="7"/>
  <c r="P1823" i="7"/>
  <c r="P1822" i="7"/>
  <c r="P1821" i="7"/>
  <c r="P1820" i="7"/>
  <c r="P1819" i="7"/>
  <c r="P1818" i="7"/>
  <c r="P1817" i="7"/>
  <c r="P1816" i="7"/>
  <c r="P1815" i="7"/>
  <c r="P1814" i="7"/>
  <c r="P1813" i="7"/>
  <c r="P1812" i="7"/>
  <c r="P1811" i="7"/>
  <c r="P1810" i="7"/>
  <c r="P1809" i="7"/>
  <c r="P1808" i="7"/>
  <c r="P1807" i="7"/>
  <c r="P1806" i="7"/>
  <c r="P1805" i="7"/>
  <c r="P1804" i="7"/>
  <c r="P1803" i="7"/>
  <c r="P1802" i="7"/>
  <c r="P1801" i="7"/>
  <c r="P1800" i="7"/>
  <c r="P1799" i="7"/>
  <c r="P1798" i="7"/>
  <c r="P1797" i="7"/>
  <c r="P1796" i="7"/>
  <c r="P1795" i="7"/>
  <c r="P1794" i="7"/>
  <c r="P1793" i="7"/>
  <c r="P1792" i="7"/>
  <c r="P1784" i="7"/>
  <c r="P1783" i="7"/>
  <c r="P1781" i="7"/>
  <c r="P1780" i="7"/>
  <c r="P1778" i="7"/>
  <c r="P1776" i="7"/>
  <c r="P1774" i="7"/>
  <c r="P1773" i="7"/>
  <c r="P1772" i="7"/>
  <c r="P1771" i="7"/>
  <c r="P1770" i="7"/>
  <c r="P1769" i="7"/>
  <c r="P1768" i="7"/>
  <c r="P1767" i="7"/>
  <c r="P1766" i="7"/>
  <c r="P1763" i="7"/>
  <c r="P1762" i="7"/>
  <c r="P1761" i="7"/>
  <c r="P1760" i="7"/>
  <c r="P1759" i="7"/>
  <c r="P1758" i="7"/>
  <c r="P1757" i="7"/>
  <c r="P1756" i="7"/>
  <c r="P1755" i="7"/>
  <c r="P1754" i="7"/>
  <c r="P1753" i="7"/>
  <c r="P1752" i="7"/>
  <c r="P1751" i="7"/>
  <c r="P1750" i="7"/>
  <c r="P1749" i="7"/>
  <c r="P1748" i="7"/>
  <c r="P1747" i="7"/>
  <c r="P1746" i="7"/>
  <c r="P1743" i="7"/>
  <c r="P1742" i="7"/>
  <c r="P1741" i="7"/>
  <c r="P1740" i="7"/>
  <c r="P1738" i="7"/>
  <c r="P1737" i="7"/>
  <c r="P1736" i="7"/>
  <c r="P1735" i="7"/>
  <c r="P1734" i="7"/>
  <c r="P1733" i="7"/>
  <c r="P1732" i="7"/>
  <c r="P1731" i="7"/>
  <c r="P1730" i="7"/>
  <c r="P1729" i="7"/>
  <c r="P1728" i="7"/>
  <c r="P1727" i="7"/>
  <c r="P1726" i="7"/>
  <c r="P1723" i="7"/>
  <c r="P1719" i="7"/>
  <c r="P1717" i="7"/>
  <c r="P1716" i="7"/>
  <c r="P1715" i="7"/>
  <c r="P1714" i="7"/>
  <c r="P1713" i="7"/>
  <c r="P1712" i="7"/>
  <c r="P1711" i="7"/>
  <c r="P1708" i="7"/>
  <c r="P1707" i="7"/>
  <c r="P1706" i="7"/>
  <c r="P1705" i="7"/>
  <c r="P1704" i="7"/>
  <c r="P1703" i="7"/>
  <c r="P1702" i="7"/>
  <c r="P1701" i="7"/>
  <c r="P1700" i="7"/>
  <c r="P1699" i="7"/>
  <c r="P1698" i="7"/>
  <c r="P1697" i="7"/>
  <c r="P1696" i="7"/>
  <c r="P1695" i="7"/>
  <c r="P1694" i="7"/>
  <c r="P1693" i="7"/>
  <c r="P1692" i="7"/>
  <c r="P1691" i="7"/>
  <c r="P1690" i="7"/>
  <c r="P1689" i="7"/>
  <c r="P1688" i="7"/>
  <c r="P1687" i="7"/>
  <c r="P1686" i="7"/>
  <c r="P1685" i="7"/>
  <c r="P1684" i="7"/>
  <c r="P1683" i="7"/>
  <c r="P1682" i="7"/>
  <c r="P1681" i="7"/>
  <c r="P1680" i="7"/>
  <c r="P1679" i="7"/>
  <c r="P1678" i="7"/>
  <c r="P1677" i="7"/>
  <c r="P1676" i="7"/>
  <c r="P1675" i="7"/>
  <c r="P1674" i="7"/>
  <c r="P1673" i="7"/>
  <c r="P1672" i="7"/>
  <c r="P1671" i="7"/>
  <c r="P1670" i="7"/>
  <c r="P1669" i="7"/>
  <c r="P1668" i="7"/>
  <c r="P1667" i="7"/>
  <c r="P1666" i="7"/>
  <c r="P1665" i="7"/>
  <c r="P1664" i="7"/>
  <c r="P1663" i="7"/>
  <c r="P1662" i="7"/>
  <c r="P1661" i="7"/>
  <c r="P1660" i="7"/>
  <c r="P1659" i="7"/>
  <c r="P1658" i="7"/>
  <c r="P1657" i="7"/>
  <c r="P1656" i="7"/>
  <c r="P1655" i="7"/>
  <c r="P1654" i="7"/>
  <c r="P1653" i="7"/>
  <c r="P1652" i="7"/>
  <c r="P1651" i="7"/>
  <c r="P1650" i="7"/>
  <c r="P1649" i="7"/>
  <c r="P1648" i="7"/>
  <c r="P1647" i="7"/>
  <c r="P1646" i="7"/>
  <c r="P1645" i="7"/>
  <c r="P1644" i="7"/>
  <c r="P1643" i="7"/>
  <c r="P1642" i="7"/>
  <c r="P1641" i="7"/>
  <c r="P1640" i="7"/>
  <c r="P1639" i="7"/>
  <c r="P1638" i="7"/>
  <c r="P1637" i="7"/>
  <c r="P1636" i="7"/>
  <c r="P1635" i="7"/>
  <c r="P1634" i="7"/>
  <c r="P1633" i="7"/>
  <c r="P1632" i="7"/>
  <c r="P1631" i="7"/>
  <c r="P1630" i="7"/>
  <c r="P1629" i="7"/>
  <c r="P1628" i="7"/>
  <c r="P1627" i="7"/>
  <c r="P1626" i="7"/>
  <c r="P1625" i="7"/>
  <c r="P1624" i="7"/>
  <c r="P1623" i="7"/>
  <c r="P1622" i="7"/>
  <c r="P1621" i="7"/>
  <c r="P1620" i="7"/>
  <c r="P1619" i="7"/>
  <c r="P1618" i="7"/>
  <c r="P1617" i="7"/>
  <c r="P1616" i="7"/>
  <c r="P1615" i="7"/>
  <c r="P1614" i="7"/>
  <c r="P1613" i="7"/>
  <c r="P1612" i="7"/>
  <c r="P1611" i="7"/>
  <c r="P1610" i="7"/>
  <c r="P1609" i="7"/>
  <c r="P1608" i="7"/>
  <c r="P1607" i="7"/>
  <c r="P1606" i="7"/>
  <c r="P1605" i="7"/>
  <c r="P1604" i="7"/>
  <c r="P1603" i="7"/>
  <c r="P1602" i="7"/>
  <c r="P1601" i="7"/>
  <c r="P1600" i="7"/>
  <c r="P1599" i="7"/>
  <c r="P1598" i="7"/>
  <c r="P1597" i="7"/>
  <c r="P1596" i="7"/>
  <c r="P1595" i="7"/>
  <c r="P1594" i="7"/>
  <c r="P1593" i="7"/>
  <c r="P1592" i="7"/>
  <c r="P1591" i="7"/>
  <c r="P1590" i="7"/>
  <c r="P1589" i="7"/>
  <c r="P1588" i="7"/>
  <c r="P1587" i="7"/>
  <c r="P1586" i="7"/>
  <c r="P1585" i="7"/>
  <c r="P1584" i="7"/>
  <c r="P1583" i="7"/>
  <c r="P1582" i="7"/>
  <c r="P1581" i="7"/>
  <c r="P1580" i="7"/>
  <c r="P1579" i="7"/>
  <c r="P1578" i="7"/>
  <c r="P1577" i="7"/>
  <c r="P1576" i="7"/>
  <c r="P1575" i="7"/>
  <c r="P1574" i="7"/>
  <c r="P1573" i="7"/>
  <c r="P1572" i="7"/>
  <c r="P1571" i="7"/>
  <c r="P1570" i="7"/>
  <c r="P1569" i="7"/>
  <c r="P1568" i="7"/>
  <c r="P1567" i="7"/>
  <c r="P1566" i="7"/>
  <c r="P1565" i="7"/>
  <c r="P1564" i="7"/>
  <c r="P1563" i="7"/>
  <c r="P1562" i="7"/>
  <c r="P1561" i="7"/>
  <c r="P1558" i="7"/>
  <c r="P1556" i="7"/>
  <c r="P1555" i="7"/>
  <c r="P1552" i="7"/>
  <c r="P1551" i="7"/>
  <c r="P1550" i="7"/>
  <c r="P1549" i="7"/>
  <c r="P1548" i="7"/>
  <c r="P1547" i="7"/>
  <c r="P1546" i="7"/>
  <c r="P1545" i="7"/>
  <c r="P1544" i="7"/>
  <c r="P1543" i="7"/>
  <c r="P1542" i="7"/>
  <c r="P1541" i="7"/>
  <c r="P1540" i="7"/>
  <c r="P1539" i="7"/>
  <c r="P1538" i="7"/>
  <c r="P1537" i="7"/>
  <c r="P1536" i="7"/>
  <c r="P1535" i="7"/>
  <c r="P1534" i="7"/>
  <c r="P1533" i="7"/>
  <c r="P1532" i="7"/>
  <c r="P1531" i="7"/>
  <c r="P1530" i="7"/>
  <c r="P1526" i="7"/>
  <c r="P1520" i="7"/>
  <c r="P1519" i="7"/>
  <c r="P1518" i="7"/>
  <c r="P1516" i="7"/>
  <c r="P1515" i="7"/>
  <c r="P1512" i="7"/>
  <c r="P1510" i="7"/>
  <c r="P1509" i="7"/>
  <c r="P1508" i="7"/>
  <c r="P1507" i="7"/>
  <c r="P1506" i="7"/>
  <c r="P1505" i="7"/>
  <c r="P1504" i="7"/>
  <c r="P1503" i="7"/>
  <c r="P1502" i="7"/>
  <c r="P1501" i="7"/>
  <c r="P1500" i="7"/>
  <c r="P1499" i="7"/>
  <c r="P1498" i="7"/>
  <c r="P1497" i="7"/>
  <c r="P1496" i="7"/>
  <c r="P1495" i="7"/>
  <c r="P1494" i="7"/>
  <c r="P1493" i="7"/>
  <c r="P1492" i="7"/>
  <c r="P1491" i="7"/>
  <c r="P1490" i="7"/>
  <c r="P1489" i="7"/>
  <c r="P1488" i="7"/>
  <c r="P1487" i="7"/>
  <c r="P1486" i="7"/>
  <c r="P1485" i="7"/>
  <c r="P1484" i="7"/>
  <c r="P1483" i="7"/>
  <c r="P1482" i="7"/>
  <c r="P1481" i="7"/>
  <c r="P1480" i="7"/>
  <c r="P1479" i="7"/>
  <c r="P1478" i="7"/>
  <c r="P1477" i="7"/>
  <c r="P1476" i="7"/>
  <c r="P1475" i="7"/>
  <c r="P1474" i="7"/>
  <c r="P1473" i="7"/>
  <c r="P1472" i="7"/>
  <c r="P1471" i="7"/>
  <c r="P1470" i="7"/>
  <c r="P1469" i="7"/>
  <c r="P1468" i="7"/>
  <c r="P1467" i="7"/>
  <c r="P1466" i="7"/>
  <c r="P1465" i="7"/>
  <c r="P1464" i="7"/>
  <c r="P1463" i="7"/>
  <c r="P1462" i="7"/>
  <c r="P1461" i="7"/>
  <c r="P1460" i="7"/>
  <c r="P1459" i="7"/>
  <c r="P1458" i="7"/>
  <c r="P1457" i="7"/>
  <c r="P1456" i="7"/>
  <c r="P1455" i="7"/>
  <c r="P1454" i="7"/>
  <c r="P1453" i="7"/>
  <c r="P1452" i="7"/>
  <c r="P1451" i="7"/>
  <c r="P1450" i="7"/>
  <c r="P1449" i="7"/>
  <c r="P1448" i="7"/>
  <c r="P1447" i="7"/>
  <c r="P1446" i="7"/>
  <c r="P1445" i="7"/>
  <c r="P1444" i="7"/>
  <c r="P1443" i="7"/>
  <c r="P1442" i="7"/>
  <c r="P1441" i="7"/>
  <c r="P1440" i="7"/>
  <c r="P1439" i="7"/>
  <c r="P1438" i="7"/>
  <c r="P1437" i="7"/>
  <c r="P1436" i="7"/>
  <c r="P1435" i="7"/>
  <c r="P1434" i="7"/>
  <c r="P1433" i="7"/>
  <c r="P1432" i="7"/>
  <c r="P1431" i="7"/>
  <c r="P1430" i="7"/>
  <c r="P1429" i="7"/>
  <c r="P1425" i="7"/>
  <c r="P1424" i="7"/>
  <c r="P1423" i="7"/>
  <c r="P1422" i="7"/>
  <c r="P1421" i="7"/>
  <c r="P1420" i="7"/>
  <c r="P1419" i="7"/>
  <c r="P1417" i="7"/>
  <c r="P1416" i="7"/>
  <c r="P1415" i="7"/>
  <c r="P1414" i="7"/>
  <c r="P1413" i="7"/>
  <c r="P1412" i="7"/>
  <c r="P1411" i="7"/>
  <c r="P1410" i="7"/>
  <c r="P1409" i="7"/>
  <c r="P1408" i="7"/>
  <c r="P1407" i="7"/>
  <c r="P1406" i="7"/>
  <c r="P1405" i="7"/>
  <c r="P1404" i="7"/>
  <c r="P1403" i="7"/>
  <c r="P1402" i="7"/>
  <c r="P1401" i="7"/>
  <c r="P1400" i="7"/>
  <c r="P1399" i="7"/>
  <c r="P1398" i="7"/>
  <c r="P1397" i="7"/>
  <c r="P1396" i="7"/>
  <c r="P1395" i="7"/>
  <c r="P1394" i="7"/>
  <c r="P1393" i="7"/>
  <c r="P1392" i="7"/>
  <c r="P1391" i="7"/>
  <c r="P1390" i="7"/>
  <c r="P1389" i="7"/>
  <c r="P1388" i="7"/>
  <c r="P1387" i="7"/>
  <c r="P1386" i="7"/>
  <c r="P1385" i="7"/>
  <c r="P1384" i="7"/>
  <c r="P1383" i="7"/>
  <c r="P1382" i="7"/>
  <c r="P1381" i="7"/>
  <c r="P1380" i="7"/>
  <c r="P1379" i="7"/>
  <c r="P1378" i="7"/>
  <c r="P1377" i="7"/>
  <c r="P1376" i="7"/>
  <c r="P1375" i="7"/>
  <c r="P1374" i="7"/>
  <c r="P1373" i="7"/>
  <c r="P1372" i="7"/>
  <c r="P1371" i="7"/>
  <c r="P1370" i="7"/>
  <c r="P1369" i="7"/>
  <c r="P1368" i="7"/>
  <c r="P1367" i="7"/>
  <c r="P1366" i="7"/>
  <c r="P1365" i="7"/>
  <c r="P1364" i="7"/>
  <c r="P1363" i="7"/>
  <c r="P1362" i="7"/>
  <c r="P1361" i="7"/>
  <c r="P1360" i="7"/>
  <c r="P1359" i="7"/>
  <c r="P1358" i="7"/>
  <c r="P1357" i="7"/>
  <c r="P1356" i="7"/>
  <c r="P1355" i="7"/>
  <c r="P1354" i="7"/>
  <c r="P1353" i="7"/>
  <c r="P1352" i="7"/>
  <c r="P1351" i="7"/>
  <c r="P1350" i="7"/>
  <c r="P1349" i="7"/>
  <c r="P1348" i="7"/>
  <c r="P1347" i="7"/>
  <c r="P1346" i="7"/>
  <c r="P1345" i="7"/>
  <c r="P1344" i="7"/>
  <c r="P1343" i="7"/>
  <c r="P1342" i="7"/>
  <c r="P1341" i="7"/>
  <c r="P1340" i="7"/>
  <c r="P1339" i="7"/>
  <c r="P1338" i="7"/>
  <c r="P1337" i="7"/>
  <c r="P1336" i="7"/>
  <c r="P1335" i="7"/>
  <c r="P1334" i="7"/>
  <c r="P1333" i="7"/>
  <c r="P1332" i="7"/>
  <c r="P1331" i="7"/>
  <c r="P1330" i="7"/>
  <c r="P1329" i="7"/>
  <c r="P1328" i="7"/>
  <c r="P1327" i="7"/>
  <c r="P1326" i="7"/>
  <c r="P1325" i="7"/>
  <c r="P1324" i="7"/>
  <c r="P1323" i="7"/>
  <c r="P1322" i="7"/>
  <c r="P1321" i="7"/>
  <c r="P1320" i="7"/>
  <c r="P1319" i="7"/>
  <c r="P1318" i="7"/>
  <c r="P1317" i="7"/>
  <c r="P1316" i="7"/>
  <c r="P1315" i="7"/>
  <c r="P1314" i="7"/>
  <c r="P1313" i="7"/>
  <c r="P1312" i="7"/>
  <c r="P1311" i="7"/>
  <c r="P1310" i="7"/>
  <c r="P1309" i="7"/>
  <c r="P1308" i="7"/>
  <c r="P1307" i="7"/>
  <c r="P1306" i="7"/>
  <c r="P1305" i="7"/>
  <c r="P1304" i="7"/>
  <c r="P1303" i="7"/>
  <c r="P1302" i="7"/>
  <c r="P1301" i="7"/>
  <c r="P1300" i="7"/>
  <c r="P1299" i="7"/>
  <c r="P1298" i="7"/>
  <c r="P1297" i="7"/>
  <c r="P1296" i="7"/>
  <c r="P1295" i="7"/>
  <c r="P1294" i="7"/>
  <c r="P1293" i="7"/>
  <c r="P1292" i="7"/>
  <c r="P1291" i="7"/>
  <c r="P1290" i="7"/>
  <c r="P1289" i="7"/>
  <c r="P1288" i="7"/>
  <c r="P1287" i="7"/>
  <c r="P1286" i="7"/>
  <c r="P1285" i="7"/>
  <c r="P1284" i="7"/>
  <c r="P1283" i="7"/>
  <c r="P1282" i="7"/>
  <c r="P1281" i="7"/>
  <c r="P1280" i="7"/>
  <c r="P1279" i="7"/>
  <c r="P1278" i="7"/>
  <c r="P1277" i="7"/>
  <c r="P1276" i="7"/>
  <c r="P1275" i="7"/>
  <c r="P1274" i="7"/>
  <c r="P1273" i="7"/>
  <c r="P1272" i="7"/>
  <c r="P1271" i="7"/>
  <c r="P1270" i="7"/>
  <c r="P1269" i="7"/>
  <c r="P1268" i="7"/>
  <c r="P1267" i="7"/>
  <c r="P1266" i="7"/>
  <c r="P1265" i="7"/>
  <c r="P1264" i="7"/>
  <c r="P1263" i="7"/>
  <c r="P1262" i="7"/>
  <c r="P1261" i="7"/>
  <c r="P1260" i="7"/>
  <c r="P1259" i="7"/>
  <c r="P1258" i="7"/>
  <c r="P1257" i="7"/>
  <c r="P1256" i="7"/>
  <c r="P1255" i="7"/>
  <c r="P1254" i="7"/>
  <c r="P1253" i="7"/>
  <c r="P1252" i="7"/>
  <c r="P1251" i="7"/>
  <c r="P1250" i="7"/>
  <c r="P1249" i="7"/>
  <c r="P1248" i="7"/>
  <c r="P1247" i="7"/>
  <c r="P1246" i="7"/>
  <c r="P1245" i="7"/>
  <c r="P1244" i="7"/>
  <c r="P1243" i="7"/>
  <c r="P1242" i="7"/>
  <c r="P1241" i="7"/>
  <c r="P1240" i="7"/>
  <c r="P1239" i="7"/>
  <c r="P1238" i="7"/>
  <c r="P1237" i="7"/>
  <c r="P1236" i="7"/>
  <c r="P1235" i="7"/>
  <c r="P1234" i="7"/>
  <c r="P1233" i="7"/>
  <c r="P1232" i="7"/>
  <c r="P1231" i="7"/>
  <c r="P1230" i="7"/>
  <c r="P1229" i="7"/>
  <c r="P1228" i="7"/>
  <c r="P1227" i="7"/>
  <c r="P1226" i="7"/>
  <c r="P1225" i="7"/>
  <c r="P1224" i="7"/>
  <c r="P1223" i="7"/>
  <c r="P1222" i="7"/>
  <c r="P1221" i="7"/>
  <c r="P1220" i="7"/>
  <c r="P1219" i="7"/>
  <c r="P1218" i="7"/>
  <c r="P1217" i="7"/>
  <c r="P1216" i="7"/>
  <c r="P1215" i="7"/>
  <c r="P1214" i="7"/>
  <c r="P1213" i="7"/>
  <c r="P1212" i="7"/>
  <c r="P1211" i="7"/>
  <c r="P1210" i="7"/>
  <c r="P1209" i="7"/>
  <c r="P1208" i="7"/>
  <c r="P1207" i="7"/>
  <c r="P1206" i="7"/>
  <c r="P1205" i="7"/>
  <c r="P1204" i="7"/>
  <c r="P1203" i="7"/>
  <c r="P1202" i="7"/>
  <c r="P1201" i="7"/>
  <c r="P1200" i="7"/>
  <c r="P1199" i="7"/>
  <c r="P1198" i="7"/>
  <c r="P1197" i="7"/>
  <c r="P1196" i="7"/>
  <c r="P1195" i="7"/>
  <c r="P1194" i="7"/>
  <c r="P1193" i="7"/>
  <c r="P1192" i="7"/>
  <c r="P1191" i="7"/>
  <c r="P1190" i="7"/>
  <c r="P1189" i="7"/>
  <c r="P1188" i="7"/>
  <c r="P1187" i="7"/>
  <c r="P1186" i="7"/>
  <c r="P1185" i="7"/>
  <c r="P1184" i="7"/>
  <c r="P1183" i="7"/>
  <c r="P1182" i="7"/>
  <c r="P1181" i="7"/>
  <c r="P1180" i="7"/>
  <c r="P1179" i="7"/>
  <c r="P1178" i="7"/>
  <c r="P1177" i="7"/>
  <c r="P1176" i="7"/>
  <c r="P1175" i="7"/>
  <c r="P1174" i="7"/>
  <c r="P1173" i="7"/>
  <c r="P1172" i="7"/>
  <c r="P1171" i="7"/>
  <c r="P1170" i="7"/>
  <c r="P1169" i="7"/>
  <c r="P1168" i="7"/>
  <c r="P1167" i="7"/>
  <c r="P1166" i="7"/>
  <c r="P1165" i="7"/>
  <c r="P1164" i="7"/>
  <c r="P1163" i="7"/>
  <c r="P1162" i="7"/>
  <c r="P1161" i="7"/>
  <c r="P1160" i="7"/>
  <c r="P1159" i="7"/>
  <c r="P1158" i="7"/>
  <c r="P1157" i="7"/>
  <c r="P1156" i="7"/>
  <c r="P1155" i="7"/>
  <c r="P1154" i="7"/>
  <c r="P1153" i="7"/>
  <c r="P1152" i="7"/>
  <c r="P1151" i="7"/>
  <c r="P1150" i="7"/>
  <c r="P1149" i="7"/>
  <c r="P1148" i="7"/>
  <c r="P1147" i="7"/>
  <c r="P1146" i="7"/>
  <c r="P1145" i="7"/>
  <c r="P1144" i="7"/>
  <c r="P1143" i="7"/>
  <c r="P1142" i="7"/>
  <c r="P1141" i="7"/>
  <c r="P1140" i="7"/>
  <c r="P1139" i="7"/>
  <c r="P1138" i="7"/>
  <c r="P1137" i="7"/>
  <c r="P1136" i="7"/>
  <c r="P1135" i="7"/>
  <c r="P1134" i="7"/>
  <c r="P1133" i="7"/>
  <c r="P1132" i="7"/>
  <c r="P1131" i="7"/>
  <c r="P1130" i="7"/>
  <c r="P1129" i="7"/>
  <c r="P1128" i="7"/>
  <c r="P1127" i="7"/>
  <c r="P1126" i="7"/>
  <c r="P1125" i="7"/>
  <c r="P1124" i="7"/>
  <c r="P1123" i="7"/>
  <c r="P1122" i="7"/>
  <c r="P1121" i="7"/>
  <c r="P1120" i="7"/>
  <c r="P1119" i="7"/>
  <c r="P1118" i="7"/>
  <c r="P1117" i="7"/>
  <c r="P1116" i="7"/>
  <c r="P1115" i="7"/>
  <c r="P1114" i="7"/>
  <c r="P1113" i="7"/>
  <c r="P1112" i="7"/>
  <c r="P1111" i="7"/>
  <c r="P1110" i="7"/>
  <c r="P1109" i="7"/>
  <c r="P1108" i="7"/>
  <c r="P1107" i="7"/>
  <c r="P1106" i="7"/>
  <c r="P1105" i="7"/>
  <c r="P1104" i="7"/>
  <c r="P1103" i="7"/>
  <c r="P1102" i="7"/>
  <c r="P1101" i="7"/>
  <c r="P1100" i="7"/>
  <c r="P1099" i="7"/>
  <c r="P1098" i="7"/>
  <c r="P1097" i="7"/>
  <c r="P1096" i="7"/>
  <c r="P1095" i="7"/>
  <c r="P1094" i="7"/>
  <c r="P1093" i="7"/>
  <c r="P1092" i="7"/>
  <c r="P1091" i="7"/>
  <c r="P1090" i="7"/>
  <c r="P1089" i="7"/>
  <c r="P1088" i="7"/>
  <c r="P1087" i="7"/>
  <c r="P1086" i="7"/>
  <c r="P1085" i="7"/>
  <c r="P1084" i="7"/>
  <c r="P1083" i="7"/>
  <c r="P1082" i="7"/>
  <c r="P1081" i="7"/>
  <c r="P1080" i="7"/>
  <c r="P1079" i="7"/>
  <c r="P1078" i="7"/>
  <c r="P1077" i="7"/>
  <c r="P1076" i="7"/>
  <c r="P1075" i="7"/>
  <c r="P1074" i="7"/>
  <c r="P1073" i="7"/>
  <c r="P1072" i="7"/>
  <c r="P1071" i="7"/>
  <c r="P1070" i="7"/>
  <c r="P1069" i="7"/>
  <c r="P1068" i="7"/>
  <c r="P1067" i="7"/>
  <c r="P1066" i="7"/>
  <c r="P1065" i="7"/>
  <c r="P1064" i="7"/>
  <c r="P1063" i="7"/>
  <c r="P1062" i="7"/>
  <c r="P1061" i="7"/>
  <c r="P1060" i="7"/>
  <c r="P1059" i="7"/>
  <c r="P1058" i="7"/>
  <c r="P1057" i="7"/>
  <c r="P1056" i="7"/>
  <c r="P1055" i="7"/>
  <c r="P1054" i="7"/>
  <c r="P1053" i="7"/>
  <c r="P1052" i="7"/>
  <c r="P1051" i="7"/>
  <c r="P1050" i="7"/>
  <c r="P1049" i="7"/>
  <c r="P1048" i="7"/>
  <c r="P1047" i="7"/>
  <c r="P1046" i="7"/>
  <c r="P1045" i="7"/>
  <c r="P1044" i="7"/>
  <c r="P1043" i="7"/>
  <c r="P1042" i="7"/>
  <c r="P1041" i="7"/>
  <c r="P1040" i="7"/>
  <c r="P1039" i="7"/>
  <c r="P1038" i="7"/>
  <c r="P1037" i="7"/>
  <c r="P1036" i="7"/>
  <c r="P1035" i="7"/>
  <c r="P1034" i="7"/>
  <c r="P1033" i="7"/>
  <c r="P1032" i="7"/>
  <c r="P1031" i="7"/>
  <c r="P1030" i="7"/>
  <c r="P1029" i="7"/>
  <c r="P1028" i="7"/>
  <c r="P1027" i="7"/>
  <c r="P1026" i="7"/>
  <c r="P1025" i="7"/>
  <c r="P1024" i="7"/>
  <c r="P1023" i="7"/>
  <c r="P1022" i="7"/>
  <c r="P1021" i="7"/>
  <c r="P1020" i="7"/>
  <c r="P1019" i="7"/>
  <c r="P1018" i="7"/>
  <c r="P1017" i="7"/>
  <c r="P1016" i="7"/>
  <c r="P1015" i="7"/>
  <c r="P1014" i="7"/>
  <c r="P1013" i="7"/>
  <c r="P1012" i="7"/>
  <c r="P1011" i="7"/>
  <c r="P1010" i="7"/>
  <c r="P1009" i="7"/>
  <c r="P1008" i="7"/>
  <c r="P1007" i="7"/>
  <c r="P1006" i="7"/>
  <c r="P1005" i="7"/>
  <c r="P1004" i="7"/>
  <c r="P1003" i="7"/>
  <c r="P1002" i="7"/>
  <c r="P1001" i="7"/>
  <c r="P1000" i="7"/>
  <c r="P999" i="7"/>
  <c r="P998" i="7"/>
  <c r="P997" i="7"/>
  <c r="P996" i="7"/>
  <c r="P995" i="7"/>
  <c r="P994" i="7"/>
  <c r="P993" i="7"/>
  <c r="P992" i="7"/>
  <c r="P991" i="7"/>
  <c r="P990" i="7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828" i="7"/>
  <c r="P827" i="7"/>
  <c r="P826" i="7"/>
  <c r="P825" i="7"/>
  <c r="P824" i="7"/>
  <c r="P823" i="7"/>
  <c r="P822" i="7"/>
  <c r="P821" i="7"/>
  <c r="P820" i="7"/>
  <c r="P819" i="7"/>
  <c r="P818" i="7"/>
  <c r="P817" i="7"/>
  <c r="P816" i="7"/>
  <c r="P815" i="7"/>
  <c r="P814" i="7"/>
  <c r="P813" i="7"/>
  <c r="P812" i="7"/>
  <c r="P811" i="7"/>
  <c r="P810" i="7"/>
  <c r="P809" i="7"/>
  <c r="P808" i="7"/>
  <c r="P807" i="7"/>
  <c r="P806" i="7"/>
  <c r="P805" i="7"/>
  <c r="P804" i="7"/>
  <c r="P803" i="7"/>
  <c r="P802" i="7"/>
  <c r="P801" i="7"/>
  <c r="P800" i="7"/>
  <c r="P799" i="7"/>
  <c r="P798" i="7"/>
  <c r="P797" i="7"/>
  <c r="P796" i="7"/>
  <c r="P795" i="7"/>
  <c r="P794" i="7"/>
  <c r="P793" i="7"/>
  <c r="P792" i="7"/>
  <c r="P791" i="7"/>
  <c r="P790" i="7"/>
  <c r="P789" i="7"/>
  <c r="P788" i="7"/>
  <c r="P787" i="7"/>
  <c r="P786" i="7"/>
  <c r="P785" i="7"/>
  <c r="P784" i="7"/>
  <c r="P783" i="7"/>
  <c r="P782" i="7"/>
  <c r="P781" i="7"/>
  <c r="P780" i="7"/>
  <c r="P779" i="7"/>
  <c r="P778" i="7"/>
  <c r="P777" i="7"/>
  <c r="P776" i="7"/>
  <c r="P775" i="7"/>
  <c r="P774" i="7"/>
  <c r="P773" i="7"/>
  <c r="P772" i="7"/>
  <c r="P771" i="7"/>
  <c r="P770" i="7"/>
  <c r="P769" i="7"/>
  <c r="P768" i="7"/>
  <c r="P767" i="7"/>
  <c r="P766" i="7"/>
  <c r="P765" i="7"/>
  <c r="P764" i="7"/>
  <c r="P763" i="7"/>
  <c r="P762" i="7"/>
  <c r="P761" i="7"/>
  <c r="P760" i="7"/>
  <c r="P759" i="7"/>
  <c r="P758" i="7"/>
  <c r="P757" i="7"/>
  <c r="P756" i="7"/>
  <c r="P755" i="7"/>
  <c r="P754" i="7"/>
  <c r="P753" i="7"/>
  <c r="P752" i="7"/>
  <c r="P751" i="7"/>
  <c r="P750" i="7"/>
  <c r="P749" i="7"/>
  <c r="P748" i="7"/>
  <c r="P747" i="7"/>
  <c r="P746" i="7"/>
  <c r="P745" i="7"/>
  <c r="P744" i="7"/>
  <c r="P743" i="7"/>
  <c r="P742" i="7"/>
  <c r="P741" i="7"/>
  <c r="P740" i="7"/>
  <c r="P739" i="7"/>
  <c r="P738" i="7"/>
  <c r="P737" i="7"/>
  <c r="P736" i="7"/>
  <c r="P735" i="7"/>
  <c r="P734" i="7"/>
  <c r="P733" i="7"/>
  <c r="P732" i="7"/>
  <c r="P731" i="7"/>
  <c r="P730" i="7"/>
  <c r="P729" i="7"/>
  <c r="P728" i="7"/>
  <c r="P727" i="7"/>
  <c r="P726" i="7"/>
  <c r="P725" i="7"/>
  <c r="P724" i="7"/>
  <c r="P723" i="7"/>
  <c r="P722" i="7"/>
  <c r="P721" i="7"/>
  <c r="P720" i="7"/>
  <c r="P719" i="7"/>
  <c r="P718" i="7"/>
  <c r="P717" i="7"/>
  <c r="P716" i="7"/>
  <c r="P715" i="7"/>
  <c r="P714" i="7"/>
  <c r="P713" i="7"/>
  <c r="P712" i="7"/>
  <c r="P711" i="7"/>
  <c r="P710" i="7"/>
  <c r="P709" i="7"/>
  <c r="P708" i="7"/>
  <c r="P707" i="7"/>
  <c r="P706" i="7"/>
  <c r="P705" i="7"/>
  <c r="P704" i="7"/>
  <c r="P703" i="7"/>
  <c r="P702" i="7"/>
  <c r="P701" i="7"/>
  <c r="P700" i="7"/>
  <c r="P699" i="7"/>
  <c r="P698" i="7"/>
  <c r="P697" i="7"/>
  <c r="P696" i="7"/>
  <c r="P695" i="7"/>
  <c r="P694" i="7"/>
  <c r="P693" i="7"/>
  <c r="P692" i="7"/>
  <c r="P691" i="7"/>
  <c r="P690" i="7"/>
  <c r="P689" i="7"/>
  <c r="P688" i="7"/>
  <c r="P687" i="7"/>
  <c r="P686" i="7"/>
  <c r="P685" i="7"/>
  <c r="P684" i="7"/>
  <c r="P683" i="7"/>
  <c r="P682" i="7"/>
  <c r="P681" i="7"/>
  <c r="P680" i="7"/>
  <c r="P679" i="7"/>
  <c r="P678" i="7"/>
  <c r="P677" i="7"/>
  <c r="P676" i="7"/>
  <c r="P675" i="7"/>
  <c r="P674" i="7"/>
  <c r="P673" i="7"/>
  <c r="P672" i="7"/>
  <c r="P668" i="7"/>
  <c r="P667" i="7"/>
  <c r="P666" i="7"/>
  <c r="P665" i="7"/>
  <c r="P664" i="7"/>
  <c r="P663" i="7"/>
  <c r="P662" i="7"/>
  <c r="P661" i="7"/>
  <c r="P660" i="7"/>
  <c r="P659" i="7"/>
  <c r="P658" i="7"/>
  <c r="P657" i="7"/>
  <c r="P656" i="7"/>
  <c r="P655" i="7"/>
  <c r="P654" i="7"/>
  <c r="P653" i="7"/>
  <c r="P652" i="7"/>
  <c r="P651" i="7"/>
  <c r="P650" i="7"/>
  <c r="P646" i="7"/>
  <c r="P645" i="7"/>
  <c r="P644" i="7"/>
  <c r="P643" i="7"/>
  <c r="P642" i="7"/>
  <c r="P638" i="7"/>
  <c r="P637" i="7"/>
  <c r="P636" i="7"/>
  <c r="P635" i="7"/>
  <c r="P634" i="7"/>
  <c r="P633" i="7"/>
  <c r="P632" i="7"/>
  <c r="P631" i="7"/>
  <c r="P629" i="7"/>
  <c r="P628" i="7"/>
  <c r="P627" i="7"/>
  <c r="P626" i="7"/>
  <c r="P623" i="7"/>
  <c r="P622" i="7"/>
  <c r="P621" i="7"/>
  <c r="P620" i="7"/>
  <c r="P619" i="7"/>
  <c r="P618" i="7"/>
  <c r="P617" i="7"/>
  <c r="P614" i="7"/>
  <c r="P613" i="7"/>
  <c r="P612" i="7"/>
  <c r="P609" i="7"/>
  <c r="P606" i="7"/>
  <c r="P605" i="7"/>
  <c r="P604" i="7"/>
  <c r="P603" i="7"/>
  <c r="P602" i="7"/>
  <c r="P601" i="7"/>
  <c r="P600" i="7"/>
  <c r="P599" i="7"/>
  <c r="P598" i="7"/>
  <c r="P597" i="7"/>
  <c r="P596" i="7"/>
  <c r="P595" i="7"/>
  <c r="P594" i="7"/>
  <c r="P593" i="7"/>
  <c r="P592" i="7"/>
  <c r="P591" i="7"/>
  <c r="P590" i="7"/>
  <c r="P589" i="7"/>
  <c r="P588" i="7"/>
  <c r="P587" i="7"/>
  <c r="P586" i="7"/>
  <c r="P585" i="7"/>
  <c r="P584" i="7"/>
  <c r="P583" i="7"/>
  <c r="P582" i="7"/>
  <c r="P581" i="7"/>
  <c r="P580" i="7"/>
  <c r="P579" i="7"/>
  <c r="P578" i="7"/>
  <c r="P577" i="7"/>
  <c r="P576" i="7"/>
  <c r="P575" i="7"/>
  <c r="P574" i="7"/>
  <c r="P573" i="7"/>
  <c r="P572" i="7"/>
  <c r="P571" i="7"/>
  <c r="P570" i="7"/>
  <c r="P568" i="7"/>
  <c r="P567" i="7"/>
  <c r="P566" i="7"/>
  <c r="P565" i="7"/>
  <c r="P564" i="7"/>
  <c r="P563" i="7"/>
  <c r="P562" i="7"/>
  <c r="P561" i="7"/>
  <c r="P560" i="7"/>
  <c r="P559" i="7"/>
  <c r="P558" i="7"/>
  <c r="P557" i="7"/>
  <c r="P556" i="7"/>
  <c r="P554" i="7"/>
  <c r="P553" i="7"/>
  <c r="P552" i="7"/>
  <c r="P550" i="7"/>
  <c r="P549" i="7"/>
  <c r="P548" i="7"/>
  <c r="P547" i="7"/>
  <c r="P546" i="7"/>
  <c r="P545" i="7"/>
  <c r="P544" i="7"/>
  <c r="P543" i="7"/>
  <c r="P542" i="7"/>
  <c r="P541" i="7"/>
  <c r="P540" i="7"/>
  <c r="P539" i="7"/>
  <c r="P538" i="7"/>
  <c r="P537" i="7"/>
  <c r="P536" i="7"/>
  <c r="P534" i="7"/>
  <c r="P533" i="7"/>
  <c r="P532" i="7"/>
  <c r="P531" i="7"/>
  <c r="P530" i="7"/>
  <c r="P528" i="7"/>
  <c r="P527" i="7"/>
  <c r="P526" i="7"/>
  <c r="P525" i="7"/>
  <c r="P524" i="7"/>
  <c r="P523" i="7"/>
  <c r="P522" i="7"/>
  <c r="P521" i="7"/>
  <c r="P520" i="7"/>
  <c r="P519" i="7"/>
  <c r="P517" i="7"/>
  <c r="P516" i="7"/>
  <c r="P515" i="7"/>
  <c r="P514" i="7"/>
  <c r="P513" i="7"/>
  <c r="P511" i="7"/>
  <c r="P510" i="7"/>
  <c r="P506" i="7"/>
  <c r="P505" i="7"/>
  <c r="P504" i="7"/>
  <c r="P501" i="7"/>
  <c r="P500" i="7"/>
  <c r="P499" i="7"/>
  <c r="P497" i="7"/>
  <c r="P496" i="7"/>
  <c r="P495" i="7"/>
  <c r="P494" i="7"/>
  <c r="P493" i="7"/>
  <c r="P492" i="7"/>
  <c r="P491" i="7"/>
  <c r="P488" i="7"/>
  <c r="P487" i="7"/>
  <c r="P486" i="7"/>
  <c r="P485" i="7"/>
  <c r="P484" i="7"/>
  <c r="P483" i="7"/>
  <c r="P482" i="7"/>
  <c r="P480" i="7"/>
  <c r="P479" i="7"/>
  <c r="P478" i="7"/>
  <c r="P477" i="7"/>
  <c r="P476" i="7"/>
  <c r="P475" i="7"/>
  <c r="P474" i="7"/>
  <c r="P473" i="7"/>
  <c r="P472" i="7"/>
  <c r="P471" i="7"/>
  <c r="P470" i="7"/>
  <c r="P469" i="7"/>
  <c r="P468" i="7"/>
  <c r="P467" i="7"/>
  <c r="P466" i="7"/>
  <c r="P465" i="7"/>
  <c r="P464" i="7"/>
  <c r="P463" i="7"/>
  <c r="P462" i="7"/>
  <c r="P461" i="7"/>
  <c r="P459" i="7"/>
  <c r="P458" i="7"/>
  <c r="P457" i="7"/>
  <c r="P456" i="7"/>
  <c r="P455" i="7"/>
  <c r="P454" i="7"/>
  <c r="P453" i="7"/>
  <c r="P452" i="7"/>
  <c r="P451" i="7"/>
  <c r="P450" i="7"/>
  <c r="P449" i="7"/>
  <c r="P448" i="7"/>
  <c r="P447" i="7"/>
  <c r="P446" i="7"/>
  <c r="P445" i="7"/>
  <c r="P444" i="7"/>
  <c r="P443" i="7"/>
  <c r="P442" i="7"/>
  <c r="P441" i="7"/>
  <c r="P440" i="7"/>
  <c r="P439" i="7"/>
  <c r="P438" i="7"/>
  <c r="P437" i="7"/>
  <c r="P436" i="7"/>
  <c r="P435" i="7"/>
  <c r="P434" i="7"/>
  <c r="P433" i="7"/>
  <c r="P432" i="7"/>
  <c r="P431" i="7"/>
  <c r="P430" i="7"/>
  <c r="P429" i="7"/>
  <c r="P428" i="7"/>
  <c r="P427" i="7"/>
  <c r="P426" i="7"/>
  <c r="P425" i="7"/>
  <c r="P424" i="7"/>
  <c r="P423" i="7"/>
  <c r="P422" i="7"/>
  <c r="P421" i="7"/>
  <c r="P420" i="7"/>
  <c r="P419" i="7"/>
  <c r="P418" i="7"/>
  <c r="P417" i="7"/>
  <c r="P416" i="7"/>
  <c r="P415" i="7"/>
  <c r="P414" i="7"/>
  <c r="P413" i="7"/>
  <c r="P412" i="7"/>
  <c r="P411" i="7"/>
  <c r="P410" i="7"/>
  <c r="P409" i="7"/>
  <c r="P408" i="7"/>
  <c r="P407" i="7"/>
  <c r="P406" i="7"/>
  <c r="P405" i="7"/>
  <c r="P404" i="7"/>
  <c r="P403" i="7"/>
  <c r="P402" i="7"/>
  <c r="P401" i="7"/>
  <c r="P400" i="7"/>
  <c r="P399" i="7"/>
  <c r="P398" i="7"/>
  <c r="P397" i="7"/>
  <c r="P396" i="7"/>
  <c r="P395" i="7"/>
  <c r="P394" i="7"/>
  <c r="P393" i="7"/>
  <c r="P392" i="7"/>
  <c r="P391" i="7"/>
  <c r="P390" i="7"/>
  <c r="P389" i="7"/>
  <c r="P388" i="7"/>
  <c r="P387" i="7"/>
  <c r="P386" i="7"/>
  <c r="P385" i="7"/>
  <c r="P384" i="7"/>
  <c r="P383" i="7"/>
  <c r="P382" i="7"/>
  <c r="P381" i="7"/>
  <c r="P380" i="7"/>
  <c r="P379" i="7"/>
  <c r="P378" i="7"/>
  <c r="P377" i="7"/>
  <c r="P376" i="7"/>
  <c r="P375" i="7"/>
  <c r="P374" i="7"/>
  <c r="P373" i="7"/>
  <c r="P372" i="7"/>
  <c r="P371" i="7"/>
  <c r="P370" i="7"/>
  <c r="P369" i="7"/>
  <c r="P368" i="7"/>
  <c r="P367" i="7"/>
  <c r="P366" i="7"/>
  <c r="P365" i="7"/>
  <c r="P364" i="7"/>
  <c r="P363" i="7"/>
  <c r="P362" i="7"/>
  <c r="P361" i="7"/>
  <c r="P360" i="7"/>
  <c r="P359" i="7"/>
  <c r="P358" i="7"/>
  <c r="P357" i="7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85" i="7"/>
  <c r="P284" i="7"/>
  <c r="P283" i="7"/>
  <c r="P282" i="7"/>
  <c r="P281" i="7"/>
  <c r="P280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4" i="7"/>
  <c r="P242" i="7"/>
  <c r="P241" i="7"/>
  <c r="P238" i="7"/>
  <c r="P233" i="7"/>
  <c r="P232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3" i="7"/>
  <c r="P170" i="7"/>
  <c r="P164" i="7"/>
  <c r="P163" i="7"/>
  <c r="P162" i="7"/>
  <c r="P159" i="7"/>
  <c r="P158" i="7"/>
  <c r="P157" i="7"/>
  <c r="P156" i="7"/>
  <c r="P155" i="7"/>
  <c r="P154" i="7"/>
  <c r="P153" i="7"/>
  <c r="P152" i="7"/>
  <c r="P151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O1972" i="7"/>
  <c r="O1971" i="7"/>
  <c r="O1970" i="7"/>
  <c r="O1969" i="7"/>
  <c r="O1968" i="7"/>
  <c r="O1967" i="7"/>
  <c r="O1966" i="7"/>
  <c r="O1965" i="7"/>
  <c r="O1964" i="7"/>
  <c r="O1963" i="7"/>
  <c r="O1962" i="7"/>
  <c r="O1961" i="7"/>
  <c r="O1960" i="7"/>
  <c r="O1959" i="7"/>
  <c r="O1958" i="7"/>
  <c r="O1957" i="7"/>
  <c r="O1956" i="7"/>
  <c r="O1955" i="7"/>
  <c r="O1954" i="7"/>
  <c r="O1953" i="7"/>
  <c r="O1952" i="7"/>
  <c r="O1951" i="7"/>
  <c r="O1950" i="7"/>
  <c r="O1949" i="7"/>
  <c r="O1948" i="7"/>
  <c r="O1947" i="7"/>
  <c r="O1946" i="7"/>
  <c r="O1945" i="7"/>
  <c r="O1944" i="7"/>
  <c r="O1943" i="7"/>
  <c r="O1942" i="7"/>
  <c r="O1941" i="7"/>
  <c r="O1940" i="7"/>
  <c r="O1939" i="7"/>
  <c r="O1938" i="7"/>
  <c r="O1937" i="7"/>
  <c r="O1936" i="7"/>
  <c r="O1935" i="7"/>
  <c r="O1934" i="7"/>
  <c r="O1933" i="7"/>
  <c r="O1932" i="7"/>
  <c r="O1931" i="7"/>
  <c r="O1930" i="7"/>
  <c r="O1929" i="7"/>
  <c r="O1928" i="7"/>
  <c r="O1927" i="7"/>
  <c r="O1926" i="7"/>
  <c r="O1925" i="7"/>
  <c r="O1924" i="7"/>
  <c r="O1923" i="7"/>
  <c r="O1922" i="7"/>
  <c r="O1921" i="7"/>
  <c r="O1920" i="7"/>
  <c r="O1919" i="7"/>
  <c r="O1918" i="7"/>
  <c r="O1917" i="7"/>
  <c r="O1916" i="7"/>
  <c r="O1915" i="7"/>
  <c r="O1914" i="7"/>
  <c r="O1913" i="7"/>
  <c r="O1912" i="7"/>
  <c r="O1911" i="7"/>
  <c r="O1910" i="7"/>
  <c r="O1909" i="7"/>
  <c r="O1908" i="7"/>
  <c r="O1907" i="7"/>
  <c r="O1906" i="7"/>
  <c r="O1905" i="7"/>
  <c r="O1904" i="7"/>
  <c r="O1903" i="7"/>
  <c r="O1902" i="7"/>
  <c r="O1901" i="7"/>
  <c r="O1900" i="7"/>
  <c r="O1899" i="7"/>
  <c r="O1898" i="7"/>
  <c r="O1897" i="7"/>
  <c r="O1896" i="7"/>
  <c r="O1895" i="7"/>
  <c r="O1894" i="7"/>
  <c r="O1893" i="7"/>
  <c r="O1892" i="7"/>
  <c r="O1891" i="7"/>
  <c r="O1890" i="7"/>
  <c r="O1889" i="7"/>
  <c r="O1886" i="7"/>
  <c r="O1885" i="7"/>
  <c r="O1884" i="7"/>
  <c r="O1883" i="7"/>
  <c r="O1882" i="7"/>
  <c r="O1881" i="7"/>
  <c r="O1880" i="7"/>
  <c r="O1879" i="7"/>
  <c r="O1878" i="7"/>
  <c r="O1877" i="7"/>
  <c r="O1876" i="7"/>
  <c r="O1875" i="7"/>
  <c r="O1874" i="7"/>
  <c r="O1873" i="7"/>
  <c r="O1872" i="7"/>
  <c r="O1871" i="7"/>
  <c r="O1870" i="7"/>
  <c r="O1869" i="7"/>
  <c r="O1868" i="7"/>
  <c r="O1867" i="7"/>
  <c r="O1866" i="7"/>
  <c r="O1865" i="7"/>
  <c r="O1864" i="7"/>
  <c r="O1863" i="7"/>
  <c r="O1862" i="7"/>
  <c r="O1861" i="7"/>
  <c r="O1860" i="7"/>
  <c r="O1859" i="7"/>
  <c r="O1858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89" i="7"/>
  <c r="O1784" i="7"/>
  <c r="O1783" i="7"/>
  <c r="O1781" i="7"/>
  <c r="O1780" i="7"/>
  <c r="O1778" i="7"/>
  <c r="O1773" i="7"/>
  <c r="O1772" i="7"/>
  <c r="O1771" i="7"/>
  <c r="O1766" i="7"/>
  <c r="O1763" i="7"/>
  <c r="O1762" i="7"/>
  <c r="O1761" i="7"/>
  <c r="O1760" i="7"/>
  <c r="O1759" i="7"/>
  <c r="O1758" i="7"/>
  <c r="O1757" i="7"/>
  <c r="O1756" i="7"/>
  <c r="O1755" i="7"/>
  <c r="O1754" i="7"/>
  <c r="O1750" i="7"/>
  <c r="O1749" i="7"/>
  <c r="O1748" i="7"/>
  <c r="O1747" i="7"/>
  <c r="O1746" i="7"/>
  <c r="O1743" i="7"/>
  <c r="O1742" i="7"/>
  <c r="O1741" i="7"/>
  <c r="O1740" i="7"/>
  <c r="O1738" i="7"/>
  <c r="O1737" i="7"/>
  <c r="O1736" i="7"/>
  <c r="O1735" i="7"/>
  <c r="O1733" i="7"/>
  <c r="O1732" i="7"/>
  <c r="O1731" i="7"/>
  <c r="O1730" i="7"/>
  <c r="O1729" i="7"/>
  <c r="O1726" i="7"/>
  <c r="O1725" i="7"/>
  <c r="O1724" i="7"/>
  <c r="O1723" i="7"/>
  <c r="O1719" i="7"/>
  <c r="O1717" i="7"/>
  <c r="O1716" i="7"/>
  <c r="O1715" i="7"/>
  <c r="O1714" i="7"/>
  <c r="O1713" i="7"/>
  <c r="O1712" i="7"/>
  <c r="O1711" i="7"/>
  <c r="O1708" i="7"/>
  <c r="O1707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8" i="7"/>
  <c r="O1667" i="7"/>
  <c r="O1666" i="7"/>
  <c r="O1665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47" i="7"/>
  <c r="O1646" i="7"/>
  <c r="O1645" i="7"/>
  <c r="O1644" i="7"/>
  <c r="O1643" i="7"/>
  <c r="O1642" i="7"/>
  <c r="O1641" i="7"/>
  <c r="O1640" i="7"/>
  <c r="O1639" i="7"/>
  <c r="O1638" i="7"/>
  <c r="O1637" i="7"/>
  <c r="O1636" i="7"/>
  <c r="O1635" i="7"/>
  <c r="O1634" i="7"/>
  <c r="O1633" i="7"/>
  <c r="O1632" i="7"/>
  <c r="O1631" i="7"/>
  <c r="O1630" i="7"/>
  <c r="O1629" i="7"/>
  <c r="O1628" i="7"/>
  <c r="O1627" i="7"/>
  <c r="O1626" i="7"/>
  <c r="O1625" i="7"/>
  <c r="O1624" i="7"/>
  <c r="O1623" i="7"/>
  <c r="O1622" i="7"/>
  <c r="O1621" i="7"/>
  <c r="O1620" i="7"/>
  <c r="O1619" i="7"/>
  <c r="O1618" i="7"/>
  <c r="O1617" i="7"/>
  <c r="O1616" i="7"/>
  <c r="O1615" i="7"/>
  <c r="O1614" i="7"/>
  <c r="O1613" i="7"/>
  <c r="O1612" i="7"/>
  <c r="O1611" i="7"/>
  <c r="O1610" i="7"/>
  <c r="O1609" i="7"/>
  <c r="O1608" i="7"/>
  <c r="O1607" i="7"/>
  <c r="O1606" i="7"/>
  <c r="O1605" i="7"/>
  <c r="O1604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9" i="7"/>
  <c r="O1528" i="7"/>
  <c r="O1527" i="7"/>
  <c r="O1526" i="7"/>
  <c r="O1525" i="7"/>
  <c r="O1524" i="7"/>
  <c r="O1523" i="7"/>
  <c r="O1522" i="7"/>
  <c r="O1521" i="7"/>
  <c r="O1520" i="7"/>
  <c r="O1519" i="7"/>
  <c r="O1518" i="7"/>
  <c r="O1517" i="7"/>
  <c r="O1516" i="7"/>
  <c r="O1515" i="7"/>
  <c r="O1514" i="7"/>
  <c r="O1513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500" i="7"/>
  <c r="O1499" i="7"/>
  <c r="O1498" i="7"/>
  <c r="O1497" i="7"/>
  <c r="O1496" i="7"/>
  <c r="O1495" i="7"/>
  <c r="O1494" i="7"/>
  <c r="O1493" i="7"/>
  <c r="O1492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464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9" i="7"/>
  <c r="O1428" i="7"/>
  <c r="O1427" i="7"/>
  <c r="O1426" i="7"/>
  <c r="O1425" i="7"/>
  <c r="O1424" i="7"/>
  <c r="O1423" i="7"/>
  <c r="O1422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O1276" i="7"/>
  <c r="O1275" i="7"/>
  <c r="O1274" i="7"/>
  <c r="O1273" i="7"/>
  <c r="O1272" i="7"/>
  <c r="O1271" i="7"/>
  <c r="O1270" i="7"/>
  <c r="O1269" i="7"/>
  <c r="O1268" i="7"/>
  <c r="O1267" i="7"/>
  <c r="O1266" i="7"/>
  <c r="O1265" i="7"/>
  <c r="O1264" i="7"/>
  <c r="O1263" i="7"/>
  <c r="O1262" i="7"/>
  <c r="O1261" i="7"/>
  <c r="O1260" i="7"/>
  <c r="O1259" i="7"/>
  <c r="O1258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70" i="7"/>
  <c r="O1169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6" i="7"/>
  <c r="O1125" i="7"/>
  <c r="O1124" i="7"/>
  <c r="O1123" i="7"/>
  <c r="O1122" i="7"/>
  <c r="O1121" i="7"/>
  <c r="O1120" i="7"/>
  <c r="O1119" i="7"/>
  <c r="O1118" i="7"/>
  <c r="O1117" i="7"/>
  <c r="O1116" i="7"/>
  <c r="O1115" i="7"/>
  <c r="O1114" i="7"/>
  <c r="O1113" i="7"/>
  <c r="O1112" i="7"/>
  <c r="O1111" i="7"/>
  <c r="O1110" i="7"/>
  <c r="O1109" i="7"/>
  <c r="O1108" i="7"/>
  <c r="O1107" i="7"/>
  <c r="O1106" i="7"/>
  <c r="O1105" i="7"/>
  <c r="O1104" i="7"/>
  <c r="O1103" i="7"/>
  <c r="O1102" i="7"/>
  <c r="O1101" i="7"/>
  <c r="O1100" i="7"/>
  <c r="O1099" i="7"/>
  <c r="O1098" i="7"/>
  <c r="O1097" i="7"/>
  <c r="O1096" i="7"/>
  <c r="O1095" i="7"/>
  <c r="O1094" i="7"/>
  <c r="O1093" i="7"/>
  <c r="O1092" i="7"/>
  <c r="O1091" i="7"/>
  <c r="O1090" i="7"/>
  <c r="O1089" i="7"/>
  <c r="O1088" i="7"/>
  <c r="O1087" i="7"/>
  <c r="O1086" i="7"/>
  <c r="O1085" i="7"/>
  <c r="O1084" i="7"/>
  <c r="O1083" i="7"/>
  <c r="O1082" i="7"/>
  <c r="O1081" i="7"/>
  <c r="O1080" i="7"/>
  <c r="O1079" i="7"/>
  <c r="O1078" i="7"/>
  <c r="O1077" i="7"/>
  <c r="O1076" i="7"/>
  <c r="O1075" i="7"/>
  <c r="O1074" i="7"/>
  <c r="O1073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O1060" i="7"/>
  <c r="O1059" i="7"/>
  <c r="O1058" i="7"/>
  <c r="O1057" i="7"/>
  <c r="O1056" i="7"/>
  <c r="O1055" i="7"/>
  <c r="O1054" i="7"/>
  <c r="O1053" i="7"/>
  <c r="O1052" i="7"/>
  <c r="O1051" i="7"/>
  <c r="O1050" i="7"/>
  <c r="O1049" i="7"/>
  <c r="O1048" i="7"/>
  <c r="O1047" i="7"/>
  <c r="O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5" i="7"/>
  <c r="O1024" i="7"/>
  <c r="O1023" i="7"/>
  <c r="O1022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O1009" i="7"/>
  <c r="O1008" i="7"/>
  <c r="O1007" i="7"/>
  <c r="O1006" i="7"/>
  <c r="O1005" i="7"/>
  <c r="O1004" i="7"/>
  <c r="O1003" i="7"/>
  <c r="O1002" i="7"/>
  <c r="O1001" i="7"/>
  <c r="O1000" i="7"/>
  <c r="O999" i="7"/>
  <c r="O998" i="7"/>
  <c r="O997" i="7"/>
  <c r="O996" i="7"/>
  <c r="O995" i="7"/>
  <c r="O994" i="7"/>
  <c r="O993" i="7"/>
  <c r="O992" i="7"/>
  <c r="O991" i="7"/>
  <c r="O990" i="7"/>
  <c r="O989" i="7"/>
  <c r="O988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9" i="7"/>
  <c r="O958" i="7"/>
  <c r="O957" i="7"/>
  <c r="O956" i="7"/>
  <c r="O955" i="7"/>
  <c r="O954" i="7"/>
  <c r="O953" i="7"/>
  <c r="O952" i="7"/>
  <c r="O937" i="7"/>
  <c r="O936" i="7"/>
  <c r="O935" i="7"/>
  <c r="O934" i="7"/>
  <c r="O933" i="7"/>
  <c r="O932" i="7"/>
  <c r="O931" i="7"/>
  <c r="O930" i="7"/>
  <c r="O929" i="7"/>
  <c r="O928" i="7"/>
  <c r="O927" i="7"/>
  <c r="O926" i="7"/>
  <c r="O925" i="7"/>
  <c r="O924" i="7"/>
  <c r="O923" i="7"/>
  <c r="O922" i="7"/>
  <c r="O921" i="7"/>
  <c r="O920" i="7"/>
  <c r="O919" i="7"/>
  <c r="O918" i="7"/>
  <c r="O917" i="7"/>
  <c r="O916" i="7"/>
  <c r="O915" i="7"/>
  <c r="O914" i="7"/>
  <c r="O913" i="7"/>
  <c r="O912" i="7"/>
  <c r="O911" i="7"/>
  <c r="O910" i="7"/>
  <c r="O909" i="7"/>
  <c r="O908" i="7"/>
  <c r="O907" i="7"/>
  <c r="O906" i="7"/>
  <c r="O905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2" i="7"/>
  <c r="O891" i="7"/>
  <c r="O890" i="7"/>
  <c r="O889" i="7"/>
  <c r="O888" i="7"/>
  <c r="O887" i="7"/>
  <c r="O886" i="7"/>
  <c r="O885" i="7"/>
  <c r="O884" i="7"/>
  <c r="O883" i="7"/>
  <c r="O882" i="7"/>
  <c r="O881" i="7"/>
  <c r="O880" i="7"/>
  <c r="O879" i="7"/>
  <c r="O878" i="7"/>
  <c r="O877" i="7"/>
  <c r="O876" i="7"/>
  <c r="O875" i="7"/>
  <c r="O874" i="7"/>
  <c r="O873" i="7"/>
  <c r="O872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5" i="7"/>
  <c r="O854" i="7"/>
  <c r="O853" i="7"/>
  <c r="O852" i="7"/>
  <c r="O851" i="7"/>
  <c r="O850" i="7"/>
  <c r="O849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4" i="7"/>
  <c r="O673" i="7"/>
  <c r="O672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6" i="7"/>
  <c r="O645" i="7"/>
  <c r="O644" i="7"/>
  <c r="O643" i="7"/>
  <c r="O642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3" i="7"/>
  <c r="O622" i="7"/>
  <c r="O621" i="7"/>
  <c r="O620" i="7"/>
  <c r="O619" i="7"/>
  <c r="O618" i="7"/>
  <c r="O617" i="7"/>
  <c r="O616" i="7"/>
  <c r="O614" i="7"/>
  <c r="O613" i="7"/>
  <c r="O612" i="7"/>
  <c r="O611" i="7"/>
  <c r="O609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8" i="7"/>
  <c r="O527" i="7"/>
  <c r="O526" i="7"/>
  <c r="O525" i="7"/>
  <c r="O524" i="7"/>
  <c r="O523" i="7"/>
  <c r="O522" i="7"/>
  <c r="O521" i="7"/>
  <c r="O520" i="7"/>
  <c r="O519" i="7"/>
  <c r="O517" i="7"/>
  <c r="O516" i="7"/>
  <c r="O515" i="7"/>
  <c r="O514" i="7"/>
  <c r="O513" i="7"/>
  <c r="O511" i="7"/>
  <c r="O510" i="7"/>
  <c r="O506" i="7"/>
  <c r="O505" i="7"/>
  <c r="O504" i="7"/>
  <c r="O501" i="7"/>
  <c r="O500" i="7"/>
  <c r="O499" i="7"/>
  <c r="O497" i="7"/>
  <c r="O496" i="7"/>
  <c r="O495" i="7"/>
  <c r="O494" i="7"/>
  <c r="O493" i="7"/>
  <c r="O492" i="7"/>
  <c r="O491" i="7"/>
  <c r="O488" i="7"/>
  <c r="O487" i="7"/>
  <c r="O486" i="7"/>
  <c r="O485" i="7"/>
  <c r="O484" i="7"/>
  <c r="O483" i="7"/>
  <c r="O482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4" i="7"/>
  <c r="O242" i="7"/>
  <c r="O241" i="7"/>
  <c r="O238" i="7"/>
  <c r="O233" i="7"/>
  <c r="O232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3" i="7"/>
  <c r="O172" i="7"/>
  <c r="O171" i="7"/>
  <c r="O170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N1972" i="7"/>
  <c r="N1971" i="7"/>
  <c r="N1970" i="7"/>
  <c r="N1969" i="7"/>
  <c r="N1968" i="7"/>
  <c r="N1967" i="7"/>
  <c r="N1966" i="7"/>
  <c r="N1965" i="7"/>
  <c r="N1964" i="7"/>
  <c r="N1963" i="7"/>
  <c r="N1962" i="7"/>
  <c r="N1961" i="7"/>
  <c r="N1960" i="7"/>
  <c r="N1959" i="7"/>
  <c r="N1958" i="7"/>
  <c r="N1957" i="7"/>
  <c r="N1956" i="7"/>
  <c r="N1955" i="7"/>
  <c r="N1954" i="7"/>
  <c r="N1953" i="7"/>
  <c r="N1952" i="7"/>
  <c r="N1951" i="7"/>
  <c r="N1950" i="7"/>
  <c r="N1949" i="7"/>
  <c r="N1948" i="7"/>
  <c r="N1947" i="7"/>
  <c r="N1946" i="7"/>
  <c r="N1945" i="7"/>
  <c r="N1944" i="7"/>
  <c r="N1943" i="7"/>
  <c r="N1942" i="7"/>
  <c r="N1941" i="7"/>
  <c r="N1940" i="7"/>
  <c r="N1939" i="7"/>
  <c r="N1938" i="7"/>
  <c r="N1937" i="7"/>
  <c r="N1936" i="7"/>
  <c r="N1935" i="7"/>
  <c r="N1934" i="7"/>
  <c r="N1933" i="7"/>
  <c r="N1932" i="7"/>
  <c r="N1931" i="7"/>
  <c r="N1930" i="7"/>
  <c r="N1929" i="7"/>
  <c r="N1928" i="7"/>
  <c r="N1927" i="7"/>
  <c r="N1926" i="7"/>
  <c r="N1925" i="7"/>
  <c r="N1924" i="7"/>
  <c r="N1923" i="7"/>
  <c r="N1922" i="7"/>
  <c r="N1921" i="7"/>
  <c r="N1920" i="7"/>
  <c r="N1919" i="7"/>
  <c r="N1918" i="7"/>
  <c r="N1917" i="7"/>
  <c r="N1916" i="7"/>
  <c r="N1915" i="7"/>
  <c r="N1914" i="7"/>
  <c r="N1913" i="7"/>
  <c r="N1912" i="7"/>
  <c r="N1911" i="7"/>
  <c r="N1910" i="7"/>
  <c r="N1909" i="7"/>
  <c r="N1908" i="7"/>
  <c r="N1907" i="7"/>
  <c r="N1906" i="7"/>
  <c r="N1905" i="7"/>
  <c r="N1904" i="7"/>
  <c r="N1903" i="7"/>
  <c r="N1902" i="7"/>
  <c r="N1901" i="7"/>
  <c r="N1900" i="7"/>
  <c r="N1899" i="7"/>
  <c r="N1898" i="7"/>
  <c r="N1897" i="7"/>
  <c r="N1896" i="7"/>
  <c r="N1895" i="7"/>
  <c r="N1894" i="7"/>
  <c r="N1893" i="7"/>
  <c r="N1892" i="7"/>
  <c r="N1891" i="7"/>
  <c r="N1890" i="7"/>
  <c r="N1889" i="7"/>
  <c r="N1886" i="7"/>
  <c r="N1885" i="7"/>
  <c r="N1884" i="7"/>
  <c r="N1883" i="7"/>
  <c r="N1882" i="7"/>
  <c r="N1881" i="7"/>
  <c r="N1880" i="7"/>
  <c r="N1879" i="7"/>
  <c r="N1878" i="7"/>
  <c r="N1877" i="7"/>
  <c r="N1876" i="7"/>
  <c r="N1875" i="7"/>
  <c r="N1874" i="7"/>
  <c r="N1873" i="7"/>
  <c r="N1872" i="7"/>
  <c r="N1871" i="7"/>
  <c r="N1870" i="7"/>
  <c r="N1869" i="7"/>
  <c r="N1868" i="7"/>
  <c r="N1867" i="7"/>
  <c r="N1866" i="7"/>
  <c r="N1865" i="7"/>
  <c r="N1864" i="7"/>
  <c r="N1863" i="7"/>
  <c r="N1862" i="7"/>
  <c r="N1861" i="7"/>
  <c r="N1860" i="7"/>
  <c r="N1859" i="7"/>
  <c r="N1858" i="7"/>
  <c r="N1857" i="7"/>
  <c r="N1856" i="7"/>
  <c r="N1855" i="7"/>
  <c r="N1854" i="7"/>
  <c r="N1853" i="7"/>
  <c r="N1852" i="7"/>
  <c r="N1851" i="7"/>
  <c r="N1850" i="7"/>
  <c r="N1849" i="7"/>
  <c r="N1848" i="7"/>
  <c r="N1847" i="7"/>
  <c r="N1846" i="7"/>
  <c r="N1845" i="7"/>
  <c r="N1844" i="7"/>
  <c r="N1843" i="7"/>
  <c r="N1842" i="7"/>
  <c r="N1841" i="7"/>
  <c r="N1840" i="7"/>
  <c r="N1839" i="7"/>
  <c r="N1838" i="7"/>
  <c r="N1837" i="7"/>
  <c r="N1836" i="7"/>
  <c r="N1835" i="7"/>
  <c r="N1834" i="7"/>
  <c r="N1833" i="7"/>
  <c r="N1832" i="7"/>
  <c r="N1831" i="7"/>
  <c r="N1830" i="7"/>
  <c r="N1829" i="7"/>
  <c r="N1828" i="7"/>
  <c r="N1827" i="7"/>
  <c r="N1826" i="7"/>
  <c r="N1825" i="7"/>
  <c r="N1824" i="7"/>
  <c r="N1823" i="7"/>
  <c r="N1822" i="7"/>
  <c r="N1821" i="7"/>
  <c r="N1820" i="7"/>
  <c r="N1819" i="7"/>
  <c r="N1818" i="7"/>
  <c r="N1817" i="7"/>
  <c r="N1816" i="7"/>
  <c r="N1815" i="7"/>
  <c r="N1814" i="7"/>
  <c r="N1813" i="7"/>
  <c r="N1812" i="7"/>
  <c r="N1811" i="7"/>
  <c r="N1810" i="7"/>
  <c r="N1809" i="7"/>
  <c r="N1808" i="7"/>
  <c r="N1807" i="7"/>
  <c r="N1806" i="7"/>
  <c r="N1805" i="7"/>
  <c r="N1804" i="7"/>
  <c r="N1803" i="7"/>
  <c r="N1802" i="7"/>
  <c r="N1801" i="7"/>
  <c r="N1800" i="7"/>
  <c r="N1799" i="7"/>
  <c r="N1798" i="7"/>
  <c r="N1797" i="7"/>
  <c r="N1796" i="7"/>
  <c r="N1795" i="7"/>
  <c r="N1794" i="7"/>
  <c r="N1793" i="7"/>
  <c r="N1792" i="7"/>
  <c r="N1789" i="7"/>
  <c r="N1786" i="7"/>
  <c r="N1784" i="7"/>
  <c r="N1783" i="7"/>
  <c r="N1781" i="7"/>
  <c r="N1780" i="7"/>
  <c r="N1778" i="7"/>
  <c r="N1776" i="7"/>
  <c r="N1773" i="7"/>
  <c r="N1772" i="7"/>
  <c r="N1771" i="7"/>
  <c r="N1766" i="7"/>
  <c r="N1763" i="7"/>
  <c r="N1762" i="7"/>
  <c r="N1761" i="7"/>
  <c r="N1760" i="7"/>
  <c r="N1759" i="7"/>
  <c r="N1758" i="7"/>
  <c r="N1757" i="7"/>
  <c r="N1756" i="7"/>
  <c r="N1755" i="7"/>
  <c r="N1754" i="7"/>
  <c r="N1753" i="7"/>
  <c r="N1752" i="7"/>
  <c r="N1751" i="7"/>
  <c r="N1750" i="7"/>
  <c r="N1749" i="7"/>
  <c r="N1748" i="7"/>
  <c r="N1747" i="7"/>
  <c r="N1746" i="7"/>
  <c r="N1743" i="7"/>
  <c r="N1741" i="7"/>
  <c r="N1740" i="7"/>
  <c r="N1739" i="7"/>
  <c r="N1737" i="7"/>
  <c r="N1736" i="7"/>
  <c r="N1735" i="7"/>
  <c r="N1734" i="7"/>
  <c r="N1733" i="7"/>
  <c r="N1732" i="7"/>
  <c r="N1731" i="7"/>
  <c r="N1730" i="7"/>
  <c r="N1729" i="7"/>
  <c r="N1728" i="7"/>
  <c r="N1727" i="7"/>
  <c r="N1726" i="7"/>
  <c r="N1725" i="7"/>
  <c r="N1724" i="7"/>
  <c r="N1723" i="7"/>
  <c r="N1722" i="7"/>
  <c r="N1719" i="7"/>
  <c r="N1718" i="7"/>
  <c r="N1717" i="7"/>
  <c r="N1716" i="7"/>
  <c r="N1715" i="7"/>
  <c r="N1714" i="7"/>
  <c r="N1713" i="7"/>
  <c r="N1712" i="7"/>
  <c r="N1711" i="7"/>
  <c r="N1710" i="7"/>
  <c r="N1709" i="7"/>
  <c r="N1708" i="7"/>
  <c r="N1707" i="7"/>
  <c r="N1706" i="7"/>
  <c r="N1705" i="7"/>
  <c r="N1704" i="7"/>
  <c r="N1703" i="7"/>
  <c r="N1702" i="7"/>
  <c r="N1701" i="7"/>
  <c r="N1700" i="7"/>
  <c r="N1699" i="7"/>
  <c r="N1698" i="7"/>
  <c r="N1697" i="7"/>
  <c r="N1696" i="7"/>
  <c r="N1695" i="7"/>
  <c r="N1694" i="7"/>
  <c r="N1693" i="7"/>
  <c r="N1692" i="7"/>
  <c r="N1691" i="7"/>
  <c r="N1690" i="7"/>
  <c r="N1689" i="7"/>
  <c r="N1688" i="7"/>
  <c r="N1687" i="7"/>
  <c r="N1686" i="7"/>
  <c r="N1685" i="7"/>
  <c r="N1684" i="7"/>
  <c r="N1683" i="7"/>
  <c r="N1682" i="7"/>
  <c r="N1681" i="7"/>
  <c r="N1680" i="7"/>
  <c r="N1679" i="7"/>
  <c r="N1678" i="7"/>
  <c r="N1677" i="7"/>
  <c r="N1676" i="7"/>
  <c r="N1675" i="7"/>
  <c r="N1674" i="7"/>
  <c r="N1673" i="7"/>
  <c r="N1672" i="7"/>
  <c r="N1671" i="7"/>
  <c r="N1670" i="7"/>
  <c r="N1669" i="7"/>
  <c r="N1668" i="7"/>
  <c r="N1667" i="7"/>
  <c r="N1666" i="7"/>
  <c r="N1665" i="7"/>
  <c r="N1664" i="7"/>
  <c r="N1663" i="7"/>
  <c r="N1662" i="7"/>
  <c r="N1661" i="7"/>
  <c r="N1660" i="7"/>
  <c r="N1659" i="7"/>
  <c r="N1658" i="7"/>
  <c r="N1657" i="7"/>
  <c r="N1656" i="7"/>
  <c r="N1655" i="7"/>
  <c r="N1654" i="7"/>
  <c r="N1653" i="7"/>
  <c r="N1652" i="7"/>
  <c r="N1651" i="7"/>
  <c r="N1650" i="7"/>
  <c r="N1649" i="7"/>
  <c r="N1648" i="7"/>
  <c r="N1647" i="7"/>
  <c r="N1646" i="7"/>
  <c r="N1645" i="7"/>
  <c r="N1644" i="7"/>
  <c r="N1643" i="7"/>
  <c r="N1642" i="7"/>
  <c r="N1641" i="7"/>
  <c r="N1640" i="7"/>
  <c r="N1639" i="7"/>
  <c r="N1638" i="7"/>
  <c r="N1637" i="7"/>
  <c r="N1636" i="7"/>
  <c r="N1635" i="7"/>
  <c r="N1634" i="7"/>
  <c r="N1633" i="7"/>
  <c r="N1632" i="7"/>
  <c r="N1631" i="7"/>
  <c r="N1630" i="7"/>
  <c r="N1629" i="7"/>
  <c r="N1628" i="7"/>
  <c r="N1627" i="7"/>
  <c r="N1626" i="7"/>
  <c r="N1625" i="7"/>
  <c r="N1624" i="7"/>
  <c r="N1623" i="7"/>
  <c r="N1622" i="7"/>
  <c r="N1621" i="7"/>
  <c r="N1620" i="7"/>
  <c r="N1619" i="7"/>
  <c r="N1618" i="7"/>
  <c r="N1617" i="7"/>
  <c r="N1616" i="7"/>
  <c r="N1615" i="7"/>
  <c r="N1614" i="7"/>
  <c r="N1613" i="7"/>
  <c r="N1612" i="7"/>
  <c r="N1611" i="7"/>
  <c r="N1610" i="7"/>
  <c r="N1609" i="7"/>
  <c r="N1608" i="7"/>
  <c r="N1607" i="7"/>
  <c r="N1606" i="7"/>
  <c r="N1605" i="7"/>
  <c r="N1604" i="7"/>
  <c r="N1603" i="7"/>
  <c r="N1602" i="7"/>
  <c r="N1601" i="7"/>
  <c r="N1600" i="7"/>
  <c r="N1599" i="7"/>
  <c r="N1598" i="7"/>
  <c r="N1597" i="7"/>
  <c r="N1596" i="7"/>
  <c r="N1595" i="7"/>
  <c r="N1594" i="7"/>
  <c r="N1593" i="7"/>
  <c r="N1592" i="7"/>
  <c r="N1591" i="7"/>
  <c r="N1590" i="7"/>
  <c r="N1589" i="7"/>
  <c r="N1588" i="7"/>
  <c r="N1587" i="7"/>
  <c r="N1586" i="7"/>
  <c r="N1585" i="7"/>
  <c r="N1584" i="7"/>
  <c r="N1583" i="7"/>
  <c r="N1582" i="7"/>
  <c r="N1581" i="7"/>
  <c r="N1580" i="7"/>
  <c r="N1579" i="7"/>
  <c r="N1578" i="7"/>
  <c r="N1577" i="7"/>
  <c r="N1576" i="7"/>
  <c r="N1575" i="7"/>
  <c r="N1574" i="7"/>
  <c r="N1573" i="7"/>
  <c r="N1572" i="7"/>
  <c r="N1571" i="7"/>
  <c r="N1570" i="7"/>
  <c r="N1569" i="7"/>
  <c r="N1568" i="7"/>
  <c r="N1567" i="7"/>
  <c r="N1566" i="7"/>
  <c r="N1565" i="7"/>
  <c r="N1564" i="7"/>
  <c r="N1563" i="7"/>
  <c r="N1562" i="7"/>
  <c r="N1561" i="7"/>
  <c r="N1560" i="7"/>
  <c r="N1559" i="7"/>
  <c r="N1558" i="7"/>
  <c r="N1557" i="7"/>
  <c r="N1556" i="7"/>
  <c r="N1555" i="7"/>
  <c r="N1554" i="7"/>
  <c r="N1552" i="7"/>
  <c r="N1551" i="7"/>
  <c r="N1550" i="7"/>
  <c r="N1549" i="7"/>
  <c r="N1548" i="7"/>
  <c r="N1547" i="7"/>
  <c r="N1546" i="7"/>
  <c r="N1545" i="7"/>
  <c r="N1544" i="7"/>
  <c r="N1543" i="7"/>
  <c r="N1542" i="7"/>
  <c r="N1541" i="7"/>
  <c r="N1540" i="7"/>
  <c r="N1539" i="7"/>
  <c r="N1538" i="7"/>
  <c r="N1537" i="7"/>
  <c r="N1536" i="7"/>
  <c r="N1535" i="7"/>
  <c r="N1534" i="7"/>
  <c r="N1533" i="7"/>
  <c r="N1532" i="7"/>
  <c r="N1531" i="7"/>
  <c r="N1530" i="7"/>
  <c r="N1529" i="7"/>
  <c r="N1528" i="7"/>
  <c r="N1527" i="7"/>
  <c r="N1526" i="7"/>
  <c r="N1525" i="7"/>
  <c r="N1524" i="7"/>
  <c r="N1523" i="7"/>
  <c r="N1522" i="7"/>
  <c r="N1521" i="7"/>
  <c r="N1520" i="7"/>
  <c r="N1519" i="7"/>
  <c r="N1518" i="7"/>
  <c r="N1517" i="7"/>
  <c r="N1516" i="7"/>
  <c r="N1515" i="7"/>
  <c r="N1514" i="7"/>
  <c r="N1513" i="7"/>
  <c r="N1512" i="7"/>
  <c r="N1511" i="7"/>
  <c r="N1510" i="7"/>
  <c r="N1509" i="7"/>
  <c r="N1508" i="7"/>
  <c r="N1507" i="7"/>
  <c r="N1506" i="7"/>
  <c r="N1505" i="7"/>
  <c r="N1504" i="7"/>
  <c r="N1503" i="7"/>
  <c r="N1502" i="7"/>
  <c r="N1501" i="7"/>
  <c r="N1500" i="7"/>
  <c r="N1499" i="7"/>
  <c r="N1498" i="7"/>
  <c r="N1497" i="7"/>
  <c r="N1496" i="7"/>
  <c r="N1495" i="7"/>
  <c r="N1494" i="7"/>
  <c r="N1493" i="7"/>
  <c r="N1492" i="7"/>
  <c r="N1491" i="7"/>
  <c r="N1490" i="7"/>
  <c r="N1489" i="7"/>
  <c r="N1488" i="7"/>
  <c r="N1487" i="7"/>
  <c r="N1486" i="7"/>
  <c r="N1485" i="7"/>
  <c r="N1484" i="7"/>
  <c r="N1483" i="7"/>
  <c r="N1482" i="7"/>
  <c r="N1481" i="7"/>
  <c r="N1480" i="7"/>
  <c r="N1479" i="7"/>
  <c r="N1478" i="7"/>
  <c r="N1477" i="7"/>
  <c r="N1476" i="7"/>
  <c r="N1475" i="7"/>
  <c r="N1474" i="7"/>
  <c r="N1473" i="7"/>
  <c r="N1472" i="7"/>
  <c r="N1471" i="7"/>
  <c r="N1470" i="7"/>
  <c r="N1469" i="7"/>
  <c r="N1468" i="7"/>
  <c r="N1467" i="7"/>
  <c r="N1466" i="7"/>
  <c r="N1465" i="7"/>
  <c r="N1464" i="7"/>
  <c r="N1463" i="7"/>
  <c r="N1462" i="7"/>
  <c r="N1461" i="7"/>
  <c r="N1460" i="7"/>
  <c r="N1459" i="7"/>
  <c r="N1458" i="7"/>
  <c r="N1457" i="7"/>
  <c r="N1456" i="7"/>
  <c r="N1455" i="7"/>
  <c r="N1454" i="7"/>
  <c r="N1453" i="7"/>
  <c r="N1452" i="7"/>
  <c r="N1451" i="7"/>
  <c r="N1450" i="7"/>
  <c r="N1449" i="7"/>
  <c r="N1448" i="7"/>
  <c r="N1447" i="7"/>
  <c r="N1446" i="7"/>
  <c r="N1445" i="7"/>
  <c r="N1444" i="7"/>
  <c r="N1443" i="7"/>
  <c r="N1442" i="7"/>
  <c r="N1441" i="7"/>
  <c r="N1440" i="7"/>
  <c r="N1439" i="7"/>
  <c r="N1438" i="7"/>
  <c r="N1437" i="7"/>
  <c r="N1436" i="7"/>
  <c r="N1435" i="7"/>
  <c r="N1434" i="7"/>
  <c r="N1433" i="7"/>
  <c r="N1432" i="7"/>
  <c r="N1431" i="7"/>
  <c r="N1430" i="7"/>
  <c r="N1429" i="7"/>
  <c r="N1428" i="7"/>
  <c r="N1427" i="7"/>
  <c r="N1426" i="7"/>
  <c r="N1425" i="7"/>
  <c r="N1424" i="7"/>
  <c r="N1423" i="7"/>
  <c r="N1422" i="7"/>
  <c r="N1421" i="7"/>
  <c r="N1420" i="7"/>
  <c r="N1419" i="7"/>
  <c r="N1418" i="7"/>
  <c r="N1417" i="7"/>
  <c r="N1416" i="7"/>
  <c r="N1415" i="7"/>
  <c r="N1414" i="7"/>
  <c r="N1413" i="7"/>
  <c r="N1412" i="7"/>
  <c r="N1411" i="7"/>
  <c r="N1410" i="7"/>
  <c r="N1409" i="7"/>
  <c r="N1408" i="7"/>
  <c r="N1407" i="7"/>
  <c r="N1406" i="7"/>
  <c r="N1405" i="7"/>
  <c r="N1404" i="7"/>
  <c r="N1403" i="7"/>
  <c r="N1402" i="7"/>
  <c r="N1401" i="7"/>
  <c r="N1400" i="7"/>
  <c r="N1399" i="7"/>
  <c r="N1398" i="7"/>
  <c r="N1397" i="7"/>
  <c r="N1396" i="7"/>
  <c r="N1395" i="7"/>
  <c r="N1394" i="7"/>
  <c r="N1393" i="7"/>
  <c r="N1392" i="7"/>
  <c r="N1391" i="7"/>
  <c r="N1390" i="7"/>
  <c r="N1389" i="7"/>
  <c r="N1388" i="7"/>
  <c r="N1387" i="7"/>
  <c r="N1386" i="7"/>
  <c r="N1385" i="7"/>
  <c r="N1384" i="7"/>
  <c r="N1383" i="7"/>
  <c r="N1382" i="7"/>
  <c r="N1381" i="7"/>
  <c r="N1380" i="7"/>
  <c r="N1379" i="7"/>
  <c r="N1378" i="7"/>
  <c r="N1377" i="7"/>
  <c r="N1376" i="7"/>
  <c r="N1375" i="7"/>
  <c r="N1374" i="7"/>
  <c r="N1373" i="7"/>
  <c r="N1372" i="7"/>
  <c r="N1371" i="7"/>
  <c r="N1370" i="7"/>
  <c r="N1369" i="7"/>
  <c r="N1368" i="7"/>
  <c r="N1367" i="7"/>
  <c r="N1366" i="7"/>
  <c r="N1365" i="7"/>
  <c r="N1364" i="7"/>
  <c r="N1363" i="7"/>
  <c r="N1362" i="7"/>
  <c r="N1361" i="7"/>
  <c r="N1360" i="7"/>
  <c r="N1359" i="7"/>
  <c r="N1358" i="7"/>
  <c r="N1357" i="7"/>
  <c r="N1356" i="7"/>
  <c r="N1355" i="7"/>
  <c r="N1354" i="7"/>
  <c r="N1353" i="7"/>
  <c r="N1352" i="7"/>
  <c r="N1351" i="7"/>
  <c r="N1350" i="7"/>
  <c r="N1349" i="7"/>
  <c r="N1348" i="7"/>
  <c r="N1347" i="7"/>
  <c r="N1346" i="7"/>
  <c r="N1345" i="7"/>
  <c r="N1344" i="7"/>
  <c r="N1343" i="7"/>
  <c r="N1342" i="7"/>
  <c r="N1341" i="7"/>
  <c r="N1340" i="7"/>
  <c r="N1339" i="7"/>
  <c r="N1338" i="7"/>
  <c r="N1337" i="7"/>
  <c r="N1336" i="7"/>
  <c r="N1335" i="7"/>
  <c r="N1334" i="7"/>
  <c r="N1333" i="7"/>
  <c r="N1332" i="7"/>
  <c r="N1331" i="7"/>
  <c r="N1330" i="7"/>
  <c r="N1329" i="7"/>
  <c r="N1328" i="7"/>
  <c r="N1327" i="7"/>
  <c r="N1326" i="7"/>
  <c r="N1325" i="7"/>
  <c r="N1324" i="7"/>
  <c r="N1323" i="7"/>
  <c r="N1322" i="7"/>
  <c r="N1321" i="7"/>
  <c r="N1320" i="7"/>
  <c r="N1319" i="7"/>
  <c r="N1318" i="7"/>
  <c r="N1317" i="7"/>
  <c r="N1316" i="7"/>
  <c r="N1315" i="7"/>
  <c r="N1314" i="7"/>
  <c r="N1313" i="7"/>
  <c r="N1312" i="7"/>
  <c r="N1311" i="7"/>
  <c r="N1310" i="7"/>
  <c r="N1309" i="7"/>
  <c r="N1308" i="7"/>
  <c r="N1307" i="7"/>
  <c r="N1306" i="7"/>
  <c r="N1305" i="7"/>
  <c r="N1304" i="7"/>
  <c r="N1303" i="7"/>
  <c r="N1302" i="7"/>
  <c r="N1301" i="7"/>
  <c r="N1300" i="7"/>
  <c r="N1299" i="7"/>
  <c r="N1298" i="7"/>
  <c r="N1297" i="7"/>
  <c r="N1296" i="7"/>
  <c r="N1295" i="7"/>
  <c r="N1294" i="7"/>
  <c r="N1293" i="7"/>
  <c r="N1292" i="7"/>
  <c r="N1291" i="7"/>
  <c r="N1290" i="7"/>
  <c r="N1289" i="7"/>
  <c r="N1288" i="7"/>
  <c r="N1287" i="7"/>
  <c r="N1286" i="7"/>
  <c r="N1285" i="7"/>
  <c r="N1284" i="7"/>
  <c r="N1283" i="7"/>
  <c r="N1282" i="7"/>
  <c r="N1281" i="7"/>
  <c r="N1280" i="7"/>
  <c r="N1279" i="7"/>
  <c r="N1278" i="7"/>
  <c r="N1277" i="7"/>
  <c r="N1276" i="7"/>
  <c r="N1275" i="7"/>
  <c r="N1274" i="7"/>
  <c r="N1273" i="7"/>
  <c r="N1272" i="7"/>
  <c r="N1271" i="7"/>
  <c r="N1270" i="7"/>
  <c r="N1269" i="7"/>
  <c r="N1268" i="7"/>
  <c r="N1267" i="7"/>
  <c r="N1266" i="7"/>
  <c r="N1265" i="7"/>
  <c r="N1264" i="7"/>
  <c r="N1263" i="7"/>
  <c r="N1262" i="7"/>
  <c r="N1261" i="7"/>
  <c r="N1260" i="7"/>
  <c r="N1259" i="7"/>
  <c r="N1258" i="7"/>
  <c r="N1257" i="7"/>
  <c r="N1256" i="7"/>
  <c r="N1255" i="7"/>
  <c r="N1254" i="7"/>
  <c r="N1253" i="7"/>
  <c r="N1252" i="7"/>
  <c r="N1251" i="7"/>
  <c r="N1250" i="7"/>
  <c r="N1249" i="7"/>
  <c r="N1248" i="7"/>
  <c r="N1247" i="7"/>
  <c r="N1246" i="7"/>
  <c r="N1245" i="7"/>
  <c r="N1244" i="7"/>
  <c r="N1243" i="7"/>
  <c r="N1242" i="7"/>
  <c r="N1241" i="7"/>
  <c r="N1240" i="7"/>
  <c r="N1239" i="7"/>
  <c r="N1238" i="7"/>
  <c r="N1237" i="7"/>
  <c r="N1236" i="7"/>
  <c r="N1235" i="7"/>
  <c r="N1234" i="7"/>
  <c r="N1233" i="7"/>
  <c r="N1232" i="7"/>
  <c r="N1231" i="7"/>
  <c r="N1230" i="7"/>
  <c r="N1229" i="7"/>
  <c r="N1228" i="7"/>
  <c r="N1227" i="7"/>
  <c r="N1226" i="7"/>
  <c r="N1225" i="7"/>
  <c r="N1224" i="7"/>
  <c r="N1223" i="7"/>
  <c r="N1222" i="7"/>
  <c r="N1221" i="7"/>
  <c r="N1220" i="7"/>
  <c r="N1219" i="7"/>
  <c r="N1218" i="7"/>
  <c r="N1217" i="7"/>
  <c r="N1216" i="7"/>
  <c r="N1215" i="7"/>
  <c r="N1214" i="7"/>
  <c r="N1213" i="7"/>
  <c r="N1212" i="7"/>
  <c r="N1211" i="7"/>
  <c r="N1210" i="7"/>
  <c r="N1209" i="7"/>
  <c r="N1208" i="7"/>
  <c r="N1207" i="7"/>
  <c r="N1206" i="7"/>
  <c r="N1205" i="7"/>
  <c r="N1204" i="7"/>
  <c r="N1203" i="7"/>
  <c r="N1202" i="7"/>
  <c r="N1201" i="7"/>
  <c r="N1200" i="7"/>
  <c r="N1199" i="7"/>
  <c r="N1198" i="7"/>
  <c r="N1197" i="7"/>
  <c r="N1196" i="7"/>
  <c r="N1195" i="7"/>
  <c r="N1194" i="7"/>
  <c r="N1193" i="7"/>
  <c r="N1192" i="7"/>
  <c r="N1191" i="7"/>
  <c r="N1190" i="7"/>
  <c r="N1189" i="7"/>
  <c r="N1188" i="7"/>
  <c r="N1187" i="7"/>
  <c r="N1186" i="7"/>
  <c r="N1185" i="7"/>
  <c r="N1184" i="7"/>
  <c r="N1183" i="7"/>
  <c r="N1182" i="7"/>
  <c r="N1181" i="7"/>
  <c r="N1180" i="7"/>
  <c r="N1179" i="7"/>
  <c r="N1178" i="7"/>
  <c r="N1177" i="7"/>
  <c r="N1176" i="7"/>
  <c r="N1175" i="7"/>
  <c r="N1174" i="7"/>
  <c r="N1173" i="7"/>
  <c r="N1172" i="7"/>
  <c r="N1171" i="7"/>
  <c r="N1170" i="7"/>
  <c r="N1169" i="7"/>
  <c r="N1168" i="7"/>
  <c r="N1167" i="7"/>
  <c r="N1166" i="7"/>
  <c r="N1165" i="7"/>
  <c r="N1164" i="7"/>
  <c r="N1163" i="7"/>
  <c r="N1162" i="7"/>
  <c r="N1161" i="7"/>
  <c r="N1160" i="7"/>
  <c r="N1159" i="7"/>
  <c r="N1158" i="7"/>
  <c r="N1157" i="7"/>
  <c r="N1156" i="7"/>
  <c r="N1155" i="7"/>
  <c r="N1154" i="7"/>
  <c r="N1153" i="7"/>
  <c r="N1152" i="7"/>
  <c r="N1151" i="7"/>
  <c r="N1150" i="7"/>
  <c r="N1149" i="7"/>
  <c r="N1148" i="7"/>
  <c r="N1147" i="7"/>
  <c r="N1146" i="7"/>
  <c r="N1145" i="7"/>
  <c r="N1144" i="7"/>
  <c r="N1143" i="7"/>
  <c r="N1142" i="7"/>
  <c r="N1141" i="7"/>
  <c r="N1140" i="7"/>
  <c r="N1139" i="7"/>
  <c r="N1138" i="7"/>
  <c r="N1137" i="7"/>
  <c r="N1136" i="7"/>
  <c r="N1135" i="7"/>
  <c r="N1134" i="7"/>
  <c r="N1133" i="7"/>
  <c r="N1132" i="7"/>
  <c r="N1131" i="7"/>
  <c r="N1130" i="7"/>
  <c r="N1129" i="7"/>
  <c r="N1128" i="7"/>
  <c r="N1127" i="7"/>
  <c r="N1126" i="7"/>
  <c r="N1125" i="7"/>
  <c r="N1124" i="7"/>
  <c r="N1123" i="7"/>
  <c r="N1122" i="7"/>
  <c r="N1121" i="7"/>
  <c r="N1120" i="7"/>
  <c r="N1119" i="7"/>
  <c r="N1118" i="7"/>
  <c r="N1117" i="7"/>
  <c r="N1116" i="7"/>
  <c r="N1115" i="7"/>
  <c r="N1114" i="7"/>
  <c r="N1113" i="7"/>
  <c r="N1112" i="7"/>
  <c r="N1111" i="7"/>
  <c r="N1110" i="7"/>
  <c r="N1109" i="7"/>
  <c r="N1108" i="7"/>
  <c r="N1107" i="7"/>
  <c r="N1106" i="7"/>
  <c r="N1105" i="7"/>
  <c r="N1104" i="7"/>
  <c r="N1103" i="7"/>
  <c r="N1102" i="7"/>
  <c r="N1101" i="7"/>
  <c r="N1100" i="7"/>
  <c r="N1099" i="7"/>
  <c r="N1098" i="7"/>
  <c r="N1097" i="7"/>
  <c r="N1096" i="7"/>
  <c r="N1095" i="7"/>
  <c r="N1094" i="7"/>
  <c r="N1093" i="7"/>
  <c r="N1092" i="7"/>
  <c r="N1091" i="7"/>
  <c r="N1090" i="7"/>
  <c r="N1089" i="7"/>
  <c r="N1088" i="7"/>
  <c r="N1087" i="7"/>
  <c r="N1086" i="7"/>
  <c r="N1085" i="7"/>
  <c r="N1084" i="7"/>
  <c r="N1083" i="7"/>
  <c r="N1082" i="7"/>
  <c r="N1081" i="7"/>
  <c r="N1080" i="7"/>
  <c r="N1079" i="7"/>
  <c r="N1078" i="7"/>
  <c r="N1077" i="7"/>
  <c r="N1076" i="7"/>
  <c r="N1075" i="7"/>
  <c r="N1074" i="7"/>
  <c r="N1073" i="7"/>
  <c r="N1072" i="7"/>
  <c r="N1071" i="7"/>
  <c r="N1070" i="7"/>
  <c r="N1069" i="7"/>
  <c r="N1068" i="7"/>
  <c r="N1067" i="7"/>
  <c r="N1066" i="7"/>
  <c r="N1065" i="7"/>
  <c r="N1064" i="7"/>
  <c r="N1063" i="7"/>
  <c r="N1062" i="7"/>
  <c r="N1061" i="7"/>
  <c r="N1060" i="7"/>
  <c r="N1059" i="7"/>
  <c r="N1058" i="7"/>
  <c r="N1057" i="7"/>
  <c r="N1056" i="7"/>
  <c r="N1055" i="7"/>
  <c r="N1054" i="7"/>
  <c r="N1053" i="7"/>
  <c r="N1052" i="7"/>
  <c r="N1051" i="7"/>
  <c r="N1050" i="7"/>
  <c r="N1049" i="7"/>
  <c r="N1048" i="7"/>
  <c r="N1047" i="7"/>
  <c r="N1046" i="7"/>
  <c r="N1045" i="7"/>
  <c r="N1044" i="7"/>
  <c r="N1043" i="7"/>
  <c r="N1042" i="7"/>
  <c r="N1041" i="7"/>
  <c r="N1040" i="7"/>
  <c r="N1039" i="7"/>
  <c r="N1038" i="7"/>
  <c r="N1037" i="7"/>
  <c r="N1036" i="7"/>
  <c r="N1035" i="7"/>
  <c r="N1034" i="7"/>
  <c r="N1033" i="7"/>
  <c r="N1032" i="7"/>
  <c r="N1031" i="7"/>
  <c r="N1030" i="7"/>
  <c r="N1029" i="7"/>
  <c r="N1028" i="7"/>
  <c r="N1027" i="7"/>
  <c r="N1026" i="7"/>
  <c r="N1025" i="7"/>
  <c r="N1024" i="7"/>
  <c r="N1023" i="7"/>
  <c r="N1022" i="7"/>
  <c r="N1021" i="7"/>
  <c r="N1020" i="7"/>
  <c r="N1019" i="7"/>
  <c r="N1018" i="7"/>
  <c r="N1017" i="7"/>
  <c r="N1016" i="7"/>
  <c r="N1015" i="7"/>
  <c r="N1014" i="7"/>
  <c r="N1013" i="7"/>
  <c r="N1012" i="7"/>
  <c r="N1011" i="7"/>
  <c r="N1010" i="7"/>
  <c r="N1009" i="7"/>
  <c r="N1008" i="7"/>
  <c r="N1007" i="7"/>
  <c r="N1006" i="7"/>
  <c r="N1005" i="7"/>
  <c r="N1004" i="7"/>
  <c r="N1003" i="7"/>
  <c r="N1002" i="7"/>
  <c r="N1001" i="7"/>
  <c r="N1000" i="7"/>
  <c r="N999" i="7"/>
  <c r="N998" i="7"/>
  <c r="N997" i="7"/>
  <c r="N996" i="7"/>
  <c r="N995" i="7"/>
  <c r="N994" i="7"/>
  <c r="N993" i="7"/>
  <c r="N992" i="7"/>
  <c r="N991" i="7"/>
  <c r="N990" i="7"/>
  <c r="N989" i="7"/>
  <c r="N988" i="7"/>
  <c r="N987" i="7"/>
  <c r="N986" i="7"/>
  <c r="N985" i="7"/>
  <c r="N984" i="7"/>
  <c r="N983" i="7"/>
  <c r="N982" i="7"/>
  <c r="N981" i="7"/>
  <c r="N980" i="7"/>
  <c r="N979" i="7"/>
  <c r="N978" i="7"/>
  <c r="N977" i="7"/>
  <c r="N976" i="7"/>
  <c r="N975" i="7"/>
  <c r="N974" i="7"/>
  <c r="N973" i="7"/>
  <c r="N972" i="7"/>
  <c r="N971" i="7"/>
  <c r="N970" i="7"/>
  <c r="N969" i="7"/>
  <c r="N968" i="7"/>
  <c r="N967" i="7"/>
  <c r="N966" i="7"/>
  <c r="N965" i="7"/>
  <c r="N964" i="7"/>
  <c r="N963" i="7"/>
  <c r="N962" i="7"/>
  <c r="N961" i="7"/>
  <c r="N960" i="7"/>
  <c r="N959" i="7"/>
  <c r="N958" i="7"/>
  <c r="N957" i="7"/>
  <c r="N956" i="7"/>
  <c r="N955" i="7"/>
  <c r="N954" i="7"/>
  <c r="N953" i="7"/>
  <c r="N952" i="7"/>
  <c r="N951" i="7"/>
  <c r="N950" i="7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N930" i="7"/>
  <c r="N929" i="7"/>
  <c r="N928" i="7"/>
  <c r="N927" i="7"/>
  <c r="N926" i="7"/>
  <c r="N925" i="7"/>
  <c r="N924" i="7"/>
  <c r="N923" i="7"/>
  <c r="N922" i="7"/>
  <c r="N921" i="7"/>
  <c r="N920" i="7"/>
  <c r="N919" i="7"/>
  <c r="N918" i="7"/>
  <c r="N917" i="7"/>
  <c r="N916" i="7"/>
  <c r="N915" i="7"/>
  <c r="N914" i="7"/>
  <c r="N913" i="7"/>
  <c r="N912" i="7"/>
  <c r="N911" i="7"/>
  <c r="N910" i="7"/>
  <c r="N909" i="7"/>
  <c r="N908" i="7"/>
  <c r="N907" i="7"/>
  <c r="N906" i="7"/>
  <c r="N905" i="7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N891" i="7"/>
  <c r="N890" i="7"/>
  <c r="N889" i="7"/>
  <c r="N888" i="7"/>
  <c r="N887" i="7"/>
  <c r="N886" i="7"/>
  <c r="N885" i="7"/>
  <c r="N884" i="7"/>
  <c r="N883" i="7"/>
  <c r="N882" i="7"/>
  <c r="N881" i="7"/>
  <c r="N880" i="7"/>
  <c r="N879" i="7"/>
  <c r="N878" i="7"/>
  <c r="N877" i="7"/>
  <c r="N876" i="7"/>
  <c r="N875" i="7"/>
  <c r="N874" i="7"/>
  <c r="N873" i="7"/>
  <c r="N872" i="7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N858" i="7"/>
  <c r="N857" i="7"/>
  <c r="N856" i="7"/>
  <c r="N855" i="7"/>
  <c r="N854" i="7"/>
  <c r="N853" i="7"/>
  <c r="N852" i="7"/>
  <c r="N851" i="7"/>
  <c r="N850" i="7"/>
  <c r="N849" i="7"/>
  <c r="N848" i="7"/>
  <c r="N847" i="7"/>
  <c r="N846" i="7"/>
  <c r="N845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1" i="7"/>
  <c r="N820" i="7"/>
  <c r="N819" i="7"/>
  <c r="N818" i="7"/>
  <c r="N817" i="7"/>
  <c r="N816" i="7"/>
  <c r="N815" i="7"/>
  <c r="N814" i="7"/>
  <c r="N813" i="7"/>
  <c r="N812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7" i="7"/>
  <c r="N516" i="7"/>
  <c r="N515" i="7"/>
  <c r="N514" i="7"/>
  <c r="N513" i="7"/>
  <c r="N512" i="7"/>
  <c r="N511" i="7"/>
  <c r="N510" i="7"/>
  <c r="N508" i="7"/>
  <c r="N507" i="7"/>
  <c r="N506" i="7"/>
  <c r="N505" i="7"/>
  <c r="N504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38" i="7"/>
  <c r="N237" i="7"/>
  <c r="N236" i="7"/>
  <c r="N235" i="7"/>
  <c r="N234" i="7"/>
  <c r="N233" i="7"/>
  <c r="N232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M1972" i="7"/>
  <c r="M1971" i="7"/>
  <c r="M1970" i="7"/>
  <c r="M1969" i="7"/>
  <c r="M1968" i="7"/>
  <c r="M1967" i="7"/>
  <c r="M1966" i="7"/>
  <c r="M1965" i="7"/>
  <c r="M1964" i="7"/>
  <c r="M1963" i="7"/>
  <c r="M1962" i="7"/>
  <c r="M1961" i="7"/>
  <c r="M1960" i="7"/>
  <c r="M1959" i="7"/>
  <c r="M1958" i="7"/>
  <c r="M1957" i="7"/>
  <c r="M1956" i="7"/>
  <c r="M1955" i="7"/>
  <c r="M1954" i="7"/>
  <c r="M1953" i="7"/>
  <c r="M1952" i="7"/>
  <c r="M1951" i="7"/>
  <c r="M1950" i="7"/>
  <c r="M1949" i="7"/>
  <c r="M1948" i="7"/>
  <c r="M1947" i="7"/>
  <c r="M1946" i="7"/>
  <c r="M1945" i="7"/>
  <c r="M1944" i="7"/>
  <c r="M1943" i="7"/>
  <c r="M1942" i="7"/>
  <c r="M1941" i="7"/>
  <c r="M1940" i="7"/>
  <c r="M1939" i="7"/>
  <c r="M1938" i="7"/>
  <c r="M1937" i="7"/>
  <c r="M1936" i="7"/>
  <c r="M1935" i="7"/>
  <c r="M1934" i="7"/>
  <c r="M1933" i="7"/>
  <c r="M1932" i="7"/>
  <c r="M1931" i="7"/>
  <c r="M1929" i="7"/>
  <c r="M1928" i="7"/>
  <c r="M1927" i="7"/>
  <c r="M1926" i="7"/>
  <c r="M1925" i="7"/>
  <c r="M1924" i="7"/>
  <c r="M1923" i="7"/>
  <c r="M1922" i="7"/>
  <c r="M1921" i="7"/>
  <c r="M1920" i="7"/>
  <c r="M1919" i="7"/>
  <c r="M1917" i="7"/>
  <c r="M1916" i="7"/>
  <c r="M1915" i="7"/>
  <c r="M1914" i="7"/>
  <c r="M1913" i="7"/>
  <c r="M1912" i="7"/>
  <c r="M1911" i="7"/>
  <c r="M1910" i="7"/>
  <c r="M1909" i="7"/>
  <c r="M1908" i="7"/>
  <c r="M1907" i="7"/>
  <c r="M1906" i="7"/>
  <c r="M1905" i="7"/>
  <c r="M1904" i="7"/>
  <c r="M1903" i="7"/>
  <c r="M1902" i="7"/>
  <c r="M1900" i="7"/>
  <c r="M1898" i="7"/>
  <c r="M1896" i="7"/>
  <c r="M1895" i="7"/>
  <c r="M1894" i="7"/>
  <c r="M1893" i="7"/>
  <c r="M1891" i="7"/>
  <c r="M1890" i="7"/>
  <c r="M1889" i="7"/>
  <c r="M1888" i="7"/>
  <c r="M1887" i="7"/>
  <c r="M1886" i="7"/>
  <c r="M1885" i="7"/>
  <c r="M1884" i="7"/>
  <c r="M1883" i="7"/>
  <c r="M1882" i="7"/>
  <c r="M1881" i="7"/>
  <c r="M1880" i="7"/>
  <c r="M1879" i="7"/>
  <c r="M1876" i="7"/>
  <c r="M1875" i="7"/>
  <c r="M1874" i="7"/>
  <c r="M1873" i="7"/>
  <c r="M1872" i="7"/>
  <c r="M1871" i="7"/>
  <c r="M1870" i="7"/>
  <c r="M1869" i="7"/>
  <c r="M1868" i="7"/>
  <c r="M1867" i="7"/>
  <c r="M1866" i="7"/>
  <c r="M1865" i="7"/>
  <c r="M1864" i="7"/>
  <c r="M1863" i="7"/>
  <c r="M1862" i="7"/>
  <c r="M1861" i="7"/>
  <c r="M1860" i="7"/>
  <c r="M1859" i="7"/>
  <c r="M1858" i="7"/>
  <c r="M1857" i="7"/>
  <c r="M1856" i="7"/>
  <c r="M1855" i="7"/>
  <c r="M1854" i="7"/>
  <c r="M1853" i="7"/>
  <c r="M1852" i="7"/>
  <c r="M1851" i="7"/>
  <c r="M1850" i="7"/>
  <c r="M1849" i="7"/>
  <c r="M1848" i="7"/>
  <c r="M1847" i="7"/>
  <c r="M1846" i="7"/>
  <c r="M1845" i="7"/>
  <c r="M1844" i="7"/>
  <c r="M1843" i="7"/>
  <c r="M1842" i="7"/>
  <c r="M1841" i="7"/>
  <c r="M1840" i="7"/>
  <c r="M1839" i="7"/>
  <c r="M1838" i="7"/>
  <c r="M1837" i="7"/>
  <c r="M1836" i="7"/>
  <c r="M1835" i="7"/>
  <c r="M1834" i="7"/>
  <c r="M1833" i="7"/>
  <c r="M1832" i="7"/>
  <c r="M1831" i="7"/>
  <c r="M1830" i="7"/>
  <c r="M1829" i="7"/>
  <c r="M1828" i="7"/>
  <c r="M1827" i="7"/>
  <c r="M1826" i="7"/>
  <c r="M1825" i="7"/>
  <c r="M1824" i="7"/>
  <c r="M1823" i="7"/>
  <c r="M1822" i="7"/>
  <c r="M1821" i="7"/>
  <c r="M1820" i="7"/>
  <c r="M1819" i="7"/>
  <c r="M1818" i="7"/>
  <c r="M1817" i="7"/>
  <c r="M1816" i="7"/>
  <c r="M1815" i="7"/>
  <c r="M1814" i="7"/>
  <c r="M1813" i="7"/>
  <c r="M1812" i="7"/>
  <c r="M1811" i="7"/>
  <c r="M1810" i="7"/>
  <c r="M1809" i="7"/>
  <c r="M1808" i="7"/>
  <c r="M1807" i="7"/>
  <c r="M1806" i="7"/>
  <c r="M1805" i="7"/>
  <c r="M1804" i="7"/>
  <c r="M1803" i="7"/>
  <c r="M1802" i="7"/>
  <c r="M1801" i="7"/>
  <c r="M1800" i="7"/>
  <c r="M1798" i="7"/>
  <c r="M1797" i="7"/>
  <c r="M1796" i="7"/>
  <c r="M1795" i="7"/>
  <c r="M1794" i="7"/>
  <c r="M1793" i="7"/>
  <c r="M1792" i="7"/>
  <c r="M1781" i="7"/>
  <c r="M1780" i="7"/>
  <c r="M1777" i="7"/>
  <c r="M1766" i="7"/>
  <c r="M1761" i="7"/>
  <c r="M1760" i="7"/>
  <c r="M1759" i="7"/>
  <c r="M1758" i="7"/>
  <c r="M1755" i="7"/>
  <c r="M1754" i="7"/>
  <c r="M1748" i="7"/>
  <c r="M1743" i="7"/>
  <c r="M1736" i="7"/>
  <c r="M1735" i="7"/>
  <c r="M1733" i="7"/>
  <c r="M1732" i="7"/>
  <c r="M1731" i="7"/>
  <c r="M1730" i="7"/>
  <c r="M1726" i="7"/>
  <c r="M1717" i="7"/>
  <c r="M1699" i="7"/>
  <c r="M1698" i="7"/>
  <c r="M1697" i="7"/>
  <c r="M1696" i="7"/>
  <c r="M1695" i="7"/>
  <c r="M1693" i="7"/>
  <c r="M1677" i="7"/>
  <c r="M1676" i="7"/>
  <c r="M1675" i="7"/>
  <c r="M1673" i="7"/>
  <c r="M1656" i="7"/>
  <c r="M1644" i="7"/>
  <c r="M1643" i="7"/>
  <c r="M1636" i="7"/>
  <c r="M1635" i="7"/>
  <c r="M1634" i="7"/>
  <c r="M1633" i="7"/>
  <c r="M1632" i="7"/>
  <c r="M1631" i="7"/>
  <c r="M1627" i="7"/>
  <c r="M1607" i="7"/>
  <c r="M1599" i="7"/>
  <c r="M1593" i="7"/>
  <c r="M1592" i="7"/>
  <c r="M1591" i="7"/>
  <c r="M1590" i="7"/>
  <c r="M1589" i="7"/>
  <c r="M1588" i="7"/>
  <c r="M1587" i="7"/>
  <c r="M1586" i="7"/>
  <c r="M1585" i="7"/>
  <c r="M1584" i="7"/>
  <c r="M1583" i="7"/>
  <c r="M1582" i="7"/>
  <c r="M1581" i="7"/>
  <c r="M1580" i="7"/>
  <c r="M1579" i="7"/>
  <c r="M1578" i="7"/>
  <c r="M1577" i="7"/>
  <c r="M1576" i="7"/>
  <c r="M1575" i="7"/>
  <c r="M1574" i="7"/>
  <c r="M1573" i="7"/>
  <c r="M1572" i="7"/>
  <c r="M1571" i="7"/>
  <c r="M1570" i="7"/>
  <c r="M1569" i="7"/>
  <c r="M1568" i="7"/>
  <c r="M1567" i="7"/>
  <c r="M1566" i="7"/>
  <c r="M1565" i="7"/>
  <c r="M1564" i="7"/>
  <c r="M1563" i="7"/>
  <c r="M1562" i="7"/>
  <c r="M1561" i="7"/>
  <c r="M1560" i="7"/>
  <c r="M1559" i="7"/>
  <c r="M1558" i="7"/>
  <c r="M1557" i="7"/>
  <c r="M1556" i="7"/>
  <c r="M1555" i="7"/>
  <c r="M1554" i="7"/>
  <c r="M1553" i="7"/>
  <c r="M1552" i="7"/>
  <c r="M1551" i="7"/>
  <c r="M1550" i="7"/>
  <c r="M1549" i="7"/>
  <c r="M1548" i="7"/>
  <c r="M1547" i="7"/>
  <c r="M1546" i="7"/>
  <c r="M1545" i="7"/>
  <c r="M1544" i="7"/>
  <c r="M1543" i="7"/>
  <c r="M1542" i="7"/>
  <c r="M1541" i="7"/>
  <c r="M1540" i="7"/>
  <c r="M1539" i="7"/>
  <c r="M1538" i="7"/>
  <c r="M1537" i="7"/>
  <c r="M1536" i="7"/>
  <c r="M1535" i="7"/>
  <c r="M1534" i="7"/>
  <c r="M1533" i="7"/>
  <c r="M1532" i="7"/>
  <c r="M1531" i="7"/>
  <c r="M1530" i="7"/>
  <c r="M1529" i="7"/>
  <c r="M1528" i="7"/>
  <c r="M1527" i="7"/>
  <c r="M1526" i="7"/>
  <c r="M1525" i="7"/>
  <c r="M1524" i="7"/>
  <c r="M1523" i="7"/>
  <c r="M1522" i="7"/>
  <c r="M1521" i="7"/>
  <c r="M1520" i="7"/>
  <c r="M1519" i="7"/>
  <c r="M1518" i="7"/>
  <c r="M1517" i="7"/>
  <c r="M1515" i="7"/>
  <c r="M1514" i="7"/>
  <c r="M1513" i="7"/>
  <c r="M1512" i="7"/>
  <c r="M1511" i="7"/>
  <c r="M1510" i="7"/>
  <c r="M1509" i="7"/>
  <c r="M1508" i="7"/>
  <c r="M1507" i="7"/>
  <c r="M1506" i="7"/>
  <c r="M1505" i="7"/>
  <c r="M1504" i="7"/>
  <c r="M1503" i="7"/>
  <c r="M1502" i="7"/>
  <c r="M1501" i="7"/>
  <c r="M1500" i="7"/>
  <c r="M1499" i="7"/>
  <c r="M1498" i="7"/>
  <c r="M1497" i="7"/>
  <c r="M1496" i="7"/>
  <c r="M1495" i="7"/>
  <c r="M1491" i="7"/>
  <c r="M1490" i="7"/>
  <c r="M1489" i="7"/>
  <c r="M1488" i="7"/>
  <c r="M1487" i="7"/>
  <c r="M1486" i="7"/>
  <c r="M1485" i="7"/>
  <c r="M1475" i="7"/>
  <c r="M1474" i="7"/>
  <c r="M1469" i="7"/>
  <c r="M1463" i="7"/>
  <c r="M1462" i="7"/>
  <c r="M1458" i="7"/>
  <c r="M1457" i="7"/>
  <c r="M1454" i="7"/>
  <c r="M1453" i="7"/>
  <c r="M1452" i="7"/>
  <c r="M1451" i="7"/>
  <c r="M1444" i="7"/>
  <c r="M1443" i="7"/>
  <c r="M1423" i="7"/>
  <c r="M1419" i="7"/>
  <c r="M1408" i="7"/>
  <c r="M1366" i="7"/>
  <c r="M1365" i="7"/>
  <c r="M1364" i="7"/>
  <c r="M1363" i="7"/>
  <c r="M1362" i="7"/>
  <c r="M1361" i="7"/>
  <c r="M1360" i="7"/>
  <c r="M1359" i="7"/>
  <c r="M1358" i="7"/>
  <c r="M1357" i="7"/>
  <c r="M1356" i="7"/>
  <c r="M1337" i="7"/>
  <c r="M1328" i="7"/>
  <c r="M1326" i="7"/>
  <c r="M1325" i="7"/>
  <c r="M1320" i="7"/>
  <c r="M1319" i="7"/>
  <c r="M1314" i="7"/>
  <c r="M1308" i="7"/>
  <c r="M1303" i="7"/>
  <c r="M1296" i="7"/>
  <c r="M1294" i="7"/>
  <c r="M1280" i="7"/>
  <c r="M1279" i="7"/>
  <c r="M1277" i="7"/>
  <c r="M1270" i="7"/>
  <c r="M1268" i="7"/>
  <c r="M1267" i="7"/>
  <c r="M1265" i="7"/>
  <c r="M1258" i="7"/>
  <c r="M1256" i="7"/>
  <c r="M1253" i="7"/>
  <c r="M1246" i="7"/>
  <c r="M1245" i="7"/>
  <c r="M1243" i="7"/>
  <c r="M1237" i="7"/>
  <c r="M1233" i="7"/>
  <c r="M1232" i="7"/>
  <c r="M1230" i="7"/>
  <c r="M1222" i="7"/>
  <c r="M1220" i="7"/>
  <c r="M1213" i="7"/>
  <c r="M1211" i="7"/>
  <c r="M1204" i="7"/>
  <c r="M1203" i="7"/>
  <c r="M1202" i="7"/>
  <c r="M1200" i="7"/>
  <c r="M1199" i="7"/>
  <c r="M1198" i="7"/>
  <c r="M1196" i="7"/>
  <c r="M1193" i="7"/>
  <c r="M1186" i="7"/>
  <c r="M1184" i="7"/>
  <c r="M1182" i="7"/>
  <c r="M1180" i="7"/>
  <c r="M1179" i="7"/>
  <c r="M1178" i="7"/>
  <c r="M1177" i="7"/>
  <c r="M1176" i="7"/>
  <c r="M1175" i="7"/>
  <c r="M1174" i="7"/>
  <c r="M1173" i="7"/>
  <c r="M1172" i="7"/>
  <c r="M1171" i="7"/>
  <c r="M1170" i="7"/>
  <c r="M1169" i="7"/>
  <c r="M1168" i="7"/>
  <c r="M1167" i="7"/>
  <c r="M1166" i="7"/>
  <c r="M1165" i="7"/>
  <c r="M1164" i="7"/>
  <c r="M1163" i="7"/>
  <c r="M1162" i="7"/>
  <c r="M1161" i="7"/>
  <c r="M1160" i="7"/>
  <c r="M1159" i="7"/>
  <c r="M1158" i="7"/>
  <c r="M1152" i="7"/>
  <c r="M1151" i="7"/>
  <c r="M1149" i="7"/>
  <c r="M1141" i="7"/>
  <c r="M1140" i="7"/>
  <c r="M1133" i="7"/>
  <c r="M1132" i="7"/>
  <c r="M1130" i="7"/>
  <c r="M1120" i="7"/>
  <c r="M1118" i="7"/>
  <c r="M1112" i="7"/>
  <c r="M1109" i="7"/>
  <c r="M1099" i="7"/>
  <c r="M1094" i="7"/>
  <c r="M1093" i="7"/>
  <c r="M1091" i="7"/>
  <c r="M1084" i="7"/>
  <c r="M1083" i="7"/>
  <c r="M1077" i="7"/>
  <c r="M1076" i="7"/>
  <c r="M1075" i="7"/>
  <c r="M1060" i="7"/>
  <c r="M1058" i="7"/>
  <c r="M1040" i="7"/>
  <c r="M1035" i="7"/>
  <c r="M1034" i="7"/>
  <c r="M1032" i="7"/>
  <c r="M1019" i="7"/>
  <c r="M1017" i="7"/>
  <c r="M1006" i="7"/>
  <c r="M1005" i="7"/>
  <c r="M1003" i="7"/>
  <c r="M985" i="7"/>
  <c r="M976" i="7"/>
  <c r="M970" i="7"/>
  <c r="M936" i="7"/>
  <c r="M922" i="7"/>
  <c r="M919" i="7"/>
  <c r="M918" i="7"/>
  <c r="M908" i="7"/>
  <c r="M900" i="7"/>
  <c r="M899" i="7"/>
  <c r="M890" i="7"/>
  <c r="M864" i="7"/>
  <c r="M859" i="7"/>
  <c r="M849" i="7"/>
  <c r="M847" i="7"/>
  <c r="M836" i="7"/>
  <c r="M820" i="7"/>
  <c r="M819" i="7"/>
  <c r="M815" i="7"/>
  <c r="M786" i="7"/>
  <c r="M784" i="7"/>
  <c r="M777" i="7"/>
  <c r="M769" i="7"/>
  <c r="M754" i="7"/>
  <c r="M744" i="7"/>
  <c r="M733" i="7"/>
  <c r="M727" i="7"/>
  <c r="M719" i="7"/>
  <c r="M717" i="7"/>
  <c r="M711" i="7"/>
  <c r="M709" i="7"/>
  <c r="M702" i="7"/>
  <c r="M701" i="7"/>
  <c r="M699" i="7"/>
  <c r="M694" i="7"/>
  <c r="M693" i="7"/>
  <c r="M692" i="7"/>
  <c r="M691" i="7"/>
  <c r="M690" i="7"/>
  <c r="M689" i="7"/>
  <c r="M688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2" i="7"/>
  <c r="M668" i="7"/>
  <c r="M666" i="7"/>
  <c r="M665" i="7"/>
  <c r="M664" i="7"/>
  <c r="M663" i="7"/>
  <c r="M662" i="7"/>
  <c r="M661" i="7"/>
  <c r="M660" i="7"/>
  <c r="M654" i="7"/>
  <c r="M653" i="7"/>
  <c r="M652" i="7"/>
  <c r="M651" i="7"/>
  <c r="M650" i="7"/>
  <c r="M646" i="7"/>
  <c r="M645" i="7"/>
  <c r="M644" i="7"/>
  <c r="M643" i="7"/>
  <c r="M642" i="7"/>
  <c r="M638" i="7"/>
  <c r="M637" i="7"/>
  <c r="M636" i="7"/>
  <c r="M635" i="7"/>
  <c r="M633" i="7"/>
  <c r="M632" i="7"/>
  <c r="M631" i="7"/>
  <c r="M630" i="7"/>
  <c r="M628" i="7"/>
  <c r="M627" i="7"/>
  <c r="M626" i="7"/>
  <c r="M623" i="7"/>
  <c r="M622" i="7"/>
  <c r="M621" i="7"/>
  <c r="M620" i="7"/>
  <c r="M619" i="7"/>
  <c r="M618" i="7"/>
  <c r="M617" i="7"/>
  <c r="M616" i="7"/>
  <c r="M614" i="7"/>
  <c r="M613" i="7"/>
  <c r="M612" i="7"/>
  <c r="M609" i="7"/>
  <c r="M606" i="7"/>
  <c r="M602" i="7"/>
  <c r="M601" i="7"/>
  <c r="M597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3" i="7"/>
  <c r="M572" i="7"/>
  <c r="M570" i="7"/>
  <c r="M568" i="7"/>
  <c r="M567" i="7"/>
  <c r="M565" i="7"/>
  <c r="M564" i="7"/>
  <c r="M563" i="7"/>
  <c r="M562" i="7"/>
  <c r="M561" i="7"/>
  <c r="M560" i="7"/>
  <c r="M559" i="7"/>
  <c r="M558" i="7"/>
  <c r="M557" i="7"/>
  <c r="M556" i="7"/>
  <c r="M554" i="7"/>
  <c r="M553" i="7"/>
  <c r="M552" i="7"/>
  <c r="M550" i="7"/>
  <c r="M549" i="7"/>
  <c r="M548" i="7"/>
  <c r="M547" i="7"/>
  <c r="M546" i="7"/>
  <c r="M545" i="7"/>
  <c r="M544" i="7"/>
  <c r="M543" i="7"/>
  <c r="M542" i="7"/>
  <c r="M540" i="7"/>
  <c r="M536" i="7"/>
  <c r="M534" i="7"/>
  <c r="M528" i="7"/>
  <c r="M527" i="7"/>
  <c r="M526" i="7"/>
  <c r="M525" i="7"/>
  <c r="M524" i="7"/>
  <c r="M523" i="7"/>
  <c r="M522" i="7"/>
  <c r="M521" i="7"/>
  <c r="M520" i="7"/>
  <c r="M519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4" i="7"/>
  <c r="M213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3" i="7"/>
  <c r="M172" i="7"/>
  <c r="M171" i="7"/>
  <c r="M170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L1972" i="7"/>
  <c r="L1971" i="7"/>
  <c r="L1970" i="7"/>
  <c r="L1969" i="7"/>
  <c r="L1968" i="7"/>
  <c r="L1967" i="7"/>
  <c r="L1966" i="7"/>
  <c r="L1965" i="7"/>
  <c r="L1964" i="7"/>
  <c r="L1963" i="7"/>
  <c r="L1962" i="7"/>
  <c r="L1961" i="7"/>
  <c r="L1960" i="7"/>
  <c r="L1959" i="7"/>
  <c r="L1958" i="7"/>
  <c r="L1957" i="7"/>
  <c r="L1956" i="7"/>
  <c r="L1955" i="7"/>
  <c r="L1954" i="7"/>
  <c r="L1953" i="7"/>
  <c r="L1952" i="7"/>
  <c r="L1951" i="7"/>
  <c r="L1950" i="7"/>
  <c r="L1949" i="7"/>
  <c r="L1948" i="7"/>
  <c r="L1947" i="7"/>
  <c r="L1946" i="7"/>
  <c r="L1945" i="7"/>
  <c r="L1944" i="7"/>
  <c r="L1943" i="7"/>
  <c r="L1942" i="7"/>
  <c r="L1941" i="7"/>
  <c r="L1940" i="7"/>
  <c r="L1939" i="7"/>
  <c r="L1938" i="7"/>
  <c r="L1937" i="7"/>
  <c r="L1936" i="7"/>
  <c r="L1935" i="7"/>
  <c r="L1934" i="7"/>
  <c r="L1933" i="7"/>
  <c r="L1932" i="7"/>
  <c r="L1931" i="7"/>
  <c r="L1930" i="7"/>
  <c r="L1929" i="7"/>
  <c r="L1928" i="7"/>
  <c r="L1927" i="7"/>
  <c r="L1926" i="7"/>
  <c r="L1925" i="7"/>
  <c r="L1924" i="7"/>
  <c r="L1923" i="7"/>
  <c r="L1922" i="7"/>
  <c r="L1921" i="7"/>
  <c r="L1920" i="7"/>
  <c r="L1919" i="7"/>
  <c r="L1918" i="7"/>
  <c r="L1917" i="7"/>
  <c r="L1916" i="7"/>
  <c r="L1915" i="7"/>
  <c r="L1914" i="7"/>
  <c r="L1913" i="7"/>
  <c r="L1912" i="7"/>
  <c r="L1911" i="7"/>
  <c r="L1910" i="7"/>
  <c r="L1909" i="7"/>
  <c r="L1908" i="7"/>
  <c r="L1907" i="7"/>
  <c r="L1906" i="7"/>
  <c r="L1905" i="7"/>
  <c r="L1904" i="7"/>
  <c r="L1903" i="7"/>
  <c r="L1902" i="7"/>
  <c r="L1900" i="7"/>
  <c r="L1899" i="7"/>
  <c r="L1898" i="7"/>
  <c r="L1897" i="7"/>
  <c r="L1896" i="7"/>
  <c r="L1895" i="7"/>
  <c r="L1894" i="7"/>
  <c r="L1893" i="7"/>
  <c r="L1892" i="7"/>
  <c r="L1891" i="7"/>
  <c r="L1890" i="7"/>
  <c r="L1889" i="7"/>
  <c r="L1888" i="7"/>
  <c r="L1887" i="7"/>
  <c r="L1886" i="7"/>
  <c r="L1885" i="7"/>
  <c r="L1884" i="7"/>
  <c r="L1883" i="7"/>
  <c r="L1882" i="7"/>
  <c r="L1881" i="7"/>
  <c r="L1880" i="7"/>
  <c r="L1879" i="7"/>
  <c r="L1876" i="7"/>
  <c r="L1875" i="7"/>
  <c r="L1874" i="7"/>
  <c r="L1873" i="7"/>
  <c r="L1872" i="7"/>
  <c r="L1871" i="7"/>
  <c r="L1870" i="7"/>
  <c r="L1869" i="7"/>
  <c r="L1868" i="7"/>
  <c r="L1867" i="7"/>
  <c r="L1866" i="7"/>
  <c r="L1865" i="7"/>
  <c r="L1864" i="7"/>
  <c r="L1863" i="7"/>
  <c r="L1862" i="7"/>
  <c r="L1861" i="7"/>
  <c r="L1860" i="7"/>
  <c r="L1859" i="7"/>
  <c r="L1858" i="7"/>
  <c r="L1857" i="7"/>
  <c r="L1856" i="7"/>
  <c r="L1855" i="7"/>
  <c r="L1854" i="7"/>
  <c r="L1853" i="7"/>
  <c r="L1852" i="7"/>
  <c r="L1851" i="7"/>
  <c r="L1850" i="7"/>
  <c r="L1849" i="7"/>
  <c r="L1848" i="7"/>
  <c r="L1847" i="7"/>
  <c r="L1846" i="7"/>
  <c r="L1845" i="7"/>
  <c r="L1844" i="7"/>
  <c r="L1843" i="7"/>
  <c r="L1842" i="7"/>
  <c r="L1841" i="7"/>
  <c r="L1840" i="7"/>
  <c r="L1839" i="7"/>
  <c r="L1838" i="7"/>
  <c r="L1837" i="7"/>
  <c r="L1836" i="7"/>
  <c r="L1835" i="7"/>
  <c r="L1834" i="7"/>
  <c r="L1833" i="7"/>
  <c r="L1832" i="7"/>
  <c r="L1831" i="7"/>
  <c r="L1830" i="7"/>
  <c r="L1829" i="7"/>
  <c r="L1828" i="7"/>
  <c r="L1827" i="7"/>
  <c r="L1826" i="7"/>
  <c r="L1825" i="7"/>
  <c r="L1824" i="7"/>
  <c r="L1823" i="7"/>
  <c r="L1822" i="7"/>
  <c r="L1821" i="7"/>
  <c r="L1820" i="7"/>
  <c r="L1819" i="7"/>
  <c r="L1818" i="7"/>
  <c r="L1817" i="7"/>
  <c r="L1816" i="7"/>
  <c r="L1815" i="7"/>
  <c r="L1814" i="7"/>
  <c r="L1813" i="7"/>
  <c r="L1812" i="7"/>
  <c r="L1811" i="7"/>
  <c r="L1810" i="7"/>
  <c r="L1809" i="7"/>
  <c r="L1808" i="7"/>
  <c r="L1807" i="7"/>
  <c r="L1806" i="7"/>
  <c r="L1805" i="7"/>
  <c r="L1804" i="7"/>
  <c r="L1803" i="7"/>
  <c r="L1802" i="7"/>
  <c r="L1801" i="7"/>
  <c r="L1800" i="7"/>
  <c r="L1798" i="7"/>
  <c r="L1797" i="7"/>
  <c r="L1796" i="7"/>
  <c r="L1795" i="7"/>
  <c r="L1794" i="7"/>
  <c r="L1793" i="7"/>
  <c r="L1792" i="7"/>
  <c r="L1784" i="7"/>
  <c r="L1783" i="7"/>
  <c r="L1781" i="7"/>
  <c r="L1780" i="7"/>
  <c r="L1778" i="7"/>
  <c r="L1777" i="7"/>
  <c r="L1776" i="7"/>
  <c r="L1773" i="7"/>
  <c r="L1772" i="7"/>
  <c r="L1771" i="7"/>
  <c r="L1766" i="7"/>
  <c r="L1763" i="7"/>
  <c r="L1762" i="7"/>
  <c r="L1761" i="7"/>
  <c r="L1760" i="7"/>
  <c r="L1759" i="7"/>
  <c r="L1758" i="7"/>
  <c r="L1757" i="7"/>
  <c r="L1756" i="7"/>
  <c r="L1755" i="7"/>
  <c r="L1754" i="7"/>
  <c r="L1753" i="7"/>
  <c r="L1752" i="7"/>
  <c r="L1751" i="7"/>
  <c r="L1750" i="7"/>
  <c r="L1749" i="7"/>
  <c r="L1748" i="7"/>
  <c r="L1743" i="7"/>
  <c r="L1742" i="7"/>
  <c r="L1741" i="7"/>
  <c r="L1740" i="7"/>
  <c r="L1739" i="7"/>
  <c r="L1738" i="7"/>
  <c r="L1737" i="7"/>
  <c r="L1736" i="7"/>
  <c r="L1735" i="7"/>
  <c r="L1734" i="7"/>
  <c r="L1733" i="7"/>
  <c r="L1732" i="7"/>
  <c r="L1731" i="7"/>
  <c r="L1730" i="7"/>
  <c r="L1729" i="7"/>
  <c r="L1728" i="7"/>
  <c r="L1727" i="7"/>
  <c r="L1726" i="7"/>
  <c r="L1725" i="7"/>
  <c r="L1724" i="7"/>
  <c r="L1723" i="7"/>
  <c r="L1722" i="7"/>
  <c r="L1718" i="7"/>
  <c r="L1717" i="7"/>
  <c r="L1716" i="7"/>
  <c r="L1715" i="7"/>
  <c r="L1714" i="7"/>
  <c r="L1713" i="7"/>
  <c r="L1712" i="7"/>
  <c r="L1711" i="7"/>
  <c r="L1710" i="7"/>
  <c r="L1709" i="7"/>
  <c r="L1708" i="7"/>
  <c r="L1707" i="7"/>
  <c r="L1706" i="7"/>
  <c r="L1705" i="7"/>
  <c r="L1703" i="7"/>
  <c r="L1702" i="7"/>
  <c r="L1701" i="7"/>
  <c r="L1700" i="7"/>
  <c r="L1699" i="7"/>
  <c r="L1698" i="7"/>
  <c r="L1697" i="7"/>
  <c r="L1696" i="7"/>
  <c r="L1695" i="7"/>
  <c r="L1693" i="7"/>
  <c r="L1686" i="7"/>
  <c r="L1677" i="7"/>
  <c r="L1676" i="7"/>
  <c r="L1675" i="7"/>
  <c r="L1674" i="7"/>
  <c r="L1673" i="7"/>
  <c r="L1672" i="7"/>
  <c r="L1671" i="7"/>
  <c r="L1670" i="7"/>
  <c r="L1668" i="7"/>
  <c r="L1667" i="7"/>
  <c r="L1666" i="7"/>
  <c r="L1665" i="7"/>
  <c r="L1659" i="7"/>
  <c r="L1658" i="7"/>
  <c r="L1657" i="7"/>
  <c r="L1656" i="7"/>
  <c r="L1655" i="7"/>
  <c r="L1654" i="7"/>
  <c r="L1653" i="7"/>
  <c r="L1652" i="7"/>
  <c r="L1651" i="7"/>
  <c r="L1650" i="7"/>
  <c r="L1649" i="7"/>
  <c r="L1648" i="7"/>
  <c r="L1647" i="7"/>
  <c r="L1646" i="7"/>
  <c r="L1645" i="7"/>
  <c r="L1644" i="7"/>
  <c r="L1643" i="7"/>
  <c r="L1642" i="7"/>
  <c r="L1641" i="7"/>
  <c r="L1640" i="7"/>
  <c r="L1639" i="7"/>
  <c r="L1638" i="7"/>
  <c r="L1637" i="7"/>
  <c r="L1636" i="7"/>
  <c r="L1635" i="7"/>
  <c r="L1634" i="7"/>
  <c r="L1633" i="7"/>
  <c r="L1632" i="7"/>
  <c r="L1631" i="7"/>
  <c r="L1630" i="7"/>
  <c r="L1629" i="7"/>
  <c r="L1627" i="7"/>
  <c r="L1607" i="7"/>
  <c r="L1599" i="7"/>
  <c r="L1593" i="7"/>
  <c r="L1592" i="7"/>
  <c r="L1591" i="7"/>
  <c r="L1590" i="7"/>
  <c r="L1589" i="7"/>
  <c r="L1588" i="7"/>
  <c r="L1587" i="7"/>
  <c r="L1586" i="7"/>
  <c r="L1585" i="7"/>
  <c r="L1584" i="7"/>
  <c r="L1583" i="7"/>
  <c r="L1582" i="7"/>
  <c r="L1581" i="7"/>
  <c r="L1580" i="7"/>
  <c r="L1579" i="7"/>
  <c r="L1578" i="7"/>
  <c r="L1577" i="7"/>
  <c r="L1576" i="7"/>
  <c r="L1575" i="7"/>
  <c r="L1574" i="7"/>
  <c r="L1573" i="7"/>
  <c r="L1572" i="7"/>
  <c r="L1571" i="7"/>
  <c r="L1570" i="7"/>
  <c r="L1569" i="7"/>
  <c r="L1568" i="7"/>
  <c r="L1567" i="7"/>
  <c r="L1566" i="7"/>
  <c r="L1565" i="7"/>
  <c r="L1564" i="7"/>
  <c r="L1563" i="7"/>
  <c r="L1562" i="7"/>
  <c r="L1561" i="7"/>
  <c r="L1560" i="7"/>
  <c r="L1559" i="7"/>
  <c r="L1558" i="7"/>
  <c r="L1557" i="7"/>
  <c r="L1556" i="7"/>
  <c r="L1555" i="7"/>
  <c r="L1554" i="7"/>
  <c r="L1553" i="7"/>
  <c r="L1552" i="7"/>
  <c r="L1551" i="7"/>
  <c r="L1550" i="7"/>
  <c r="L1549" i="7"/>
  <c r="L1548" i="7"/>
  <c r="L1547" i="7"/>
  <c r="L1546" i="7"/>
  <c r="L1545" i="7"/>
  <c r="L1544" i="7"/>
  <c r="L1543" i="7"/>
  <c r="L1542" i="7"/>
  <c r="L1541" i="7"/>
  <c r="L1540" i="7"/>
  <c r="L1539" i="7"/>
  <c r="L1538" i="7"/>
  <c r="L1537" i="7"/>
  <c r="L1536" i="7"/>
  <c r="L1535" i="7"/>
  <c r="L1534" i="7"/>
  <c r="L1533" i="7"/>
  <c r="L1532" i="7"/>
  <c r="L1531" i="7"/>
  <c r="L1530" i="7"/>
  <c r="L1529" i="7"/>
  <c r="L1528" i="7"/>
  <c r="L1527" i="7"/>
  <c r="L1526" i="7"/>
  <c r="L1525" i="7"/>
  <c r="L1524" i="7"/>
  <c r="L1523" i="7"/>
  <c r="L1522" i="7"/>
  <c r="L1521" i="7"/>
  <c r="L1520" i="7"/>
  <c r="L1519" i="7"/>
  <c r="L1518" i="7"/>
  <c r="L1517" i="7"/>
  <c r="L1516" i="7"/>
  <c r="L1515" i="7"/>
  <c r="L1514" i="7"/>
  <c r="L1513" i="7"/>
  <c r="L1512" i="7"/>
  <c r="L1511" i="7"/>
  <c r="L1510" i="7"/>
  <c r="L1509" i="7"/>
  <c r="L1508" i="7"/>
  <c r="L1507" i="7"/>
  <c r="L1506" i="7"/>
  <c r="L1505" i="7"/>
  <c r="L1504" i="7"/>
  <c r="L1503" i="7"/>
  <c r="L1502" i="7"/>
  <c r="L1501" i="7"/>
  <c r="L1500" i="7"/>
  <c r="L1499" i="7"/>
  <c r="L1498" i="7"/>
  <c r="L1497" i="7"/>
  <c r="L1496" i="7"/>
  <c r="L1495" i="7"/>
  <c r="L1494" i="7"/>
  <c r="L1493" i="7"/>
  <c r="L1492" i="7"/>
  <c r="L1491" i="7"/>
  <c r="L1490" i="7"/>
  <c r="L1489" i="7"/>
  <c r="L1488" i="7"/>
  <c r="L1487" i="7"/>
  <c r="L1486" i="7"/>
  <c r="L1485" i="7"/>
  <c r="L1484" i="7"/>
  <c r="L1483" i="7"/>
  <c r="L1482" i="7"/>
  <c r="L1481" i="7"/>
  <c r="L1480" i="7"/>
  <c r="L1479" i="7"/>
  <c r="L1478" i="7"/>
  <c r="L1477" i="7"/>
  <c r="L1476" i="7"/>
  <c r="L1475" i="7"/>
  <c r="L1474" i="7"/>
  <c r="L1473" i="7"/>
  <c r="L1472" i="7"/>
  <c r="L1471" i="7"/>
  <c r="L1470" i="7"/>
  <c r="L1469" i="7"/>
  <c r="L1468" i="7"/>
  <c r="L1467" i="7"/>
  <c r="L1466" i="7"/>
  <c r="L1465" i="7"/>
  <c r="L1464" i="7"/>
  <c r="L1463" i="7"/>
  <c r="L1462" i="7"/>
  <c r="L1461" i="7"/>
  <c r="L1460" i="7"/>
  <c r="L1459" i="7"/>
  <c r="L1458" i="7"/>
  <c r="L1457" i="7"/>
  <c r="L1456" i="7"/>
  <c r="L1455" i="7"/>
  <c r="L1454" i="7"/>
  <c r="L1453" i="7"/>
  <c r="L1452" i="7"/>
  <c r="L1451" i="7"/>
  <c r="L1450" i="7"/>
  <c r="L1449" i="7"/>
  <c r="L1448" i="7"/>
  <c r="L1447" i="7"/>
  <c r="L1446" i="7"/>
  <c r="L1445" i="7"/>
  <c r="L1444" i="7"/>
  <c r="L1443" i="7"/>
  <c r="L1442" i="7"/>
  <c r="L1441" i="7"/>
  <c r="L1440" i="7"/>
  <c r="L1439" i="7"/>
  <c r="L1438" i="7"/>
  <c r="L1437" i="7"/>
  <c r="L1436" i="7"/>
  <c r="L1435" i="7"/>
  <c r="L1434" i="7"/>
  <c r="L1433" i="7"/>
  <c r="L1432" i="7"/>
  <c r="L1431" i="7"/>
  <c r="L1430" i="7"/>
  <c r="L1429" i="7"/>
  <c r="L1428" i="7"/>
  <c r="L1427" i="7"/>
  <c r="L1426" i="7"/>
  <c r="L1425" i="7"/>
  <c r="L1424" i="7"/>
  <c r="L1423" i="7"/>
  <c r="L1422" i="7"/>
  <c r="L1421" i="7"/>
  <c r="L1420" i="7"/>
  <c r="L1419" i="7"/>
  <c r="L1418" i="7"/>
  <c r="L1417" i="7"/>
  <c r="L1416" i="7"/>
  <c r="L1415" i="7"/>
  <c r="L1414" i="7"/>
  <c r="L1413" i="7"/>
  <c r="L1412" i="7"/>
  <c r="L1411" i="7"/>
  <c r="L1410" i="7"/>
  <c r="L1409" i="7"/>
  <c r="L1408" i="7"/>
  <c r="L1387" i="7"/>
  <c r="L1386" i="7"/>
  <c r="L1385" i="7"/>
  <c r="L1384" i="7"/>
  <c r="L1383" i="7"/>
  <c r="L1382" i="7"/>
  <c r="L1381" i="7"/>
  <c r="L1380" i="7"/>
  <c r="L1379" i="7"/>
  <c r="L1378" i="7"/>
  <c r="L1377" i="7"/>
  <c r="L1376" i="7"/>
  <c r="L1375" i="7"/>
  <c r="L1374" i="7"/>
  <c r="L1373" i="7"/>
  <c r="L1372" i="7"/>
  <c r="L1371" i="7"/>
  <c r="L1366" i="7"/>
  <c r="L1365" i="7"/>
  <c r="L1364" i="7"/>
  <c r="L1363" i="7"/>
  <c r="L1362" i="7"/>
  <c r="L1361" i="7"/>
  <c r="L1360" i="7"/>
  <c r="L1359" i="7"/>
  <c r="L1358" i="7"/>
  <c r="L1357" i="7"/>
  <c r="L1356" i="7"/>
  <c r="L1337" i="7"/>
  <c r="L1336" i="7"/>
  <c r="L1335" i="7"/>
  <c r="L1334" i="7"/>
  <c r="L1333" i="7"/>
  <c r="L1332" i="7"/>
  <c r="L1331" i="7"/>
  <c r="L1330" i="7"/>
  <c r="L1329" i="7"/>
  <c r="L1328" i="7"/>
  <c r="L1326" i="7"/>
  <c r="L1325" i="7"/>
  <c r="L1320" i="7"/>
  <c r="L1319" i="7"/>
  <c r="L1318" i="7"/>
  <c r="L1317" i="7"/>
  <c r="L1316" i="7"/>
  <c r="L1315" i="7"/>
  <c r="L1314" i="7"/>
  <c r="L1313" i="7"/>
  <c r="L1312" i="7"/>
  <c r="L1311" i="7"/>
  <c r="L1310" i="7"/>
  <c r="L1309" i="7"/>
  <c r="L1308" i="7"/>
  <c r="L1303" i="7"/>
  <c r="L1296" i="7"/>
  <c r="L1294" i="7"/>
  <c r="L1280" i="7"/>
  <c r="L1279" i="7"/>
  <c r="L1277" i="7"/>
  <c r="L1270" i="7"/>
  <c r="L1268" i="7"/>
  <c r="L1267" i="7"/>
  <c r="L1265" i="7"/>
  <c r="L1258" i="7"/>
  <c r="L1256" i="7"/>
  <c r="L1253" i="7"/>
  <c r="L1246" i="7"/>
  <c r="L1245" i="7"/>
  <c r="L1243" i="7"/>
  <c r="L1237" i="7"/>
  <c r="L1235" i="7"/>
  <c r="L1233" i="7"/>
  <c r="L1232" i="7"/>
  <c r="L1230" i="7"/>
  <c r="L1222" i="7"/>
  <c r="L1220" i="7"/>
  <c r="L1213" i="7"/>
  <c r="L1211" i="7"/>
  <c r="L1204" i="7"/>
  <c r="L1203" i="7"/>
  <c r="L1202" i="7"/>
  <c r="L1200" i="7"/>
  <c r="L1199" i="7"/>
  <c r="L1198" i="7"/>
  <c r="L1196" i="7"/>
  <c r="L1193" i="7"/>
  <c r="L1186" i="7"/>
  <c r="L1184" i="7"/>
  <c r="L1182" i="7"/>
  <c r="L1181" i="7"/>
  <c r="L1180" i="7"/>
  <c r="L1179" i="7"/>
  <c r="L1178" i="7"/>
  <c r="L1177" i="7"/>
  <c r="L1176" i="7"/>
  <c r="L1175" i="7"/>
  <c r="L1174" i="7"/>
  <c r="L1173" i="7"/>
  <c r="L1172" i="7"/>
  <c r="L1171" i="7"/>
  <c r="L1170" i="7"/>
  <c r="L1169" i="7"/>
  <c r="L1168" i="7"/>
  <c r="L1167" i="7"/>
  <c r="L1166" i="7"/>
  <c r="L1165" i="7"/>
  <c r="L1164" i="7"/>
  <c r="L1163" i="7"/>
  <c r="L1162" i="7"/>
  <c r="L1161" i="7"/>
  <c r="L1160" i="7"/>
  <c r="L1159" i="7"/>
  <c r="L1158" i="7"/>
  <c r="L1152" i="7"/>
  <c r="L1151" i="7"/>
  <c r="L1149" i="7"/>
  <c r="L1141" i="7"/>
  <c r="L1140" i="7"/>
  <c r="L1133" i="7"/>
  <c r="L1132" i="7"/>
  <c r="L1130" i="7"/>
  <c r="L1124" i="7"/>
  <c r="L1123" i="7"/>
  <c r="L1120" i="7"/>
  <c r="L1118" i="7"/>
  <c r="L1114" i="7"/>
  <c r="L1113" i="7"/>
  <c r="L1112" i="7"/>
  <c r="L1111" i="7"/>
  <c r="L1110" i="7"/>
  <c r="L1109" i="7"/>
  <c r="L1108" i="7"/>
  <c r="L1107" i="7"/>
  <c r="L1099" i="7"/>
  <c r="L1094" i="7"/>
  <c r="L1093" i="7"/>
  <c r="L1091" i="7"/>
  <c r="L1084" i="7"/>
  <c r="L1083" i="7"/>
  <c r="L1077" i="7"/>
  <c r="L1076" i="7"/>
  <c r="L1075" i="7"/>
  <c r="L1061" i="7"/>
  <c r="L1060" i="7"/>
  <c r="L1058" i="7"/>
  <c r="L1040" i="7"/>
  <c r="L1037" i="7"/>
  <c r="L1036" i="7"/>
  <c r="L1035" i="7"/>
  <c r="L1034" i="7"/>
  <c r="L1032" i="7"/>
  <c r="L1023" i="7"/>
  <c r="L1020" i="7"/>
  <c r="L1019" i="7"/>
  <c r="L1017" i="7"/>
  <c r="L1007" i="7"/>
  <c r="L1006" i="7"/>
  <c r="L1005" i="7"/>
  <c r="L1003" i="7"/>
  <c r="L985" i="7"/>
  <c r="L970" i="7"/>
  <c r="L936" i="7"/>
  <c r="L929" i="7"/>
  <c r="L928" i="7"/>
  <c r="L927" i="7"/>
  <c r="L922" i="7"/>
  <c r="L919" i="7"/>
  <c r="L918" i="7"/>
  <c r="L908" i="7"/>
  <c r="L900" i="7"/>
  <c r="L899" i="7"/>
  <c r="L898" i="7"/>
  <c r="L897" i="7"/>
  <c r="L890" i="7"/>
  <c r="L864" i="7"/>
  <c r="L859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4" i="7"/>
  <c r="L823" i="7"/>
  <c r="L822" i="7"/>
  <c r="L821" i="7"/>
  <c r="L820" i="7"/>
  <c r="L819" i="7"/>
  <c r="L818" i="7"/>
  <c r="L817" i="7"/>
  <c r="L815" i="7"/>
  <c r="L786" i="7"/>
  <c r="L784" i="7"/>
  <c r="L777" i="7"/>
  <c r="L769" i="7"/>
  <c r="L754" i="7"/>
  <c r="L744" i="7"/>
  <c r="L733" i="7"/>
  <c r="L727" i="7"/>
  <c r="L719" i="7"/>
  <c r="L717" i="7"/>
  <c r="L711" i="7"/>
  <c r="L709" i="7"/>
  <c r="L703" i="7"/>
  <c r="L702" i="7"/>
  <c r="L701" i="7"/>
  <c r="L699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K1971" i="7"/>
  <c r="K1969" i="7"/>
  <c r="K1968" i="7"/>
  <c r="K1967" i="7"/>
  <c r="K1965" i="7"/>
  <c r="K1964" i="7"/>
  <c r="K1963" i="7"/>
  <c r="K1962" i="7"/>
  <c r="K1961" i="7"/>
  <c r="K1959" i="7"/>
  <c r="K1957" i="7"/>
  <c r="K1956" i="7"/>
  <c r="K1955" i="7"/>
  <c r="K1954" i="7"/>
  <c r="K1953" i="7"/>
  <c r="K1952" i="7"/>
  <c r="K1951" i="7"/>
  <c r="K1948" i="7"/>
  <c r="K1946" i="7"/>
  <c r="K1945" i="7"/>
  <c r="K1944" i="7"/>
  <c r="K1943" i="7"/>
  <c r="K1930" i="7"/>
  <c r="K1929" i="7"/>
  <c r="K1928" i="7"/>
  <c r="K1926" i="7"/>
  <c r="K1925" i="7"/>
  <c r="K1924" i="7"/>
  <c r="K1922" i="7"/>
  <c r="K1921" i="7"/>
  <c r="K1919" i="7"/>
  <c r="K1918" i="7"/>
  <c r="K1917" i="7"/>
  <c r="K1916" i="7"/>
  <c r="K1915" i="7"/>
  <c r="K1914" i="7"/>
  <c r="K1912" i="7"/>
  <c r="K1911" i="7"/>
  <c r="K1910" i="7"/>
  <c r="K1909" i="7"/>
  <c r="K1908" i="7"/>
  <c r="K1906" i="7"/>
  <c r="K1905" i="7"/>
  <c r="K1904" i="7"/>
  <c r="K1902" i="7"/>
  <c r="K1901" i="7"/>
  <c r="K1900" i="7"/>
  <c r="K1898" i="7"/>
  <c r="K1895" i="7"/>
  <c r="K1894" i="7"/>
  <c r="K1891" i="7"/>
  <c r="K1889" i="7"/>
  <c r="K1881" i="7"/>
  <c r="K1879" i="7"/>
  <c r="K1878" i="7"/>
  <c r="K1877" i="7"/>
  <c r="K1876" i="7"/>
  <c r="K1875" i="7"/>
  <c r="K1874" i="7"/>
  <c r="K1873" i="7"/>
  <c r="K1872" i="7"/>
  <c r="K1871" i="7"/>
  <c r="K1870" i="7"/>
  <c r="K1869" i="7"/>
  <c r="K1868" i="7"/>
  <c r="K1867" i="7"/>
  <c r="K1866" i="7"/>
  <c r="K1865" i="7"/>
  <c r="K1864" i="7"/>
  <c r="K1863" i="7"/>
  <c r="K1855" i="7"/>
  <c r="K1854" i="7"/>
  <c r="K1853" i="7"/>
  <c r="K1852" i="7"/>
  <c r="K1851" i="7"/>
  <c r="K1850" i="7"/>
  <c r="K1849" i="7"/>
  <c r="K1848" i="7"/>
  <c r="K1829" i="7"/>
  <c r="K1828" i="7"/>
  <c r="K1827" i="7"/>
  <c r="K1826" i="7"/>
  <c r="K1825" i="7"/>
  <c r="K1824" i="7"/>
  <c r="K1823" i="7"/>
  <c r="K1822" i="7"/>
  <c r="K1821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5" i="7"/>
  <c r="K1803" i="7"/>
  <c r="K1802" i="7"/>
  <c r="K1801" i="7"/>
  <c r="K1800" i="7"/>
  <c r="K1799" i="7"/>
  <c r="K1798" i="7"/>
  <c r="K1797" i="7"/>
  <c r="K1796" i="7"/>
  <c r="K1795" i="7"/>
  <c r="K1794" i="7"/>
  <c r="K1793" i="7"/>
  <c r="K1792" i="7"/>
  <c r="K1789" i="7"/>
  <c r="K1788" i="7"/>
  <c r="K1736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2" i="7"/>
  <c r="K1691" i="7"/>
  <c r="K1690" i="7"/>
  <c r="K1689" i="7"/>
  <c r="K1688" i="7"/>
  <c r="K1687" i="7"/>
  <c r="K1686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3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85" i="7"/>
  <c r="K1584" i="7"/>
  <c r="K1583" i="7"/>
  <c r="K1582" i="7"/>
  <c r="K1581" i="7"/>
  <c r="K1580" i="7"/>
  <c r="K1577" i="7"/>
  <c r="K1576" i="7"/>
  <c r="K1574" i="7"/>
  <c r="K1573" i="7"/>
  <c r="K1572" i="7"/>
  <c r="K1571" i="7"/>
  <c r="K1570" i="7"/>
  <c r="K1569" i="7"/>
  <c r="K1568" i="7"/>
  <c r="K1567" i="7"/>
  <c r="K1566" i="7"/>
  <c r="K1564" i="7"/>
  <c r="K1561" i="7"/>
  <c r="K1558" i="7"/>
  <c r="K1556" i="7"/>
  <c r="K1555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32" i="7"/>
  <c r="K1531" i="7"/>
  <c r="K1530" i="7"/>
  <c r="K1526" i="7"/>
  <c r="K1519" i="7"/>
  <c r="K1516" i="7"/>
  <c r="K1515" i="7"/>
  <c r="K1512" i="7"/>
  <c r="K1510" i="7"/>
  <c r="K1506" i="7"/>
  <c r="K1505" i="7"/>
  <c r="K1503" i="7"/>
  <c r="K1502" i="7"/>
  <c r="K1501" i="7"/>
  <c r="K1500" i="7"/>
  <c r="K1499" i="7"/>
  <c r="K1498" i="7"/>
  <c r="K1497" i="7"/>
  <c r="K1494" i="7"/>
  <c r="K1493" i="7"/>
  <c r="K1492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3" i="7"/>
  <c r="K1472" i="7"/>
  <c r="K1471" i="7"/>
  <c r="K1470" i="7"/>
  <c r="K1469" i="7"/>
  <c r="K1468" i="7"/>
  <c r="K1467" i="7"/>
  <c r="K1466" i="7"/>
  <c r="K1465" i="7"/>
  <c r="K1463" i="7"/>
  <c r="K1462" i="7"/>
  <c r="K1461" i="7"/>
  <c r="K1460" i="7"/>
  <c r="K1459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2" i="7"/>
  <c r="K1201" i="7"/>
  <c r="K1200" i="7"/>
  <c r="K1197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0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1" i="7"/>
  <c r="K686" i="7"/>
  <c r="K679" i="7"/>
  <c r="K667" i="7"/>
  <c r="K666" i="7"/>
  <c r="K662" i="7"/>
  <c r="K659" i="7"/>
  <c r="K658" i="7"/>
  <c r="K657" i="7"/>
  <c r="K656" i="7"/>
  <c r="K655" i="7"/>
  <c r="K646" i="7"/>
  <c r="K645" i="7"/>
  <c r="K644" i="7"/>
  <c r="K643" i="7"/>
  <c r="K642" i="7"/>
  <c r="K638" i="7"/>
  <c r="K637" i="7"/>
  <c r="K634" i="7"/>
  <c r="K631" i="7"/>
  <c r="K630" i="7"/>
  <c r="K629" i="7"/>
  <c r="K623" i="7"/>
  <c r="K622" i="7"/>
  <c r="K620" i="7"/>
  <c r="K618" i="7"/>
  <c r="K617" i="7"/>
  <c r="K616" i="7"/>
  <c r="K613" i="7"/>
  <c r="K606" i="7"/>
  <c r="K605" i="7"/>
  <c r="K604" i="7"/>
  <c r="K603" i="7"/>
  <c r="K602" i="7"/>
  <c r="K601" i="7"/>
  <c r="K600" i="7"/>
  <c r="K599" i="7"/>
  <c r="K598" i="7"/>
  <c r="K597" i="7"/>
  <c r="K596" i="7"/>
  <c r="K594" i="7"/>
  <c r="K593" i="7"/>
  <c r="K592" i="7"/>
  <c r="K589" i="7"/>
  <c r="K578" i="7"/>
  <c r="K576" i="7"/>
  <c r="K575" i="7"/>
  <c r="K574" i="7"/>
  <c r="K554" i="7"/>
  <c r="K552" i="7"/>
  <c r="K550" i="7"/>
  <c r="K548" i="7"/>
  <c r="K547" i="7"/>
  <c r="K546" i="7"/>
  <c r="K545" i="7"/>
  <c r="K544" i="7"/>
  <c r="K538" i="7"/>
  <c r="K534" i="7"/>
  <c r="K448" i="7"/>
  <c r="K447" i="7"/>
  <c r="K445" i="7"/>
  <c r="K426" i="7"/>
  <c r="K412" i="7"/>
  <c r="K374" i="7"/>
  <c r="K345" i="7"/>
  <c r="K313" i="7"/>
  <c r="K294" i="7"/>
  <c r="K267" i="7"/>
  <c r="K259" i="7"/>
  <c r="K222" i="7"/>
  <c r="K221" i="7"/>
  <c r="K219" i="7"/>
  <c r="K218" i="7"/>
  <c r="K217" i="7"/>
  <c r="K215" i="7"/>
  <c r="K212" i="7"/>
  <c r="K211" i="7"/>
  <c r="K210" i="7"/>
  <c r="K201" i="7"/>
  <c r="K196" i="7"/>
  <c r="K194" i="7"/>
  <c r="K193" i="7"/>
  <c r="K185" i="7"/>
  <c r="K183" i="7"/>
  <c r="K182" i="7"/>
  <c r="K181" i="7"/>
  <c r="K180" i="7"/>
  <c r="K179" i="7"/>
  <c r="K178" i="7"/>
  <c r="K173" i="7"/>
  <c r="K170" i="7"/>
  <c r="K159" i="7"/>
  <c r="K157" i="7"/>
  <c r="K156" i="7"/>
  <c r="K155" i="7"/>
  <c r="K154" i="7"/>
  <c r="K152" i="7"/>
  <c r="K151" i="7"/>
  <c r="K145" i="7"/>
  <c r="K144" i="7"/>
  <c r="K143" i="7"/>
  <c r="K142" i="7"/>
  <c r="K133" i="7"/>
  <c r="K109" i="7"/>
  <c r="K87" i="7"/>
  <c r="K77" i="7"/>
  <c r="K45" i="7"/>
  <c r="J1972" i="7"/>
  <c r="J1971" i="7"/>
  <c r="J1970" i="7"/>
  <c r="J1969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0" i="7"/>
  <c r="J1938" i="7"/>
  <c r="J1937" i="7"/>
  <c r="J1936" i="7"/>
  <c r="J1935" i="7"/>
  <c r="J1934" i="7"/>
  <c r="J1933" i="7"/>
  <c r="J1932" i="7"/>
  <c r="J1931" i="7"/>
  <c r="J1930" i="7"/>
  <c r="J1929" i="7"/>
  <c r="J1928" i="7"/>
  <c r="J1927" i="7"/>
  <c r="J1926" i="7"/>
  <c r="J1925" i="7"/>
  <c r="J1924" i="7"/>
  <c r="J1923" i="7"/>
  <c r="J1922" i="7"/>
  <c r="J1921" i="7"/>
  <c r="J1920" i="7"/>
  <c r="J1919" i="7"/>
  <c r="J1918" i="7"/>
  <c r="J1917" i="7"/>
  <c r="J1916" i="7"/>
  <c r="J1915" i="7"/>
  <c r="J1914" i="7"/>
  <c r="J1913" i="7"/>
  <c r="J1912" i="7"/>
  <c r="J1911" i="7"/>
  <c r="J1909" i="7"/>
  <c r="J1908" i="7"/>
  <c r="J1907" i="7"/>
  <c r="J1906" i="7"/>
  <c r="J1905" i="7"/>
  <c r="J1904" i="7"/>
  <c r="J1903" i="7"/>
  <c r="J1902" i="7"/>
  <c r="J1901" i="7"/>
  <c r="J1900" i="7"/>
  <c r="J1898" i="7"/>
  <c r="J1896" i="7"/>
  <c r="J1895" i="7"/>
  <c r="J1894" i="7"/>
  <c r="J1893" i="7"/>
  <c r="J1892" i="7"/>
  <c r="J1891" i="7"/>
  <c r="J1890" i="7"/>
  <c r="J1889" i="7"/>
  <c r="J1886" i="7"/>
  <c r="J1885" i="7"/>
  <c r="J1884" i="7"/>
  <c r="J1881" i="7"/>
  <c r="J1879" i="7"/>
  <c r="J1878" i="7"/>
  <c r="J1877" i="7"/>
  <c r="J1876" i="7"/>
  <c r="J1875" i="7"/>
  <c r="J1874" i="7"/>
  <c r="J1873" i="7"/>
  <c r="J1872" i="7"/>
  <c r="J1871" i="7"/>
  <c r="J1870" i="7"/>
  <c r="J1869" i="7"/>
  <c r="J1868" i="7"/>
  <c r="J1867" i="7"/>
  <c r="J1866" i="7"/>
  <c r="J1865" i="7"/>
  <c r="J1864" i="7"/>
  <c r="J1863" i="7"/>
  <c r="J1862" i="7"/>
  <c r="J1861" i="7"/>
  <c r="J1860" i="7"/>
  <c r="J1859" i="7"/>
  <c r="J1858" i="7"/>
  <c r="J1857" i="7"/>
  <c r="J1856" i="7"/>
  <c r="J1855" i="7"/>
  <c r="J1854" i="7"/>
  <c r="J1853" i="7"/>
  <c r="J1852" i="7"/>
  <c r="J1851" i="7"/>
  <c r="J1850" i="7"/>
  <c r="J1849" i="7"/>
  <c r="J1848" i="7"/>
  <c r="J1845" i="7"/>
  <c r="J1842" i="7"/>
  <c r="J1841" i="7"/>
  <c r="J1840" i="7"/>
  <c r="J1839" i="7"/>
  <c r="J1838" i="7"/>
  <c r="J1837" i="7"/>
  <c r="J1836" i="7"/>
  <c r="J1835" i="7"/>
  <c r="J1834" i="7"/>
  <c r="J1833" i="7"/>
  <c r="J1832" i="7"/>
  <c r="J1831" i="7"/>
  <c r="J1830" i="7"/>
  <c r="J1829" i="7"/>
  <c r="J1828" i="7"/>
  <c r="J1827" i="7"/>
  <c r="J1826" i="7"/>
  <c r="J1825" i="7"/>
  <c r="J1824" i="7"/>
  <c r="J1823" i="7"/>
  <c r="J1822" i="7"/>
  <c r="J1821" i="7"/>
  <c r="J1820" i="7"/>
  <c r="J1819" i="7"/>
  <c r="J1818" i="7"/>
  <c r="J1817" i="7"/>
  <c r="J1816" i="7"/>
  <c r="J1815" i="7"/>
  <c r="J1814" i="7"/>
  <c r="J1813" i="7"/>
  <c r="J1812" i="7"/>
  <c r="J1811" i="7"/>
  <c r="J1810" i="7"/>
  <c r="J1809" i="7"/>
  <c r="J1808" i="7"/>
  <c r="J1807" i="7"/>
  <c r="J1806" i="7"/>
  <c r="J1805" i="7"/>
  <c r="J1804" i="7"/>
  <c r="J1803" i="7"/>
  <c r="J1802" i="7"/>
  <c r="J1801" i="7"/>
  <c r="J1800" i="7"/>
  <c r="J1799" i="7"/>
  <c r="J1798" i="7"/>
  <c r="J1797" i="7"/>
  <c r="J1796" i="7"/>
  <c r="J1795" i="7"/>
  <c r="J1794" i="7"/>
  <c r="J1793" i="7"/>
  <c r="J1792" i="7"/>
  <c r="J1790" i="7"/>
  <c r="J1789" i="7"/>
  <c r="J1788" i="7"/>
  <c r="J1787" i="7"/>
  <c r="J1786" i="7"/>
  <c r="J1781" i="7"/>
  <c r="J1780" i="7"/>
  <c r="J1766" i="7"/>
  <c r="J1761" i="7"/>
  <c r="J1760" i="7"/>
  <c r="J1742" i="7"/>
  <c r="J1738" i="7"/>
  <c r="J1736" i="7"/>
  <c r="J1735" i="7"/>
  <c r="J1704" i="7"/>
  <c r="J1703" i="7"/>
  <c r="J1702" i="7"/>
  <c r="J1701" i="7"/>
  <c r="J1700" i="7"/>
  <c r="J1699" i="7"/>
  <c r="J1698" i="7"/>
  <c r="J1697" i="7"/>
  <c r="J1696" i="7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1607" i="7"/>
  <c r="J1606" i="7"/>
  <c r="J1605" i="7"/>
  <c r="J1604" i="7"/>
  <c r="J1603" i="7"/>
  <c r="J1602" i="7"/>
  <c r="J1601" i="7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3" i="7"/>
  <c r="J1562" i="7"/>
  <c r="J1561" i="7"/>
  <c r="J1560" i="7"/>
  <c r="J1559" i="7"/>
  <c r="J1558" i="7"/>
  <c r="J1557" i="7"/>
  <c r="J1556" i="7"/>
  <c r="J1555" i="7"/>
  <c r="J1554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J1506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351" i="7"/>
  <c r="J1350" i="7"/>
  <c r="J1349" i="7"/>
  <c r="J1348" i="7"/>
  <c r="J1347" i="7"/>
  <c r="J1346" i="7"/>
  <c r="J1345" i="7"/>
  <c r="J1344" i="7"/>
  <c r="J1343" i="7"/>
  <c r="J1342" i="7"/>
  <c r="J1341" i="7"/>
  <c r="J1340" i="7"/>
  <c r="J1339" i="7"/>
  <c r="J1338" i="7"/>
  <c r="J1337" i="7"/>
  <c r="J1336" i="7"/>
  <c r="J1333" i="7"/>
  <c r="J1332" i="7"/>
  <c r="J1331" i="7"/>
  <c r="J1330" i="7"/>
  <c r="J1329" i="7"/>
  <c r="J1328" i="7"/>
  <c r="J1327" i="7"/>
  <c r="J1326" i="7"/>
  <c r="J1325" i="7"/>
  <c r="J1324" i="7"/>
  <c r="J1323" i="7"/>
  <c r="J1322" i="7"/>
  <c r="J1321" i="7"/>
  <c r="J1320" i="7"/>
  <c r="J1319" i="7"/>
  <c r="J1318" i="7"/>
  <c r="J1315" i="7"/>
  <c r="J1314" i="7"/>
  <c r="J1313" i="7"/>
  <c r="J1312" i="7"/>
  <c r="J1311" i="7"/>
  <c r="J1310" i="7"/>
  <c r="J1309" i="7"/>
  <c r="J1308" i="7"/>
  <c r="J1307" i="7"/>
  <c r="J1306" i="7"/>
  <c r="J1305" i="7"/>
  <c r="J1304" i="7"/>
  <c r="J1303" i="7"/>
  <c r="J1302" i="7"/>
  <c r="J1301" i="7"/>
  <c r="J1300" i="7"/>
  <c r="J1299" i="7"/>
  <c r="J1298" i="7"/>
  <c r="J1297" i="7"/>
  <c r="J1296" i="7"/>
  <c r="J1295" i="7"/>
  <c r="J1294" i="7"/>
  <c r="J1293" i="7"/>
  <c r="J1292" i="7"/>
  <c r="J1291" i="7"/>
  <c r="J1290" i="7"/>
  <c r="J1289" i="7"/>
  <c r="J1288" i="7"/>
  <c r="J1287" i="7"/>
  <c r="J1286" i="7"/>
  <c r="J1285" i="7"/>
  <c r="J1284" i="7"/>
  <c r="J1283" i="7"/>
  <c r="J1282" i="7"/>
  <c r="J1281" i="7"/>
  <c r="J1280" i="7"/>
  <c r="J1279" i="7"/>
  <c r="J1278" i="7"/>
  <c r="J1277" i="7"/>
  <c r="J1276" i="7"/>
  <c r="J1275" i="7"/>
  <c r="J1274" i="7"/>
  <c r="J1273" i="7"/>
  <c r="J1272" i="7"/>
  <c r="J1271" i="7"/>
  <c r="J1270" i="7"/>
  <c r="J1269" i="7"/>
  <c r="J1268" i="7"/>
  <c r="J1267" i="7"/>
  <c r="J1266" i="7"/>
  <c r="J1265" i="7"/>
  <c r="J1264" i="7"/>
  <c r="J1263" i="7"/>
  <c r="J1262" i="7"/>
  <c r="J1261" i="7"/>
  <c r="J1260" i="7"/>
  <c r="J1259" i="7"/>
  <c r="J1258" i="7"/>
  <c r="J1257" i="7"/>
  <c r="J1256" i="7"/>
  <c r="J1255" i="7"/>
  <c r="J1254" i="7"/>
  <c r="J1253" i="7"/>
  <c r="J1252" i="7"/>
  <c r="J1251" i="7"/>
  <c r="J1250" i="7"/>
  <c r="J1249" i="7"/>
  <c r="J1248" i="7"/>
  <c r="J1247" i="7"/>
  <c r="J1246" i="7"/>
  <c r="J1245" i="7"/>
  <c r="J1244" i="7"/>
  <c r="J1243" i="7"/>
  <c r="J1242" i="7"/>
  <c r="J1241" i="7"/>
  <c r="J1240" i="7"/>
  <c r="J1239" i="7"/>
  <c r="J1238" i="7"/>
  <c r="J1237" i="7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8" i="7"/>
  <c r="J827" i="7"/>
  <c r="J826" i="7"/>
  <c r="J825" i="7"/>
  <c r="J824" i="7"/>
  <c r="J823" i="7"/>
  <c r="J822" i="7"/>
  <c r="J821" i="7"/>
  <c r="J820" i="7"/>
  <c r="J819" i="7"/>
  <c r="J818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2" i="7"/>
  <c r="J691" i="7"/>
  <c r="J690" i="7"/>
  <c r="J689" i="7"/>
  <c r="J688" i="7"/>
  <c r="J687" i="7"/>
  <c r="J686" i="7"/>
  <c r="J684" i="7"/>
  <c r="J683" i="7"/>
  <c r="J682" i="7"/>
  <c r="J680" i="7"/>
  <c r="J679" i="7"/>
  <c r="J674" i="7"/>
  <c r="J672" i="7"/>
  <c r="J668" i="7"/>
  <c r="J667" i="7"/>
  <c r="J666" i="7"/>
  <c r="J665" i="7"/>
  <c r="J664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6" i="7"/>
  <c r="J645" i="7"/>
  <c r="J644" i="7"/>
  <c r="J643" i="7"/>
  <c r="J642" i="7"/>
  <c r="J638" i="7"/>
  <c r="J637" i="7"/>
  <c r="J636" i="7"/>
  <c r="J634" i="7"/>
  <c r="J633" i="7"/>
  <c r="J632" i="7"/>
  <c r="J631" i="7"/>
  <c r="J629" i="7"/>
  <c r="J628" i="7"/>
  <c r="J627" i="7"/>
  <c r="J626" i="7"/>
  <c r="J623" i="7"/>
  <c r="J622" i="7"/>
  <c r="J620" i="7"/>
  <c r="J619" i="7"/>
  <c r="J618" i="7"/>
  <c r="J617" i="7"/>
  <c r="J616" i="7"/>
  <c r="J614" i="7"/>
  <c r="J613" i="7"/>
  <c r="J612" i="7"/>
  <c r="J606" i="7"/>
  <c r="J605" i="7"/>
  <c r="J604" i="7"/>
  <c r="J603" i="7"/>
  <c r="J602" i="7"/>
  <c r="J601" i="7"/>
  <c r="J600" i="7"/>
  <c r="J599" i="7"/>
  <c r="J598" i="7"/>
  <c r="J597" i="7"/>
  <c r="J596" i="7"/>
  <c r="J594" i="7"/>
  <c r="J593" i="7"/>
  <c r="J592" i="7"/>
  <c r="J591" i="7"/>
  <c r="J590" i="7"/>
  <c r="J589" i="7"/>
  <c r="J588" i="7"/>
  <c r="J585" i="7"/>
  <c r="J582" i="7"/>
  <c r="J578" i="7"/>
  <c r="J576" i="7"/>
  <c r="J575" i="7"/>
  <c r="J574" i="7"/>
  <c r="J573" i="7"/>
  <c r="J572" i="7"/>
  <c r="J565" i="7"/>
  <c r="J563" i="7"/>
  <c r="J562" i="7"/>
  <c r="J561" i="7"/>
  <c r="J557" i="7"/>
  <c r="J556" i="7"/>
  <c r="J554" i="7"/>
  <c r="J552" i="7"/>
  <c r="J550" i="7"/>
  <c r="J548" i="7"/>
  <c r="J547" i="7"/>
  <c r="J546" i="7"/>
  <c r="J545" i="7"/>
  <c r="J544" i="7"/>
  <c r="J538" i="7"/>
  <c r="J534" i="7"/>
  <c r="J528" i="7"/>
  <c r="J527" i="7"/>
  <c r="J526" i="7"/>
  <c r="J525" i="7"/>
  <c r="J524" i="7"/>
  <c r="J523" i="7"/>
  <c r="J522" i="7"/>
  <c r="J521" i="7"/>
  <c r="J520" i="7"/>
  <c r="J517" i="7"/>
  <c r="J516" i="7"/>
  <c r="J515" i="7"/>
  <c r="J511" i="7"/>
  <c r="J501" i="7"/>
  <c r="J500" i="7"/>
  <c r="J499" i="7"/>
  <c r="J497" i="7"/>
  <c r="J495" i="7"/>
  <c r="J494" i="7"/>
  <c r="J493" i="7"/>
  <c r="J492" i="7"/>
  <c r="J487" i="7"/>
  <c r="J484" i="7"/>
  <c r="J483" i="7"/>
  <c r="J482" i="7"/>
  <c r="J480" i="7"/>
  <c r="J479" i="7"/>
  <c r="J478" i="7"/>
  <c r="J477" i="7"/>
  <c r="J476" i="7"/>
  <c r="J473" i="7"/>
  <c r="J470" i="7"/>
  <c r="J469" i="7"/>
  <c r="J468" i="7"/>
  <c r="J467" i="7"/>
  <c r="J463" i="7"/>
  <c r="J462" i="7"/>
  <c r="J461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8" i="7"/>
  <c r="J437" i="7"/>
  <c r="J435" i="7"/>
  <c r="J434" i="7"/>
  <c r="J433" i="7"/>
  <c r="J432" i="7"/>
  <c r="J431" i="7"/>
  <c r="J430" i="7"/>
  <c r="J429" i="7"/>
  <c r="J426" i="7"/>
  <c r="J425" i="7"/>
  <c r="J424" i="7"/>
  <c r="J423" i="7"/>
  <c r="J422" i="7"/>
  <c r="J421" i="7"/>
  <c r="J420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0" i="7"/>
  <c r="J379" i="7"/>
  <c r="J376" i="7"/>
  <c r="J375" i="7"/>
  <c r="J374" i="7"/>
  <c r="J373" i="7"/>
  <c r="J372" i="7"/>
  <c r="J371" i="7"/>
  <c r="J370" i="7"/>
  <c r="J369" i="7"/>
  <c r="J368" i="7"/>
  <c r="J367" i="7"/>
  <c r="J365" i="7"/>
  <c r="J364" i="7"/>
  <c r="J363" i="7"/>
  <c r="J359" i="7"/>
  <c r="J357" i="7"/>
  <c r="J356" i="7"/>
  <c r="J355" i="7"/>
  <c r="J354" i="7"/>
  <c r="J353" i="7"/>
  <c r="J347" i="7"/>
  <c r="J346" i="7"/>
  <c r="J345" i="7"/>
  <c r="J344" i="7"/>
  <c r="J343" i="7"/>
  <c r="J342" i="7"/>
  <c r="J341" i="7"/>
  <c r="J340" i="7"/>
  <c r="J338" i="7"/>
  <c r="J337" i="7"/>
  <c r="J335" i="7"/>
  <c r="J334" i="7"/>
  <c r="J333" i="7"/>
  <c r="J332" i="7"/>
  <c r="J329" i="7"/>
  <c r="J328" i="7"/>
  <c r="J327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89" i="7"/>
  <c r="J288" i="7"/>
  <c r="J287" i="7"/>
  <c r="J286" i="7"/>
  <c r="J285" i="7"/>
  <c r="J284" i="7"/>
  <c r="J283" i="7"/>
  <c r="J282" i="7"/>
  <c r="J281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2" i="7"/>
  <c r="J241" i="7"/>
  <c r="J238" i="7"/>
  <c r="J233" i="7"/>
  <c r="J232" i="7"/>
  <c r="J229" i="7"/>
  <c r="J228" i="7"/>
  <c r="J227" i="7"/>
  <c r="J224" i="7"/>
  <c r="J222" i="7"/>
  <c r="J221" i="7"/>
  <c r="J220" i="7"/>
  <c r="J219" i="7"/>
  <c r="J218" i="7"/>
  <c r="J217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3" i="7"/>
  <c r="J170" i="7"/>
  <c r="J168" i="7"/>
  <c r="J167" i="7"/>
  <c r="J166" i="7"/>
  <c r="J165" i="7"/>
  <c r="J164" i="7"/>
  <c r="J163" i="7"/>
  <c r="J162" i="7"/>
  <c r="J159" i="7"/>
  <c r="J157" i="7"/>
  <c r="J156" i="7"/>
  <c r="J155" i="7"/>
  <c r="J154" i="7"/>
  <c r="J153" i="7"/>
  <c r="J152" i="7"/>
  <c r="J151" i="7"/>
  <c r="J150" i="7"/>
  <c r="J148" i="7"/>
  <c r="J147" i="7"/>
  <c r="J146" i="7"/>
  <c r="J145" i="7"/>
  <c r="J144" i="7"/>
  <c r="J143" i="7"/>
  <c r="J142" i="7"/>
  <c r="J141" i="7"/>
  <c r="J140" i="7"/>
  <c r="J139" i="7"/>
  <c r="J138" i="7"/>
  <c r="J136" i="7"/>
  <c r="J135" i="7"/>
  <c r="J133" i="7"/>
  <c r="J132" i="7"/>
  <c r="J130" i="7"/>
  <c r="J129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4" i="7"/>
  <c r="J63" i="7"/>
  <c r="J61" i="7"/>
  <c r="J60" i="7"/>
  <c r="J59" i="7"/>
  <c r="J53" i="7"/>
  <c r="J52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1972" i="7"/>
  <c r="I1971" i="7"/>
  <c r="I1970" i="7"/>
  <c r="I1969" i="7"/>
  <c r="I1968" i="7"/>
  <c r="I1967" i="7"/>
  <c r="I1966" i="7"/>
  <c r="I1965" i="7"/>
  <c r="I1964" i="7"/>
  <c r="I1963" i="7"/>
  <c r="I1962" i="7"/>
  <c r="I1961" i="7"/>
  <c r="I1960" i="7"/>
  <c r="I1959" i="7"/>
  <c r="I1958" i="7"/>
  <c r="I1957" i="7"/>
  <c r="I1956" i="7"/>
  <c r="I1955" i="7"/>
  <c r="I1954" i="7"/>
  <c r="I1953" i="7"/>
  <c r="I1952" i="7"/>
  <c r="I1951" i="7"/>
  <c r="I1950" i="7"/>
  <c r="I1949" i="7"/>
  <c r="I1948" i="7"/>
  <c r="I1947" i="7"/>
  <c r="I1946" i="7"/>
  <c r="I1945" i="7"/>
  <c r="I1944" i="7"/>
  <c r="I1943" i="7"/>
  <c r="I1942" i="7"/>
  <c r="I1941" i="7"/>
  <c r="I1940" i="7"/>
  <c r="I1939" i="7"/>
  <c r="I1938" i="7"/>
  <c r="I1937" i="7"/>
  <c r="I1936" i="7"/>
  <c r="I1935" i="7"/>
  <c r="I1934" i="7"/>
  <c r="I1933" i="7"/>
  <c r="I1932" i="7"/>
  <c r="I1931" i="7"/>
  <c r="I1930" i="7"/>
  <c r="I1929" i="7"/>
  <c r="I1928" i="7"/>
  <c r="I1927" i="7"/>
  <c r="I1926" i="7"/>
  <c r="I1925" i="7"/>
  <c r="I1924" i="7"/>
  <c r="I1923" i="7"/>
  <c r="I1922" i="7"/>
  <c r="I1921" i="7"/>
  <c r="I1920" i="7"/>
  <c r="I1919" i="7"/>
  <c r="I1918" i="7"/>
  <c r="I1917" i="7"/>
  <c r="I1916" i="7"/>
  <c r="I1915" i="7"/>
  <c r="I1914" i="7"/>
  <c r="I1913" i="7"/>
  <c r="I1912" i="7"/>
  <c r="I1911" i="7"/>
  <c r="I1909" i="7"/>
  <c r="I1908" i="7"/>
  <c r="I1907" i="7"/>
  <c r="I1906" i="7"/>
  <c r="I1905" i="7"/>
  <c r="I1904" i="7"/>
  <c r="I1903" i="7"/>
  <c r="I1902" i="7"/>
  <c r="I1901" i="7"/>
  <c r="I1900" i="7"/>
  <c r="I1898" i="7"/>
  <c r="I1896" i="7"/>
  <c r="I1895" i="7"/>
  <c r="I1894" i="7"/>
  <c r="I1893" i="7"/>
  <c r="I1892" i="7"/>
  <c r="I1891" i="7"/>
  <c r="I1890" i="7"/>
  <c r="I1889" i="7"/>
  <c r="I1886" i="7"/>
  <c r="I1885" i="7"/>
  <c r="I1884" i="7"/>
  <c r="I1883" i="7"/>
  <c r="I1882" i="7"/>
  <c r="I1881" i="7"/>
  <c r="I1880" i="7"/>
  <c r="I1879" i="7"/>
  <c r="I1878" i="7"/>
  <c r="I1877" i="7"/>
  <c r="I1876" i="7"/>
  <c r="I1875" i="7"/>
  <c r="I1874" i="7"/>
  <c r="I1873" i="7"/>
  <c r="I1872" i="7"/>
  <c r="I1871" i="7"/>
  <c r="I1870" i="7"/>
  <c r="I1869" i="7"/>
  <c r="I1868" i="7"/>
  <c r="I1867" i="7"/>
  <c r="I1866" i="7"/>
  <c r="I1865" i="7"/>
  <c r="I1864" i="7"/>
  <c r="I1863" i="7"/>
  <c r="I1862" i="7"/>
  <c r="I1861" i="7"/>
  <c r="I1860" i="7"/>
  <c r="I1859" i="7"/>
  <c r="I1858" i="7"/>
  <c r="I1857" i="7"/>
  <c r="I1856" i="7"/>
  <c r="I1855" i="7"/>
  <c r="I1854" i="7"/>
  <c r="I1853" i="7"/>
  <c r="I1852" i="7"/>
  <c r="I1851" i="7"/>
  <c r="I1850" i="7"/>
  <c r="I1849" i="7"/>
  <c r="I1848" i="7"/>
  <c r="I1847" i="7"/>
  <c r="I1846" i="7"/>
  <c r="I1845" i="7"/>
  <c r="I1844" i="7"/>
  <c r="I1843" i="7"/>
  <c r="I1842" i="7"/>
  <c r="I1841" i="7"/>
  <c r="I1840" i="7"/>
  <c r="I1839" i="7"/>
  <c r="I1838" i="7"/>
  <c r="I1837" i="7"/>
  <c r="I1836" i="7"/>
  <c r="I1835" i="7"/>
  <c r="I1834" i="7"/>
  <c r="I1833" i="7"/>
  <c r="I1832" i="7"/>
  <c r="I1831" i="7"/>
  <c r="I1830" i="7"/>
  <c r="I1829" i="7"/>
  <c r="I1828" i="7"/>
  <c r="I1827" i="7"/>
  <c r="I1826" i="7"/>
  <c r="I1825" i="7"/>
  <c r="I1824" i="7"/>
  <c r="I1823" i="7"/>
  <c r="I1822" i="7"/>
  <c r="I1821" i="7"/>
  <c r="I1820" i="7"/>
  <c r="I1819" i="7"/>
  <c r="I1818" i="7"/>
  <c r="I1817" i="7"/>
  <c r="I1816" i="7"/>
  <c r="I1815" i="7"/>
  <c r="I1814" i="7"/>
  <c r="I1813" i="7"/>
  <c r="I1812" i="7"/>
  <c r="I1811" i="7"/>
  <c r="I1810" i="7"/>
  <c r="I1809" i="7"/>
  <c r="I1808" i="7"/>
  <c r="I1807" i="7"/>
  <c r="I1806" i="7"/>
  <c r="I1805" i="7"/>
  <c r="I1804" i="7"/>
  <c r="I1803" i="7"/>
  <c r="I1802" i="7"/>
  <c r="I1801" i="7"/>
  <c r="I1800" i="7"/>
  <c r="I1799" i="7"/>
  <c r="I1798" i="7"/>
  <c r="I1797" i="7"/>
  <c r="I1796" i="7"/>
  <c r="I1795" i="7"/>
  <c r="I1794" i="7"/>
  <c r="I1793" i="7"/>
  <c r="I1792" i="7"/>
  <c r="I1791" i="7"/>
  <c r="I1790" i="7"/>
  <c r="I1789" i="7"/>
  <c r="I1788" i="7"/>
  <c r="I1787" i="7"/>
  <c r="I1786" i="7"/>
  <c r="I1781" i="7"/>
  <c r="I1780" i="7"/>
  <c r="I1766" i="7"/>
  <c r="I1761" i="7"/>
  <c r="I1760" i="7"/>
  <c r="I1743" i="7"/>
  <c r="I1742" i="7"/>
  <c r="I1738" i="7"/>
  <c r="I1736" i="7"/>
  <c r="I1735" i="7"/>
  <c r="I1733" i="7"/>
  <c r="I1729" i="7"/>
  <c r="I1726" i="7"/>
  <c r="I1704" i="7"/>
  <c r="I1703" i="7"/>
  <c r="I1702" i="7"/>
  <c r="I1701" i="7"/>
  <c r="I1700" i="7"/>
  <c r="I1699" i="7"/>
  <c r="I1698" i="7"/>
  <c r="I1697" i="7"/>
  <c r="I1696" i="7"/>
  <c r="I1695" i="7"/>
  <c r="I1694" i="7"/>
  <c r="I1693" i="7"/>
  <c r="I1692" i="7"/>
  <c r="I1691" i="7"/>
  <c r="I1690" i="7"/>
  <c r="I1689" i="7"/>
  <c r="I1688" i="7"/>
  <c r="I1687" i="7"/>
  <c r="I1686" i="7"/>
  <c r="I1685" i="7"/>
  <c r="I1684" i="7"/>
  <c r="I1683" i="7"/>
  <c r="I1682" i="7"/>
  <c r="I1681" i="7"/>
  <c r="I1680" i="7"/>
  <c r="I1679" i="7"/>
  <c r="I1678" i="7"/>
  <c r="I1677" i="7"/>
  <c r="I1676" i="7"/>
  <c r="I1675" i="7"/>
  <c r="I1674" i="7"/>
  <c r="I1673" i="7"/>
  <c r="I1672" i="7"/>
  <c r="I1671" i="7"/>
  <c r="I1670" i="7"/>
  <c r="I1669" i="7"/>
  <c r="I1668" i="7"/>
  <c r="I1667" i="7"/>
  <c r="I1666" i="7"/>
  <c r="I1665" i="7"/>
  <c r="I1664" i="7"/>
  <c r="I1663" i="7"/>
  <c r="I1662" i="7"/>
  <c r="I1661" i="7"/>
  <c r="I1660" i="7"/>
  <c r="I1659" i="7"/>
  <c r="I1658" i="7"/>
  <c r="I1657" i="7"/>
  <c r="I1656" i="7"/>
  <c r="I1655" i="7"/>
  <c r="I1654" i="7"/>
  <c r="I1653" i="7"/>
  <c r="I1652" i="7"/>
  <c r="I1651" i="7"/>
  <c r="I1650" i="7"/>
  <c r="I1649" i="7"/>
  <c r="I1648" i="7"/>
  <c r="I1647" i="7"/>
  <c r="I1646" i="7"/>
  <c r="I1645" i="7"/>
  <c r="I1644" i="7"/>
  <c r="I1643" i="7"/>
  <c r="I1642" i="7"/>
  <c r="I1641" i="7"/>
  <c r="I1640" i="7"/>
  <c r="I1639" i="7"/>
  <c r="I1638" i="7"/>
  <c r="I1637" i="7"/>
  <c r="I1636" i="7"/>
  <c r="I1635" i="7"/>
  <c r="I1634" i="7"/>
  <c r="I1633" i="7"/>
  <c r="I1632" i="7"/>
  <c r="I1631" i="7"/>
  <c r="I1630" i="7"/>
  <c r="I1629" i="7"/>
  <c r="I1628" i="7"/>
  <c r="I1627" i="7"/>
  <c r="I1626" i="7"/>
  <c r="I1625" i="7"/>
  <c r="I1624" i="7"/>
  <c r="I1623" i="7"/>
  <c r="I1622" i="7"/>
  <c r="I1621" i="7"/>
  <c r="I1620" i="7"/>
  <c r="I1619" i="7"/>
  <c r="I1618" i="7"/>
  <c r="I1617" i="7"/>
  <c r="I1616" i="7"/>
  <c r="I1615" i="7"/>
  <c r="I1614" i="7"/>
  <c r="I1613" i="7"/>
  <c r="I1612" i="7"/>
  <c r="I1611" i="7"/>
  <c r="I1610" i="7"/>
  <c r="I1609" i="7"/>
  <c r="I1608" i="7"/>
  <c r="I1607" i="7"/>
  <c r="I1606" i="7"/>
  <c r="I1605" i="7"/>
  <c r="I1604" i="7"/>
  <c r="I1603" i="7"/>
  <c r="I1602" i="7"/>
  <c r="I1601" i="7"/>
  <c r="I1600" i="7"/>
  <c r="I1599" i="7"/>
  <c r="I1598" i="7"/>
  <c r="I1597" i="7"/>
  <c r="I1596" i="7"/>
  <c r="I1595" i="7"/>
  <c r="I1594" i="7"/>
  <c r="I1593" i="7"/>
  <c r="I1592" i="7"/>
  <c r="I1591" i="7"/>
  <c r="I1590" i="7"/>
  <c r="I1589" i="7"/>
  <c r="I1588" i="7"/>
  <c r="I1587" i="7"/>
  <c r="I1586" i="7"/>
  <c r="I1585" i="7"/>
  <c r="I1584" i="7"/>
  <c r="I1583" i="7"/>
  <c r="I1582" i="7"/>
  <c r="I1581" i="7"/>
  <c r="I1580" i="7"/>
  <c r="I1579" i="7"/>
  <c r="I1578" i="7"/>
  <c r="I1577" i="7"/>
  <c r="I1576" i="7"/>
  <c r="I1575" i="7"/>
  <c r="I1574" i="7"/>
  <c r="I1573" i="7"/>
  <c r="I1572" i="7"/>
  <c r="I1571" i="7"/>
  <c r="I1570" i="7"/>
  <c r="I1569" i="7"/>
  <c r="I1568" i="7"/>
  <c r="I1567" i="7"/>
  <c r="I1566" i="7"/>
  <c r="I1565" i="7"/>
  <c r="I1563" i="7"/>
  <c r="I1562" i="7"/>
  <c r="I1561" i="7"/>
  <c r="I1560" i="7"/>
  <c r="I1559" i="7"/>
  <c r="I1558" i="7"/>
  <c r="I1557" i="7"/>
  <c r="I1556" i="7"/>
  <c r="I1555" i="7"/>
  <c r="I1554" i="7"/>
  <c r="I1552" i="7"/>
  <c r="I1551" i="7"/>
  <c r="I1550" i="7"/>
  <c r="I1549" i="7"/>
  <c r="I1548" i="7"/>
  <c r="I1547" i="7"/>
  <c r="I1546" i="7"/>
  <c r="I1545" i="7"/>
  <c r="I1544" i="7"/>
  <c r="I1543" i="7"/>
  <c r="I1542" i="7"/>
  <c r="I1541" i="7"/>
  <c r="I1540" i="7"/>
  <c r="I1539" i="7"/>
  <c r="I1538" i="7"/>
  <c r="I1537" i="7"/>
  <c r="I1536" i="7"/>
  <c r="I1535" i="7"/>
  <c r="I1534" i="7"/>
  <c r="I1533" i="7"/>
  <c r="I1532" i="7"/>
  <c r="I1531" i="7"/>
  <c r="I1530" i="7"/>
  <c r="I1529" i="7"/>
  <c r="I1528" i="7"/>
  <c r="I1527" i="7"/>
  <c r="I1526" i="7"/>
  <c r="I1525" i="7"/>
  <c r="I1524" i="7"/>
  <c r="I1523" i="7"/>
  <c r="I1522" i="7"/>
  <c r="I1521" i="7"/>
  <c r="I1520" i="7"/>
  <c r="I1519" i="7"/>
  <c r="I1518" i="7"/>
  <c r="I1517" i="7"/>
  <c r="I1516" i="7"/>
  <c r="I1515" i="7"/>
  <c r="I1514" i="7"/>
  <c r="I1513" i="7"/>
  <c r="I1512" i="7"/>
  <c r="I1511" i="7"/>
  <c r="I1510" i="7"/>
  <c r="I1509" i="7"/>
  <c r="I1508" i="7"/>
  <c r="I1507" i="7"/>
  <c r="I1506" i="7"/>
  <c r="I1504" i="7"/>
  <c r="I1503" i="7"/>
  <c r="I1502" i="7"/>
  <c r="I1501" i="7"/>
  <c r="I1500" i="7"/>
  <c r="I1499" i="7"/>
  <c r="I1498" i="7"/>
  <c r="I1497" i="7"/>
  <c r="I1496" i="7"/>
  <c r="I1495" i="7"/>
  <c r="I1494" i="7"/>
  <c r="I1493" i="7"/>
  <c r="I1492" i="7"/>
  <c r="I1491" i="7"/>
  <c r="I1490" i="7"/>
  <c r="I1489" i="7"/>
  <c r="I1488" i="7"/>
  <c r="I1487" i="7"/>
  <c r="I1486" i="7"/>
  <c r="I1485" i="7"/>
  <c r="I1484" i="7"/>
  <c r="I1483" i="7"/>
  <c r="I1482" i="7"/>
  <c r="I1481" i="7"/>
  <c r="I1480" i="7"/>
  <c r="I1479" i="7"/>
  <c r="I1478" i="7"/>
  <c r="I1477" i="7"/>
  <c r="I1476" i="7"/>
  <c r="I1475" i="7"/>
  <c r="I1474" i="7"/>
  <c r="I1473" i="7"/>
  <c r="I1472" i="7"/>
  <c r="I1471" i="7"/>
  <c r="I1470" i="7"/>
  <c r="I1469" i="7"/>
  <c r="I1468" i="7"/>
  <c r="I1467" i="7"/>
  <c r="I1466" i="7"/>
  <c r="I1465" i="7"/>
  <c r="I1464" i="7"/>
  <c r="I1463" i="7"/>
  <c r="I1462" i="7"/>
  <c r="I1461" i="7"/>
  <c r="I1460" i="7"/>
  <c r="I1459" i="7"/>
  <c r="I1458" i="7"/>
  <c r="I1457" i="7"/>
  <c r="I1456" i="7"/>
  <c r="I1455" i="7"/>
  <c r="I1454" i="7"/>
  <c r="I1453" i="7"/>
  <c r="I1452" i="7"/>
  <c r="I1451" i="7"/>
  <c r="I1450" i="7"/>
  <c r="I1449" i="7"/>
  <c r="I1448" i="7"/>
  <c r="I1447" i="7"/>
  <c r="I1446" i="7"/>
  <c r="I1445" i="7"/>
  <c r="I1444" i="7"/>
  <c r="I1443" i="7"/>
  <c r="I1442" i="7"/>
  <c r="I1441" i="7"/>
  <c r="I1440" i="7"/>
  <c r="I1439" i="7"/>
  <c r="I1438" i="7"/>
  <c r="I1437" i="7"/>
  <c r="I1436" i="7"/>
  <c r="I1435" i="7"/>
  <c r="I1434" i="7"/>
  <c r="I1433" i="7"/>
  <c r="I1432" i="7"/>
  <c r="I1431" i="7"/>
  <c r="I1430" i="7"/>
  <c r="I1429" i="7"/>
  <c r="I1428" i="7"/>
  <c r="I1427" i="7"/>
  <c r="I1426" i="7"/>
  <c r="I1425" i="7"/>
  <c r="I1424" i="7"/>
  <c r="I1423" i="7"/>
  <c r="I1422" i="7"/>
  <c r="I1421" i="7"/>
  <c r="I1420" i="7"/>
  <c r="I1419" i="7"/>
  <c r="I1418" i="7"/>
  <c r="I1417" i="7"/>
  <c r="I1416" i="7"/>
  <c r="I1415" i="7"/>
  <c r="I1414" i="7"/>
  <c r="I1413" i="7"/>
  <c r="I1412" i="7"/>
  <c r="I1411" i="7"/>
  <c r="I1410" i="7"/>
  <c r="I1409" i="7"/>
  <c r="I1408" i="7"/>
  <c r="I1407" i="7"/>
  <c r="I1406" i="7"/>
  <c r="I1405" i="7"/>
  <c r="I1404" i="7"/>
  <c r="I1403" i="7"/>
  <c r="I1402" i="7"/>
  <c r="I1401" i="7"/>
  <c r="I1400" i="7"/>
  <c r="I1399" i="7"/>
  <c r="I1398" i="7"/>
  <c r="I1397" i="7"/>
  <c r="I1396" i="7"/>
  <c r="I1395" i="7"/>
  <c r="I1394" i="7"/>
  <c r="I1393" i="7"/>
  <c r="I1392" i="7"/>
  <c r="I1391" i="7"/>
  <c r="I1390" i="7"/>
  <c r="I1389" i="7"/>
  <c r="I1388" i="7"/>
  <c r="I1387" i="7"/>
  <c r="I1386" i="7"/>
  <c r="I1385" i="7"/>
  <c r="I1384" i="7"/>
  <c r="I1383" i="7"/>
  <c r="I1382" i="7"/>
  <c r="I1381" i="7"/>
  <c r="I1380" i="7"/>
  <c r="I1379" i="7"/>
  <c r="I1378" i="7"/>
  <c r="I1377" i="7"/>
  <c r="I1376" i="7"/>
  <c r="I1375" i="7"/>
  <c r="I1374" i="7"/>
  <c r="I1373" i="7"/>
  <c r="I1372" i="7"/>
  <c r="I1371" i="7"/>
  <c r="I1370" i="7"/>
  <c r="I1369" i="7"/>
  <c r="I1368" i="7"/>
  <c r="I1367" i="7"/>
  <c r="I1366" i="7"/>
  <c r="I1365" i="7"/>
  <c r="I1364" i="7"/>
  <c r="I1363" i="7"/>
  <c r="I1362" i="7"/>
  <c r="I1361" i="7"/>
  <c r="I1360" i="7"/>
  <c r="I1359" i="7"/>
  <c r="I1358" i="7"/>
  <c r="I1357" i="7"/>
  <c r="I1356" i="7"/>
  <c r="I1355" i="7"/>
  <c r="I1354" i="7"/>
  <c r="I1353" i="7"/>
  <c r="I1352" i="7"/>
  <c r="I1351" i="7"/>
  <c r="I1350" i="7"/>
  <c r="I1349" i="7"/>
  <c r="I1348" i="7"/>
  <c r="I1347" i="7"/>
  <c r="I1346" i="7"/>
  <c r="I1345" i="7"/>
  <c r="I1344" i="7"/>
  <c r="I1343" i="7"/>
  <c r="I1342" i="7"/>
  <c r="I1341" i="7"/>
  <c r="I1340" i="7"/>
  <c r="I1339" i="7"/>
  <c r="I1338" i="7"/>
  <c r="I1337" i="7"/>
  <c r="I1336" i="7"/>
  <c r="I1335" i="7"/>
  <c r="I1334" i="7"/>
  <c r="I1333" i="7"/>
  <c r="I1332" i="7"/>
  <c r="I1331" i="7"/>
  <c r="I1330" i="7"/>
  <c r="I1329" i="7"/>
  <c r="I1328" i="7"/>
  <c r="I1327" i="7"/>
  <c r="I1326" i="7"/>
  <c r="I1325" i="7"/>
  <c r="I1324" i="7"/>
  <c r="I1323" i="7"/>
  <c r="I1322" i="7"/>
  <c r="I1321" i="7"/>
  <c r="I1320" i="7"/>
  <c r="I1319" i="7"/>
  <c r="I1318" i="7"/>
  <c r="I1317" i="7"/>
  <c r="I1316" i="7"/>
  <c r="I1315" i="7"/>
  <c r="I1314" i="7"/>
  <c r="I1313" i="7"/>
  <c r="I1312" i="7"/>
  <c r="I1311" i="7"/>
  <c r="I1310" i="7"/>
  <c r="I1309" i="7"/>
  <c r="I1308" i="7"/>
  <c r="I1307" i="7"/>
  <c r="I1306" i="7"/>
  <c r="I1305" i="7"/>
  <c r="I1304" i="7"/>
  <c r="I1303" i="7"/>
  <c r="I1302" i="7"/>
  <c r="I1301" i="7"/>
  <c r="I1300" i="7"/>
  <c r="I1299" i="7"/>
  <c r="I1298" i="7"/>
  <c r="I1297" i="7"/>
  <c r="I1296" i="7"/>
  <c r="I1295" i="7"/>
  <c r="I1294" i="7"/>
  <c r="I1293" i="7"/>
  <c r="I1292" i="7"/>
  <c r="I1291" i="7"/>
  <c r="I1290" i="7"/>
  <c r="I1289" i="7"/>
  <c r="I1288" i="7"/>
  <c r="I1287" i="7"/>
  <c r="I1286" i="7"/>
  <c r="I1285" i="7"/>
  <c r="I1284" i="7"/>
  <c r="I1283" i="7"/>
  <c r="I1282" i="7"/>
  <c r="I1281" i="7"/>
  <c r="I1280" i="7"/>
  <c r="I1279" i="7"/>
  <c r="I1278" i="7"/>
  <c r="I1277" i="7"/>
  <c r="I1276" i="7"/>
  <c r="I1275" i="7"/>
  <c r="I1274" i="7"/>
  <c r="I1273" i="7"/>
  <c r="I1272" i="7"/>
  <c r="I1271" i="7"/>
  <c r="I1270" i="7"/>
  <c r="I1269" i="7"/>
  <c r="I1268" i="7"/>
  <c r="I1267" i="7"/>
  <c r="I1266" i="7"/>
  <c r="I1265" i="7"/>
  <c r="I1264" i="7"/>
  <c r="I1263" i="7"/>
  <c r="I1262" i="7"/>
  <c r="I1261" i="7"/>
  <c r="I1260" i="7"/>
  <c r="I1259" i="7"/>
  <c r="I1258" i="7"/>
  <c r="I1257" i="7"/>
  <c r="I1256" i="7"/>
  <c r="I1255" i="7"/>
  <c r="I1254" i="7"/>
  <c r="I1253" i="7"/>
  <c r="I1252" i="7"/>
  <c r="I1251" i="7"/>
  <c r="I1250" i="7"/>
  <c r="I1249" i="7"/>
  <c r="I1248" i="7"/>
  <c r="I1247" i="7"/>
  <c r="I1246" i="7"/>
  <c r="I1245" i="7"/>
  <c r="I1244" i="7"/>
  <c r="I1243" i="7"/>
  <c r="I1242" i="7"/>
  <c r="I1241" i="7"/>
  <c r="I1240" i="7"/>
  <c r="I1239" i="7"/>
  <c r="I1238" i="7"/>
  <c r="I1237" i="7"/>
  <c r="I1236" i="7"/>
  <c r="I1235" i="7"/>
  <c r="I1234" i="7"/>
  <c r="I1233" i="7"/>
  <c r="I1232" i="7"/>
  <c r="I1231" i="7"/>
  <c r="I1230" i="7"/>
  <c r="I1229" i="7"/>
  <c r="I1228" i="7"/>
  <c r="I1227" i="7"/>
  <c r="I1226" i="7"/>
  <c r="I1225" i="7"/>
  <c r="I1224" i="7"/>
  <c r="I1223" i="7"/>
  <c r="I1222" i="7"/>
  <c r="I1221" i="7"/>
  <c r="I1220" i="7"/>
  <c r="I1219" i="7"/>
  <c r="I1218" i="7"/>
  <c r="I1217" i="7"/>
  <c r="I1216" i="7"/>
  <c r="I1215" i="7"/>
  <c r="I1214" i="7"/>
  <c r="I1213" i="7"/>
  <c r="I1212" i="7"/>
  <c r="I1211" i="7"/>
  <c r="I1210" i="7"/>
  <c r="I1209" i="7"/>
  <c r="I1208" i="7"/>
  <c r="I1207" i="7"/>
  <c r="I1206" i="7"/>
  <c r="I1205" i="7"/>
  <c r="I1204" i="7"/>
  <c r="I1203" i="7"/>
  <c r="I1202" i="7"/>
  <c r="I1201" i="7"/>
  <c r="I1200" i="7"/>
  <c r="I1199" i="7"/>
  <c r="I1198" i="7"/>
  <c r="I1197" i="7"/>
  <c r="I1196" i="7"/>
  <c r="I1195" i="7"/>
  <c r="I1194" i="7"/>
  <c r="I1193" i="7"/>
  <c r="I1192" i="7"/>
  <c r="I1191" i="7"/>
  <c r="I1190" i="7"/>
  <c r="I1189" i="7"/>
  <c r="I1188" i="7"/>
  <c r="I1187" i="7"/>
  <c r="I1186" i="7"/>
  <c r="I1185" i="7"/>
  <c r="I1184" i="7"/>
  <c r="I1183" i="7"/>
  <c r="I1182" i="7"/>
  <c r="I1181" i="7"/>
  <c r="I1180" i="7"/>
  <c r="I1179" i="7"/>
  <c r="I1178" i="7"/>
  <c r="I1177" i="7"/>
  <c r="I1176" i="7"/>
  <c r="I1175" i="7"/>
  <c r="I1174" i="7"/>
  <c r="I1173" i="7"/>
  <c r="I1172" i="7"/>
  <c r="I1171" i="7"/>
  <c r="I1170" i="7"/>
  <c r="I1169" i="7"/>
  <c r="I1168" i="7"/>
  <c r="I1167" i="7"/>
  <c r="I1166" i="7"/>
  <c r="I1165" i="7"/>
  <c r="I1164" i="7"/>
  <c r="I1163" i="7"/>
  <c r="I1162" i="7"/>
  <c r="I1161" i="7"/>
  <c r="I1160" i="7"/>
  <c r="I1159" i="7"/>
  <c r="I1158" i="7"/>
  <c r="I1157" i="7"/>
  <c r="I1156" i="7"/>
  <c r="I1155" i="7"/>
  <c r="I1154" i="7"/>
  <c r="I1153" i="7"/>
  <c r="I1152" i="7"/>
  <c r="I1151" i="7"/>
  <c r="I1150" i="7"/>
  <c r="I1149" i="7"/>
  <c r="I1148" i="7"/>
  <c r="I1147" i="7"/>
  <c r="I1146" i="7"/>
  <c r="I1145" i="7"/>
  <c r="I1144" i="7"/>
  <c r="I1143" i="7"/>
  <c r="I1142" i="7"/>
  <c r="I1141" i="7"/>
  <c r="I1140" i="7"/>
  <c r="I1139" i="7"/>
  <c r="I1138" i="7"/>
  <c r="I1137" i="7"/>
  <c r="I1136" i="7"/>
  <c r="I1135" i="7"/>
  <c r="I1134" i="7"/>
  <c r="I1133" i="7"/>
  <c r="I1132" i="7"/>
  <c r="I1131" i="7"/>
  <c r="I1130" i="7"/>
  <c r="I1129" i="7"/>
  <c r="I1128" i="7"/>
  <c r="I1127" i="7"/>
  <c r="I1126" i="7"/>
  <c r="I1125" i="7"/>
  <c r="I1124" i="7"/>
  <c r="I1123" i="7"/>
  <c r="I1122" i="7"/>
  <c r="I1121" i="7"/>
  <c r="I1120" i="7"/>
  <c r="I1119" i="7"/>
  <c r="I1118" i="7"/>
  <c r="I1117" i="7"/>
  <c r="I1116" i="7"/>
  <c r="I1115" i="7"/>
  <c r="I1114" i="7"/>
  <c r="I1113" i="7"/>
  <c r="I1112" i="7"/>
  <c r="I1111" i="7"/>
  <c r="I1110" i="7"/>
  <c r="I1109" i="7"/>
  <c r="I1108" i="7"/>
  <c r="I1107" i="7"/>
  <c r="I1106" i="7"/>
  <c r="I1105" i="7"/>
  <c r="I1104" i="7"/>
  <c r="I1103" i="7"/>
  <c r="I1102" i="7"/>
  <c r="I1101" i="7"/>
  <c r="I1100" i="7"/>
  <c r="I1099" i="7"/>
  <c r="I1098" i="7"/>
  <c r="I1097" i="7"/>
  <c r="I1096" i="7"/>
  <c r="I1095" i="7"/>
  <c r="I1094" i="7"/>
  <c r="I1093" i="7"/>
  <c r="I1092" i="7"/>
  <c r="I1091" i="7"/>
  <c r="I1090" i="7"/>
  <c r="I1089" i="7"/>
  <c r="I1088" i="7"/>
  <c r="I1087" i="7"/>
  <c r="I1086" i="7"/>
  <c r="I1085" i="7"/>
  <c r="I1084" i="7"/>
  <c r="I1083" i="7"/>
  <c r="I1082" i="7"/>
  <c r="I1081" i="7"/>
  <c r="I1080" i="7"/>
  <c r="I1079" i="7"/>
  <c r="I1078" i="7"/>
  <c r="I1077" i="7"/>
  <c r="I1076" i="7"/>
  <c r="I1075" i="7"/>
  <c r="I1074" i="7"/>
  <c r="I1073" i="7"/>
  <c r="I1072" i="7"/>
  <c r="I1071" i="7"/>
  <c r="I1070" i="7"/>
  <c r="I1069" i="7"/>
  <c r="I1068" i="7"/>
  <c r="I1067" i="7"/>
  <c r="I1066" i="7"/>
  <c r="I1065" i="7"/>
  <c r="I1064" i="7"/>
  <c r="I1063" i="7"/>
  <c r="I1062" i="7"/>
  <c r="I1061" i="7"/>
  <c r="I1060" i="7"/>
  <c r="I1059" i="7"/>
  <c r="I1058" i="7"/>
  <c r="I1057" i="7"/>
  <c r="I1056" i="7"/>
  <c r="I1055" i="7"/>
  <c r="I1054" i="7"/>
  <c r="I1053" i="7"/>
  <c r="I1052" i="7"/>
  <c r="I1051" i="7"/>
  <c r="I1050" i="7"/>
  <c r="I1049" i="7"/>
  <c r="I1048" i="7"/>
  <c r="I1047" i="7"/>
  <c r="I1046" i="7"/>
  <c r="I1045" i="7"/>
  <c r="I1044" i="7"/>
  <c r="I1043" i="7"/>
  <c r="I1042" i="7"/>
  <c r="I1041" i="7"/>
  <c r="I1040" i="7"/>
  <c r="I1039" i="7"/>
  <c r="I1038" i="7"/>
  <c r="I1037" i="7"/>
  <c r="I1036" i="7"/>
  <c r="I1035" i="7"/>
  <c r="I1034" i="7"/>
  <c r="I1033" i="7"/>
  <c r="I1032" i="7"/>
  <c r="I1031" i="7"/>
  <c r="I1030" i="7"/>
  <c r="I1029" i="7"/>
  <c r="I1028" i="7"/>
  <c r="I1027" i="7"/>
  <c r="I1026" i="7"/>
  <c r="I1025" i="7"/>
  <c r="I1024" i="7"/>
  <c r="I1022" i="7"/>
  <c r="I1021" i="7"/>
  <c r="I1020" i="7"/>
  <c r="I1019" i="7"/>
  <c r="I1018" i="7"/>
  <c r="I1017" i="7"/>
  <c r="I1016" i="7"/>
  <c r="I1015" i="7"/>
  <c r="I1014" i="7"/>
  <c r="I1013" i="7"/>
  <c r="I1012" i="7"/>
  <c r="I1011" i="7"/>
  <c r="I1010" i="7"/>
  <c r="I1009" i="7"/>
  <c r="I1008" i="7"/>
  <c r="I1007" i="7"/>
  <c r="I1006" i="7"/>
  <c r="I1005" i="7"/>
  <c r="I1004" i="7"/>
  <c r="I1003" i="7"/>
  <c r="I1002" i="7"/>
  <c r="I1001" i="7"/>
  <c r="I1000" i="7"/>
  <c r="I999" i="7"/>
  <c r="I998" i="7"/>
  <c r="I997" i="7"/>
  <c r="I996" i="7"/>
  <c r="I995" i="7"/>
  <c r="I994" i="7"/>
  <c r="I993" i="7"/>
  <c r="I992" i="7"/>
  <c r="I991" i="7"/>
  <c r="I990" i="7"/>
  <c r="I989" i="7"/>
  <c r="I988" i="7"/>
  <c r="I987" i="7"/>
  <c r="I986" i="7"/>
  <c r="I985" i="7"/>
  <c r="I984" i="7"/>
  <c r="I983" i="7"/>
  <c r="I982" i="7"/>
  <c r="I981" i="7"/>
  <c r="I980" i="7"/>
  <c r="I979" i="7"/>
  <c r="I978" i="7"/>
  <c r="I977" i="7"/>
  <c r="I976" i="7"/>
  <c r="I975" i="7"/>
  <c r="I974" i="7"/>
  <c r="I973" i="7"/>
  <c r="I972" i="7"/>
  <c r="I971" i="7"/>
  <c r="I970" i="7"/>
  <c r="I969" i="7"/>
  <c r="I968" i="7"/>
  <c r="I967" i="7"/>
  <c r="I966" i="7"/>
  <c r="I965" i="7"/>
  <c r="I964" i="7"/>
  <c r="I963" i="7"/>
  <c r="I962" i="7"/>
  <c r="I961" i="7"/>
  <c r="I960" i="7"/>
  <c r="I959" i="7"/>
  <c r="I958" i="7"/>
  <c r="I957" i="7"/>
  <c r="I956" i="7"/>
  <c r="I955" i="7"/>
  <c r="I954" i="7"/>
  <c r="I953" i="7"/>
  <c r="I952" i="7"/>
  <c r="I951" i="7"/>
  <c r="I950" i="7"/>
  <c r="I949" i="7"/>
  <c r="I948" i="7"/>
  <c r="I947" i="7"/>
  <c r="I946" i="7"/>
  <c r="I945" i="7"/>
  <c r="I944" i="7"/>
  <c r="I943" i="7"/>
  <c r="I942" i="7"/>
  <c r="I941" i="7"/>
  <c r="I940" i="7"/>
  <c r="I939" i="7"/>
  <c r="I938" i="7"/>
  <c r="I937" i="7"/>
  <c r="I936" i="7"/>
  <c r="I935" i="7"/>
  <c r="I934" i="7"/>
  <c r="I933" i="7"/>
  <c r="I932" i="7"/>
  <c r="I931" i="7"/>
  <c r="I930" i="7"/>
  <c r="I929" i="7"/>
  <c r="I928" i="7"/>
  <c r="I927" i="7"/>
  <c r="I926" i="7"/>
  <c r="I925" i="7"/>
  <c r="I924" i="7"/>
  <c r="I923" i="7"/>
  <c r="I922" i="7"/>
  <c r="I921" i="7"/>
  <c r="I920" i="7"/>
  <c r="I919" i="7"/>
  <c r="I918" i="7"/>
  <c r="I917" i="7"/>
  <c r="I916" i="7"/>
  <c r="I915" i="7"/>
  <c r="I914" i="7"/>
  <c r="I913" i="7"/>
  <c r="I912" i="7"/>
  <c r="I911" i="7"/>
  <c r="I910" i="7"/>
  <c r="I909" i="7"/>
  <c r="I908" i="7"/>
  <c r="I907" i="7"/>
  <c r="I906" i="7"/>
  <c r="I905" i="7"/>
  <c r="I904" i="7"/>
  <c r="I903" i="7"/>
  <c r="I902" i="7"/>
  <c r="I901" i="7"/>
  <c r="I900" i="7"/>
  <c r="I899" i="7"/>
  <c r="I898" i="7"/>
  <c r="I897" i="7"/>
  <c r="I896" i="7"/>
  <c r="I895" i="7"/>
  <c r="I894" i="7"/>
  <c r="I893" i="7"/>
  <c r="I892" i="7"/>
  <c r="I891" i="7"/>
  <c r="I890" i="7"/>
  <c r="I889" i="7"/>
  <c r="I888" i="7"/>
  <c r="I887" i="7"/>
  <c r="I886" i="7"/>
  <c r="I885" i="7"/>
  <c r="I884" i="7"/>
  <c r="I883" i="7"/>
  <c r="I882" i="7"/>
  <c r="I881" i="7"/>
  <c r="I880" i="7"/>
  <c r="I879" i="7"/>
  <c r="I878" i="7"/>
  <c r="I877" i="7"/>
  <c r="I876" i="7"/>
  <c r="I875" i="7"/>
  <c r="I874" i="7"/>
  <c r="I873" i="7"/>
  <c r="I872" i="7"/>
  <c r="I871" i="7"/>
  <c r="I870" i="7"/>
  <c r="I869" i="7"/>
  <c r="I868" i="7"/>
  <c r="I867" i="7"/>
  <c r="I866" i="7"/>
  <c r="I865" i="7"/>
  <c r="I864" i="7"/>
  <c r="I863" i="7"/>
  <c r="I862" i="7"/>
  <c r="I861" i="7"/>
  <c r="I860" i="7"/>
  <c r="I859" i="7"/>
  <c r="I858" i="7"/>
  <c r="I857" i="7"/>
  <c r="I856" i="7"/>
  <c r="I855" i="7"/>
  <c r="I854" i="7"/>
  <c r="I853" i="7"/>
  <c r="I852" i="7"/>
  <c r="I851" i="7"/>
  <c r="I850" i="7"/>
  <c r="I849" i="7"/>
  <c r="I848" i="7"/>
  <c r="I847" i="7"/>
  <c r="I846" i="7"/>
  <c r="I841" i="7"/>
  <c r="I840" i="7"/>
  <c r="I839" i="7"/>
  <c r="I838" i="7"/>
  <c r="I837" i="7"/>
  <c r="I836" i="7"/>
  <c r="I835" i="7"/>
  <c r="I834" i="7"/>
  <c r="I833" i="7"/>
  <c r="I832" i="7"/>
  <c r="I831" i="7"/>
  <c r="I830" i="7"/>
  <c r="I829" i="7"/>
  <c r="I828" i="7"/>
  <c r="I827" i="7"/>
  <c r="I826" i="7"/>
  <c r="I825" i="7"/>
  <c r="I824" i="7"/>
  <c r="I823" i="7"/>
  <c r="I822" i="7"/>
  <c r="I821" i="7"/>
  <c r="I820" i="7"/>
  <c r="I819" i="7"/>
  <c r="I818" i="7"/>
  <c r="I816" i="7"/>
  <c r="I815" i="7"/>
  <c r="I814" i="7"/>
  <c r="I813" i="7"/>
  <c r="I812" i="7"/>
  <c r="I811" i="7"/>
  <c r="I810" i="7"/>
  <c r="I809" i="7"/>
  <c r="I808" i="7"/>
  <c r="I807" i="7"/>
  <c r="I806" i="7"/>
  <c r="I805" i="7"/>
  <c r="I804" i="7"/>
  <c r="I803" i="7"/>
  <c r="I802" i="7"/>
  <c r="I801" i="7"/>
  <c r="I800" i="7"/>
  <c r="I799" i="7"/>
  <c r="I798" i="7"/>
  <c r="I797" i="7"/>
  <c r="I796" i="7"/>
  <c r="I795" i="7"/>
  <c r="I794" i="7"/>
  <c r="I793" i="7"/>
  <c r="I792" i="7"/>
  <c r="I791" i="7"/>
  <c r="I790" i="7"/>
  <c r="I789" i="7"/>
  <c r="I788" i="7"/>
  <c r="I787" i="7"/>
  <c r="I786" i="7"/>
  <c r="I785" i="7"/>
  <c r="I784" i="7"/>
  <c r="I783" i="7"/>
  <c r="I782" i="7"/>
  <c r="I781" i="7"/>
  <c r="I780" i="7"/>
  <c r="I779" i="7"/>
  <c r="I778" i="7"/>
  <c r="I777" i="7"/>
  <c r="I776" i="7"/>
  <c r="I775" i="7"/>
  <c r="I774" i="7"/>
  <c r="I773" i="7"/>
  <c r="I772" i="7"/>
  <c r="I771" i="7"/>
  <c r="I770" i="7"/>
  <c r="I769" i="7"/>
  <c r="I768" i="7"/>
  <c r="I767" i="7"/>
  <c r="I766" i="7"/>
  <c r="I765" i="7"/>
  <c r="I764" i="7"/>
  <c r="I763" i="7"/>
  <c r="I762" i="7"/>
  <c r="I761" i="7"/>
  <c r="I760" i="7"/>
  <c r="I759" i="7"/>
  <c r="I758" i="7"/>
  <c r="I757" i="7"/>
  <c r="I756" i="7"/>
  <c r="I755" i="7"/>
  <c r="I754" i="7"/>
  <c r="I753" i="7"/>
  <c r="I752" i="7"/>
  <c r="I751" i="7"/>
  <c r="I750" i="7"/>
  <c r="I749" i="7"/>
  <c r="I748" i="7"/>
  <c r="I747" i="7"/>
  <c r="I746" i="7"/>
  <c r="I745" i="7"/>
  <c r="I744" i="7"/>
  <c r="I743" i="7"/>
  <c r="I742" i="7"/>
  <c r="I741" i="7"/>
  <c r="I740" i="7"/>
  <c r="I739" i="7"/>
  <c r="I738" i="7"/>
  <c r="I737" i="7"/>
  <c r="I736" i="7"/>
  <c r="I735" i="7"/>
  <c r="I734" i="7"/>
  <c r="I733" i="7"/>
  <c r="I732" i="7"/>
  <c r="I731" i="7"/>
  <c r="I730" i="7"/>
  <c r="I729" i="7"/>
  <c r="I728" i="7"/>
  <c r="I727" i="7"/>
  <c r="I726" i="7"/>
  <c r="I725" i="7"/>
  <c r="I724" i="7"/>
  <c r="I723" i="7"/>
  <c r="I722" i="7"/>
  <c r="I721" i="7"/>
  <c r="I720" i="7"/>
  <c r="I719" i="7"/>
  <c r="I718" i="7"/>
  <c r="I717" i="7"/>
  <c r="I716" i="7"/>
  <c r="I715" i="7"/>
  <c r="I714" i="7"/>
  <c r="I713" i="7"/>
  <c r="I712" i="7"/>
  <c r="I711" i="7"/>
  <c r="I710" i="7"/>
  <c r="I709" i="7"/>
  <c r="I708" i="7"/>
  <c r="I707" i="7"/>
  <c r="I706" i="7"/>
  <c r="I705" i="7"/>
  <c r="I704" i="7"/>
  <c r="I703" i="7"/>
  <c r="I702" i="7"/>
  <c r="I701" i="7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2" i="7"/>
  <c r="I668" i="7"/>
  <c r="I667" i="7"/>
  <c r="I666" i="7"/>
  <c r="I665" i="7"/>
  <c r="I664" i="7"/>
  <c r="I663" i="7"/>
  <c r="I662" i="7"/>
  <c r="I661" i="7"/>
  <c r="I660" i="7"/>
  <c r="I659" i="7"/>
  <c r="I658" i="7"/>
  <c r="I657" i="7"/>
  <c r="I656" i="7"/>
  <c r="I655" i="7"/>
  <c r="I654" i="7"/>
  <c r="I653" i="7"/>
  <c r="I652" i="7"/>
  <c r="I651" i="7"/>
  <c r="I650" i="7"/>
  <c r="I646" i="7"/>
  <c r="I645" i="7"/>
  <c r="I644" i="7"/>
  <c r="I643" i="7"/>
  <c r="I642" i="7"/>
  <c r="I638" i="7"/>
  <c r="I637" i="7"/>
  <c r="I636" i="7"/>
  <c r="I634" i="7"/>
  <c r="I633" i="7"/>
  <c r="I632" i="7"/>
  <c r="I631" i="7"/>
  <c r="I630" i="7"/>
  <c r="I629" i="7"/>
  <c r="I628" i="7"/>
  <c r="I627" i="7"/>
  <c r="I626" i="7"/>
  <c r="I623" i="7"/>
  <c r="I622" i="7"/>
  <c r="I620" i="7"/>
  <c r="I619" i="7"/>
  <c r="I618" i="7"/>
  <c r="I617" i="7"/>
  <c r="I616" i="7"/>
  <c r="I614" i="7"/>
  <c r="I613" i="7"/>
  <c r="I612" i="7"/>
  <c r="I611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594" i="7"/>
  <c r="I593" i="7"/>
  <c r="I592" i="7"/>
  <c r="I591" i="7"/>
  <c r="I590" i="7"/>
  <c r="I589" i="7"/>
  <c r="I588" i="7"/>
  <c r="I587" i="7"/>
  <c r="I586" i="7"/>
  <c r="I585" i="7"/>
  <c r="I584" i="7"/>
  <c r="I583" i="7"/>
  <c r="I582" i="7"/>
  <c r="I581" i="7"/>
  <c r="I580" i="7"/>
  <c r="I579" i="7"/>
  <c r="I578" i="7"/>
  <c r="I577" i="7"/>
  <c r="I576" i="7"/>
  <c r="I575" i="7"/>
  <c r="I574" i="7"/>
  <c r="I573" i="7"/>
  <c r="I572" i="7"/>
  <c r="I565" i="7"/>
  <c r="I564" i="7"/>
  <c r="I563" i="7"/>
  <c r="I562" i="7"/>
  <c r="I561" i="7"/>
  <c r="I560" i="7"/>
  <c r="I558" i="7"/>
  <c r="I557" i="7"/>
  <c r="I556" i="7"/>
  <c r="I554" i="7"/>
  <c r="I552" i="7"/>
  <c r="I550" i="7"/>
  <c r="I548" i="7"/>
  <c r="I547" i="7"/>
  <c r="I546" i="7"/>
  <c r="I545" i="7"/>
  <c r="I544" i="7"/>
  <c r="I538" i="7"/>
  <c r="I535" i="7"/>
  <c r="I534" i="7"/>
  <c r="I528" i="7"/>
  <c r="I527" i="7"/>
  <c r="I526" i="7"/>
  <c r="I525" i="7"/>
  <c r="I524" i="7"/>
  <c r="I523" i="7"/>
  <c r="I522" i="7"/>
  <c r="I521" i="7"/>
  <c r="I520" i="7"/>
  <c r="I517" i="7"/>
  <c r="I516" i="7"/>
  <c r="I515" i="7"/>
  <c r="I511" i="7"/>
  <c r="I504" i="7"/>
  <c r="I501" i="7"/>
  <c r="I500" i="7"/>
  <c r="I499" i="7"/>
  <c r="I497" i="7"/>
  <c r="I495" i="7"/>
  <c r="I494" i="7"/>
  <c r="I493" i="7"/>
  <c r="I492" i="7"/>
  <c r="I487" i="7"/>
  <c r="I485" i="7"/>
  <c r="I484" i="7"/>
  <c r="I483" i="7"/>
  <c r="I482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6" i="7"/>
  <c r="I375" i="7"/>
  <c r="I374" i="7"/>
  <c r="I373" i="7"/>
  <c r="I372" i="7"/>
  <c r="I371" i="7"/>
  <c r="I370" i="7"/>
  <c r="I369" i="7"/>
  <c r="I368" i="7"/>
  <c r="I367" i="7"/>
  <c r="I365" i="7"/>
  <c r="I364" i="7"/>
  <c r="I363" i="7"/>
  <c r="I362" i="7"/>
  <c r="I359" i="7"/>
  <c r="I357" i="7"/>
  <c r="I356" i="7"/>
  <c r="I355" i="7"/>
  <c r="I354" i="7"/>
  <c r="I353" i="7"/>
  <c r="I347" i="7"/>
  <c r="I346" i="7"/>
  <c r="I345" i="7"/>
  <c r="I344" i="7"/>
  <c r="I343" i="7"/>
  <c r="I342" i="7"/>
  <c r="I341" i="7"/>
  <c r="I340" i="7"/>
  <c r="I338" i="7"/>
  <c r="I337" i="7"/>
  <c r="I335" i="7"/>
  <c r="I334" i="7"/>
  <c r="I333" i="7"/>
  <c r="I332" i="7"/>
  <c r="I330" i="7"/>
  <c r="I329" i="7"/>
  <c r="I328" i="7"/>
  <c r="I327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4" i="7"/>
  <c r="I242" i="7"/>
  <c r="I241" i="7"/>
  <c r="I238" i="7"/>
  <c r="I233" i="7"/>
  <c r="I232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3" i="7"/>
  <c r="I170" i="7"/>
  <c r="I168" i="7"/>
  <c r="I167" i="7"/>
  <c r="I166" i="7"/>
  <c r="I165" i="7"/>
  <c r="I164" i="7"/>
  <c r="I163" i="7"/>
  <c r="I162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8" i="7"/>
  <c r="H1896" i="7"/>
  <c r="H1895" i="7"/>
  <c r="H1894" i="7"/>
  <c r="H1893" i="7"/>
  <c r="H1892" i="7"/>
  <c r="H1891" i="7"/>
  <c r="H1890" i="7"/>
  <c r="H1889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1" i="7"/>
  <c r="H1780" i="7"/>
  <c r="H1766" i="7"/>
  <c r="H1761" i="7"/>
  <c r="H1760" i="7"/>
  <c r="H1755" i="7"/>
  <c r="H1754" i="7"/>
  <c r="H1743" i="7"/>
  <c r="H1742" i="7"/>
  <c r="H1736" i="7"/>
  <c r="H1735" i="7"/>
  <c r="H1733" i="7"/>
  <c r="H1729" i="7"/>
  <c r="H1726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3" i="7"/>
  <c r="H1562" i="7"/>
  <c r="H1561" i="7"/>
  <c r="H1560" i="7"/>
  <c r="H1559" i="7"/>
  <c r="H1558" i="7"/>
  <c r="H1557" i="7"/>
  <c r="H1556" i="7"/>
  <c r="H1555" i="7"/>
  <c r="H1554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6" i="7"/>
  <c r="H645" i="7"/>
  <c r="H644" i="7"/>
  <c r="H643" i="7"/>
  <c r="H642" i="7"/>
  <c r="H638" i="7"/>
  <c r="H637" i="7"/>
  <c r="H636" i="7"/>
  <c r="H634" i="7"/>
  <c r="H633" i="7"/>
  <c r="H632" i="7"/>
  <c r="H631" i="7"/>
  <c r="H630" i="7"/>
  <c r="H629" i="7"/>
  <c r="H628" i="7"/>
  <c r="H627" i="7"/>
  <c r="H626" i="7"/>
  <c r="H623" i="7"/>
  <c r="H622" i="7"/>
  <c r="H620" i="7"/>
  <c r="H619" i="7"/>
  <c r="H618" i="7"/>
  <c r="H617" i="7"/>
  <c r="H616" i="7"/>
  <c r="H614" i="7"/>
  <c r="H613" i="7"/>
  <c r="H612" i="7"/>
  <c r="H611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65" i="7"/>
  <c r="H564" i="7"/>
  <c r="H563" i="7"/>
  <c r="H562" i="7"/>
  <c r="H561" i="7"/>
  <c r="H560" i="7"/>
  <c r="H558" i="7"/>
  <c r="H557" i="7"/>
  <c r="H556" i="7"/>
  <c r="H554" i="7"/>
  <c r="H552" i="7"/>
  <c r="H550" i="7"/>
  <c r="H548" i="7"/>
  <c r="H547" i="7"/>
  <c r="H546" i="7"/>
  <c r="H545" i="7"/>
  <c r="H544" i="7"/>
  <c r="H538" i="7"/>
  <c r="H535" i="7"/>
  <c r="H534" i="7"/>
  <c r="H528" i="7"/>
  <c r="H527" i="7"/>
  <c r="H526" i="7"/>
  <c r="H525" i="7"/>
  <c r="H524" i="7"/>
  <c r="H523" i="7"/>
  <c r="H522" i="7"/>
  <c r="H521" i="7"/>
  <c r="H520" i="7"/>
  <c r="H517" i="7"/>
  <c r="H516" i="7"/>
  <c r="H515" i="7"/>
  <c r="H511" i="7"/>
  <c r="H504" i="7"/>
  <c r="H501" i="7"/>
  <c r="H500" i="7"/>
  <c r="H499" i="7"/>
  <c r="H497" i="7"/>
  <c r="H495" i="7"/>
  <c r="H493" i="7"/>
  <c r="H492" i="7"/>
  <c r="H487" i="7"/>
  <c r="H485" i="7"/>
  <c r="H484" i="7"/>
  <c r="H483" i="7"/>
  <c r="H482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6" i="7"/>
  <c r="H375" i="7"/>
  <c r="H374" i="7"/>
  <c r="H373" i="7"/>
  <c r="H372" i="7"/>
  <c r="H371" i="7"/>
  <c r="H370" i="7"/>
  <c r="H369" i="7"/>
  <c r="H368" i="7"/>
  <c r="H367" i="7"/>
  <c r="H365" i="7"/>
  <c r="H364" i="7"/>
  <c r="H363" i="7"/>
  <c r="H362" i="7"/>
  <c r="H359" i="7"/>
  <c r="H357" i="7"/>
  <c r="H356" i="7"/>
  <c r="H355" i="7"/>
  <c r="H354" i="7"/>
  <c r="H353" i="7"/>
  <c r="H347" i="7"/>
  <c r="H346" i="7"/>
  <c r="H345" i="7"/>
  <c r="H344" i="7"/>
  <c r="H343" i="7"/>
  <c r="H342" i="7"/>
  <c r="H341" i="7"/>
  <c r="H340" i="7"/>
  <c r="H338" i="7"/>
  <c r="H337" i="7"/>
  <c r="H335" i="7"/>
  <c r="H334" i="7"/>
  <c r="H333" i="7"/>
  <c r="H332" i="7"/>
  <c r="H330" i="7"/>
  <c r="H329" i="7"/>
  <c r="H328" i="7"/>
  <c r="H327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4" i="7"/>
  <c r="H242" i="7"/>
  <c r="H241" i="7"/>
  <c r="H238" i="7"/>
  <c r="H233" i="7"/>
  <c r="H232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3" i="7"/>
  <c r="H170" i="7"/>
  <c r="H164" i="7"/>
  <c r="H163" i="7"/>
  <c r="H162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1972" i="7"/>
  <c r="G1971" i="7"/>
  <c r="G1970" i="7"/>
  <c r="G1969" i="7"/>
  <c r="G1968" i="7"/>
  <c r="G1967" i="7"/>
  <c r="G1966" i="7"/>
  <c r="G1965" i="7"/>
  <c r="G1964" i="7"/>
  <c r="G1963" i="7"/>
  <c r="G1962" i="7"/>
  <c r="G1961" i="7"/>
  <c r="G1960" i="7"/>
  <c r="G1959" i="7"/>
  <c r="G1958" i="7"/>
  <c r="G1957" i="7"/>
  <c r="G1956" i="7"/>
  <c r="G1955" i="7"/>
  <c r="G1954" i="7"/>
  <c r="G1953" i="7"/>
  <c r="G1952" i="7"/>
  <c r="G1951" i="7"/>
  <c r="G1950" i="7"/>
  <c r="G1949" i="7"/>
  <c r="G1948" i="7"/>
  <c r="G1947" i="7"/>
  <c r="G1946" i="7"/>
  <c r="G1945" i="7"/>
  <c r="G1944" i="7"/>
  <c r="G1943" i="7"/>
  <c r="G1942" i="7"/>
  <c r="G1941" i="7"/>
  <c r="G1940" i="7"/>
  <c r="G1939" i="7"/>
  <c r="G1938" i="7"/>
  <c r="G1937" i="7"/>
  <c r="G1936" i="7"/>
  <c r="G1935" i="7"/>
  <c r="G1934" i="7"/>
  <c r="G1933" i="7"/>
  <c r="G1932" i="7"/>
  <c r="G1931" i="7"/>
  <c r="G1930" i="7"/>
  <c r="G1929" i="7"/>
  <c r="G1928" i="7"/>
  <c r="G1927" i="7"/>
  <c r="G1926" i="7"/>
  <c r="G1925" i="7"/>
  <c r="G1924" i="7"/>
  <c r="G1923" i="7"/>
  <c r="G1922" i="7"/>
  <c r="G1921" i="7"/>
  <c r="G1920" i="7"/>
  <c r="G1919" i="7"/>
  <c r="G1918" i="7"/>
  <c r="G1917" i="7"/>
  <c r="G1916" i="7"/>
  <c r="G1915" i="7"/>
  <c r="G1914" i="7"/>
  <c r="G1913" i="7"/>
  <c r="G1912" i="7"/>
  <c r="G1911" i="7"/>
  <c r="G1910" i="7"/>
  <c r="G1909" i="7"/>
  <c r="G1908" i="7"/>
  <c r="G1907" i="7"/>
  <c r="G1906" i="7"/>
  <c r="G1905" i="7"/>
  <c r="G1904" i="7"/>
  <c r="G1903" i="7"/>
  <c r="G1902" i="7"/>
  <c r="G1901" i="7"/>
  <c r="G1900" i="7"/>
  <c r="G1898" i="7"/>
  <c r="G1896" i="7"/>
  <c r="G1895" i="7"/>
  <c r="G1894" i="7"/>
  <c r="G1893" i="7"/>
  <c r="G1892" i="7"/>
  <c r="G1891" i="7"/>
  <c r="G1890" i="7"/>
  <c r="G1889" i="7"/>
  <c r="G1886" i="7"/>
  <c r="G1885" i="7"/>
  <c r="G1884" i="7"/>
  <c r="G1883" i="7"/>
  <c r="G1881" i="7"/>
  <c r="G1880" i="7"/>
  <c r="G1879" i="7"/>
  <c r="G1878" i="7"/>
  <c r="G1877" i="7"/>
  <c r="G1876" i="7"/>
  <c r="G1875" i="7"/>
  <c r="G1874" i="7"/>
  <c r="G1873" i="7"/>
  <c r="G1872" i="7"/>
  <c r="G1871" i="7"/>
  <c r="G1870" i="7"/>
  <c r="G1869" i="7"/>
  <c r="G1868" i="7"/>
  <c r="G1867" i="7"/>
  <c r="G1866" i="7"/>
  <c r="G1865" i="7"/>
  <c r="G1864" i="7"/>
  <c r="G1863" i="7"/>
  <c r="G1862" i="7"/>
  <c r="G1861" i="7"/>
  <c r="G1860" i="7"/>
  <c r="G1859" i="7"/>
  <c r="G1858" i="7"/>
  <c r="G1857" i="7"/>
  <c r="G1856" i="7"/>
  <c r="G1855" i="7"/>
  <c r="G1854" i="7"/>
  <c r="G1853" i="7"/>
  <c r="G1852" i="7"/>
  <c r="G1851" i="7"/>
  <c r="G1850" i="7"/>
  <c r="G1849" i="7"/>
  <c r="G1848" i="7"/>
  <c r="G1847" i="7"/>
  <c r="G1846" i="7"/>
  <c r="G1845" i="7"/>
  <c r="G1844" i="7"/>
  <c r="G1843" i="7"/>
  <c r="G1842" i="7"/>
  <c r="G1841" i="7"/>
  <c r="G1840" i="7"/>
  <c r="G1839" i="7"/>
  <c r="G1838" i="7"/>
  <c r="G1837" i="7"/>
  <c r="G1836" i="7"/>
  <c r="G1835" i="7"/>
  <c r="G1834" i="7"/>
  <c r="G1833" i="7"/>
  <c r="G1832" i="7"/>
  <c r="G1831" i="7"/>
  <c r="G1830" i="7"/>
  <c r="G1829" i="7"/>
  <c r="G1828" i="7"/>
  <c r="G1827" i="7"/>
  <c r="G1826" i="7"/>
  <c r="G1825" i="7"/>
  <c r="G1824" i="7"/>
  <c r="G1823" i="7"/>
  <c r="G1822" i="7"/>
  <c r="G1821" i="7"/>
  <c r="G1820" i="7"/>
  <c r="G1819" i="7"/>
  <c r="G1818" i="7"/>
  <c r="G1817" i="7"/>
  <c r="G1816" i="7"/>
  <c r="G1815" i="7"/>
  <c r="G1814" i="7"/>
  <c r="G1813" i="7"/>
  <c r="G1812" i="7"/>
  <c r="G1811" i="7"/>
  <c r="G1810" i="7"/>
  <c r="G1809" i="7"/>
  <c r="G1808" i="7"/>
  <c r="G1807" i="7"/>
  <c r="G1806" i="7"/>
  <c r="G1805" i="7"/>
  <c r="G1804" i="7"/>
  <c r="G1803" i="7"/>
  <c r="G1802" i="7"/>
  <c r="G1801" i="7"/>
  <c r="G1800" i="7"/>
  <c r="G1799" i="7"/>
  <c r="G1798" i="7"/>
  <c r="G1797" i="7"/>
  <c r="G1796" i="7"/>
  <c r="G1795" i="7"/>
  <c r="G1794" i="7"/>
  <c r="G1793" i="7"/>
  <c r="G1792" i="7"/>
  <c r="G1791" i="7"/>
  <c r="G1790" i="7"/>
  <c r="G1789" i="7"/>
  <c r="G1788" i="7"/>
  <c r="G1787" i="7"/>
  <c r="G1786" i="7"/>
  <c r="G1781" i="7"/>
  <c r="G1780" i="7"/>
  <c r="G1766" i="7"/>
  <c r="G1761" i="7"/>
  <c r="G1755" i="7"/>
  <c r="G1754" i="7"/>
  <c r="G1743" i="7"/>
  <c r="G1742" i="7"/>
  <c r="G1738" i="7"/>
  <c r="G1736" i="7"/>
  <c r="G1735" i="7"/>
  <c r="G1733" i="7"/>
  <c r="G1729" i="7"/>
  <c r="G1726" i="7"/>
  <c r="G1704" i="7"/>
  <c r="G1703" i="7"/>
  <c r="G1702" i="7"/>
  <c r="G1701" i="7"/>
  <c r="G1700" i="7"/>
  <c r="G1699" i="7"/>
  <c r="G1698" i="7"/>
  <c r="G1697" i="7"/>
  <c r="G1696" i="7"/>
  <c r="G1695" i="7"/>
  <c r="G1694" i="7"/>
  <c r="G1693" i="7"/>
  <c r="G1692" i="7"/>
  <c r="G1691" i="7"/>
  <c r="G1690" i="7"/>
  <c r="G1689" i="7"/>
  <c r="G1688" i="7"/>
  <c r="G1687" i="7"/>
  <c r="G1686" i="7"/>
  <c r="G1685" i="7"/>
  <c r="G1684" i="7"/>
  <c r="G1683" i="7"/>
  <c r="G1682" i="7"/>
  <c r="G1681" i="7"/>
  <c r="G1680" i="7"/>
  <c r="G1679" i="7"/>
  <c r="G1678" i="7"/>
  <c r="G1677" i="7"/>
  <c r="G1676" i="7"/>
  <c r="G1675" i="7"/>
  <c r="G1674" i="7"/>
  <c r="G1673" i="7"/>
  <c r="G1672" i="7"/>
  <c r="G1671" i="7"/>
  <c r="G1670" i="7"/>
  <c r="G1669" i="7"/>
  <c r="G1668" i="7"/>
  <c r="G1667" i="7"/>
  <c r="G1666" i="7"/>
  <c r="G1665" i="7"/>
  <c r="G1664" i="7"/>
  <c r="G1663" i="7"/>
  <c r="G1662" i="7"/>
  <c r="G1661" i="7"/>
  <c r="G1660" i="7"/>
  <c r="G1659" i="7"/>
  <c r="G1658" i="7"/>
  <c r="G1657" i="7"/>
  <c r="G1656" i="7"/>
  <c r="G1655" i="7"/>
  <c r="G1654" i="7"/>
  <c r="G1653" i="7"/>
  <c r="G1652" i="7"/>
  <c r="G1651" i="7"/>
  <c r="G1650" i="7"/>
  <c r="G1649" i="7"/>
  <c r="G1648" i="7"/>
  <c r="G1647" i="7"/>
  <c r="G1646" i="7"/>
  <c r="G1645" i="7"/>
  <c r="G1644" i="7"/>
  <c r="G1643" i="7"/>
  <c r="G1642" i="7"/>
  <c r="G1641" i="7"/>
  <c r="G1640" i="7"/>
  <c r="G1639" i="7"/>
  <c r="G1638" i="7"/>
  <c r="G1637" i="7"/>
  <c r="G1636" i="7"/>
  <c r="G1635" i="7"/>
  <c r="G1634" i="7"/>
  <c r="G1633" i="7"/>
  <c r="G1632" i="7"/>
  <c r="G1631" i="7"/>
  <c r="G1630" i="7"/>
  <c r="G1629" i="7"/>
  <c r="G1628" i="7"/>
  <c r="G1627" i="7"/>
  <c r="G1626" i="7"/>
  <c r="G1625" i="7"/>
  <c r="G1624" i="7"/>
  <c r="G1623" i="7"/>
  <c r="G1622" i="7"/>
  <c r="G1621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600" i="7"/>
  <c r="G1599" i="7"/>
  <c r="G1598" i="7"/>
  <c r="G1597" i="7"/>
  <c r="G1596" i="7"/>
  <c r="G1595" i="7"/>
  <c r="G1594" i="7"/>
  <c r="G1593" i="7"/>
  <c r="G1592" i="7"/>
  <c r="G1591" i="7"/>
  <c r="G1590" i="7"/>
  <c r="G1589" i="7"/>
  <c r="G1588" i="7"/>
  <c r="G1587" i="7"/>
  <c r="G1586" i="7"/>
  <c r="G1585" i="7"/>
  <c r="G1584" i="7"/>
  <c r="G1583" i="7"/>
  <c r="G1582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3" i="7"/>
  <c r="G1562" i="7"/>
  <c r="G1561" i="7"/>
  <c r="G1560" i="7"/>
  <c r="G1559" i="7"/>
  <c r="G1558" i="7"/>
  <c r="G1557" i="7"/>
  <c r="G1556" i="7"/>
  <c r="G1555" i="7"/>
  <c r="G1554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G1442" i="7"/>
  <c r="G1441" i="7"/>
  <c r="G1440" i="7"/>
  <c r="G1439" i="7"/>
  <c r="G1438" i="7"/>
  <c r="G1437" i="7"/>
  <c r="G1436" i="7"/>
  <c r="G1435" i="7"/>
  <c r="G1434" i="7"/>
  <c r="G1433" i="7"/>
  <c r="G1432" i="7"/>
  <c r="G1431" i="7"/>
  <c r="G1430" i="7"/>
  <c r="G1429" i="7"/>
  <c r="G1428" i="7"/>
  <c r="G1427" i="7"/>
  <c r="G1426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1403" i="7"/>
  <c r="G1402" i="7"/>
  <c r="G1401" i="7"/>
  <c r="G1400" i="7"/>
  <c r="G1399" i="7"/>
  <c r="G1398" i="7"/>
  <c r="G1397" i="7"/>
  <c r="G1396" i="7"/>
  <c r="G1395" i="7"/>
  <c r="G1394" i="7"/>
  <c r="G1393" i="7"/>
  <c r="G1392" i="7"/>
  <c r="G1391" i="7"/>
  <c r="G1390" i="7"/>
  <c r="G1389" i="7"/>
  <c r="G1388" i="7"/>
  <c r="G1387" i="7"/>
  <c r="G1386" i="7"/>
  <c r="G1385" i="7"/>
  <c r="G1384" i="7"/>
  <c r="G1383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6" i="7"/>
  <c r="G645" i="7"/>
  <c r="G644" i="7"/>
  <c r="G643" i="7"/>
  <c r="G642" i="7"/>
  <c r="G638" i="7"/>
  <c r="G637" i="7"/>
  <c r="G636" i="7"/>
  <c r="G634" i="7"/>
  <c r="G633" i="7"/>
  <c r="G632" i="7"/>
  <c r="G631" i="7"/>
  <c r="G630" i="7"/>
  <c r="G629" i="7"/>
  <c r="G628" i="7"/>
  <c r="G627" i="7"/>
  <c r="G626" i="7"/>
  <c r="G623" i="7"/>
  <c r="G622" i="7"/>
  <c r="G620" i="7"/>
  <c r="G619" i="7"/>
  <c r="G618" i="7"/>
  <c r="G617" i="7"/>
  <c r="G616" i="7"/>
  <c r="G614" i="7"/>
  <c r="G613" i="7"/>
  <c r="G612" i="7"/>
  <c r="G611" i="7"/>
  <c r="G609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68" i="7"/>
  <c r="G565" i="7"/>
  <c r="G564" i="7"/>
  <c r="G563" i="7"/>
  <c r="G562" i="7"/>
  <c r="G561" i="7"/>
  <c r="G560" i="7"/>
  <c r="G559" i="7"/>
  <c r="G558" i="7"/>
  <c r="G557" i="7"/>
  <c r="G556" i="7"/>
  <c r="G554" i="7"/>
  <c r="G553" i="7"/>
  <c r="G552" i="7"/>
  <c r="G550" i="7"/>
  <c r="G548" i="7"/>
  <c r="G547" i="7"/>
  <c r="G546" i="7"/>
  <c r="G545" i="7"/>
  <c r="G544" i="7"/>
  <c r="G538" i="7"/>
  <c r="G535" i="7"/>
  <c r="G534" i="7"/>
  <c r="G528" i="7"/>
  <c r="G527" i="7"/>
  <c r="G526" i="7"/>
  <c r="G525" i="7"/>
  <c r="G524" i="7"/>
  <c r="G523" i="7"/>
  <c r="G522" i="7"/>
  <c r="G521" i="7"/>
  <c r="G520" i="7"/>
  <c r="G517" i="7"/>
  <c r="G516" i="7"/>
  <c r="G515" i="7"/>
  <c r="G504" i="7"/>
  <c r="G501" i="7"/>
  <c r="G500" i="7"/>
  <c r="G499" i="7"/>
  <c r="G497" i="7"/>
  <c r="G495" i="7"/>
  <c r="G494" i="7"/>
  <c r="G493" i="7"/>
  <c r="G492" i="7"/>
  <c r="G487" i="7"/>
  <c r="G485" i="7"/>
  <c r="G484" i="7"/>
  <c r="G483" i="7"/>
  <c r="G482" i="7"/>
  <c r="G480" i="7"/>
  <c r="G479" i="7"/>
  <c r="G478" i="7"/>
  <c r="G477" i="7"/>
  <c r="G476" i="7"/>
  <c r="G475" i="7"/>
  <c r="G474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6" i="7"/>
  <c r="G375" i="7"/>
  <c r="G374" i="7"/>
  <c r="G373" i="7"/>
  <c r="G372" i="7"/>
  <c r="G371" i="7"/>
  <c r="G370" i="7"/>
  <c r="G369" i="7"/>
  <c r="G368" i="7"/>
  <c r="G367" i="7"/>
  <c r="G365" i="7"/>
  <c r="G364" i="7"/>
  <c r="G363" i="7"/>
  <c r="G362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0" i="7"/>
  <c r="G329" i="7"/>
  <c r="G328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09" i="7"/>
  <c r="G306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7" i="7"/>
  <c r="G246" i="7"/>
  <c r="G244" i="7"/>
  <c r="G242" i="7"/>
  <c r="G241" i="7"/>
  <c r="G238" i="7"/>
  <c r="G233" i="7"/>
  <c r="G232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3" i="7"/>
  <c r="G170" i="7"/>
  <c r="G168" i="7"/>
  <c r="G167" i="7"/>
  <c r="G166" i="7"/>
  <c r="G165" i="7"/>
  <c r="G164" i="7"/>
  <c r="G163" i="7"/>
  <c r="G162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4" i="7"/>
  <c r="G63" i="7"/>
  <c r="G61" i="7"/>
  <c r="G60" i="7"/>
  <c r="G59" i="7"/>
  <c r="G53" i="7"/>
  <c r="G52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8" i="7"/>
  <c r="F1896" i="7"/>
  <c r="F1895" i="7"/>
  <c r="F1894" i="7"/>
  <c r="F1893" i="7"/>
  <c r="F1892" i="7"/>
  <c r="F1891" i="7"/>
  <c r="F1890" i="7"/>
  <c r="F1889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1" i="7"/>
  <c r="F1780" i="7"/>
  <c r="F1766" i="7"/>
  <c r="F1761" i="7"/>
  <c r="F1760" i="7"/>
  <c r="F1755" i="7"/>
  <c r="F1754" i="7"/>
  <c r="F1753" i="7"/>
  <c r="F1752" i="7"/>
  <c r="F1751" i="7"/>
  <c r="F1743" i="7"/>
  <c r="F1742" i="7"/>
  <c r="F1738" i="7"/>
  <c r="F1736" i="7"/>
  <c r="F1735" i="7"/>
  <c r="F1733" i="7"/>
  <c r="F1729" i="7"/>
  <c r="F1728" i="7"/>
  <c r="F1727" i="7"/>
  <c r="F1726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3" i="7"/>
  <c r="F1562" i="7"/>
  <c r="F1561" i="7"/>
  <c r="F1560" i="7"/>
  <c r="F1559" i="7"/>
  <c r="F1558" i="7"/>
  <c r="F1557" i="7"/>
  <c r="F1556" i="7"/>
  <c r="F1555" i="7"/>
  <c r="F1554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6" i="7"/>
  <c r="F645" i="7"/>
  <c r="F644" i="7"/>
  <c r="F643" i="7"/>
  <c r="F642" i="7"/>
  <c r="F638" i="7"/>
  <c r="F637" i="7"/>
  <c r="F636" i="7"/>
  <c r="F634" i="7"/>
  <c r="F633" i="7"/>
  <c r="F632" i="7"/>
  <c r="F631" i="7"/>
  <c r="F630" i="7"/>
  <c r="F629" i="7"/>
  <c r="F628" i="7"/>
  <c r="F627" i="7"/>
  <c r="F626" i="7"/>
  <c r="F623" i="7"/>
  <c r="F622" i="7"/>
  <c r="F620" i="7"/>
  <c r="F619" i="7"/>
  <c r="F618" i="7"/>
  <c r="F617" i="7"/>
  <c r="F616" i="7"/>
  <c r="F614" i="7"/>
  <c r="F613" i="7"/>
  <c r="F612" i="7"/>
  <c r="F611" i="7"/>
  <c r="F609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68" i="7"/>
  <c r="F565" i="7"/>
  <c r="F563" i="7"/>
  <c r="F562" i="7"/>
  <c r="F561" i="7"/>
  <c r="F560" i="7"/>
  <c r="F559" i="7"/>
  <c r="F557" i="7"/>
  <c r="F556" i="7"/>
  <c r="F554" i="7"/>
  <c r="F553" i="7"/>
  <c r="F552" i="7"/>
  <c r="F550" i="7"/>
  <c r="F549" i="7"/>
  <c r="F548" i="7"/>
  <c r="F547" i="7"/>
  <c r="F546" i="7"/>
  <c r="F545" i="7"/>
  <c r="F544" i="7"/>
  <c r="F538" i="7"/>
  <c r="F535" i="7"/>
  <c r="F534" i="7"/>
  <c r="F528" i="7"/>
  <c r="F527" i="7"/>
  <c r="F526" i="7"/>
  <c r="F525" i="7"/>
  <c r="F524" i="7"/>
  <c r="F523" i="7"/>
  <c r="F522" i="7"/>
  <c r="F521" i="7"/>
  <c r="F520" i="7"/>
  <c r="F517" i="7"/>
  <c r="F516" i="7"/>
  <c r="F515" i="7"/>
  <c r="F511" i="7"/>
  <c r="F504" i="7"/>
  <c r="F501" i="7"/>
  <c r="F500" i="7"/>
  <c r="F499" i="7"/>
  <c r="F497" i="7"/>
  <c r="F495" i="7"/>
  <c r="F493" i="7"/>
  <c r="F492" i="7"/>
  <c r="F487" i="7"/>
  <c r="F485" i="7"/>
  <c r="F484" i="7"/>
  <c r="F483" i="7"/>
  <c r="F482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0" i="7"/>
  <c r="F329" i="7"/>
  <c r="F328" i="7"/>
  <c r="F327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8" i="7"/>
  <c r="F287" i="7"/>
  <c r="F285" i="7"/>
  <c r="F283" i="7"/>
  <c r="F282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4" i="7"/>
  <c r="F242" i="7"/>
  <c r="F241" i="7"/>
  <c r="F238" i="7"/>
  <c r="F233" i="7"/>
  <c r="F232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3" i="7"/>
  <c r="F170" i="7"/>
  <c r="F168" i="7"/>
  <c r="F167" i="7"/>
  <c r="F166" i="7"/>
  <c r="F165" i="7"/>
  <c r="F164" i="7"/>
  <c r="F163" i="7"/>
  <c r="F162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1972" i="7"/>
  <c r="E1971" i="7"/>
  <c r="E1970" i="7"/>
  <c r="E1969" i="7"/>
  <c r="E1968" i="7"/>
  <c r="E1967" i="7"/>
  <c r="E1966" i="7"/>
  <c r="E1965" i="7"/>
  <c r="E1964" i="7"/>
  <c r="E1963" i="7"/>
  <c r="E1962" i="7"/>
  <c r="E1961" i="7"/>
  <c r="E1960" i="7"/>
  <c r="E1959" i="7"/>
  <c r="E1958" i="7"/>
  <c r="E1957" i="7"/>
  <c r="E1956" i="7"/>
  <c r="E1955" i="7"/>
  <c r="E1954" i="7"/>
  <c r="E1953" i="7"/>
  <c r="E1952" i="7"/>
  <c r="E1951" i="7"/>
  <c r="E1950" i="7"/>
  <c r="E1949" i="7"/>
  <c r="E1948" i="7"/>
  <c r="E1947" i="7"/>
  <c r="E1946" i="7"/>
  <c r="E1945" i="7"/>
  <c r="E1944" i="7"/>
  <c r="E1943" i="7"/>
  <c r="E1942" i="7"/>
  <c r="E1941" i="7"/>
  <c r="E1940" i="7"/>
  <c r="E1939" i="7"/>
  <c r="E1938" i="7"/>
  <c r="E1937" i="7"/>
  <c r="E1936" i="7"/>
  <c r="E1935" i="7"/>
  <c r="E1934" i="7"/>
  <c r="E1933" i="7"/>
  <c r="E1932" i="7"/>
  <c r="E1931" i="7"/>
  <c r="E1930" i="7"/>
  <c r="E1929" i="7"/>
  <c r="E1928" i="7"/>
  <c r="E1927" i="7"/>
  <c r="E1926" i="7"/>
  <c r="E1925" i="7"/>
  <c r="E1924" i="7"/>
  <c r="E1923" i="7"/>
  <c r="E1922" i="7"/>
  <c r="E1921" i="7"/>
  <c r="E1920" i="7"/>
  <c r="E1919" i="7"/>
  <c r="E1918" i="7"/>
  <c r="E1917" i="7"/>
  <c r="E1916" i="7"/>
  <c r="E1915" i="7"/>
  <c r="E1914" i="7"/>
  <c r="E1913" i="7"/>
  <c r="E1912" i="7"/>
  <c r="E1911" i="7"/>
  <c r="E1910" i="7"/>
  <c r="E1909" i="7"/>
  <c r="E1908" i="7"/>
  <c r="E1907" i="7"/>
  <c r="E1906" i="7"/>
  <c r="E1905" i="7"/>
  <c r="E1904" i="7"/>
  <c r="E1903" i="7"/>
  <c r="E1902" i="7"/>
  <c r="E1901" i="7"/>
  <c r="E1900" i="7"/>
  <c r="E1898" i="7"/>
  <c r="E1896" i="7"/>
  <c r="E1895" i="7"/>
  <c r="E1894" i="7"/>
  <c r="E1893" i="7"/>
  <c r="E1892" i="7"/>
  <c r="E1891" i="7"/>
  <c r="E1890" i="7"/>
  <c r="E1889" i="7"/>
  <c r="E1888" i="7"/>
  <c r="E1887" i="7"/>
  <c r="E1886" i="7"/>
  <c r="E1885" i="7"/>
  <c r="E1884" i="7"/>
  <c r="E1883" i="7"/>
  <c r="E1882" i="7"/>
  <c r="E1881" i="7"/>
  <c r="E1880" i="7"/>
  <c r="E1879" i="7"/>
  <c r="E1878" i="7"/>
  <c r="E1877" i="7"/>
  <c r="E1876" i="7"/>
  <c r="E1875" i="7"/>
  <c r="E1874" i="7"/>
  <c r="E1873" i="7"/>
  <c r="E1872" i="7"/>
  <c r="E1871" i="7"/>
  <c r="E1870" i="7"/>
  <c r="E1869" i="7"/>
  <c r="E1868" i="7"/>
  <c r="E1867" i="7"/>
  <c r="E1866" i="7"/>
  <c r="E1865" i="7"/>
  <c r="E1864" i="7"/>
  <c r="E1863" i="7"/>
  <c r="E1862" i="7"/>
  <c r="E1855" i="7"/>
  <c r="E1854" i="7"/>
  <c r="E1853" i="7"/>
  <c r="E1852" i="7"/>
  <c r="E1851" i="7"/>
  <c r="E1850" i="7"/>
  <c r="E1849" i="7"/>
  <c r="E1848" i="7"/>
  <c r="E1847" i="7"/>
  <c r="E1846" i="7"/>
  <c r="E1845" i="7"/>
  <c r="E1844" i="7"/>
  <c r="E1843" i="7"/>
  <c r="E1842" i="7"/>
  <c r="E1841" i="7"/>
  <c r="E1840" i="7"/>
  <c r="E1839" i="7"/>
  <c r="E1838" i="7"/>
  <c r="E1837" i="7"/>
  <c r="E1836" i="7"/>
  <c r="E1835" i="7"/>
  <c r="E1834" i="7"/>
  <c r="E1833" i="7"/>
  <c r="E1832" i="7"/>
  <c r="E1831" i="7"/>
  <c r="E1830" i="7"/>
  <c r="E1829" i="7"/>
  <c r="E1828" i="7"/>
  <c r="E1827" i="7"/>
  <c r="E1826" i="7"/>
  <c r="E1825" i="7"/>
  <c r="E1824" i="7"/>
  <c r="E1823" i="7"/>
  <c r="E1822" i="7"/>
  <c r="E1821" i="7"/>
  <c r="E1820" i="7"/>
  <c r="E1819" i="7"/>
  <c r="E1818" i="7"/>
  <c r="E1817" i="7"/>
  <c r="E1816" i="7"/>
  <c r="E1815" i="7"/>
  <c r="E1814" i="7"/>
  <c r="E1813" i="7"/>
  <c r="E1812" i="7"/>
  <c r="E1811" i="7"/>
  <c r="E1810" i="7"/>
  <c r="E1809" i="7"/>
  <c r="E1808" i="7"/>
  <c r="E1807" i="7"/>
  <c r="E1806" i="7"/>
  <c r="E1805" i="7"/>
  <c r="E1804" i="7"/>
  <c r="E1803" i="7"/>
  <c r="E1802" i="7"/>
  <c r="E1801" i="7"/>
  <c r="E1800" i="7"/>
  <c r="E1799" i="7"/>
  <c r="E1798" i="7"/>
  <c r="E1797" i="7"/>
  <c r="E1796" i="7"/>
  <c r="E1795" i="7"/>
  <c r="E1794" i="7"/>
  <c r="E1793" i="7"/>
  <c r="E1792" i="7"/>
  <c r="E1791" i="7"/>
  <c r="E1790" i="7"/>
  <c r="E1789" i="7"/>
  <c r="E1788" i="7"/>
  <c r="E1787" i="7"/>
  <c r="E1786" i="7"/>
  <c r="E1781" i="7"/>
  <c r="E1780" i="7"/>
  <c r="E1766" i="7"/>
  <c r="E1761" i="7"/>
  <c r="E1760" i="7"/>
  <c r="E1757" i="7"/>
  <c r="E1756" i="7"/>
  <c r="E1755" i="7"/>
  <c r="E1754" i="7"/>
  <c r="E1753" i="7"/>
  <c r="E1752" i="7"/>
  <c r="E1751" i="7"/>
  <c r="E1750" i="7"/>
  <c r="E1749" i="7"/>
  <c r="E1743" i="7"/>
  <c r="E1741" i="7"/>
  <c r="E1740" i="7"/>
  <c r="E1737" i="7"/>
  <c r="E1736" i="7"/>
  <c r="E1735" i="7"/>
  <c r="E1734" i="7"/>
  <c r="E1733" i="7"/>
  <c r="E1729" i="7"/>
  <c r="E1728" i="7"/>
  <c r="E1727" i="7"/>
  <c r="E1726" i="7"/>
  <c r="E1725" i="7"/>
  <c r="E1724" i="7"/>
  <c r="E1723" i="7"/>
  <c r="E1716" i="7"/>
  <c r="E1715" i="7"/>
  <c r="E1714" i="7"/>
  <c r="E1713" i="7"/>
  <c r="E1711" i="7"/>
  <c r="E1706" i="7"/>
  <c r="E1705" i="7"/>
  <c r="E1704" i="7"/>
  <c r="E1703" i="7"/>
  <c r="E1702" i="7"/>
  <c r="E1701" i="7"/>
  <c r="E1700" i="7"/>
  <c r="E1699" i="7"/>
  <c r="E1698" i="7"/>
  <c r="E1697" i="7"/>
  <c r="E1696" i="7"/>
  <c r="E1695" i="7"/>
  <c r="E1694" i="7"/>
  <c r="E1693" i="7"/>
  <c r="E1692" i="7"/>
  <c r="E1691" i="7"/>
  <c r="E1690" i="7"/>
  <c r="E1689" i="7"/>
  <c r="E1688" i="7"/>
  <c r="E1687" i="7"/>
  <c r="E1686" i="7"/>
  <c r="E1685" i="7"/>
  <c r="E1684" i="7"/>
  <c r="E1683" i="7"/>
  <c r="E1682" i="7"/>
  <c r="E1681" i="7"/>
  <c r="E1680" i="7"/>
  <c r="E1679" i="7"/>
  <c r="E1678" i="7"/>
  <c r="E1677" i="7"/>
  <c r="E1676" i="7"/>
  <c r="E1675" i="7"/>
  <c r="E1674" i="7"/>
  <c r="E1673" i="7"/>
  <c r="E1672" i="7"/>
  <c r="E1671" i="7"/>
  <c r="E1670" i="7"/>
  <c r="E1669" i="7"/>
  <c r="E1668" i="7"/>
  <c r="E1667" i="7"/>
  <c r="E1666" i="7"/>
  <c r="E1665" i="7"/>
  <c r="E1664" i="7"/>
  <c r="E1663" i="7"/>
  <c r="E1662" i="7"/>
  <c r="E1661" i="7"/>
  <c r="E1660" i="7"/>
  <c r="E1659" i="7"/>
  <c r="E1658" i="7"/>
  <c r="E1657" i="7"/>
  <c r="E1656" i="7"/>
  <c r="E1655" i="7"/>
  <c r="E1654" i="7"/>
  <c r="E1653" i="7"/>
  <c r="E1652" i="7"/>
  <c r="E1651" i="7"/>
  <c r="E1650" i="7"/>
  <c r="E1649" i="7"/>
  <c r="E1648" i="7"/>
  <c r="E1647" i="7"/>
  <c r="E1646" i="7"/>
  <c r="E1645" i="7"/>
  <c r="E1644" i="7"/>
  <c r="E1643" i="7"/>
  <c r="E1642" i="7"/>
  <c r="E1641" i="7"/>
  <c r="E1640" i="7"/>
  <c r="E1639" i="7"/>
  <c r="E1638" i="7"/>
  <c r="E1637" i="7"/>
  <c r="E1636" i="7"/>
  <c r="E1635" i="7"/>
  <c r="E1634" i="7"/>
  <c r="E1633" i="7"/>
  <c r="E1632" i="7"/>
  <c r="E1631" i="7"/>
  <c r="E1630" i="7"/>
  <c r="E1629" i="7"/>
  <c r="E1628" i="7"/>
  <c r="E1627" i="7"/>
  <c r="E1626" i="7"/>
  <c r="E1625" i="7"/>
  <c r="E1624" i="7"/>
  <c r="E1623" i="7"/>
  <c r="E1622" i="7"/>
  <c r="E1621" i="7"/>
  <c r="E1620" i="7"/>
  <c r="E1619" i="7"/>
  <c r="E1618" i="7"/>
  <c r="E1617" i="7"/>
  <c r="E1616" i="7"/>
  <c r="E1615" i="7"/>
  <c r="E1614" i="7"/>
  <c r="E1613" i="7"/>
  <c r="E1612" i="7"/>
  <c r="E1611" i="7"/>
  <c r="E1610" i="7"/>
  <c r="E1609" i="7"/>
  <c r="E1608" i="7"/>
  <c r="E1607" i="7"/>
  <c r="E1606" i="7"/>
  <c r="E1605" i="7"/>
  <c r="E1604" i="7"/>
  <c r="E1603" i="7"/>
  <c r="E1602" i="7"/>
  <c r="E1601" i="7"/>
  <c r="E1600" i="7"/>
  <c r="E1599" i="7"/>
  <c r="E1598" i="7"/>
  <c r="E1597" i="7"/>
  <c r="E1596" i="7"/>
  <c r="E1595" i="7"/>
  <c r="E1594" i="7"/>
  <c r="E1593" i="7"/>
  <c r="E1592" i="7"/>
  <c r="E1591" i="7"/>
  <c r="E1590" i="7"/>
  <c r="E1589" i="7"/>
  <c r="E1588" i="7"/>
  <c r="E1587" i="7"/>
  <c r="E1586" i="7"/>
  <c r="E1585" i="7"/>
  <c r="E1584" i="7"/>
  <c r="E1583" i="7"/>
  <c r="E1582" i="7"/>
  <c r="E1581" i="7"/>
  <c r="E1580" i="7"/>
  <c r="E1579" i="7"/>
  <c r="E1578" i="7"/>
  <c r="E1577" i="7"/>
  <c r="E1576" i="7"/>
  <c r="E1575" i="7"/>
  <c r="E1574" i="7"/>
  <c r="E1573" i="7"/>
  <c r="E1572" i="7"/>
  <c r="E1571" i="7"/>
  <c r="E1570" i="7"/>
  <c r="E1569" i="7"/>
  <c r="E1568" i="7"/>
  <c r="E1567" i="7"/>
  <c r="E1566" i="7"/>
  <c r="E1565" i="7"/>
  <c r="E1564" i="7"/>
  <c r="E1563" i="7"/>
  <c r="E1562" i="7"/>
  <c r="E1561" i="7"/>
  <c r="E1560" i="7"/>
  <c r="E1559" i="7"/>
  <c r="E1558" i="7"/>
  <c r="E1557" i="7"/>
  <c r="E1556" i="7"/>
  <c r="E1555" i="7"/>
  <c r="E1554" i="7"/>
  <c r="E1553" i="7"/>
  <c r="E1552" i="7"/>
  <c r="E1551" i="7"/>
  <c r="E1550" i="7"/>
  <c r="E1549" i="7"/>
  <c r="E1548" i="7"/>
  <c r="E1547" i="7"/>
  <c r="E1546" i="7"/>
  <c r="E1545" i="7"/>
  <c r="E1544" i="7"/>
  <c r="E1543" i="7"/>
  <c r="E1542" i="7"/>
  <c r="E1541" i="7"/>
  <c r="E1540" i="7"/>
  <c r="E1539" i="7"/>
  <c r="E1538" i="7"/>
  <c r="E1537" i="7"/>
  <c r="E1536" i="7"/>
  <c r="E1535" i="7"/>
  <c r="E1534" i="7"/>
  <c r="E1533" i="7"/>
  <c r="E1532" i="7"/>
  <c r="E1531" i="7"/>
  <c r="E1530" i="7"/>
  <c r="E1529" i="7"/>
  <c r="E1528" i="7"/>
  <c r="E1527" i="7"/>
  <c r="E1526" i="7"/>
  <c r="E1525" i="7"/>
  <c r="E1524" i="7"/>
  <c r="E1523" i="7"/>
  <c r="E1522" i="7"/>
  <c r="E1521" i="7"/>
  <c r="E1520" i="7"/>
  <c r="E1519" i="7"/>
  <c r="E1518" i="7"/>
  <c r="E1517" i="7"/>
  <c r="E1516" i="7"/>
  <c r="E1515" i="7"/>
  <c r="E1514" i="7"/>
  <c r="E1513" i="7"/>
  <c r="E1512" i="7"/>
  <c r="E1511" i="7"/>
  <c r="E1510" i="7"/>
  <c r="E1509" i="7"/>
  <c r="E1508" i="7"/>
  <c r="E1507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2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3" i="7"/>
  <c r="E622" i="7"/>
  <c r="E621" i="7"/>
  <c r="E620" i="7"/>
  <c r="E619" i="7"/>
  <c r="E618" i="7"/>
  <c r="E617" i="7"/>
  <c r="E616" i="7"/>
  <c r="E614" i="7"/>
  <c r="E613" i="7"/>
  <c r="E612" i="7"/>
  <c r="E611" i="7"/>
  <c r="E609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0" i="7"/>
  <c r="E568" i="7"/>
  <c r="E565" i="7"/>
  <c r="E564" i="7"/>
  <c r="E563" i="7"/>
  <c r="E562" i="7"/>
  <c r="E561" i="7"/>
  <c r="E560" i="7"/>
  <c r="E559" i="7"/>
  <c r="E558" i="7"/>
  <c r="E557" i="7"/>
  <c r="E556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1" i="7"/>
  <c r="E539" i="7"/>
  <c r="E538" i="7"/>
  <c r="E537" i="7"/>
  <c r="E535" i="7"/>
  <c r="E534" i="7"/>
  <c r="E528" i="7"/>
  <c r="E527" i="7"/>
  <c r="E526" i="7"/>
  <c r="E525" i="7"/>
  <c r="E524" i="7"/>
  <c r="E523" i="7"/>
  <c r="E522" i="7"/>
  <c r="E521" i="7"/>
  <c r="E520" i="7"/>
  <c r="E518" i="7"/>
  <c r="E517" i="7"/>
  <c r="E516" i="7"/>
  <c r="E515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0" i="7"/>
  <c r="E489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5" i="7"/>
  <c r="E173" i="7"/>
  <c r="E172" i="7"/>
  <c r="E171" i="7"/>
  <c r="E170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89" i="7"/>
  <c r="D1784" i="7"/>
  <c r="D1783" i="7"/>
  <c r="D1781" i="7"/>
  <c r="D1780" i="7"/>
  <c r="D1778" i="7"/>
  <c r="D1777" i="7"/>
  <c r="D1773" i="7"/>
  <c r="D1772" i="7"/>
  <c r="D1771" i="7"/>
  <c r="D1766" i="7"/>
  <c r="D1763" i="7"/>
  <c r="D1762" i="7"/>
  <c r="D1761" i="7"/>
  <c r="D1760" i="7"/>
  <c r="D1759" i="7"/>
  <c r="D1758" i="7"/>
  <c r="D1757" i="7"/>
  <c r="D1756" i="7"/>
  <c r="D1755" i="7"/>
  <c r="D1754" i="7"/>
  <c r="D1750" i="7"/>
  <c r="D1749" i="7"/>
  <c r="D1748" i="7"/>
  <c r="D1747" i="7"/>
  <c r="D1746" i="7"/>
  <c r="D1743" i="7"/>
  <c r="D1741" i="7"/>
  <c r="D1738" i="7"/>
  <c r="D1737" i="7"/>
  <c r="D1736" i="7"/>
  <c r="D1735" i="7"/>
  <c r="D1734" i="7"/>
  <c r="D1733" i="7"/>
  <c r="D1732" i="7"/>
  <c r="D1731" i="7"/>
  <c r="D1730" i="7"/>
  <c r="D1729" i="7"/>
  <c r="D1726" i="7"/>
  <c r="D1723" i="7"/>
  <c r="D1719" i="7"/>
  <c r="D1717" i="7"/>
  <c r="D1716" i="7"/>
  <c r="D1715" i="7"/>
  <c r="D1714" i="7"/>
  <c r="D1713" i="7"/>
  <c r="D1711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2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6" i="7"/>
  <c r="D645" i="7"/>
  <c r="D644" i="7"/>
  <c r="D643" i="7"/>
  <c r="D642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3" i="7"/>
  <c r="D622" i="7"/>
  <c r="D621" i="7"/>
  <c r="D620" i="7"/>
  <c r="D619" i="7"/>
  <c r="D618" i="7"/>
  <c r="D617" i="7"/>
  <c r="D616" i="7"/>
  <c r="D614" i="7"/>
  <c r="D613" i="7"/>
  <c r="D612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0" i="7"/>
  <c r="D568" i="7"/>
  <c r="D567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0" i="7"/>
  <c r="D549" i="7"/>
  <c r="D548" i="7"/>
  <c r="D547" i="7"/>
  <c r="D546" i="7"/>
  <c r="D545" i="7"/>
  <c r="D544" i="7"/>
  <c r="D538" i="7"/>
  <c r="D534" i="7"/>
  <c r="D533" i="7"/>
  <c r="D530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94" i="2"/>
  <c r="E94" i="2"/>
  <c r="E95" i="2"/>
  <c r="F94" i="2"/>
  <c r="F95" i="2"/>
  <c r="G94" i="2"/>
  <c r="H94" i="2"/>
  <c r="H95" i="2"/>
  <c r="H96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D80" i="2"/>
  <c r="D81" i="2"/>
  <c r="E80" i="2"/>
  <c r="E81" i="2"/>
  <c r="C81" i="2"/>
  <c r="F80" i="2"/>
  <c r="G80" i="2"/>
  <c r="H80" i="2"/>
  <c r="H81" i="2"/>
  <c r="I80" i="2"/>
  <c r="J80" i="2"/>
  <c r="K80" i="2"/>
  <c r="L80" i="2"/>
  <c r="L81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C80" i="2"/>
  <c r="D49" i="2"/>
  <c r="E49" i="2"/>
  <c r="F49" i="2"/>
  <c r="G49" i="2"/>
  <c r="G50" i="2"/>
  <c r="H49" i="2"/>
  <c r="H50" i="2"/>
  <c r="I49" i="2"/>
  <c r="J49" i="2"/>
  <c r="K49" i="2"/>
  <c r="L49" i="2"/>
  <c r="L50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C49" i="2"/>
  <c r="D30" i="2"/>
  <c r="D31" i="2"/>
  <c r="E30" i="2"/>
  <c r="E31" i="2"/>
  <c r="F30" i="2"/>
  <c r="F31" i="2"/>
  <c r="G30" i="2"/>
  <c r="G31" i="2"/>
  <c r="H30" i="2"/>
  <c r="H31" i="2"/>
  <c r="I30" i="2"/>
  <c r="J30" i="2"/>
  <c r="K30" i="2"/>
  <c r="L30" i="2"/>
  <c r="L31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C30" i="2"/>
  <c r="E17" i="2"/>
  <c r="E18" i="2"/>
  <c r="F17" i="2"/>
  <c r="F18" i="2"/>
  <c r="G17" i="2"/>
  <c r="G18" i="2"/>
  <c r="H17" i="2"/>
  <c r="H18" i="2"/>
  <c r="I17" i="2"/>
  <c r="I101" i="2"/>
  <c r="I103" i="2"/>
  <c r="J17" i="2"/>
  <c r="K17" i="2"/>
  <c r="L17" i="2"/>
  <c r="L18" i="2"/>
  <c r="M17" i="2"/>
  <c r="M101" i="2"/>
  <c r="N17" i="2"/>
  <c r="O17" i="2"/>
  <c r="P17" i="2"/>
  <c r="P101" i="2"/>
  <c r="Q17" i="2"/>
  <c r="R17" i="2"/>
  <c r="S17" i="2"/>
  <c r="S101" i="2"/>
  <c r="T17" i="2"/>
  <c r="U17" i="2"/>
  <c r="U101" i="2"/>
  <c r="V17" i="2"/>
  <c r="W17" i="2"/>
  <c r="X17" i="2"/>
  <c r="X101" i="2"/>
  <c r="X103" i="2"/>
  <c r="Y17" i="2"/>
  <c r="Z17" i="2"/>
  <c r="AA17" i="2"/>
  <c r="AB17" i="2"/>
  <c r="D17" i="2"/>
  <c r="D18" i="2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Y4" i="7"/>
  <c r="C3" i="1"/>
  <c r="D3" i="1"/>
  <c r="C4" i="1"/>
  <c r="E31" i="1"/>
  <c r="J118" i="1"/>
  <c r="I118" i="1"/>
  <c r="H118" i="1"/>
  <c r="G118" i="1"/>
  <c r="F118" i="1"/>
  <c r="G119" i="1"/>
  <c r="Z472" i="1"/>
  <c r="Y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I472" i="1"/>
  <c r="H472" i="1"/>
  <c r="G472" i="1"/>
  <c r="F472" i="1"/>
  <c r="E472" i="1"/>
  <c r="D472" i="1"/>
  <c r="C472" i="1"/>
  <c r="J511" i="1"/>
  <c r="I511" i="1"/>
  <c r="H511" i="1"/>
  <c r="G511" i="1"/>
  <c r="F511" i="1"/>
  <c r="J498" i="1"/>
  <c r="I498" i="1"/>
  <c r="H498" i="1"/>
  <c r="G498" i="1"/>
  <c r="F498" i="1"/>
  <c r="J480" i="1"/>
  <c r="I480" i="1"/>
  <c r="H480" i="1"/>
  <c r="F474" i="1"/>
  <c r="I465" i="1"/>
  <c r="H465" i="1"/>
  <c r="G465" i="1"/>
  <c r="F465" i="1"/>
  <c r="J462" i="1"/>
  <c r="I462" i="1"/>
  <c r="H462" i="1"/>
  <c r="G462" i="1"/>
  <c r="F462" i="1"/>
  <c r="I458" i="1"/>
  <c r="J444" i="1"/>
  <c r="I444" i="1"/>
  <c r="I443" i="1"/>
  <c r="H443" i="1"/>
  <c r="G443" i="1"/>
  <c r="F443" i="1"/>
  <c r="J430" i="1"/>
  <c r="I430" i="1"/>
  <c r="H430" i="1"/>
  <c r="G430" i="1"/>
  <c r="F430" i="1"/>
  <c r="J391" i="1"/>
  <c r="I391" i="1"/>
  <c r="H391" i="1"/>
  <c r="G391" i="1"/>
  <c r="F391" i="1"/>
  <c r="J390" i="1"/>
  <c r="I390" i="1"/>
  <c r="H390" i="1"/>
  <c r="G390" i="1"/>
  <c r="F390" i="1"/>
  <c r="J389" i="1"/>
  <c r="I389" i="1"/>
  <c r="H389" i="1"/>
  <c r="G389" i="1"/>
  <c r="F389" i="1"/>
  <c r="J388" i="1"/>
  <c r="I388" i="1"/>
  <c r="H388" i="1"/>
  <c r="G388" i="1"/>
  <c r="F388" i="1"/>
  <c r="J387" i="1"/>
  <c r="I387" i="1"/>
  <c r="H387" i="1"/>
  <c r="G387" i="1"/>
  <c r="F387" i="1"/>
  <c r="J385" i="1"/>
  <c r="I385" i="1"/>
  <c r="H385" i="1"/>
  <c r="G385" i="1"/>
  <c r="F385" i="1"/>
  <c r="J384" i="1"/>
  <c r="I384" i="1"/>
  <c r="H384" i="1"/>
  <c r="G384" i="1"/>
  <c r="F384" i="1"/>
  <c r="J379" i="1"/>
  <c r="I379" i="1"/>
  <c r="H379" i="1"/>
  <c r="G379" i="1"/>
  <c r="F379" i="1"/>
  <c r="J377" i="1"/>
  <c r="I377" i="1"/>
  <c r="H377" i="1"/>
  <c r="G377" i="1"/>
  <c r="F377" i="1"/>
  <c r="J376" i="1"/>
  <c r="I376" i="1"/>
  <c r="H376" i="1"/>
  <c r="G376" i="1"/>
  <c r="F376" i="1"/>
  <c r="J372" i="1"/>
  <c r="I372" i="1"/>
  <c r="H372" i="1"/>
  <c r="G372" i="1"/>
  <c r="F372" i="1"/>
  <c r="J371" i="1"/>
  <c r="I371" i="1"/>
  <c r="H371" i="1"/>
  <c r="G371" i="1"/>
  <c r="F371" i="1"/>
  <c r="J370" i="1"/>
  <c r="I370" i="1"/>
  <c r="H370" i="1"/>
  <c r="G370" i="1"/>
  <c r="F370" i="1"/>
  <c r="F368" i="1"/>
  <c r="H365" i="1"/>
  <c r="F365" i="1"/>
  <c r="AA363" i="1"/>
  <c r="X363" i="1"/>
  <c r="V363" i="1"/>
  <c r="U363" i="1"/>
  <c r="T363" i="1"/>
  <c r="S363" i="1"/>
  <c r="R363" i="1"/>
  <c r="Q363" i="1"/>
  <c r="O363" i="1"/>
  <c r="N363" i="1"/>
  <c r="K363" i="1"/>
  <c r="J363" i="1"/>
  <c r="I363" i="1"/>
  <c r="H363" i="1"/>
  <c r="G363" i="1"/>
  <c r="F363" i="1"/>
  <c r="E363" i="1"/>
  <c r="D363" i="1"/>
  <c r="C363" i="1"/>
  <c r="AA361" i="1"/>
  <c r="X361" i="1"/>
  <c r="W361" i="1"/>
  <c r="V361" i="1"/>
  <c r="U361" i="1"/>
  <c r="T361" i="1"/>
  <c r="S361" i="1"/>
  <c r="R361" i="1"/>
  <c r="Q361" i="1"/>
  <c r="P361" i="1"/>
  <c r="O361" i="1"/>
  <c r="N361" i="1"/>
  <c r="K361" i="1"/>
  <c r="J361" i="1"/>
  <c r="I361" i="1"/>
  <c r="H361" i="1"/>
  <c r="G361" i="1"/>
  <c r="F361" i="1"/>
  <c r="E361" i="1"/>
  <c r="D361" i="1"/>
  <c r="C361" i="1"/>
  <c r="AA353" i="1"/>
  <c r="X353" i="1"/>
  <c r="V353" i="1"/>
  <c r="U353" i="1"/>
  <c r="T353" i="1"/>
  <c r="S353" i="1"/>
  <c r="R353" i="1"/>
  <c r="Q353" i="1"/>
  <c r="O353" i="1"/>
  <c r="N353" i="1"/>
  <c r="K353" i="1"/>
  <c r="J353" i="1"/>
  <c r="I353" i="1"/>
  <c r="H353" i="1"/>
  <c r="G353" i="1"/>
  <c r="F353" i="1"/>
  <c r="E353" i="1"/>
  <c r="D353" i="1"/>
  <c r="C353" i="1"/>
  <c r="AA351" i="1"/>
  <c r="Y351" i="1"/>
  <c r="X351" i="1"/>
  <c r="W351" i="1"/>
  <c r="V351" i="1"/>
  <c r="U351" i="1"/>
  <c r="T351" i="1"/>
  <c r="S351" i="1"/>
  <c r="R351" i="1"/>
  <c r="Q351" i="1"/>
  <c r="O351" i="1"/>
  <c r="N351" i="1"/>
  <c r="L351" i="1"/>
  <c r="K351" i="1"/>
  <c r="J351" i="1"/>
  <c r="I351" i="1"/>
  <c r="H351" i="1"/>
  <c r="G351" i="1"/>
  <c r="F351" i="1"/>
  <c r="E351" i="1"/>
  <c r="D351" i="1"/>
  <c r="C351" i="1"/>
  <c r="I350" i="1"/>
  <c r="H350" i="1"/>
  <c r="G350" i="1"/>
  <c r="F350" i="1"/>
  <c r="J343" i="1"/>
  <c r="I343" i="1"/>
  <c r="H343" i="1"/>
  <c r="G343" i="1"/>
  <c r="F343" i="1"/>
  <c r="J342" i="1"/>
  <c r="I342" i="1"/>
  <c r="H342" i="1"/>
  <c r="G342" i="1"/>
  <c r="F342" i="1"/>
  <c r="F296" i="1"/>
  <c r="H289" i="1"/>
  <c r="J288" i="1"/>
  <c r="I288" i="1"/>
  <c r="H288" i="1"/>
  <c r="G288" i="1"/>
  <c r="F288" i="1"/>
  <c r="J280" i="1"/>
  <c r="I280" i="1"/>
  <c r="H280" i="1"/>
  <c r="G280" i="1"/>
  <c r="F280" i="1"/>
  <c r="H278" i="1"/>
  <c r="H276" i="1"/>
  <c r="H274" i="1"/>
  <c r="H272" i="1"/>
  <c r="F272" i="1"/>
  <c r="H270" i="1"/>
  <c r="F270" i="1"/>
  <c r="H268" i="1"/>
  <c r="H265" i="1"/>
  <c r="G265" i="1"/>
  <c r="H264" i="1"/>
  <c r="H263" i="1"/>
  <c r="H261" i="1"/>
  <c r="F261" i="1"/>
  <c r="I257" i="1"/>
  <c r="G257" i="1"/>
  <c r="F257" i="1"/>
  <c r="I256" i="1"/>
  <c r="H256" i="1"/>
  <c r="G256" i="1"/>
  <c r="F256" i="1"/>
  <c r="H253" i="1"/>
  <c r="H254" i="1"/>
  <c r="J249" i="1"/>
  <c r="I249" i="1"/>
  <c r="H249" i="1"/>
  <c r="G249" i="1"/>
  <c r="F249" i="1"/>
  <c r="J239" i="1"/>
  <c r="I239" i="1"/>
  <c r="J240" i="1"/>
  <c r="I240" i="1"/>
  <c r="H239" i="1"/>
  <c r="G239" i="1"/>
  <c r="F239" i="1"/>
  <c r="F240" i="1"/>
  <c r="H240" i="1"/>
  <c r="G240" i="1"/>
  <c r="J236" i="1"/>
  <c r="I236" i="1"/>
  <c r="H236" i="1"/>
  <c r="G236" i="1"/>
  <c r="F236" i="1"/>
  <c r="J151" i="1"/>
  <c r="I151" i="1"/>
  <c r="H151" i="1"/>
  <c r="G151" i="1"/>
  <c r="F151" i="1"/>
  <c r="J145" i="1"/>
  <c r="I145" i="1"/>
  <c r="H145" i="1"/>
  <c r="G145" i="1"/>
  <c r="F145" i="1"/>
  <c r="J144" i="1"/>
  <c r="I144" i="1"/>
  <c r="H144" i="1"/>
  <c r="G144" i="1"/>
  <c r="F144" i="1"/>
  <c r="G138" i="1"/>
  <c r="J126" i="1"/>
  <c r="I126" i="1"/>
  <c r="H126" i="1"/>
  <c r="G126" i="1"/>
  <c r="F126" i="1"/>
  <c r="J87" i="1"/>
  <c r="I87" i="1"/>
  <c r="H87" i="1"/>
  <c r="G87" i="1"/>
  <c r="F87" i="1"/>
  <c r="J86" i="1"/>
  <c r="I86" i="1"/>
  <c r="H86" i="1"/>
  <c r="G86" i="1"/>
  <c r="F86" i="1"/>
  <c r="J82" i="1"/>
  <c r="I82" i="1"/>
  <c r="H82" i="1"/>
  <c r="G82" i="1"/>
  <c r="F82" i="1"/>
  <c r="J56" i="1"/>
  <c r="I56" i="1"/>
  <c r="H56" i="1"/>
  <c r="G56" i="1"/>
  <c r="F56" i="1"/>
  <c r="J55" i="1"/>
  <c r="I55" i="1"/>
  <c r="H55" i="1"/>
  <c r="G55" i="1"/>
  <c r="F55" i="1"/>
  <c r="J47" i="1"/>
  <c r="I47" i="1"/>
  <c r="H47" i="1"/>
  <c r="G47" i="1"/>
  <c r="F47" i="1"/>
  <c r="J44" i="1"/>
  <c r="I44" i="1"/>
  <c r="H44" i="1"/>
  <c r="G44" i="1"/>
  <c r="F44" i="1"/>
  <c r="J38" i="1"/>
  <c r="I38" i="1"/>
  <c r="H38" i="1"/>
  <c r="G38" i="1"/>
  <c r="F38" i="1"/>
  <c r="I37" i="1"/>
  <c r="H37" i="1"/>
  <c r="G37" i="1"/>
  <c r="F37" i="1"/>
  <c r="H36" i="1"/>
  <c r="H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8" i="1"/>
  <c r="I28" i="1"/>
  <c r="H28" i="1"/>
  <c r="G28" i="1"/>
  <c r="F28" i="1"/>
  <c r="J25" i="1"/>
  <c r="I25" i="1"/>
  <c r="J24" i="1"/>
  <c r="I24" i="1"/>
  <c r="J23" i="1"/>
  <c r="I23" i="1"/>
  <c r="H23" i="1"/>
  <c r="G23" i="1"/>
  <c r="F23" i="1"/>
  <c r="J22" i="1"/>
  <c r="I22" i="1"/>
  <c r="J20" i="1"/>
  <c r="I20" i="1"/>
  <c r="H19" i="1"/>
  <c r="G19" i="1"/>
  <c r="F19" i="1"/>
  <c r="H20" i="1"/>
  <c r="G20" i="1"/>
  <c r="F20" i="1"/>
  <c r="J19" i="1"/>
  <c r="I19" i="1"/>
  <c r="J18" i="1"/>
  <c r="I18" i="1"/>
  <c r="H18" i="1"/>
  <c r="G18" i="1"/>
  <c r="F18" i="1"/>
  <c r="J17" i="1"/>
  <c r="I17" i="1"/>
  <c r="H17" i="1"/>
  <c r="G17" i="1"/>
  <c r="F17" i="1"/>
  <c r="I8" i="1"/>
  <c r="F8" i="1"/>
  <c r="I5" i="1"/>
  <c r="F5" i="1"/>
  <c r="I4" i="1"/>
  <c r="H4" i="1"/>
  <c r="J3" i="1"/>
  <c r="I3" i="1"/>
  <c r="H3" i="1"/>
  <c r="G3" i="1"/>
  <c r="F3" i="1"/>
  <c r="AA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E474" i="1"/>
  <c r="D474" i="1"/>
  <c r="C474" i="1"/>
  <c r="AA513" i="1"/>
  <c r="Z513" i="1"/>
  <c r="X513" i="1"/>
  <c r="V513" i="1"/>
  <c r="U513" i="1"/>
  <c r="T513" i="1"/>
  <c r="S513" i="1"/>
  <c r="R513" i="1"/>
  <c r="Q513" i="1"/>
  <c r="P513" i="1"/>
  <c r="O513" i="1"/>
  <c r="N513" i="1"/>
  <c r="M513" i="1"/>
  <c r="L513" i="1"/>
  <c r="J513" i="1"/>
  <c r="I513" i="1"/>
  <c r="H513" i="1"/>
  <c r="G513" i="1"/>
  <c r="F513" i="1"/>
  <c r="E513" i="1"/>
  <c r="D513" i="1"/>
  <c r="C513" i="1"/>
  <c r="AB512" i="1"/>
  <c r="V512" i="1"/>
  <c r="U512" i="1"/>
  <c r="T512" i="1"/>
  <c r="S512" i="1"/>
  <c r="R512" i="1"/>
  <c r="Q512" i="1"/>
  <c r="P512" i="1"/>
  <c r="O512" i="1"/>
  <c r="N512" i="1"/>
  <c r="M512" i="1"/>
  <c r="L512" i="1"/>
  <c r="I512" i="1"/>
  <c r="H512" i="1"/>
  <c r="G512" i="1"/>
  <c r="F512" i="1"/>
  <c r="E512" i="1"/>
  <c r="D512" i="1"/>
  <c r="C512" i="1"/>
  <c r="Z511" i="1"/>
  <c r="X511" i="1"/>
  <c r="V511" i="1"/>
  <c r="U511" i="1"/>
  <c r="T511" i="1"/>
  <c r="S511" i="1"/>
  <c r="R511" i="1"/>
  <c r="Q511" i="1"/>
  <c r="P511" i="1"/>
  <c r="O511" i="1"/>
  <c r="N511" i="1"/>
  <c r="M511" i="1"/>
  <c r="L511" i="1"/>
  <c r="E511" i="1"/>
  <c r="D511" i="1"/>
  <c r="C511" i="1"/>
  <c r="AA510" i="1"/>
  <c r="Z510" i="1"/>
  <c r="X510" i="1"/>
  <c r="M510" i="1"/>
  <c r="L510" i="1"/>
  <c r="J510" i="1"/>
  <c r="I510" i="1"/>
  <c r="H510" i="1"/>
  <c r="G510" i="1"/>
  <c r="F510" i="1"/>
  <c r="E510" i="1"/>
  <c r="D510" i="1"/>
  <c r="C510" i="1"/>
  <c r="AB509" i="1"/>
  <c r="Z509" i="1"/>
  <c r="V509" i="1"/>
  <c r="U509" i="1"/>
  <c r="T509" i="1"/>
  <c r="S509" i="1"/>
  <c r="R509" i="1"/>
  <c r="Q509" i="1"/>
  <c r="P509" i="1"/>
  <c r="O509" i="1"/>
  <c r="N509" i="1"/>
  <c r="M509" i="1"/>
  <c r="L509" i="1"/>
  <c r="I509" i="1"/>
  <c r="H509" i="1"/>
  <c r="G509" i="1"/>
  <c r="F509" i="1"/>
  <c r="E509" i="1"/>
  <c r="D509" i="1"/>
  <c r="C509" i="1"/>
  <c r="Z508" i="1"/>
  <c r="X508" i="1"/>
  <c r="V508" i="1"/>
  <c r="U508" i="1"/>
  <c r="T508" i="1"/>
  <c r="S508" i="1"/>
  <c r="R508" i="1"/>
  <c r="Q508" i="1"/>
  <c r="P508" i="1"/>
  <c r="O508" i="1"/>
  <c r="N508" i="1"/>
  <c r="M508" i="1"/>
  <c r="L508" i="1"/>
  <c r="J508" i="1"/>
  <c r="I508" i="1"/>
  <c r="H508" i="1"/>
  <c r="G508" i="1"/>
  <c r="F508" i="1"/>
  <c r="E508" i="1"/>
  <c r="D508" i="1"/>
  <c r="C508" i="1"/>
  <c r="Z507" i="1"/>
  <c r="Y507" i="1"/>
  <c r="X507" i="1"/>
  <c r="V507" i="1"/>
  <c r="U507" i="1"/>
  <c r="T507" i="1"/>
  <c r="S507" i="1"/>
  <c r="R507" i="1"/>
  <c r="Q507" i="1"/>
  <c r="P507" i="1"/>
  <c r="O507" i="1"/>
  <c r="N507" i="1"/>
  <c r="M507" i="1"/>
  <c r="L507" i="1"/>
  <c r="J507" i="1"/>
  <c r="I507" i="1"/>
  <c r="H507" i="1"/>
  <c r="G507" i="1"/>
  <c r="F507" i="1"/>
  <c r="E507" i="1"/>
  <c r="D507" i="1"/>
  <c r="C507" i="1"/>
  <c r="Y506" i="1"/>
  <c r="V506" i="1"/>
  <c r="U506" i="1"/>
  <c r="T506" i="1"/>
  <c r="S506" i="1"/>
  <c r="R506" i="1"/>
  <c r="Q506" i="1"/>
  <c r="P506" i="1"/>
  <c r="O506" i="1"/>
  <c r="N506" i="1"/>
  <c r="M506" i="1"/>
  <c r="L506" i="1"/>
  <c r="E506" i="1"/>
  <c r="D506" i="1"/>
  <c r="C506" i="1"/>
  <c r="Z504" i="1"/>
  <c r="X504" i="1"/>
  <c r="V504" i="1"/>
  <c r="U504" i="1"/>
  <c r="T504" i="1"/>
  <c r="S504" i="1"/>
  <c r="R504" i="1"/>
  <c r="Q504" i="1"/>
  <c r="P504" i="1"/>
  <c r="O504" i="1"/>
  <c r="N504" i="1"/>
  <c r="M504" i="1"/>
  <c r="L504" i="1"/>
  <c r="J504" i="1"/>
  <c r="I504" i="1"/>
  <c r="H504" i="1"/>
  <c r="G504" i="1"/>
  <c r="F504" i="1"/>
  <c r="E504" i="1"/>
  <c r="D504" i="1"/>
  <c r="C504" i="1"/>
  <c r="Z501" i="1"/>
  <c r="Y501" i="1"/>
  <c r="X501" i="1"/>
  <c r="V501" i="1"/>
  <c r="U501" i="1"/>
  <c r="T501" i="1"/>
  <c r="S501" i="1"/>
  <c r="R501" i="1"/>
  <c r="Q501" i="1"/>
  <c r="P501" i="1"/>
  <c r="O501" i="1"/>
  <c r="N501" i="1"/>
  <c r="M501" i="1"/>
  <c r="L501" i="1"/>
  <c r="E501" i="1"/>
  <c r="D501" i="1"/>
  <c r="C501" i="1"/>
  <c r="E500" i="1"/>
  <c r="Z500" i="1"/>
  <c r="V500" i="1"/>
  <c r="U500" i="1"/>
  <c r="T500" i="1"/>
  <c r="S500" i="1"/>
  <c r="R500" i="1"/>
  <c r="Q500" i="1"/>
  <c r="P500" i="1"/>
  <c r="O500" i="1"/>
  <c r="N500" i="1"/>
  <c r="M500" i="1"/>
  <c r="L500" i="1"/>
  <c r="J500" i="1"/>
  <c r="I500" i="1"/>
  <c r="H500" i="1"/>
  <c r="G500" i="1"/>
  <c r="F500" i="1"/>
  <c r="D500" i="1"/>
  <c r="C500" i="1"/>
  <c r="X498" i="1"/>
  <c r="V498" i="1"/>
  <c r="U498" i="1"/>
  <c r="T498" i="1"/>
  <c r="S498" i="1"/>
  <c r="R498" i="1"/>
  <c r="Q498" i="1"/>
  <c r="P498" i="1"/>
  <c r="O498" i="1"/>
  <c r="N498" i="1"/>
  <c r="M498" i="1"/>
  <c r="L498" i="1"/>
  <c r="E498" i="1"/>
  <c r="D498" i="1"/>
  <c r="C498" i="1"/>
  <c r="Q485" i="1"/>
  <c r="AB480" i="1"/>
  <c r="AA480" i="1"/>
  <c r="Z480" i="1"/>
  <c r="Y480" i="1"/>
  <c r="X480" i="1"/>
  <c r="V480" i="1"/>
  <c r="U480" i="1"/>
  <c r="T480" i="1"/>
  <c r="Q480" i="1"/>
  <c r="P480" i="1"/>
  <c r="O480" i="1"/>
  <c r="N480" i="1"/>
  <c r="M480" i="1"/>
  <c r="L480" i="1"/>
  <c r="E480" i="1"/>
  <c r="D480" i="1"/>
  <c r="C480" i="1"/>
  <c r="R480" i="1"/>
  <c r="G480" i="1"/>
  <c r="X470" i="1"/>
  <c r="E469" i="1"/>
  <c r="D469" i="1"/>
  <c r="V465" i="1"/>
  <c r="U465" i="1"/>
  <c r="T465" i="1"/>
  <c r="S465" i="1"/>
  <c r="R465" i="1"/>
  <c r="Q465" i="1"/>
  <c r="P465" i="1"/>
  <c r="O465" i="1"/>
  <c r="L466" i="1"/>
  <c r="N465" i="1"/>
  <c r="M465" i="1"/>
  <c r="L465" i="1"/>
  <c r="E465" i="1"/>
  <c r="D465" i="1"/>
  <c r="C465" i="1"/>
  <c r="N464" i="1"/>
  <c r="V463" i="1"/>
  <c r="U463" i="1"/>
  <c r="T463" i="1"/>
  <c r="S463" i="1"/>
  <c r="R463" i="1"/>
  <c r="Q463" i="1"/>
  <c r="P463" i="1"/>
  <c r="O463" i="1"/>
  <c r="N463" i="1"/>
  <c r="L463" i="1"/>
  <c r="E463" i="1"/>
  <c r="D463" i="1"/>
  <c r="M463" i="1"/>
  <c r="J463" i="1"/>
  <c r="I463" i="1"/>
  <c r="H463" i="1"/>
  <c r="G463" i="1"/>
  <c r="F463" i="1"/>
  <c r="C463" i="1"/>
  <c r="V462" i="1"/>
  <c r="U462" i="1"/>
  <c r="T462" i="1"/>
  <c r="S462" i="1"/>
  <c r="R462" i="1"/>
  <c r="Q462" i="1"/>
  <c r="P462" i="1"/>
  <c r="O462" i="1"/>
  <c r="N462" i="1"/>
  <c r="L462" i="1"/>
  <c r="E462" i="1"/>
  <c r="D462" i="1"/>
  <c r="C462" i="1"/>
  <c r="Z462" i="1"/>
  <c r="M462" i="1"/>
  <c r="AA458" i="1"/>
  <c r="Z458" i="1"/>
  <c r="Y458" i="1"/>
  <c r="X458" i="1"/>
  <c r="V458" i="1"/>
  <c r="T458" i="1"/>
  <c r="S458" i="1"/>
  <c r="R458" i="1"/>
  <c r="Q458" i="1"/>
  <c r="P458" i="1"/>
  <c r="O458" i="1"/>
  <c r="N458" i="1"/>
  <c r="L458" i="1"/>
  <c r="E458" i="1"/>
  <c r="D458" i="1"/>
  <c r="C458" i="1"/>
  <c r="T456" i="1"/>
  <c r="S456" i="1"/>
  <c r="Y451" i="1"/>
  <c r="W451" i="1"/>
  <c r="V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AB447" i="1"/>
  <c r="X447" i="1"/>
  <c r="V447" i="1"/>
  <c r="T447" i="1"/>
  <c r="S447" i="1"/>
  <c r="R447" i="1"/>
  <c r="Q447" i="1"/>
  <c r="P447" i="1"/>
  <c r="O447" i="1"/>
  <c r="N447" i="1"/>
  <c r="L447" i="1"/>
  <c r="C447" i="1"/>
  <c r="Z445" i="1"/>
  <c r="X445" i="1"/>
  <c r="T445" i="1"/>
  <c r="S445" i="1"/>
  <c r="R445" i="1"/>
  <c r="O445" i="1"/>
  <c r="N445" i="1"/>
  <c r="L445" i="1"/>
  <c r="E445" i="1"/>
  <c r="D445" i="1"/>
  <c r="C445" i="1"/>
  <c r="AB444" i="1"/>
  <c r="Z444" i="1"/>
  <c r="X444" i="1"/>
  <c r="T444" i="1"/>
  <c r="R444" i="1"/>
  <c r="Q444" i="1"/>
  <c r="P444" i="1"/>
  <c r="O444" i="1"/>
  <c r="N444" i="1"/>
  <c r="M444" i="1"/>
  <c r="L444" i="1"/>
  <c r="E444" i="1"/>
  <c r="D444" i="1"/>
  <c r="C444" i="1"/>
  <c r="AA443" i="1"/>
  <c r="Z443" i="1"/>
  <c r="V443" i="1"/>
  <c r="U443" i="1"/>
  <c r="T443" i="1"/>
  <c r="S443" i="1"/>
  <c r="R443" i="1"/>
  <c r="Q443" i="1"/>
  <c r="P443" i="1"/>
  <c r="O443" i="1"/>
  <c r="N443" i="1"/>
  <c r="M443" i="1"/>
  <c r="L443" i="1"/>
  <c r="E443" i="1"/>
  <c r="D443" i="1"/>
  <c r="C443" i="1"/>
  <c r="F439" i="1"/>
  <c r="W434" i="1"/>
  <c r="N434" i="1"/>
  <c r="AA430" i="1"/>
  <c r="Y430" i="1"/>
  <c r="X430" i="1"/>
  <c r="W430" i="1"/>
  <c r="V430" i="1"/>
  <c r="U430" i="1"/>
  <c r="T430" i="1"/>
  <c r="S430" i="1"/>
  <c r="R430" i="1"/>
  <c r="Q430" i="1"/>
  <c r="O430" i="1"/>
  <c r="N430" i="1"/>
  <c r="L430" i="1"/>
  <c r="K430" i="1"/>
  <c r="E430" i="1"/>
  <c r="D430" i="1"/>
  <c r="C430" i="1"/>
  <c r="T428" i="1"/>
  <c r="S428" i="1"/>
  <c r="O428" i="1"/>
  <c r="N428" i="1"/>
  <c r="L428" i="1"/>
  <c r="C428" i="1"/>
  <c r="T427" i="1"/>
  <c r="S427" i="1"/>
  <c r="Q427" i="1"/>
  <c r="O427" i="1"/>
  <c r="N427" i="1"/>
  <c r="L427" i="1"/>
  <c r="C427" i="1"/>
  <c r="T426" i="1"/>
  <c r="S426" i="1"/>
  <c r="N426" i="1"/>
  <c r="L426" i="1"/>
  <c r="C426" i="1"/>
  <c r="T425" i="1"/>
  <c r="S425" i="1"/>
  <c r="Q425" i="1"/>
  <c r="N425" i="1"/>
  <c r="L425" i="1"/>
  <c r="C425" i="1"/>
  <c r="T424" i="1"/>
  <c r="S424" i="1"/>
  <c r="N424" i="1"/>
  <c r="L424" i="1"/>
  <c r="C424" i="1"/>
  <c r="P422" i="1"/>
  <c r="O422" i="1"/>
  <c r="U416" i="1"/>
  <c r="T416" i="1"/>
  <c r="S416" i="1"/>
  <c r="Q416" i="1"/>
  <c r="P416" i="1"/>
  <c r="O416" i="1"/>
  <c r="N416" i="1"/>
  <c r="L416" i="1"/>
  <c r="E416" i="1"/>
  <c r="D416" i="1"/>
  <c r="C416" i="1"/>
  <c r="T415" i="1"/>
  <c r="S415" i="1"/>
  <c r="R415" i="1"/>
  <c r="Q415" i="1"/>
  <c r="N415" i="1"/>
  <c r="L415" i="1"/>
  <c r="C415" i="1"/>
  <c r="AB423" i="1"/>
  <c r="X423" i="1"/>
  <c r="T423" i="1"/>
  <c r="S423" i="1"/>
  <c r="Q423" i="1"/>
  <c r="P423" i="1"/>
  <c r="O423" i="1"/>
  <c r="N423" i="1"/>
  <c r="M423" i="1"/>
  <c r="L423" i="1"/>
  <c r="C423" i="1"/>
  <c r="Z411" i="1"/>
  <c r="Z409" i="1"/>
  <c r="Y409" i="1"/>
  <c r="W409" i="1"/>
  <c r="V409" i="1"/>
  <c r="U409" i="1"/>
  <c r="T409" i="1"/>
  <c r="S409" i="1"/>
  <c r="R409" i="1"/>
  <c r="Q409" i="1"/>
  <c r="P409" i="1"/>
  <c r="O409" i="1"/>
  <c r="N409" i="1"/>
  <c r="L409" i="1"/>
  <c r="K409" i="1"/>
  <c r="J409" i="1"/>
  <c r="I409" i="1"/>
  <c r="H409" i="1"/>
  <c r="G409" i="1"/>
  <c r="F409" i="1"/>
  <c r="E409" i="1"/>
  <c r="D409" i="1"/>
  <c r="C409" i="1"/>
  <c r="P408" i="1"/>
  <c r="AA404" i="1"/>
  <c r="Y404" i="1"/>
  <c r="X404" i="1"/>
  <c r="W404" i="1"/>
  <c r="V404" i="1"/>
  <c r="U404" i="1"/>
  <c r="T404" i="1"/>
  <c r="S404" i="1"/>
  <c r="R404" i="1"/>
  <c r="Q404" i="1"/>
  <c r="O404" i="1"/>
  <c r="N404" i="1"/>
  <c r="L404" i="1"/>
  <c r="K404" i="1"/>
  <c r="I404" i="1"/>
  <c r="G404" i="1"/>
  <c r="F404" i="1"/>
  <c r="E404" i="1"/>
  <c r="D404" i="1"/>
  <c r="C404" i="1"/>
  <c r="K397" i="1"/>
  <c r="AA391" i="1"/>
  <c r="V391" i="1"/>
  <c r="U391" i="1"/>
  <c r="T391" i="1"/>
  <c r="S391" i="1"/>
  <c r="R391" i="1"/>
  <c r="Q391" i="1"/>
  <c r="O391" i="1"/>
  <c r="N391" i="1"/>
  <c r="K391" i="1"/>
  <c r="E391" i="1"/>
  <c r="D391" i="1"/>
  <c r="C391" i="1"/>
  <c r="AA390" i="1"/>
  <c r="Y390" i="1"/>
  <c r="X390" i="1"/>
  <c r="V390" i="1"/>
  <c r="U390" i="1"/>
  <c r="T390" i="1"/>
  <c r="S390" i="1"/>
  <c r="R390" i="1"/>
  <c r="Q390" i="1"/>
  <c r="P390" i="1"/>
  <c r="O390" i="1"/>
  <c r="N390" i="1"/>
  <c r="K390" i="1"/>
  <c r="E390" i="1"/>
  <c r="D390" i="1"/>
  <c r="C390" i="1"/>
  <c r="AA389" i="1"/>
  <c r="Y389" i="1"/>
  <c r="X389" i="1"/>
  <c r="V389" i="1"/>
  <c r="U389" i="1"/>
  <c r="T389" i="1"/>
  <c r="S389" i="1"/>
  <c r="R389" i="1"/>
  <c r="Q389" i="1"/>
  <c r="O389" i="1"/>
  <c r="N389" i="1"/>
  <c r="K389" i="1"/>
  <c r="E389" i="1"/>
  <c r="D389" i="1"/>
  <c r="C389" i="1"/>
  <c r="AA388" i="1"/>
  <c r="Y388" i="1"/>
  <c r="X388" i="1"/>
  <c r="V388" i="1"/>
  <c r="U388" i="1"/>
  <c r="T388" i="1"/>
  <c r="S388" i="1"/>
  <c r="R388" i="1"/>
  <c r="Q388" i="1"/>
  <c r="P388" i="1"/>
  <c r="O388" i="1"/>
  <c r="N388" i="1"/>
  <c r="K388" i="1"/>
  <c r="E388" i="1"/>
  <c r="D388" i="1"/>
  <c r="C388" i="1"/>
  <c r="Y387" i="1"/>
  <c r="X387" i="1"/>
  <c r="V387" i="1"/>
  <c r="U387" i="1"/>
  <c r="T387" i="1"/>
  <c r="S387" i="1"/>
  <c r="R387" i="1"/>
  <c r="Q387" i="1"/>
  <c r="P387" i="1"/>
  <c r="O387" i="1"/>
  <c r="N387" i="1"/>
  <c r="K387" i="1"/>
  <c r="E387" i="1"/>
  <c r="D387" i="1"/>
  <c r="C387" i="1"/>
  <c r="AA385" i="1"/>
  <c r="Z385" i="1"/>
  <c r="Y385" i="1"/>
  <c r="X385" i="1"/>
  <c r="V385" i="1"/>
  <c r="U385" i="1"/>
  <c r="T385" i="1"/>
  <c r="S385" i="1"/>
  <c r="R385" i="1"/>
  <c r="Q385" i="1"/>
  <c r="O385" i="1"/>
  <c r="N385" i="1"/>
  <c r="K385" i="1"/>
  <c r="E385" i="1"/>
  <c r="D385" i="1"/>
  <c r="C385" i="1"/>
  <c r="AA384" i="1"/>
  <c r="X384" i="1"/>
  <c r="V384" i="1"/>
  <c r="U384" i="1"/>
  <c r="T384" i="1"/>
  <c r="S384" i="1"/>
  <c r="R384" i="1"/>
  <c r="Q384" i="1"/>
  <c r="O384" i="1"/>
  <c r="N384" i="1"/>
  <c r="K384" i="1"/>
  <c r="E384" i="1"/>
  <c r="D384" i="1"/>
  <c r="C384" i="1"/>
  <c r="AA379" i="1"/>
  <c r="X379" i="1"/>
  <c r="V379" i="1"/>
  <c r="U379" i="1"/>
  <c r="T379" i="1"/>
  <c r="S379" i="1"/>
  <c r="R379" i="1"/>
  <c r="Q379" i="1"/>
  <c r="P379" i="1"/>
  <c r="O379" i="1"/>
  <c r="N379" i="1"/>
  <c r="K379" i="1"/>
  <c r="E379" i="1"/>
  <c r="D379" i="1"/>
  <c r="C379" i="1"/>
  <c r="AA377" i="1"/>
  <c r="Y377" i="1"/>
  <c r="X377" i="1"/>
  <c r="V377" i="1"/>
  <c r="U377" i="1"/>
  <c r="T377" i="1"/>
  <c r="S377" i="1"/>
  <c r="R377" i="1"/>
  <c r="Q377" i="1"/>
  <c r="P377" i="1"/>
  <c r="O377" i="1"/>
  <c r="N377" i="1"/>
  <c r="K377" i="1"/>
  <c r="E377" i="1"/>
  <c r="D377" i="1"/>
  <c r="C377" i="1"/>
  <c r="AA376" i="1"/>
  <c r="Y376" i="1"/>
  <c r="X376" i="1"/>
  <c r="V376" i="1"/>
  <c r="U376" i="1"/>
  <c r="T376" i="1"/>
  <c r="S376" i="1"/>
  <c r="R376" i="1"/>
  <c r="Q376" i="1"/>
  <c r="P376" i="1"/>
  <c r="O376" i="1"/>
  <c r="N376" i="1"/>
  <c r="K376" i="1"/>
  <c r="E376" i="1"/>
  <c r="D376" i="1"/>
  <c r="C376" i="1"/>
  <c r="C373" i="1"/>
  <c r="AA372" i="1"/>
  <c r="Y372" i="1"/>
  <c r="X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E372" i="1"/>
  <c r="D372" i="1"/>
  <c r="C372" i="1"/>
  <c r="AA371" i="1"/>
  <c r="E371" i="1"/>
  <c r="Y371" i="1"/>
  <c r="X371" i="1"/>
  <c r="X373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D371" i="1"/>
  <c r="C371" i="1"/>
  <c r="AA370" i="1"/>
  <c r="Z370" i="1"/>
  <c r="Y370" i="1"/>
  <c r="X370" i="1"/>
  <c r="X380" i="1"/>
  <c r="V370" i="1"/>
  <c r="U370" i="1"/>
  <c r="T370" i="1"/>
  <c r="S370" i="1"/>
  <c r="R370" i="1"/>
  <c r="Q370" i="1"/>
  <c r="P370" i="1"/>
  <c r="O370" i="1"/>
  <c r="N370" i="1"/>
  <c r="M370" i="1"/>
  <c r="K370" i="1"/>
  <c r="E370" i="1"/>
  <c r="D370" i="1"/>
  <c r="C370" i="1"/>
  <c r="Z345" i="1"/>
  <c r="X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X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E344" i="1"/>
  <c r="D344" i="1"/>
  <c r="C344" i="1"/>
  <c r="AA343" i="1"/>
  <c r="X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E343" i="1"/>
  <c r="D343" i="1"/>
  <c r="C343" i="1"/>
  <c r="Y335" i="1"/>
  <c r="E308" i="1"/>
  <c r="E306" i="1"/>
  <c r="D306" i="1"/>
  <c r="AA305" i="1"/>
  <c r="D303" i="1"/>
  <c r="AA302" i="1"/>
  <c r="AA300" i="1"/>
  <c r="AA299" i="1"/>
  <c r="D299" i="1"/>
  <c r="E298" i="1"/>
  <c r="D298" i="1"/>
  <c r="V297" i="1"/>
  <c r="N297" i="1"/>
  <c r="E297" i="1"/>
  <c r="D297" i="1"/>
  <c r="E296" i="1"/>
  <c r="C294" i="1"/>
  <c r="AA291" i="1"/>
  <c r="E291" i="1"/>
  <c r="D291" i="1"/>
  <c r="AA290" i="1"/>
  <c r="AA288" i="1"/>
  <c r="Y288" i="1"/>
  <c r="X288" i="1"/>
  <c r="V288" i="1"/>
  <c r="U288" i="1"/>
  <c r="T288" i="1"/>
  <c r="S288" i="1"/>
  <c r="R288" i="1"/>
  <c r="Q288" i="1"/>
  <c r="P288" i="1"/>
  <c r="O288" i="1"/>
  <c r="N288" i="1"/>
  <c r="L288" i="1"/>
  <c r="K288" i="1"/>
  <c r="E288" i="1"/>
  <c r="D288" i="1"/>
  <c r="C288" i="1"/>
  <c r="E286" i="1"/>
  <c r="AA285" i="1"/>
  <c r="E285" i="1"/>
  <c r="AA284" i="1"/>
  <c r="E284" i="1"/>
  <c r="D284" i="1"/>
  <c r="Q283" i="1"/>
  <c r="AA283" i="1"/>
  <c r="Y283" i="1"/>
  <c r="X283" i="1"/>
  <c r="V283" i="1"/>
  <c r="T283" i="1"/>
  <c r="S283" i="1"/>
  <c r="R283" i="1"/>
  <c r="P283" i="1"/>
  <c r="O283" i="1"/>
  <c r="N283" i="1"/>
  <c r="M283" i="1"/>
  <c r="L283" i="1"/>
  <c r="K283" i="1"/>
  <c r="I283" i="1"/>
  <c r="H283" i="1"/>
  <c r="G283" i="1"/>
  <c r="F283" i="1"/>
  <c r="E283" i="1"/>
  <c r="D283" i="1"/>
  <c r="C283" i="1"/>
  <c r="L282" i="1"/>
  <c r="Z282" i="1"/>
  <c r="Y282" i="1"/>
  <c r="X282" i="1"/>
  <c r="T282" i="1"/>
  <c r="S282" i="1"/>
  <c r="Q282" i="1"/>
  <c r="O282" i="1"/>
  <c r="N282" i="1"/>
  <c r="I282" i="1"/>
  <c r="H282" i="1"/>
  <c r="G282" i="1"/>
  <c r="F282" i="1"/>
  <c r="E282" i="1"/>
  <c r="D282" i="1"/>
  <c r="C282" i="1"/>
  <c r="P280" i="1"/>
  <c r="K280" i="1"/>
  <c r="E280" i="1"/>
  <c r="P277" i="1"/>
  <c r="D277" i="1"/>
  <c r="W268" i="1"/>
  <c r="P263" i="1"/>
  <c r="AA257" i="1"/>
  <c r="Y257" i="1"/>
  <c r="X257" i="1"/>
  <c r="V257" i="1"/>
  <c r="U257" i="1"/>
  <c r="T257" i="1"/>
  <c r="S257" i="1"/>
  <c r="R257" i="1"/>
  <c r="Q257" i="1"/>
  <c r="P257" i="1"/>
  <c r="O257" i="1"/>
  <c r="N257" i="1"/>
  <c r="K257" i="1"/>
  <c r="E257" i="1"/>
  <c r="D257" i="1"/>
  <c r="C257" i="1"/>
  <c r="W256" i="1"/>
  <c r="V256" i="1"/>
  <c r="U256" i="1"/>
  <c r="T256" i="1"/>
  <c r="S256" i="1"/>
  <c r="R256" i="1"/>
  <c r="Q256" i="1"/>
  <c r="P256" i="1"/>
  <c r="O256" i="1"/>
  <c r="N256" i="1"/>
  <c r="K256" i="1"/>
  <c r="E256" i="1"/>
  <c r="D256" i="1"/>
  <c r="C256" i="1"/>
  <c r="Y249" i="1"/>
  <c r="X249" i="1"/>
  <c r="W249" i="1"/>
  <c r="V249" i="1"/>
  <c r="V252" i="1"/>
  <c r="U249" i="1"/>
  <c r="T249" i="1"/>
  <c r="S249" i="1"/>
  <c r="R249" i="1"/>
  <c r="Q249" i="1"/>
  <c r="O249" i="1"/>
  <c r="N249" i="1"/>
  <c r="K249" i="1"/>
  <c r="K248" i="1"/>
  <c r="E249" i="1"/>
  <c r="D249" i="1"/>
  <c r="C249" i="1"/>
  <c r="AA248" i="1"/>
  <c r="C239" i="1"/>
  <c r="E239" i="1"/>
  <c r="N239" i="1"/>
  <c r="Q239" i="1"/>
  <c r="W236" i="1"/>
  <c r="U236" i="1"/>
  <c r="T236" i="1"/>
  <c r="S236" i="1"/>
  <c r="Q236" i="1"/>
  <c r="O236" i="1"/>
  <c r="N236" i="1"/>
  <c r="K236" i="1"/>
  <c r="E236" i="1"/>
  <c r="D236" i="1"/>
  <c r="C236" i="1"/>
  <c r="L231" i="1"/>
  <c r="Z229" i="1"/>
  <c r="U229" i="1"/>
  <c r="T229" i="1"/>
  <c r="R229" i="1"/>
  <c r="Q229" i="1"/>
  <c r="P229" i="1"/>
  <c r="O229" i="1"/>
  <c r="N229" i="1"/>
  <c r="M229" i="1"/>
  <c r="L229" i="1"/>
  <c r="E229" i="1"/>
  <c r="D229" i="1"/>
  <c r="C229" i="1"/>
  <c r="P227" i="1"/>
  <c r="L227" i="1"/>
  <c r="AB225" i="1"/>
  <c r="Z225" i="1"/>
  <c r="Y225" i="1"/>
  <c r="X225" i="1"/>
  <c r="U225" i="1"/>
  <c r="T225" i="1"/>
  <c r="R225" i="1"/>
  <c r="Q225" i="1"/>
  <c r="P225" i="1"/>
  <c r="O225" i="1"/>
  <c r="N225" i="1"/>
  <c r="M225" i="1"/>
  <c r="L225" i="1"/>
  <c r="E225" i="1"/>
  <c r="D225" i="1"/>
  <c r="C225" i="1"/>
  <c r="AB224" i="1"/>
  <c r="Z224" i="1"/>
  <c r="X224" i="1"/>
  <c r="V224" i="1"/>
  <c r="U224" i="1"/>
  <c r="T224" i="1"/>
  <c r="R224" i="1"/>
  <c r="Q224" i="1"/>
  <c r="P224" i="1"/>
  <c r="O224" i="1"/>
  <c r="N224" i="1"/>
  <c r="M224" i="1"/>
  <c r="L224" i="1"/>
  <c r="J224" i="1"/>
  <c r="I224" i="1"/>
  <c r="G224" i="1"/>
  <c r="F224" i="1"/>
  <c r="E224" i="1"/>
  <c r="D224" i="1"/>
  <c r="C224" i="1"/>
  <c r="AB168" i="1"/>
  <c r="AB165" i="1"/>
  <c r="Z165" i="1"/>
  <c r="X165" i="1"/>
  <c r="V165" i="1"/>
  <c r="U165" i="1"/>
  <c r="T165" i="1"/>
  <c r="S165" i="1"/>
  <c r="R165" i="1"/>
  <c r="Q165" i="1"/>
  <c r="Q166" i="1"/>
  <c r="P165" i="1"/>
  <c r="N166" i="1"/>
  <c r="O165" i="1"/>
  <c r="N165" i="1"/>
  <c r="M165" i="1"/>
  <c r="L165" i="1"/>
  <c r="D165" i="1"/>
  <c r="C165" i="1"/>
  <c r="E165" i="1"/>
  <c r="E163" i="1"/>
  <c r="AB161" i="1"/>
  <c r="AB159" i="1"/>
  <c r="Z159" i="1"/>
  <c r="X159" i="1"/>
  <c r="V159" i="1"/>
  <c r="U159" i="1"/>
  <c r="T159" i="1"/>
  <c r="R159" i="1"/>
  <c r="Q159" i="1"/>
  <c r="P159" i="1"/>
  <c r="O159" i="1"/>
  <c r="N159" i="1"/>
  <c r="M159" i="1"/>
  <c r="L159" i="1"/>
  <c r="E159" i="1"/>
  <c r="D159" i="1"/>
  <c r="C159" i="1"/>
  <c r="L154" i="1"/>
  <c r="AB154" i="1"/>
  <c r="D154" i="1"/>
  <c r="Z154" i="1"/>
  <c r="Y154" i="1"/>
  <c r="V154" i="1"/>
  <c r="U154" i="1"/>
  <c r="T154" i="1"/>
  <c r="S154" i="1"/>
  <c r="R154" i="1"/>
  <c r="Q154" i="1"/>
  <c r="P154" i="1"/>
  <c r="O154" i="1"/>
  <c r="N154" i="1"/>
  <c r="M154" i="1"/>
  <c r="C154" i="1"/>
  <c r="P148" i="1"/>
  <c r="C155" i="1"/>
  <c r="AB144" i="1"/>
  <c r="AB143" i="1"/>
  <c r="AB142" i="1"/>
  <c r="D141" i="1"/>
  <c r="C142" i="1"/>
  <c r="D140" i="1"/>
  <c r="AA136" i="1"/>
  <c r="AB126" i="1"/>
  <c r="Y126" i="1"/>
  <c r="X126" i="1"/>
  <c r="V126" i="1"/>
  <c r="U126" i="1"/>
  <c r="T126" i="1"/>
  <c r="S126" i="1"/>
  <c r="R126" i="1"/>
  <c r="Q126" i="1"/>
  <c r="P126" i="1"/>
  <c r="O126" i="1"/>
  <c r="N126" i="1"/>
  <c r="M126" i="1"/>
  <c r="L126" i="1"/>
  <c r="E126" i="1"/>
  <c r="D126" i="1"/>
  <c r="C126" i="1"/>
  <c r="AB115" i="1"/>
  <c r="Z115" i="1"/>
  <c r="Y115" i="1"/>
  <c r="V115" i="1"/>
  <c r="U115" i="1"/>
  <c r="T115" i="1"/>
  <c r="S115" i="1"/>
  <c r="R115" i="1"/>
  <c r="Q115" i="1"/>
  <c r="P115" i="1"/>
  <c r="O115" i="1"/>
  <c r="N115" i="1"/>
  <c r="M115" i="1"/>
  <c r="L115" i="1"/>
  <c r="E115" i="1"/>
  <c r="D115" i="1"/>
  <c r="C115" i="1"/>
  <c r="AB109" i="1"/>
  <c r="N105" i="1"/>
  <c r="E105" i="1"/>
  <c r="AA87" i="1"/>
  <c r="Z87" i="1"/>
  <c r="X87" i="1"/>
  <c r="V87" i="1"/>
  <c r="U87" i="1"/>
  <c r="T87" i="1"/>
  <c r="S87" i="1"/>
  <c r="R87" i="1"/>
  <c r="Q87" i="1"/>
  <c r="P87" i="1"/>
  <c r="O87" i="1"/>
  <c r="O86" i="1"/>
  <c r="N87" i="1"/>
  <c r="M87" i="1"/>
  <c r="L87" i="1"/>
  <c r="E87" i="1"/>
  <c r="D87" i="1"/>
  <c r="C87" i="1"/>
  <c r="AA82" i="1"/>
  <c r="Z82" i="1"/>
  <c r="X82" i="1"/>
  <c r="V82" i="1"/>
  <c r="U82" i="1"/>
  <c r="T82" i="1"/>
  <c r="S82" i="1"/>
  <c r="R82" i="1"/>
  <c r="Q82" i="1"/>
  <c r="P82" i="1"/>
  <c r="O82" i="1"/>
  <c r="N82" i="1"/>
  <c r="M82" i="1"/>
  <c r="L82" i="1"/>
  <c r="E82" i="1"/>
  <c r="D82" i="1"/>
  <c r="C82" i="1"/>
  <c r="Z61" i="1"/>
  <c r="X57" i="1"/>
  <c r="V57" i="1"/>
  <c r="U57" i="1"/>
  <c r="T57" i="1"/>
  <c r="S57" i="1"/>
  <c r="Q57" i="1"/>
  <c r="O57" i="1"/>
  <c r="N57" i="1"/>
  <c r="M57" i="1"/>
  <c r="L57" i="1"/>
  <c r="E57" i="1"/>
  <c r="D57" i="1"/>
  <c r="C57" i="1"/>
  <c r="X56" i="1"/>
  <c r="V56" i="1"/>
  <c r="U56" i="1"/>
  <c r="T56" i="1"/>
  <c r="S56" i="1"/>
  <c r="R56" i="1"/>
  <c r="Q56" i="1"/>
  <c r="P56" i="1"/>
  <c r="O56" i="1"/>
  <c r="N56" i="1"/>
  <c r="M56" i="1"/>
  <c r="L56" i="1"/>
  <c r="E56" i="1"/>
  <c r="D56" i="1"/>
  <c r="C56" i="1"/>
  <c r="X55" i="1"/>
  <c r="V55" i="1"/>
  <c r="U55" i="1"/>
  <c r="T55" i="1"/>
  <c r="S55" i="1"/>
  <c r="R55" i="1"/>
  <c r="Q55" i="1"/>
  <c r="P55" i="1"/>
  <c r="O55" i="1"/>
  <c r="N55" i="1"/>
  <c r="M55" i="1"/>
  <c r="L55" i="1"/>
  <c r="E55" i="1"/>
  <c r="D55" i="1"/>
  <c r="C55" i="1"/>
  <c r="P52" i="1"/>
  <c r="C52" i="1"/>
  <c r="L50" i="1"/>
  <c r="P49" i="1"/>
  <c r="V47" i="1"/>
  <c r="U47" i="1"/>
  <c r="T47" i="1"/>
  <c r="S47" i="1"/>
  <c r="R47" i="1"/>
  <c r="Q47" i="1"/>
  <c r="P47" i="1"/>
  <c r="O47" i="1"/>
  <c r="N47" i="1"/>
  <c r="M47" i="1"/>
  <c r="L47" i="1"/>
  <c r="E47" i="1"/>
  <c r="D47" i="1"/>
  <c r="C47" i="1"/>
  <c r="Z44" i="1"/>
  <c r="X44" i="1"/>
  <c r="V44" i="1"/>
  <c r="U44" i="1"/>
  <c r="T44" i="1"/>
  <c r="S44" i="1"/>
  <c r="R44" i="1"/>
  <c r="Q44" i="1"/>
  <c r="P44" i="1"/>
  <c r="O44" i="1"/>
  <c r="N44" i="1"/>
  <c r="M44" i="1"/>
  <c r="L44" i="1"/>
  <c r="E44" i="1"/>
  <c r="D44" i="1"/>
  <c r="C44" i="1"/>
  <c r="AA43" i="1"/>
  <c r="X43" i="1"/>
  <c r="V43" i="1"/>
  <c r="U43" i="1"/>
  <c r="T43" i="1"/>
  <c r="R43" i="1"/>
  <c r="Q43" i="1"/>
  <c r="O43" i="1"/>
  <c r="N43" i="1"/>
  <c r="M51" i="1"/>
  <c r="M43" i="1"/>
  <c r="L43" i="1"/>
  <c r="E43" i="1"/>
  <c r="D43" i="1"/>
  <c r="C43" i="1"/>
  <c r="M42" i="1"/>
  <c r="L42" i="1"/>
  <c r="D42" i="1"/>
  <c r="C42" i="1"/>
  <c r="X38" i="1"/>
  <c r="V38" i="1"/>
  <c r="U38" i="1"/>
  <c r="T38" i="1"/>
  <c r="S38" i="1"/>
  <c r="R38" i="1"/>
  <c r="Q38" i="1"/>
  <c r="P38" i="1"/>
  <c r="O38" i="1"/>
  <c r="N38" i="1"/>
  <c r="M38" i="1"/>
  <c r="L38" i="1"/>
  <c r="E38" i="1"/>
  <c r="D38" i="1"/>
  <c r="C38" i="1"/>
  <c r="AA37" i="1"/>
  <c r="X37" i="1"/>
  <c r="V37" i="1"/>
  <c r="U37" i="1"/>
  <c r="T37" i="1"/>
  <c r="S37" i="1"/>
  <c r="R37" i="1"/>
  <c r="Q37" i="1"/>
  <c r="P37" i="1"/>
  <c r="O37" i="1"/>
  <c r="N37" i="1"/>
  <c r="M37" i="1"/>
  <c r="L37" i="1"/>
  <c r="E37" i="1"/>
  <c r="D37" i="1"/>
  <c r="C37" i="1"/>
  <c r="C34" i="1"/>
  <c r="Y27" i="1"/>
  <c r="AB31" i="1"/>
  <c r="AA31" i="1"/>
  <c r="Z31" i="1"/>
  <c r="X31" i="1"/>
  <c r="V31" i="1"/>
  <c r="T31" i="1"/>
  <c r="S31" i="1"/>
  <c r="R31" i="1"/>
  <c r="Q31" i="1"/>
  <c r="P31" i="1"/>
  <c r="O31" i="1"/>
  <c r="N31" i="1"/>
  <c r="M31" i="1"/>
  <c r="L31" i="1"/>
  <c r="D31" i="1"/>
  <c r="C31" i="1"/>
  <c r="X30" i="1"/>
  <c r="V30" i="1"/>
  <c r="U30" i="1"/>
  <c r="T30" i="1"/>
  <c r="S30" i="1"/>
  <c r="R30" i="1"/>
  <c r="Q30" i="1"/>
  <c r="P30" i="1"/>
  <c r="O30" i="1"/>
  <c r="N30" i="1"/>
  <c r="M30" i="1"/>
  <c r="L30" i="1"/>
  <c r="E30" i="1"/>
  <c r="D30" i="1"/>
  <c r="C30" i="1"/>
  <c r="AB29" i="1"/>
  <c r="Z29" i="1"/>
  <c r="X29" i="1"/>
  <c r="V29" i="1"/>
  <c r="U29" i="1"/>
  <c r="T29" i="1"/>
  <c r="S29" i="1"/>
  <c r="R29" i="1"/>
  <c r="Q29" i="1"/>
  <c r="P29" i="1"/>
  <c r="O29" i="1"/>
  <c r="N29" i="1"/>
  <c r="M29" i="1"/>
  <c r="L29" i="1"/>
  <c r="E29" i="1"/>
  <c r="D29" i="1"/>
  <c r="C29" i="1"/>
  <c r="Z28" i="1"/>
  <c r="X28" i="1"/>
  <c r="V28" i="1"/>
  <c r="U28" i="1"/>
  <c r="T28" i="1"/>
  <c r="S28" i="1"/>
  <c r="R28" i="1"/>
  <c r="Q28" i="1"/>
  <c r="P28" i="1"/>
  <c r="O28" i="1"/>
  <c r="N28" i="1"/>
  <c r="M28" i="1"/>
  <c r="L28" i="1"/>
  <c r="E28" i="1"/>
  <c r="D28" i="1"/>
  <c r="C28" i="1"/>
  <c r="V25" i="1"/>
  <c r="R24" i="1"/>
  <c r="Z23" i="1"/>
  <c r="X23" i="1"/>
  <c r="V23" i="1"/>
  <c r="U23" i="1"/>
  <c r="T23" i="1"/>
  <c r="S23" i="1"/>
  <c r="R23" i="1"/>
  <c r="Q23" i="1"/>
  <c r="O23" i="1"/>
  <c r="N23" i="1"/>
  <c r="M23" i="1"/>
  <c r="L23" i="1"/>
  <c r="E23" i="1"/>
  <c r="D23" i="1"/>
  <c r="C23" i="1"/>
  <c r="E21" i="1"/>
  <c r="E10" i="1"/>
  <c r="E3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E20" i="1"/>
  <c r="D20" i="1"/>
  <c r="C20" i="1"/>
  <c r="Y19" i="1"/>
  <c r="X19" i="1"/>
  <c r="V19" i="1"/>
  <c r="U19" i="1"/>
  <c r="T19" i="1"/>
  <c r="S19" i="1"/>
  <c r="R19" i="1"/>
  <c r="Q19" i="1"/>
  <c r="P19" i="1"/>
  <c r="O19" i="1"/>
  <c r="N19" i="1"/>
  <c r="M19" i="1"/>
  <c r="L19" i="1"/>
  <c r="K19" i="1"/>
  <c r="E19" i="1"/>
  <c r="D19" i="1"/>
  <c r="C19" i="1"/>
  <c r="Z18" i="1"/>
  <c r="Y18" i="1"/>
  <c r="V18" i="1"/>
  <c r="U18" i="1"/>
  <c r="T18" i="1"/>
  <c r="S18" i="1"/>
  <c r="R18" i="1"/>
  <c r="Q18" i="1"/>
  <c r="P18" i="1"/>
  <c r="O18" i="1"/>
  <c r="N18" i="1"/>
  <c r="M18" i="1"/>
  <c r="L18" i="1"/>
  <c r="K18" i="1"/>
  <c r="E18" i="1"/>
  <c r="D18" i="1"/>
  <c r="C18" i="1"/>
  <c r="Y17" i="1"/>
  <c r="X17" i="1"/>
  <c r="V17" i="1"/>
  <c r="U17" i="1"/>
  <c r="T17" i="1"/>
  <c r="S17" i="1"/>
  <c r="R17" i="1"/>
  <c r="Q17" i="1"/>
  <c r="P17" i="1"/>
  <c r="O17" i="1"/>
  <c r="N17" i="1"/>
  <c r="M17" i="1"/>
  <c r="L17" i="1"/>
  <c r="K17" i="1"/>
  <c r="E17" i="1"/>
  <c r="D17" i="1"/>
  <c r="C17" i="1"/>
  <c r="E13" i="1"/>
  <c r="AA11" i="1"/>
  <c r="E11" i="1"/>
  <c r="D11" i="1"/>
  <c r="AA10" i="1"/>
  <c r="L10" i="1"/>
  <c r="AB151" i="1"/>
  <c r="Z151" i="1"/>
  <c r="Z144" i="1"/>
  <c r="V151" i="1"/>
  <c r="U151" i="1"/>
  <c r="T151" i="1"/>
  <c r="S151" i="1"/>
  <c r="R151" i="1"/>
  <c r="Q151" i="1"/>
  <c r="P151" i="1"/>
  <c r="O151" i="1"/>
  <c r="N151" i="1"/>
  <c r="M151" i="1"/>
  <c r="N143" i="1"/>
  <c r="L151" i="1"/>
  <c r="E151" i="1"/>
  <c r="D151" i="1"/>
  <c r="C151" i="1"/>
  <c r="AA8" i="1"/>
  <c r="P4" i="1"/>
  <c r="P3" i="1"/>
  <c r="P149" i="1"/>
  <c r="Z476" i="1"/>
  <c r="X476" i="1"/>
  <c r="AB118" i="1"/>
  <c r="Z118" i="1"/>
  <c r="Y118" i="1"/>
  <c r="X118" i="1"/>
  <c r="V118" i="1"/>
  <c r="U118" i="1"/>
  <c r="T118" i="1"/>
  <c r="S118" i="1"/>
  <c r="R118" i="1"/>
  <c r="Q118" i="1"/>
  <c r="P118" i="1"/>
  <c r="O118" i="1"/>
  <c r="N118" i="1"/>
  <c r="M118" i="1"/>
  <c r="L118" i="1"/>
  <c r="E118" i="1"/>
  <c r="D118" i="1"/>
  <c r="C118" i="1"/>
  <c r="AB105" i="1"/>
  <c r="Z105" i="1"/>
  <c r="Y105" i="1"/>
  <c r="X105" i="1"/>
  <c r="V105" i="1"/>
  <c r="U105" i="1"/>
  <c r="T105" i="1"/>
  <c r="S105" i="1"/>
  <c r="R105" i="1"/>
  <c r="Q105" i="1"/>
  <c r="P105" i="1"/>
  <c r="O105" i="1"/>
  <c r="M105" i="1"/>
  <c r="L105" i="1"/>
  <c r="D105" i="1"/>
  <c r="C105" i="1"/>
  <c r="P369" i="1"/>
  <c r="E369" i="1"/>
  <c r="D369" i="1"/>
  <c r="W368" i="1"/>
  <c r="D368" i="1"/>
  <c r="P367" i="1"/>
  <c r="E367" i="1"/>
  <c r="D367" i="1"/>
  <c r="W366" i="1"/>
  <c r="E366" i="1"/>
  <c r="D366" i="1"/>
  <c r="C366" i="1"/>
  <c r="AA365" i="1"/>
  <c r="N365" i="1"/>
  <c r="E365" i="1"/>
  <c r="C365" i="1"/>
  <c r="P364" i="1"/>
  <c r="D364" i="1"/>
  <c r="C364" i="1"/>
  <c r="P362" i="1"/>
  <c r="E362" i="1"/>
  <c r="D362" i="1"/>
  <c r="C362" i="1"/>
  <c r="P360" i="1"/>
  <c r="E360" i="1"/>
  <c r="D360" i="1"/>
  <c r="AA359" i="1"/>
  <c r="N359" i="1"/>
  <c r="E359" i="1"/>
  <c r="C359" i="1"/>
  <c r="E358" i="1"/>
  <c r="C358" i="1"/>
  <c r="P357" i="1"/>
  <c r="E357" i="1"/>
  <c r="D357" i="1"/>
  <c r="AA356" i="1"/>
  <c r="W356" i="1"/>
  <c r="T356" i="1"/>
  <c r="P356" i="1"/>
  <c r="N356" i="1"/>
  <c r="L356" i="1"/>
  <c r="E356" i="1"/>
  <c r="D356" i="1"/>
  <c r="P355" i="1"/>
  <c r="E355" i="1"/>
  <c r="D355" i="1"/>
  <c r="P354" i="1"/>
  <c r="E354" i="1"/>
  <c r="D354" i="1"/>
  <c r="P352" i="1"/>
  <c r="E352" i="1"/>
  <c r="D352" i="1"/>
  <c r="P350" i="1"/>
  <c r="N350" i="1"/>
  <c r="L350" i="1"/>
  <c r="E350" i="1"/>
  <c r="D350" i="1"/>
  <c r="C350" i="1"/>
  <c r="P349" i="1"/>
  <c r="E349" i="1"/>
  <c r="D349" i="1"/>
  <c r="Y348" i="1"/>
  <c r="W348" i="1"/>
  <c r="P348" i="1"/>
  <c r="E348" i="1"/>
  <c r="D348" i="1"/>
  <c r="C348" i="1"/>
  <c r="AA347" i="1"/>
  <c r="W347" i="1"/>
  <c r="P347" i="1"/>
  <c r="E347" i="1"/>
  <c r="D347" i="1"/>
  <c r="P346" i="1"/>
  <c r="E346" i="1"/>
  <c r="D346" i="1"/>
  <c r="AA342" i="1"/>
  <c r="Y342" i="1"/>
  <c r="T342" i="1"/>
  <c r="R342" i="1"/>
  <c r="Q342" i="1"/>
  <c r="P342" i="1"/>
  <c r="N342" i="1"/>
  <c r="E342" i="1"/>
  <c r="D342" i="1"/>
  <c r="C342" i="1"/>
  <c r="P341" i="1"/>
  <c r="E341" i="1"/>
  <c r="D341" i="1"/>
  <c r="AA340" i="1"/>
  <c r="E340" i="1"/>
  <c r="D340" i="1"/>
  <c r="AA339" i="1"/>
  <c r="P339" i="1"/>
  <c r="E339" i="1"/>
  <c r="D339" i="1"/>
  <c r="AA337" i="1"/>
  <c r="E337" i="1"/>
  <c r="D337" i="1"/>
  <c r="AA336" i="1"/>
  <c r="E336" i="1"/>
  <c r="D336" i="1"/>
  <c r="C336" i="1"/>
  <c r="AA335" i="1"/>
  <c r="D335" i="1"/>
  <c r="AA334" i="1"/>
  <c r="P334" i="1"/>
  <c r="E334" i="1"/>
  <c r="D334" i="1"/>
  <c r="C334" i="1"/>
  <c r="AA333" i="1"/>
  <c r="P333" i="1"/>
  <c r="E333" i="1"/>
  <c r="D333" i="1"/>
  <c r="E332" i="1"/>
  <c r="C332" i="1"/>
  <c r="AA331" i="1"/>
  <c r="E331" i="1"/>
  <c r="D331" i="1"/>
  <c r="AA330" i="1"/>
  <c r="E330" i="1"/>
  <c r="D330" i="1"/>
  <c r="C330" i="1"/>
  <c r="E329" i="1"/>
  <c r="D329" i="1"/>
  <c r="C329" i="1"/>
  <c r="E328" i="1"/>
  <c r="D328" i="1"/>
  <c r="P327" i="1"/>
  <c r="E327" i="1"/>
  <c r="D327" i="1"/>
  <c r="AA326" i="1"/>
  <c r="P326" i="1"/>
  <c r="E326" i="1"/>
  <c r="D326" i="1"/>
  <c r="AA325" i="1"/>
  <c r="AA324" i="1"/>
  <c r="D324" i="1"/>
  <c r="AA323" i="1"/>
  <c r="P323" i="1"/>
  <c r="E323" i="1"/>
  <c r="D323" i="1"/>
  <c r="AA322" i="1"/>
  <c r="P322" i="1"/>
  <c r="E322" i="1"/>
  <c r="D322" i="1"/>
  <c r="C322" i="1"/>
  <c r="E321" i="1"/>
  <c r="D321" i="1"/>
  <c r="E320" i="1"/>
  <c r="D320" i="1"/>
  <c r="C320" i="1"/>
  <c r="AA319" i="1"/>
  <c r="E319" i="1"/>
  <c r="D319" i="1"/>
  <c r="AA318" i="1"/>
  <c r="D318" i="1"/>
  <c r="E317" i="1"/>
  <c r="E316" i="1"/>
  <c r="D316" i="1"/>
  <c r="AA315" i="1"/>
  <c r="P315" i="1"/>
  <c r="E315" i="1"/>
  <c r="D315" i="1"/>
  <c r="AA314" i="1"/>
  <c r="P314" i="1"/>
  <c r="E314" i="1"/>
  <c r="D314" i="1"/>
  <c r="C314" i="1"/>
  <c r="P313" i="1"/>
  <c r="L313" i="1"/>
  <c r="D313" i="1"/>
  <c r="T312" i="1"/>
  <c r="P312" i="1"/>
  <c r="L312" i="1"/>
  <c r="E312" i="1"/>
  <c r="D312" i="1"/>
  <c r="C312" i="1"/>
  <c r="AA311" i="1"/>
  <c r="E311" i="1"/>
  <c r="D311" i="1"/>
  <c r="AA310" i="1"/>
  <c r="E309" i="1"/>
  <c r="D309" i="1"/>
  <c r="C309" i="1"/>
  <c r="D308" i="1"/>
  <c r="E307" i="1"/>
  <c r="D307" i="1"/>
  <c r="C306" i="1"/>
  <c r="E305" i="1"/>
  <c r="D305" i="1"/>
  <c r="C305" i="1"/>
  <c r="AA304" i="1"/>
  <c r="E304" i="1"/>
  <c r="D304" i="1"/>
  <c r="AA303" i="1"/>
  <c r="E303" i="1"/>
  <c r="AA301" i="1"/>
  <c r="E301" i="1"/>
  <c r="D301" i="1"/>
  <c r="D365" i="1"/>
  <c r="P300" i="1"/>
  <c r="E300" i="1"/>
  <c r="D300" i="1"/>
  <c r="P299" i="1"/>
  <c r="E299" i="1"/>
  <c r="C299" i="1"/>
  <c r="AA298" i="1"/>
  <c r="AA297" i="1"/>
  <c r="T296" i="1"/>
  <c r="P296" i="1"/>
  <c r="D296" i="1"/>
  <c r="AA295" i="1"/>
  <c r="P295" i="1"/>
  <c r="D295" i="1"/>
  <c r="AA294" i="1"/>
  <c r="E294" i="1"/>
  <c r="AA293" i="1"/>
  <c r="D293" i="1"/>
  <c r="C293" i="1"/>
  <c r="AA292" i="1"/>
  <c r="P292" i="1"/>
  <c r="D292" i="1"/>
  <c r="P291" i="1"/>
  <c r="P290" i="1"/>
  <c r="E290" i="1"/>
  <c r="D290" i="1"/>
  <c r="P289" i="1"/>
  <c r="L289" i="1"/>
  <c r="E289" i="1"/>
  <c r="D289" i="1"/>
  <c r="AA287" i="1"/>
  <c r="E287" i="1"/>
  <c r="D287" i="1"/>
  <c r="AA286" i="1"/>
  <c r="D286" i="1"/>
  <c r="D285" i="1"/>
  <c r="P284" i="1"/>
  <c r="K279" i="1"/>
  <c r="E279" i="1"/>
  <c r="D279" i="1"/>
  <c r="P278" i="1"/>
  <c r="E278" i="1"/>
  <c r="D278" i="1"/>
  <c r="X277" i="1"/>
  <c r="K277" i="1"/>
  <c r="AA276" i="1"/>
  <c r="P276" i="1"/>
  <c r="D276" i="1"/>
  <c r="P275" i="1"/>
  <c r="E275" i="1"/>
  <c r="D275" i="1"/>
  <c r="AA274" i="1"/>
  <c r="W274" i="1"/>
  <c r="P274" i="1"/>
  <c r="E274" i="1"/>
  <c r="D274" i="1"/>
  <c r="P273" i="1"/>
  <c r="E273" i="1"/>
  <c r="D273" i="1"/>
  <c r="AA272" i="1"/>
  <c r="W272" i="1"/>
  <c r="P272" i="1"/>
  <c r="D272" i="1"/>
  <c r="P271" i="1"/>
  <c r="E271" i="1"/>
  <c r="D271" i="1"/>
  <c r="C271" i="1"/>
  <c r="AA270" i="1"/>
  <c r="W270" i="1"/>
  <c r="E270" i="1"/>
  <c r="D270" i="1"/>
  <c r="P269" i="1"/>
  <c r="D269" i="1"/>
  <c r="AA268" i="1"/>
  <c r="P268" i="1"/>
  <c r="E268" i="1"/>
  <c r="D268" i="1"/>
  <c r="P267" i="1"/>
  <c r="E267" i="1"/>
  <c r="D267" i="1"/>
  <c r="P266" i="1"/>
  <c r="D266" i="1"/>
  <c r="AA265" i="1"/>
  <c r="P265" i="1"/>
  <c r="E265" i="1"/>
  <c r="D265" i="1"/>
  <c r="AA264" i="1"/>
  <c r="W264" i="1"/>
  <c r="P264" i="1"/>
  <c r="E264" i="1"/>
  <c r="D264" i="1"/>
  <c r="C264" i="1"/>
  <c r="AA263" i="1"/>
  <c r="W263" i="1"/>
  <c r="R263" i="1"/>
  <c r="N263" i="1"/>
  <c r="E263" i="1"/>
  <c r="D263" i="1"/>
  <c r="W262" i="1"/>
  <c r="R262" i="1"/>
  <c r="P262" i="1"/>
  <c r="N262" i="1"/>
  <c r="E262" i="1"/>
  <c r="D262" i="1"/>
  <c r="AA261" i="1"/>
  <c r="P261" i="1"/>
  <c r="E261" i="1"/>
  <c r="D261" i="1"/>
  <c r="P260" i="1"/>
  <c r="E260" i="1"/>
  <c r="D260" i="1"/>
  <c r="P259" i="1"/>
  <c r="E259" i="1"/>
  <c r="D259" i="1"/>
  <c r="P258" i="1"/>
  <c r="D258" i="1"/>
  <c r="AA255" i="1"/>
  <c r="V255" i="1"/>
  <c r="U255" i="1"/>
  <c r="T255" i="1"/>
  <c r="P255" i="1"/>
  <c r="O255" i="1"/>
  <c r="N255" i="1"/>
  <c r="C255" i="1"/>
  <c r="W254" i="1"/>
  <c r="U254" i="1"/>
  <c r="T254" i="1"/>
  <c r="S254" i="1"/>
  <c r="K254" i="1"/>
  <c r="E254" i="1"/>
  <c r="D254" i="1"/>
  <c r="AA253" i="1"/>
  <c r="Y253" i="1"/>
  <c r="W253" i="1"/>
  <c r="E253" i="1"/>
  <c r="D253" i="1"/>
  <c r="AA252" i="1"/>
  <c r="L252" i="1"/>
  <c r="E252" i="1"/>
  <c r="P251" i="1"/>
  <c r="E251" i="1"/>
  <c r="E250" i="1"/>
  <c r="D250" i="1"/>
  <c r="P248" i="1"/>
  <c r="E248" i="1"/>
  <c r="D248" i="1"/>
  <c r="C248" i="1"/>
  <c r="C246" i="1"/>
  <c r="C245" i="1"/>
  <c r="C244" i="1"/>
  <c r="C243" i="1"/>
  <c r="C242" i="1"/>
  <c r="C241" i="1"/>
  <c r="W237" i="1"/>
  <c r="T237" i="1"/>
  <c r="Q237" i="1"/>
  <c r="N237" i="1"/>
  <c r="E237" i="1"/>
  <c r="W240" i="1"/>
  <c r="T240" i="1"/>
  <c r="S240" i="1"/>
  <c r="R240" i="1"/>
  <c r="Q240" i="1"/>
  <c r="O240" i="1"/>
  <c r="N240" i="1"/>
  <c r="E240" i="1"/>
  <c r="W239" i="1"/>
  <c r="T239" i="1"/>
  <c r="S239" i="1"/>
  <c r="O239" i="1"/>
  <c r="W238" i="1"/>
  <c r="T238" i="1"/>
  <c r="S238" i="1"/>
  <c r="R238" i="1"/>
  <c r="Q238" i="1"/>
  <c r="O238" i="1"/>
  <c r="N238" i="1"/>
  <c r="E238" i="1"/>
  <c r="W235" i="1"/>
  <c r="T235" i="1"/>
  <c r="N235" i="1"/>
  <c r="L235" i="1"/>
  <c r="E235" i="1"/>
  <c r="D235" i="1"/>
  <c r="C234" i="1"/>
  <c r="C233" i="1"/>
  <c r="E148" i="1"/>
  <c r="D148" i="1"/>
  <c r="AB153" i="1"/>
  <c r="P153" i="1"/>
  <c r="L153" i="1"/>
  <c r="D153" i="1"/>
  <c r="AB152" i="1"/>
  <c r="AA152" i="1"/>
  <c r="P152" i="1"/>
  <c r="E152" i="1"/>
  <c r="D152" i="1"/>
  <c r="E134" i="1"/>
  <c r="E133" i="1"/>
  <c r="AB150" i="1"/>
  <c r="V150" i="1"/>
  <c r="U150" i="1"/>
  <c r="T150" i="1"/>
  <c r="R150" i="1"/>
  <c r="Q150" i="1"/>
  <c r="P150" i="1"/>
  <c r="O150" i="1"/>
  <c r="N150" i="1"/>
  <c r="L150" i="1"/>
  <c r="E150" i="1"/>
  <c r="D150" i="1"/>
  <c r="L149" i="1"/>
  <c r="E149" i="1"/>
  <c r="D149" i="1"/>
  <c r="P125" i="1"/>
  <c r="P124" i="1"/>
  <c r="N124" i="1"/>
  <c r="M124" i="1"/>
  <c r="AB123" i="1"/>
  <c r="P123" i="1"/>
  <c r="L123" i="1"/>
  <c r="E123" i="1"/>
  <c r="D123" i="1"/>
  <c r="P122" i="1"/>
  <c r="L122" i="1"/>
  <c r="E122" i="1"/>
  <c r="X114" i="1"/>
  <c r="L114" i="1"/>
  <c r="E114" i="1"/>
  <c r="D114" i="1"/>
  <c r="C114" i="1"/>
  <c r="P121" i="1"/>
  <c r="L121" i="1"/>
  <c r="E121" i="1"/>
  <c r="D121" i="1"/>
  <c r="C121" i="1"/>
  <c r="L112" i="1"/>
  <c r="E112" i="1"/>
  <c r="D112" i="1"/>
  <c r="AB120" i="1"/>
  <c r="P120" i="1"/>
  <c r="L120" i="1"/>
  <c r="E120" i="1"/>
  <c r="D120" i="1"/>
  <c r="AB119" i="1"/>
  <c r="R119" i="1"/>
  <c r="P119" i="1"/>
  <c r="L119" i="1"/>
  <c r="E119" i="1"/>
  <c r="D119" i="1"/>
  <c r="P117" i="1"/>
  <c r="L117" i="1"/>
  <c r="E117" i="1"/>
  <c r="D117" i="1"/>
  <c r="AB116" i="1"/>
  <c r="P116" i="1"/>
  <c r="L116" i="1"/>
  <c r="E116" i="1"/>
  <c r="D116" i="1"/>
  <c r="P113" i="1"/>
  <c r="L113" i="1"/>
  <c r="E113" i="1"/>
  <c r="D113" i="1"/>
  <c r="C113" i="1"/>
  <c r="AB111" i="1"/>
  <c r="P111" i="1"/>
  <c r="N111" i="1"/>
  <c r="L111" i="1"/>
  <c r="E111" i="1"/>
  <c r="D111" i="1"/>
  <c r="P110" i="1"/>
  <c r="L110" i="1"/>
  <c r="E110" i="1"/>
  <c r="S109" i="1"/>
  <c r="L109" i="1"/>
  <c r="E109" i="1"/>
  <c r="D109" i="1"/>
  <c r="V108" i="1"/>
  <c r="P108" i="1"/>
  <c r="L108" i="1"/>
  <c r="E108" i="1"/>
  <c r="D108" i="1"/>
  <c r="AB107" i="1"/>
  <c r="R107" i="1"/>
  <c r="P107" i="1"/>
  <c r="N107" i="1"/>
  <c r="L107" i="1"/>
  <c r="E107" i="1"/>
  <c r="D107" i="1"/>
  <c r="P106" i="1"/>
  <c r="L106" i="1"/>
  <c r="E106" i="1"/>
  <c r="D106" i="1"/>
  <c r="P104" i="1"/>
  <c r="L104" i="1"/>
  <c r="E104" i="1"/>
  <c r="D104" i="1"/>
  <c r="AB103" i="1"/>
  <c r="P103" i="1"/>
  <c r="L103" i="1"/>
  <c r="D103" i="1"/>
  <c r="P102" i="1"/>
  <c r="L102" i="1"/>
  <c r="E102" i="1"/>
  <c r="D102" i="1"/>
  <c r="AB101" i="1"/>
  <c r="P101" i="1"/>
  <c r="L101" i="1"/>
  <c r="E101" i="1"/>
  <c r="D101" i="1"/>
  <c r="AA100" i="1"/>
  <c r="P100" i="1"/>
  <c r="L100" i="1"/>
  <c r="E100" i="1"/>
  <c r="D100" i="1"/>
  <c r="P99" i="1"/>
  <c r="L99" i="1"/>
  <c r="E99" i="1"/>
  <c r="D99" i="1"/>
  <c r="AB98" i="1"/>
  <c r="P98" i="1"/>
  <c r="L98" i="1"/>
  <c r="E98" i="1"/>
  <c r="D98" i="1"/>
  <c r="AB97" i="1"/>
  <c r="AA97" i="1"/>
  <c r="P97" i="1"/>
  <c r="L97" i="1"/>
  <c r="E97" i="1"/>
  <c r="D97" i="1"/>
  <c r="AB96" i="1"/>
  <c r="P96" i="1"/>
  <c r="E96" i="1"/>
  <c r="D96" i="1"/>
  <c r="P95" i="1"/>
  <c r="E95" i="1"/>
  <c r="D95" i="1"/>
  <c r="P94" i="1"/>
  <c r="L94" i="1"/>
  <c r="E94" i="1"/>
  <c r="D94" i="1"/>
  <c r="C94" i="1"/>
  <c r="AB92" i="1"/>
  <c r="V92" i="1"/>
  <c r="U92" i="1"/>
  <c r="T92" i="1"/>
  <c r="S92" i="1"/>
  <c r="R92" i="1"/>
  <c r="Q92" i="1"/>
  <c r="P92" i="1"/>
  <c r="O92" i="1"/>
  <c r="N92" i="1"/>
  <c r="L92" i="1"/>
  <c r="E92" i="1"/>
  <c r="D92" i="1"/>
  <c r="P93" i="1"/>
  <c r="E93" i="1"/>
  <c r="D93" i="1"/>
  <c r="AB91" i="1"/>
  <c r="P91" i="1"/>
  <c r="L91" i="1"/>
  <c r="E91" i="1"/>
  <c r="D91" i="1"/>
  <c r="AB90" i="1"/>
  <c r="S90" i="1"/>
  <c r="P90" i="1"/>
  <c r="O90" i="1"/>
  <c r="L90" i="1"/>
  <c r="E90" i="1"/>
  <c r="D90" i="1"/>
  <c r="L89" i="1"/>
  <c r="E89" i="1"/>
  <c r="D89" i="1"/>
  <c r="P88" i="1"/>
  <c r="L88" i="1"/>
  <c r="E88" i="1"/>
  <c r="D88" i="1"/>
  <c r="AB86" i="1"/>
  <c r="AA86" i="1"/>
  <c r="S86" i="1"/>
  <c r="P86" i="1"/>
  <c r="N86" i="1"/>
  <c r="M86" i="1"/>
  <c r="L86" i="1"/>
  <c r="E86" i="1"/>
  <c r="D86" i="1"/>
  <c r="C86" i="1"/>
  <c r="AB85" i="1"/>
  <c r="L85" i="1"/>
  <c r="D85" i="1"/>
  <c r="AB84" i="1"/>
  <c r="Z84" i="1"/>
  <c r="X84" i="1"/>
  <c r="V84" i="1"/>
  <c r="U84" i="1"/>
  <c r="T84" i="1"/>
  <c r="S84" i="1"/>
  <c r="R84" i="1"/>
  <c r="Q84" i="1"/>
  <c r="P84" i="1"/>
  <c r="O84" i="1"/>
  <c r="N84" i="1"/>
  <c r="L84" i="1"/>
  <c r="D84" i="1"/>
  <c r="AA83" i="1"/>
  <c r="P83" i="1"/>
  <c r="L83" i="1"/>
  <c r="E83" i="1"/>
  <c r="D83" i="1"/>
  <c r="P81" i="1"/>
  <c r="L81" i="1"/>
  <c r="E81" i="1"/>
  <c r="D81" i="1"/>
  <c r="AB80" i="1"/>
  <c r="AA80" i="1"/>
  <c r="P80" i="1"/>
  <c r="L80" i="1"/>
  <c r="E80" i="1"/>
  <c r="D80" i="1"/>
  <c r="P79" i="1"/>
  <c r="E79" i="1"/>
  <c r="AB78" i="1"/>
  <c r="AA78" i="1"/>
  <c r="P78" i="1"/>
  <c r="L78" i="1"/>
  <c r="E78" i="1"/>
  <c r="D78" i="1"/>
  <c r="AB77" i="1"/>
  <c r="AA77" i="1"/>
  <c r="P77" i="1"/>
  <c r="L77" i="1"/>
  <c r="E77" i="1"/>
  <c r="D77" i="1"/>
  <c r="P76" i="1"/>
  <c r="L76" i="1"/>
  <c r="E76" i="1"/>
  <c r="D76" i="1"/>
  <c r="P75" i="1"/>
  <c r="L75" i="1"/>
  <c r="E75" i="1"/>
  <c r="P74" i="1"/>
  <c r="L74" i="1"/>
  <c r="E74" i="1"/>
  <c r="D74" i="1"/>
  <c r="L73" i="1"/>
  <c r="E73" i="1"/>
  <c r="D73" i="1"/>
  <c r="L72" i="1"/>
  <c r="E72" i="1"/>
  <c r="D72" i="1"/>
  <c r="P71" i="1"/>
  <c r="L71" i="1"/>
  <c r="E71" i="1"/>
  <c r="D71" i="1"/>
  <c r="AB70" i="1"/>
  <c r="U70" i="1"/>
  <c r="S70" i="1"/>
  <c r="P70" i="1"/>
  <c r="L70" i="1"/>
  <c r="E70" i="1"/>
  <c r="D70" i="1"/>
  <c r="C70" i="1"/>
  <c r="P69" i="1"/>
  <c r="L69" i="1"/>
  <c r="E69" i="1"/>
  <c r="D69" i="1"/>
  <c r="AB68" i="1"/>
  <c r="S68" i="1"/>
  <c r="R68" i="1"/>
  <c r="P68" i="1"/>
  <c r="L68" i="1"/>
  <c r="E68" i="1"/>
  <c r="D68" i="1"/>
  <c r="AB67" i="1"/>
  <c r="T67" i="1"/>
  <c r="S67" i="1"/>
  <c r="P67" i="1"/>
  <c r="O67" i="1"/>
  <c r="L67" i="1"/>
  <c r="E67" i="1"/>
  <c r="D67" i="1"/>
  <c r="AB66" i="1"/>
  <c r="P66" i="1"/>
  <c r="L66" i="1"/>
  <c r="E66" i="1"/>
  <c r="D66" i="1"/>
  <c r="P65" i="1"/>
  <c r="L65" i="1"/>
  <c r="E65" i="1"/>
  <c r="D65" i="1"/>
  <c r="AB64" i="1"/>
  <c r="P64" i="1"/>
  <c r="E64" i="1"/>
  <c r="D64" i="1"/>
  <c r="P63" i="1"/>
  <c r="L63" i="1"/>
  <c r="E63" i="1"/>
  <c r="E60" i="1"/>
  <c r="AB62" i="1"/>
  <c r="P62" i="1"/>
  <c r="L62" i="1"/>
  <c r="D62" i="1"/>
  <c r="AB60" i="1"/>
  <c r="P60" i="1"/>
  <c r="N60" i="1"/>
  <c r="L60" i="1"/>
  <c r="D60" i="1"/>
  <c r="AB61" i="1"/>
  <c r="P61" i="1"/>
  <c r="L61" i="1"/>
  <c r="E61" i="1"/>
  <c r="D61" i="1"/>
  <c r="M153" i="1"/>
  <c r="AB503" i="1"/>
  <c r="P503" i="1"/>
  <c r="M503" i="1"/>
  <c r="L503" i="1"/>
  <c r="E503" i="1"/>
  <c r="D503" i="1"/>
  <c r="P502" i="1"/>
  <c r="O502" i="1"/>
  <c r="N502" i="1"/>
  <c r="M502" i="1"/>
  <c r="L502" i="1"/>
  <c r="E502" i="1"/>
  <c r="D502" i="1"/>
  <c r="AA499" i="1"/>
  <c r="L499" i="1"/>
  <c r="E499" i="1"/>
  <c r="D499" i="1"/>
  <c r="C499" i="1"/>
  <c r="AB497" i="1"/>
  <c r="AA497" i="1"/>
  <c r="Z497" i="1"/>
  <c r="S497" i="1"/>
  <c r="R497" i="1"/>
  <c r="P497" i="1"/>
  <c r="E497" i="1"/>
  <c r="T496" i="1"/>
  <c r="S496" i="1"/>
  <c r="P496" i="1"/>
  <c r="L496" i="1"/>
  <c r="E496" i="1"/>
  <c r="D496" i="1"/>
  <c r="P495" i="1"/>
  <c r="E495" i="1"/>
  <c r="D495" i="1"/>
  <c r="P494" i="1"/>
  <c r="M494" i="1"/>
  <c r="L494" i="1"/>
  <c r="E494" i="1"/>
  <c r="D494" i="1"/>
  <c r="AA493" i="1"/>
  <c r="P493" i="1"/>
  <c r="L493" i="1"/>
  <c r="J493" i="1"/>
  <c r="I493" i="1"/>
  <c r="H493" i="1"/>
  <c r="G493" i="1"/>
  <c r="F493" i="1"/>
  <c r="E493" i="1"/>
  <c r="D493" i="1"/>
  <c r="AA492" i="1"/>
  <c r="P492" i="1"/>
  <c r="L492" i="1"/>
  <c r="E492" i="1"/>
  <c r="D492" i="1"/>
  <c r="P491" i="1"/>
  <c r="N491" i="1"/>
  <c r="L491" i="1"/>
  <c r="E491" i="1"/>
  <c r="D491" i="1"/>
  <c r="P490" i="1"/>
  <c r="L490" i="1"/>
  <c r="E490" i="1"/>
  <c r="D490" i="1"/>
  <c r="L489" i="1"/>
  <c r="E489" i="1"/>
  <c r="D489" i="1"/>
  <c r="C489" i="1"/>
  <c r="P488" i="1"/>
  <c r="E488" i="1"/>
  <c r="D488" i="1"/>
  <c r="P487" i="1"/>
  <c r="L487" i="1"/>
  <c r="E487" i="1"/>
  <c r="D487" i="1"/>
  <c r="P486" i="1"/>
  <c r="L486" i="1"/>
  <c r="E486" i="1"/>
  <c r="D486" i="1"/>
  <c r="C486" i="1"/>
  <c r="P485" i="1"/>
  <c r="L485" i="1"/>
  <c r="J485" i="1"/>
  <c r="I485" i="1"/>
  <c r="H485" i="1"/>
  <c r="G485" i="1"/>
  <c r="F485" i="1"/>
  <c r="E485" i="1"/>
  <c r="D485" i="1"/>
  <c r="C485" i="1"/>
  <c r="P484" i="1"/>
  <c r="L484" i="1"/>
  <c r="E484" i="1"/>
  <c r="D484" i="1"/>
  <c r="AA483" i="1"/>
  <c r="L483" i="1"/>
  <c r="E483" i="1"/>
  <c r="C483" i="1"/>
  <c r="P482" i="1"/>
  <c r="L482" i="1"/>
  <c r="E482" i="1"/>
  <c r="D482" i="1"/>
  <c r="C482" i="1"/>
  <c r="N481" i="1"/>
  <c r="L481" i="1"/>
  <c r="E481" i="1"/>
  <c r="E473" i="1"/>
  <c r="D481" i="1"/>
  <c r="C481" i="1"/>
  <c r="AA479" i="1"/>
  <c r="P479" i="1"/>
  <c r="L479" i="1"/>
  <c r="E479" i="1"/>
  <c r="D479" i="1"/>
  <c r="AA475" i="1"/>
  <c r="P475" i="1"/>
  <c r="J475" i="1"/>
  <c r="E475" i="1"/>
  <c r="D475" i="1"/>
  <c r="C475" i="1"/>
  <c r="P473" i="1"/>
  <c r="L473" i="1"/>
  <c r="D473" i="1"/>
  <c r="C473" i="1"/>
  <c r="X471" i="1"/>
  <c r="P471" i="1"/>
  <c r="L471" i="1"/>
  <c r="E471" i="1"/>
  <c r="D471" i="1"/>
  <c r="P470" i="1"/>
  <c r="L470" i="1"/>
  <c r="E470" i="1"/>
  <c r="D470" i="1"/>
  <c r="C470" i="1"/>
  <c r="P469" i="1"/>
  <c r="L469" i="1"/>
  <c r="K469" i="1"/>
  <c r="C469" i="1"/>
  <c r="P468" i="1"/>
  <c r="L468" i="1"/>
  <c r="E468" i="1"/>
  <c r="D468" i="1"/>
  <c r="C468" i="1"/>
  <c r="AB141" i="1"/>
  <c r="P141" i="1"/>
  <c r="L141" i="1"/>
  <c r="E141" i="1"/>
  <c r="W477" i="1"/>
  <c r="L477" i="1"/>
  <c r="D477" i="1"/>
  <c r="W476" i="1"/>
  <c r="P476" i="1"/>
  <c r="L476" i="1"/>
  <c r="E476" i="1"/>
  <c r="D476" i="1"/>
  <c r="C476" i="1"/>
  <c r="W466" i="1"/>
  <c r="Q466" i="1"/>
  <c r="E466" i="1"/>
  <c r="D466" i="1"/>
  <c r="L464" i="1"/>
  <c r="E464" i="1"/>
  <c r="D464" i="1"/>
  <c r="C464" i="1"/>
  <c r="L459" i="1"/>
  <c r="E459" i="1"/>
  <c r="D459" i="1"/>
  <c r="C459" i="1"/>
  <c r="L455" i="1"/>
  <c r="D455" i="1"/>
  <c r="AA454" i="1"/>
  <c r="L454" i="1"/>
  <c r="E454" i="1"/>
  <c r="L453" i="1"/>
  <c r="E453" i="1"/>
  <c r="D453" i="1"/>
  <c r="C453" i="1"/>
  <c r="L450" i="1"/>
  <c r="E450" i="1"/>
  <c r="D450" i="1"/>
  <c r="Z448" i="1"/>
  <c r="Y448" i="1"/>
  <c r="V448" i="1"/>
  <c r="U448" i="1"/>
  <c r="T448" i="1"/>
  <c r="S448" i="1"/>
  <c r="R448" i="1"/>
  <c r="Q448" i="1"/>
  <c r="P448" i="1"/>
  <c r="O448" i="1"/>
  <c r="N448" i="1"/>
  <c r="L448" i="1"/>
  <c r="C448" i="1"/>
  <c r="S446" i="1"/>
  <c r="Q446" i="1"/>
  <c r="L446" i="1"/>
  <c r="C446" i="1"/>
  <c r="AB442" i="1"/>
  <c r="AA442" i="1"/>
  <c r="P442" i="1"/>
  <c r="L442" i="1"/>
  <c r="E442" i="1"/>
  <c r="D442" i="1"/>
  <c r="C442" i="1"/>
  <c r="AA441" i="1"/>
  <c r="W441" i="1"/>
  <c r="P441" i="1"/>
  <c r="L441" i="1"/>
  <c r="E441" i="1"/>
  <c r="D441" i="1"/>
  <c r="C441" i="1"/>
  <c r="AB440" i="1"/>
  <c r="AA440" i="1"/>
  <c r="W440" i="1"/>
  <c r="P440" i="1"/>
  <c r="L440" i="1"/>
  <c r="J440" i="1"/>
  <c r="J439" i="1"/>
  <c r="I440" i="1"/>
  <c r="H440" i="1"/>
  <c r="G440" i="1"/>
  <c r="F440" i="1"/>
  <c r="E440" i="1"/>
  <c r="D440" i="1"/>
  <c r="C440" i="1"/>
  <c r="AA439" i="1"/>
  <c r="L439" i="1"/>
  <c r="E439" i="1"/>
  <c r="D439" i="1"/>
  <c r="C439" i="1"/>
  <c r="L438" i="1"/>
  <c r="L437" i="1"/>
  <c r="AA436" i="1"/>
  <c r="L436" i="1"/>
  <c r="E436" i="1"/>
  <c r="D436" i="1"/>
  <c r="C436" i="1"/>
  <c r="AA434" i="1"/>
  <c r="L434" i="1"/>
  <c r="E434" i="1"/>
  <c r="Y433" i="1"/>
  <c r="W433" i="1"/>
  <c r="P433" i="1"/>
  <c r="L433" i="1"/>
  <c r="E433" i="1"/>
  <c r="D433" i="1"/>
  <c r="C433" i="1"/>
  <c r="W432" i="1"/>
  <c r="P432" i="1"/>
  <c r="L432" i="1"/>
  <c r="E432" i="1"/>
  <c r="C432" i="1"/>
  <c r="D432" i="1"/>
  <c r="E431" i="1"/>
  <c r="D431" i="1"/>
  <c r="L422" i="1"/>
  <c r="T421" i="1"/>
  <c r="P421" i="1"/>
  <c r="L421" i="1"/>
  <c r="E421" i="1"/>
  <c r="P420" i="1"/>
  <c r="L420" i="1"/>
  <c r="AA419" i="1"/>
  <c r="P419" i="1"/>
  <c r="L419" i="1"/>
  <c r="D419" i="1"/>
  <c r="C419" i="1"/>
  <c r="AB418" i="1"/>
  <c r="P418" i="1"/>
  <c r="L418" i="1"/>
  <c r="C417" i="1"/>
  <c r="C408" i="1"/>
  <c r="W413" i="1"/>
  <c r="V413" i="1"/>
  <c r="L413" i="1"/>
  <c r="F413" i="1"/>
  <c r="E413" i="1"/>
  <c r="D413" i="1"/>
  <c r="W412" i="1"/>
  <c r="V412" i="1"/>
  <c r="U412" i="1"/>
  <c r="T412" i="1"/>
  <c r="S412" i="1"/>
  <c r="R412" i="1"/>
  <c r="Q412" i="1"/>
  <c r="P412" i="1"/>
  <c r="O412" i="1"/>
  <c r="N412" i="1"/>
  <c r="L412" i="1"/>
  <c r="F412" i="1"/>
  <c r="E412" i="1"/>
  <c r="D412" i="1"/>
  <c r="AA411" i="1"/>
  <c r="W411" i="1"/>
  <c r="P411" i="1"/>
  <c r="L411" i="1"/>
  <c r="F411" i="1"/>
  <c r="E411" i="1"/>
  <c r="D411" i="1"/>
  <c r="W410" i="1"/>
  <c r="P410" i="1"/>
  <c r="L410" i="1"/>
  <c r="J410" i="1"/>
  <c r="I410" i="1"/>
  <c r="H410" i="1"/>
  <c r="G410" i="1"/>
  <c r="F410" i="1"/>
  <c r="E410" i="1"/>
  <c r="D410" i="1"/>
  <c r="W408" i="1"/>
  <c r="N408" i="1"/>
  <c r="L408" i="1"/>
  <c r="F408" i="1"/>
  <c r="E408" i="1"/>
  <c r="D408" i="1"/>
  <c r="L407" i="1"/>
  <c r="E407" i="1"/>
  <c r="D407" i="1"/>
  <c r="AA406" i="1"/>
  <c r="AA405" i="1"/>
  <c r="AB403" i="1"/>
  <c r="AA403" i="1"/>
  <c r="W403" i="1"/>
  <c r="P403" i="1"/>
  <c r="N403" i="1"/>
  <c r="L403" i="1"/>
  <c r="E403" i="1"/>
  <c r="D403" i="1"/>
  <c r="W402" i="1"/>
  <c r="L402" i="1"/>
  <c r="E402" i="1"/>
  <c r="D402" i="1"/>
  <c r="E401" i="1"/>
  <c r="D401" i="1"/>
  <c r="R401" i="1"/>
  <c r="AB400" i="1"/>
  <c r="P400" i="1"/>
  <c r="L400" i="1"/>
  <c r="K400" i="1"/>
  <c r="E400" i="1"/>
  <c r="D400" i="1"/>
  <c r="AA399" i="1"/>
  <c r="R399" i="1"/>
  <c r="L399" i="1"/>
  <c r="E399" i="1"/>
  <c r="D399" i="1"/>
  <c r="L398" i="1"/>
  <c r="E398" i="1"/>
  <c r="D398" i="1"/>
  <c r="AB396" i="1"/>
  <c r="L396" i="1"/>
  <c r="E396" i="1"/>
  <c r="D396" i="1"/>
  <c r="L395" i="1"/>
  <c r="D395" i="1"/>
  <c r="AA394" i="1"/>
  <c r="L394" i="1"/>
  <c r="E394" i="1"/>
  <c r="D394" i="1"/>
  <c r="AA392" i="1"/>
  <c r="P392" i="1"/>
  <c r="H392" i="1"/>
  <c r="E392" i="1"/>
  <c r="D392" i="1"/>
  <c r="AA386" i="1"/>
  <c r="R386" i="1"/>
  <c r="E386" i="1"/>
  <c r="D386" i="1"/>
  <c r="C386" i="1"/>
  <c r="AA383" i="1"/>
  <c r="E383" i="1"/>
  <c r="D383" i="1"/>
  <c r="Z382" i="1"/>
  <c r="N382" i="1"/>
  <c r="F382" i="1"/>
  <c r="E382" i="1"/>
  <c r="D382" i="1"/>
  <c r="V381" i="1"/>
  <c r="U381" i="1"/>
  <c r="S381" i="1"/>
  <c r="R381" i="1"/>
  <c r="N381" i="1"/>
  <c r="J381" i="1"/>
  <c r="I381" i="1"/>
  <c r="H381" i="1"/>
  <c r="G381" i="1"/>
  <c r="F381" i="1"/>
  <c r="D381" i="1"/>
  <c r="AA380" i="1"/>
  <c r="E380" i="1"/>
  <c r="D380" i="1"/>
  <c r="P378" i="1"/>
  <c r="E378" i="1"/>
  <c r="D378" i="1"/>
  <c r="C378" i="1"/>
  <c r="AA375" i="1"/>
  <c r="E375" i="1"/>
  <c r="D375" i="1"/>
  <c r="AA374" i="1"/>
  <c r="E374" i="1"/>
  <c r="D374" i="1"/>
  <c r="P373" i="1"/>
  <c r="E373" i="1"/>
  <c r="D373" i="1"/>
  <c r="P58" i="1"/>
  <c r="L58" i="1"/>
  <c r="E58" i="1"/>
  <c r="D58" i="1"/>
  <c r="P54" i="1"/>
  <c r="L54" i="1"/>
  <c r="E54" i="1"/>
  <c r="D54" i="1"/>
  <c r="AA53" i="1"/>
  <c r="P53" i="1"/>
  <c r="L53" i="1"/>
  <c r="E53" i="1"/>
  <c r="Y52" i="1"/>
  <c r="X52" i="1"/>
  <c r="T52" i="1"/>
  <c r="N52" i="1"/>
  <c r="L52" i="1"/>
  <c r="E52" i="1"/>
  <c r="D52" i="1"/>
  <c r="P51" i="1"/>
  <c r="L51" i="1"/>
  <c r="E51" i="1"/>
  <c r="D51" i="1"/>
  <c r="C51" i="1"/>
  <c r="Y50" i="1"/>
  <c r="X50" i="1"/>
  <c r="U50" i="1"/>
  <c r="T50" i="1"/>
  <c r="P50" i="1"/>
  <c r="O50" i="1"/>
  <c r="E50" i="1"/>
  <c r="C50" i="1"/>
  <c r="L49" i="1"/>
  <c r="E49" i="1"/>
  <c r="D49" i="1"/>
  <c r="R48" i="1"/>
  <c r="Q48" i="1"/>
  <c r="P48" i="1"/>
  <c r="N48" i="1"/>
  <c r="L48" i="1"/>
  <c r="E48" i="1"/>
  <c r="D48" i="1"/>
  <c r="C48" i="1"/>
  <c r="AA46" i="1"/>
  <c r="L46" i="1"/>
  <c r="E46" i="1"/>
  <c r="D46" i="1"/>
  <c r="C46" i="1"/>
  <c r="AA45" i="1"/>
  <c r="L45" i="1"/>
  <c r="E45" i="1"/>
  <c r="D45" i="1"/>
  <c r="C45" i="1"/>
  <c r="AA41" i="1"/>
  <c r="L41" i="1"/>
  <c r="D41" i="1"/>
  <c r="AA40" i="1"/>
  <c r="L40" i="1"/>
  <c r="E40" i="1"/>
  <c r="AA39" i="1"/>
  <c r="L39" i="1"/>
  <c r="E39" i="1"/>
  <c r="D39" i="1"/>
  <c r="C39" i="1"/>
  <c r="L36" i="1"/>
  <c r="E36" i="1"/>
  <c r="D36" i="1"/>
  <c r="AA35" i="1"/>
  <c r="L35" i="1"/>
  <c r="E35" i="1"/>
  <c r="D35" i="1"/>
  <c r="S34" i="1"/>
  <c r="P34" i="1"/>
  <c r="L34" i="1"/>
  <c r="E34" i="1"/>
  <c r="D34" i="1"/>
  <c r="V33" i="1"/>
  <c r="U33" i="1"/>
  <c r="T33" i="1"/>
  <c r="S33" i="1"/>
  <c r="R33" i="1"/>
  <c r="Q33" i="1"/>
  <c r="O33" i="1"/>
  <c r="N33" i="1"/>
  <c r="L33" i="1"/>
  <c r="E33" i="1"/>
  <c r="D33" i="1"/>
  <c r="C33" i="1"/>
  <c r="Z32" i="1"/>
  <c r="V32" i="1"/>
  <c r="U32" i="1"/>
  <c r="T32" i="1"/>
  <c r="S32" i="1"/>
  <c r="R32" i="1"/>
  <c r="Q32" i="1"/>
  <c r="P32" i="1"/>
  <c r="O32" i="1"/>
  <c r="N32" i="1"/>
  <c r="L32" i="1"/>
  <c r="E32" i="1"/>
  <c r="D32" i="1"/>
  <c r="AA27" i="1"/>
  <c r="L27" i="1"/>
  <c r="E27" i="1"/>
  <c r="D27" i="1"/>
  <c r="C27" i="1"/>
  <c r="AA26" i="1"/>
  <c r="L26" i="1"/>
  <c r="D26" i="1"/>
  <c r="C26" i="1"/>
  <c r="AA25" i="1"/>
  <c r="P25" i="1"/>
  <c r="M25" i="1"/>
  <c r="L25" i="1"/>
  <c r="H25" i="1"/>
  <c r="G25" i="1"/>
  <c r="F25" i="1"/>
  <c r="E25" i="1"/>
  <c r="D25" i="1"/>
  <c r="C25" i="1"/>
  <c r="AB24" i="1"/>
  <c r="AA24" i="1"/>
  <c r="L24" i="1"/>
  <c r="H24" i="1"/>
  <c r="G24" i="1"/>
  <c r="F24" i="1"/>
  <c r="E24" i="1"/>
  <c r="D24" i="1"/>
  <c r="V22" i="1"/>
  <c r="T22" i="1"/>
  <c r="S22" i="1"/>
  <c r="R22" i="1"/>
  <c r="Q22" i="1"/>
  <c r="O22" i="1"/>
  <c r="N22" i="1"/>
  <c r="L22" i="1"/>
  <c r="H22" i="1"/>
  <c r="G22" i="1"/>
  <c r="F22" i="1"/>
  <c r="E22" i="1"/>
  <c r="D22" i="1"/>
  <c r="V21" i="1"/>
  <c r="P21" i="1"/>
  <c r="L21" i="1"/>
  <c r="D21" i="1"/>
  <c r="AA16" i="1"/>
  <c r="U16" i="1"/>
  <c r="L16" i="1"/>
  <c r="E16" i="1"/>
  <c r="D16" i="1"/>
  <c r="C16" i="1"/>
  <c r="AA15" i="1"/>
  <c r="L15" i="1"/>
  <c r="E15" i="1"/>
  <c r="D15" i="1"/>
  <c r="AA14" i="1"/>
  <c r="L14" i="1"/>
  <c r="E14" i="1"/>
  <c r="D14" i="1"/>
  <c r="AA13" i="1"/>
  <c r="L13" i="1"/>
  <c r="D13" i="1"/>
  <c r="E12" i="1"/>
  <c r="D12" i="1"/>
  <c r="L11" i="1"/>
  <c r="D10" i="1"/>
  <c r="AA9" i="1"/>
  <c r="L9" i="1"/>
  <c r="E9" i="1"/>
  <c r="D9" i="1"/>
  <c r="X8" i="1"/>
  <c r="U8" i="1"/>
  <c r="T8" i="1"/>
  <c r="R8" i="1"/>
  <c r="Q8" i="1"/>
  <c r="P8" i="1"/>
  <c r="L8" i="1"/>
  <c r="E8" i="1"/>
  <c r="D8" i="1"/>
  <c r="P7" i="1"/>
  <c r="L7" i="1"/>
  <c r="E7" i="1"/>
  <c r="D7" i="1"/>
  <c r="AA6" i="1"/>
  <c r="Z6" i="1"/>
  <c r="X6" i="1"/>
  <c r="V6" i="1"/>
  <c r="U6" i="1"/>
  <c r="T6" i="1"/>
  <c r="S6" i="1"/>
  <c r="R6" i="1"/>
  <c r="Q6" i="1"/>
  <c r="P6" i="1"/>
  <c r="O6" i="1"/>
  <c r="N6" i="1"/>
  <c r="M6" i="1"/>
  <c r="L6" i="1"/>
  <c r="E6" i="1"/>
  <c r="D6" i="1"/>
  <c r="V5" i="1"/>
  <c r="U5" i="1"/>
  <c r="T5" i="1"/>
  <c r="S5" i="1"/>
  <c r="R5" i="1"/>
  <c r="Q5" i="1"/>
  <c r="P5" i="1"/>
  <c r="O5" i="1"/>
  <c r="N5" i="1"/>
  <c r="L5" i="1"/>
  <c r="E5" i="1"/>
  <c r="D5" i="1"/>
  <c r="AA4" i="1"/>
  <c r="Z4" i="1"/>
  <c r="X4" i="1"/>
  <c r="V4" i="1"/>
  <c r="U4" i="1"/>
  <c r="T4" i="1"/>
  <c r="R4" i="1"/>
  <c r="Q4" i="1"/>
  <c r="O4" i="1"/>
  <c r="N4" i="1"/>
  <c r="M4" i="1"/>
  <c r="L4" i="1"/>
  <c r="E4" i="1"/>
  <c r="D4" i="1"/>
  <c r="L3" i="1"/>
  <c r="S231" i="1"/>
  <c r="AB230" i="1"/>
  <c r="P230" i="1"/>
  <c r="L230" i="1"/>
  <c r="E230" i="1"/>
  <c r="D230" i="1"/>
  <c r="P228" i="1"/>
  <c r="L228" i="1"/>
  <c r="E228" i="1"/>
  <c r="D228" i="1"/>
  <c r="AB227" i="1"/>
  <c r="D227" i="1"/>
  <c r="AB226" i="1"/>
  <c r="P226" i="1"/>
  <c r="L226" i="1"/>
  <c r="D226" i="1"/>
  <c r="AB223" i="1"/>
  <c r="P223" i="1"/>
  <c r="L223" i="1"/>
  <c r="D223" i="1"/>
  <c r="AB222" i="1"/>
  <c r="P222" i="1"/>
  <c r="L222" i="1"/>
  <c r="E222" i="1"/>
  <c r="D222" i="1"/>
  <c r="AB221" i="1"/>
  <c r="P221" i="1"/>
  <c r="L221" i="1"/>
  <c r="E221" i="1"/>
  <c r="D221" i="1"/>
  <c r="L220" i="1"/>
  <c r="D220" i="1"/>
  <c r="AB219" i="1"/>
  <c r="P219" i="1"/>
  <c r="L219" i="1"/>
  <c r="D219" i="1"/>
  <c r="AB218" i="1"/>
  <c r="P218" i="1"/>
  <c r="E218" i="1"/>
  <c r="D218" i="1"/>
  <c r="AB217" i="1"/>
  <c r="P217" i="1"/>
  <c r="L217" i="1"/>
  <c r="E217" i="1"/>
  <c r="D217" i="1"/>
  <c r="AB216" i="1"/>
  <c r="AA216" i="1"/>
  <c r="R216" i="1"/>
  <c r="P216" i="1"/>
  <c r="D216" i="1"/>
  <c r="C216" i="1"/>
  <c r="AB215" i="1"/>
  <c r="P215" i="1"/>
  <c r="L215" i="1"/>
  <c r="D215" i="1"/>
  <c r="AB214" i="1"/>
  <c r="P214" i="1"/>
  <c r="L214" i="1"/>
  <c r="E214" i="1"/>
  <c r="D214" i="1"/>
  <c r="P213" i="1"/>
  <c r="L213" i="1"/>
  <c r="E213" i="1"/>
  <c r="D213" i="1"/>
  <c r="AB212" i="1"/>
  <c r="P212" i="1"/>
  <c r="L212" i="1"/>
  <c r="E212" i="1"/>
  <c r="D212" i="1"/>
  <c r="P211" i="1"/>
  <c r="L211" i="1"/>
  <c r="D211" i="1"/>
  <c r="AB210" i="1"/>
  <c r="P210" i="1"/>
  <c r="L210" i="1"/>
  <c r="D210" i="1"/>
  <c r="AB209" i="1"/>
  <c r="AA209" i="1"/>
  <c r="Q209" i="1"/>
  <c r="P209" i="1"/>
  <c r="O209" i="1"/>
  <c r="L209" i="1"/>
  <c r="E209" i="1"/>
  <c r="D209" i="1"/>
  <c r="AB208" i="1"/>
  <c r="P208" i="1"/>
  <c r="L208" i="1"/>
  <c r="E208" i="1"/>
  <c r="D208" i="1"/>
  <c r="AB207" i="1"/>
  <c r="P207" i="1"/>
  <c r="P205" i="1"/>
  <c r="L207" i="1"/>
  <c r="E207" i="1"/>
  <c r="P206" i="1"/>
  <c r="L206" i="1"/>
  <c r="E206" i="1"/>
  <c r="D206" i="1"/>
  <c r="AB205" i="1"/>
  <c r="L205" i="1"/>
  <c r="J205" i="1"/>
  <c r="I205" i="1"/>
  <c r="G205" i="1"/>
  <c r="F205" i="1"/>
  <c r="E205" i="1"/>
  <c r="D205" i="1"/>
  <c r="AB204" i="1"/>
  <c r="P204" i="1"/>
  <c r="L204" i="1"/>
  <c r="E204" i="1"/>
  <c r="D204" i="1"/>
  <c r="AB203" i="1"/>
  <c r="AA203" i="1"/>
  <c r="P203" i="1"/>
  <c r="L203" i="1"/>
  <c r="E203" i="1"/>
  <c r="D203" i="1"/>
  <c r="AB202" i="1"/>
  <c r="P202" i="1"/>
  <c r="L202" i="1"/>
  <c r="E202" i="1"/>
  <c r="D202" i="1"/>
  <c r="AB201" i="1"/>
  <c r="P201" i="1"/>
  <c r="N201" i="1"/>
  <c r="L201" i="1"/>
  <c r="L197" i="1"/>
  <c r="I201" i="1"/>
  <c r="H201" i="1"/>
  <c r="E201" i="1"/>
  <c r="D201" i="1"/>
  <c r="AB200" i="1"/>
  <c r="P200" i="1"/>
  <c r="L200" i="1"/>
  <c r="D200" i="1"/>
  <c r="AB199" i="1"/>
  <c r="P199" i="1"/>
  <c r="L199" i="1"/>
  <c r="E199" i="1"/>
  <c r="D199" i="1"/>
  <c r="P198" i="1"/>
  <c r="L198" i="1"/>
  <c r="E198" i="1"/>
  <c r="D198" i="1"/>
  <c r="P197" i="1"/>
  <c r="E197" i="1"/>
  <c r="D197" i="1"/>
  <c r="P196" i="1"/>
  <c r="L196" i="1"/>
  <c r="E196" i="1"/>
  <c r="E194" i="1"/>
  <c r="D196" i="1"/>
  <c r="AB195" i="1"/>
  <c r="P195" i="1"/>
  <c r="L195" i="1"/>
  <c r="E195" i="1"/>
  <c r="D195" i="1"/>
  <c r="AB194" i="1"/>
  <c r="P194" i="1"/>
  <c r="L194" i="1"/>
  <c r="AB193" i="1"/>
  <c r="P193" i="1"/>
  <c r="L193" i="1"/>
  <c r="E193" i="1"/>
  <c r="AB192" i="1"/>
  <c r="Y192" i="1"/>
  <c r="X192" i="1"/>
  <c r="P192" i="1"/>
  <c r="L192" i="1"/>
  <c r="E192" i="1"/>
  <c r="D192" i="1"/>
  <c r="AB191" i="1"/>
  <c r="P191" i="1"/>
  <c r="L191" i="1"/>
  <c r="E191" i="1"/>
  <c r="D191" i="1"/>
  <c r="P190" i="1"/>
  <c r="L190" i="1"/>
  <c r="E190" i="1"/>
  <c r="D190" i="1"/>
  <c r="AB189" i="1"/>
  <c r="Y189" i="1"/>
  <c r="X189" i="1"/>
  <c r="P189" i="1"/>
  <c r="L189" i="1"/>
  <c r="E189" i="1"/>
  <c r="D189" i="1"/>
  <c r="AB188" i="1"/>
  <c r="P188" i="1"/>
  <c r="L188" i="1"/>
  <c r="D188" i="1"/>
  <c r="AB187" i="1"/>
  <c r="P187" i="1"/>
  <c r="L187" i="1"/>
  <c r="E187" i="1"/>
  <c r="AB186" i="1"/>
  <c r="P186" i="1"/>
  <c r="L186" i="1"/>
  <c r="E186" i="1"/>
  <c r="D186" i="1"/>
  <c r="AB185" i="1"/>
  <c r="AA185" i="1"/>
  <c r="X185" i="1"/>
  <c r="P185" i="1"/>
  <c r="O185" i="1"/>
  <c r="N185" i="1"/>
  <c r="L185" i="1"/>
  <c r="E185" i="1"/>
  <c r="D185" i="1"/>
  <c r="AB184" i="1"/>
  <c r="P184" i="1"/>
  <c r="L184" i="1"/>
  <c r="E184" i="1"/>
  <c r="D184" i="1"/>
  <c r="AB183" i="1"/>
  <c r="T183" i="1"/>
  <c r="R183" i="1"/>
  <c r="O183" i="1"/>
  <c r="L183" i="1"/>
  <c r="E183" i="1"/>
  <c r="D183" i="1"/>
  <c r="P177" i="1"/>
  <c r="S177" i="1"/>
  <c r="T177" i="1"/>
  <c r="R181" i="1"/>
  <c r="S181" i="1"/>
  <c r="X181" i="1"/>
  <c r="Y181" i="1"/>
  <c r="AB182" i="1"/>
  <c r="Y182" i="1"/>
  <c r="V182" i="1"/>
  <c r="U182" i="1"/>
  <c r="T182" i="1"/>
  <c r="S182" i="1"/>
  <c r="R182" i="1"/>
  <c r="Q182" i="1"/>
  <c r="P182" i="1"/>
  <c r="O182" i="1"/>
  <c r="N182" i="1"/>
  <c r="L182" i="1"/>
  <c r="E182" i="1"/>
  <c r="D182" i="1"/>
  <c r="V181" i="1"/>
  <c r="P181" i="1"/>
  <c r="L181" i="1"/>
  <c r="G181" i="1"/>
  <c r="D181" i="1"/>
  <c r="P180" i="1"/>
  <c r="E180" i="1"/>
  <c r="D180" i="1"/>
  <c r="L179" i="1"/>
  <c r="D179" i="1"/>
  <c r="P178" i="1"/>
  <c r="L178" i="1"/>
  <c r="E178" i="1"/>
  <c r="D178" i="1"/>
  <c r="AB177" i="1"/>
  <c r="P176" i="1"/>
  <c r="L177" i="1"/>
  <c r="E177" i="1"/>
  <c r="D177" i="1"/>
  <c r="L176" i="1"/>
  <c r="E176" i="1"/>
  <c r="D176" i="1"/>
  <c r="C176" i="1"/>
  <c r="P175" i="1"/>
  <c r="L175" i="1"/>
  <c r="E175" i="1"/>
  <c r="P174" i="1"/>
  <c r="L174" i="1"/>
  <c r="E174" i="1"/>
  <c r="D174" i="1"/>
  <c r="AB173" i="1"/>
  <c r="AA173" i="1"/>
  <c r="P173" i="1"/>
  <c r="L173" i="1"/>
  <c r="D173" i="1"/>
  <c r="P172" i="1"/>
  <c r="L172" i="1"/>
  <c r="E172" i="1"/>
  <c r="D172" i="1"/>
  <c r="C172" i="1"/>
  <c r="AB171" i="1"/>
  <c r="P171" i="1"/>
  <c r="L171" i="1"/>
  <c r="E171" i="1"/>
  <c r="D171" i="1"/>
  <c r="AB170" i="1"/>
  <c r="P170" i="1"/>
  <c r="L170" i="1"/>
  <c r="E170" i="1"/>
  <c r="D170" i="1"/>
  <c r="AB169" i="1"/>
  <c r="P169" i="1"/>
  <c r="L169" i="1"/>
  <c r="E169" i="1"/>
  <c r="D169" i="1"/>
  <c r="AA168" i="1"/>
  <c r="P168" i="1"/>
  <c r="L168" i="1"/>
  <c r="E168" i="1"/>
  <c r="D168" i="1"/>
  <c r="P167" i="1"/>
  <c r="L167" i="1"/>
  <c r="E167" i="1"/>
  <c r="AB166" i="1"/>
  <c r="P166" i="1"/>
  <c r="L166" i="1"/>
  <c r="D166" i="1"/>
  <c r="P164" i="1"/>
  <c r="E164" i="1"/>
  <c r="D164" i="1"/>
  <c r="P163" i="1"/>
  <c r="L163" i="1"/>
  <c r="D163" i="1"/>
  <c r="AB162" i="1"/>
  <c r="P162" i="1"/>
  <c r="L162" i="1"/>
  <c r="E162" i="1"/>
  <c r="D162" i="1"/>
  <c r="L145" i="1"/>
  <c r="E145" i="1"/>
  <c r="D145" i="1"/>
  <c r="C145" i="1"/>
  <c r="P161" i="1"/>
  <c r="L161" i="1"/>
  <c r="D161" i="1"/>
  <c r="E161" i="1"/>
  <c r="AB160" i="1"/>
  <c r="L160" i="1"/>
  <c r="E160" i="1"/>
  <c r="E158" i="1"/>
  <c r="D160" i="1"/>
  <c r="AB158" i="1"/>
  <c r="P158" i="1"/>
  <c r="L158" i="1"/>
  <c r="D158" i="1"/>
  <c r="AB157" i="1"/>
  <c r="L157" i="1"/>
  <c r="E157" i="1"/>
  <c r="AB156" i="1"/>
  <c r="L156" i="1"/>
  <c r="E156" i="1"/>
  <c r="P155" i="1"/>
  <c r="L155" i="1"/>
  <c r="D155" i="1"/>
  <c r="R146" i="1"/>
  <c r="L146" i="1"/>
  <c r="E146" i="1"/>
  <c r="D146" i="1"/>
  <c r="M144" i="1"/>
  <c r="L144" i="1"/>
  <c r="E144" i="1"/>
  <c r="D144" i="1"/>
  <c r="C144" i="1"/>
  <c r="L143" i="1"/>
  <c r="D143" i="1"/>
  <c r="L142" i="1"/>
  <c r="D142" i="1"/>
  <c r="AB139" i="1"/>
  <c r="P139" i="1"/>
  <c r="L139" i="1"/>
  <c r="D139" i="1"/>
  <c r="AB138" i="1"/>
  <c r="P138" i="1"/>
  <c r="E138" i="1"/>
  <c r="D138" i="1"/>
  <c r="AB137" i="1"/>
  <c r="P137" i="1"/>
  <c r="L137" i="1"/>
  <c r="E137" i="1"/>
  <c r="D137" i="1"/>
  <c r="L136" i="1"/>
  <c r="D136" i="1"/>
  <c r="C136" i="1"/>
  <c r="P135" i="1"/>
  <c r="L135" i="1"/>
  <c r="E135" i="1"/>
  <c r="D135" i="1"/>
  <c r="P134" i="1"/>
  <c r="L134" i="1"/>
  <c r="D134" i="1"/>
  <c r="AB133" i="1"/>
  <c r="P133" i="1"/>
  <c r="L133" i="1"/>
  <c r="D133" i="1"/>
  <c r="AB132" i="1"/>
  <c r="P132" i="1"/>
  <c r="L132" i="1"/>
  <c r="D132" i="1"/>
  <c r="C132" i="1"/>
  <c r="L131" i="1"/>
  <c r="D125" i="1"/>
  <c r="AB130" i="1"/>
  <c r="P130" i="1"/>
  <c r="L130" i="1"/>
  <c r="E130" i="1"/>
  <c r="AB129" i="1"/>
  <c r="P129" i="1"/>
  <c r="L129" i="1"/>
  <c r="E129" i="1"/>
  <c r="D129" i="1"/>
  <c r="AB128" i="1"/>
  <c r="P128" i="1"/>
  <c r="E128" i="1"/>
  <c r="D128" i="1"/>
  <c r="P127" i="1"/>
  <c r="D127" i="1"/>
  <c r="AB125" i="1"/>
  <c r="L125" i="1"/>
  <c r="E125" i="1"/>
  <c r="AB124" i="1"/>
  <c r="L124" i="1"/>
  <c r="E124" i="1"/>
  <c r="D124" i="1"/>
  <c r="C63" i="2"/>
  <c r="L63" i="2"/>
  <c r="L64" i="2"/>
  <c r="C64" i="2"/>
  <c r="H63" i="2"/>
  <c r="H64" i="2"/>
  <c r="G63" i="2"/>
  <c r="G64" i="2"/>
  <c r="G65" i="2"/>
  <c r="F63" i="2"/>
  <c r="F64" i="2"/>
  <c r="E63" i="2"/>
  <c r="E64" i="2"/>
  <c r="D63" i="2"/>
  <c r="D64" i="2"/>
  <c r="D95" i="2"/>
  <c r="I63" i="2"/>
  <c r="J63" i="2"/>
  <c r="K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G95" i="2"/>
  <c r="G81" i="2"/>
  <c r="F81" i="2"/>
  <c r="D50" i="2"/>
  <c r="E50" i="2"/>
  <c r="D883" i="1"/>
  <c r="D885" i="1"/>
  <c r="D887" i="1"/>
  <c r="D888" i="1"/>
  <c r="D890" i="1"/>
  <c r="D891" i="1"/>
  <c r="E883" i="1"/>
  <c r="E890" i="1"/>
  <c r="E891" i="1"/>
  <c r="E885" i="1"/>
  <c r="E887" i="1"/>
  <c r="E888" i="1"/>
  <c r="E889" i="1"/>
  <c r="F887" i="1"/>
  <c r="F888" i="1"/>
  <c r="F889" i="1"/>
  <c r="F890" i="1"/>
  <c r="F891" i="1"/>
  <c r="G888" i="1"/>
  <c r="G890" i="1"/>
  <c r="G891" i="1"/>
  <c r="G889" i="1"/>
  <c r="H888" i="1"/>
  <c r="H890" i="1"/>
  <c r="H891" i="1"/>
  <c r="H889" i="1"/>
  <c r="I888" i="1"/>
  <c r="I890" i="1"/>
  <c r="I891" i="1"/>
  <c r="I889" i="1"/>
  <c r="J888" i="1"/>
  <c r="J890" i="1"/>
  <c r="J891" i="1"/>
  <c r="J889" i="1"/>
  <c r="K888" i="1"/>
  <c r="K890" i="1"/>
  <c r="K891" i="1"/>
  <c r="L883" i="1"/>
  <c r="L884" i="1"/>
  <c r="L885" i="1"/>
  <c r="L886" i="1"/>
  <c r="L890" i="1"/>
  <c r="L891" i="1"/>
  <c r="L887" i="1"/>
  <c r="L888" i="1"/>
  <c r="M883" i="1"/>
  <c r="M885" i="1"/>
  <c r="M890" i="1"/>
  <c r="M891" i="1"/>
  <c r="M887" i="1"/>
  <c r="N883" i="1"/>
  <c r="N884" i="1"/>
  <c r="N885" i="1"/>
  <c r="N887" i="1"/>
  <c r="N890" i="1"/>
  <c r="N891" i="1"/>
  <c r="N888" i="1"/>
  <c r="O883" i="1"/>
  <c r="O885" i="1"/>
  <c r="O888" i="1"/>
  <c r="P890" i="1"/>
  <c r="P891" i="1"/>
  <c r="Q883" i="1"/>
  <c r="Q890" i="1"/>
  <c r="Q891" i="1"/>
  <c r="Q885" i="1"/>
  <c r="Q888" i="1"/>
  <c r="R883" i="1"/>
  <c r="R890" i="1"/>
  <c r="R891" i="1"/>
  <c r="R884" i="1"/>
  <c r="R885" i="1"/>
  <c r="R887" i="1"/>
  <c r="R888" i="1"/>
  <c r="S883" i="1"/>
  <c r="S890" i="1"/>
  <c r="S891" i="1"/>
  <c r="S884" i="1"/>
  <c r="S885" i="1"/>
  <c r="S886" i="1"/>
  <c r="S887" i="1"/>
  <c r="S888" i="1"/>
  <c r="T883" i="1"/>
  <c r="T884" i="1"/>
  <c r="T885" i="1"/>
  <c r="T887" i="1"/>
  <c r="T888" i="1"/>
  <c r="T890" i="1"/>
  <c r="T891" i="1"/>
  <c r="U883" i="1"/>
  <c r="U890" i="1"/>
  <c r="U891" i="1"/>
  <c r="U885" i="1"/>
  <c r="U888" i="1"/>
  <c r="V883" i="1"/>
  <c r="V885" i="1"/>
  <c r="V890" i="1"/>
  <c r="V891" i="1"/>
  <c r="V888" i="1"/>
  <c r="W888" i="1"/>
  <c r="W890" i="1"/>
  <c r="W891" i="1"/>
  <c r="X883" i="1"/>
  <c r="X890" i="1"/>
  <c r="X891" i="1"/>
  <c r="X884" i="1"/>
  <c r="X885" i="1"/>
  <c r="X887" i="1"/>
  <c r="X888" i="1"/>
  <c r="Y883" i="1"/>
  <c r="Y888" i="1"/>
  <c r="Z890" i="1"/>
  <c r="Z891" i="1"/>
  <c r="AA883" i="1"/>
  <c r="AA884" i="1"/>
  <c r="AA890" i="1"/>
  <c r="AA891" i="1"/>
  <c r="AA885" i="1"/>
  <c r="AA887" i="1"/>
  <c r="AA888" i="1"/>
  <c r="AB887" i="1"/>
  <c r="AB890" i="1"/>
  <c r="AB891" i="1"/>
  <c r="C883" i="1"/>
  <c r="C890" i="1"/>
  <c r="C891" i="1"/>
  <c r="C884" i="1"/>
  <c r="C885" i="1"/>
  <c r="C886" i="1"/>
  <c r="C887" i="1"/>
  <c r="C888" i="1"/>
  <c r="C889" i="1"/>
  <c r="R879" i="1"/>
  <c r="N879" i="1"/>
  <c r="S879" i="1"/>
  <c r="T879" i="1"/>
  <c r="X879" i="1"/>
  <c r="AA879" i="1"/>
  <c r="AB879" i="1"/>
  <c r="K879" i="1"/>
  <c r="M879" i="1"/>
  <c r="F879" i="1"/>
  <c r="E879" i="1"/>
  <c r="D879" i="1"/>
  <c r="L879" i="1"/>
  <c r="C879" i="1"/>
  <c r="R878" i="1"/>
  <c r="N878" i="1"/>
  <c r="S878" i="1"/>
  <c r="T878" i="1"/>
  <c r="X878" i="1"/>
  <c r="AA878" i="1"/>
  <c r="AB878" i="1"/>
  <c r="K878" i="1"/>
  <c r="M878" i="1"/>
  <c r="F878" i="1"/>
  <c r="E878" i="1"/>
  <c r="D878" i="1"/>
  <c r="L878" i="1"/>
  <c r="C878" i="1"/>
  <c r="R877" i="1"/>
  <c r="N877" i="1"/>
  <c r="S877" i="1"/>
  <c r="T877" i="1"/>
  <c r="X877" i="1"/>
  <c r="AA877" i="1"/>
  <c r="D877" i="1"/>
  <c r="L877" i="1"/>
  <c r="C877" i="1"/>
  <c r="R876" i="1"/>
  <c r="N876" i="1"/>
  <c r="S876" i="1"/>
  <c r="T876" i="1"/>
  <c r="AA876" i="1"/>
  <c r="D876" i="1"/>
  <c r="L876" i="1"/>
  <c r="C876" i="1"/>
  <c r="R875" i="1"/>
  <c r="N875" i="1"/>
  <c r="S875" i="1"/>
  <c r="T875" i="1"/>
  <c r="L875" i="1"/>
  <c r="C875" i="1"/>
  <c r="R874" i="1"/>
  <c r="N874" i="1"/>
  <c r="S874" i="1"/>
  <c r="T874" i="1"/>
  <c r="X874" i="1"/>
  <c r="AA874" i="1"/>
  <c r="AB874" i="1"/>
  <c r="M874" i="1"/>
  <c r="E874" i="1"/>
  <c r="D874" i="1"/>
  <c r="L874" i="1"/>
  <c r="C874" i="1"/>
  <c r="R873" i="1"/>
  <c r="N873" i="1"/>
  <c r="S873" i="1"/>
  <c r="T873" i="1"/>
  <c r="X873" i="1"/>
  <c r="AA873" i="1"/>
  <c r="AB873" i="1"/>
  <c r="M873" i="1"/>
  <c r="E873" i="1"/>
  <c r="D873" i="1"/>
  <c r="L873" i="1"/>
  <c r="C873" i="1"/>
  <c r="R872" i="1"/>
  <c r="N872" i="1"/>
  <c r="S872" i="1"/>
  <c r="T872" i="1"/>
  <c r="X872" i="1"/>
  <c r="AA872" i="1"/>
  <c r="AB872" i="1"/>
  <c r="M872" i="1"/>
  <c r="E872" i="1"/>
  <c r="D872" i="1"/>
  <c r="L872" i="1"/>
  <c r="C872" i="1"/>
  <c r="R871" i="1"/>
  <c r="N871" i="1"/>
  <c r="S871" i="1"/>
  <c r="T871" i="1"/>
  <c r="X871" i="1"/>
  <c r="AA871" i="1"/>
  <c r="AB871" i="1"/>
  <c r="M871" i="1"/>
  <c r="F871" i="1"/>
  <c r="E871" i="1"/>
  <c r="D871" i="1"/>
  <c r="L871" i="1"/>
  <c r="C871" i="1"/>
  <c r="R870" i="1"/>
  <c r="N870" i="1"/>
  <c r="S870" i="1"/>
  <c r="T870" i="1"/>
  <c r="X870" i="1"/>
  <c r="AA870" i="1"/>
  <c r="AB870" i="1"/>
  <c r="M870" i="1"/>
  <c r="F870" i="1"/>
  <c r="E870" i="1"/>
  <c r="D870" i="1"/>
  <c r="L870" i="1"/>
  <c r="C870" i="1"/>
  <c r="R869" i="1"/>
  <c r="N869" i="1"/>
  <c r="X869" i="1"/>
  <c r="AA869" i="1"/>
  <c r="AB869" i="1"/>
  <c r="M869" i="1"/>
  <c r="E869" i="1"/>
  <c r="D869" i="1"/>
  <c r="L869" i="1"/>
  <c r="C869" i="1"/>
  <c r="R868" i="1"/>
  <c r="N868" i="1"/>
  <c r="S868" i="1"/>
  <c r="T868" i="1"/>
  <c r="X868" i="1"/>
  <c r="AA868" i="1"/>
  <c r="AB868" i="1"/>
  <c r="M868" i="1"/>
  <c r="F868" i="1"/>
  <c r="E868" i="1"/>
  <c r="D868" i="1"/>
  <c r="L868" i="1"/>
  <c r="C868" i="1"/>
  <c r="R867" i="1"/>
  <c r="N867" i="1"/>
  <c r="S867" i="1"/>
  <c r="T867" i="1"/>
  <c r="X867" i="1"/>
  <c r="AA867" i="1"/>
  <c r="AB867" i="1"/>
  <c r="M867" i="1"/>
  <c r="F867" i="1"/>
  <c r="E867" i="1"/>
  <c r="D867" i="1"/>
  <c r="L867" i="1"/>
  <c r="C867" i="1"/>
  <c r="R866" i="1"/>
  <c r="N866" i="1"/>
  <c r="S866" i="1"/>
  <c r="T866" i="1"/>
  <c r="X866" i="1"/>
  <c r="AA866" i="1"/>
  <c r="M866" i="1"/>
  <c r="F866" i="1"/>
  <c r="E866" i="1"/>
  <c r="D866" i="1"/>
  <c r="L866" i="1"/>
  <c r="C866" i="1"/>
  <c r="D865" i="1"/>
  <c r="L865" i="1"/>
  <c r="C865" i="1"/>
  <c r="R864" i="1"/>
  <c r="N864" i="1"/>
  <c r="X864" i="1"/>
  <c r="AA864" i="1"/>
  <c r="E864" i="1"/>
  <c r="D864" i="1"/>
  <c r="C864" i="1"/>
  <c r="R863" i="1"/>
  <c r="N863" i="1"/>
  <c r="S863" i="1"/>
  <c r="T863" i="1"/>
  <c r="X863" i="1"/>
  <c r="AA863" i="1"/>
  <c r="M863" i="1"/>
  <c r="F863" i="1"/>
  <c r="E863" i="1"/>
  <c r="D863" i="1"/>
  <c r="L863" i="1"/>
  <c r="C863" i="1"/>
  <c r="R862" i="1"/>
  <c r="N862" i="1"/>
  <c r="S862" i="1"/>
  <c r="T862" i="1"/>
  <c r="X862" i="1"/>
  <c r="AA862" i="1"/>
  <c r="AB862" i="1"/>
  <c r="M862" i="1"/>
  <c r="F862" i="1"/>
  <c r="E862" i="1"/>
  <c r="D862" i="1"/>
  <c r="L862" i="1"/>
  <c r="C862" i="1"/>
  <c r="R861" i="1"/>
  <c r="N861" i="1"/>
  <c r="S861" i="1"/>
  <c r="T861" i="1"/>
  <c r="X861" i="1"/>
  <c r="AA861" i="1"/>
  <c r="AB861" i="1"/>
  <c r="K861" i="1"/>
  <c r="M861" i="1"/>
  <c r="F861" i="1"/>
  <c r="E861" i="1"/>
  <c r="D861" i="1"/>
  <c r="L861" i="1"/>
  <c r="C861" i="1"/>
  <c r="R860" i="1"/>
  <c r="N860" i="1"/>
  <c r="S860" i="1"/>
  <c r="T860" i="1"/>
  <c r="X860" i="1"/>
  <c r="AA860" i="1"/>
  <c r="AB860" i="1"/>
  <c r="M860" i="1"/>
  <c r="E860" i="1"/>
  <c r="D860" i="1"/>
  <c r="L860" i="1"/>
  <c r="C860" i="1"/>
  <c r="R859" i="1"/>
  <c r="N859" i="1"/>
  <c r="S859" i="1"/>
  <c r="T859" i="1"/>
  <c r="X859" i="1"/>
  <c r="AA859" i="1"/>
  <c r="M859" i="1"/>
  <c r="F859" i="1"/>
  <c r="E859" i="1"/>
  <c r="D859" i="1"/>
  <c r="L859" i="1"/>
  <c r="C859" i="1"/>
  <c r="R858" i="1"/>
  <c r="N858" i="1"/>
  <c r="S858" i="1"/>
  <c r="T858" i="1"/>
  <c r="M858" i="1"/>
  <c r="F858" i="1"/>
  <c r="E858" i="1"/>
  <c r="D858" i="1"/>
  <c r="L858" i="1"/>
  <c r="C858" i="1"/>
  <c r="R857" i="1"/>
  <c r="N857" i="1"/>
  <c r="S857" i="1"/>
  <c r="K857" i="1"/>
  <c r="M857" i="1"/>
  <c r="F857" i="1"/>
  <c r="E857" i="1"/>
  <c r="D857" i="1"/>
  <c r="L857" i="1"/>
  <c r="C857" i="1"/>
  <c r="S856" i="1"/>
  <c r="L856" i="1"/>
  <c r="C856" i="1"/>
  <c r="R855" i="1"/>
  <c r="N855" i="1"/>
  <c r="S855" i="1"/>
  <c r="M855" i="1"/>
  <c r="D855" i="1"/>
  <c r="L855" i="1"/>
  <c r="C855" i="1"/>
  <c r="R854" i="1"/>
  <c r="N854" i="1"/>
  <c r="S854" i="1"/>
  <c r="M854" i="1"/>
  <c r="D854" i="1"/>
  <c r="L854" i="1"/>
  <c r="C854" i="1"/>
  <c r="R853" i="1"/>
  <c r="N853" i="1"/>
  <c r="S853" i="1"/>
  <c r="T853" i="1"/>
  <c r="AA853" i="1"/>
  <c r="AB853" i="1"/>
  <c r="M853" i="1"/>
  <c r="E853" i="1"/>
  <c r="D853" i="1"/>
  <c r="L853" i="1"/>
  <c r="C853" i="1"/>
  <c r="R852" i="1"/>
  <c r="N852" i="1"/>
  <c r="S852" i="1"/>
  <c r="T852" i="1"/>
  <c r="X852" i="1"/>
  <c r="AA852" i="1"/>
  <c r="AB852" i="1"/>
  <c r="K852" i="1"/>
  <c r="M852" i="1"/>
  <c r="F852" i="1"/>
  <c r="E852" i="1"/>
  <c r="D852" i="1"/>
  <c r="L852" i="1"/>
  <c r="C852" i="1"/>
  <c r="R851" i="1"/>
  <c r="N851" i="1"/>
  <c r="S851" i="1"/>
  <c r="T851" i="1"/>
  <c r="X851" i="1"/>
  <c r="AA851" i="1"/>
  <c r="AB851" i="1"/>
  <c r="M851" i="1"/>
  <c r="F851" i="1"/>
  <c r="E851" i="1"/>
  <c r="D851" i="1"/>
  <c r="L851" i="1"/>
  <c r="C851" i="1"/>
  <c r="R850" i="1"/>
  <c r="N850" i="1"/>
  <c r="S850" i="1"/>
  <c r="T850" i="1"/>
  <c r="X850" i="1"/>
  <c r="AA850" i="1"/>
  <c r="AB850" i="1"/>
  <c r="K850" i="1"/>
  <c r="M850" i="1"/>
  <c r="F850" i="1"/>
  <c r="E850" i="1"/>
  <c r="D850" i="1"/>
  <c r="L850" i="1"/>
  <c r="C850" i="1"/>
  <c r="R849" i="1"/>
  <c r="N849" i="1"/>
  <c r="S849" i="1"/>
  <c r="T849" i="1"/>
  <c r="X849" i="1"/>
  <c r="AA849" i="1"/>
  <c r="AB849" i="1"/>
  <c r="K849" i="1"/>
  <c r="M849" i="1"/>
  <c r="F849" i="1"/>
  <c r="E849" i="1"/>
  <c r="D849" i="1"/>
  <c r="L849" i="1"/>
  <c r="C849" i="1"/>
  <c r="R848" i="1"/>
  <c r="N848" i="1"/>
  <c r="S848" i="1"/>
  <c r="T848" i="1"/>
  <c r="X848" i="1"/>
  <c r="AA848" i="1"/>
  <c r="AB848" i="1"/>
  <c r="M848" i="1"/>
  <c r="F848" i="1"/>
  <c r="E848" i="1"/>
  <c r="D848" i="1"/>
  <c r="L848" i="1"/>
  <c r="C848" i="1"/>
  <c r="R847" i="1"/>
  <c r="N847" i="1"/>
  <c r="S847" i="1"/>
  <c r="T847" i="1"/>
  <c r="X847" i="1"/>
  <c r="AA847" i="1"/>
  <c r="AB847" i="1"/>
  <c r="M847" i="1"/>
  <c r="F847" i="1"/>
  <c r="E847" i="1"/>
  <c r="D847" i="1"/>
  <c r="L847" i="1"/>
  <c r="C847" i="1"/>
  <c r="R846" i="1"/>
  <c r="N846" i="1"/>
  <c r="S846" i="1"/>
  <c r="T846" i="1"/>
  <c r="X846" i="1"/>
  <c r="AA846" i="1"/>
  <c r="AB846" i="1"/>
  <c r="E846" i="1"/>
  <c r="D846" i="1"/>
  <c r="L846" i="1"/>
  <c r="C846" i="1"/>
  <c r="R845" i="1"/>
  <c r="N845" i="1"/>
  <c r="S845" i="1"/>
  <c r="T845" i="1"/>
  <c r="X845" i="1"/>
  <c r="AA845" i="1"/>
  <c r="AB845" i="1"/>
  <c r="K845" i="1"/>
  <c r="M845" i="1"/>
  <c r="F845" i="1"/>
  <c r="E845" i="1"/>
  <c r="D845" i="1"/>
  <c r="L845" i="1"/>
  <c r="C845" i="1"/>
  <c r="E844" i="1"/>
  <c r="D844" i="1"/>
  <c r="L844" i="1"/>
  <c r="C844" i="1"/>
  <c r="R843" i="1"/>
  <c r="N843" i="1"/>
  <c r="S843" i="1"/>
  <c r="T843" i="1"/>
  <c r="X843" i="1"/>
  <c r="AA843" i="1"/>
  <c r="AB843" i="1"/>
  <c r="M843" i="1"/>
  <c r="F843" i="1"/>
  <c r="E843" i="1"/>
  <c r="D843" i="1"/>
  <c r="L843" i="1"/>
  <c r="C843" i="1"/>
  <c r="R842" i="1"/>
  <c r="N842" i="1"/>
  <c r="S842" i="1"/>
  <c r="T842" i="1"/>
  <c r="X842" i="1"/>
  <c r="AA842" i="1"/>
  <c r="AB842" i="1"/>
  <c r="M842" i="1"/>
  <c r="F842" i="1"/>
  <c r="E842" i="1"/>
  <c r="D842" i="1"/>
  <c r="L842" i="1"/>
  <c r="C842" i="1"/>
  <c r="R841" i="1"/>
  <c r="N841" i="1"/>
  <c r="S841" i="1"/>
  <c r="T841" i="1"/>
  <c r="X841" i="1"/>
  <c r="AA841" i="1"/>
  <c r="AB841" i="1"/>
  <c r="K841" i="1"/>
  <c r="M841" i="1"/>
  <c r="F841" i="1"/>
  <c r="E841" i="1"/>
  <c r="D841" i="1"/>
  <c r="L841" i="1"/>
  <c r="C841" i="1"/>
  <c r="S840" i="1"/>
  <c r="E840" i="1"/>
  <c r="D840" i="1"/>
  <c r="L840" i="1"/>
  <c r="C840" i="1"/>
  <c r="R839" i="1"/>
  <c r="N839" i="1"/>
  <c r="S839" i="1"/>
  <c r="T839" i="1"/>
  <c r="X839" i="1"/>
  <c r="AA839" i="1"/>
  <c r="AB839" i="1"/>
  <c r="K839" i="1"/>
  <c r="M839" i="1"/>
  <c r="F839" i="1"/>
  <c r="E839" i="1"/>
  <c r="D839" i="1"/>
  <c r="L839" i="1"/>
  <c r="C839" i="1"/>
  <c r="S838" i="1"/>
  <c r="E838" i="1"/>
  <c r="D838" i="1"/>
  <c r="L838" i="1"/>
  <c r="C838" i="1"/>
  <c r="R837" i="1"/>
  <c r="N837" i="1"/>
  <c r="S837" i="1"/>
  <c r="T837" i="1"/>
  <c r="X837" i="1"/>
  <c r="AA837" i="1"/>
  <c r="AB837" i="1"/>
  <c r="K837" i="1"/>
  <c r="M837" i="1"/>
  <c r="F837" i="1"/>
  <c r="E837" i="1"/>
  <c r="D837" i="1"/>
  <c r="L837" i="1"/>
  <c r="C837" i="1"/>
  <c r="R836" i="1"/>
  <c r="N836" i="1"/>
  <c r="S836" i="1"/>
  <c r="T836" i="1"/>
  <c r="X836" i="1"/>
  <c r="AA836" i="1"/>
  <c r="AB836" i="1"/>
  <c r="K836" i="1"/>
  <c r="M836" i="1"/>
  <c r="F836" i="1"/>
  <c r="E836" i="1"/>
  <c r="D836" i="1"/>
  <c r="L836" i="1"/>
  <c r="C836" i="1"/>
  <c r="R834" i="1"/>
  <c r="N834" i="1"/>
  <c r="S834" i="1"/>
  <c r="T834" i="1"/>
  <c r="X834" i="1"/>
  <c r="AA834" i="1"/>
  <c r="AB834" i="1"/>
  <c r="M834" i="1"/>
  <c r="F834" i="1"/>
  <c r="E834" i="1"/>
  <c r="D834" i="1"/>
  <c r="L834" i="1"/>
  <c r="C834" i="1"/>
  <c r="S833" i="1"/>
  <c r="E833" i="1"/>
  <c r="D833" i="1"/>
  <c r="L833" i="1"/>
  <c r="C833" i="1"/>
  <c r="R832" i="1"/>
  <c r="N832" i="1"/>
  <c r="S832" i="1"/>
  <c r="T832" i="1"/>
  <c r="X832" i="1"/>
  <c r="AA832" i="1"/>
  <c r="AB832" i="1"/>
  <c r="K832" i="1"/>
  <c r="M832" i="1"/>
  <c r="F832" i="1"/>
  <c r="E832" i="1"/>
  <c r="D832" i="1"/>
  <c r="L832" i="1"/>
  <c r="C832" i="1"/>
  <c r="R831" i="1"/>
  <c r="N831" i="1"/>
  <c r="S831" i="1"/>
  <c r="T831" i="1"/>
  <c r="X831" i="1"/>
  <c r="AA831" i="1"/>
  <c r="AB831" i="1"/>
  <c r="M831" i="1"/>
  <c r="F831" i="1"/>
  <c r="E831" i="1"/>
  <c r="D831" i="1"/>
  <c r="L831" i="1"/>
  <c r="C831" i="1"/>
  <c r="R830" i="1"/>
  <c r="N830" i="1"/>
  <c r="S830" i="1"/>
  <c r="T830" i="1"/>
  <c r="X830" i="1"/>
  <c r="AA830" i="1"/>
  <c r="AB830" i="1"/>
  <c r="M830" i="1"/>
  <c r="F830" i="1"/>
  <c r="E830" i="1"/>
  <c r="D830" i="1"/>
  <c r="L830" i="1"/>
  <c r="C830" i="1"/>
  <c r="R829" i="1"/>
  <c r="N829" i="1"/>
  <c r="S829" i="1"/>
  <c r="T829" i="1"/>
  <c r="X829" i="1"/>
  <c r="AA829" i="1"/>
  <c r="K829" i="1"/>
  <c r="F829" i="1"/>
  <c r="E829" i="1"/>
  <c r="D829" i="1"/>
  <c r="L829" i="1"/>
  <c r="C829" i="1"/>
  <c r="R828" i="1"/>
  <c r="N828" i="1"/>
  <c r="S828" i="1"/>
  <c r="T828" i="1"/>
  <c r="X828" i="1"/>
  <c r="AA828" i="1"/>
  <c r="AB828" i="1"/>
  <c r="M828" i="1"/>
  <c r="F828" i="1"/>
  <c r="E828" i="1"/>
  <c r="D828" i="1"/>
  <c r="L828" i="1"/>
  <c r="C828" i="1"/>
  <c r="R827" i="1"/>
  <c r="N827" i="1"/>
  <c r="E827" i="1"/>
  <c r="D827" i="1"/>
  <c r="L827" i="1"/>
  <c r="C827" i="1"/>
  <c r="R826" i="1"/>
  <c r="N826" i="1"/>
  <c r="S826" i="1"/>
  <c r="T826" i="1"/>
  <c r="X826" i="1"/>
  <c r="AA826" i="1"/>
  <c r="AB826" i="1"/>
  <c r="K826" i="1"/>
  <c r="M826" i="1"/>
  <c r="F826" i="1"/>
  <c r="E826" i="1"/>
  <c r="D826" i="1"/>
  <c r="L826" i="1"/>
  <c r="C826" i="1"/>
  <c r="R825" i="1"/>
  <c r="N825" i="1"/>
  <c r="S825" i="1"/>
  <c r="T825" i="1"/>
  <c r="X825" i="1"/>
  <c r="AA825" i="1"/>
  <c r="AB825" i="1"/>
  <c r="M825" i="1"/>
  <c r="F825" i="1"/>
  <c r="E825" i="1"/>
  <c r="D825" i="1"/>
  <c r="L825" i="1"/>
  <c r="C825" i="1"/>
  <c r="R824" i="1"/>
  <c r="N824" i="1"/>
  <c r="S824" i="1"/>
  <c r="T824" i="1"/>
  <c r="R823" i="1"/>
  <c r="N823" i="1"/>
  <c r="S823" i="1"/>
  <c r="T823" i="1"/>
  <c r="X823" i="1"/>
  <c r="AA823" i="1"/>
  <c r="AB823" i="1"/>
  <c r="M823" i="1"/>
  <c r="E823" i="1"/>
  <c r="D823" i="1"/>
  <c r="L823" i="1"/>
  <c r="C823" i="1"/>
  <c r="R822" i="1"/>
  <c r="N822" i="1"/>
  <c r="S822" i="1"/>
  <c r="T822" i="1"/>
  <c r="X822" i="1"/>
  <c r="AA822" i="1"/>
  <c r="K822" i="1"/>
  <c r="F822" i="1"/>
  <c r="E822" i="1"/>
  <c r="D822" i="1"/>
  <c r="L822" i="1"/>
  <c r="C822" i="1"/>
  <c r="S821" i="1"/>
  <c r="E821" i="1"/>
  <c r="D821" i="1"/>
  <c r="L821" i="1"/>
  <c r="C821" i="1"/>
  <c r="R820" i="1"/>
  <c r="N820" i="1"/>
  <c r="S820" i="1"/>
  <c r="T820" i="1"/>
  <c r="X820" i="1"/>
  <c r="AA820" i="1"/>
  <c r="AB820" i="1"/>
  <c r="K820" i="1"/>
  <c r="M820" i="1"/>
  <c r="F820" i="1"/>
  <c r="E820" i="1"/>
  <c r="D820" i="1"/>
  <c r="L820" i="1"/>
  <c r="C820" i="1"/>
  <c r="R819" i="1"/>
  <c r="N819" i="1"/>
  <c r="S819" i="1"/>
  <c r="T819" i="1"/>
  <c r="X819" i="1"/>
  <c r="AA819" i="1"/>
  <c r="AB819" i="1"/>
  <c r="M819" i="1"/>
  <c r="F819" i="1"/>
  <c r="E819" i="1"/>
  <c r="D819" i="1"/>
  <c r="L819" i="1"/>
  <c r="C819" i="1"/>
  <c r="R818" i="1"/>
  <c r="N818" i="1"/>
  <c r="S818" i="1"/>
  <c r="T818" i="1"/>
  <c r="X818" i="1"/>
  <c r="AB818" i="1"/>
  <c r="M818" i="1"/>
  <c r="F818" i="1"/>
  <c r="E818" i="1"/>
  <c r="D818" i="1"/>
  <c r="L818" i="1"/>
  <c r="C818" i="1"/>
  <c r="R817" i="1"/>
  <c r="N817" i="1"/>
  <c r="S817" i="1"/>
  <c r="T817" i="1"/>
  <c r="X817" i="1"/>
  <c r="AA817" i="1"/>
  <c r="AB817" i="1"/>
  <c r="K817" i="1"/>
  <c r="M817" i="1"/>
  <c r="F817" i="1"/>
  <c r="E817" i="1"/>
  <c r="D817" i="1"/>
  <c r="L817" i="1"/>
  <c r="C817" i="1"/>
  <c r="R816" i="1"/>
  <c r="N816" i="1"/>
  <c r="S816" i="1"/>
  <c r="T816" i="1"/>
  <c r="X816" i="1"/>
  <c r="AA816" i="1"/>
  <c r="AB816" i="1"/>
  <c r="M816" i="1"/>
  <c r="F816" i="1"/>
  <c r="E816" i="1"/>
  <c r="D816" i="1"/>
  <c r="L816" i="1"/>
  <c r="C816" i="1"/>
  <c r="R815" i="1"/>
  <c r="N815" i="1"/>
  <c r="S815" i="1"/>
  <c r="M815" i="1"/>
  <c r="D815" i="1"/>
  <c r="L815" i="1"/>
  <c r="C815" i="1"/>
  <c r="R814" i="1"/>
  <c r="N814" i="1"/>
  <c r="S814" i="1"/>
  <c r="T814" i="1"/>
  <c r="X814" i="1"/>
  <c r="AA814" i="1"/>
  <c r="AB814" i="1"/>
  <c r="M814" i="1"/>
  <c r="F814" i="1"/>
  <c r="E814" i="1"/>
  <c r="D814" i="1"/>
  <c r="L814" i="1"/>
  <c r="C814" i="1"/>
  <c r="R813" i="1"/>
  <c r="N813" i="1"/>
  <c r="S813" i="1"/>
  <c r="T813" i="1"/>
  <c r="X813" i="1"/>
  <c r="AA813" i="1"/>
  <c r="K813" i="1"/>
  <c r="F813" i="1"/>
  <c r="E813" i="1"/>
  <c r="D813" i="1"/>
  <c r="L813" i="1"/>
  <c r="C813" i="1"/>
  <c r="R812" i="1"/>
  <c r="N812" i="1"/>
  <c r="S812" i="1"/>
  <c r="T812" i="1"/>
  <c r="X812" i="1"/>
  <c r="AA812" i="1"/>
  <c r="K812" i="1"/>
  <c r="F812" i="1"/>
  <c r="E812" i="1"/>
  <c r="D812" i="1"/>
  <c r="L812" i="1"/>
  <c r="C812" i="1"/>
  <c r="R811" i="1"/>
  <c r="N811" i="1"/>
  <c r="S811" i="1"/>
  <c r="K811" i="1"/>
  <c r="F811" i="1"/>
  <c r="E811" i="1"/>
  <c r="D811" i="1"/>
  <c r="L811" i="1"/>
  <c r="C811" i="1"/>
  <c r="R810" i="1"/>
  <c r="N810" i="1"/>
  <c r="S810" i="1"/>
  <c r="T810" i="1"/>
  <c r="X810" i="1"/>
  <c r="AA810" i="1"/>
  <c r="AB810" i="1"/>
  <c r="K810" i="1"/>
  <c r="F810" i="1"/>
  <c r="E810" i="1"/>
  <c r="D810" i="1"/>
  <c r="L810" i="1"/>
  <c r="C810" i="1"/>
  <c r="R809" i="1"/>
  <c r="N809" i="1"/>
  <c r="S809" i="1"/>
  <c r="T809" i="1"/>
  <c r="X809" i="1"/>
  <c r="AA809" i="1"/>
  <c r="AB809" i="1"/>
  <c r="K809" i="1"/>
  <c r="M809" i="1"/>
  <c r="F809" i="1"/>
  <c r="E809" i="1"/>
  <c r="D809" i="1"/>
  <c r="L809" i="1"/>
  <c r="C809" i="1"/>
  <c r="R808" i="1"/>
  <c r="N808" i="1"/>
  <c r="S808" i="1"/>
  <c r="T808" i="1"/>
  <c r="X808" i="1"/>
  <c r="AA808" i="1"/>
  <c r="K808" i="1"/>
  <c r="F808" i="1"/>
  <c r="E808" i="1"/>
  <c r="D808" i="1"/>
  <c r="L808" i="1"/>
  <c r="C808" i="1"/>
  <c r="S807" i="1"/>
  <c r="E807" i="1"/>
  <c r="D807" i="1"/>
  <c r="L807" i="1"/>
  <c r="C807" i="1"/>
  <c r="R806" i="1"/>
  <c r="N806" i="1"/>
  <c r="S806" i="1"/>
  <c r="T806" i="1"/>
  <c r="X806" i="1"/>
  <c r="AA806" i="1"/>
  <c r="AB806" i="1"/>
  <c r="K806" i="1"/>
  <c r="M806" i="1"/>
  <c r="F806" i="1"/>
  <c r="E806" i="1"/>
  <c r="D806" i="1"/>
  <c r="L806" i="1"/>
  <c r="C806" i="1"/>
  <c r="R805" i="1"/>
  <c r="N805" i="1"/>
  <c r="S805" i="1"/>
  <c r="T805" i="1"/>
  <c r="X805" i="1"/>
  <c r="AA805" i="1"/>
  <c r="AB805" i="1"/>
  <c r="K805" i="1"/>
  <c r="M805" i="1"/>
  <c r="F805" i="1"/>
  <c r="E805" i="1"/>
  <c r="D805" i="1"/>
  <c r="L805" i="1"/>
  <c r="C805" i="1"/>
  <c r="E804" i="1"/>
  <c r="D804" i="1"/>
  <c r="L804" i="1"/>
  <c r="C804" i="1"/>
  <c r="R803" i="1"/>
  <c r="N803" i="1"/>
  <c r="S803" i="1"/>
  <c r="T803" i="1"/>
  <c r="X803" i="1"/>
  <c r="AA803" i="1"/>
  <c r="AB803" i="1"/>
  <c r="K803" i="1"/>
  <c r="F803" i="1"/>
  <c r="E803" i="1"/>
  <c r="D803" i="1"/>
  <c r="L803" i="1"/>
  <c r="C803" i="1"/>
  <c r="E802" i="1"/>
  <c r="D802" i="1"/>
  <c r="L802" i="1"/>
  <c r="C802" i="1"/>
  <c r="R801" i="1"/>
  <c r="N801" i="1"/>
  <c r="S801" i="1"/>
  <c r="T801" i="1"/>
  <c r="K801" i="1"/>
  <c r="E801" i="1"/>
  <c r="D801" i="1"/>
  <c r="C801" i="1"/>
  <c r="R800" i="1"/>
  <c r="N800" i="1"/>
  <c r="S800" i="1"/>
  <c r="T800" i="1"/>
  <c r="X800" i="1"/>
  <c r="AA800" i="1"/>
  <c r="AB800" i="1"/>
  <c r="K800" i="1"/>
  <c r="F800" i="1"/>
  <c r="E800" i="1"/>
  <c r="D800" i="1"/>
  <c r="L800" i="1"/>
  <c r="C800" i="1"/>
  <c r="E799" i="1"/>
  <c r="D799" i="1"/>
  <c r="C799" i="1"/>
  <c r="R797" i="1"/>
  <c r="N797" i="1"/>
  <c r="S797" i="1"/>
  <c r="T797" i="1"/>
  <c r="M797" i="1"/>
  <c r="F797" i="1"/>
  <c r="E797" i="1"/>
  <c r="D797" i="1"/>
  <c r="L797" i="1"/>
  <c r="C797" i="1"/>
  <c r="R796" i="1"/>
  <c r="N796" i="1"/>
  <c r="T796" i="1"/>
  <c r="X796" i="1"/>
  <c r="AB796" i="1"/>
  <c r="M796" i="1"/>
  <c r="D796" i="1"/>
  <c r="L796" i="1"/>
  <c r="C796" i="1"/>
  <c r="R795" i="1"/>
  <c r="N795" i="1"/>
  <c r="S795" i="1"/>
  <c r="T795" i="1"/>
  <c r="X795" i="1"/>
  <c r="AA795" i="1"/>
  <c r="AB795" i="1"/>
  <c r="M795" i="1"/>
  <c r="F795" i="1"/>
  <c r="E795" i="1"/>
  <c r="D795" i="1"/>
  <c r="L795" i="1"/>
  <c r="C795" i="1"/>
  <c r="R794" i="1"/>
  <c r="N794" i="1"/>
  <c r="S794" i="1"/>
  <c r="T794" i="1"/>
  <c r="X794" i="1"/>
  <c r="AA794" i="1"/>
  <c r="AB794" i="1"/>
  <c r="M794" i="1"/>
  <c r="F794" i="1"/>
  <c r="E794" i="1"/>
  <c r="D794" i="1"/>
  <c r="L794" i="1"/>
  <c r="C794" i="1"/>
  <c r="R793" i="1"/>
  <c r="N793" i="1"/>
  <c r="S793" i="1"/>
  <c r="T793" i="1"/>
  <c r="X793" i="1"/>
  <c r="AA793" i="1"/>
  <c r="M793" i="1"/>
  <c r="F793" i="1"/>
  <c r="E793" i="1"/>
  <c r="D793" i="1"/>
  <c r="L793" i="1"/>
  <c r="C793" i="1"/>
  <c r="R792" i="1"/>
  <c r="N792" i="1"/>
  <c r="S792" i="1"/>
  <c r="T792" i="1"/>
  <c r="X792" i="1"/>
  <c r="AA792" i="1"/>
  <c r="AB792" i="1"/>
  <c r="K792" i="1"/>
  <c r="M792" i="1"/>
  <c r="F792" i="1"/>
  <c r="E792" i="1"/>
  <c r="D792" i="1"/>
  <c r="L792" i="1"/>
  <c r="C792" i="1"/>
  <c r="R791" i="1"/>
  <c r="N791" i="1"/>
  <c r="S791" i="1"/>
  <c r="T791" i="1"/>
  <c r="X791" i="1"/>
  <c r="AA791" i="1"/>
  <c r="AB791" i="1"/>
  <c r="K791" i="1"/>
  <c r="M791" i="1"/>
  <c r="F791" i="1"/>
  <c r="E791" i="1"/>
  <c r="D791" i="1"/>
  <c r="L791" i="1"/>
  <c r="C791" i="1"/>
  <c r="R790" i="1"/>
  <c r="N790" i="1"/>
  <c r="T790" i="1"/>
  <c r="X790" i="1"/>
  <c r="AA790" i="1"/>
  <c r="AB790" i="1"/>
  <c r="M790" i="1"/>
  <c r="F790" i="1"/>
  <c r="E790" i="1"/>
  <c r="D790" i="1"/>
  <c r="L790" i="1"/>
  <c r="C790" i="1"/>
  <c r="R789" i="1"/>
  <c r="N789" i="1"/>
  <c r="S789" i="1"/>
  <c r="T789" i="1"/>
  <c r="X789" i="1"/>
  <c r="AA789" i="1"/>
  <c r="AB789" i="1"/>
  <c r="M789" i="1"/>
  <c r="F789" i="1"/>
  <c r="E789" i="1"/>
  <c r="D789" i="1"/>
  <c r="L789" i="1"/>
  <c r="C789" i="1"/>
  <c r="R788" i="1"/>
  <c r="N788" i="1"/>
  <c r="S788" i="1"/>
  <c r="T788" i="1"/>
  <c r="K788" i="1"/>
  <c r="E788" i="1"/>
  <c r="D788" i="1"/>
  <c r="C788" i="1"/>
  <c r="R787" i="1"/>
  <c r="N787" i="1"/>
  <c r="S787" i="1"/>
  <c r="T787" i="1"/>
  <c r="X787" i="1"/>
  <c r="AA787" i="1"/>
  <c r="AB787" i="1"/>
  <c r="K787" i="1"/>
  <c r="F787" i="1"/>
  <c r="E787" i="1"/>
  <c r="D787" i="1"/>
  <c r="C787" i="1"/>
  <c r="R786" i="1"/>
  <c r="N786" i="1"/>
  <c r="S786" i="1"/>
  <c r="T786" i="1"/>
  <c r="X786" i="1"/>
  <c r="AA786" i="1"/>
  <c r="AB786" i="1"/>
  <c r="K786" i="1"/>
  <c r="F786" i="1"/>
  <c r="E786" i="1"/>
  <c r="D786" i="1"/>
  <c r="C786" i="1"/>
  <c r="R785" i="1"/>
  <c r="N785" i="1"/>
  <c r="X785" i="1"/>
  <c r="AA785" i="1"/>
  <c r="E785" i="1"/>
  <c r="D785" i="1"/>
  <c r="C785" i="1"/>
  <c r="R784" i="1"/>
  <c r="N784" i="1"/>
  <c r="S784" i="1"/>
  <c r="T784" i="1"/>
  <c r="X784" i="1"/>
  <c r="AA784" i="1"/>
  <c r="K784" i="1"/>
  <c r="F784" i="1"/>
  <c r="E784" i="1"/>
  <c r="D784" i="1"/>
  <c r="C784" i="1"/>
  <c r="E781" i="1"/>
  <c r="D781" i="1"/>
  <c r="L781" i="1"/>
  <c r="C781" i="1"/>
  <c r="E780" i="1"/>
  <c r="D780" i="1"/>
  <c r="L780" i="1"/>
  <c r="C780" i="1"/>
  <c r="R779" i="1"/>
  <c r="N779" i="1"/>
  <c r="S779" i="1"/>
  <c r="T779" i="1"/>
  <c r="X779" i="1"/>
  <c r="AA779" i="1"/>
  <c r="AB779" i="1"/>
  <c r="K779" i="1"/>
  <c r="M779" i="1"/>
  <c r="F779" i="1"/>
  <c r="E779" i="1"/>
  <c r="D779" i="1"/>
  <c r="L779" i="1"/>
  <c r="C779" i="1"/>
  <c r="R778" i="1"/>
  <c r="N778" i="1"/>
  <c r="S778" i="1"/>
  <c r="T778" i="1"/>
  <c r="X778" i="1"/>
  <c r="AA778" i="1"/>
  <c r="AB778" i="1"/>
  <c r="K778" i="1"/>
  <c r="M778" i="1"/>
  <c r="F778" i="1"/>
  <c r="E778" i="1"/>
  <c r="D778" i="1"/>
  <c r="L778" i="1"/>
  <c r="C778" i="1"/>
  <c r="R777" i="1"/>
  <c r="N777" i="1"/>
  <c r="S777" i="1"/>
  <c r="T777" i="1"/>
  <c r="X777" i="1"/>
  <c r="AA777" i="1"/>
  <c r="AB777" i="1"/>
  <c r="M777" i="1"/>
  <c r="E777" i="1"/>
  <c r="D777" i="1"/>
  <c r="L777" i="1"/>
  <c r="C777" i="1"/>
  <c r="R776" i="1"/>
  <c r="N776" i="1"/>
  <c r="X776" i="1"/>
  <c r="AA776" i="1"/>
  <c r="AB776" i="1"/>
  <c r="M776" i="1"/>
  <c r="E776" i="1"/>
  <c r="D776" i="1"/>
  <c r="L776" i="1"/>
  <c r="C776" i="1"/>
  <c r="R775" i="1"/>
  <c r="N775" i="1"/>
  <c r="S775" i="1"/>
  <c r="K775" i="1"/>
  <c r="F775" i="1"/>
  <c r="E775" i="1"/>
  <c r="D775" i="1"/>
  <c r="C775" i="1"/>
  <c r="R774" i="1"/>
  <c r="N774" i="1"/>
  <c r="S774" i="1"/>
  <c r="T774" i="1"/>
  <c r="X774" i="1"/>
  <c r="AA774" i="1"/>
  <c r="AB774" i="1"/>
  <c r="K774" i="1"/>
  <c r="M774" i="1"/>
  <c r="F774" i="1"/>
  <c r="E774" i="1"/>
  <c r="D774" i="1"/>
  <c r="L774" i="1"/>
  <c r="C774" i="1"/>
  <c r="R773" i="1"/>
  <c r="N773" i="1"/>
  <c r="S773" i="1"/>
  <c r="T773" i="1"/>
  <c r="X773" i="1"/>
  <c r="AA773" i="1"/>
  <c r="K773" i="1"/>
  <c r="F773" i="1"/>
  <c r="E773" i="1"/>
  <c r="D773" i="1"/>
  <c r="L773" i="1"/>
  <c r="C773" i="1"/>
  <c r="R772" i="1"/>
  <c r="N772" i="1"/>
  <c r="S772" i="1"/>
  <c r="T772" i="1"/>
  <c r="X772" i="1"/>
  <c r="AA772" i="1"/>
  <c r="AB772" i="1"/>
  <c r="M772" i="1"/>
  <c r="F772" i="1"/>
  <c r="E772" i="1"/>
  <c r="D772" i="1"/>
  <c r="L772" i="1"/>
  <c r="C772" i="1"/>
  <c r="S771" i="1"/>
  <c r="T771" i="1"/>
  <c r="L771" i="1"/>
  <c r="C771" i="1"/>
  <c r="F770" i="1"/>
  <c r="E770" i="1"/>
  <c r="C770" i="1"/>
  <c r="R769" i="1"/>
  <c r="N769" i="1"/>
  <c r="F769" i="1"/>
  <c r="E769" i="1"/>
  <c r="C769" i="1"/>
  <c r="M768" i="1"/>
  <c r="E768" i="1"/>
  <c r="D768" i="1"/>
  <c r="L768" i="1"/>
  <c r="C768" i="1"/>
  <c r="R767" i="1"/>
  <c r="S767" i="1"/>
  <c r="K767" i="1"/>
  <c r="M767" i="1"/>
  <c r="F767" i="1"/>
  <c r="E767" i="1"/>
  <c r="D767" i="1"/>
  <c r="L767" i="1"/>
  <c r="C767" i="1"/>
  <c r="R766" i="1"/>
  <c r="N766" i="1"/>
  <c r="S766" i="1"/>
  <c r="T766" i="1"/>
  <c r="X766" i="1"/>
  <c r="AA766" i="1"/>
  <c r="M766" i="1"/>
  <c r="F766" i="1"/>
  <c r="E766" i="1"/>
  <c r="D766" i="1"/>
  <c r="L766" i="1"/>
  <c r="C766" i="1"/>
  <c r="R765" i="1"/>
  <c r="N765" i="1"/>
  <c r="X765" i="1"/>
  <c r="AA765" i="1"/>
  <c r="AB765" i="1"/>
  <c r="E765" i="1"/>
  <c r="D765" i="1"/>
  <c r="L765" i="1"/>
  <c r="C765" i="1"/>
  <c r="R764" i="1"/>
  <c r="N764" i="1"/>
  <c r="S764" i="1"/>
  <c r="T764" i="1"/>
  <c r="X764" i="1"/>
  <c r="AA764" i="1"/>
  <c r="AB764" i="1"/>
  <c r="K764" i="1"/>
  <c r="M764" i="1"/>
  <c r="F764" i="1"/>
  <c r="E764" i="1"/>
  <c r="D764" i="1"/>
  <c r="L764" i="1"/>
  <c r="C764" i="1"/>
  <c r="R763" i="1"/>
  <c r="N763" i="1"/>
  <c r="S763" i="1"/>
  <c r="T763" i="1"/>
  <c r="X763" i="1"/>
  <c r="AA763" i="1"/>
  <c r="AB763" i="1"/>
  <c r="M763" i="1"/>
  <c r="F763" i="1"/>
  <c r="E763" i="1"/>
  <c r="D763" i="1"/>
  <c r="L763" i="1"/>
  <c r="C763" i="1"/>
  <c r="R762" i="1"/>
  <c r="N762" i="1"/>
  <c r="X762" i="1"/>
  <c r="AA762" i="1"/>
  <c r="AB762" i="1"/>
  <c r="M762" i="1"/>
  <c r="E762" i="1"/>
  <c r="D762" i="1"/>
  <c r="L762" i="1"/>
  <c r="C762" i="1"/>
  <c r="R761" i="1"/>
  <c r="N761" i="1"/>
  <c r="S761" i="1"/>
  <c r="T761" i="1"/>
  <c r="M761" i="1"/>
  <c r="F761" i="1"/>
  <c r="E761" i="1"/>
  <c r="D761" i="1"/>
  <c r="L761" i="1"/>
  <c r="C761" i="1"/>
  <c r="R760" i="1"/>
  <c r="N760" i="1"/>
  <c r="S760" i="1"/>
  <c r="T760" i="1"/>
  <c r="X760" i="1"/>
  <c r="AA760" i="1"/>
  <c r="AB760" i="1"/>
  <c r="M760" i="1"/>
  <c r="F760" i="1"/>
  <c r="E760" i="1"/>
  <c r="D760" i="1"/>
  <c r="L760" i="1"/>
  <c r="C760" i="1"/>
  <c r="R759" i="1"/>
  <c r="N759" i="1"/>
  <c r="S759" i="1"/>
  <c r="L759" i="1"/>
  <c r="C759" i="1"/>
  <c r="R758" i="1"/>
  <c r="N758" i="1"/>
  <c r="S758" i="1"/>
  <c r="T758" i="1"/>
  <c r="D758" i="1"/>
  <c r="C758" i="1"/>
  <c r="R757" i="1"/>
  <c r="N757" i="1"/>
  <c r="S757" i="1"/>
  <c r="T757" i="1"/>
  <c r="M757" i="1"/>
  <c r="F757" i="1"/>
  <c r="E757" i="1"/>
  <c r="D757" i="1"/>
  <c r="L757" i="1"/>
  <c r="C757" i="1"/>
  <c r="S756" i="1"/>
  <c r="E756" i="1"/>
  <c r="D756" i="1"/>
  <c r="L756" i="1"/>
  <c r="C756" i="1"/>
  <c r="R755" i="1"/>
  <c r="N755" i="1"/>
  <c r="S755" i="1"/>
  <c r="T755" i="1"/>
  <c r="X755" i="1"/>
  <c r="AA755" i="1"/>
  <c r="AB755" i="1"/>
  <c r="M755" i="1"/>
  <c r="F755" i="1"/>
  <c r="E755" i="1"/>
  <c r="D755" i="1"/>
  <c r="L755" i="1"/>
  <c r="C755" i="1"/>
  <c r="R754" i="1"/>
  <c r="N754" i="1"/>
  <c r="S754" i="1"/>
  <c r="T754" i="1"/>
  <c r="X754" i="1"/>
  <c r="AA754" i="1"/>
  <c r="AB754" i="1"/>
  <c r="K754" i="1"/>
  <c r="M754" i="1"/>
  <c r="F754" i="1"/>
  <c r="E754" i="1"/>
  <c r="D754" i="1"/>
  <c r="L754" i="1"/>
  <c r="C754" i="1"/>
  <c r="R753" i="1"/>
  <c r="N753" i="1"/>
  <c r="S753" i="1"/>
  <c r="T753" i="1"/>
  <c r="X753" i="1"/>
  <c r="AA753" i="1"/>
  <c r="AB753" i="1"/>
  <c r="K753" i="1"/>
  <c r="M753" i="1"/>
  <c r="F753" i="1"/>
  <c r="E753" i="1"/>
  <c r="D753" i="1"/>
  <c r="L753" i="1"/>
  <c r="C753" i="1"/>
  <c r="R752" i="1"/>
  <c r="N752" i="1"/>
  <c r="X752" i="1"/>
  <c r="AA752" i="1"/>
  <c r="AB752" i="1"/>
  <c r="M752" i="1"/>
  <c r="E752" i="1"/>
  <c r="D752" i="1"/>
  <c r="L752" i="1"/>
  <c r="C752" i="1"/>
  <c r="S751" i="1"/>
  <c r="E751" i="1"/>
  <c r="D751" i="1"/>
  <c r="L751" i="1"/>
  <c r="C751" i="1"/>
  <c r="R750" i="1"/>
  <c r="N750" i="1"/>
  <c r="X750" i="1"/>
  <c r="E750" i="1"/>
  <c r="D750" i="1"/>
  <c r="L750" i="1"/>
  <c r="C750" i="1"/>
  <c r="R749" i="1"/>
  <c r="N749" i="1"/>
  <c r="S749" i="1"/>
  <c r="T749" i="1"/>
  <c r="X749" i="1"/>
  <c r="AA749" i="1"/>
  <c r="M749" i="1"/>
  <c r="F749" i="1"/>
  <c r="E749" i="1"/>
  <c r="D749" i="1"/>
  <c r="L749" i="1"/>
  <c r="C749" i="1"/>
  <c r="R748" i="1"/>
  <c r="N748" i="1"/>
  <c r="S748" i="1"/>
  <c r="T748" i="1"/>
  <c r="X748" i="1"/>
  <c r="AA748" i="1"/>
  <c r="AB748" i="1"/>
  <c r="M748" i="1"/>
  <c r="F748" i="1"/>
  <c r="E748" i="1"/>
  <c r="D748" i="1"/>
  <c r="L748" i="1"/>
  <c r="C748" i="1"/>
  <c r="R747" i="1"/>
  <c r="N747" i="1"/>
  <c r="S747" i="1"/>
  <c r="T747" i="1"/>
  <c r="X747" i="1"/>
  <c r="AA747" i="1"/>
  <c r="K747" i="1"/>
  <c r="F747" i="1"/>
  <c r="E747" i="1"/>
  <c r="D747" i="1"/>
  <c r="C747" i="1"/>
  <c r="R746" i="1"/>
  <c r="N746" i="1"/>
  <c r="S746" i="1"/>
  <c r="T746" i="1"/>
  <c r="X746" i="1"/>
  <c r="AA746" i="1"/>
  <c r="K746" i="1"/>
  <c r="F746" i="1"/>
  <c r="E746" i="1"/>
  <c r="D746" i="1"/>
  <c r="C746" i="1"/>
  <c r="R745" i="1"/>
  <c r="N745" i="1"/>
  <c r="X745" i="1"/>
  <c r="AA745" i="1"/>
  <c r="AB745" i="1"/>
  <c r="M745" i="1"/>
  <c r="E745" i="1"/>
  <c r="D745" i="1"/>
  <c r="L745" i="1"/>
  <c r="C745" i="1"/>
  <c r="R744" i="1"/>
  <c r="N744" i="1"/>
  <c r="S744" i="1"/>
  <c r="T744" i="1"/>
  <c r="X744" i="1"/>
  <c r="AA744" i="1"/>
  <c r="AB744" i="1"/>
  <c r="M744" i="1"/>
  <c r="F744" i="1"/>
  <c r="E744" i="1"/>
  <c r="D744" i="1"/>
  <c r="L744" i="1"/>
  <c r="C744" i="1"/>
  <c r="R743" i="1"/>
  <c r="N743" i="1"/>
  <c r="S743" i="1"/>
  <c r="T743" i="1"/>
  <c r="AA743" i="1"/>
  <c r="AB743" i="1"/>
  <c r="M743" i="1"/>
  <c r="D743" i="1"/>
  <c r="L743" i="1"/>
  <c r="C743" i="1"/>
  <c r="E742" i="1"/>
  <c r="D742" i="1"/>
  <c r="L742" i="1"/>
  <c r="C742" i="1"/>
  <c r="E741" i="1"/>
  <c r="C741" i="1"/>
  <c r="S740" i="1"/>
  <c r="E740" i="1"/>
  <c r="D740" i="1"/>
  <c r="L740" i="1"/>
  <c r="C740" i="1"/>
  <c r="S739" i="1"/>
  <c r="E739" i="1"/>
  <c r="D739" i="1"/>
  <c r="L739" i="1"/>
  <c r="C739" i="1"/>
  <c r="R738" i="1"/>
  <c r="N738" i="1"/>
  <c r="S738" i="1"/>
  <c r="T738" i="1"/>
  <c r="AA738" i="1"/>
  <c r="AB738" i="1"/>
  <c r="M738" i="1"/>
  <c r="E738" i="1"/>
  <c r="D738" i="1"/>
  <c r="L738" i="1"/>
  <c r="C738" i="1"/>
  <c r="R737" i="1"/>
  <c r="N737" i="1"/>
  <c r="S737" i="1"/>
  <c r="T737" i="1"/>
  <c r="X737" i="1"/>
  <c r="AA737" i="1"/>
  <c r="K737" i="1"/>
  <c r="F737" i="1"/>
  <c r="E737" i="1"/>
  <c r="D737" i="1"/>
  <c r="L737" i="1"/>
  <c r="C737" i="1"/>
  <c r="R736" i="1"/>
  <c r="N736" i="1"/>
  <c r="S736" i="1"/>
  <c r="T736" i="1"/>
  <c r="X736" i="1"/>
  <c r="AA736" i="1"/>
  <c r="AB736" i="1"/>
  <c r="M736" i="1"/>
  <c r="E736" i="1"/>
  <c r="D736" i="1"/>
  <c r="L736" i="1"/>
  <c r="C736" i="1"/>
  <c r="R735" i="1"/>
  <c r="N735" i="1"/>
  <c r="S735" i="1"/>
  <c r="T735" i="1"/>
  <c r="X735" i="1"/>
  <c r="AA735" i="1"/>
  <c r="AB735" i="1"/>
  <c r="M735" i="1"/>
  <c r="E735" i="1"/>
  <c r="D735" i="1"/>
  <c r="L735" i="1"/>
  <c r="C735" i="1"/>
  <c r="R734" i="1"/>
  <c r="N734" i="1"/>
  <c r="S734" i="1"/>
  <c r="T734" i="1"/>
  <c r="X734" i="1"/>
  <c r="AA734" i="1"/>
  <c r="AB734" i="1"/>
  <c r="M734" i="1"/>
  <c r="F734" i="1"/>
  <c r="E734" i="1"/>
  <c r="D734" i="1"/>
  <c r="L734" i="1"/>
  <c r="C734" i="1"/>
  <c r="R733" i="1"/>
  <c r="N733" i="1"/>
  <c r="X733" i="1"/>
  <c r="AA733" i="1"/>
  <c r="AB733" i="1"/>
  <c r="M733" i="1"/>
  <c r="E733" i="1"/>
  <c r="D733" i="1"/>
  <c r="L733" i="1"/>
  <c r="C733" i="1"/>
  <c r="R732" i="1"/>
  <c r="N732" i="1"/>
  <c r="S732" i="1"/>
  <c r="T732" i="1"/>
  <c r="X732" i="1"/>
  <c r="AA732" i="1"/>
  <c r="AB732" i="1"/>
  <c r="M732" i="1"/>
  <c r="F732" i="1"/>
  <c r="E732" i="1"/>
  <c r="D732" i="1"/>
  <c r="L732" i="1"/>
  <c r="C732" i="1"/>
  <c r="R731" i="1"/>
  <c r="N731" i="1"/>
  <c r="S731" i="1"/>
  <c r="T731" i="1"/>
  <c r="X731" i="1"/>
  <c r="AA731" i="1"/>
  <c r="AB731" i="1"/>
  <c r="M731" i="1"/>
  <c r="F731" i="1"/>
  <c r="E731" i="1"/>
  <c r="D731" i="1"/>
  <c r="L731" i="1"/>
  <c r="C731" i="1"/>
  <c r="R730" i="1"/>
  <c r="N730" i="1"/>
  <c r="S730" i="1"/>
  <c r="T730" i="1"/>
  <c r="X730" i="1"/>
  <c r="AA730" i="1"/>
  <c r="AB730" i="1"/>
  <c r="M730" i="1"/>
  <c r="F730" i="1"/>
  <c r="E730" i="1"/>
  <c r="D730" i="1"/>
  <c r="L730" i="1"/>
  <c r="C730" i="1"/>
  <c r="R729" i="1"/>
  <c r="N729" i="1"/>
  <c r="S729" i="1"/>
  <c r="T729" i="1"/>
  <c r="X729" i="1"/>
  <c r="AA729" i="1"/>
  <c r="AB729" i="1"/>
  <c r="K729" i="1"/>
  <c r="M729" i="1"/>
  <c r="F729" i="1"/>
  <c r="E729" i="1"/>
  <c r="D729" i="1"/>
  <c r="L729" i="1"/>
  <c r="C729" i="1"/>
  <c r="R728" i="1"/>
  <c r="N728" i="1"/>
  <c r="X728" i="1"/>
  <c r="AA728" i="1"/>
  <c r="E728" i="1"/>
  <c r="D728" i="1"/>
  <c r="L728" i="1"/>
  <c r="C728" i="1"/>
  <c r="R727" i="1"/>
  <c r="N727" i="1"/>
  <c r="S727" i="1"/>
  <c r="T727" i="1"/>
  <c r="X727" i="1"/>
  <c r="AA727" i="1"/>
  <c r="AB727" i="1"/>
  <c r="M727" i="1"/>
  <c r="F727" i="1"/>
  <c r="E727" i="1"/>
  <c r="D727" i="1"/>
  <c r="L727" i="1"/>
  <c r="C727" i="1"/>
  <c r="R726" i="1"/>
  <c r="N726" i="1"/>
  <c r="S726" i="1"/>
  <c r="T726" i="1"/>
  <c r="X726" i="1"/>
  <c r="AA726" i="1"/>
  <c r="AB726" i="1"/>
  <c r="K726" i="1"/>
  <c r="M726" i="1"/>
  <c r="F726" i="1"/>
  <c r="E726" i="1"/>
  <c r="D726" i="1"/>
  <c r="L726" i="1"/>
  <c r="C726" i="1"/>
  <c r="R725" i="1"/>
  <c r="N725" i="1"/>
  <c r="S725" i="1"/>
  <c r="T725" i="1"/>
  <c r="X725" i="1"/>
  <c r="AA725" i="1"/>
  <c r="AB725" i="1"/>
  <c r="K725" i="1"/>
  <c r="M725" i="1"/>
  <c r="F725" i="1"/>
  <c r="E725" i="1"/>
  <c r="D725" i="1"/>
  <c r="L725" i="1"/>
  <c r="C725" i="1"/>
  <c r="R724" i="1"/>
  <c r="N724" i="1"/>
  <c r="S724" i="1"/>
  <c r="T724" i="1"/>
  <c r="X724" i="1"/>
  <c r="AA724" i="1"/>
  <c r="AB724" i="1"/>
  <c r="K724" i="1"/>
  <c r="M724" i="1"/>
  <c r="F724" i="1"/>
  <c r="E724" i="1"/>
  <c r="D724" i="1"/>
  <c r="L724" i="1"/>
  <c r="C724" i="1"/>
  <c r="N723" i="1"/>
  <c r="S723" i="1"/>
  <c r="T723" i="1"/>
  <c r="X723" i="1"/>
  <c r="AA723" i="1"/>
  <c r="K723" i="1"/>
  <c r="F723" i="1"/>
  <c r="E723" i="1"/>
  <c r="D723" i="1"/>
  <c r="C723" i="1"/>
  <c r="R722" i="1"/>
  <c r="N722" i="1"/>
  <c r="S722" i="1"/>
  <c r="K722" i="1"/>
  <c r="F722" i="1"/>
  <c r="E722" i="1"/>
  <c r="D722" i="1"/>
  <c r="C722" i="1"/>
  <c r="R721" i="1"/>
  <c r="N721" i="1"/>
  <c r="S721" i="1"/>
  <c r="K721" i="1"/>
  <c r="F721" i="1"/>
  <c r="E721" i="1"/>
  <c r="D721" i="1"/>
  <c r="L721" i="1"/>
  <c r="C721" i="1"/>
  <c r="R720" i="1"/>
  <c r="N720" i="1"/>
  <c r="S720" i="1"/>
  <c r="T720" i="1"/>
  <c r="X720" i="1"/>
  <c r="AA720" i="1"/>
  <c r="AB720" i="1"/>
  <c r="M720" i="1"/>
  <c r="F720" i="1"/>
  <c r="E720" i="1"/>
  <c r="D720" i="1"/>
  <c r="L720" i="1"/>
  <c r="C720" i="1"/>
  <c r="R719" i="1"/>
  <c r="N719" i="1"/>
  <c r="S719" i="1"/>
  <c r="T719" i="1"/>
  <c r="X719" i="1"/>
  <c r="AA719" i="1"/>
  <c r="AB719" i="1"/>
  <c r="M719" i="1"/>
  <c r="F719" i="1"/>
  <c r="E719" i="1"/>
  <c r="D719" i="1"/>
  <c r="L719" i="1"/>
  <c r="C719" i="1"/>
  <c r="R718" i="1"/>
  <c r="N718" i="1"/>
  <c r="S718" i="1"/>
  <c r="T718" i="1"/>
  <c r="X718" i="1"/>
  <c r="AA718" i="1"/>
  <c r="AB718" i="1"/>
  <c r="M718" i="1"/>
  <c r="F718" i="1"/>
  <c r="E718" i="1"/>
  <c r="D718" i="1"/>
  <c r="L718" i="1"/>
  <c r="C718" i="1"/>
  <c r="R717" i="1"/>
  <c r="N717" i="1"/>
  <c r="S717" i="1"/>
  <c r="T717" i="1"/>
  <c r="X717" i="1"/>
  <c r="AA717" i="1"/>
  <c r="M717" i="1"/>
  <c r="F717" i="1"/>
  <c r="E717" i="1"/>
  <c r="D717" i="1"/>
  <c r="L717" i="1"/>
  <c r="C717" i="1"/>
  <c r="R716" i="1"/>
  <c r="N716" i="1"/>
  <c r="S716" i="1"/>
  <c r="T716" i="1"/>
  <c r="X716" i="1"/>
  <c r="AA716" i="1"/>
  <c r="AB716" i="1"/>
  <c r="K716" i="1"/>
  <c r="F716" i="1"/>
  <c r="E716" i="1"/>
  <c r="D716" i="1"/>
  <c r="L716" i="1"/>
  <c r="C716" i="1"/>
  <c r="R715" i="1"/>
  <c r="N715" i="1"/>
  <c r="S715" i="1"/>
  <c r="T715" i="1"/>
  <c r="X715" i="1"/>
  <c r="AA715" i="1"/>
  <c r="AB715" i="1"/>
  <c r="K715" i="1"/>
  <c r="M715" i="1"/>
  <c r="F715" i="1"/>
  <c r="E715" i="1"/>
  <c r="D715" i="1"/>
  <c r="L715" i="1"/>
  <c r="C715" i="1"/>
  <c r="R714" i="1"/>
  <c r="N714" i="1"/>
  <c r="S714" i="1"/>
  <c r="T714" i="1"/>
  <c r="X714" i="1"/>
  <c r="AA714" i="1"/>
  <c r="AB714" i="1"/>
  <c r="K714" i="1"/>
  <c r="F714" i="1"/>
  <c r="E714" i="1"/>
  <c r="D714" i="1"/>
  <c r="L714" i="1"/>
  <c r="C714" i="1"/>
  <c r="R713" i="1"/>
  <c r="N713" i="1"/>
  <c r="S713" i="1"/>
  <c r="T713" i="1"/>
  <c r="X713" i="1"/>
  <c r="AA713" i="1"/>
  <c r="AB713" i="1"/>
  <c r="K713" i="1"/>
  <c r="F713" i="1"/>
  <c r="E713" i="1"/>
  <c r="D713" i="1"/>
  <c r="L713" i="1"/>
  <c r="C713" i="1"/>
  <c r="R712" i="1"/>
  <c r="N712" i="1"/>
  <c r="S712" i="1"/>
  <c r="T712" i="1"/>
  <c r="X712" i="1"/>
  <c r="AA712" i="1"/>
  <c r="AB712" i="1"/>
  <c r="K712" i="1"/>
  <c r="M712" i="1"/>
  <c r="F712" i="1"/>
  <c r="E712" i="1"/>
  <c r="D712" i="1"/>
  <c r="L712" i="1"/>
  <c r="C712" i="1"/>
  <c r="F711" i="1"/>
  <c r="E711" i="1"/>
  <c r="C711" i="1"/>
  <c r="R710" i="1"/>
  <c r="N710" i="1"/>
  <c r="AB710" i="1"/>
  <c r="E710" i="1"/>
  <c r="D710" i="1"/>
  <c r="L710" i="1"/>
  <c r="C710" i="1"/>
  <c r="R709" i="1"/>
  <c r="N709" i="1"/>
  <c r="T709" i="1"/>
  <c r="X709" i="1"/>
  <c r="AA709" i="1"/>
  <c r="AB709" i="1"/>
  <c r="M709" i="1"/>
  <c r="F709" i="1"/>
  <c r="E709" i="1"/>
  <c r="D709" i="1"/>
  <c r="L709" i="1"/>
  <c r="C709" i="1"/>
  <c r="R708" i="1"/>
  <c r="N708" i="1"/>
  <c r="S708" i="1"/>
  <c r="T708" i="1"/>
  <c r="X708" i="1"/>
  <c r="AA708" i="1"/>
  <c r="K708" i="1"/>
  <c r="F708" i="1"/>
  <c r="E708" i="1"/>
  <c r="D708" i="1"/>
  <c r="C708" i="1"/>
  <c r="R707" i="1"/>
  <c r="N707" i="1"/>
  <c r="S707" i="1"/>
  <c r="T707" i="1"/>
  <c r="X707" i="1"/>
  <c r="AA707" i="1"/>
  <c r="K707" i="1"/>
  <c r="F707" i="1"/>
  <c r="E707" i="1"/>
  <c r="D707" i="1"/>
  <c r="C707" i="1"/>
  <c r="E706" i="1"/>
  <c r="D706" i="1"/>
  <c r="C706" i="1"/>
  <c r="R705" i="1"/>
  <c r="N705" i="1"/>
  <c r="X705" i="1"/>
  <c r="AA705" i="1"/>
  <c r="AB705" i="1"/>
  <c r="M705" i="1"/>
  <c r="E705" i="1"/>
  <c r="D705" i="1"/>
  <c r="L705" i="1"/>
  <c r="C705" i="1"/>
  <c r="R704" i="1"/>
  <c r="N704" i="1"/>
  <c r="S704" i="1"/>
  <c r="T704" i="1"/>
  <c r="X704" i="1"/>
  <c r="AA704" i="1"/>
  <c r="AB704" i="1"/>
  <c r="K704" i="1"/>
  <c r="F704" i="1"/>
  <c r="E704" i="1"/>
  <c r="D704" i="1"/>
  <c r="L704" i="1"/>
  <c r="C704" i="1"/>
  <c r="R703" i="1"/>
  <c r="N703" i="1"/>
  <c r="S703" i="1"/>
  <c r="T703" i="1"/>
  <c r="X703" i="1"/>
  <c r="AA703" i="1"/>
  <c r="AB703" i="1"/>
  <c r="K703" i="1"/>
  <c r="M703" i="1"/>
  <c r="F703" i="1"/>
  <c r="E703" i="1"/>
  <c r="D703" i="1"/>
  <c r="L703" i="1"/>
  <c r="C703" i="1"/>
  <c r="R702" i="1"/>
  <c r="N702" i="1"/>
  <c r="S702" i="1"/>
  <c r="T702" i="1"/>
  <c r="X702" i="1"/>
  <c r="AA702" i="1"/>
  <c r="AB702" i="1"/>
  <c r="M702" i="1"/>
  <c r="F702" i="1"/>
  <c r="E702" i="1"/>
  <c r="D702" i="1"/>
  <c r="L702" i="1"/>
  <c r="C702" i="1"/>
  <c r="R701" i="1"/>
  <c r="N701" i="1"/>
  <c r="S701" i="1"/>
  <c r="T701" i="1"/>
  <c r="X701" i="1"/>
  <c r="AA701" i="1"/>
  <c r="AB701" i="1"/>
  <c r="E701" i="1"/>
  <c r="D701" i="1"/>
  <c r="L701" i="1"/>
  <c r="C701" i="1"/>
  <c r="R700" i="1"/>
  <c r="N700" i="1"/>
  <c r="S700" i="1"/>
  <c r="T700" i="1"/>
  <c r="X700" i="1"/>
  <c r="AA700" i="1"/>
  <c r="AB700" i="1"/>
  <c r="K700" i="1"/>
  <c r="M700" i="1"/>
  <c r="F700" i="1"/>
  <c r="E700" i="1"/>
  <c r="D700" i="1"/>
  <c r="L700" i="1"/>
  <c r="C700" i="1"/>
  <c r="AB699" i="1"/>
  <c r="L699" i="1"/>
  <c r="C699" i="1"/>
  <c r="R698" i="1"/>
  <c r="N698" i="1"/>
  <c r="S698" i="1"/>
  <c r="T698" i="1"/>
  <c r="X698" i="1"/>
  <c r="AA698" i="1"/>
  <c r="AB698" i="1"/>
  <c r="M698" i="1"/>
  <c r="F698" i="1"/>
  <c r="E698" i="1"/>
  <c r="D698" i="1"/>
  <c r="L698" i="1"/>
  <c r="C698" i="1"/>
  <c r="R697" i="1"/>
  <c r="N697" i="1"/>
  <c r="S697" i="1"/>
  <c r="T697" i="1"/>
  <c r="X697" i="1"/>
  <c r="AA697" i="1"/>
  <c r="AB697" i="1"/>
  <c r="M697" i="1"/>
  <c r="F697" i="1"/>
  <c r="E697" i="1"/>
  <c r="D697" i="1"/>
  <c r="L697" i="1"/>
  <c r="C697" i="1"/>
  <c r="R696" i="1"/>
  <c r="AB696" i="1"/>
  <c r="E696" i="1"/>
  <c r="D696" i="1"/>
  <c r="L696" i="1"/>
  <c r="C696" i="1"/>
  <c r="R695" i="1"/>
  <c r="N695" i="1"/>
  <c r="S695" i="1"/>
  <c r="T695" i="1"/>
  <c r="X695" i="1"/>
  <c r="AA695" i="1"/>
  <c r="AB695" i="1"/>
  <c r="M695" i="1"/>
  <c r="F695" i="1"/>
  <c r="E695" i="1"/>
  <c r="D695" i="1"/>
  <c r="L695" i="1"/>
  <c r="C695" i="1"/>
  <c r="R694" i="1"/>
  <c r="N694" i="1"/>
  <c r="X694" i="1"/>
  <c r="AA694" i="1"/>
  <c r="AB694" i="1"/>
  <c r="M694" i="1"/>
  <c r="E694" i="1"/>
  <c r="D694" i="1"/>
  <c r="L694" i="1"/>
  <c r="C694" i="1"/>
  <c r="R693" i="1"/>
  <c r="N693" i="1"/>
  <c r="S693" i="1"/>
  <c r="T693" i="1"/>
  <c r="X693" i="1"/>
  <c r="AA693" i="1"/>
  <c r="M693" i="1"/>
  <c r="F693" i="1"/>
  <c r="E693" i="1"/>
  <c r="D693" i="1"/>
  <c r="L693" i="1"/>
  <c r="C693" i="1"/>
  <c r="R692" i="1"/>
  <c r="N692" i="1"/>
  <c r="S692" i="1"/>
  <c r="T692" i="1"/>
  <c r="X692" i="1"/>
  <c r="AA692" i="1"/>
  <c r="AB692" i="1"/>
  <c r="K692" i="1"/>
  <c r="E692" i="1"/>
  <c r="D692" i="1"/>
  <c r="L692" i="1"/>
  <c r="C692" i="1"/>
  <c r="R691" i="1"/>
  <c r="N691" i="1"/>
  <c r="S691" i="1"/>
  <c r="T691" i="1"/>
  <c r="X691" i="1"/>
  <c r="AA691" i="1"/>
  <c r="K691" i="1"/>
  <c r="F691" i="1"/>
  <c r="E691" i="1"/>
  <c r="D691" i="1"/>
  <c r="L691" i="1"/>
  <c r="C691" i="1"/>
  <c r="M690" i="1"/>
  <c r="D690" i="1"/>
  <c r="L690" i="1"/>
  <c r="C690" i="1"/>
  <c r="D688" i="1"/>
  <c r="L688" i="1"/>
  <c r="C688" i="1"/>
  <c r="E687" i="1"/>
  <c r="D687" i="1"/>
  <c r="L687" i="1"/>
  <c r="C687" i="1"/>
  <c r="E686" i="1"/>
  <c r="D686" i="1"/>
  <c r="L686" i="1"/>
  <c r="C686" i="1"/>
  <c r="R685" i="1"/>
  <c r="N685" i="1"/>
  <c r="S685" i="1"/>
  <c r="T685" i="1"/>
  <c r="X685" i="1"/>
  <c r="AA685" i="1"/>
  <c r="M685" i="1"/>
  <c r="F685" i="1"/>
  <c r="E685" i="1"/>
  <c r="D685" i="1"/>
  <c r="L685" i="1"/>
  <c r="C685" i="1"/>
  <c r="R684" i="1"/>
  <c r="N684" i="1"/>
  <c r="S684" i="1"/>
  <c r="T684" i="1"/>
  <c r="X684" i="1"/>
  <c r="AA684" i="1"/>
  <c r="AB684" i="1"/>
  <c r="M684" i="1"/>
  <c r="E684" i="1"/>
  <c r="D684" i="1"/>
  <c r="L684" i="1"/>
  <c r="C684" i="1"/>
  <c r="R683" i="1"/>
  <c r="N683" i="1"/>
  <c r="S683" i="1"/>
  <c r="T683" i="1"/>
  <c r="X683" i="1"/>
  <c r="AA683" i="1"/>
  <c r="AB683" i="1"/>
  <c r="M683" i="1"/>
  <c r="E683" i="1"/>
  <c r="D683" i="1"/>
  <c r="L683" i="1"/>
  <c r="C683" i="1"/>
  <c r="R682" i="1"/>
  <c r="N682" i="1"/>
  <c r="S682" i="1"/>
  <c r="T682" i="1"/>
  <c r="X682" i="1"/>
  <c r="AA682" i="1"/>
  <c r="AB682" i="1"/>
  <c r="K682" i="1"/>
  <c r="M682" i="1"/>
  <c r="F682" i="1"/>
  <c r="E682" i="1"/>
  <c r="D682" i="1"/>
  <c r="L682" i="1"/>
  <c r="C682" i="1"/>
  <c r="R681" i="1"/>
  <c r="N681" i="1"/>
  <c r="S681" i="1"/>
  <c r="T681" i="1"/>
  <c r="X681" i="1"/>
  <c r="AA681" i="1"/>
  <c r="AB681" i="1"/>
  <c r="K681" i="1"/>
  <c r="F681" i="1"/>
  <c r="E681" i="1"/>
  <c r="D681" i="1"/>
  <c r="L681" i="1"/>
  <c r="C681" i="1"/>
  <c r="R680" i="1"/>
  <c r="N680" i="1"/>
  <c r="S680" i="1"/>
  <c r="T680" i="1"/>
  <c r="X680" i="1"/>
  <c r="AA680" i="1"/>
  <c r="AB680" i="1"/>
  <c r="K680" i="1"/>
  <c r="M680" i="1"/>
  <c r="F680" i="1"/>
  <c r="E680" i="1"/>
  <c r="D680" i="1"/>
  <c r="L680" i="1"/>
  <c r="C680" i="1"/>
  <c r="N679" i="1"/>
  <c r="S679" i="1"/>
  <c r="T679" i="1"/>
  <c r="D679" i="1"/>
  <c r="L679" i="1"/>
  <c r="C679" i="1"/>
  <c r="E678" i="1"/>
  <c r="D678" i="1"/>
  <c r="L678" i="1"/>
  <c r="C678" i="1"/>
  <c r="R677" i="1"/>
  <c r="N677" i="1"/>
  <c r="S677" i="1"/>
  <c r="T677" i="1"/>
  <c r="X677" i="1"/>
  <c r="AA677" i="1"/>
  <c r="M677" i="1"/>
  <c r="F677" i="1"/>
  <c r="E677" i="1"/>
  <c r="D677" i="1"/>
  <c r="L677" i="1"/>
  <c r="C677" i="1"/>
  <c r="R676" i="1"/>
  <c r="N676" i="1"/>
  <c r="S676" i="1"/>
  <c r="T676" i="1"/>
  <c r="X676" i="1"/>
  <c r="AA676" i="1"/>
  <c r="AB676" i="1"/>
  <c r="M676" i="1"/>
  <c r="F676" i="1"/>
  <c r="E676" i="1"/>
  <c r="D676" i="1"/>
  <c r="L676" i="1"/>
  <c r="C676" i="1"/>
  <c r="R675" i="1"/>
  <c r="N675" i="1"/>
  <c r="S675" i="1"/>
  <c r="T675" i="1"/>
  <c r="X675" i="1"/>
  <c r="AA675" i="1"/>
  <c r="AB675" i="1"/>
  <c r="K675" i="1"/>
  <c r="M675" i="1"/>
  <c r="F675" i="1"/>
  <c r="E675" i="1"/>
  <c r="D675" i="1"/>
  <c r="L675" i="1"/>
  <c r="C675" i="1"/>
  <c r="R674" i="1"/>
  <c r="N674" i="1"/>
  <c r="X674" i="1"/>
  <c r="AA674" i="1"/>
  <c r="AB674" i="1"/>
  <c r="E674" i="1"/>
  <c r="D674" i="1"/>
  <c r="L674" i="1"/>
  <c r="C674" i="1"/>
  <c r="R673" i="1"/>
  <c r="N673" i="1"/>
  <c r="S673" i="1"/>
  <c r="T673" i="1"/>
  <c r="X673" i="1"/>
  <c r="AA673" i="1"/>
  <c r="M673" i="1"/>
  <c r="F673" i="1"/>
  <c r="E673" i="1"/>
  <c r="D673" i="1"/>
  <c r="L673" i="1"/>
  <c r="C673" i="1"/>
  <c r="R672" i="1"/>
  <c r="N672" i="1"/>
  <c r="S672" i="1"/>
  <c r="T672" i="1"/>
  <c r="X672" i="1"/>
  <c r="AA672" i="1"/>
  <c r="M672" i="1"/>
  <c r="F672" i="1"/>
  <c r="E672" i="1"/>
  <c r="D672" i="1"/>
  <c r="L672" i="1"/>
  <c r="C672" i="1"/>
  <c r="R671" i="1"/>
  <c r="N671" i="1"/>
  <c r="S671" i="1"/>
  <c r="T671" i="1"/>
  <c r="X671" i="1"/>
  <c r="AA671" i="1"/>
  <c r="M671" i="1"/>
  <c r="F671" i="1"/>
  <c r="E671" i="1"/>
  <c r="D671" i="1"/>
  <c r="L671" i="1"/>
  <c r="C671" i="1"/>
  <c r="R670" i="1"/>
  <c r="N670" i="1"/>
  <c r="S670" i="1"/>
  <c r="T670" i="1"/>
  <c r="X670" i="1"/>
  <c r="AA670" i="1"/>
  <c r="M670" i="1"/>
  <c r="F670" i="1"/>
  <c r="E670" i="1"/>
  <c r="D670" i="1"/>
  <c r="L670" i="1"/>
  <c r="C670" i="1"/>
  <c r="R669" i="1"/>
  <c r="N669" i="1"/>
  <c r="S669" i="1"/>
  <c r="T669" i="1"/>
  <c r="X669" i="1"/>
  <c r="AA669" i="1"/>
  <c r="M669" i="1"/>
  <c r="F669" i="1"/>
  <c r="E669" i="1"/>
  <c r="D669" i="1"/>
  <c r="L669" i="1"/>
  <c r="C669" i="1"/>
  <c r="R668" i="1"/>
  <c r="N668" i="1"/>
  <c r="S668" i="1"/>
  <c r="T668" i="1"/>
  <c r="AB668" i="1"/>
  <c r="M668" i="1"/>
  <c r="F668" i="1"/>
  <c r="E668" i="1"/>
  <c r="D668" i="1"/>
  <c r="L668" i="1"/>
  <c r="C668" i="1"/>
  <c r="R667" i="1"/>
  <c r="N667" i="1"/>
  <c r="X667" i="1"/>
  <c r="AA667" i="1"/>
  <c r="AB667" i="1"/>
  <c r="M667" i="1"/>
  <c r="E667" i="1"/>
  <c r="D667" i="1"/>
  <c r="L667" i="1"/>
  <c r="C667" i="1"/>
  <c r="R666" i="1"/>
  <c r="N666" i="1"/>
  <c r="S666" i="1"/>
  <c r="T666" i="1"/>
  <c r="X666" i="1"/>
  <c r="AA666" i="1"/>
  <c r="M666" i="1"/>
  <c r="F666" i="1"/>
  <c r="E666" i="1"/>
  <c r="D666" i="1"/>
  <c r="L666" i="1"/>
  <c r="C666" i="1"/>
  <c r="S665" i="1"/>
  <c r="E665" i="1"/>
  <c r="D665" i="1"/>
  <c r="L665" i="1"/>
  <c r="C665" i="1"/>
  <c r="R664" i="1"/>
  <c r="N664" i="1"/>
  <c r="S664" i="1"/>
  <c r="T664" i="1"/>
  <c r="X664" i="1"/>
  <c r="AA664" i="1"/>
  <c r="AB664" i="1"/>
  <c r="M664" i="1"/>
  <c r="F664" i="1"/>
  <c r="E664" i="1"/>
  <c r="D664" i="1"/>
  <c r="L664" i="1"/>
  <c r="C664" i="1"/>
  <c r="R663" i="1"/>
  <c r="N663" i="1"/>
  <c r="S663" i="1"/>
  <c r="T663" i="1"/>
  <c r="X663" i="1"/>
  <c r="AA663" i="1"/>
  <c r="AB663" i="1"/>
  <c r="K663" i="1"/>
  <c r="M663" i="1"/>
  <c r="F663" i="1"/>
  <c r="E663" i="1"/>
  <c r="D663" i="1"/>
  <c r="L663" i="1"/>
  <c r="C663" i="1"/>
  <c r="E662" i="1"/>
  <c r="D662" i="1"/>
  <c r="L662" i="1"/>
  <c r="C662" i="1"/>
  <c r="R661" i="1"/>
  <c r="N661" i="1"/>
  <c r="X661" i="1"/>
  <c r="AA661" i="1"/>
  <c r="AB661" i="1"/>
  <c r="M661" i="1"/>
  <c r="E661" i="1"/>
  <c r="D661" i="1"/>
  <c r="L661" i="1"/>
  <c r="C661" i="1"/>
  <c r="R660" i="1"/>
  <c r="N660" i="1"/>
  <c r="S660" i="1"/>
  <c r="T660" i="1"/>
  <c r="X660" i="1"/>
  <c r="AA660" i="1"/>
  <c r="AB660" i="1"/>
  <c r="M660" i="1"/>
  <c r="F660" i="1"/>
  <c r="E660" i="1"/>
  <c r="D660" i="1"/>
  <c r="L660" i="1"/>
  <c r="C660" i="1"/>
  <c r="S659" i="1"/>
  <c r="E659" i="1"/>
  <c r="D659" i="1"/>
  <c r="L659" i="1"/>
  <c r="C659" i="1"/>
  <c r="E658" i="1"/>
  <c r="D658" i="1"/>
  <c r="L658" i="1"/>
  <c r="C658" i="1"/>
  <c r="R657" i="1"/>
  <c r="N657" i="1"/>
  <c r="E657" i="1"/>
  <c r="D657" i="1"/>
  <c r="L657" i="1"/>
  <c r="C657" i="1"/>
  <c r="R656" i="1"/>
  <c r="N656" i="1"/>
  <c r="S656" i="1"/>
  <c r="T656" i="1"/>
  <c r="X656" i="1"/>
  <c r="AA656" i="1"/>
  <c r="AB656" i="1"/>
  <c r="M656" i="1"/>
  <c r="F656" i="1"/>
  <c r="E656" i="1"/>
  <c r="D656" i="1"/>
  <c r="L656" i="1"/>
  <c r="C656" i="1"/>
  <c r="R655" i="1"/>
  <c r="N655" i="1"/>
  <c r="S655" i="1"/>
  <c r="T655" i="1"/>
  <c r="X655" i="1"/>
  <c r="AA655" i="1"/>
  <c r="AB655" i="1"/>
  <c r="M655" i="1"/>
  <c r="E655" i="1"/>
  <c r="D655" i="1"/>
  <c r="L655" i="1"/>
  <c r="C655" i="1"/>
  <c r="R654" i="1"/>
  <c r="N654" i="1"/>
  <c r="X654" i="1"/>
  <c r="AA654" i="1"/>
  <c r="E654" i="1"/>
  <c r="D654" i="1"/>
  <c r="L654" i="1"/>
  <c r="C654" i="1"/>
  <c r="E653" i="1"/>
  <c r="D653" i="1"/>
  <c r="L653" i="1"/>
  <c r="C653" i="1"/>
  <c r="R652" i="1"/>
  <c r="N652" i="1"/>
  <c r="S652" i="1"/>
  <c r="T652" i="1"/>
  <c r="X652" i="1"/>
  <c r="AA652" i="1"/>
  <c r="AB652" i="1"/>
  <c r="K652" i="1"/>
  <c r="M652" i="1"/>
  <c r="F652" i="1"/>
  <c r="E652" i="1"/>
  <c r="D652" i="1"/>
  <c r="L652" i="1"/>
  <c r="C652" i="1"/>
  <c r="R651" i="1"/>
  <c r="N651" i="1"/>
  <c r="S651" i="1"/>
  <c r="T651" i="1"/>
  <c r="X651" i="1"/>
  <c r="AA651" i="1"/>
  <c r="AB651" i="1"/>
  <c r="K651" i="1"/>
  <c r="M651" i="1"/>
  <c r="F651" i="1"/>
  <c r="E651" i="1"/>
  <c r="D651" i="1"/>
  <c r="L651" i="1"/>
  <c r="C651" i="1"/>
  <c r="R650" i="1"/>
  <c r="N650" i="1"/>
  <c r="X650" i="1"/>
  <c r="AA650" i="1"/>
  <c r="E650" i="1"/>
  <c r="D650" i="1"/>
  <c r="L650" i="1"/>
  <c r="C650" i="1"/>
  <c r="N649" i="1"/>
  <c r="S649" i="1"/>
  <c r="K649" i="1"/>
  <c r="F649" i="1"/>
  <c r="E649" i="1"/>
  <c r="D649" i="1"/>
  <c r="C649" i="1"/>
  <c r="R648" i="1"/>
  <c r="N648" i="1"/>
  <c r="K648" i="1"/>
  <c r="F648" i="1"/>
  <c r="E648" i="1"/>
  <c r="D648" i="1"/>
  <c r="L648" i="1"/>
  <c r="C648" i="1"/>
  <c r="R647" i="1"/>
  <c r="N647" i="1"/>
  <c r="S647" i="1"/>
  <c r="T647" i="1"/>
  <c r="X647" i="1"/>
  <c r="AA647" i="1"/>
  <c r="K647" i="1"/>
  <c r="F647" i="1"/>
  <c r="E647" i="1"/>
  <c r="D647" i="1"/>
  <c r="C647" i="1"/>
  <c r="R646" i="1"/>
  <c r="N646" i="1"/>
  <c r="S646" i="1"/>
  <c r="T646" i="1"/>
  <c r="X646" i="1"/>
  <c r="AA646" i="1"/>
  <c r="K646" i="1"/>
  <c r="F646" i="1"/>
  <c r="E646" i="1"/>
  <c r="D646" i="1"/>
  <c r="C646" i="1"/>
  <c r="R645" i="1"/>
  <c r="N645" i="1"/>
  <c r="S645" i="1"/>
  <c r="T645" i="1"/>
  <c r="X645" i="1"/>
  <c r="AA645" i="1"/>
  <c r="AB645" i="1"/>
  <c r="K645" i="1"/>
  <c r="M645" i="1"/>
  <c r="F645" i="1"/>
  <c r="E645" i="1"/>
  <c r="D645" i="1"/>
  <c r="L645" i="1"/>
  <c r="C645" i="1"/>
  <c r="R644" i="1"/>
  <c r="N644" i="1"/>
  <c r="S644" i="1"/>
  <c r="T644" i="1"/>
  <c r="X644" i="1"/>
  <c r="AA644" i="1"/>
  <c r="K644" i="1"/>
  <c r="F644" i="1"/>
  <c r="E644" i="1"/>
  <c r="D644" i="1"/>
  <c r="C644" i="1"/>
  <c r="R643" i="1"/>
  <c r="N643" i="1"/>
  <c r="S643" i="1"/>
  <c r="T643" i="1"/>
  <c r="X643" i="1"/>
  <c r="AA643" i="1"/>
  <c r="K643" i="1"/>
  <c r="F643" i="1"/>
  <c r="E643" i="1"/>
  <c r="D643" i="1"/>
  <c r="C643" i="1"/>
  <c r="R642" i="1"/>
  <c r="N642" i="1"/>
  <c r="S642" i="1"/>
  <c r="T642" i="1"/>
  <c r="X642" i="1"/>
  <c r="AA642" i="1"/>
  <c r="K642" i="1"/>
  <c r="F642" i="1"/>
  <c r="E642" i="1"/>
  <c r="D642" i="1"/>
  <c r="C642" i="1"/>
  <c r="R641" i="1"/>
  <c r="N641" i="1"/>
  <c r="S641" i="1"/>
  <c r="T641" i="1"/>
  <c r="X641" i="1"/>
  <c r="AA641" i="1"/>
  <c r="AB641" i="1"/>
  <c r="M641" i="1"/>
  <c r="F641" i="1"/>
  <c r="E641" i="1"/>
  <c r="D641" i="1"/>
  <c r="L641" i="1"/>
  <c r="C641" i="1"/>
  <c r="R640" i="1"/>
  <c r="N640" i="1"/>
  <c r="S640" i="1"/>
  <c r="T640" i="1"/>
  <c r="X640" i="1"/>
  <c r="AA640" i="1"/>
  <c r="AB640" i="1"/>
  <c r="M640" i="1"/>
  <c r="F640" i="1"/>
  <c r="E640" i="1"/>
  <c r="D640" i="1"/>
  <c r="L640" i="1"/>
  <c r="C640" i="1"/>
  <c r="R639" i="1"/>
  <c r="N639" i="1"/>
  <c r="S639" i="1"/>
  <c r="T639" i="1"/>
  <c r="X639" i="1"/>
  <c r="AA639" i="1"/>
  <c r="AB639" i="1"/>
  <c r="K639" i="1"/>
  <c r="M639" i="1"/>
  <c r="F639" i="1"/>
  <c r="E639" i="1"/>
  <c r="D639" i="1"/>
  <c r="L639" i="1"/>
  <c r="C639" i="1"/>
  <c r="R638" i="1"/>
  <c r="N638" i="1"/>
  <c r="S638" i="1"/>
  <c r="T638" i="1"/>
  <c r="X638" i="1"/>
  <c r="AA638" i="1"/>
  <c r="AB638" i="1"/>
  <c r="M638" i="1"/>
  <c r="F638" i="1"/>
  <c r="E638" i="1"/>
  <c r="D638" i="1"/>
  <c r="L638" i="1"/>
  <c r="C638" i="1"/>
  <c r="R637" i="1"/>
  <c r="N637" i="1"/>
  <c r="S637" i="1"/>
  <c r="T637" i="1"/>
  <c r="X637" i="1"/>
  <c r="AA637" i="1"/>
  <c r="AB637" i="1"/>
  <c r="K637" i="1"/>
  <c r="M637" i="1"/>
  <c r="F637" i="1"/>
  <c r="E637" i="1"/>
  <c r="D637" i="1"/>
  <c r="L637" i="1"/>
  <c r="C637" i="1"/>
  <c r="R636" i="1"/>
  <c r="N636" i="1"/>
  <c r="S636" i="1"/>
  <c r="T636" i="1"/>
  <c r="X636" i="1"/>
  <c r="AA636" i="1"/>
  <c r="K636" i="1"/>
  <c r="F636" i="1"/>
  <c r="E636" i="1"/>
  <c r="D636" i="1"/>
  <c r="C636" i="1"/>
  <c r="R635" i="1"/>
  <c r="N635" i="1"/>
  <c r="X635" i="1"/>
  <c r="AA635" i="1"/>
  <c r="AB635" i="1"/>
  <c r="M635" i="1"/>
  <c r="E635" i="1"/>
  <c r="D635" i="1"/>
  <c r="L635" i="1"/>
  <c r="C635" i="1"/>
  <c r="R634" i="1"/>
  <c r="N634" i="1"/>
  <c r="S634" i="1"/>
  <c r="T634" i="1"/>
  <c r="X634" i="1"/>
  <c r="AA634" i="1"/>
  <c r="AB634" i="1"/>
  <c r="M634" i="1"/>
  <c r="F634" i="1"/>
  <c r="E634" i="1"/>
  <c r="D634" i="1"/>
  <c r="L634" i="1"/>
  <c r="C634" i="1"/>
  <c r="N633" i="1"/>
  <c r="L633" i="1"/>
  <c r="C633" i="1"/>
  <c r="R632" i="1"/>
  <c r="N632" i="1"/>
  <c r="S632" i="1"/>
  <c r="T632" i="1"/>
  <c r="X632" i="1"/>
  <c r="AA632" i="1"/>
  <c r="AB632" i="1"/>
  <c r="E632" i="1"/>
  <c r="D632" i="1"/>
  <c r="L632" i="1"/>
  <c r="C632" i="1"/>
  <c r="R631" i="1"/>
  <c r="N631" i="1"/>
  <c r="S631" i="1"/>
  <c r="T631" i="1"/>
  <c r="X631" i="1"/>
  <c r="AA631" i="1"/>
  <c r="AB631" i="1"/>
  <c r="M631" i="1"/>
  <c r="E631" i="1"/>
  <c r="D631" i="1"/>
  <c r="L631" i="1"/>
  <c r="C631" i="1"/>
  <c r="R630" i="1"/>
  <c r="N630" i="1"/>
  <c r="S630" i="1"/>
  <c r="T630" i="1"/>
  <c r="X630" i="1"/>
  <c r="AA630" i="1"/>
  <c r="AB630" i="1"/>
  <c r="K630" i="1"/>
  <c r="M630" i="1"/>
  <c r="F630" i="1"/>
  <c r="E630" i="1"/>
  <c r="D630" i="1"/>
  <c r="L630" i="1"/>
  <c r="C630" i="1"/>
  <c r="E629" i="1"/>
  <c r="D629" i="1"/>
  <c r="L629" i="1"/>
  <c r="C629" i="1"/>
  <c r="R628" i="1"/>
  <c r="N628" i="1"/>
  <c r="AB628" i="1"/>
  <c r="E628" i="1"/>
  <c r="D628" i="1"/>
  <c r="L628" i="1"/>
  <c r="C628" i="1"/>
  <c r="R627" i="1"/>
  <c r="N627" i="1"/>
  <c r="S627" i="1"/>
  <c r="K627" i="1"/>
  <c r="M627" i="1"/>
  <c r="F627" i="1"/>
  <c r="E627" i="1"/>
  <c r="D627" i="1"/>
  <c r="L627" i="1"/>
  <c r="C627" i="1"/>
  <c r="R626" i="1"/>
  <c r="N626" i="1"/>
  <c r="X626" i="1"/>
  <c r="AA626" i="1"/>
  <c r="E626" i="1"/>
  <c r="D626" i="1"/>
  <c r="L626" i="1"/>
  <c r="C626" i="1"/>
  <c r="R625" i="1"/>
  <c r="N625" i="1"/>
  <c r="S625" i="1"/>
  <c r="T625" i="1"/>
  <c r="X625" i="1"/>
  <c r="AA625" i="1"/>
  <c r="M625" i="1"/>
  <c r="F625" i="1"/>
  <c r="E625" i="1"/>
  <c r="D625" i="1"/>
  <c r="L625" i="1"/>
  <c r="C625" i="1"/>
  <c r="R624" i="1"/>
  <c r="N624" i="1"/>
  <c r="S624" i="1"/>
  <c r="T624" i="1"/>
  <c r="AA624" i="1"/>
  <c r="AB624" i="1"/>
  <c r="K624" i="1"/>
  <c r="M624" i="1"/>
  <c r="F624" i="1"/>
  <c r="E624" i="1"/>
  <c r="D624" i="1"/>
  <c r="L624" i="1"/>
  <c r="C624" i="1"/>
  <c r="R623" i="1"/>
  <c r="N623" i="1"/>
  <c r="S623" i="1"/>
  <c r="T623" i="1"/>
  <c r="X623" i="1"/>
  <c r="AA623" i="1"/>
  <c r="AB623" i="1"/>
  <c r="M623" i="1"/>
  <c r="F623" i="1"/>
  <c r="E623" i="1"/>
  <c r="D623" i="1"/>
  <c r="L623" i="1"/>
  <c r="C623" i="1"/>
  <c r="R622" i="1"/>
  <c r="N622" i="1"/>
  <c r="S622" i="1"/>
  <c r="T622" i="1"/>
  <c r="X622" i="1"/>
  <c r="AA622" i="1"/>
  <c r="AB622" i="1"/>
  <c r="K622" i="1"/>
  <c r="M622" i="1"/>
  <c r="F622" i="1"/>
  <c r="E622" i="1"/>
  <c r="D622" i="1"/>
  <c r="L622" i="1"/>
  <c r="C622" i="1"/>
  <c r="R621" i="1"/>
  <c r="N621" i="1"/>
  <c r="S621" i="1"/>
  <c r="T621" i="1"/>
  <c r="X621" i="1"/>
  <c r="AA621" i="1"/>
  <c r="AB621" i="1"/>
  <c r="K621" i="1"/>
  <c r="M621" i="1"/>
  <c r="F621" i="1"/>
  <c r="E621" i="1"/>
  <c r="D621" i="1"/>
  <c r="L621" i="1"/>
  <c r="C621" i="1"/>
  <c r="R620" i="1"/>
  <c r="N620" i="1"/>
  <c r="S620" i="1"/>
  <c r="T620" i="1"/>
  <c r="X620" i="1"/>
  <c r="AA620" i="1"/>
  <c r="AB620" i="1"/>
  <c r="M620" i="1"/>
  <c r="F620" i="1"/>
  <c r="E620" i="1"/>
  <c r="D620" i="1"/>
  <c r="L620" i="1"/>
  <c r="C620" i="1"/>
  <c r="R619" i="1"/>
  <c r="N619" i="1"/>
  <c r="S619" i="1"/>
  <c r="T619" i="1"/>
  <c r="X619" i="1"/>
  <c r="AA619" i="1"/>
  <c r="AB619" i="1"/>
  <c r="K619" i="1"/>
  <c r="M619" i="1"/>
  <c r="F619" i="1"/>
  <c r="E619" i="1"/>
  <c r="D619" i="1"/>
  <c r="L619" i="1"/>
  <c r="C619" i="1"/>
  <c r="R618" i="1"/>
  <c r="N618" i="1"/>
  <c r="S618" i="1"/>
  <c r="T618" i="1"/>
  <c r="X618" i="1"/>
  <c r="AA618" i="1"/>
  <c r="AB618" i="1"/>
  <c r="K618" i="1"/>
  <c r="M618" i="1"/>
  <c r="F618" i="1"/>
  <c r="E618" i="1"/>
  <c r="D618" i="1"/>
  <c r="L618" i="1"/>
  <c r="C618" i="1"/>
  <c r="R617" i="1"/>
  <c r="N617" i="1"/>
  <c r="S617" i="1"/>
  <c r="T617" i="1"/>
  <c r="X617" i="1"/>
  <c r="AA617" i="1"/>
  <c r="AB617" i="1"/>
  <c r="M617" i="1"/>
  <c r="F617" i="1"/>
  <c r="E617" i="1"/>
  <c r="D617" i="1"/>
  <c r="L617" i="1"/>
  <c r="C617" i="1"/>
  <c r="R616" i="1"/>
  <c r="N616" i="1"/>
  <c r="S616" i="1"/>
  <c r="T616" i="1"/>
  <c r="X616" i="1"/>
  <c r="AA616" i="1"/>
  <c r="AB616" i="1"/>
  <c r="M616" i="1"/>
  <c r="F616" i="1"/>
  <c r="E616" i="1"/>
  <c r="D616" i="1"/>
  <c r="L616" i="1"/>
  <c r="C616" i="1"/>
  <c r="R615" i="1"/>
  <c r="N615" i="1"/>
  <c r="S615" i="1"/>
  <c r="T615" i="1"/>
  <c r="X615" i="1"/>
  <c r="AA615" i="1"/>
  <c r="AB615" i="1"/>
  <c r="M615" i="1"/>
  <c r="F615" i="1"/>
  <c r="E615" i="1"/>
  <c r="D615" i="1"/>
  <c r="L615" i="1"/>
  <c r="C615" i="1"/>
  <c r="R614" i="1"/>
  <c r="N614" i="1"/>
  <c r="S614" i="1"/>
  <c r="T614" i="1"/>
  <c r="X614" i="1"/>
  <c r="AA614" i="1"/>
  <c r="M614" i="1"/>
  <c r="F614" i="1"/>
  <c r="E614" i="1"/>
  <c r="D614" i="1"/>
  <c r="L614" i="1"/>
  <c r="C614" i="1"/>
  <c r="R613" i="1"/>
  <c r="N613" i="1"/>
  <c r="X613" i="1"/>
  <c r="AA613" i="1"/>
  <c r="E613" i="1"/>
  <c r="D613" i="1"/>
  <c r="C613" i="1"/>
  <c r="R612" i="1"/>
  <c r="N612" i="1"/>
  <c r="S612" i="1"/>
  <c r="T612" i="1"/>
  <c r="X612" i="1"/>
  <c r="AA612" i="1"/>
  <c r="AB612" i="1"/>
  <c r="K612" i="1"/>
  <c r="E612" i="1"/>
  <c r="D612" i="1"/>
  <c r="L612" i="1"/>
  <c r="C612" i="1"/>
  <c r="R611" i="1"/>
  <c r="N611" i="1"/>
  <c r="S611" i="1"/>
  <c r="T611" i="1"/>
  <c r="X611" i="1"/>
  <c r="AA611" i="1"/>
  <c r="K611" i="1"/>
  <c r="F611" i="1"/>
  <c r="E611" i="1"/>
  <c r="D611" i="1"/>
  <c r="C611" i="1"/>
  <c r="R610" i="1"/>
  <c r="N610" i="1"/>
  <c r="S610" i="1"/>
  <c r="T610" i="1"/>
  <c r="X610" i="1"/>
  <c r="AA610" i="1"/>
  <c r="AB610" i="1"/>
  <c r="K610" i="1"/>
  <c r="M610" i="1"/>
  <c r="F610" i="1"/>
  <c r="E610" i="1"/>
  <c r="D610" i="1"/>
  <c r="L610" i="1"/>
  <c r="C610" i="1"/>
  <c r="R609" i="1"/>
  <c r="N609" i="1"/>
  <c r="S609" i="1"/>
  <c r="T609" i="1"/>
  <c r="X609" i="1"/>
  <c r="AA609" i="1"/>
  <c r="K609" i="1"/>
  <c r="F609" i="1"/>
  <c r="E609" i="1"/>
  <c r="D609" i="1"/>
  <c r="C609" i="1"/>
  <c r="R608" i="1"/>
  <c r="N608" i="1"/>
  <c r="S608" i="1"/>
  <c r="T608" i="1"/>
  <c r="X608" i="1"/>
  <c r="AA608" i="1"/>
  <c r="K608" i="1"/>
  <c r="F608" i="1"/>
  <c r="E608" i="1"/>
  <c r="D608" i="1"/>
  <c r="C608" i="1"/>
  <c r="R607" i="1"/>
  <c r="N607" i="1"/>
  <c r="S607" i="1"/>
  <c r="T607" i="1"/>
  <c r="X607" i="1"/>
  <c r="AA607" i="1"/>
  <c r="AB607" i="1"/>
  <c r="K607" i="1"/>
  <c r="M607" i="1"/>
  <c r="F607" i="1"/>
  <c r="E607" i="1"/>
  <c r="D607" i="1"/>
  <c r="L607" i="1"/>
  <c r="C607" i="1"/>
  <c r="R606" i="1"/>
  <c r="N606" i="1"/>
  <c r="S606" i="1"/>
  <c r="T606" i="1"/>
  <c r="X606" i="1"/>
  <c r="AA606" i="1"/>
  <c r="AB606" i="1"/>
  <c r="M606" i="1"/>
  <c r="F606" i="1"/>
  <c r="E606" i="1"/>
  <c r="D606" i="1"/>
  <c r="L606" i="1"/>
  <c r="C606" i="1"/>
  <c r="R605" i="1"/>
  <c r="N605" i="1"/>
  <c r="S605" i="1"/>
  <c r="T605" i="1"/>
  <c r="X605" i="1"/>
  <c r="AA605" i="1"/>
  <c r="AB605" i="1"/>
  <c r="K605" i="1"/>
  <c r="F605" i="1"/>
  <c r="E605" i="1"/>
  <c r="D605" i="1"/>
  <c r="L605" i="1"/>
  <c r="C605" i="1"/>
  <c r="R604" i="1"/>
  <c r="N604" i="1"/>
  <c r="S604" i="1"/>
  <c r="T604" i="1"/>
  <c r="X604" i="1"/>
  <c r="AA604" i="1"/>
  <c r="AB604" i="1"/>
  <c r="M604" i="1"/>
  <c r="F604" i="1"/>
  <c r="E604" i="1"/>
  <c r="D604" i="1"/>
  <c r="L604" i="1"/>
  <c r="C604" i="1"/>
  <c r="R603" i="1"/>
  <c r="N603" i="1"/>
  <c r="S603" i="1"/>
  <c r="T603" i="1"/>
  <c r="X603" i="1"/>
  <c r="AA603" i="1"/>
  <c r="AB603" i="1"/>
  <c r="M603" i="1"/>
  <c r="F603" i="1"/>
  <c r="E603" i="1"/>
  <c r="D603" i="1"/>
  <c r="L603" i="1"/>
  <c r="C603" i="1"/>
  <c r="S602" i="1"/>
  <c r="E602" i="1"/>
  <c r="D602" i="1"/>
  <c r="L602" i="1"/>
  <c r="C602" i="1"/>
  <c r="S601" i="1"/>
  <c r="E601" i="1"/>
  <c r="D601" i="1"/>
  <c r="L601" i="1"/>
  <c r="C601" i="1"/>
  <c r="R600" i="1"/>
  <c r="N600" i="1"/>
  <c r="E600" i="1"/>
  <c r="D600" i="1"/>
  <c r="L600" i="1"/>
  <c r="C600" i="1"/>
  <c r="R599" i="1"/>
  <c r="N599" i="1"/>
  <c r="S599" i="1"/>
  <c r="T599" i="1"/>
  <c r="X599" i="1"/>
  <c r="AA599" i="1"/>
  <c r="AB599" i="1"/>
  <c r="K599" i="1"/>
  <c r="E599" i="1"/>
  <c r="D599" i="1"/>
  <c r="L599" i="1"/>
  <c r="C599" i="1"/>
  <c r="R598" i="1"/>
  <c r="N598" i="1"/>
  <c r="S598" i="1"/>
  <c r="T598" i="1"/>
  <c r="X598" i="1"/>
  <c r="AA598" i="1"/>
  <c r="AB598" i="1"/>
  <c r="K598" i="1"/>
  <c r="E598" i="1"/>
  <c r="D598" i="1"/>
  <c r="L598" i="1"/>
  <c r="C598" i="1"/>
  <c r="R597" i="1"/>
  <c r="N597" i="1"/>
  <c r="S597" i="1"/>
  <c r="T597" i="1"/>
  <c r="AA597" i="1"/>
  <c r="E597" i="1"/>
  <c r="D597" i="1"/>
  <c r="L597" i="1"/>
  <c r="C597" i="1"/>
  <c r="R596" i="1"/>
  <c r="N596" i="1"/>
  <c r="S596" i="1"/>
  <c r="T596" i="1"/>
  <c r="AA596" i="1"/>
  <c r="E596" i="1"/>
  <c r="D596" i="1"/>
  <c r="L596" i="1"/>
  <c r="C596" i="1"/>
  <c r="R595" i="1"/>
  <c r="N595" i="1"/>
  <c r="S595" i="1"/>
  <c r="T595" i="1"/>
  <c r="X595" i="1"/>
  <c r="AA595" i="1"/>
  <c r="AB595" i="1"/>
  <c r="K595" i="1"/>
  <c r="M595" i="1"/>
  <c r="F595" i="1"/>
  <c r="E595" i="1"/>
  <c r="D595" i="1"/>
  <c r="L595" i="1"/>
  <c r="C595" i="1"/>
  <c r="R594" i="1"/>
  <c r="N594" i="1"/>
  <c r="S594" i="1"/>
  <c r="T594" i="1"/>
  <c r="X594" i="1"/>
  <c r="AA594" i="1"/>
  <c r="AB594" i="1"/>
  <c r="M594" i="1"/>
  <c r="F594" i="1"/>
  <c r="E594" i="1"/>
  <c r="D594" i="1"/>
  <c r="L594" i="1"/>
  <c r="C594" i="1"/>
  <c r="R593" i="1"/>
  <c r="N593" i="1"/>
  <c r="S593" i="1"/>
  <c r="T593" i="1"/>
  <c r="X593" i="1"/>
  <c r="AA593" i="1"/>
  <c r="AB593" i="1"/>
  <c r="M593" i="1"/>
  <c r="F593" i="1"/>
  <c r="E593" i="1"/>
  <c r="D593" i="1"/>
  <c r="L593" i="1"/>
  <c r="C593" i="1"/>
  <c r="R592" i="1"/>
  <c r="N592" i="1"/>
  <c r="S592" i="1"/>
  <c r="T592" i="1"/>
  <c r="X592" i="1"/>
  <c r="AA592" i="1"/>
  <c r="AB592" i="1"/>
  <c r="M592" i="1"/>
  <c r="F592" i="1"/>
  <c r="E592" i="1"/>
  <c r="D592" i="1"/>
  <c r="L592" i="1"/>
  <c r="C592" i="1"/>
  <c r="R591" i="1"/>
  <c r="N591" i="1"/>
  <c r="S591" i="1"/>
  <c r="T591" i="1"/>
  <c r="X591" i="1"/>
  <c r="AA591" i="1"/>
  <c r="AB591" i="1"/>
  <c r="K591" i="1"/>
  <c r="M591" i="1"/>
  <c r="F591" i="1"/>
  <c r="E591" i="1"/>
  <c r="D591" i="1"/>
  <c r="L591" i="1"/>
  <c r="C591" i="1"/>
  <c r="R590" i="1"/>
  <c r="N590" i="1"/>
  <c r="S590" i="1"/>
  <c r="T590" i="1"/>
  <c r="X590" i="1"/>
  <c r="AA590" i="1"/>
  <c r="AB590" i="1"/>
  <c r="K590" i="1"/>
  <c r="M590" i="1"/>
  <c r="F590" i="1"/>
  <c r="E590" i="1"/>
  <c r="D590" i="1"/>
  <c r="L590" i="1"/>
  <c r="C590" i="1"/>
  <c r="R589" i="1"/>
  <c r="N589" i="1"/>
  <c r="S589" i="1"/>
  <c r="T589" i="1"/>
  <c r="X589" i="1"/>
  <c r="AA589" i="1"/>
  <c r="AB589" i="1"/>
  <c r="K589" i="1"/>
  <c r="M589" i="1"/>
  <c r="F589" i="1"/>
  <c r="E589" i="1"/>
  <c r="D589" i="1"/>
  <c r="L589" i="1"/>
  <c r="C589" i="1"/>
  <c r="E588" i="1"/>
  <c r="D588" i="1"/>
  <c r="L588" i="1"/>
  <c r="C588" i="1"/>
  <c r="R587" i="1"/>
  <c r="N587" i="1"/>
  <c r="S587" i="1"/>
  <c r="T587" i="1"/>
  <c r="X587" i="1"/>
  <c r="AA587" i="1"/>
  <c r="AB587" i="1"/>
  <c r="K587" i="1"/>
  <c r="M587" i="1"/>
  <c r="F587" i="1"/>
  <c r="E587" i="1"/>
  <c r="D587" i="1"/>
  <c r="L587" i="1"/>
  <c r="C587" i="1"/>
  <c r="E586" i="1"/>
  <c r="D586" i="1"/>
  <c r="L586" i="1"/>
  <c r="C586" i="1"/>
  <c r="R584" i="1"/>
  <c r="N584" i="1"/>
  <c r="AB584" i="1"/>
  <c r="E584" i="1"/>
  <c r="D584" i="1"/>
  <c r="L584" i="1"/>
  <c r="C584" i="1"/>
  <c r="R583" i="1"/>
  <c r="N583" i="1"/>
  <c r="S583" i="1"/>
  <c r="T583" i="1"/>
  <c r="X583" i="1"/>
  <c r="AA583" i="1"/>
  <c r="K583" i="1"/>
  <c r="F583" i="1"/>
  <c r="E583" i="1"/>
  <c r="D583" i="1"/>
  <c r="C583" i="1"/>
  <c r="R582" i="1"/>
  <c r="N582" i="1"/>
  <c r="S582" i="1"/>
  <c r="T582" i="1"/>
  <c r="X582" i="1"/>
  <c r="AA582" i="1"/>
  <c r="AB582" i="1"/>
  <c r="K582" i="1"/>
  <c r="M582" i="1"/>
  <c r="F582" i="1"/>
  <c r="E582" i="1"/>
  <c r="D582" i="1"/>
  <c r="L582" i="1"/>
  <c r="C582" i="1"/>
  <c r="R581" i="1"/>
  <c r="N581" i="1"/>
  <c r="S581" i="1"/>
  <c r="T581" i="1"/>
  <c r="X581" i="1"/>
  <c r="AA581" i="1"/>
  <c r="AB581" i="1"/>
  <c r="K581" i="1"/>
  <c r="M581" i="1"/>
  <c r="F581" i="1"/>
  <c r="E581" i="1"/>
  <c r="D581" i="1"/>
  <c r="L581" i="1"/>
  <c r="C581" i="1"/>
  <c r="R580" i="1"/>
  <c r="N580" i="1"/>
  <c r="S580" i="1"/>
  <c r="T580" i="1"/>
  <c r="X580" i="1"/>
  <c r="AA580" i="1"/>
  <c r="AB580" i="1"/>
  <c r="M580" i="1"/>
  <c r="F580" i="1"/>
  <c r="E580" i="1"/>
  <c r="D580" i="1"/>
  <c r="L580" i="1"/>
  <c r="C580" i="1"/>
  <c r="R579" i="1"/>
  <c r="N579" i="1"/>
  <c r="S579" i="1"/>
  <c r="T579" i="1"/>
  <c r="X579" i="1"/>
  <c r="AA579" i="1"/>
  <c r="AB579" i="1"/>
  <c r="M579" i="1"/>
  <c r="F579" i="1"/>
  <c r="E579" i="1"/>
  <c r="D579" i="1"/>
  <c r="L579" i="1"/>
  <c r="C579" i="1"/>
  <c r="R578" i="1"/>
  <c r="N578" i="1"/>
  <c r="S578" i="1"/>
  <c r="T578" i="1"/>
  <c r="X578" i="1"/>
  <c r="AA578" i="1"/>
  <c r="AB578" i="1"/>
  <c r="M578" i="1"/>
  <c r="F578" i="1"/>
  <c r="E578" i="1"/>
  <c r="D578" i="1"/>
  <c r="L578" i="1"/>
  <c r="C578" i="1"/>
  <c r="R577" i="1"/>
  <c r="N577" i="1"/>
  <c r="S577" i="1"/>
  <c r="T577" i="1"/>
  <c r="X577" i="1"/>
  <c r="AA577" i="1"/>
  <c r="AB577" i="1"/>
  <c r="K577" i="1"/>
  <c r="M577" i="1"/>
  <c r="F577" i="1"/>
  <c r="E577" i="1"/>
  <c r="D577" i="1"/>
  <c r="L577" i="1"/>
  <c r="C577" i="1"/>
  <c r="R576" i="1"/>
  <c r="N576" i="1"/>
  <c r="S576" i="1"/>
  <c r="T576" i="1"/>
  <c r="X576" i="1"/>
  <c r="AA576" i="1"/>
  <c r="AB576" i="1"/>
  <c r="K576" i="1"/>
  <c r="M576" i="1"/>
  <c r="F576" i="1"/>
  <c r="E576" i="1"/>
  <c r="D576" i="1"/>
  <c r="L576" i="1"/>
  <c r="C576" i="1"/>
  <c r="R575" i="1"/>
  <c r="S575" i="1"/>
  <c r="F575" i="1"/>
  <c r="E575" i="1"/>
  <c r="D575" i="1"/>
  <c r="L575" i="1"/>
  <c r="C575" i="1"/>
  <c r="R574" i="1"/>
  <c r="N574" i="1"/>
  <c r="S574" i="1"/>
  <c r="T574" i="1"/>
  <c r="X574" i="1"/>
  <c r="AA574" i="1"/>
  <c r="AB574" i="1"/>
  <c r="M574" i="1"/>
  <c r="F574" i="1"/>
  <c r="E574" i="1"/>
  <c r="D574" i="1"/>
  <c r="L574" i="1"/>
  <c r="C574" i="1"/>
  <c r="R573" i="1"/>
  <c r="N573" i="1"/>
  <c r="S573" i="1"/>
  <c r="T573" i="1"/>
  <c r="X573" i="1"/>
  <c r="AA573" i="1"/>
  <c r="AB573" i="1"/>
  <c r="M573" i="1"/>
  <c r="F573" i="1"/>
  <c r="E573" i="1"/>
  <c r="D573" i="1"/>
  <c r="L573" i="1"/>
  <c r="C573" i="1"/>
  <c r="R572" i="1"/>
  <c r="N572" i="1"/>
  <c r="S572" i="1"/>
  <c r="T572" i="1"/>
  <c r="X572" i="1"/>
  <c r="AA572" i="1"/>
  <c r="AB572" i="1"/>
  <c r="M572" i="1"/>
  <c r="F572" i="1"/>
  <c r="E572" i="1"/>
  <c r="D572" i="1"/>
  <c r="L572" i="1"/>
  <c r="C572" i="1"/>
  <c r="R571" i="1"/>
  <c r="N571" i="1"/>
  <c r="S571" i="1"/>
  <c r="T571" i="1"/>
  <c r="X571" i="1"/>
  <c r="AA571" i="1"/>
  <c r="AB571" i="1"/>
  <c r="M571" i="1"/>
  <c r="F571" i="1"/>
  <c r="E571" i="1"/>
  <c r="D571" i="1"/>
  <c r="L571" i="1"/>
  <c r="C571" i="1"/>
  <c r="AB570" i="1"/>
  <c r="E570" i="1"/>
  <c r="D570" i="1"/>
  <c r="L570" i="1"/>
  <c r="C570" i="1"/>
  <c r="R569" i="1"/>
  <c r="N569" i="1"/>
  <c r="S569" i="1"/>
  <c r="T569" i="1"/>
  <c r="X569" i="1"/>
  <c r="AA569" i="1"/>
  <c r="AB569" i="1"/>
  <c r="K569" i="1"/>
  <c r="M569" i="1"/>
  <c r="F569" i="1"/>
  <c r="E569" i="1"/>
  <c r="D569" i="1"/>
  <c r="L569" i="1"/>
  <c r="C569" i="1"/>
  <c r="R568" i="1"/>
  <c r="N568" i="1"/>
  <c r="X568" i="1"/>
  <c r="AA568" i="1"/>
  <c r="AB568" i="1"/>
  <c r="M568" i="1"/>
  <c r="E568" i="1"/>
  <c r="D568" i="1"/>
  <c r="L568" i="1"/>
  <c r="C568" i="1"/>
  <c r="N567" i="1"/>
  <c r="S567" i="1"/>
  <c r="T567" i="1"/>
  <c r="K567" i="1"/>
  <c r="F567" i="1"/>
  <c r="E567" i="1"/>
  <c r="C567" i="1"/>
  <c r="R566" i="1"/>
  <c r="N566" i="1"/>
  <c r="S566" i="1"/>
  <c r="T566" i="1"/>
  <c r="M566" i="1"/>
  <c r="F566" i="1"/>
  <c r="E566" i="1"/>
  <c r="D566" i="1"/>
  <c r="L566" i="1"/>
  <c r="C566" i="1"/>
  <c r="R565" i="1"/>
  <c r="N565" i="1"/>
  <c r="S565" i="1"/>
  <c r="T565" i="1"/>
  <c r="AA565" i="1"/>
  <c r="AB565" i="1"/>
  <c r="M565" i="1"/>
  <c r="F565" i="1"/>
  <c r="E565" i="1"/>
  <c r="D565" i="1"/>
  <c r="L565" i="1"/>
  <c r="C565" i="1"/>
  <c r="R564" i="1"/>
  <c r="N564" i="1"/>
  <c r="S564" i="1"/>
  <c r="T564" i="1"/>
  <c r="X564" i="1"/>
  <c r="AA564" i="1"/>
  <c r="AB564" i="1"/>
  <c r="K564" i="1"/>
  <c r="M564" i="1"/>
  <c r="F564" i="1"/>
  <c r="E564" i="1"/>
  <c r="D564" i="1"/>
  <c r="L564" i="1"/>
  <c r="C564" i="1"/>
  <c r="R563" i="1"/>
  <c r="N563" i="1"/>
  <c r="E563" i="1"/>
  <c r="L563" i="1"/>
  <c r="C563" i="1"/>
  <c r="R562" i="1"/>
  <c r="N562" i="1"/>
  <c r="S562" i="1"/>
  <c r="X562" i="1"/>
  <c r="AA562" i="1"/>
  <c r="AB562" i="1"/>
  <c r="M562" i="1"/>
  <c r="E562" i="1"/>
  <c r="D562" i="1"/>
  <c r="L562" i="1"/>
  <c r="C562" i="1"/>
  <c r="R561" i="1"/>
  <c r="N561" i="1"/>
  <c r="S561" i="1"/>
  <c r="K561" i="1"/>
  <c r="E561" i="1"/>
  <c r="D561" i="1"/>
  <c r="C561" i="1"/>
  <c r="R560" i="1"/>
  <c r="N560" i="1"/>
  <c r="S560" i="1"/>
  <c r="T560" i="1"/>
  <c r="X560" i="1"/>
  <c r="AA560" i="1"/>
  <c r="K560" i="1"/>
  <c r="F560" i="1"/>
  <c r="E560" i="1"/>
  <c r="D560" i="1"/>
  <c r="C560" i="1"/>
  <c r="R559" i="1"/>
  <c r="N559" i="1"/>
  <c r="S559" i="1"/>
  <c r="T559" i="1"/>
  <c r="X559" i="1"/>
  <c r="AA559" i="1"/>
  <c r="M559" i="1"/>
  <c r="F559" i="1"/>
  <c r="E559" i="1"/>
  <c r="D559" i="1"/>
  <c r="L559" i="1"/>
  <c r="C559" i="1"/>
  <c r="R558" i="1"/>
  <c r="N558" i="1"/>
  <c r="S558" i="1"/>
  <c r="T558" i="1"/>
  <c r="X558" i="1"/>
  <c r="AA558" i="1"/>
  <c r="M558" i="1"/>
  <c r="F558" i="1"/>
  <c r="E558" i="1"/>
  <c r="D558" i="1"/>
  <c r="L558" i="1"/>
  <c r="C558" i="1"/>
  <c r="R557" i="1"/>
  <c r="N557" i="1"/>
  <c r="S557" i="1"/>
  <c r="T557" i="1"/>
  <c r="X557" i="1"/>
  <c r="AA557" i="1"/>
  <c r="AB557" i="1"/>
  <c r="K557" i="1"/>
  <c r="M557" i="1"/>
  <c r="F557" i="1"/>
  <c r="E557" i="1"/>
  <c r="D557" i="1"/>
  <c r="L557" i="1"/>
  <c r="C557" i="1"/>
  <c r="R556" i="1"/>
  <c r="S556" i="1"/>
  <c r="K556" i="1"/>
  <c r="F556" i="1"/>
  <c r="E556" i="1"/>
  <c r="D556" i="1"/>
  <c r="L556" i="1"/>
  <c r="C556" i="1"/>
  <c r="R555" i="1"/>
  <c r="N555" i="1"/>
  <c r="S555" i="1"/>
  <c r="T555" i="1"/>
  <c r="X555" i="1"/>
  <c r="AA555" i="1"/>
  <c r="AB555" i="1"/>
  <c r="M555" i="1"/>
  <c r="F555" i="1"/>
  <c r="E555" i="1"/>
  <c r="D555" i="1"/>
  <c r="L555" i="1"/>
  <c r="C555" i="1"/>
  <c r="R554" i="1"/>
  <c r="N554" i="1"/>
  <c r="S554" i="1"/>
  <c r="T554" i="1"/>
  <c r="X554" i="1"/>
  <c r="AA554" i="1"/>
  <c r="AB554" i="1"/>
  <c r="M554" i="1"/>
  <c r="F554" i="1"/>
  <c r="E554" i="1"/>
  <c r="D554" i="1"/>
  <c r="L554" i="1"/>
  <c r="C554" i="1"/>
  <c r="R553" i="1"/>
  <c r="N553" i="1"/>
  <c r="S553" i="1"/>
  <c r="T553" i="1"/>
  <c r="X553" i="1"/>
  <c r="AA553" i="1"/>
  <c r="M553" i="1"/>
  <c r="F553" i="1"/>
  <c r="E553" i="1"/>
  <c r="D553" i="1"/>
  <c r="L553" i="1"/>
  <c r="C553" i="1"/>
  <c r="R552" i="1"/>
  <c r="N552" i="1"/>
  <c r="S552" i="1"/>
  <c r="T552" i="1"/>
  <c r="M552" i="1"/>
  <c r="F552" i="1"/>
  <c r="E552" i="1"/>
  <c r="D552" i="1"/>
  <c r="L552" i="1"/>
  <c r="C552" i="1"/>
  <c r="R551" i="1"/>
  <c r="N551" i="1"/>
  <c r="S551" i="1"/>
  <c r="T551" i="1"/>
  <c r="X551" i="1"/>
  <c r="AA551" i="1"/>
  <c r="K551" i="1"/>
  <c r="M551" i="1"/>
  <c r="F551" i="1"/>
  <c r="E551" i="1"/>
  <c r="D551" i="1"/>
  <c r="L551" i="1"/>
  <c r="C551" i="1"/>
  <c r="R550" i="1"/>
  <c r="N550" i="1"/>
  <c r="S550" i="1"/>
  <c r="T550" i="1"/>
  <c r="X550" i="1"/>
  <c r="AA550" i="1"/>
  <c r="AB550" i="1"/>
  <c r="K550" i="1"/>
  <c r="M550" i="1"/>
  <c r="F550" i="1"/>
  <c r="E550" i="1"/>
  <c r="D550" i="1"/>
  <c r="L550" i="1"/>
  <c r="C550" i="1"/>
  <c r="R549" i="1"/>
  <c r="N549" i="1"/>
  <c r="S549" i="1"/>
  <c r="T549" i="1"/>
  <c r="X549" i="1"/>
  <c r="AA549" i="1"/>
  <c r="AB549" i="1"/>
  <c r="K549" i="1"/>
  <c r="M549" i="1"/>
  <c r="F549" i="1"/>
  <c r="E549" i="1"/>
  <c r="D549" i="1"/>
  <c r="L549" i="1"/>
  <c r="C549" i="1"/>
  <c r="R548" i="1"/>
  <c r="N548" i="1"/>
  <c r="S548" i="1"/>
  <c r="T548" i="1"/>
  <c r="X548" i="1"/>
  <c r="AA548" i="1"/>
  <c r="AB548" i="1"/>
  <c r="M548" i="1"/>
  <c r="E548" i="1"/>
  <c r="D548" i="1"/>
  <c r="L548" i="1"/>
  <c r="C548" i="1"/>
  <c r="R547" i="1"/>
  <c r="S547" i="1"/>
  <c r="R546" i="1"/>
  <c r="N546" i="1"/>
  <c r="S546" i="1"/>
  <c r="T546" i="1"/>
  <c r="X546" i="1"/>
  <c r="AA546" i="1"/>
  <c r="AB546" i="1"/>
  <c r="M546" i="1"/>
  <c r="F546" i="1"/>
  <c r="E546" i="1"/>
  <c r="D546" i="1"/>
  <c r="L546" i="1"/>
  <c r="C546" i="1"/>
  <c r="R545" i="1"/>
  <c r="N545" i="1"/>
  <c r="S545" i="1"/>
  <c r="T545" i="1"/>
  <c r="X545" i="1"/>
  <c r="AA545" i="1"/>
  <c r="AB545" i="1"/>
  <c r="K545" i="1"/>
  <c r="M545" i="1"/>
  <c r="F545" i="1"/>
  <c r="E545" i="1"/>
  <c r="D545" i="1"/>
  <c r="L545" i="1"/>
  <c r="C545" i="1"/>
  <c r="R544" i="1"/>
  <c r="N544" i="1"/>
  <c r="S544" i="1"/>
  <c r="T544" i="1"/>
  <c r="X544" i="1"/>
  <c r="AA544" i="1"/>
  <c r="AB544" i="1"/>
  <c r="K544" i="1"/>
  <c r="M544" i="1"/>
  <c r="F544" i="1"/>
  <c r="E544" i="1"/>
  <c r="D544" i="1"/>
  <c r="L544" i="1"/>
  <c r="C544" i="1"/>
  <c r="C543" i="1"/>
  <c r="S542" i="1"/>
  <c r="D542" i="1"/>
  <c r="L542" i="1"/>
  <c r="C542" i="1"/>
  <c r="L541" i="1"/>
  <c r="C541" i="1"/>
  <c r="L540" i="1"/>
  <c r="C540" i="1"/>
  <c r="R539" i="1"/>
  <c r="N539" i="1"/>
  <c r="S539" i="1"/>
  <c r="T539" i="1"/>
  <c r="X539" i="1"/>
  <c r="AA539" i="1"/>
  <c r="L539" i="1"/>
  <c r="C539" i="1"/>
  <c r="R538" i="1"/>
  <c r="N538" i="1"/>
  <c r="S538" i="1"/>
  <c r="T538" i="1"/>
  <c r="X538" i="1"/>
  <c r="AA538" i="1"/>
  <c r="AB538" i="1"/>
  <c r="K538" i="1"/>
  <c r="M538" i="1"/>
  <c r="F538" i="1"/>
  <c r="E538" i="1"/>
  <c r="D538" i="1"/>
  <c r="L538" i="1"/>
  <c r="C538" i="1"/>
  <c r="R537" i="1"/>
  <c r="N537" i="1"/>
  <c r="S537" i="1"/>
  <c r="T537" i="1"/>
  <c r="X537" i="1"/>
  <c r="AA537" i="1"/>
  <c r="AB537" i="1"/>
  <c r="K537" i="1"/>
  <c r="M537" i="1"/>
  <c r="F537" i="1"/>
  <c r="E537" i="1"/>
  <c r="D537" i="1"/>
  <c r="L537" i="1"/>
  <c r="C537" i="1"/>
  <c r="N536" i="1"/>
  <c r="S536" i="1"/>
  <c r="T536" i="1"/>
  <c r="X536" i="1"/>
  <c r="AA536" i="1"/>
  <c r="AB536" i="1"/>
  <c r="K536" i="1"/>
  <c r="M536" i="1"/>
  <c r="F536" i="1"/>
  <c r="E536" i="1"/>
  <c r="D536" i="1"/>
  <c r="L536" i="1"/>
  <c r="C536" i="1"/>
  <c r="R535" i="1"/>
  <c r="N535" i="1"/>
  <c r="S535" i="1"/>
  <c r="T535" i="1"/>
  <c r="X535" i="1"/>
  <c r="AA535" i="1"/>
  <c r="AB535" i="1"/>
  <c r="K535" i="1"/>
  <c r="M535" i="1"/>
  <c r="F535" i="1"/>
  <c r="E535" i="1"/>
  <c r="D535" i="1"/>
  <c r="L535" i="1"/>
  <c r="C535" i="1"/>
  <c r="R534" i="1"/>
  <c r="N534" i="1"/>
  <c r="S534" i="1"/>
  <c r="T534" i="1"/>
  <c r="X534" i="1"/>
  <c r="AA534" i="1"/>
  <c r="AB534" i="1"/>
  <c r="K534" i="1"/>
  <c r="M534" i="1"/>
  <c r="F534" i="1"/>
  <c r="E534" i="1"/>
  <c r="D534" i="1"/>
  <c r="L534" i="1"/>
  <c r="C534" i="1"/>
  <c r="R533" i="1"/>
  <c r="N533" i="1"/>
  <c r="S533" i="1"/>
  <c r="T533" i="1"/>
  <c r="X533" i="1"/>
  <c r="AA533" i="1"/>
  <c r="AB533" i="1"/>
  <c r="K533" i="1"/>
  <c r="M533" i="1"/>
  <c r="F533" i="1"/>
  <c r="E533" i="1"/>
  <c r="D533" i="1"/>
  <c r="L533" i="1"/>
  <c r="C533" i="1"/>
  <c r="R532" i="1"/>
  <c r="N532" i="1"/>
  <c r="S532" i="1"/>
  <c r="T532" i="1"/>
  <c r="X532" i="1"/>
  <c r="AA532" i="1"/>
  <c r="AB532" i="1"/>
  <c r="K532" i="1"/>
  <c r="M532" i="1"/>
  <c r="F532" i="1"/>
  <c r="E532" i="1"/>
  <c r="D532" i="1"/>
  <c r="L532" i="1"/>
  <c r="C532" i="1"/>
  <c r="R531" i="1"/>
  <c r="N531" i="1"/>
  <c r="X531" i="1"/>
  <c r="AA531" i="1"/>
  <c r="AB531" i="1"/>
  <c r="M531" i="1"/>
  <c r="E531" i="1"/>
  <c r="D531" i="1"/>
  <c r="L531" i="1"/>
  <c r="C531" i="1"/>
  <c r="R530" i="1"/>
  <c r="N530" i="1"/>
  <c r="S530" i="1"/>
  <c r="T530" i="1"/>
  <c r="X530" i="1"/>
  <c r="AA530" i="1"/>
  <c r="AB530" i="1"/>
  <c r="K530" i="1"/>
  <c r="M530" i="1"/>
  <c r="F530" i="1"/>
  <c r="E530" i="1"/>
  <c r="D530" i="1"/>
  <c r="L530" i="1"/>
  <c r="C530" i="1"/>
  <c r="R529" i="1"/>
  <c r="N529" i="1"/>
  <c r="S529" i="1"/>
  <c r="T529" i="1"/>
  <c r="X529" i="1"/>
  <c r="AA529" i="1"/>
  <c r="AB529" i="1"/>
  <c r="K529" i="1"/>
  <c r="M529" i="1"/>
  <c r="F529" i="1"/>
  <c r="E529" i="1"/>
  <c r="D529" i="1"/>
  <c r="L529" i="1"/>
  <c r="C529" i="1"/>
  <c r="R452" i="1"/>
  <c r="N452" i="1"/>
  <c r="AA452" i="1"/>
  <c r="X452" i="1"/>
  <c r="L452" i="1"/>
  <c r="M452" i="1"/>
  <c r="E452" i="1"/>
  <c r="D452" i="1"/>
  <c r="C452" i="1"/>
  <c r="N460" i="1"/>
  <c r="T460" i="1"/>
  <c r="S460" i="1"/>
  <c r="J503" i="1"/>
  <c r="I503" i="1"/>
  <c r="H503" i="1"/>
  <c r="G503" i="1"/>
  <c r="F503" i="1"/>
  <c r="J502" i="1"/>
  <c r="I502" i="1"/>
  <c r="H502" i="1"/>
  <c r="G502" i="1"/>
  <c r="F502" i="1"/>
  <c r="J499" i="1"/>
  <c r="I499" i="1"/>
  <c r="H499" i="1"/>
  <c r="G499" i="1"/>
  <c r="F499" i="1"/>
  <c r="J497" i="1"/>
  <c r="I497" i="1"/>
  <c r="H497" i="1"/>
  <c r="G497" i="1"/>
  <c r="F497" i="1"/>
  <c r="J496" i="1"/>
  <c r="I496" i="1"/>
  <c r="H496" i="1"/>
  <c r="G496" i="1"/>
  <c r="F496" i="1"/>
  <c r="J495" i="1"/>
  <c r="I495" i="1"/>
  <c r="H495" i="1"/>
  <c r="G495" i="1"/>
  <c r="F495" i="1"/>
  <c r="J494" i="1"/>
  <c r="I494" i="1"/>
  <c r="H494" i="1"/>
  <c r="G494" i="1"/>
  <c r="F494" i="1"/>
  <c r="J492" i="1"/>
  <c r="I492" i="1"/>
  <c r="H492" i="1"/>
  <c r="F492" i="1"/>
  <c r="J491" i="1"/>
  <c r="I491" i="1"/>
  <c r="H491" i="1"/>
  <c r="G491" i="1"/>
  <c r="F491" i="1"/>
  <c r="J490" i="1"/>
  <c r="I490" i="1"/>
  <c r="H490" i="1"/>
  <c r="F490" i="1"/>
  <c r="J489" i="1"/>
  <c r="I489" i="1"/>
  <c r="H489" i="1"/>
  <c r="G489" i="1"/>
  <c r="F489" i="1"/>
  <c r="J488" i="1"/>
  <c r="I488" i="1"/>
  <c r="H488" i="1"/>
  <c r="G488" i="1"/>
  <c r="F488" i="1"/>
  <c r="J487" i="1"/>
  <c r="I487" i="1"/>
  <c r="H487" i="1"/>
  <c r="G487" i="1"/>
  <c r="F487" i="1"/>
  <c r="J486" i="1"/>
  <c r="I486" i="1"/>
  <c r="H486" i="1"/>
  <c r="G486" i="1"/>
  <c r="F486" i="1"/>
  <c r="J484" i="1"/>
  <c r="I484" i="1"/>
  <c r="H484" i="1"/>
  <c r="G484" i="1"/>
  <c r="F484" i="1"/>
  <c r="J483" i="1"/>
  <c r="I483" i="1"/>
  <c r="H483" i="1"/>
  <c r="G483" i="1"/>
  <c r="F483" i="1"/>
  <c r="J482" i="1"/>
  <c r="I482" i="1"/>
  <c r="H482" i="1"/>
  <c r="G482" i="1"/>
  <c r="F482" i="1"/>
  <c r="J481" i="1"/>
  <c r="I481" i="1"/>
  <c r="H481" i="1"/>
  <c r="G481" i="1"/>
  <c r="F481" i="1"/>
  <c r="J479" i="1"/>
  <c r="I479" i="1"/>
  <c r="H479" i="1"/>
  <c r="G479" i="1"/>
  <c r="F479" i="1"/>
  <c r="I475" i="1"/>
  <c r="H475" i="1"/>
  <c r="G475" i="1"/>
  <c r="F475" i="1"/>
  <c r="I473" i="1"/>
  <c r="H473" i="1"/>
  <c r="G473" i="1"/>
  <c r="F473" i="1"/>
  <c r="J471" i="1"/>
  <c r="I471" i="1"/>
  <c r="H471" i="1"/>
  <c r="G471" i="1"/>
  <c r="F471" i="1"/>
  <c r="J470" i="1"/>
  <c r="I470" i="1"/>
  <c r="H470" i="1"/>
  <c r="G470" i="1"/>
  <c r="F470" i="1"/>
  <c r="J469" i="1"/>
  <c r="I469" i="1"/>
  <c r="H469" i="1"/>
  <c r="G469" i="1"/>
  <c r="F469" i="1"/>
  <c r="J468" i="1"/>
  <c r="I468" i="1"/>
  <c r="H468" i="1"/>
  <c r="G468" i="1"/>
  <c r="F468" i="1"/>
  <c r="J141" i="1"/>
  <c r="I141" i="1"/>
  <c r="H141" i="1"/>
  <c r="G141" i="1"/>
  <c r="F141" i="1"/>
  <c r="J477" i="1"/>
  <c r="I477" i="1"/>
  <c r="H477" i="1"/>
  <c r="G477" i="1"/>
  <c r="F477" i="1"/>
  <c r="J466" i="1"/>
  <c r="I466" i="1"/>
  <c r="H466" i="1"/>
  <c r="G466" i="1"/>
  <c r="F466" i="1"/>
  <c r="I464" i="1"/>
  <c r="H464" i="1"/>
  <c r="G464" i="1"/>
  <c r="F464" i="1"/>
  <c r="J450" i="1"/>
  <c r="I450" i="1"/>
  <c r="H450" i="1"/>
  <c r="G450" i="1"/>
  <c r="F450" i="1"/>
  <c r="J442" i="1"/>
  <c r="I442" i="1"/>
  <c r="H442" i="1"/>
  <c r="G442" i="1"/>
  <c r="F442" i="1"/>
  <c r="J441" i="1"/>
  <c r="I441" i="1"/>
  <c r="H441" i="1"/>
  <c r="G441" i="1"/>
  <c r="F441" i="1"/>
  <c r="I439" i="1"/>
  <c r="H439" i="1"/>
  <c r="G439" i="1"/>
  <c r="J436" i="1"/>
  <c r="I436" i="1"/>
  <c r="H436" i="1"/>
  <c r="G436" i="1"/>
  <c r="F436" i="1"/>
  <c r="J434" i="1"/>
  <c r="I434" i="1"/>
  <c r="H434" i="1"/>
  <c r="G434" i="1"/>
  <c r="F434" i="1"/>
  <c r="J433" i="1"/>
  <c r="I433" i="1"/>
  <c r="H433" i="1"/>
  <c r="G433" i="1"/>
  <c r="F433" i="1"/>
  <c r="J432" i="1"/>
  <c r="I432" i="1"/>
  <c r="H432" i="1"/>
  <c r="G432" i="1"/>
  <c r="F432" i="1"/>
  <c r="H413" i="1"/>
  <c r="J413" i="1"/>
  <c r="I413" i="1"/>
  <c r="G413" i="1"/>
  <c r="J412" i="1"/>
  <c r="I412" i="1"/>
  <c r="H412" i="1"/>
  <c r="G412" i="1"/>
  <c r="J411" i="1"/>
  <c r="I411" i="1"/>
  <c r="G411" i="1"/>
  <c r="J408" i="1"/>
  <c r="I408" i="1"/>
  <c r="H408" i="1"/>
  <c r="G408" i="1"/>
  <c r="J407" i="1"/>
  <c r="I407" i="1"/>
  <c r="H407" i="1"/>
  <c r="G407" i="1"/>
  <c r="F407" i="1"/>
  <c r="J406" i="1"/>
  <c r="I406" i="1"/>
  <c r="H406" i="1"/>
  <c r="G406" i="1"/>
  <c r="F406" i="1"/>
  <c r="J403" i="1"/>
  <c r="I403" i="1"/>
  <c r="H403" i="1"/>
  <c r="G403" i="1"/>
  <c r="F403" i="1"/>
  <c r="J402" i="1"/>
  <c r="I402" i="1"/>
  <c r="H402" i="1"/>
  <c r="G402" i="1"/>
  <c r="F402" i="1"/>
  <c r="I401" i="1"/>
  <c r="J401" i="1"/>
  <c r="H401" i="1"/>
  <c r="G401" i="1"/>
  <c r="F401" i="1"/>
  <c r="J398" i="1"/>
  <c r="I398" i="1"/>
  <c r="H398" i="1"/>
  <c r="G398" i="1"/>
  <c r="F398" i="1"/>
  <c r="G396" i="1"/>
  <c r="F396" i="1"/>
  <c r="J395" i="1"/>
  <c r="I395" i="1"/>
  <c r="H395" i="1"/>
  <c r="G395" i="1"/>
  <c r="F395" i="1"/>
  <c r="J399" i="1"/>
  <c r="I399" i="1"/>
  <c r="H399" i="1"/>
  <c r="G399" i="1"/>
  <c r="F399" i="1"/>
  <c r="J394" i="1"/>
  <c r="I394" i="1"/>
  <c r="G394" i="1"/>
  <c r="F394" i="1"/>
  <c r="J392" i="1"/>
  <c r="I392" i="1"/>
  <c r="G392" i="1"/>
  <c r="F392" i="1"/>
  <c r="J386" i="1"/>
  <c r="I386" i="1"/>
  <c r="H386" i="1"/>
  <c r="G386" i="1"/>
  <c r="F386" i="1"/>
  <c r="J383" i="1"/>
  <c r="I383" i="1"/>
  <c r="H383" i="1"/>
  <c r="G383" i="1"/>
  <c r="F383" i="1"/>
  <c r="J382" i="1"/>
  <c r="I382" i="1"/>
  <c r="H382" i="1"/>
  <c r="G382" i="1"/>
  <c r="J380" i="1"/>
  <c r="I380" i="1"/>
  <c r="H380" i="1"/>
  <c r="G380" i="1"/>
  <c r="F380" i="1"/>
  <c r="J378" i="1"/>
  <c r="I378" i="1"/>
  <c r="H378" i="1"/>
  <c r="G378" i="1"/>
  <c r="F378" i="1"/>
  <c r="J375" i="1"/>
  <c r="I375" i="1"/>
  <c r="H375" i="1"/>
  <c r="G375" i="1"/>
  <c r="F375" i="1"/>
  <c r="J374" i="1"/>
  <c r="I374" i="1"/>
  <c r="H374" i="1"/>
  <c r="G374" i="1"/>
  <c r="F374" i="1"/>
  <c r="J373" i="1"/>
  <c r="I373" i="1"/>
  <c r="H373" i="1"/>
  <c r="G373" i="1"/>
  <c r="F373" i="1"/>
  <c r="J369" i="1"/>
  <c r="I369" i="1"/>
  <c r="H369" i="1"/>
  <c r="G369" i="1"/>
  <c r="F369" i="1"/>
  <c r="J368" i="1"/>
  <c r="I368" i="1"/>
  <c r="H368" i="1"/>
  <c r="G368" i="1"/>
  <c r="J367" i="1"/>
  <c r="I367" i="1"/>
  <c r="H367" i="1"/>
  <c r="G367" i="1"/>
  <c r="F367" i="1"/>
  <c r="J366" i="1"/>
  <c r="I366" i="1"/>
  <c r="H366" i="1"/>
  <c r="G366" i="1"/>
  <c r="F366" i="1"/>
  <c r="J365" i="1"/>
  <c r="I365" i="1"/>
  <c r="G365" i="1"/>
  <c r="J364" i="1"/>
  <c r="G364" i="1"/>
  <c r="F364" i="1"/>
  <c r="J362" i="1"/>
  <c r="I362" i="1"/>
  <c r="H362" i="1"/>
  <c r="G362" i="1"/>
  <c r="F362" i="1"/>
  <c r="J360" i="1"/>
  <c r="I360" i="1"/>
  <c r="H360" i="1"/>
  <c r="G360" i="1"/>
  <c r="F360" i="1"/>
  <c r="J359" i="1"/>
  <c r="I359" i="1"/>
  <c r="H359" i="1"/>
  <c r="G359" i="1"/>
  <c r="F359" i="1"/>
  <c r="J358" i="1"/>
  <c r="I358" i="1"/>
  <c r="H358" i="1"/>
  <c r="G358" i="1"/>
  <c r="F358" i="1"/>
  <c r="J357" i="1"/>
  <c r="I357" i="1"/>
  <c r="H357" i="1"/>
  <c r="G357" i="1"/>
  <c r="F357" i="1"/>
  <c r="H356" i="1"/>
  <c r="J356" i="1"/>
  <c r="I356" i="1"/>
  <c r="G356" i="1"/>
  <c r="F356" i="1"/>
  <c r="J355" i="1"/>
  <c r="I355" i="1"/>
  <c r="H355" i="1"/>
  <c r="G355" i="1"/>
  <c r="F355" i="1"/>
  <c r="J354" i="1"/>
  <c r="I354" i="1"/>
  <c r="H354" i="1"/>
  <c r="G354" i="1"/>
  <c r="F354" i="1"/>
  <c r="J352" i="1"/>
  <c r="I352" i="1"/>
  <c r="H352" i="1"/>
  <c r="G352" i="1"/>
  <c r="F352" i="1"/>
  <c r="J350" i="1"/>
  <c r="J349" i="1"/>
  <c r="I349" i="1"/>
  <c r="H349" i="1"/>
  <c r="G349" i="1"/>
  <c r="F349" i="1"/>
  <c r="J348" i="1"/>
  <c r="I348" i="1"/>
  <c r="H348" i="1"/>
  <c r="G348" i="1"/>
  <c r="F348" i="1"/>
  <c r="J347" i="1"/>
  <c r="I347" i="1"/>
  <c r="H347" i="1"/>
  <c r="G347" i="1"/>
  <c r="F347" i="1"/>
  <c r="J346" i="1"/>
  <c r="I346" i="1"/>
  <c r="H346" i="1"/>
  <c r="G346" i="1"/>
  <c r="F346" i="1"/>
  <c r="J341" i="1"/>
  <c r="I341" i="1"/>
  <c r="H341" i="1"/>
  <c r="G341" i="1"/>
  <c r="F341" i="1"/>
  <c r="I340" i="1"/>
  <c r="H340" i="1"/>
  <c r="G340" i="1"/>
  <c r="F340" i="1"/>
  <c r="I339" i="1"/>
  <c r="H339" i="1"/>
  <c r="G339" i="1"/>
  <c r="F339" i="1"/>
  <c r="J338" i="1"/>
  <c r="I338" i="1"/>
  <c r="H338" i="1"/>
  <c r="G338" i="1"/>
  <c r="F338" i="1"/>
  <c r="J337" i="1"/>
  <c r="I337" i="1"/>
  <c r="H337" i="1"/>
  <c r="H336" i="1"/>
  <c r="G337" i="1"/>
  <c r="F337" i="1"/>
  <c r="J336" i="1"/>
  <c r="I336" i="1"/>
  <c r="G336" i="1"/>
  <c r="F336" i="1"/>
  <c r="J335" i="1"/>
  <c r="I335" i="1"/>
  <c r="H335" i="1"/>
  <c r="G335" i="1"/>
  <c r="F335" i="1"/>
  <c r="J334" i="1"/>
  <c r="I334" i="1"/>
  <c r="H334" i="1"/>
  <c r="G334" i="1"/>
  <c r="F334" i="1"/>
  <c r="J333" i="1"/>
  <c r="I333" i="1"/>
  <c r="H333" i="1"/>
  <c r="G333" i="1"/>
  <c r="F333" i="1"/>
  <c r="I332" i="1"/>
  <c r="H332" i="1"/>
  <c r="G332" i="1"/>
  <c r="F332" i="1"/>
  <c r="J331" i="1"/>
  <c r="I331" i="1"/>
  <c r="H331" i="1"/>
  <c r="G331" i="1"/>
  <c r="F331" i="1"/>
  <c r="J330" i="1"/>
  <c r="I330" i="1"/>
  <c r="H330" i="1"/>
  <c r="G330" i="1"/>
  <c r="F330" i="1"/>
  <c r="J329" i="1"/>
  <c r="I329" i="1"/>
  <c r="H329" i="1"/>
  <c r="G329" i="1"/>
  <c r="F329" i="1"/>
  <c r="J328" i="1"/>
  <c r="I328" i="1"/>
  <c r="H328" i="1"/>
  <c r="G328" i="1"/>
  <c r="F328" i="1"/>
  <c r="J327" i="1"/>
  <c r="I327" i="1"/>
  <c r="H327" i="1"/>
  <c r="G327" i="1"/>
  <c r="F327" i="1"/>
  <c r="J326" i="1"/>
  <c r="H326" i="1"/>
  <c r="G326" i="1"/>
  <c r="F326" i="1"/>
  <c r="J325" i="1"/>
  <c r="I325" i="1"/>
  <c r="H325" i="1"/>
  <c r="G325" i="1"/>
  <c r="F325" i="1"/>
  <c r="J324" i="1"/>
  <c r="I324" i="1"/>
  <c r="H324" i="1"/>
  <c r="G324" i="1"/>
  <c r="F324" i="1"/>
  <c r="J323" i="1"/>
  <c r="I323" i="1"/>
  <c r="H323" i="1"/>
  <c r="G323" i="1"/>
  <c r="F323" i="1"/>
  <c r="J322" i="1"/>
  <c r="I322" i="1"/>
  <c r="H322" i="1"/>
  <c r="G322" i="1"/>
  <c r="F322" i="1"/>
  <c r="J321" i="1"/>
  <c r="I321" i="1"/>
  <c r="H321" i="1"/>
  <c r="G321" i="1"/>
  <c r="F321" i="1"/>
  <c r="J320" i="1"/>
  <c r="I320" i="1"/>
  <c r="H320" i="1"/>
  <c r="G320" i="1"/>
  <c r="F320" i="1"/>
  <c r="J319" i="1"/>
  <c r="I319" i="1"/>
  <c r="H319" i="1"/>
  <c r="G319" i="1"/>
  <c r="F319" i="1"/>
  <c r="J318" i="1"/>
  <c r="I318" i="1"/>
  <c r="H318" i="1"/>
  <c r="G318" i="1"/>
  <c r="F318" i="1"/>
  <c r="J317" i="1"/>
  <c r="I317" i="1"/>
  <c r="H317" i="1"/>
  <c r="G317" i="1"/>
  <c r="F317" i="1"/>
  <c r="J316" i="1"/>
  <c r="I316" i="1"/>
  <c r="H316" i="1"/>
  <c r="G316" i="1"/>
  <c r="F316" i="1"/>
  <c r="J315" i="1"/>
  <c r="I315" i="1"/>
  <c r="H315" i="1"/>
  <c r="G315" i="1"/>
  <c r="F315" i="1"/>
  <c r="J314" i="1"/>
  <c r="I314" i="1"/>
  <c r="H314" i="1"/>
  <c r="G314" i="1"/>
  <c r="F314" i="1"/>
  <c r="G313" i="1"/>
  <c r="J313" i="1"/>
  <c r="I313" i="1"/>
  <c r="H313" i="1"/>
  <c r="F313" i="1"/>
  <c r="I312" i="1"/>
  <c r="H312" i="1"/>
  <c r="G312" i="1"/>
  <c r="F312" i="1"/>
  <c r="J311" i="1"/>
  <c r="I311" i="1"/>
  <c r="H311" i="1"/>
  <c r="G311" i="1"/>
  <c r="F311" i="1"/>
  <c r="J310" i="1"/>
  <c r="I310" i="1"/>
  <c r="H310" i="1"/>
  <c r="G310" i="1"/>
  <c r="F310" i="1"/>
  <c r="J309" i="1"/>
  <c r="I309" i="1"/>
  <c r="H309" i="1"/>
  <c r="G309" i="1"/>
  <c r="F309" i="1"/>
  <c r="J308" i="1"/>
  <c r="I308" i="1"/>
  <c r="H308" i="1"/>
  <c r="G308" i="1"/>
  <c r="F308" i="1"/>
  <c r="J307" i="1"/>
  <c r="I307" i="1"/>
  <c r="H307" i="1"/>
  <c r="G307" i="1"/>
  <c r="F307" i="1"/>
  <c r="J306" i="1"/>
  <c r="I306" i="1"/>
  <c r="H306" i="1"/>
  <c r="G306" i="1"/>
  <c r="F306" i="1"/>
  <c r="J305" i="1"/>
  <c r="I305" i="1"/>
  <c r="H305" i="1"/>
  <c r="G305" i="1"/>
  <c r="F305" i="1"/>
  <c r="J304" i="1"/>
  <c r="I304" i="1"/>
  <c r="H304" i="1"/>
  <c r="G304" i="1"/>
  <c r="F304" i="1"/>
  <c r="J303" i="1"/>
  <c r="I303" i="1"/>
  <c r="I302" i="1"/>
  <c r="H303" i="1"/>
  <c r="G303" i="1"/>
  <c r="F303" i="1"/>
  <c r="H302" i="1"/>
  <c r="G302" i="1"/>
  <c r="F302" i="1"/>
  <c r="J301" i="1"/>
  <c r="I301" i="1"/>
  <c r="H301" i="1"/>
  <c r="G301" i="1"/>
  <c r="F301" i="1"/>
  <c r="J300" i="1"/>
  <c r="I300" i="1"/>
  <c r="H300" i="1"/>
  <c r="G300" i="1"/>
  <c r="F300" i="1"/>
  <c r="J299" i="1"/>
  <c r="I299" i="1"/>
  <c r="H299" i="1"/>
  <c r="G299" i="1"/>
  <c r="F299" i="1"/>
  <c r="I298" i="1"/>
  <c r="H298" i="1"/>
  <c r="G298" i="1"/>
  <c r="F298" i="1"/>
  <c r="I297" i="1"/>
  <c r="H297" i="1"/>
  <c r="G297" i="1"/>
  <c r="F297" i="1"/>
  <c r="J296" i="1"/>
  <c r="I296" i="1"/>
  <c r="H296" i="1"/>
  <c r="G296" i="1"/>
  <c r="J295" i="1"/>
  <c r="I295" i="1"/>
  <c r="H295" i="1"/>
  <c r="G295" i="1"/>
  <c r="F295" i="1"/>
  <c r="I294" i="1"/>
  <c r="H294" i="1"/>
  <c r="G294" i="1"/>
  <c r="F294" i="1"/>
  <c r="I293" i="1"/>
  <c r="H293" i="1"/>
  <c r="G293" i="1"/>
  <c r="F293" i="1"/>
  <c r="I292" i="1"/>
  <c r="H292" i="1"/>
  <c r="G292" i="1"/>
  <c r="F292" i="1"/>
  <c r="J291" i="1"/>
  <c r="I291" i="1"/>
  <c r="H291" i="1"/>
  <c r="G291" i="1"/>
  <c r="F291" i="1"/>
  <c r="G290" i="1"/>
  <c r="H290" i="1"/>
  <c r="J290" i="1"/>
  <c r="I290" i="1"/>
  <c r="F290" i="1"/>
  <c r="J289" i="1"/>
  <c r="I289" i="1"/>
  <c r="G289" i="1"/>
  <c r="F289" i="1"/>
  <c r="J287" i="1"/>
  <c r="I287" i="1"/>
  <c r="H287" i="1"/>
  <c r="G287" i="1"/>
  <c r="F287" i="1"/>
  <c r="J286" i="1"/>
  <c r="I286" i="1"/>
  <c r="H286" i="1"/>
  <c r="G286" i="1"/>
  <c r="F286" i="1"/>
  <c r="J285" i="1"/>
  <c r="I285" i="1"/>
  <c r="H285" i="1"/>
  <c r="G285" i="1"/>
  <c r="F285" i="1"/>
  <c r="J284" i="1"/>
  <c r="I284" i="1"/>
  <c r="H284" i="1"/>
  <c r="G284" i="1"/>
  <c r="F284" i="1"/>
  <c r="J279" i="1"/>
  <c r="I279" i="1"/>
  <c r="H279" i="1"/>
  <c r="G279" i="1"/>
  <c r="F279" i="1"/>
  <c r="J278" i="1"/>
  <c r="I278" i="1"/>
  <c r="G278" i="1"/>
  <c r="F278" i="1"/>
  <c r="G277" i="1"/>
  <c r="J277" i="1"/>
  <c r="I277" i="1"/>
  <c r="H277" i="1"/>
  <c r="F277" i="1"/>
  <c r="J276" i="1"/>
  <c r="I276" i="1"/>
  <c r="G276" i="1"/>
  <c r="F276" i="1"/>
  <c r="I275" i="1"/>
  <c r="G275" i="1"/>
  <c r="F275" i="1"/>
  <c r="J274" i="1"/>
  <c r="I274" i="1"/>
  <c r="G274" i="1"/>
  <c r="F274" i="1"/>
  <c r="J273" i="1"/>
  <c r="I273" i="1"/>
  <c r="H273" i="1"/>
  <c r="G273" i="1"/>
  <c r="F273" i="1"/>
  <c r="J272" i="1"/>
  <c r="I272" i="1"/>
  <c r="G272" i="1"/>
  <c r="J271" i="1"/>
  <c r="I271" i="1"/>
  <c r="H271" i="1"/>
  <c r="G271" i="1"/>
  <c r="F271" i="1"/>
  <c r="J270" i="1"/>
  <c r="I270" i="1"/>
  <c r="G270" i="1"/>
  <c r="J269" i="1"/>
  <c r="I269" i="1"/>
  <c r="H269" i="1"/>
  <c r="G269" i="1"/>
  <c r="F269" i="1"/>
  <c r="J268" i="1"/>
  <c r="I268" i="1"/>
  <c r="G268" i="1"/>
  <c r="F268" i="1"/>
  <c r="J267" i="1"/>
  <c r="I267" i="1"/>
  <c r="H267" i="1"/>
  <c r="G267" i="1"/>
  <c r="F267" i="1"/>
  <c r="J266" i="1"/>
  <c r="I266" i="1"/>
  <c r="H266" i="1"/>
  <c r="G266" i="1"/>
  <c r="F266" i="1"/>
  <c r="I265" i="1"/>
  <c r="F265" i="1"/>
  <c r="J264" i="1"/>
  <c r="I264" i="1"/>
  <c r="G264" i="1"/>
  <c r="F264" i="1"/>
  <c r="J263" i="1"/>
  <c r="I263" i="1"/>
  <c r="G263" i="1"/>
  <c r="F263" i="1"/>
  <c r="J262" i="1"/>
  <c r="I262" i="1"/>
  <c r="H262" i="1"/>
  <c r="G262" i="1"/>
  <c r="F262" i="1"/>
  <c r="I261" i="1"/>
  <c r="G261" i="1"/>
  <c r="J260" i="1"/>
  <c r="I260" i="1"/>
  <c r="H260" i="1"/>
  <c r="G260" i="1"/>
  <c r="F260" i="1"/>
  <c r="J259" i="1"/>
  <c r="I259" i="1"/>
  <c r="H259" i="1"/>
  <c r="G259" i="1"/>
  <c r="F259" i="1"/>
  <c r="J258" i="1"/>
  <c r="I258" i="1"/>
  <c r="H258" i="1"/>
  <c r="G258" i="1"/>
  <c r="F258" i="1"/>
  <c r="I255" i="1"/>
  <c r="H255" i="1"/>
  <c r="G255" i="1"/>
  <c r="F255" i="1"/>
  <c r="G254" i="1"/>
  <c r="F254" i="1"/>
  <c r="G253" i="1"/>
  <c r="F253" i="1"/>
  <c r="J252" i="1"/>
  <c r="I252" i="1"/>
  <c r="H252" i="1"/>
  <c r="G252" i="1"/>
  <c r="F252" i="1"/>
  <c r="J251" i="1"/>
  <c r="I251" i="1"/>
  <c r="F251" i="1"/>
  <c r="G251" i="1"/>
  <c r="H251" i="1"/>
  <c r="J250" i="1"/>
  <c r="I250" i="1"/>
  <c r="G250" i="1"/>
  <c r="F250" i="1"/>
  <c r="H248" i="1"/>
  <c r="F248" i="1"/>
  <c r="J246" i="1"/>
  <c r="I246" i="1"/>
  <c r="H246" i="1"/>
  <c r="G246" i="1"/>
  <c r="F246" i="1"/>
  <c r="J245" i="1"/>
  <c r="I245" i="1"/>
  <c r="H245" i="1"/>
  <c r="G245" i="1"/>
  <c r="F245" i="1"/>
  <c r="J244" i="1"/>
  <c r="I244" i="1"/>
  <c r="H244" i="1"/>
  <c r="G244" i="1"/>
  <c r="F244" i="1"/>
  <c r="J243" i="1"/>
  <c r="I243" i="1"/>
  <c r="H243" i="1"/>
  <c r="G243" i="1"/>
  <c r="F243" i="1"/>
  <c r="J242" i="1"/>
  <c r="I242" i="1"/>
  <c r="H242" i="1"/>
  <c r="G242" i="1"/>
  <c r="F242" i="1"/>
  <c r="J241" i="1"/>
  <c r="I241" i="1"/>
  <c r="H241" i="1"/>
  <c r="G241" i="1"/>
  <c r="F241" i="1"/>
  <c r="J237" i="1"/>
  <c r="I237" i="1"/>
  <c r="G237" i="1"/>
  <c r="H237" i="1"/>
  <c r="F237" i="1"/>
  <c r="J235" i="1"/>
  <c r="I235" i="1"/>
  <c r="H235" i="1"/>
  <c r="G235" i="1"/>
  <c r="F235" i="1"/>
  <c r="J234" i="1"/>
  <c r="I234" i="1"/>
  <c r="H234" i="1"/>
  <c r="G234" i="1"/>
  <c r="F234" i="1"/>
  <c r="J233" i="1"/>
  <c r="I233" i="1"/>
  <c r="H233" i="1"/>
  <c r="G233" i="1"/>
  <c r="F233" i="1"/>
  <c r="J221" i="1"/>
  <c r="I221" i="1"/>
  <c r="H221" i="1"/>
  <c r="F221" i="1"/>
  <c r="J217" i="1"/>
  <c r="I217" i="1"/>
  <c r="H217" i="1"/>
  <c r="F217" i="1"/>
  <c r="J206" i="1"/>
  <c r="G206" i="1"/>
  <c r="F206" i="1"/>
  <c r="J204" i="1"/>
  <c r="I204" i="1"/>
  <c r="G204" i="1"/>
  <c r="F204" i="1"/>
  <c r="J201" i="1"/>
  <c r="G201" i="1"/>
  <c r="F201" i="1"/>
  <c r="J199" i="1"/>
  <c r="I199" i="1"/>
  <c r="F199" i="1"/>
  <c r="J184" i="1"/>
  <c r="G184" i="1"/>
  <c r="F184" i="1"/>
  <c r="J181" i="1"/>
  <c r="I181" i="1"/>
  <c r="J177" i="1"/>
  <c r="I177" i="1"/>
  <c r="F177" i="1"/>
  <c r="I174" i="1"/>
  <c r="J174" i="1"/>
  <c r="G174" i="1"/>
  <c r="F174" i="1"/>
  <c r="J173" i="1"/>
  <c r="I173" i="1"/>
  <c r="H173" i="1"/>
  <c r="G173" i="1"/>
  <c r="F173" i="1"/>
  <c r="J172" i="1"/>
  <c r="I172" i="1"/>
  <c r="H172" i="1"/>
  <c r="F172" i="1"/>
  <c r="J157" i="1"/>
  <c r="I157" i="1"/>
  <c r="H157" i="1"/>
  <c r="F157" i="1"/>
  <c r="J156" i="1"/>
  <c r="I156" i="1"/>
  <c r="H156" i="1"/>
  <c r="F156" i="1"/>
  <c r="J150" i="1"/>
  <c r="I150" i="1"/>
  <c r="H150" i="1"/>
  <c r="G150" i="1"/>
  <c r="F150" i="1"/>
  <c r="J148" i="1"/>
  <c r="I148" i="1"/>
  <c r="H148" i="1"/>
  <c r="G148" i="1"/>
  <c r="F148" i="1"/>
  <c r="J138" i="1"/>
  <c r="I138" i="1"/>
  <c r="H138" i="1"/>
  <c r="F138" i="1"/>
  <c r="J137" i="1"/>
  <c r="I137" i="1"/>
  <c r="H137" i="1"/>
  <c r="G137" i="1"/>
  <c r="F137" i="1"/>
  <c r="I132" i="1"/>
  <c r="H132" i="1"/>
  <c r="G132" i="1"/>
  <c r="F132" i="1"/>
  <c r="J121" i="1"/>
  <c r="I121" i="1"/>
  <c r="H121" i="1"/>
  <c r="G121" i="1"/>
  <c r="F121" i="1"/>
  <c r="J113" i="1"/>
  <c r="I113" i="1"/>
  <c r="G113" i="1"/>
  <c r="F113" i="1"/>
  <c r="J112" i="1"/>
  <c r="I112" i="1"/>
  <c r="G112" i="1"/>
  <c r="F112" i="1"/>
  <c r="J119" i="1"/>
  <c r="I119" i="1"/>
  <c r="H119" i="1"/>
  <c r="F119" i="1"/>
  <c r="J111" i="1"/>
  <c r="I111" i="1"/>
  <c r="H111" i="1"/>
  <c r="G111" i="1"/>
  <c r="F111" i="1"/>
  <c r="J109" i="1"/>
  <c r="I109" i="1"/>
  <c r="H109" i="1"/>
  <c r="F109" i="1"/>
  <c r="J107" i="1"/>
  <c r="I107" i="1"/>
  <c r="H107" i="1"/>
  <c r="G107" i="1"/>
  <c r="F107" i="1"/>
  <c r="I100" i="1"/>
  <c r="H100" i="1"/>
  <c r="J97" i="1"/>
  <c r="I97" i="1"/>
  <c r="H97" i="1"/>
  <c r="F97" i="1"/>
  <c r="J96" i="1"/>
  <c r="I96" i="1"/>
  <c r="H96" i="1"/>
  <c r="F96" i="1"/>
  <c r="J92" i="1"/>
  <c r="I92" i="1"/>
  <c r="H92" i="1"/>
  <c r="F92" i="1"/>
  <c r="J83" i="1"/>
  <c r="I83" i="1"/>
  <c r="H83" i="1"/>
  <c r="G83" i="1"/>
  <c r="F83" i="1"/>
  <c r="J77" i="1"/>
  <c r="I77" i="1"/>
  <c r="H77" i="1"/>
  <c r="G77" i="1"/>
  <c r="F77" i="1"/>
  <c r="J74" i="1"/>
  <c r="I74" i="1"/>
  <c r="H74" i="1"/>
  <c r="F74" i="1"/>
  <c r="J64" i="1"/>
  <c r="I64" i="1"/>
  <c r="H64" i="1"/>
  <c r="F64" i="1"/>
  <c r="J60" i="1"/>
  <c r="I60" i="1"/>
  <c r="H60" i="1"/>
  <c r="G60" i="1"/>
  <c r="F60" i="1"/>
  <c r="J58" i="1"/>
  <c r="F58" i="1"/>
  <c r="G58" i="1"/>
  <c r="H58" i="1"/>
  <c r="I58" i="1"/>
  <c r="J54" i="1"/>
  <c r="I54" i="1"/>
  <c r="H54" i="1"/>
  <c r="G54" i="1"/>
  <c r="F54" i="1"/>
  <c r="J53" i="1"/>
  <c r="I53" i="1"/>
  <c r="H53" i="1"/>
  <c r="G53" i="1"/>
  <c r="F53" i="1"/>
  <c r="J52" i="1"/>
  <c r="I52" i="1"/>
  <c r="H52" i="1"/>
  <c r="G52" i="1"/>
  <c r="F52" i="1"/>
  <c r="J51" i="1"/>
  <c r="I51" i="1"/>
  <c r="H51" i="1"/>
  <c r="G51" i="1"/>
  <c r="F51" i="1"/>
  <c r="J50" i="1"/>
  <c r="I50" i="1"/>
  <c r="H50" i="1"/>
  <c r="G50" i="1"/>
  <c r="F50" i="1"/>
  <c r="J49" i="1"/>
  <c r="I49" i="1"/>
  <c r="H49" i="1"/>
  <c r="G49" i="1"/>
  <c r="F49" i="1"/>
  <c r="J48" i="1"/>
  <c r="I48" i="1"/>
  <c r="H48" i="1"/>
  <c r="G48" i="1"/>
  <c r="F48" i="1"/>
  <c r="J46" i="1"/>
  <c r="I46" i="1"/>
  <c r="H46" i="1"/>
  <c r="F46" i="1"/>
  <c r="J45" i="1"/>
  <c r="I45" i="1"/>
  <c r="H45" i="1"/>
  <c r="G45" i="1"/>
  <c r="F45" i="1"/>
  <c r="J36" i="1"/>
  <c r="I36" i="1"/>
  <c r="G36" i="1"/>
  <c r="F36" i="1"/>
  <c r="J34" i="1"/>
  <c r="I34" i="1"/>
  <c r="H34" i="1"/>
  <c r="G34" i="1"/>
  <c r="F34" i="1"/>
  <c r="J33" i="1"/>
  <c r="I33" i="1"/>
  <c r="H33" i="1"/>
  <c r="G33" i="1"/>
  <c r="F33" i="1"/>
  <c r="J32" i="1"/>
  <c r="I32" i="1"/>
  <c r="G32" i="1"/>
  <c r="F32" i="1"/>
  <c r="J21" i="1"/>
  <c r="I21" i="1"/>
  <c r="H21" i="1"/>
  <c r="G21" i="1"/>
  <c r="F21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H8" i="1"/>
  <c r="G8" i="1"/>
  <c r="I7" i="1"/>
  <c r="H7" i="1"/>
  <c r="G7" i="1"/>
  <c r="F7" i="1"/>
  <c r="I6" i="1"/>
  <c r="G6" i="1"/>
  <c r="F6" i="1"/>
  <c r="J4" i="1"/>
  <c r="G4" i="1"/>
  <c r="F4" i="1"/>
  <c r="Z503" i="1"/>
  <c r="Y503" i="1"/>
  <c r="V503" i="1"/>
  <c r="U503" i="1"/>
  <c r="T503" i="1"/>
  <c r="S503" i="1"/>
  <c r="R503" i="1"/>
  <c r="Q503" i="1"/>
  <c r="O503" i="1"/>
  <c r="N503" i="1"/>
  <c r="C503" i="1"/>
  <c r="V502" i="1"/>
  <c r="U502" i="1"/>
  <c r="T502" i="1"/>
  <c r="S502" i="1"/>
  <c r="R502" i="1"/>
  <c r="Q502" i="1"/>
  <c r="C502" i="1"/>
  <c r="Z499" i="1"/>
  <c r="X499" i="1"/>
  <c r="V499" i="1"/>
  <c r="U499" i="1"/>
  <c r="T499" i="1"/>
  <c r="R499" i="1"/>
  <c r="Q499" i="1"/>
  <c r="O499" i="1"/>
  <c r="N499" i="1"/>
  <c r="M499" i="1"/>
  <c r="X497" i="1"/>
  <c r="V497" i="1"/>
  <c r="U497" i="1"/>
  <c r="T497" i="1"/>
  <c r="Q497" i="1"/>
  <c r="O497" i="1"/>
  <c r="N497" i="1"/>
  <c r="M497" i="1"/>
  <c r="L497" i="1"/>
  <c r="D497" i="1"/>
  <c r="C497" i="1"/>
  <c r="Z496" i="1"/>
  <c r="X496" i="1"/>
  <c r="V496" i="1"/>
  <c r="U496" i="1"/>
  <c r="R496" i="1"/>
  <c r="Q496" i="1"/>
  <c r="O496" i="1"/>
  <c r="N496" i="1"/>
  <c r="M496" i="1"/>
  <c r="C496" i="1"/>
  <c r="L495" i="1"/>
  <c r="Z495" i="1"/>
  <c r="X495" i="1"/>
  <c r="V495" i="1"/>
  <c r="U495" i="1"/>
  <c r="T495" i="1"/>
  <c r="S495" i="1"/>
  <c r="R495" i="1"/>
  <c r="Q495" i="1"/>
  <c r="O495" i="1"/>
  <c r="N495" i="1"/>
  <c r="M495" i="1"/>
  <c r="C495" i="1"/>
  <c r="Z494" i="1"/>
  <c r="X494" i="1"/>
  <c r="V494" i="1"/>
  <c r="U494" i="1"/>
  <c r="T494" i="1"/>
  <c r="S494" i="1"/>
  <c r="R494" i="1"/>
  <c r="Q494" i="1"/>
  <c r="O494" i="1"/>
  <c r="N494" i="1"/>
  <c r="C494" i="1"/>
  <c r="Y493" i="1"/>
  <c r="X493" i="1"/>
  <c r="V493" i="1"/>
  <c r="U493" i="1"/>
  <c r="T493" i="1"/>
  <c r="S493" i="1"/>
  <c r="R493" i="1"/>
  <c r="Q493" i="1"/>
  <c r="O493" i="1"/>
  <c r="N493" i="1"/>
  <c r="M493" i="1"/>
  <c r="C493" i="1"/>
  <c r="V492" i="1"/>
  <c r="U492" i="1"/>
  <c r="T492" i="1"/>
  <c r="S492" i="1"/>
  <c r="R492" i="1"/>
  <c r="Q492" i="1"/>
  <c r="O492" i="1"/>
  <c r="N492" i="1"/>
  <c r="M492" i="1"/>
  <c r="C492" i="1"/>
  <c r="Z491" i="1"/>
  <c r="Y491" i="1"/>
  <c r="X491" i="1"/>
  <c r="V491" i="1"/>
  <c r="U491" i="1"/>
  <c r="T491" i="1"/>
  <c r="S491" i="1"/>
  <c r="R491" i="1"/>
  <c r="Q491" i="1"/>
  <c r="O491" i="1"/>
  <c r="M491" i="1"/>
  <c r="C491" i="1"/>
  <c r="Z490" i="1"/>
  <c r="X490" i="1"/>
  <c r="V490" i="1"/>
  <c r="U490" i="1"/>
  <c r="T490" i="1"/>
  <c r="S490" i="1"/>
  <c r="R490" i="1"/>
  <c r="Q490" i="1"/>
  <c r="O490" i="1"/>
  <c r="N490" i="1"/>
  <c r="M490" i="1"/>
  <c r="C490" i="1"/>
  <c r="AA489" i="1"/>
  <c r="Z489" i="1"/>
  <c r="X489" i="1"/>
  <c r="V489" i="1"/>
  <c r="U489" i="1"/>
  <c r="T489" i="1"/>
  <c r="R489" i="1"/>
  <c r="Q489" i="1"/>
  <c r="O489" i="1"/>
  <c r="N489" i="1"/>
  <c r="M489" i="1"/>
  <c r="Z488" i="1"/>
  <c r="X488" i="1"/>
  <c r="V488" i="1"/>
  <c r="U488" i="1"/>
  <c r="T488" i="1"/>
  <c r="S488" i="1"/>
  <c r="R488" i="1"/>
  <c r="Q488" i="1"/>
  <c r="O488" i="1"/>
  <c r="N488" i="1"/>
  <c r="M488" i="1"/>
  <c r="L488" i="1"/>
  <c r="C488" i="1"/>
  <c r="Z487" i="1"/>
  <c r="X487" i="1"/>
  <c r="V487" i="1"/>
  <c r="U487" i="1"/>
  <c r="T487" i="1"/>
  <c r="S487" i="1"/>
  <c r="R487" i="1"/>
  <c r="Q487" i="1"/>
  <c r="O487" i="1"/>
  <c r="N487" i="1"/>
  <c r="M487" i="1"/>
  <c r="C487" i="1"/>
  <c r="Z486" i="1"/>
  <c r="X486" i="1"/>
  <c r="V486" i="1"/>
  <c r="U486" i="1"/>
  <c r="T486" i="1"/>
  <c r="S486" i="1"/>
  <c r="R486" i="1"/>
  <c r="Q486" i="1"/>
  <c r="O486" i="1"/>
  <c r="N486" i="1"/>
  <c r="M486" i="1"/>
  <c r="Z485" i="1"/>
  <c r="Y485" i="1"/>
  <c r="X485" i="1"/>
  <c r="V485" i="1"/>
  <c r="U485" i="1"/>
  <c r="T485" i="1"/>
  <c r="S485" i="1"/>
  <c r="R485" i="1"/>
  <c r="O485" i="1"/>
  <c r="N485" i="1"/>
  <c r="M485" i="1"/>
  <c r="X484" i="1"/>
  <c r="V484" i="1"/>
  <c r="U484" i="1"/>
  <c r="T484" i="1"/>
  <c r="S484" i="1"/>
  <c r="R484" i="1"/>
  <c r="Q484" i="1"/>
  <c r="O484" i="1"/>
  <c r="N484" i="1"/>
  <c r="M484" i="1"/>
  <c r="C484" i="1"/>
  <c r="Z483" i="1"/>
  <c r="X483" i="1"/>
  <c r="V483" i="1"/>
  <c r="U483" i="1"/>
  <c r="T483" i="1"/>
  <c r="R483" i="1"/>
  <c r="Q483" i="1"/>
  <c r="O483" i="1"/>
  <c r="N483" i="1"/>
  <c r="M483" i="1"/>
  <c r="D483" i="1"/>
  <c r="X482" i="1"/>
  <c r="V482" i="1"/>
  <c r="U482" i="1"/>
  <c r="T482" i="1"/>
  <c r="S482" i="1"/>
  <c r="R482" i="1"/>
  <c r="Q482" i="1"/>
  <c r="O482" i="1"/>
  <c r="N482" i="1"/>
  <c r="M482" i="1"/>
  <c r="Y481" i="1"/>
  <c r="X481" i="1"/>
  <c r="V481" i="1"/>
  <c r="U481" i="1"/>
  <c r="T481" i="1"/>
  <c r="S481" i="1"/>
  <c r="R481" i="1"/>
  <c r="Q481" i="1"/>
  <c r="O481" i="1"/>
  <c r="M481" i="1"/>
  <c r="Z479" i="1"/>
  <c r="Y479" i="1"/>
  <c r="X479" i="1"/>
  <c r="V479" i="1"/>
  <c r="U479" i="1"/>
  <c r="T479" i="1"/>
  <c r="R479" i="1"/>
  <c r="Q479" i="1"/>
  <c r="O479" i="1"/>
  <c r="M479" i="1"/>
  <c r="C479" i="1"/>
  <c r="V475" i="1"/>
  <c r="U475" i="1"/>
  <c r="T475" i="1"/>
  <c r="S475" i="1"/>
  <c r="R475" i="1"/>
  <c r="Q475" i="1"/>
  <c r="O475" i="1"/>
  <c r="N475" i="1"/>
  <c r="M475" i="1"/>
  <c r="K475" i="1"/>
  <c r="M473" i="1"/>
  <c r="N473" i="1"/>
  <c r="O473" i="1"/>
  <c r="Z473" i="1"/>
  <c r="V473" i="1"/>
  <c r="T473" i="1"/>
  <c r="S473" i="1"/>
  <c r="R473" i="1"/>
  <c r="Q473" i="1"/>
  <c r="Z471" i="1"/>
  <c r="V471" i="1"/>
  <c r="U471" i="1"/>
  <c r="T471" i="1"/>
  <c r="S471" i="1"/>
  <c r="R471" i="1"/>
  <c r="Q471" i="1"/>
  <c r="O471" i="1"/>
  <c r="N471" i="1"/>
  <c r="M471" i="1"/>
  <c r="K471" i="1"/>
  <c r="C471" i="1"/>
  <c r="Z470" i="1"/>
  <c r="V470" i="1"/>
  <c r="U470" i="1"/>
  <c r="T470" i="1"/>
  <c r="S470" i="1"/>
  <c r="R470" i="1"/>
  <c r="Q470" i="1"/>
  <c r="O470" i="1"/>
  <c r="N470" i="1"/>
  <c r="M470" i="1"/>
  <c r="K470" i="1"/>
  <c r="Y469" i="1"/>
  <c r="X469" i="1"/>
  <c r="V469" i="1"/>
  <c r="U469" i="1"/>
  <c r="T469" i="1"/>
  <c r="S469" i="1"/>
  <c r="R469" i="1"/>
  <c r="Q469" i="1"/>
  <c r="O469" i="1"/>
  <c r="N469" i="1"/>
  <c r="M469" i="1"/>
  <c r="X468" i="1"/>
  <c r="V468" i="1"/>
  <c r="U468" i="1"/>
  <c r="T468" i="1"/>
  <c r="S468" i="1"/>
  <c r="R468" i="1"/>
  <c r="Q468" i="1"/>
  <c r="O468" i="1"/>
  <c r="N468" i="1"/>
  <c r="M468" i="1"/>
  <c r="K468" i="1"/>
  <c r="Z141" i="1"/>
  <c r="V141" i="1"/>
  <c r="U141" i="1"/>
  <c r="T141" i="1"/>
  <c r="S141" i="1"/>
  <c r="R141" i="1"/>
  <c r="Q141" i="1"/>
  <c r="O141" i="1"/>
  <c r="N141" i="1"/>
  <c r="M141" i="1"/>
  <c r="C141" i="1"/>
  <c r="Y477" i="1"/>
  <c r="V477" i="1"/>
  <c r="T477" i="1"/>
  <c r="S477" i="1"/>
  <c r="R477" i="1"/>
  <c r="Q477" i="1"/>
  <c r="O477" i="1"/>
  <c r="N477" i="1"/>
  <c r="M477" i="1"/>
  <c r="K477" i="1"/>
  <c r="E477" i="1"/>
  <c r="C477" i="1"/>
  <c r="Y476" i="1"/>
  <c r="V476" i="1"/>
  <c r="U476" i="1"/>
  <c r="T476" i="1"/>
  <c r="S476" i="1"/>
  <c r="R476" i="1"/>
  <c r="Q476" i="1"/>
  <c r="O476" i="1"/>
  <c r="N476" i="1"/>
  <c r="M476" i="1"/>
  <c r="K476" i="1"/>
  <c r="Y466" i="1"/>
  <c r="V466" i="1"/>
  <c r="T466" i="1"/>
  <c r="S466" i="1"/>
  <c r="R466" i="1"/>
  <c r="O466" i="1"/>
  <c r="N466" i="1"/>
  <c r="K466" i="1"/>
  <c r="C466" i="1"/>
  <c r="X464" i="1"/>
  <c r="V464" i="1"/>
  <c r="U464" i="1"/>
  <c r="T464" i="1"/>
  <c r="S464" i="1"/>
  <c r="Q464" i="1"/>
  <c r="O464" i="1"/>
  <c r="S459" i="1"/>
  <c r="M459" i="1"/>
  <c r="S457" i="1"/>
  <c r="T455" i="1"/>
  <c r="S455" i="1"/>
  <c r="R455" i="1"/>
  <c r="Q455" i="1"/>
  <c r="O455" i="1"/>
  <c r="N455" i="1"/>
  <c r="C455" i="1"/>
  <c r="Y454" i="1"/>
  <c r="X454" i="1"/>
  <c r="V454" i="1"/>
  <c r="U454" i="1"/>
  <c r="T454" i="1"/>
  <c r="S454" i="1"/>
  <c r="R454" i="1"/>
  <c r="Q454" i="1"/>
  <c r="P454" i="1"/>
  <c r="O454" i="1"/>
  <c r="N454" i="1"/>
  <c r="M454" i="1"/>
  <c r="D454" i="1"/>
  <c r="C454" i="1"/>
  <c r="S453" i="1"/>
  <c r="V450" i="1"/>
  <c r="U450" i="1"/>
  <c r="T450" i="1"/>
  <c r="S450" i="1"/>
  <c r="R450" i="1"/>
  <c r="Q450" i="1"/>
  <c r="O450" i="1"/>
  <c r="N450" i="1"/>
  <c r="M450" i="1"/>
  <c r="C450" i="1"/>
  <c r="T446" i="1"/>
  <c r="R446" i="1"/>
  <c r="O446" i="1"/>
  <c r="N446" i="1"/>
  <c r="Y442" i="1"/>
  <c r="X442" i="1"/>
  <c r="V442" i="1"/>
  <c r="U442" i="1"/>
  <c r="T442" i="1"/>
  <c r="S442" i="1"/>
  <c r="R442" i="1"/>
  <c r="Q442" i="1"/>
  <c r="O442" i="1"/>
  <c r="N442" i="1"/>
  <c r="M442" i="1"/>
  <c r="K442" i="1"/>
  <c r="AB441" i="1"/>
  <c r="Y441" i="1"/>
  <c r="X441" i="1"/>
  <c r="V441" i="1"/>
  <c r="U441" i="1"/>
  <c r="T441" i="1"/>
  <c r="S441" i="1"/>
  <c r="R441" i="1"/>
  <c r="Q441" i="1"/>
  <c r="O441" i="1"/>
  <c r="N441" i="1"/>
  <c r="M441" i="1"/>
  <c r="K441" i="1"/>
  <c r="Y440" i="1"/>
  <c r="X440" i="1"/>
  <c r="V440" i="1"/>
  <c r="U440" i="1"/>
  <c r="T440" i="1"/>
  <c r="S440" i="1"/>
  <c r="R440" i="1"/>
  <c r="Q440" i="1"/>
  <c r="O440" i="1"/>
  <c r="N440" i="1"/>
  <c r="M440" i="1"/>
  <c r="K440" i="1"/>
  <c r="Z439" i="1"/>
  <c r="Y439" i="1"/>
  <c r="X439" i="1"/>
  <c r="V439" i="1"/>
  <c r="U439" i="1"/>
  <c r="T439" i="1"/>
  <c r="S439" i="1"/>
  <c r="R439" i="1"/>
  <c r="Q439" i="1"/>
  <c r="O439" i="1"/>
  <c r="N439" i="1"/>
  <c r="M439" i="1"/>
  <c r="K439" i="1"/>
  <c r="T438" i="1"/>
  <c r="S438" i="1"/>
  <c r="R438" i="1"/>
  <c r="O438" i="1"/>
  <c r="N438" i="1"/>
  <c r="C438" i="1"/>
  <c r="T437" i="1"/>
  <c r="R437" i="1"/>
  <c r="O437" i="1"/>
  <c r="N437" i="1"/>
  <c r="C437" i="1"/>
  <c r="Z436" i="1"/>
  <c r="Y436" i="1"/>
  <c r="X436" i="1"/>
  <c r="W436" i="1"/>
  <c r="V436" i="1"/>
  <c r="U436" i="1"/>
  <c r="T436" i="1"/>
  <c r="S436" i="1"/>
  <c r="R436" i="1"/>
  <c r="Q436" i="1"/>
  <c r="O436" i="1"/>
  <c r="N436" i="1"/>
  <c r="M436" i="1"/>
  <c r="Y434" i="1"/>
  <c r="X434" i="1"/>
  <c r="V434" i="1"/>
  <c r="U434" i="1"/>
  <c r="T434" i="1"/>
  <c r="S434" i="1"/>
  <c r="R434" i="1"/>
  <c r="Q434" i="1"/>
  <c r="O434" i="1"/>
  <c r="K434" i="1"/>
  <c r="D434" i="1"/>
  <c r="C434" i="1"/>
  <c r="X433" i="1"/>
  <c r="V433" i="1"/>
  <c r="U433" i="1"/>
  <c r="T433" i="1"/>
  <c r="S433" i="1"/>
  <c r="R433" i="1"/>
  <c r="Q433" i="1"/>
  <c r="O433" i="1"/>
  <c r="N433" i="1"/>
  <c r="K433" i="1"/>
  <c r="Y432" i="1"/>
  <c r="X432" i="1"/>
  <c r="V432" i="1"/>
  <c r="T432" i="1"/>
  <c r="S432" i="1"/>
  <c r="R432" i="1"/>
  <c r="Q432" i="1"/>
  <c r="O432" i="1"/>
  <c r="N432" i="1"/>
  <c r="K432" i="1"/>
  <c r="Y431" i="1"/>
  <c r="U431" i="1"/>
  <c r="T431" i="1"/>
  <c r="S431" i="1"/>
  <c r="R431" i="1"/>
  <c r="Q431" i="1"/>
  <c r="O431" i="1"/>
  <c r="N431" i="1"/>
  <c r="C431" i="1"/>
  <c r="Y422" i="1"/>
  <c r="X422" i="1"/>
  <c r="T422" i="1"/>
  <c r="Q422" i="1"/>
  <c r="C422" i="1"/>
  <c r="X421" i="1"/>
  <c r="O421" i="1"/>
  <c r="N421" i="1"/>
  <c r="C421" i="1"/>
  <c r="Y420" i="1"/>
  <c r="X420" i="1"/>
  <c r="U420" i="1"/>
  <c r="T420" i="1"/>
  <c r="S420" i="1"/>
  <c r="Q420" i="1"/>
  <c r="O420" i="1"/>
  <c r="N420" i="1"/>
  <c r="C420" i="1"/>
  <c r="Z419" i="1"/>
  <c r="T419" i="1"/>
  <c r="S419" i="1"/>
  <c r="Q419" i="1"/>
  <c r="O419" i="1"/>
  <c r="N419" i="1"/>
  <c r="Z418" i="1"/>
  <c r="V418" i="1"/>
  <c r="U418" i="1"/>
  <c r="T418" i="1"/>
  <c r="R418" i="1"/>
  <c r="Q418" i="1"/>
  <c r="O418" i="1"/>
  <c r="N418" i="1"/>
  <c r="M418" i="1"/>
  <c r="C418" i="1"/>
  <c r="U417" i="1"/>
  <c r="S417" i="1"/>
  <c r="Y413" i="1"/>
  <c r="T413" i="1"/>
  <c r="S413" i="1"/>
  <c r="R413" i="1"/>
  <c r="Q413" i="1"/>
  <c r="O413" i="1"/>
  <c r="N413" i="1"/>
  <c r="K413" i="1"/>
  <c r="C413" i="1"/>
  <c r="Y412" i="1"/>
  <c r="K412" i="1"/>
  <c r="C412" i="1"/>
  <c r="Y411" i="1"/>
  <c r="X411" i="1"/>
  <c r="V411" i="1"/>
  <c r="U411" i="1"/>
  <c r="T411" i="1"/>
  <c r="S411" i="1"/>
  <c r="R411" i="1"/>
  <c r="Q411" i="1"/>
  <c r="O411" i="1"/>
  <c r="N411" i="1"/>
  <c r="K411" i="1"/>
  <c r="C411" i="1"/>
  <c r="Y410" i="1"/>
  <c r="V410" i="1"/>
  <c r="U410" i="1"/>
  <c r="T410" i="1"/>
  <c r="S410" i="1"/>
  <c r="R410" i="1"/>
  <c r="Q410" i="1"/>
  <c r="O410" i="1"/>
  <c r="N410" i="1"/>
  <c r="K410" i="1"/>
  <c r="C410" i="1"/>
  <c r="Y408" i="1"/>
  <c r="V408" i="1"/>
  <c r="T408" i="1"/>
  <c r="S408" i="1"/>
  <c r="R408" i="1"/>
  <c r="Q408" i="1"/>
  <c r="O408" i="1"/>
  <c r="K408" i="1"/>
  <c r="Y407" i="1"/>
  <c r="X407" i="1"/>
  <c r="W407" i="1"/>
  <c r="V407" i="1"/>
  <c r="U407" i="1"/>
  <c r="T407" i="1"/>
  <c r="S407" i="1"/>
  <c r="R407" i="1"/>
  <c r="Q407" i="1"/>
  <c r="O407" i="1"/>
  <c r="N407" i="1"/>
  <c r="K407" i="1"/>
  <c r="C407" i="1"/>
  <c r="Y406" i="1"/>
  <c r="X406" i="1"/>
  <c r="W406" i="1"/>
  <c r="V406" i="1"/>
  <c r="U406" i="1"/>
  <c r="T406" i="1"/>
  <c r="S406" i="1"/>
  <c r="Q406" i="1"/>
  <c r="O406" i="1"/>
  <c r="N406" i="1"/>
  <c r="K406" i="1"/>
  <c r="Y405" i="1"/>
  <c r="X405" i="1"/>
  <c r="V405" i="1"/>
  <c r="U405" i="1"/>
  <c r="T405" i="1"/>
  <c r="S405" i="1"/>
  <c r="Q405" i="1"/>
  <c r="O405" i="1"/>
  <c r="N405" i="1"/>
  <c r="Z403" i="1"/>
  <c r="Y403" i="1"/>
  <c r="X403" i="1"/>
  <c r="V403" i="1"/>
  <c r="U403" i="1"/>
  <c r="T403" i="1"/>
  <c r="S403" i="1"/>
  <c r="R403" i="1"/>
  <c r="Q403" i="1"/>
  <c r="O403" i="1"/>
  <c r="M403" i="1"/>
  <c r="K403" i="1"/>
  <c r="C403" i="1"/>
  <c r="Y402" i="1"/>
  <c r="V402" i="1"/>
  <c r="U402" i="1"/>
  <c r="T402" i="1"/>
  <c r="S402" i="1"/>
  <c r="R402" i="1"/>
  <c r="Q402" i="1"/>
  <c r="O402" i="1"/>
  <c r="N402" i="1"/>
  <c r="K402" i="1"/>
  <c r="C402" i="1"/>
  <c r="Z401" i="1"/>
  <c r="Y401" i="1"/>
  <c r="X401" i="1"/>
  <c r="W401" i="1"/>
  <c r="V401" i="1"/>
  <c r="U401" i="1"/>
  <c r="T401" i="1"/>
  <c r="S401" i="1"/>
  <c r="Q401" i="1"/>
  <c r="O401" i="1"/>
  <c r="N401" i="1"/>
  <c r="L401" i="1"/>
  <c r="K401" i="1"/>
  <c r="C401" i="1"/>
  <c r="Y400" i="1"/>
  <c r="X400" i="1"/>
  <c r="V400" i="1"/>
  <c r="U400" i="1"/>
  <c r="T400" i="1"/>
  <c r="S400" i="1"/>
  <c r="Q400" i="1"/>
  <c r="O400" i="1"/>
  <c r="N400" i="1"/>
  <c r="C400" i="1"/>
  <c r="Y399" i="1"/>
  <c r="X399" i="1"/>
  <c r="W399" i="1"/>
  <c r="V399" i="1"/>
  <c r="U399" i="1"/>
  <c r="T399" i="1"/>
  <c r="S399" i="1"/>
  <c r="Q399" i="1"/>
  <c r="O399" i="1"/>
  <c r="N399" i="1"/>
  <c r="M399" i="1"/>
  <c r="K399" i="1"/>
  <c r="C399" i="1"/>
  <c r="Z398" i="1"/>
  <c r="Y398" i="1"/>
  <c r="X398" i="1"/>
  <c r="W398" i="1"/>
  <c r="V398" i="1"/>
  <c r="U398" i="1"/>
  <c r="T398" i="1"/>
  <c r="S398" i="1"/>
  <c r="Q398" i="1"/>
  <c r="O398" i="1"/>
  <c r="N398" i="1"/>
  <c r="M398" i="1"/>
  <c r="K398" i="1"/>
  <c r="C398" i="1"/>
  <c r="Y396" i="1"/>
  <c r="V396" i="1"/>
  <c r="S396" i="1"/>
  <c r="Q396" i="1"/>
  <c r="O396" i="1"/>
  <c r="N396" i="1"/>
  <c r="K396" i="1"/>
  <c r="C396" i="1"/>
  <c r="Y395" i="1"/>
  <c r="X395" i="1"/>
  <c r="W395" i="1"/>
  <c r="V395" i="1"/>
  <c r="U395" i="1"/>
  <c r="T395" i="1"/>
  <c r="S395" i="1"/>
  <c r="Q395" i="1"/>
  <c r="O395" i="1"/>
  <c r="N395" i="1"/>
  <c r="K395" i="1"/>
  <c r="E395" i="1"/>
  <c r="C395" i="1"/>
  <c r="Y394" i="1"/>
  <c r="X394" i="1"/>
  <c r="V394" i="1"/>
  <c r="U394" i="1"/>
  <c r="T394" i="1"/>
  <c r="S394" i="1"/>
  <c r="Q394" i="1"/>
  <c r="O394" i="1"/>
  <c r="N394" i="1"/>
  <c r="M394" i="1"/>
  <c r="K394" i="1"/>
  <c r="C394" i="1"/>
  <c r="V392" i="1"/>
  <c r="U392" i="1"/>
  <c r="T392" i="1"/>
  <c r="S392" i="1"/>
  <c r="R392" i="1"/>
  <c r="Q392" i="1"/>
  <c r="O392" i="1"/>
  <c r="N392" i="1"/>
  <c r="K392" i="1"/>
  <c r="C392" i="1"/>
  <c r="X386" i="1"/>
  <c r="V386" i="1"/>
  <c r="U386" i="1"/>
  <c r="T386" i="1"/>
  <c r="S386" i="1"/>
  <c r="Q386" i="1"/>
  <c r="O386" i="1"/>
  <c r="N386" i="1"/>
  <c r="K386" i="1"/>
  <c r="Y383" i="1"/>
  <c r="X383" i="1"/>
  <c r="V383" i="1"/>
  <c r="U383" i="1"/>
  <c r="T383" i="1"/>
  <c r="S383" i="1"/>
  <c r="R383" i="1"/>
  <c r="Q383" i="1"/>
  <c r="O383" i="1"/>
  <c r="N383" i="1"/>
  <c r="K383" i="1"/>
  <c r="C383" i="1"/>
  <c r="Y382" i="1"/>
  <c r="X382" i="1"/>
  <c r="V382" i="1"/>
  <c r="U382" i="1"/>
  <c r="T382" i="1"/>
  <c r="S382" i="1"/>
  <c r="R382" i="1"/>
  <c r="Q382" i="1"/>
  <c r="O382" i="1"/>
  <c r="K382" i="1"/>
  <c r="C382" i="1"/>
  <c r="X381" i="1"/>
  <c r="T381" i="1"/>
  <c r="Q381" i="1"/>
  <c r="O381" i="1"/>
  <c r="K381" i="1"/>
  <c r="E381" i="1"/>
  <c r="C381" i="1"/>
  <c r="V380" i="1"/>
  <c r="U380" i="1"/>
  <c r="T380" i="1"/>
  <c r="S380" i="1"/>
  <c r="R380" i="1"/>
  <c r="Q380" i="1"/>
  <c r="O380" i="1"/>
  <c r="N380" i="1"/>
  <c r="K380" i="1"/>
  <c r="C380" i="1"/>
  <c r="AA378" i="1"/>
  <c r="Y378" i="1"/>
  <c r="X378" i="1"/>
  <c r="V378" i="1"/>
  <c r="U378" i="1"/>
  <c r="T378" i="1"/>
  <c r="S378" i="1"/>
  <c r="R378" i="1"/>
  <c r="Q378" i="1"/>
  <c r="O378" i="1"/>
  <c r="N378" i="1"/>
  <c r="K378" i="1"/>
  <c r="Y375" i="1"/>
  <c r="X375" i="1"/>
  <c r="V375" i="1"/>
  <c r="U375" i="1"/>
  <c r="T375" i="1"/>
  <c r="S375" i="1"/>
  <c r="R375" i="1"/>
  <c r="Q375" i="1"/>
  <c r="P375" i="1"/>
  <c r="O375" i="1"/>
  <c r="N375" i="1"/>
  <c r="K375" i="1"/>
  <c r="C375" i="1"/>
  <c r="Y374" i="1"/>
  <c r="X374" i="1"/>
  <c r="V374" i="1"/>
  <c r="U374" i="1"/>
  <c r="T374" i="1"/>
  <c r="S374" i="1"/>
  <c r="R374" i="1"/>
  <c r="Q374" i="1"/>
  <c r="P374" i="1"/>
  <c r="O374" i="1"/>
  <c r="N374" i="1"/>
  <c r="K374" i="1"/>
  <c r="C374" i="1"/>
  <c r="AA373" i="1"/>
  <c r="Y373" i="1"/>
  <c r="V373" i="1"/>
  <c r="U373" i="1"/>
  <c r="T373" i="1"/>
  <c r="S373" i="1"/>
  <c r="R373" i="1"/>
  <c r="Q373" i="1"/>
  <c r="O373" i="1"/>
  <c r="N373" i="1"/>
  <c r="K373" i="1"/>
  <c r="Y369" i="1"/>
  <c r="X369" i="1"/>
  <c r="W369" i="1"/>
  <c r="V369" i="1"/>
  <c r="U369" i="1"/>
  <c r="T369" i="1"/>
  <c r="S369" i="1"/>
  <c r="R369" i="1"/>
  <c r="Q369" i="1"/>
  <c r="O369" i="1"/>
  <c r="N369" i="1"/>
  <c r="K369" i="1"/>
  <c r="C369" i="1"/>
  <c r="AA368" i="1"/>
  <c r="Y368" i="1"/>
  <c r="X368" i="1"/>
  <c r="V368" i="1"/>
  <c r="U368" i="1"/>
  <c r="T368" i="1"/>
  <c r="S368" i="1"/>
  <c r="R368" i="1"/>
  <c r="Q368" i="1"/>
  <c r="O368" i="1"/>
  <c r="N368" i="1"/>
  <c r="K368" i="1"/>
  <c r="E368" i="1"/>
  <c r="C368" i="1"/>
  <c r="N367" i="1"/>
  <c r="Y367" i="1"/>
  <c r="X367" i="1"/>
  <c r="W367" i="1"/>
  <c r="V367" i="1"/>
  <c r="U367" i="1"/>
  <c r="T367" i="1"/>
  <c r="S367" i="1"/>
  <c r="R367" i="1"/>
  <c r="Q367" i="1"/>
  <c r="O367" i="1"/>
  <c r="K367" i="1"/>
  <c r="C367" i="1"/>
  <c r="AA366" i="1"/>
  <c r="Y366" i="1"/>
  <c r="X366" i="1"/>
  <c r="V366" i="1"/>
  <c r="U366" i="1"/>
  <c r="T366" i="1"/>
  <c r="S366" i="1"/>
  <c r="R366" i="1"/>
  <c r="Q366" i="1"/>
  <c r="O366" i="1"/>
  <c r="N366" i="1"/>
  <c r="K366" i="1"/>
  <c r="X365" i="1"/>
  <c r="V365" i="1"/>
  <c r="U365" i="1"/>
  <c r="T365" i="1"/>
  <c r="S365" i="1"/>
  <c r="R365" i="1"/>
  <c r="Q365" i="1"/>
  <c r="O365" i="1"/>
  <c r="K365" i="1"/>
  <c r="X364" i="1"/>
  <c r="W364" i="1"/>
  <c r="V364" i="1"/>
  <c r="U364" i="1"/>
  <c r="T364" i="1"/>
  <c r="S364" i="1"/>
  <c r="R364" i="1"/>
  <c r="Q364" i="1"/>
  <c r="O364" i="1"/>
  <c r="N364" i="1"/>
  <c r="K364" i="1"/>
  <c r="E364" i="1"/>
  <c r="X362" i="1"/>
  <c r="W362" i="1"/>
  <c r="V362" i="1"/>
  <c r="U362" i="1"/>
  <c r="T362" i="1"/>
  <c r="S362" i="1"/>
  <c r="R362" i="1"/>
  <c r="Q362" i="1"/>
  <c r="O362" i="1"/>
  <c r="N362" i="1"/>
  <c r="K362" i="1"/>
  <c r="Y360" i="1"/>
  <c r="X360" i="1"/>
  <c r="W360" i="1"/>
  <c r="V360" i="1"/>
  <c r="U360" i="1"/>
  <c r="T360" i="1"/>
  <c r="S360" i="1"/>
  <c r="R360" i="1"/>
  <c r="Q360" i="1"/>
  <c r="O360" i="1"/>
  <c r="N360" i="1"/>
  <c r="K360" i="1"/>
  <c r="C360" i="1"/>
  <c r="X359" i="1"/>
  <c r="V359" i="1"/>
  <c r="U359" i="1"/>
  <c r="T359" i="1"/>
  <c r="S359" i="1"/>
  <c r="R359" i="1"/>
  <c r="Q359" i="1"/>
  <c r="O359" i="1"/>
  <c r="K359" i="1"/>
  <c r="D359" i="1"/>
  <c r="AA358" i="1"/>
  <c r="X358" i="1"/>
  <c r="V358" i="1"/>
  <c r="U358" i="1"/>
  <c r="T358" i="1"/>
  <c r="S358" i="1"/>
  <c r="R358" i="1"/>
  <c r="Q358" i="1"/>
  <c r="O358" i="1"/>
  <c r="N358" i="1"/>
  <c r="K358" i="1"/>
  <c r="D358" i="1"/>
  <c r="Y357" i="1"/>
  <c r="X357" i="1"/>
  <c r="W357" i="1"/>
  <c r="V357" i="1"/>
  <c r="U357" i="1"/>
  <c r="T357" i="1"/>
  <c r="S357" i="1"/>
  <c r="R357" i="1"/>
  <c r="Q357" i="1"/>
  <c r="O357" i="1"/>
  <c r="N357" i="1"/>
  <c r="K357" i="1"/>
  <c r="C357" i="1"/>
  <c r="Z356" i="1"/>
  <c r="Y356" i="1"/>
  <c r="X356" i="1"/>
  <c r="V356" i="1"/>
  <c r="U356" i="1"/>
  <c r="S356" i="1"/>
  <c r="R356" i="1"/>
  <c r="Q356" i="1"/>
  <c r="O356" i="1"/>
  <c r="M356" i="1"/>
  <c r="K356" i="1"/>
  <c r="C356" i="1"/>
  <c r="Y355" i="1"/>
  <c r="X355" i="1"/>
  <c r="W355" i="1"/>
  <c r="V355" i="1"/>
  <c r="U355" i="1"/>
  <c r="T355" i="1"/>
  <c r="S355" i="1"/>
  <c r="R355" i="1"/>
  <c r="Q355" i="1"/>
  <c r="O355" i="1"/>
  <c r="N355" i="1"/>
  <c r="K355" i="1"/>
  <c r="C355" i="1"/>
  <c r="Y354" i="1"/>
  <c r="X354" i="1"/>
  <c r="W354" i="1"/>
  <c r="V354" i="1"/>
  <c r="U354" i="1"/>
  <c r="T354" i="1"/>
  <c r="S354" i="1"/>
  <c r="R354" i="1"/>
  <c r="Q354" i="1"/>
  <c r="O354" i="1"/>
  <c r="N354" i="1"/>
  <c r="K354" i="1"/>
  <c r="C354" i="1"/>
  <c r="Y352" i="1"/>
  <c r="X352" i="1"/>
  <c r="W352" i="1"/>
  <c r="V352" i="1"/>
  <c r="U352" i="1"/>
  <c r="T352" i="1"/>
  <c r="S352" i="1"/>
  <c r="R352" i="1"/>
  <c r="Q352" i="1"/>
  <c r="O352" i="1"/>
  <c r="N352" i="1"/>
  <c r="K352" i="1"/>
  <c r="C352" i="1"/>
  <c r="AA350" i="1"/>
  <c r="Y350" i="1"/>
  <c r="X350" i="1"/>
  <c r="V350" i="1"/>
  <c r="U350" i="1"/>
  <c r="T350" i="1"/>
  <c r="S350" i="1"/>
  <c r="R350" i="1"/>
  <c r="Q350" i="1"/>
  <c r="O350" i="1"/>
  <c r="K350" i="1"/>
  <c r="Y349" i="1"/>
  <c r="X349" i="1"/>
  <c r="W349" i="1"/>
  <c r="V349" i="1"/>
  <c r="U349" i="1"/>
  <c r="T349" i="1"/>
  <c r="S349" i="1"/>
  <c r="R349" i="1"/>
  <c r="Q349" i="1"/>
  <c r="O349" i="1"/>
  <c r="N349" i="1"/>
  <c r="K349" i="1"/>
  <c r="C349" i="1"/>
  <c r="AA348" i="1"/>
  <c r="X348" i="1"/>
  <c r="V348" i="1"/>
  <c r="U348" i="1"/>
  <c r="T348" i="1"/>
  <c r="S348" i="1"/>
  <c r="R348" i="1"/>
  <c r="Q348" i="1"/>
  <c r="O348" i="1"/>
  <c r="N348" i="1"/>
  <c r="K348" i="1"/>
  <c r="X347" i="1"/>
  <c r="V347" i="1"/>
  <c r="U347" i="1"/>
  <c r="T347" i="1"/>
  <c r="S347" i="1"/>
  <c r="R347" i="1"/>
  <c r="Q347" i="1"/>
  <c r="O347" i="1"/>
  <c r="N347" i="1"/>
  <c r="K347" i="1"/>
  <c r="C347" i="1"/>
  <c r="Y346" i="1"/>
  <c r="X346" i="1"/>
  <c r="W346" i="1"/>
  <c r="V346" i="1"/>
  <c r="U346" i="1"/>
  <c r="T346" i="1"/>
  <c r="S346" i="1"/>
  <c r="R346" i="1"/>
  <c r="Q346" i="1"/>
  <c r="O346" i="1"/>
  <c r="N346" i="1"/>
  <c r="K346" i="1"/>
  <c r="C346" i="1"/>
  <c r="V342" i="1"/>
  <c r="S342" i="1"/>
  <c r="O342" i="1"/>
  <c r="K342" i="1"/>
  <c r="Y341" i="1"/>
  <c r="V341" i="1"/>
  <c r="U341" i="1"/>
  <c r="T341" i="1"/>
  <c r="S341" i="1"/>
  <c r="R341" i="1"/>
  <c r="Q341" i="1"/>
  <c r="O341" i="1"/>
  <c r="N341" i="1"/>
  <c r="K341" i="1"/>
  <c r="C341" i="1"/>
  <c r="R340" i="1"/>
  <c r="Y340" i="1"/>
  <c r="V340" i="1"/>
  <c r="U340" i="1"/>
  <c r="T340" i="1"/>
  <c r="S340" i="1"/>
  <c r="Q340" i="1"/>
  <c r="O340" i="1"/>
  <c r="N340" i="1"/>
  <c r="K340" i="1"/>
  <c r="C340" i="1"/>
  <c r="Z339" i="1"/>
  <c r="Y339" i="1"/>
  <c r="V339" i="1"/>
  <c r="U339" i="1"/>
  <c r="T339" i="1"/>
  <c r="S339" i="1"/>
  <c r="R339" i="1"/>
  <c r="Q339" i="1"/>
  <c r="O339" i="1"/>
  <c r="N339" i="1"/>
  <c r="K339" i="1"/>
  <c r="C339" i="1"/>
  <c r="AA338" i="1"/>
  <c r="Z338" i="1"/>
  <c r="Y338" i="1"/>
  <c r="X338" i="1"/>
  <c r="V338" i="1"/>
  <c r="U338" i="1"/>
  <c r="T338" i="1"/>
  <c r="S338" i="1"/>
  <c r="R338" i="1"/>
  <c r="Q338" i="1"/>
  <c r="O338" i="1"/>
  <c r="N338" i="1"/>
  <c r="Y337" i="1"/>
  <c r="X337" i="1"/>
  <c r="W337" i="1"/>
  <c r="V337" i="1"/>
  <c r="U337" i="1"/>
  <c r="T337" i="1"/>
  <c r="S337" i="1"/>
  <c r="R337" i="1"/>
  <c r="Q337" i="1"/>
  <c r="O337" i="1"/>
  <c r="N337" i="1"/>
  <c r="C337" i="1"/>
  <c r="Z336" i="1"/>
  <c r="Y336" i="1"/>
  <c r="X336" i="1"/>
  <c r="W336" i="1"/>
  <c r="V336" i="1"/>
  <c r="U336" i="1"/>
  <c r="T336" i="1"/>
  <c r="S336" i="1"/>
  <c r="R336" i="1"/>
  <c r="Q336" i="1"/>
  <c r="O336" i="1"/>
  <c r="N336" i="1"/>
  <c r="K336" i="1"/>
  <c r="V335" i="1"/>
  <c r="U335" i="1"/>
  <c r="T335" i="1"/>
  <c r="S335" i="1"/>
  <c r="R335" i="1"/>
  <c r="Q335" i="1"/>
  <c r="O335" i="1"/>
  <c r="N335" i="1"/>
  <c r="K335" i="1"/>
  <c r="E335" i="1"/>
  <c r="C335" i="1"/>
  <c r="Y334" i="1"/>
  <c r="X334" i="1"/>
  <c r="V334" i="1"/>
  <c r="U334" i="1"/>
  <c r="T334" i="1"/>
  <c r="S334" i="1"/>
  <c r="R334" i="1"/>
  <c r="Q334" i="1"/>
  <c r="O334" i="1"/>
  <c r="N334" i="1"/>
  <c r="K334" i="1"/>
  <c r="Y333" i="1"/>
  <c r="X333" i="1"/>
  <c r="W333" i="1"/>
  <c r="V333" i="1"/>
  <c r="U333" i="1"/>
  <c r="T333" i="1"/>
  <c r="S333" i="1"/>
  <c r="R333" i="1"/>
  <c r="Q333" i="1"/>
  <c r="O333" i="1"/>
  <c r="N333" i="1"/>
  <c r="K333" i="1"/>
  <c r="C333" i="1"/>
  <c r="Y332" i="1"/>
  <c r="X332" i="1"/>
  <c r="W332" i="1"/>
  <c r="V332" i="1"/>
  <c r="U332" i="1"/>
  <c r="T332" i="1"/>
  <c r="S332" i="1"/>
  <c r="R332" i="1"/>
  <c r="Q332" i="1"/>
  <c r="O332" i="1"/>
  <c r="N332" i="1"/>
  <c r="K332" i="1"/>
  <c r="D332" i="1"/>
  <c r="Y331" i="1"/>
  <c r="X331" i="1"/>
  <c r="V331" i="1"/>
  <c r="U331" i="1"/>
  <c r="T331" i="1"/>
  <c r="S331" i="1"/>
  <c r="R331" i="1"/>
  <c r="Q331" i="1"/>
  <c r="O331" i="1"/>
  <c r="N331" i="1"/>
  <c r="K331" i="1"/>
  <c r="C331" i="1"/>
  <c r="Z330" i="1"/>
  <c r="Y330" i="1"/>
  <c r="V330" i="1"/>
  <c r="U330" i="1"/>
  <c r="T330" i="1"/>
  <c r="S330" i="1"/>
  <c r="R330" i="1"/>
  <c r="Q330" i="1"/>
  <c r="O330" i="1"/>
  <c r="N330" i="1"/>
  <c r="Z329" i="1"/>
  <c r="Y329" i="1"/>
  <c r="X329" i="1"/>
  <c r="W329" i="1"/>
  <c r="V329" i="1"/>
  <c r="U329" i="1"/>
  <c r="T329" i="1"/>
  <c r="S329" i="1"/>
  <c r="R329" i="1"/>
  <c r="Q329" i="1"/>
  <c r="O329" i="1"/>
  <c r="N329" i="1"/>
  <c r="K329" i="1"/>
  <c r="W328" i="1"/>
  <c r="V328" i="1"/>
  <c r="U328" i="1"/>
  <c r="T328" i="1"/>
  <c r="S328" i="1"/>
  <c r="R328" i="1"/>
  <c r="Q328" i="1"/>
  <c r="O328" i="1"/>
  <c r="N328" i="1"/>
  <c r="K328" i="1"/>
  <c r="C328" i="1"/>
  <c r="Z327" i="1"/>
  <c r="Y327" i="1"/>
  <c r="X327" i="1"/>
  <c r="V327" i="1"/>
  <c r="U327" i="1"/>
  <c r="T327" i="1"/>
  <c r="S327" i="1"/>
  <c r="R327" i="1"/>
  <c r="Q327" i="1"/>
  <c r="O327" i="1"/>
  <c r="N327" i="1"/>
  <c r="K327" i="1"/>
  <c r="C327" i="1"/>
  <c r="Y326" i="1"/>
  <c r="X326" i="1"/>
  <c r="W326" i="1"/>
  <c r="V326" i="1"/>
  <c r="U326" i="1"/>
  <c r="T326" i="1"/>
  <c r="S326" i="1"/>
  <c r="R326" i="1"/>
  <c r="Q326" i="1"/>
  <c r="O326" i="1"/>
  <c r="N326" i="1"/>
  <c r="K326" i="1"/>
  <c r="C326" i="1"/>
  <c r="Z325" i="1"/>
  <c r="Y325" i="1"/>
  <c r="V325" i="1"/>
  <c r="U325" i="1"/>
  <c r="T325" i="1"/>
  <c r="S325" i="1"/>
  <c r="R325" i="1"/>
  <c r="Q325" i="1"/>
  <c r="O325" i="1"/>
  <c r="N325" i="1"/>
  <c r="K325" i="1"/>
  <c r="Z324" i="1"/>
  <c r="Y324" i="1"/>
  <c r="X324" i="1"/>
  <c r="W324" i="1"/>
  <c r="V324" i="1"/>
  <c r="U324" i="1"/>
  <c r="T324" i="1"/>
  <c r="S324" i="1"/>
  <c r="R324" i="1"/>
  <c r="Q324" i="1"/>
  <c r="O324" i="1"/>
  <c r="N324" i="1"/>
  <c r="K324" i="1"/>
  <c r="E324" i="1"/>
  <c r="C324" i="1"/>
  <c r="Y323" i="1"/>
  <c r="X323" i="1"/>
  <c r="V323" i="1"/>
  <c r="U323" i="1"/>
  <c r="T323" i="1"/>
  <c r="S323" i="1"/>
  <c r="R323" i="1"/>
  <c r="Q323" i="1"/>
  <c r="O323" i="1"/>
  <c r="N323" i="1"/>
  <c r="K323" i="1"/>
  <c r="C323" i="1"/>
  <c r="Y322" i="1"/>
  <c r="V322" i="1"/>
  <c r="U322" i="1"/>
  <c r="T322" i="1"/>
  <c r="S322" i="1"/>
  <c r="R322" i="1"/>
  <c r="Q322" i="1"/>
  <c r="O322" i="1"/>
  <c r="N322" i="1"/>
  <c r="K322" i="1"/>
  <c r="Z321" i="1"/>
  <c r="Y321" i="1"/>
  <c r="X321" i="1"/>
  <c r="W321" i="1"/>
  <c r="V321" i="1"/>
  <c r="U321" i="1"/>
  <c r="T321" i="1"/>
  <c r="S321" i="1"/>
  <c r="R321" i="1"/>
  <c r="Q321" i="1"/>
  <c r="O321" i="1"/>
  <c r="N321" i="1"/>
  <c r="K321" i="1"/>
  <c r="C321" i="1"/>
  <c r="W320" i="1"/>
  <c r="V320" i="1"/>
  <c r="U320" i="1"/>
  <c r="T320" i="1"/>
  <c r="S320" i="1"/>
  <c r="R320" i="1"/>
  <c r="Q320" i="1"/>
  <c r="O320" i="1"/>
  <c r="N320" i="1"/>
  <c r="K320" i="1"/>
  <c r="Z319" i="1"/>
  <c r="Y319" i="1"/>
  <c r="X319" i="1"/>
  <c r="W319" i="1"/>
  <c r="V319" i="1"/>
  <c r="U319" i="1"/>
  <c r="T319" i="1"/>
  <c r="S319" i="1"/>
  <c r="R319" i="1"/>
  <c r="Q319" i="1"/>
  <c r="O319" i="1"/>
  <c r="N319" i="1"/>
  <c r="K319" i="1"/>
  <c r="C319" i="1"/>
  <c r="Z318" i="1"/>
  <c r="Y318" i="1"/>
  <c r="V318" i="1"/>
  <c r="U318" i="1"/>
  <c r="T318" i="1"/>
  <c r="S318" i="1"/>
  <c r="R318" i="1"/>
  <c r="Q318" i="1"/>
  <c r="O318" i="1"/>
  <c r="N318" i="1"/>
  <c r="K318" i="1"/>
  <c r="E318" i="1"/>
  <c r="C318" i="1"/>
  <c r="Y317" i="1"/>
  <c r="X317" i="1"/>
  <c r="W317" i="1"/>
  <c r="V317" i="1"/>
  <c r="U317" i="1"/>
  <c r="T317" i="1"/>
  <c r="S317" i="1"/>
  <c r="R317" i="1"/>
  <c r="Q317" i="1"/>
  <c r="O317" i="1"/>
  <c r="N317" i="1"/>
  <c r="K317" i="1"/>
  <c r="D317" i="1"/>
  <c r="C317" i="1"/>
  <c r="W316" i="1"/>
  <c r="V316" i="1"/>
  <c r="U316" i="1"/>
  <c r="T316" i="1"/>
  <c r="S316" i="1"/>
  <c r="R316" i="1"/>
  <c r="Q316" i="1"/>
  <c r="O316" i="1"/>
  <c r="N316" i="1"/>
  <c r="C316" i="1"/>
  <c r="Z315" i="1"/>
  <c r="Y315" i="1"/>
  <c r="X315" i="1"/>
  <c r="V315" i="1"/>
  <c r="U315" i="1"/>
  <c r="T315" i="1"/>
  <c r="S315" i="1"/>
  <c r="R315" i="1"/>
  <c r="Q315" i="1"/>
  <c r="O315" i="1"/>
  <c r="N315" i="1"/>
  <c r="K315" i="1"/>
  <c r="C315" i="1"/>
  <c r="Z314" i="1"/>
  <c r="Y314" i="1"/>
  <c r="X314" i="1"/>
  <c r="W314" i="1"/>
  <c r="V314" i="1"/>
  <c r="U314" i="1"/>
  <c r="T314" i="1"/>
  <c r="S314" i="1"/>
  <c r="R314" i="1"/>
  <c r="Q314" i="1"/>
  <c r="O314" i="1"/>
  <c r="N314" i="1"/>
  <c r="K314" i="1"/>
  <c r="Y313" i="1"/>
  <c r="X313" i="1"/>
  <c r="W313" i="1"/>
  <c r="V313" i="1"/>
  <c r="U313" i="1"/>
  <c r="T313" i="1"/>
  <c r="S313" i="1"/>
  <c r="R313" i="1"/>
  <c r="Q313" i="1"/>
  <c r="O313" i="1"/>
  <c r="N313" i="1"/>
  <c r="K313" i="1"/>
  <c r="E313" i="1"/>
  <c r="C313" i="1"/>
  <c r="Y312" i="1"/>
  <c r="X312" i="1"/>
  <c r="W312" i="1"/>
  <c r="V312" i="1"/>
  <c r="U312" i="1"/>
  <c r="S312" i="1"/>
  <c r="R312" i="1"/>
  <c r="Q312" i="1"/>
  <c r="O312" i="1"/>
  <c r="N312" i="1"/>
  <c r="K312" i="1"/>
  <c r="Z311" i="1"/>
  <c r="Y311" i="1"/>
  <c r="X311" i="1"/>
  <c r="W311" i="1"/>
  <c r="V311" i="1"/>
  <c r="U311" i="1"/>
  <c r="T311" i="1"/>
  <c r="S311" i="1"/>
  <c r="R311" i="1"/>
  <c r="Q311" i="1"/>
  <c r="O311" i="1"/>
  <c r="N311" i="1"/>
  <c r="K311" i="1"/>
  <c r="C311" i="1"/>
  <c r="Z310" i="1"/>
  <c r="Y310" i="1"/>
  <c r="V310" i="1"/>
  <c r="U310" i="1"/>
  <c r="T310" i="1"/>
  <c r="S310" i="1"/>
  <c r="R310" i="1"/>
  <c r="Q310" i="1"/>
  <c r="O310" i="1"/>
  <c r="N310" i="1"/>
  <c r="K310" i="1"/>
  <c r="Y309" i="1"/>
  <c r="X309" i="1"/>
  <c r="W309" i="1"/>
  <c r="V309" i="1"/>
  <c r="U309" i="1"/>
  <c r="T309" i="1"/>
  <c r="S309" i="1"/>
  <c r="R309" i="1"/>
  <c r="Q309" i="1"/>
  <c r="O309" i="1"/>
  <c r="N309" i="1"/>
  <c r="K309" i="1"/>
  <c r="W308" i="1"/>
  <c r="V308" i="1"/>
  <c r="U308" i="1"/>
  <c r="T308" i="1"/>
  <c r="S308" i="1"/>
  <c r="R308" i="1"/>
  <c r="Q308" i="1"/>
  <c r="O308" i="1"/>
  <c r="N308" i="1"/>
  <c r="K308" i="1"/>
  <c r="C308" i="1"/>
  <c r="Y307" i="1"/>
  <c r="X307" i="1"/>
  <c r="W307" i="1"/>
  <c r="V307" i="1"/>
  <c r="U307" i="1"/>
  <c r="T307" i="1"/>
  <c r="S307" i="1"/>
  <c r="R307" i="1"/>
  <c r="Q307" i="1"/>
  <c r="O307" i="1"/>
  <c r="N307" i="1"/>
  <c r="K307" i="1"/>
  <c r="C307" i="1"/>
  <c r="W306" i="1"/>
  <c r="V306" i="1"/>
  <c r="U306" i="1"/>
  <c r="T306" i="1"/>
  <c r="S306" i="1"/>
  <c r="R306" i="1"/>
  <c r="Q306" i="1"/>
  <c r="O306" i="1"/>
  <c r="N306" i="1"/>
  <c r="K306" i="1"/>
  <c r="Y305" i="1"/>
  <c r="X305" i="1"/>
  <c r="W305" i="1"/>
  <c r="V305" i="1"/>
  <c r="T305" i="1"/>
  <c r="S305" i="1"/>
  <c r="R305" i="1"/>
  <c r="Q305" i="1"/>
  <c r="O305" i="1"/>
  <c r="K305" i="1"/>
  <c r="Z304" i="1"/>
  <c r="Y304" i="1"/>
  <c r="V304" i="1"/>
  <c r="U304" i="1"/>
  <c r="T304" i="1"/>
  <c r="S304" i="1"/>
  <c r="R304" i="1"/>
  <c r="Q304" i="1"/>
  <c r="O304" i="1"/>
  <c r="K304" i="1"/>
  <c r="C304" i="1"/>
  <c r="Z303" i="1"/>
  <c r="Y303" i="1"/>
  <c r="V303" i="1"/>
  <c r="U303" i="1"/>
  <c r="T303" i="1"/>
  <c r="S303" i="1"/>
  <c r="R303" i="1"/>
  <c r="Q303" i="1"/>
  <c r="O303" i="1"/>
  <c r="N303" i="1"/>
  <c r="K303" i="1"/>
  <c r="C303" i="1"/>
  <c r="Y302" i="1"/>
  <c r="V302" i="1"/>
  <c r="U302" i="1"/>
  <c r="T302" i="1"/>
  <c r="S302" i="1"/>
  <c r="R302" i="1"/>
  <c r="Q302" i="1"/>
  <c r="O302" i="1"/>
  <c r="N302" i="1"/>
  <c r="K302" i="1"/>
  <c r="E302" i="1"/>
  <c r="D302" i="1"/>
  <c r="C302" i="1"/>
  <c r="Z301" i="1"/>
  <c r="Y301" i="1"/>
  <c r="V301" i="1"/>
  <c r="U301" i="1"/>
  <c r="T301" i="1"/>
  <c r="S301" i="1"/>
  <c r="R301" i="1"/>
  <c r="Q301" i="1"/>
  <c r="O301" i="1"/>
  <c r="N301" i="1"/>
  <c r="K301" i="1"/>
  <c r="C301" i="1"/>
  <c r="Z300" i="1"/>
  <c r="Y300" i="1"/>
  <c r="X300" i="1"/>
  <c r="W300" i="1"/>
  <c r="V300" i="1"/>
  <c r="U300" i="1"/>
  <c r="T300" i="1"/>
  <c r="S300" i="1"/>
  <c r="R300" i="1"/>
  <c r="Q300" i="1"/>
  <c r="O300" i="1"/>
  <c r="N300" i="1"/>
  <c r="K300" i="1"/>
  <c r="C300" i="1"/>
  <c r="Z299" i="1"/>
  <c r="Y299" i="1"/>
  <c r="V299" i="1"/>
  <c r="U299" i="1"/>
  <c r="T299" i="1"/>
  <c r="S299" i="1"/>
  <c r="R299" i="1"/>
  <c r="Q299" i="1"/>
  <c r="O299" i="1"/>
  <c r="N299" i="1"/>
  <c r="K299" i="1"/>
  <c r="Y298" i="1"/>
  <c r="X298" i="1"/>
  <c r="W298" i="1"/>
  <c r="V298" i="1"/>
  <c r="U298" i="1"/>
  <c r="T298" i="1"/>
  <c r="S298" i="1"/>
  <c r="R298" i="1"/>
  <c r="Q298" i="1"/>
  <c r="O298" i="1"/>
  <c r="N298" i="1"/>
  <c r="K298" i="1"/>
  <c r="C298" i="1"/>
  <c r="Y297" i="1"/>
  <c r="X297" i="1"/>
  <c r="U297" i="1"/>
  <c r="T297" i="1"/>
  <c r="S297" i="1"/>
  <c r="R297" i="1"/>
  <c r="Q297" i="1"/>
  <c r="O297" i="1"/>
  <c r="K297" i="1"/>
  <c r="C297" i="1"/>
  <c r="AA296" i="1"/>
  <c r="Y296" i="1"/>
  <c r="X296" i="1"/>
  <c r="V296" i="1"/>
  <c r="U296" i="1"/>
  <c r="S296" i="1"/>
  <c r="R296" i="1"/>
  <c r="Q296" i="1"/>
  <c r="O296" i="1"/>
  <c r="N296" i="1"/>
  <c r="K296" i="1"/>
  <c r="C296" i="1"/>
  <c r="Y295" i="1"/>
  <c r="X295" i="1"/>
  <c r="V295" i="1"/>
  <c r="U295" i="1"/>
  <c r="T295" i="1"/>
  <c r="S295" i="1"/>
  <c r="R295" i="1"/>
  <c r="Q295" i="1"/>
  <c r="O295" i="1"/>
  <c r="N295" i="1"/>
  <c r="K295" i="1"/>
  <c r="E295" i="1"/>
  <c r="C295" i="1"/>
  <c r="Y294" i="1"/>
  <c r="V294" i="1"/>
  <c r="U294" i="1"/>
  <c r="T294" i="1"/>
  <c r="S294" i="1"/>
  <c r="R294" i="1"/>
  <c r="Q294" i="1"/>
  <c r="O294" i="1"/>
  <c r="N294" i="1"/>
  <c r="K294" i="1"/>
  <c r="Y293" i="1"/>
  <c r="V293" i="1"/>
  <c r="U293" i="1"/>
  <c r="T293" i="1"/>
  <c r="S293" i="1"/>
  <c r="R293" i="1"/>
  <c r="Q293" i="1"/>
  <c r="O293" i="1"/>
  <c r="N293" i="1"/>
  <c r="K293" i="1"/>
  <c r="E293" i="1"/>
  <c r="Z292" i="1"/>
  <c r="Y292" i="1"/>
  <c r="X292" i="1"/>
  <c r="W292" i="1"/>
  <c r="V292" i="1"/>
  <c r="U292" i="1"/>
  <c r="T292" i="1"/>
  <c r="S292" i="1"/>
  <c r="R292" i="1"/>
  <c r="Q292" i="1"/>
  <c r="O292" i="1"/>
  <c r="N292" i="1"/>
  <c r="K292" i="1"/>
  <c r="E292" i="1"/>
  <c r="C292" i="1"/>
  <c r="V291" i="1"/>
  <c r="U291" i="1"/>
  <c r="T291" i="1"/>
  <c r="S291" i="1"/>
  <c r="R291" i="1"/>
  <c r="Q291" i="1"/>
  <c r="O291" i="1"/>
  <c r="N291" i="1"/>
  <c r="K291" i="1"/>
  <c r="C291" i="1"/>
  <c r="V290" i="1"/>
  <c r="U290" i="1"/>
  <c r="T290" i="1"/>
  <c r="S290" i="1"/>
  <c r="R290" i="1"/>
  <c r="Q290" i="1"/>
  <c r="O290" i="1"/>
  <c r="N290" i="1"/>
  <c r="K290" i="1"/>
  <c r="C290" i="1"/>
  <c r="AA289" i="1"/>
  <c r="Y289" i="1"/>
  <c r="X289" i="1"/>
  <c r="V289" i="1"/>
  <c r="U289" i="1"/>
  <c r="T289" i="1"/>
  <c r="S289" i="1"/>
  <c r="R289" i="1"/>
  <c r="Q289" i="1"/>
  <c r="O289" i="1"/>
  <c r="N289" i="1"/>
  <c r="M289" i="1"/>
  <c r="K289" i="1"/>
  <c r="C289" i="1"/>
  <c r="Y287" i="1"/>
  <c r="X287" i="1"/>
  <c r="W287" i="1"/>
  <c r="V287" i="1"/>
  <c r="U287" i="1"/>
  <c r="T287" i="1"/>
  <c r="S287" i="1"/>
  <c r="R287" i="1"/>
  <c r="Q287" i="1"/>
  <c r="O287" i="1"/>
  <c r="N287" i="1"/>
  <c r="K287" i="1"/>
  <c r="C287" i="1"/>
  <c r="Z286" i="1"/>
  <c r="Y286" i="1"/>
  <c r="V286" i="1"/>
  <c r="U286" i="1"/>
  <c r="T286" i="1"/>
  <c r="S286" i="1"/>
  <c r="R286" i="1"/>
  <c r="Q286" i="1"/>
  <c r="O286" i="1"/>
  <c r="N286" i="1"/>
  <c r="K286" i="1"/>
  <c r="C286" i="1"/>
  <c r="K285" i="1"/>
  <c r="N285" i="1"/>
  <c r="Z285" i="1"/>
  <c r="Y285" i="1"/>
  <c r="X285" i="1"/>
  <c r="W285" i="1"/>
  <c r="V285" i="1"/>
  <c r="U285" i="1"/>
  <c r="T285" i="1"/>
  <c r="S285" i="1"/>
  <c r="R285" i="1"/>
  <c r="Q285" i="1"/>
  <c r="O285" i="1"/>
  <c r="C285" i="1"/>
  <c r="Y284" i="1"/>
  <c r="V284" i="1"/>
  <c r="U284" i="1"/>
  <c r="T284" i="1"/>
  <c r="S284" i="1"/>
  <c r="R284" i="1"/>
  <c r="Q284" i="1"/>
  <c r="O284" i="1"/>
  <c r="N284" i="1"/>
  <c r="K284" i="1"/>
  <c r="C284" i="1"/>
  <c r="AA280" i="1"/>
  <c r="Y280" i="1"/>
  <c r="V280" i="1"/>
  <c r="U280" i="1"/>
  <c r="T280" i="1"/>
  <c r="S280" i="1"/>
  <c r="R280" i="1"/>
  <c r="Q280" i="1"/>
  <c r="O280" i="1"/>
  <c r="N280" i="1"/>
  <c r="D280" i="1"/>
  <c r="C280" i="1"/>
  <c r="Y279" i="1"/>
  <c r="V279" i="1"/>
  <c r="U279" i="1"/>
  <c r="T279" i="1"/>
  <c r="S279" i="1"/>
  <c r="R279" i="1"/>
  <c r="Q279" i="1"/>
  <c r="P279" i="1"/>
  <c r="O279" i="1"/>
  <c r="N279" i="1"/>
  <c r="C279" i="1"/>
  <c r="AA278" i="1"/>
  <c r="X278" i="1"/>
  <c r="V278" i="1"/>
  <c r="U278" i="1"/>
  <c r="T278" i="1"/>
  <c r="S278" i="1"/>
  <c r="R278" i="1"/>
  <c r="Q278" i="1"/>
  <c r="O278" i="1"/>
  <c r="N278" i="1"/>
  <c r="K278" i="1"/>
  <c r="C278" i="1"/>
  <c r="Y277" i="1"/>
  <c r="V277" i="1"/>
  <c r="U277" i="1"/>
  <c r="T277" i="1"/>
  <c r="S277" i="1"/>
  <c r="R277" i="1"/>
  <c r="Q277" i="1"/>
  <c r="O277" i="1"/>
  <c r="N277" i="1"/>
  <c r="E277" i="1"/>
  <c r="C277" i="1"/>
  <c r="X276" i="1"/>
  <c r="V276" i="1"/>
  <c r="U276" i="1"/>
  <c r="T276" i="1"/>
  <c r="S276" i="1"/>
  <c r="R276" i="1"/>
  <c r="Q276" i="1"/>
  <c r="O276" i="1"/>
  <c r="N276" i="1"/>
  <c r="K276" i="1"/>
  <c r="E276" i="1"/>
  <c r="C276" i="1"/>
  <c r="W275" i="1"/>
  <c r="V275" i="1"/>
  <c r="U275" i="1"/>
  <c r="T275" i="1"/>
  <c r="S275" i="1"/>
  <c r="R275" i="1"/>
  <c r="Q275" i="1"/>
  <c r="O275" i="1"/>
  <c r="N275" i="1"/>
  <c r="K275" i="1"/>
  <c r="C275" i="1"/>
  <c r="X274" i="1"/>
  <c r="V274" i="1"/>
  <c r="U274" i="1"/>
  <c r="T274" i="1"/>
  <c r="S274" i="1"/>
  <c r="R274" i="1"/>
  <c r="Q274" i="1"/>
  <c r="O274" i="1"/>
  <c r="N274" i="1"/>
  <c r="K274" i="1"/>
  <c r="C274" i="1"/>
  <c r="V273" i="1"/>
  <c r="U273" i="1"/>
  <c r="T273" i="1"/>
  <c r="S273" i="1"/>
  <c r="R273" i="1"/>
  <c r="Q273" i="1"/>
  <c r="O273" i="1"/>
  <c r="N273" i="1"/>
  <c r="K273" i="1"/>
  <c r="C273" i="1"/>
  <c r="X272" i="1"/>
  <c r="V272" i="1"/>
  <c r="U272" i="1"/>
  <c r="T272" i="1"/>
  <c r="S272" i="1"/>
  <c r="R272" i="1"/>
  <c r="Q272" i="1"/>
  <c r="O272" i="1"/>
  <c r="N272" i="1"/>
  <c r="K272" i="1"/>
  <c r="E272" i="1"/>
  <c r="C272" i="1"/>
  <c r="AA271" i="1"/>
  <c r="X271" i="1"/>
  <c r="V271" i="1"/>
  <c r="U271" i="1"/>
  <c r="T271" i="1"/>
  <c r="S271" i="1"/>
  <c r="R271" i="1"/>
  <c r="Q271" i="1"/>
  <c r="O271" i="1"/>
  <c r="N271" i="1"/>
  <c r="K271" i="1"/>
  <c r="X270" i="1"/>
  <c r="V270" i="1"/>
  <c r="U270" i="1"/>
  <c r="T270" i="1"/>
  <c r="S270" i="1"/>
  <c r="R270" i="1"/>
  <c r="Q270" i="1"/>
  <c r="O270" i="1"/>
  <c r="N270" i="1"/>
  <c r="K270" i="1"/>
  <c r="C270" i="1"/>
  <c r="Y269" i="1"/>
  <c r="W269" i="1"/>
  <c r="V269" i="1"/>
  <c r="T269" i="1"/>
  <c r="S269" i="1"/>
  <c r="R269" i="1"/>
  <c r="Q269" i="1"/>
  <c r="O269" i="1"/>
  <c r="N269" i="1"/>
  <c r="K269" i="1"/>
  <c r="E269" i="1"/>
  <c r="C269" i="1"/>
  <c r="Y268" i="1"/>
  <c r="X268" i="1"/>
  <c r="V268" i="1"/>
  <c r="U268" i="1"/>
  <c r="T268" i="1"/>
  <c r="S268" i="1"/>
  <c r="R268" i="1"/>
  <c r="Q268" i="1"/>
  <c r="O268" i="1"/>
  <c r="N268" i="1"/>
  <c r="K268" i="1"/>
  <c r="C268" i="1"/>
  <c r="Y267" i="1"/>
  <c r="W267" i="1"/>
  <c r="V267" i="1"/>
  <c r="T267" i="1"/>
  <c r="S267" i="1"/>
  <c r="S266" i="1"/>
  <c r="R267" i="1"/>
  <c r="Q267" i="1"/>
  <c r="O267" i="1"/>
  <c r="N267" i="1"/>
  <c r="K267" i="1"/>
  <c r="C267" i="1"/>
  <c r="V266" i="1"/>
  <c r="T266" i="1"/>
  <c r="R266" i="1"/>
  <c r="Q266" i="1"/>
  <c r="O266" i="1"/>
  <c r="N266" i="1"/>
  <c r="K266" i="1"/>
  <c r="E266" i="1"/>
  <c r="C266" i="1"/>
  <c r="X265" i="1"/>
  <c r="V265" i="1"/>
  <c r="U265" i="1"/>
  <c r="T265" i="1"/>
  <c r="S265" i="1"/>
  <c r="R265" i="1"/>
  <c r="Q265" i="1"/>
  <c r="O265" i="1"/>
  <c r="N265" i="1"/>
  <c r="K265" i="1"/>
  <c r="C265" i="1"/>
  <c r="Y264" i="1"/>
  <c r="X264" i="1"/>
  <c r="V264" i="1"/>
  <c r="U264" i="1"/>
  <c r="T264" i="1"/>
  <c r="S264" i="1"/>
  <c r="R264" i="1"/>
  <c r="Q264" i="1"/>
  <c r="O264" i="1"/>
  <c r="N264" i="1"/>
  <c r="K264" i="1"/>
  <c r="Z263" i="1"/>
  <c r="Y263" i="1"/>
  <c r="X263" i="1"/>
  <c r="V263" i="1"/>
  <c r="U263" i="1"/>
  <c r="T263" i="1"/>
  <c r="S263" i="1"/>
  <c r="Q263" i="1"/>
  <c r="O263" i="1"/>
  <c r="K263" i="1"/>
  <c r="C263" i="1"/>
  <c r="AA262" i="1"/>
  <c r="X262" i="1"/>
  <c r="V262" i="1"/>
  <c r="U262" i="1"/>
  <c r="T262" i="1"/>
  <c r="S262" i="1"/>
  <c r="Q262" i="1"/>
  <c r="O262" i="1"/>
  <c r="K262" i="1"/>
  <c r="C262" i="1"/>
  <c r="Y261" i="1"/>
  <c r="X261" i="1"/>
  <c r="V261" i="1"/>
  <c r="U261" i="1"/>
  <c r="T261" i="1"/>
  <c r="S261" i="1"/>
  <c r="R261" i="1"/>
  <c r="Q261" i="1"/>
  <c r="O261" i="1"/>
  <c r="N261" i="1"/>
  <c r="K261" i="1"/>
  <c r="C261" i="1"/>
  <c r="Y260" i="1"/>
  <c r="X260" i="1"/>
  <c r="W260" i="1"/>
  <c r="V260" i="1"/>
  <c r="U260" i="1"/>
  <c r="T260" i="1"/>
  <c r="S260" i="1"/>
  <c r="R260" i="1"/>
  <c r="Q260" i="1"/>
  <c r="O260" i="1"/>
  <c r="K260" i="1"/>
  <c r="C260" i="1"/>
  <c r="Y259" i="1"/>
  <c r="W259" i="1"/>
  <c r="V259" i="1"/>
  <c r="U259" i="1"/>
  <c r="T259" i="1"/>
  <c r="S259" i="1"/>
  <c r="R259" i="1"/>
  <c r="Q259" i="1"/>
  <c r="O259" i="1"/>
  <c r="N259" i="1"/>
  <c r="K259" i="1"/>
  <c r="C259" i="1"/>
  <c r="V258" i="1"/>
  <c r="U258" i="1"/>
  <c r="T258" i="1"/>
  <c r="S258" i="1"/>
  <c r="R258" i="1"/>
  <c r="Q258" i="1"/>
  <c r="O258" i="1"/>
  <c r="N258" i="1"/>
  <c r="K258" i="1"/>
  <c r="E258" i="1"/>
  <c r="C258" i="1"/>
  <c r="S255" i="1"/>
  <c r="R255" i="1"/>
  <c r="Q255" i="1"/>
  <c r="K255" i="1"/>
  <c r="E255" i="1"/>
  <c r="D255" i="1"/>
  <c r="X254" i="1"/>
  <c r="V254" i="1"/>
  <c r="R254" i="1"/>
  <c r="Q254" i="1"/>
  <c r="O254" i="1"/>
  <c r="N254" i="1"/>
  <c r="C254" i="1"/>
  <c r="V253" i="1"/>
  <c r="U253" i="1"/>
  <c r="T253" i="1"/>
  <c r="S253" i="1"/>
  <c r="R253" i="1"/>
  <c r="Q253" i="1"/>
  <c r="O253" i="1"/>
  <c r="N253" i="1"/>
  <c r="K253" i="1"/>
  <c r="C253" i="1"/>
  <c r="Y252" i="1"/>
  <c r="X252" i="1"/>
  <c r="U252" i="1"/>
  <c r="T252" i="1"/>
  <c r="S252" i="1"/>
  <c r="R252" i="1"/>
  <c r="Q252" i="1"/>
  <c r="O252" i="1"/>
  <c r="N252" i="1"/>
  <c r="M252" i="1"/>
  <c r="K252" i="1"/>
  <c r="D252" i="1"/>
  <c r="C252" i="1"/>
  <c r="Y251" i="1"/>
  <c r="V251" i="1"/>
  <c r="U251" i="1"/>
  <c r="T251" i="1"/>
  <c r="S251" i="1"/>
  <c r="R251" i="1"/>
  <c r="Q251" i="1"/>
  <c r="O251" i="1"/>
  <c r="N251" i="1"/>
  <c r="K251" i="1"/>
  <c r="D251" i="1"/>
  <c r="C251" i="1"/>
  <c r="Y250" i="1"/>
  <c r="W250" i="1"/>
  <c r="V250" i="1"/>
  <c r="U250" i="1"/>
  <c r="T250" i="1"/>
  <c r="S250" i="1"/>
  <c r="R250" i="1"/>
  <c r="Q250" i="1"/>
  <c r="O250" i="1"/>
  <c r="N250" i="1"/>
  <c r="K250" i="1"/>
  <c r="C250" i="1"/>
  <c r="X248" i="1"/>
  <c r="V248" i="1"/>
  <c r="U248" i="1"/>
  <c r="T248" i="1"/>
  <c r="S248" i="1"/>
  <c r="R248" i="1"/>
  <c r="Q248" i="1"/>
  <c r="O248" i="1"/>
  <c r="N248" i="1"/>
  <c r="E242" i="1"/>
  <c r="E243" i="1"/>
  <c r="E244" i="1"/>
  <c r="E245" i="1"/>
  <c r="E246" i="1"/>
  <c r="E241" i="1"/>
  <c r="S237" i="1"/>
  <c r="R237" i="1"/>
  <c r="O237" i="1"/>
  <c r="C237" i="1"/>
  <c r="C240" i="1"/>
  <c r="C238" i="1"/>
  <c r="S235" i="1"/>
  <c r="R235" i="1"/>
  <c r="Q235" i="1"/>
  <c r="O235" i="1"/>
  <c r="K235" i="1"/>
  <c r="C235" i="1"/>
  <c r="E234" i="1"/>
  <c r="E233" i="1"/>
  <c r="AB231" i="1"/>
  <c r="Z231" i="1"/>
  <c r="Y231" i="1"/>
  <c r="X231" i="1"/>
  <c r="V231" i="1"/>
  <c r="U231" i="1"/>
  <c r="T231" i="1"/>
  <c r="R231" i="1"/>
  <c r="Q231" i="1"/>
  <c r="P231" i="1"/>
  <c r="O231" i="1"/>
  <c r="N231" i="1"/>
  <c r="M231" i="1"/>
  <c r="C231" i="1"/>
  <c r="Y230" i="1"/>
  <c r="X230" i="1"/>
  <c r="U230" i="1"/>
  <c r="T230" i="1"/>
  <c r="S230" i="1"/>
  <c r="R230" i="1"/>
  <c r="Q230" i="1"/>
  <c r="O230" i="1"/>
  <c r="N230" i="1"/>
  <c r="M230" i="1"/>
  <c r="C230" i="1"/>
  <c r="AB228" i="1"/>
  <c r="Y228" i="1"/>
  <c r="V228" i="1"/>
  <c r="U228" i="1"/>
  <c r="T228" i="1"/>
  <c r="S228" i="1"/>
  <c r="R228" i="1"/>
  <c r="Q228" i="1"/>
  <c r="O228" i="1"/>
  <c r="N228" i="1"/>
  <c r="M228" i="1"/>
  <c r="C228" i="1"/>
  <c r="Z227" i="1"/>
  <c r="Y227" i="1"/>
  <c r="X227" i="1"/>
  <c r="V227" i="1"/>
  <c r="U227" i="1"/>
  <c r="T227" i="1"/>
  <c r="R227" i="1"/>
  <c r="Q227" i="1"/>
  <c r="O227" i="1"/>
  <c r="N227" i="1"/>
  <c r="M227" i="1"/>
  <c r="C227" i="1"/>
  <c r="Z226" i="1"/>
  <c r="X226" i="1"/>
  <c r="U226" i="1"/>
  <c r="T226" i="1"/>
  <c r="Q226" i="1"/>
  <c r="O226" i="1"/>
  <c r="N226" i="1"/>
  <c r="C226" i="1"/>
  <c r="Z223" i="1"/>
  <c r="Y223" i="1"/>
  <c r="X223" i="1"/>
  <c r="V223" i="1"/>
  <c r="U223" i="1"/>
  <c r="T223" i="1"/>
  <c r="S223" i="1"/>
  <c r="R223" i="1"/>
  <c r="Q223" i="1"/>
  <c r="O223" i="1"/>
  <c r="N223" i="1"/>
  <c r="M223" i="1"/>
  <c r="C223" i="1"/>
  <c r="Y222" i="1"/>
  <c r="X222" i="1"/>
  <c r="V222" i="1"/>
  <c r="U222" i="1"/>
  <c r="T222" i="1"/>
  <c r="S222" i="1"/>
  <c r="R222" i="1"/>
  <c r="Q222" i="1"/>
  <c r="O222" i="1"/>
  <c r="N222" i="1"/>
  <c r="M222" i="1"/>
  <c r="C222" i="1"/>
  <c r="Z221" i="1"/>
  <c r="Y221" i="1"/>
  <c r="X221" i="1"/>
  <c r="V220" i="1"/>
  <c r="V221" i="1"/>
  <c r="U221" i="1"/>
  <c r="T221" i="1"/>
  <c r="S221" i="1"/>
  <c r="R221" i="1"/>
  <c r="Q221" i="1"/>
  <c r="O221" i="1"/>
  <c r="N221" i="1"/>
  <c r="M221" i="1"/>
  <c r="C221" i="1"/>
  <c r="U220" i="1"/>
  <c r="T220" i="1"/>
  <c r="S220" i="1"/>
  <c r="R220" i="1"/>
  <c r="Q220" i="1"/>
  <c r="O220" i="1"/>
  <c r="N220" i="1"/>
  <c r="M220" i="1"/>
  <c r="C220" i="1"/>
  <c r="X219" i="1"/>
  <c r="V219" i="1"/>
  <c r="U219" i="1"/>
  <c r="T219" i="1"/>
  <c r="R219" i="1"/>
  <c r="Q219" i="1"/>
  <c r="O219" i="1"/>
  <c r="N219" i="1"/>
  <c r="M219" i="1"/>
  <c r="C219" i="1"/>
  <c r="V218" i="1"/>
  <c r="U218" i="1"/>
  <c r="T218" i="1"/>
  <c r="R218" i="1"/>
  <c r="Q218" i="1"/>
  <c r="O218" i="1"/>
  <c r="N218" i="1"/>
  <c r="M218" i="1"/>
  <c r="L218" i="1"/>
  <c r="C218" i="1"/>
  <c r="X217" i="1"/>
  <c r="V217" i="1"/>
  <c r="U217" i="1"/>
  <c r="T217" i="1"/>
  <c r="S217" i="1"/>
  <c r="R217" i="1"/>
  <c r="Q217" i="1"/>
  <c r="O217" i="1"/>
  <c r="N217" i="1"/>
  <c r="M217" i="1"/>
  <c r="C217" i="1"/>
  <c r="Z216" i="1"/>
  <c r="Y216" i="1"/>
  <c r="X216" i="1"/>
  <c r="V216" i="1"/>
  <c r="U216" i="1"/>
  <c r="T216" i="1"/>
  <c r="Q216" i="1"/>
  <c r="O216" i="1"/>
  <c r="N216" i="1"/>
  <c r="M216" i="1"/>
  <c r="L216" i="1"/>
  <c r="E216" i="1"/>
  <c r="V215" i="1"/>
  <c r="U215" i="1"/>
  <c r="T215" i="1"/>
  <c r="R215" i="1"/>
  <c r="Q215" i="1"/>
  <c r="O215" i="1"/>
  <c r="N215" i="1"/>
  <c r="M215" i="1"/>
  <c r="C215" i="1"/>
  <c r="M214" i="1"/>
  <c r="N214" i="1"/>
  <c r="O214" i="1"/>
  <c r="Z214" i="1"/>
  <c r="Y214" i="1"/>
  <c r="U214" i="1"/>
  <c r="T214" i="1"/>
  <c r="R214" i="1"/>
  <c r="Q214" i="1"/>
  <c r="C214" i="1"/>
  <c r="V214" i="1"/>
  <c r="AB213" i="1"/>
  <c r="X213" i="1"/>
  <c r="V213" i="1"/>
  <c r="U213" i="1"/>
  <c r="T213" i="1"/>
  <c r="S213" i="1"/>
  <c r="R213" i="1"/>
  <c r="Q213" i="1"/>
  <c r="O213" i="1"/>
  <c r="N213" i="1"/>
  <c r="M213" i="1"/>
  <c r="C213" i="1"/>
  <c r="Z212" i="1"/>
  <c r="Y212" i="1"/>
  <c r="X212" i="1"/>
  <c r="V212" i="1"/>
  <c r="U212" i="1"/>
  <c r="T212" i="1"/>
  <c r="S212" i="1"/>
  <c r="R212" i="1"/>
  <c r="Q212" i="1"/>
  <c r="O212" i="1"/>
  <c r="N212" i="1"/>
  <c r="M212" i="1"/>
  <c r="C212" i="1"/>
  <c r="Z211" i="1"/>
  <c r="V211" i="1"/>
  <c r="U211" i="1"/>
  <c r="T211" i="1"/>
  <c r="S211" i="1"/>
  <c r="R211" i="1"/>
  <c r="Q211" i="1"/>
  <c r="O211" i="1"/>
  <c r="M211" i="1"/>
  <c r="C211" i="1"/>
  <c r="V210" i="1"/>
  <c r="U210" i="1"/>
  <c r="T210" i="1"/>
  <c r="R210" i="1"/>
  <c r="Q210" i="1"/>
  <c r="O210" i="1"/>
  <c r="N210" i="1"/>
  <c r="M210" i="1"/>
  <c r="C210" i="1"/>
  <c r="Z209" i="1"/>
  <c r="Y209" i="1"/>
  <c r="V209" i="1"/>
  <c r="U209" i="1"/>
  <c r="T209" i="1"/>
  <c r="S209" i="1"/>
  <c r="R209" i="1"/>
  <c r="N209" i="1"/>
  <c r="M209" i="1"/>
  <c r="C209" i="1"/>
  <c r="Z208" i="1"/>
  <c r="Y208" i="1"/>
  <c r="V208" i="1"/>
  <c r="U208" i="1"/>
  <c r="T208" i="1"/>
  <c r="S208" i="1"/>
  <c r="R208" i="1"/>
  <c r="Q208" i="1"/>
  <c r="O208" i="1"/>
  <c r="N208" i="1"/>
  <c r="M208" i="1"/>
  <c r="C208" i="1"/>
  <c r="Z207" i="1"/>
  <c r="Y207" i="1"/>
  <c r="V207" i="1"/>
  <c r="U207" i="1"/>
  <c r="T207" i="1"/>
  <c r="S207" i="1"/>
  <c r="R207" i="1"/>
  <c r="Q207" i="1"/>
  <c r="O207" i="1"/>
  <c r="N207" i="1"/>
  <c r="M207" i="1"/>
  <c r="D207" i="1"/>
  <c r="C207" i="1"/>
  <c r="Z206" i="1"/>
  <c r="Y206" i="1"/>
  <c r="V206" i="1"/>
  <c r="U206" i="1"/>
  <c r="T206" i="1"/>
  <c r="R206" i="1"/>
  <c r="Q206" i="1"/>
  <c r="O206" i="1"/>
  <c r="N206" i="1"/>
  <c r="M206" i="1"/>
  <c r="C206" i="1"/>
  <c r="Z205" i="1"/>
  <c r="Y205" i="1"/>
  <c r="V205" i="1"/>
  <c r="U205" i="1"/>
  <c r="T205" i="1"/>
  <c r="S205" i="1"/>
  <c r="R205" i="1"/>
  <c r="Q205" i="1"/>
  <c r="O205" i="1"/>
  <c r="N205" i="1"/>
  <c r="M205" i="1"/>
  <c r="C205" i="1"/>
  <c r="Z204" i="1"/>
  <c r="Y204" i="1"/>
  <c r="X204" i="1"/>
  <c r="V204" i="1"/>
  <c r="U204" i="1"/>
  <c r="T204" i="1"/>
  <c r="S204" i="1"/>
  <c r="R204" i="1"/>
  <c r="Q204" i="1"/>
  <c r="O204" i="1"/>
  <c r="N204" i="1"/>
  <c r="M204" i="1"/>
  <c r="C204" i="1"/>
  <c r="Y203" i="1"/>
  <c r="X203" i="1"/>
  <c r="V203" i="1"/>
  <c r="U203" i="1"/>
  <c r="T203" i="1"/>
  <c r="S203" i="1"/>
  <c r="R203" i="1"/>
  <c r="Q203" i="1"/>
  <c r="O203" i="1"/>
  <c r="N203" i="1"/>
  <c r="M203" i="1"/>
  <c r="C203" i="1"/>
  <c r="Y202" i="1"/>
  <c r="X202" i="1"/>
  <c r="V202" i="1"/>
  <c r="U202" i="1"/>
  <c r="T202" i="1"/>
  <c r="S202" i="1"/>
  <c r="R202" i="1"/>
  <c r="Q202" i="1"/>
  <c r="O202" i="1"/>
  <c r="N202" i="1"/>
  <c r="M202" i="1"/>
  <c r="C202" i="1"/>
  <c r="Z201" i="1"/>
  <c r="Y201" i="1"/>
  <c r="X201" i="1"/>
  <c r="V201" i="1"/>
  <c r="U201" i="1"/>
  <c r="T201" i="1"/>
  <c r="S201" i="1"/>
  <c r="R201" i="1"/>
  <c r="Q201" i="1"/>
  <c r="O201" i="1"/>
  <c r="M201" i="1"/>
  <c r="C201" i="1"/>
  <c r="Z200" i="1"/>
  <c r="U200" i="1"/>
  <c r="T200" i="1"/>
  <c r="R200" i="1"/>
  <c r="Q200" i="1"/>
  <c r="O200" i="1"/>
  <c r="N200" i="1"/>
  <c r="M200" i="1"/>
  <c r="C200" i="1"/>
  <c r="X199" i="1"/>
  <c r="U199" i="1"/>
  <c r="T199" i="1"/>
  <c r="S199" i="1"/>
  <c r="R199" i="1"/>
  <c r="Q199" i="1"/>
  <c r="O199" i="1"/>
  <c r="N199" i="1"/>
  <c r="M199" i="1"/>
  <c r="C199" i="1"/>
  <c r="Y198" i="1"/>
  <c r="X198" i="1"/>
  <c r="V198" i="1"/>
  <c r="U198" i="1"/>
  <c r="T198" i="1"/>
  <c r="S198" i="1"/>
  <c r="Q198" i="1"/>
  <c r="O198" i="1"/>
  <c r="N198" i="1"/>
  <c r="M198" i="1"/>
  <c r="C198" i="1"/>
  <c r="Z197" i="1"/>
  <c r="V197" i="1"/>
  <c r="U197" i="1"/>
  <c r="T197" i="1"/>
  <c r="R197" i="1"/>
  <c r="Q197" i="1"/>
  <c r="O197" i="1"/>
  <c r="N197" i="1"/>
  <c r="C197" i="1"/>
  <c r="Z196" i="1"/>
  <c r="U196" i="1"/>
  <c r="T196" i="1"/>
  <c r="Q196" i="1"/>
  <c r="O196" i="1"/>
  <c r="N196" i="1"/>
  <c r="M196" i="1"/>
  <c r="C196" i="1"/>
  <c r="Z195" i="1"/>
  <c r="Y195" i="1"/>
  <c r="X195" i="1"/>
  <c r="V195" i="1"/>
  <c r="U195" i="1"/>
  <c r="T195" i="1"/>
  <c r="S195" i="1"/>
  <c r="R195" i="1"/>
  <c r="Q195" i="1"/>
  <c r="O195" i="1"/>
  <c r="N195" i="1"/>
  <c r="M195" i="1"/>
  <c r="C195" i="1"/>
  <c r="U194" i="1"/>
  <c r="T194" i="1"/>
  <c r="Q194" i="1"/>
  <c r="O194" i="1"/>
  <c r="C194" i="1"/>
  <c r="D194" i="1"/>
  <c r="Z193" i="1"/>
  <c r="Y193" i="1"/>
  <c r="X193" i="1"/>
  <c r="V193" i="1"/>
  <c r="U193" i="1"/>
  <c r="T193" i="1"/>
  <c r="R193" i="1"/>
  <c r="Q193" i="1"/>
  <c r="O193" i="1"/>
  <c r="M193" i="1"/>
  <c r="C193" i="1"/>
  <c r="D193" i="1"/>
  <c r="Z192" i="1"/>
  <c r="U192" i="1"/>
  <c r="T192" i="1"/>
  <c r="Q192" i="1"/>
  <c r="O192" i="1"/>
  <c r="N192" i="1"/>
  <c r="M192" i="1"/>
  <c r="C192" i="1"/>
  <c r="Z191" i="1"/>
  <c r="Y191" i="1"/>
  <c r="X191" i="1"/>
  <c r="V191" i="1"/>
  <c r="U191" i="1"/>
  <c r="T191" i="1"/>
  <c r="S191" i="1"/>
  <c r="Q191" i="1"/>
  <c r="O191" i="1"/>
  <c r="N191" i="1"/>
  <c r="M191" i="1"/>
  <c r="C191" i="1"/>
  <c r="R191" i="1"/>
  <c r="Z190" i="1"/>
  <c r="V190" i="1"/>
  <c r="U190" i="1"/>
  <c r="T190" i="1"/>
  <c r="Q190" i="1"/>
  <c r="O190" i="1"/>
  <c r="N190" i="1"/>
  <c r="M190" i="1"/>
  <c r="C190" i="1"/>
  <c r="R190" i="1"/>
  <c r="Z189" i="1"/>
  <c r="V189" i="1"/>
  <c r="U189" i="1"/>
  <c r="T189" i="1"/>
  <c r="S189" i="1"/>
  <c r="R189" i="1"/>
  <c r="Q189" i="1"/>
  <c r="O189" i="1"/>
  <c r="N189" i="1"/>
  <c r="M189" i="1"/>
  <c r="C189" i="1"/>
  <c r="Z188" i="1"/>
  <c r="X188" i="1"/>
  <c r="U188" i="1"/>
  <c r="T188" i="1"/>
  <c r="R188" i="1"/>
  <c r="Q188" i="1"/>
  <c r="O188" i="1"/>
  <c r="C188" i="1"/>
  <c r="Y187" i="1"/>
  <c r="X187" i="1"/>
  <c r="V187" i="1"/>
  <c r="U187" i="1"/>
  <c r="T187" i="1"/>
  <c r="R187" i="1"/>
  <c r="Q187" i="1"/>
  <c r="O187" i="1"/>
  <c r="M187" i="1"/>
  <c r="C187" i="1"/>
  <c r="D187" i="1"/>
  <c r="Z186" i="1"/>
  <c r="V186" i="1"/>
  <c r="U186" i="1"/>
  <c r="T186" i="1"/>
  <c r="R186" i="1"/>
  <c r="Q186" i="1"/>
  <c r="O186" i="1"/>
  <c r="N186" i="1"/>
  <c r="M186" i="1"/>
  <c r="C186" i="1"/>
  <c r="V185" i="1"/>
  <c r="U185" i="1"/>
  <c r="T185" i="1"/>
  <c r="S185" i="1"/>
  <c r="R185" i="1"/>
  <c r="Q185" i="1"/>
  <c r="M185" i="1"/>
  <c r="C185" i="1"/>
  <c r="Z184" i="1"/>
  <c r="Y184" i="1"/>
  <c r="X184" i="1"/>
  <c r="V184" i="1"/>
  <c r="U184" i="1"/>
  <c r="T184" i="1"/>
  <c r="S184" i="1"/>
  <c r="R184" i="1"/>
  <c r="Q184" i="1"/>
  <c r="O184" i="1"/>
  <c r="N184" i="1"/>
  <c r="M184" i="1"/>
  <c r="C184" i="1"/>
  <c r="X183" i="1"/>
  <c r="V183" i="1"/>
  <c r="U183" i="1"/>
  <c r="Q183" i="1"/>
  <c r="P183" i="1"/>
  <c r="N183" i="1"/>
  <c r="M183" i="1"/>
  <c r="C183" i="1"/>
  <c r="M182" i="1"/>
  <c r="C182" i="1"/>
  <c r="Z181" i="1"/>
  <c r="U181" i="1"/>
  <c r="T181" i="1"/>
  <c r="Q181" i="1"/>
  <c r="O181" i="1"/>
  <c r="M181" i="1"/>
  <c r="C181" i="1"/>
  <c r="Z180" i="1"/>
  <c r="U180" i="1"/>
  <c r="T180" i="1"/>
  <c r="R180" i="1"/>
  <c r="Q180" i="1"/>
  <c r="O180" i="1"/>
  <c r="M180" i="1"/>
  <c r="L180" i="1"/>
  <c r="C180" i="1"/>
  <c r="V180" i="1"/>
  <c r="V179" i="1"/>
  <c r="U179" i="1"/>
  <c r="T179" i="1"/>
  <c r="S179" i="1"/>
  <c r="R179" i="1"/>
  <c r="Q179" i="1"/>
  <c r="O179" i="1"/>
  <c r="N179" i="1"/>
  <c r="M179" i="1"/>
  <c r="C179" i="1"/>
  <c r="Z178" i="1"/>
  <c r="V178" i="1"/>
  <c r="U178" i="1"/>
  <c r="T178" i="1"/>
  <c r="R178" i="1"/>
  <c r="Q178" i="1"/>
  <c r="O178" i="1"/>
  <c r="M178" i="1"/>
  <c r="C178" i="1"/>
  <c r="X177" i="1"/>
  <c r="V177" i="1"/>
  <c r="U177" i="1"/>
  <c r="R177" i="1"/>
  <c r="Q177" i="1"/>
  <c r="O177" i="1"/>
  <c r="N177" i="1"/>
  <c r="M177" i="1"/>
  <c r="C177" i="1"/>
  <c r="V176" i="1"/>
  <c r="U176" i="1"/>
  <c r="T176" i="1"/>
  <c r="S176" i="1"/>
  <c r="R176" i="1"/>
  <c r="Q176" i="1"/>
  <c r="O176" i="1"/>
  <c r="N176" i="1"/>
  <c r="M176" i="1"/>
  <c r="AB175" i="1"/>
  <c r="X175" i="1"/>
  <c r="V175" i="1"/>
  <c r="U175" i="1"/>
  <c r="T175" i="1"/>
  <c r="R175" i="1"/>
  <c r="Q175" i="1"/>
  <c r="O175" i="1"/>
  <c r="N175" i="1"/>
  <c r="M175" i="1"/>
  <c r="D175" i="1"/>
  <c r="C175" i="1"/>
  <c r="Z174" i="1"/>
  <c r="Y174" i="1"/>
  <c r="X174" i="1"/>
  <c r="V174" i="1"/>
  <c r="U174" i="1"/>
  <c r="T174" i="1"/>
  <c r="S174" i="1"/>
  <c r="R174" i="1"/>
  <c r="Q174" i="1"/>
  <c r="O174" i="1"/>
  <c r="N174" i="1"/>
  <c r="M174" i="1"/>
  <c r="C174" i="1"/>
  <c r="AB172" i="1"/>
  <c r="V172" i="1"/>
  <c r="U172" i="1"/>
  <c r="T172" i="1"/>
  <c r="S172" i="1"/>
  <c r="R172" i="1"/>
  <c r="Q172" i="1"/>
  <c r="O172" i="1"/>
  <c r="N172" i="1"/>
  <c r="M172" i="1"/>
  <c r="X171" i="1"/>
  <c r="V171" i="1"/>
  <c r="U171" i="1"/>
  <c r="T171" i="1"/>
  <c r="S171" i="1"/>
  <c r="R171" i="1"/>
  <c r="Q171" i="1"/>
  <c r="O171" i="1"/>
  <c r="N171" i="1"/>
  <c r="M171" i="1"/>
  <c r="C171" i="1"/>
  <c r="Z170" i="1"/>
  <c r="V170" i="1"/>
  <c r="T170" i="1"/>
  <c r="S170" i="1"/>
  <c r="R170" i="1"/>
  <c r="Q170" i="1"/>
  <c r="O170" i="1"/>
  <c r="N170" i="1"/>
  <c r="M170" i="1"/>
  <c r="C170" i="1"/>
  <c r="Y169" i="1"/>
  <c r="U169" i="1"/>
  <c r="T169" i="1"/>
  <c r="S169" i="1"/>
  <c r="R169" i="1"/>
  <c r="Q169" i="1"/>
  <c r="O169" i="1"/>
  <c r="N169" i="1"/>
  <c r="M169" i="1"/>
  <c r="C169" i="1"/>
  <c r="V169" i="1"/>
  <c r="Y168" i="1"/>
  <c r="V168" i="1"/>
  <c r="U168" i="1"/>
  <c r="T168" i="1"/>
  <c r="S168" i="1"/>
  <c r="R168" i="1"/>
  <c r="Q168" i="1"/>
  <c r="O168" i="1"/>
  <c r="N168" i="1"/>
  <c r="M168" i="1"/>
  <c r="C168" i="1"/>
  <c r="V167" i="1"/>
  <c r="U167" i="1"/>
  <c r="T167" i="1"/>
  <c r="S167" i="1"/>
  <c r="R167" i="1"/>
  <c r="Q167" i="1"/>
  <c r="O167" i="1"/>
  <c r="N167" i="1"/>
  <c r="M167" i="1"/>
  <c r="C167" i="1"/>
  <c r="D167" i="1"/>
  <c r="Z166" i="1"/>
  <c r="X166" i="1"/>
  <c r="V166" i="1"/>
  <c r="U166" i="1"/>
  <c r="T166" i="1"/>
  <c r="S166" i="1"/>
  <c r="R166" i="1"/>
  <c r="O166" i="1"/>
  <c r="M166" i="1"/>
  <c r="C166" i="1"/>
  <c r="Z164" i="1"/>
  <c r="Y164" i="1"/>
  <c r="V164" i="1"/>
  <c r="U164" i="1"/>
  <c r="T164" i="1"/>
  <c r="R164" i="1"/>
  <c r="Q164" i="1"/>
  <c r="O164" i="1"/>
  <c r="N164" i="1"/>
  <c r="M164" i="1"/>
  <c r="L164" i="1"/>
  <c r="C164" i="1"/>
  <c r="Z163" i="1"/>
  <c r="Y163" i="1"/>
  <c r="X163" i="1"/>
  <c r="V163" i="1"/>
  <c r="U163" i="1"/>
  <c r="T163" i="1"/>
  <c r="S163" i="1"/>
  <c r="R163" i="1"/>
  <c r="Q163" i="1"/>
  <c r="O163" i="1"/>
  <c r="N163" i="1"/>
  <c r="M163" i="1"/>
  <c r="C163" i="1"/>
  <c r="Z162" i="1"/>
  <c r="V162" i="1"/>
  <c r="U162" i="1"/>
  <c r="T162" i="1"/>
  <c r="R162" i="1"/>
  <c r="Q162" i="1"/>
  <c r="O162" i="1"/>
  <c r="N162" i="1"/>
  <c r="M162" i="1"/>
  <c r="C162" i="1"/>
  <c r="Z161" i="1"/>
  <c r="Y161" i="1"/>
  <c r="V161" i="1"/>
  <c r="U161" i="1"/>
  <c r="T161" i="1"/>
  <c r="R161" i="1"/>
  <c r="Q161" i="1"/>
  <c r="O161" i="1"/>
  <c r="N161" i="1"/>
  <c r="M161" i="1"/>
  <c r="C161" i="1"/>
  <c r="Z160" i="1"/>
  <c r="V160" i="1"/>
  <c r="U160" i="1"/>
  <c r="T160" i="1"/>
  <c r="R160" i="1"/>
  <c r="Q160" i="1"/>
  <c r="P160" i="1"/>
  <c r="O160" i="1"/>
  <c r="N160" i="1"/>
  <c r="M160" i="1"/>
  <c r="C160" i="1"/>
  <c r="Z158" i="1"/>
  <c r="Y158" i="1"/>
  <c r="X158" i="1"/>
  <c r="V158" i="1"/>
  <c r="U158" i="1"/>
  <c r="T158" i="1"/>
  <c r="R158" i="1"/>
  <c r="Q158" i="1"/>
  <c r="O158" i="1"/>
  <c r="M158" i="1"/>
  <c r="C158" i="1"/>
  <c r="X157" i="1"/>
  <c r="V157" i="1"/>
  <c r="U157" i="1"/>
  <c r="T157" i="1"/>
  <c r="S157" i="1"/>
  <c r="R157" i="1"/>
  <c r="Q157" i="1"/>
  <c r="O157" i="1"/>
  <c r="N157" i="1"/>
  <c r="M157" i="1"/>
  <c r="D157" i="1"/>
  <c r="C157" i="1"/>
  <c r="Z156" i="1"/>
  <c r="Y156" i="1"/>
  <c r="V156" i="1"/>
  <c r="U156" i="1"/>
  <c r="T156" i="1"/>
  <c r="S156" i="1"/>
  <c r="R156" i="1"/>
  <c r="Q156" i="1"/>
  <c r="P156" i="1"/>
  <c r="O156" i="1"/>
  <c r="N156" i="1"/>
  <c r="M156" i="1"/>
  <c r="D156" i="1"/>
  <c r="C156" i="1"/>
  <c r="Z155" i="1"/>
  <c r="X155" i="1"/>
  <c r="V155" i="1"/>
  <c r="U155" i="1"/>
  <c r="T155" i="1"/>
  <c r="R155" i="1"/>
  <c r="Q155" i="1"/>
  <c r="O155" i="1"/>
  <c r="N155" i="1"/>
  <c r="M155" i="1"/>
  <c r="Y153" i="1"/>
  <c r="V153" i="1"/>
  <c r="U153" i="1"/>
  <c r="T153" i="1"/>
  <c r="S153" i="1"/>
  <c r="R153" i="1"/>
  <c r="Q153" i="1"/>
  <c r="O153" i="1"/>
  <c r="N153" i="1"/>
  <c r="C153" i="1"/>
  <c r="Y152" i="1"/>
  <c r="V152" i="1"/>
  <c r="U152" i="1"/>
  <c r="T152" i="1"/>
  <c r="R152" i="1"/>
  <c r="Q152" i="1"/>
  <c r="O152" i="1"/>
  <c r="N152" i="1"/>
  <c r="M152" i="1"/>
  <c r="L152" i="1"/>
  <c r="C152" i="1"/>
  <c r="Z150" i="1"/>
  <c r="Y150" i="1"/>
  <c r="M150" i="1"/>
  <c r="C150" i="1"/>
  <c r="Y149" i="1"/>
  <c r="X149" i="1"/>
  <c r="V149" i="1"/>
  <c r="U149" i="1"/>
  <c r="T149" i="1"/>
  <c r="R149" i="1"/>
  <c r="Q149" i="1"/>
  <c r="O149" i="1"/>
  <c r="N149" i="1"/>
  <c r="M149" i="1"/>
  <c r="C149" i="1"/>
  <c r="Y148" i="1"/>
  <c r="V148" i="1"/>
  <c r="U148" i="1"/>
  <c r="T148" i="1"/>
  <c r="R148" i="1"/>
  <c r="Q148" i="1"/>
  <c r="O148" i="1"/>
  <c r="N148" i="1"/>
  <c r="M148" i="1"/>
  <c r="L148" i="1"/>
  <c r="C148" i="1"/>
  <c r="Z173" i="1"/>
  <c r="Y173" i="1"/>
  <c r="X173" i="1"/>
  <c r="V173" i="1"/>
  <c r="U173" i="1"/>
  <c r="T173" i="1"/>
  <c r="S173" i="1"/>
  <c r="R173" i="1"/>
  <c r="Q173" i="1"/>
  <c r="O173" i="1"/>
  <c r="N173" i="1"/>
  <c r="M173" i="1"/>
  <c r="E173" i="1"/>
  <c r="C173" i="1"/>
  <c r="Y146" i="1"/>
  <c r="V146" i="1"/>
  <c r="U146" i="1"/>
  <c r="T146" i="1"/>
  <c r="Q146" i="1"/>
  <c r="P146" i="1"/>
  <c r="O146" i="1"/>
  <c r="N146" i="1"/>
  <c r="M146" i="1"/>
  <c r="C146" i="1"/>
  <c r="Z143" i="1"/>
  <c r="Y143" i="1"/>
  <c r="X143" i="1"/>
  <c r="V143" i="1"/>
  <c r="U143" i="1"/>
  <c r="R143" i="1"/>
  <c r="Q143" i="1"/>
  <c r="O143" i="1"/>
  <c r="M143" i="1"/>
  <c r="C143" i="1"/>
  <c r="Z142" i="1"/>
  <c r="V142" i="1"/>
  <c r="U142" i="1"/>
  <c r="T142" i="1"/>
  <c r="S142" i="1"/>
  <c r="R142" i="1"/>
  <c r="Q142" i="1"/>
  <c r="O142" i="1"/>
  <c r="N142" i="1"/>
  <c r="M142" i="1"/>
  <c r="AB140" i="1"/>
  <c r="Z140" i="1"/>
  <c r="V140" i="1"/>
  <c r="U140" i="1"/>
  <c r="T140" i="1"/>
  <c r="S140" i="1"/>
  <c r="R140" i="1"/>
  <c r="Q140" i="1"/>
  <c r="O140" i="1"/>
  <c r="N140" i="1"/>
  <c r="M140" i="1"/>
  <c r="L140" i="1"/>
  <c r="C140" i="1"/>
  <c r="Z139" i="1"/>
  <c r="X139" i="1"/>
  <c r="V139" i="1"/>
  <c r="U139" i="1"/>
  <c r="T139" i="1"/>
  <c r="S139" i="1"/>
  <c r="R139" i="1"/>
  <c r="Q139" i="1"/>
  <c r="O139" i="1"/>
  <c r="N139" i="1"/>
  <c r="M139" i="1"/>
  <c r="C139" i="1"/>
  <c r="Z138" i="1"/>
  <c r="Y138" i="1"/>
  <c r="V138" i="1"/>
  <c r="U138" i="1"/>
  <c r="T138" i="1"/>
  <c r="S138" i="1"/>
  <c r="R138" i="1"/>
  <c r="Q138" i="1"/>
  <c r="O138" i="1"/>
  <c r="N138" i="1"/>
  <c r="M138" i="1"/>
  <c r="C138" i="1"/>
  <c r="Z137" i="1"/>
  <c r="Y137" i="1"/>
  <c r="V137" i="1"/>
  <c r="U137" i="1"/>
  <c r="T137" i="1"/>
  <c r="S137" i="1"/>
  <c r="R137" i="1"/>
  <c r="Q137" i="1"/>
  <c r="O137" i="1"/>
  <c r="N137" i="1"/>
  <c r="M137" i="1"/>
  <c r="C137" i="1"/>
  <c r="N136" i="1"/>
  <c r="X136" i="1"/>
  <c r="V136" i="1"/>
  <c r="U136" i="1"/>
  <c r="T136" i="1"/>
  <c r="S136" i="1"/>
  <c r="R136" i="1"/>
  <c r="Q136" i="1"/>
  <c r="O136" i="1"/>
  <c r="M136" i="1"/>
  <c r="Z135" i="1"/>
  <c r="Y135" i="1"/>
  <c r="X135" i="1"/>
  <c r="V135" i="1"/>
  <c r="U135" i="1"/>
  <c r="T135" i="1"/>
  <c r="S135" i="1"/>
  <c r="R135" i="1"/>
  <c r="Q135" i="1"/>
  <c r="O135" i="1"/>
  <c r="N135" i="1"/>
  <c r="M135" i="1"/>
  <c r="C135" i="1"/>
  <c r="Z134" i="1"/>
  <c r="Y134" i="1"/>
  <c r="V134" i="1"/>
  <c r="U134" i="1"/>
  <c r="T134" i="1"/>
  <c r="S134" i="1"/>
  <c r="R134" i="1"/>
  <c r="Q134" i="1"/>
  <c r="O134" i="1"/>
  <c r="N134" i="1"/>
  <c r="M134" i="1"/>
  <c r="C134" i="1"/>
  <c r="Z133" i="1"/>
  <c r="Y133" i="1"/>
  <c r="X133" i="1"/>
  <c r="V133" i="1"/>
  <c r="U133" i="1"/>
  <c r="T133" i="1"/>
  <c r="S133" i="1"/>
  <c r="R133" i="1"/>
  <c r="Q133" i="1"/>
  <c r="O133" i="1"/>
  <c r="N133" i="1"/>
  <c r="M133" i="1"/>
  <c r="C133" i="1"/>
  <c r="X132" i="1"/>
  <c r="V132" i="1"/>
  <c r="U132" i="1"/>
  <c r="T132" i="1"/>
  <c r="S132" i="1"/>
  <c r="R132" i="1"/>
  <c r="Q132" i="1"/>
  <c r="O132" i="1"/>
  <c r="N132" i="1"/>
  <c r="M132" i="1"/>
  <c r="T131" i="1"/>
  <c r="S131" i="1"/>
  <c r="R131" i="1"/>
  <c r="Q131" i="1"/>
  <c r="O131" i="1"/>
  <c r="N131" i="1"/>
  <c r="M131" i="1"/>
  <c r="C131" i="1"/>
  <c r="Z130" i="1"/>
  <c r="Y130" i="1"/>
  <c r="X130" i="1"/>
  <c r="V130" i="1"/>
  <c r="U130" i="1"/>
  <c r="T130" i="1"/>
  <c r="R130" i="1"/>
  <c r="Q130" i="1"/>
  <c r="O130" i="1"/>
  <c r="N130" i="1"/>
  <c r="M130" i="1"/>
  <c r="C130" i="1"/>
  <c r="D130" i="1"/>
  <c r="V129" i="1"/>
  <c r="U129" i="1"/>
  <c r="T129" i="1"/>
  <c r="R129" i="1"/>
  <c r="Q129" i="1"/>
  <c r="O129" i="1"/>
  <c r="N129" i="1"/>
  <c r="M129" i="1"/>
  <c r="C129" i="1"/>
  <c r="Z128" i="1"/>
  <c r="Y128" i="1"/>
  <c r="X128" i="1"/>
  <c r="V128" i="1"/>
  <c r="U128" i="1"/>
  <c r="T128" i="1"/>
  <c r="R128" i="1"/>
  <c r="Q128" i="1"/>
  <c r="O128" i="1"/>
  <c r="N128" i="1"/>
  <c r="M128" i="1"/>
  <c r="L128" i="1"/>
  <c r="C128" i="1"/>
  <c r="AB127" i="1"/>
  <c r="Y127" i="1"/>
  <c r="V127" i="1"/>
  <c r="U127" i="1"/>
  <c r="T127" i="1"/>
  <c r="R127" i="1"/>
  <c r="Q127" i="1"/>
  <c r="O127" i="1"/>
  <c r="N127" i="1"/>
  <c r="M127" i="1"/>
  <c r="L127" i="1"/>
  <c r="C127" i="1"/>
  <c r="Z125" i="1"/>
  <c r="X125" i="1"/>
  <c r="V125" i="1"/>
  <c r="U125" i="1"/>
  <c r="T125" i="1"/>
  <c r="S125" i="1"/>
  <c r="R125" i="1"/>
  <c r="Q125" i="1"/>
  <c r="O125" i="1"/>
  <c r="N125" i="1"/>
  <c r="M125" i="1"/>
  <c r="C125" i="1"/>
  <c r="Z124" i="1"/>
  <c r="Y124" i="1"/>
  <c r="X124" i="1"/>
  <c r="V124" i="1"/>
  <c r="U124" i="1"/>
  <c r="T124" i="1"/>
  <c r="S124" i="1"/>
  <c r="R124" i="1"/>
  <c r="Q124" i="1"/>
  <c r="O124" i="1"/>
  <c r="C124" i="1"/>
  <c r="Z123" i="1"/>
  <c r="Y123" i="1"/>
  <c r="X123" i="1"/>
  <c r="V123" i="1"/>
  <c r="U123" i="1"/>
  <c r="T123" i="1"/>
  <c r="S123" i="1"/>
  <c r="R123" i="1"/>
  <c r="Q123" i="1"/>
  <c r="O123" i="1"/>
  <c r="N123" i="1"/>
  <c r="M123" i="1"/>
  <c r="C123" i="1"/>
  <c r="Z122" i="1"/>
  <c r="Y122" i="1"/>
  <c r="X122" i="1"/>
  <c r="V122" i="1"/>
  <c r="U122" i="1"/>
  <c r="T122" i="1"/>
  <c r="S122" i="1"/>
  <c r="R122" i="1"/>
  <c r="Q122" i="1"/>
  <c r="O122" i="1"/>
  <c r="N122" i="1"/>
  <c r="M122" i="1"/>
  <c r="D122" i="1"/>
  <c r="C122" i="1"/>
  <c r="T114" i="1"/>
  <c r="S114" i="1"/>
  <c r="R114" i="1"/>
  <c r="Q114" i="1"/>
  <c r="O114" i="1"/>
  <c r="N114" i="1"/>
  <c r="M114" i="1"/>
  <c r="Z121" i="1"/>
  <c r="X121" i="1"/>
  <c r="V121" i="1"/>
  <c r="T121" i="1"/>
  <c r="S121" i="1"/>
  <c r="R121" i="1"/>
  <c r="Q121" i="1"/>
  <c r="O121" i="1"/>
  <c r="N121" i="1"/>
  <c r="M121" i="1"/>
  <c r="X112" i="1"/>
  <c r="V112" i="1"/>
  <c r="U112" i="1"/>
  <c r="T112" i="1"/>
  <c r="S112" i="1"/>
  <c r="R112" i="1"/>
  <c r="Q112" i="1"/>
  <c r="O112" i="1"/>
  <c r="N112" i="1"/>
  <c r="M112" i="1"/>
  <c r="C112" i="1"/>
  <c r="Z120" i="1"/>
  <c r="V120" i="1"/>
  <c r="U120" i="1"/>
  <c r="T120" i="1"/>
  <c r="S120" i="1"/>
  <c r="R120" i="1"/>
  <c r="Q120" i="1"/>
  <c r="O120" i="1"/>
  <c r="N120" i="1"/>
  <c r="M120" i="1"/>
  <c r="C120" i="1"/>
  <c r="Z119" i="1"/>
  <c r="X119" i="1"/>
  <c r="V119" i="1"/>
  <c r="U119" i="1"/>
  <c r="T119" i="1"/>
  <c r="S119" i="1"/>
  <c r="Q119" i="1"/>
  <c r="O119" i="1"/>
  <c r="N119" i="1"/>
  <c r="M119" i="1"/>
  <c r="C119" i="1"/>
  <c r="Y117" i="1"/>
  <c r="X117" i="1"/>
  <c r="V117" i="1"/>
  <c r="U117" i="1"/>
  <c r="T117" i="1"/>
  <c r="R117" i="1"/>
  <c r="Q117" i="1"/>
  <c r="O117" i="1"/>
  <c r="N117" i="1"/>
  <c r="M117" i="1"/>
  <c r="C117" i="1"/>
  <c r="Z116" i="1"/>
  <c r="X116" i="1"/>
  <c r="V116" i="1"/>
  <c r="U116" i="1"/>
  <c r="T116" i="1"/>
  <c r="R116" i="1"/>
  <c r="Q116" i="1"/>
  <c r="O116" i="1"/>
  <c r="N116" i="1"/>
  <c r="M116" i="1"/>
  <c r="C116" i="1"/>
  <c r="Z113" i="1"/>
  <c r="V113" i="1"/>
  <c r="T113" i="1"/>
  <c r="S113" i="1"/>
  <c r="R113" i="1"/>
  <c r="Q113" i="1"/>
  <c r="O113" i="1"/>
  <c r="N113" i="1"/>
  <c r="M113" i="1"/>
  <c r="Z111" i="1"/>
  <c r="Y111" i="1"/>
  <c r="X111" i="1"/>
  <c r="V111" i="1"/>
  <c r="U111" i="1"/>
  <c r="T111" i="1"/>
  <c r="S111" i="1"/>
  <c r="R111" i="1"/>
  <c r="Q111" i="1"/>
  <c r="O111" i="1"/>
  <c r="M111" i="1"/>
  <c r="C111" i="1"/>
  <c r="Z110" i="1"/>
  <c r="Y110" i="1"/>
  <c r="X110" i="1"/>
  <c r="V110" i="1"/>
  <c r="U110" i="1"/>
  <c r="T110" i="1"/>
  <c r="Q110" i="1"/>
  <c r="O110" i="1"/>
  <c r="N110" i="1"/>
  <c r="M110" i="1"/>
  <c r="D110" i="1"/>
  <c r="C110" i="1"/>
  <c r="X109" i="1"/>
  <c r="V109" i="1"/>
  <c r="T109" i="1"/>
  <c r="R109" i="1"/>
  <c r="Q109" i="1"/>
  <c r="P109" i="1"/>
  <c r="O109" i="1"/>
  <c r="N109" i="1"/>
  <c r="M109" i="1"/>
  <c r="C109" i="1"/>
  <c r="Z108" i="1"/>
  <c r="Y108" i="1"/>
  <c r="X108" i="1"/>
  <c r="U108" i="1"/>
  <c r="T108" i="1"/>
  <c r="S108" i="1"/>
  <c r="R108" i="1"/>
  <c r="Q108" i="1"/>
  <c r="O108" i="1"/>
  <c r="N108" i="1"/>
  <c r="M108" i="1"/>
  <c r="C108" i="1"/>
  <c r="Z107" i="1"/>
  <c r="Y107" i="1"/>
  <c r="V107" i="1"/>
  <c r="U107" i="1"/>
  <c r="T107" i="1"/>
  <c r="S107" i="1"/>
  <c r="Q107" i="1"/>
  <c r="O107" i="1"/>
  <c r="M107" i="1"/>
  <c r="C107" i="1"/>
  <c r="Z106" i="1"/>
  <c r="Y106" i="1"/>
  <c r="X106" i="1"/>
  <c r="V106" i="1"/>
  <c r="U106" i="1"/>
  <c r="T106" i="1"/>
  <c r="O106" i="1"/>
  <c r="M106" i="1"/>
  <c r="C106" i="1"/>
  <c r="V104" i="1"/>
  <c r="U104" i="1"/>
  <c r="T104" i="1"/>
  <c r="R104" i="1"/>
  <c r="Q104" i="1"/>
  <c r="O104" i="1"/>
  <c r="N104" i="1"/>
  <c r="M104" i="1"/>
  <c r="C104" i="1"/>
  <c r="X103" i="1"/>
  <c r="V103" i="1"/>
  <c r="T103" i="1"/>
  <c r="S103" i="1"/>
  <c r="R103" i="1"/>
  <c r="Q103" i="1"/>
  <c r="O103" i="1"/>
  <c r="N103" i="1"/>
  <c r="M103" i="1"/>
  <c r="C103" i="1"/>
  <c r="Y102" i="1"/>
  <c r="X102" i="1"/>
  <c r="U102" i="1"/>
  <c r="T102" i="1"/>
  <c r="R102" i="1"/>
  <c r="O102" i="1"/>
  <c r="N102" i="1"/>
  <c r="M102" i="1"/>
  <c r="C102" i="1"/>
  <c r="Z101" i="1"/>
  <c r="V101" i="1"/>
  <c r="U101" i="1"/>
  <c r="T101" i="1"/>
  <c r="S101" i="1"/>
  <c r="R101" i="1"/>
  <c r="Q101" i="1"/>
  <c r="O101" i="1"/>
  <c r="N101" i="1"/>
  <c r="M101" i="1"/>
  <c r="C101" i="1"/>
  <c r="Z100" i="1"/>
  <c r="X100" i="1"/>
  <c r="V100" i="1"/>
  <c r="U100" i="1"/>
  <c r="T100" i="1"/>
  <c r="S100" i="1"/>
  <c r="R100" i="1"/>
  <c r="Q100" i="1"/>
  <c r="O100" i="1"/>
  <c r="N100" i="1"/>
  <c r="M100" i="1"/>
  <c r="C100" i="1"/>
  <c r="Z99" i="1"/>
  <c r="Y99" i="1"/>
  <c r="X99" i="1"/>
  <c r="V99" i="1"/>
  <c r="U99" i="1"/>
  <c r="T99" i="1"/>
  <c r="S99" i="1"/>
  <c r="R99" i="1"/>
  <c r="Q99" i="1"/>
  <c r="O99" i="1"/>
  <c r="N99" i="1"/>
  <c r="M99" i="1"/>
  <c r="C99" i="1"/>
  <c r="Z98" i="1"/>
  <c r="X98" i="1"/>
  <c r="V98" i="1"/>
  <c r="U98" i="1"/>
  <c r="T98" i="1"/>
  <c r="S98" i="1"/>
  <c r="R98" i="1"/>
  <c r="Q98" i="1"/>
  <c r="O98" i="1"/>
  <c r="N98" i="1"/>
  <c r="M98" i="1"/>
  <c r="C98" i="1"/>
  <c r="Z97" i="1"/>
  <c r="V97" i="1"/>
  <c r="U97" i="1"/>
  <c r="T97" i="1"/>
  <c r="S97" i="1"/>
  <c r="R97" i="1"/>
  <c r="Q97" i="1"/>
  <c r="O97" i="1"/>
  <c r="N97" i="1"/>
  <c r="M97" i="1"/>
  <c r="C97" i="1"/>
  <c r="Z96" i="1"/>
  <c r="Y96" i="1"/>
  <c r="V96" i="1"/>
  <c r="U96" i="1"/>
  <c r="T96" i="1"/>
  <c r="S96" i="1"/>
  <c r="R96" i="1"/>
  <c r="Q96" i="1"/>
  <c r="O96" i="1"/>
  <c r="N96" i="1"/>
  <c r="M96" i="1"/>
  <c r="L96" i="1"/>
  <c r="C96" i="1"/>
  <c r="Z95" i="1"/>
  <c r="X95" i="1"/>
  <c r="V95" i="1"/>
  <c r="U95" i="1"/>
  <c r="R95" i="1"/>
  <c r="Q95" i="1"/>
  <c r="O95" i="1"/>
  <c r="M95" i="1"/>
  <c r="L95" i="1"/>
  <c r="C95" i="1"/>
  <c r="Z94" i="1"/>
  <c r="X94" i="1"/>
  <c r="V94" i="1"/>
  <c r="U94" i="1"/>
  <c r="T94" i="1"/>
  <c r="S94" i="1"/>
  <c r="R94" i="1"/>
  <c r="Q94" i="1"/>
  <c r="O94" i="1"/>
  <c r="N94" i="1"/>
  <c r="M94" i="1"/>
  <c r="Y92" i="1"/>
  <c r="X92" i="1"/>
  <c r="M92" i="1"/>
  <c r="C92" i="1"/>
  <c r="Z93" i="1"/>
  <c r="Y93" i="1"/>
  <c r="X93" i="1"/>
  <c r="V93" i="1"/>
  <c r="U93" i="1"/>
  <c r="T93" i="1"/>
  <c r="S93" i="1"/>
  <c r="R93" i="1"/>
  <c r="Q93" i="1"/>
  <c r="O93" i="1"/>
  <c r="N93" i="1"/>
  <c r="M93" i="1"/>
  <c r="L93" i="1"/>
  <c r="C93" i="1"/>
  <c r="Z91" i="1"/>
  <c r="X91" i="1"/>
  <c r="V91" i="1"/>
  <c r="U91" i="1"/>
  <c r="T91" i="1"/>
  <c r="S91" i="1"/>
  <c r="R91" i="1"/>
  <c r="Q91" i="1"/>
  <c r="O91" i="1"/>
  <c r="N91" i="1"/>
  <c r="M91" i="1"/>
  <c r="C91" i="1"/>
  <c r="X90" i="1"/>
  <c r="V90" i="1"/>
  <c r="U90" i="1"/>
  <c r="T90" i="1"/>
  <c r="R90" i="1"/>
  <c r="Q90" i="1"/>
  <c r="N90" i="1"/>
  <c r="M90" i="1"/>
  <c r="C90" i="1"/>
  <c r="AB89" i="1"/>
  <c r="Y89" i="1"/>
  <c r="X89" i="1"/>
  <c r="V89" i="1"/>
  <c r="U89" i="1"/>
  <c r="T89" i="1"/>
  <c r="R89" i="1"/>
  <c r="Q89" i="1"/>
  <c r="O89" i="1"/>
  <c r="N89" i="1"/>
  <c r="M89" i="1"/>
  <c r="C89" i="1"/>
  <c r="P89" i="1"/>
  <c r="X88" i="1"/>
  <c r="V88" i="1"/>
  <c r="U88" i="1"/>
  <c r="T88" i="1"/>
  <c r="S88" i="1"/>
  <c r="R88" i="1"/>
  <c r="Q88" i="1"/>
  <c r="O88" i="1"/>
  <c r="N88" i="1"/>
  <c r="M88" i="1"/>
  <c r="C88" i="1"/>
  <c r="Z86" i="1"/>
  <c r="X86" i="1"/>
  <c r="V86" i="1"/>
  <c r="U86" i="1"/>
  <c r="T86" i="1"/>
  <c r="R86" i="1"/>
  <c r="Q86" i="1"/>
  <c r="Z85" i="1"/>
  <c r="X85" i="1"/>
  <c r="V85" i="1"/>
  <c r="U85" i="1"/>
  <c r="T85" i="1"/>
  <c r="R85" i="1"/>
  <c r="Q85" i="1"/>
  <c r="P85" i="1"/>
  <c r="O85" i="1"/>
  <c r="N85" i="1"/>
  <c r="M85" i="1"/>
  <c r="C85" i="1"/>
  <c r="M84" i="1"/>
  <c r="C84" i="1"/>
  <c r="Z83" i="1"/>
  <c r="X83" i="1"/>
  <c r="V83" i="1"/>
  <c r="U83" i="1"/>
  <c r="T83" i="1"/>
  <c r="S83" i="1"/>
  <c r="R83" i="1"/>
  <c r="Q83" i="1"/>
  <c r="O83" i="1"/>
  <c r="N83" i="1"/>
  <c r="M83" i="1"/>
  <c r="C83" i="1"/>
  <c r="Z81" i="1"/>
  <c r="X81" i="1"/>
  <c r="V81" i="1"/>
  <c r="U81" i="1"/>
  <c r="T81" i="1"/>
  <c r="S81" i="1"/>
  <c r="R81" i="1"/>
  <c r="Q81" i="1"/>
  <c r="O81" i="1"/>
  <c r="N81" i="1"/>
  <c r="M81" i="1"/>
  <c r="C81" i="1"/>
  <c r="Z80" i="1"/>
  <c r="X80" i="1"/>
  <c r="V80" i="1"/>
  <c r="U80" i="1"/>
  <c r="T80" i="1"/>
  <c r="S80" i="1"/>
  <c r="R80" i="1"/>
  <c r="Q80" i="1"/>
  <c r="O80" i="1"/>
  <c r="N80" i="1"/>
  <c r="M80" i="1"/>
  <c r="C80" i="1"/>
  <c r="Z79" i="1"/>
  <c r="X79" i="1"/>
  <c r="V79" i="1"/>
  <c r="U79" i="1"/>
  <c r="T79" i="1"/>
  <c r="R79" i="1"/>
  <c r="Q79" i="1"/>
  <c r="O79" i="1"/>
  <c r="N79" i="1"/>
  <c r="M79" i="1"/>
  <c r="L79" i="1"/>
  <c r="D79" i="1"/>
  <c r="C79" i="1"/>
  <c r="X78" i="1"/>
  <c r="V78" i="1"/>
  <c r="U78" i="1"/>
  <c r="T78" i="1"/>
  <c r="S78" i="1"/>
  <c r="R78" i="1"/>
  <c r="Q78" i="1"/>
  <c r="O78" i="1"/>
  <c r="N78" i="1"/>
  <c r="M78" i="1"/>
  <c r="C78" i="1"/>
  <c r="Z77" i="1"/>
  <c r="Y77" i="1"/>
  <c r="X77" i="1"/>
  <c r="V77" i="1"/>
  <c r="U77" i="1"/>
  <c r="T77" i="1"/>
  <c r="S77" i="1"/>
  <c r="R77" i="1"/>
  <c r="Q77" i="1"/>
  <c r="O77" i="1"/>
  <c r="N77" i="1"/>
  <c r="M77" i="1"/>
  <c r="C77" i="1"/>
  <c r="Y76" i="1"/>
  <c r="X76" i="1"/>
  <c r="V76" i="1"/>
  <c r="U76" i="1"/>
  <c r="T76" i="1"/>
  <c r="R76" i="1"/>
  <c r="Q76" i="1"/>
  <c r="O76" i="1"/>
  <c r="M76" i="1"/>
  <c r="C76" i="1"/>
  <c r="Z75" i="1"/>
  <c r="X75" i="1"/>
  <c r="V75" i="1"/>
  <c r="U75" i="1"/>
  <c r="T75" i="1"/>
  <c r="S75" i="1"/>
  <c r="R75" i="1"/>
  <c r="Q75" i="1"/>
  <c r="O75" i="1"/>
  <c r="N75" i="1"/>
  <c r="M75" i="1"/>
  <c r="D75" i="1"/>
  <c r="C75" i="1"/>
  <c r="Z74" i="1"/>
  <c r="Y74" i="1"/>
  <c r="V74" i="1"/>
  <c r="U74" i="1"/>
  <c r="T74" i="1"/>
  <c r="S74" i="1"/>
  <c r="R74" i="1"/>
  <c r="Q74" i="1"/>
  <c r="O74" i="1"/>
  <c r="N74" i="1"/>
  <c r="M74" i="1"/>
  <c r="C74" i="1"/>
  <c r="Z73" i="1"/>
  <c r="Y73" i="1"/>
  <c r="X73" i="1"/>
  <c r="V73" i="1"/>
  <c r="U73" i="1"/>
  <c r="T73" i="1"/>
  <c r="S73" i="1"/>
  <c r="R73" i="1"/>
  <c r="Q73" i="1"/>
  <c r="O73" i="1"/>
  <c r="N73" i="1"/>
  <c r="M73" i="1"/>
  <c r="C73" i="1"/>
  <c r="Y72" i="1"/>
  <c r="X72" i="1"/>
  <c r="V72" i="1"/>
  <c r="U72" i="1"/>
  <c r="T72" i="1"/>
  <c r="S72" i="1"/>
  <c r="R72" i="1"/>
  <c r="Q72" i="1"/>
  <c r="P72" i="1"/>
  <c r="O72" i="1"/>
  <c r="N72" i="1"/>
  <c r="M72" i="1"/>
  <c r="C72" i="1"/>
  <c r="AB71" i="1"/>
  <c r="Z71" i="1"/>
  <c r="X71" i="1"/>
  <c r="V71" i="1"/>
  <c r="U71" i="1"/>
  <c r="T71" i="1"/>
  <c r="S71" i="1"/>
  <c r="R71" i="1"/>
  <c r="Q71" i="1"/>
  <c r="O71" i="1"/>
  <c r="N71" i="1"/>
  <c r="M71" i="1"/>
  <c r="C71" i="1"/>
  <c r="Z70" i="1"/>
  <c r="V70" i="1"/>
  <c r="T70" i="1"/>
  <c r="R70" i="1"/>
  <c r="Q70" i="1"/>
  <c r="O70" i="1"/>
  <c r="N70" i="1"/>
  <c r="M70" i="1"/>
  <c r="Z69" i="1"/>
  <c r="Y69" i="1"/>
  <c r="X69" i="1"/>
  <c r="V69" i="1"/>
  <c r="U69" i="1"/>
  <c r="T69" i="1"/>
  <c r="R69" i="1"/>
  <c r="Q69" i="1"/>
  <c r="O69" i="1"/>
  <c r="N69" i="1"/>
  <c r="M69" i="1"/>
  <c r="C69" i="1"/>
  <c r="Z68" i="1"/>
  <c r="X68" i="1"/>
  <c r="V68" i="1"/>
  <c r="U68" i="1"/>
  <c r="T68" i="1"/>
  <c r="Q68" i="1"/>
  <c r="O68" i="1"/>
  <c r="N68" i="1"/>
  <c r="M68" i="1"/>
  <c r="C68" i="1"/>
  <c r="N67" i="1"/>
  <c r="Z67" i="1"/>
  <c r="V67" i="1"/>
  <c r="U67" i="1"/>
  <c r="R67" i="1"/>
  <c r="Q67" i="1"/>
  <c r="M67" i="1"/>
  <c r="C67" i="1"/>
  <c r="Z66" i="1"/>
  <c r="V66" i="1"/>
  <c r="U66" i="1"/>
  <c r="T66" i="1"/>
  <c r="S66" i="1"/>
  <c r="R66" i="1"/>
  <c r="Q66" i="1"/>
  <c r="O66" i="1"/>
  <c r="N66" i="1"/>
  <c r="M66" i="1"/>
  <c r="C66" i="1"/>
  <c r="Z65" i="1"/>
  <c r="Y65" i="1"/>
  <c r="V65" i="1"/>
  <c r="U65" i="1"/>
  <c r="T65" i="1"/>
  <c r="R65" i="1"/>
  <c r="Q65" i="1"/>
  <c r="O65" i="1"/>
  <c r="N65" i="1"/>
  <c r="M65" i="1"/>
  <c r="C65" i="1"/>
  <c r="Z64" i="1"/>
  <c r="X64" i="1"/>
  <c r="V64" i="1"/>
  <c r="U64" i="1"/>
  <c r="T64" i="1"/>
  <c r="S64" i="1"/>
  <c r="R64" i="1"/>
  <c r="Q64" i="1"/>
  <c r="O64" i="1"/>
  <c r="N64" i="1"/>
  <c r="M64" i="1"/>
  <c r="L64" i="1"/>
  <c r="C64" i="1"/>
  <c r="Z63" i="1"/>
  <c r="V63" i="1"/>
  <c r="U63" i="1"/>
  <c r="M63" i="1"/>
  <c r="D63" i="1"/>
  <c r="C63" i="1"/>
  <c r="Z62" i="1"/>
  <c r="X62" i="1"/>
  <c r="U62" i="1"/>
  <c r="T62" i="1"/>
  <c r="R62" i="1"/>
  <c r="Q62" i="1"/>
  <c r="O62" i="1"/>
  <c r="N62" i="1"/>
  <c r="M62" i="1"/>
  <c r="C62" i="1"/>
  <c r="Z60" i="1"/>
  <c r="X60" i="1"/>
  <c r="V60" i="1"/>
  <c r="U60" i="1"/>
  <c r="T60" i="1"/>
  <c r="S60" i="1"/>
  <c r="R60" i="1"/>
  <c r="Q60" i="1"/>
  <c r="O60" i="1"/>
  <c r="M60" i="1"/>
  <c r="C60" i="1"/>
  <c r="V61" i="1"/>
  <c r="U61" i="1"/>
  <c r="T61" i="1"/>
  <c r="R61" i="1"/>
  <c r="Q61" i="1"/>
  <c r="O61" i="1"/>
  <c r="N61" i="1"/>
  <c r="M61" i="1"/>
  <c r="C61" i="1"/>
  <c r="X35" i="1"/>
  <c r="V35" i="1"/>
  <c r="U35" i="1"/>
  <c r="T35" i="1"/>
  <c r="S35" i="1"/>
  <c r="R35" i="1"/>
  <c r="Q35" i="1"/>
  <c r="O35" i="1"/>
  <c r="N35" i="1"/>
  <c r="M35" i="1"/>
  <c r="C35" i="1"/>
  <c r="X58" i="1"/>
  <c r="V58" i="1"/>
  <c r="U58" i="1"/>
  <c r="T58" i="1"/>
  <c r="S58" i="1"/>
  <c r="R58" i="1"/>
  <c r="Q58" i="1"/>
  <c r="O58" i="1"/>
  <c r="N58" i="1"/>
  <c r="M58" i="1"/>
  <c r="C58" i="1"/>
  <c r="Z54" i="1"/>
  <c r="Y54" i="1"/>
  <c r="X54" i="1"/>
  <c r="V54" i="1"/>
  <c r="T54" i="1"/>
  <c r="S54" i="1"/>
  <c r="R54" i="1"/>
  <c r="Q54" i="1"/>
  <c r="O54" i="1"/>
  <c r="N54" i="1"/>
  <c r="M54" i="1"/>
  <c r="K54" i="1"/>
  <c r="C54" i="1"/>
  <c r="Z53" i="1"/>
  <c r="Y53" i="1"/>
  <c r="X53" i="1"/>
  <c r="W53" i="1"/>
  <c r="V53" i="1"/>
  <c r="U53" i="1"/>
  <c r="T53" i="1"/>
  <c r="S53" i="1"/>
  <c r="R53" i="1"/>
  <c r="Q53" i="1"/>
  <c r="O53" i="1"/>
  <c r="N53" i="1"/>
  <c r="M53" i="1"/>
  <c r="D53" i="1"/>
  <c r="C53" i="1"/>
  <c r="Z52" i="1"/>
  <c r="V52" i="1"/>
  <c r="U52" i="1"/>
  <c r="S52" i="1"/>
  <c r="R52" i="1"/>
  <c r="Q52" i="1"/>
  <c r="O52" i="1"/>
  <c r="M52" i="1"/>
  <c r="Z51" i="1"/>
  <c r="X51" i="1"/>
  <c r="V51" i="1"/>
  <c r="U51" i="1"/>
  <c r="T51" i="1"/>
  <c r="S51" i="1"/>
  <c r="R51" i="1"/>
  <c r="Q51" i="1"/>
  <c r="O51" i="1"/>
  <c r="N51" i="1"/>
  <c r="K51" i="1"/>
  <c r="V50" i="1"/>
  <c r="S50" i="1"/>
  <c r="R50" i="1"/>
  <c r="Q50" i="1"/>
  <c r="N50" i="1"/>
  <c r="M50" i="1"/>
  <c r="D50" i="1"/>
  <c r="Z49" i="1"/>
  <c r="Y49" i="1"/>
  <c r="X49" i="1"/>
  <c r="V49" i="1"/>
  <c r="U49" i="1"/>
  <c r="T49" i="1"/>
  <c r="S49" i="1"/>
  <c r="R49" i="1"/>
  <c r="Q49" i="1"/>
  <c r="O49" i="1"/>
  <c r="N49" i="1"/>
  <c r="M49" i="1"/>
  <c r="C49" i="1"/>
  <c r="Z48" i="1"/>
  <c r="Y48" i="1"/>
  <c r="X48" i="1"/>
  <c r="V48" i="1"/>
  <c r="U48" i="1"/>
  <c r="T48" i="1"/>
  <c r="S48" i="1"/>
  <c r="O48" i="1"/>
  <c r="M48" i="1"/>
  <c r="Z46" i="1"/>
  <c r="X46" i="1"/>
  <c r="W46" i="1"/>
  <c r="V46" i="1"/>
  <c r="S46" i="1"/>
  <c r="R46" i="1"/>
  <c r="Q46" i="1"/>
  <c r="O46" i="1"/>
  <c r="N46" i="1"/>
  <c r="M46" i="1"/>
  <c r="Y45" i="1"/>
  <c r="V45" i="1"/>
  <c r="U45" i="1"/>
  <c r="T45" i="1"/>
  <c r="S45" i="1"/>
  <c r="R45" i="1"/>
  <c r="Q45" i="1"/>
  <c r="O45" i="1"/>
  <c r="N45" i="1"/>
  <c r="M45" i="1"/>
  <c r="Z41" i="1"/>
  <c r="Y41" i="1"/>
  <c r="X41" i="1"/>
  <c r="V41" i="1"/>
  <c r="U41" i="1"/>
  <c r="T41" i="1"/>
  <c r="S41" i="1"/>
  <c r="R41" i="1"/>
  <c r="Q41" i="1"/>
  <c r="N41" i="1"/>
  <c r="M41" i="1"/>
  <c r="K41" i="1"/>
  <c r="E41" i="1"/>
  <c r="C41" i="1"/>
  <c r="Y40" i="1"/>
  <c r="X40" i="1"/>
  <c r="V40" i="1"/>
  <c r="U40" i="1"/>
  <c r="T40" i="1"/>
  <c r="S40" i="1"/>
  <c r="R40" i="1"/>
  <c r="Q40" i="1"/>
  <c r="O40" i="1"/>
  <c r="N40" i="1"/>
  <c r="M40" i="1"/>
  <c r="D40" i="1"/>
  <c r="C40" i="1"/>
  <c r="Z39" i="1"/>
  <c r="Y39" i="1"/>
  <c r="X39" i="1"/>
  <c r="V39" i="1"/>
  <c r="U39" i="1"/>
  <c r="T39" i="1"/>
  <c r="S39" i="1"/>
  <c r="R39" i="1"/>
  <c r="Q39" i="1"/>
  <c r="M39" i="1"/>
  <c r="O39" i="1"/>
  <c r="N39" i="1"/>
  <c r="AA36" i="1"/>
  <c r="Z36" i="1"/>
  <c r="Y36" i="1"/>
  <c r="X36" i="1"/>
  <c r="W36" i="1"/>
  <c r="V36" i="1"/>
  <c r="U36" i="1"/>
  <c r="T36" i="1"/>
  <c r="S36" i="1"/>
  <c r="R36" i="1"/>
  <c r="Q36" i="1"/>
  <c r="O36" i="1"/>
  <c r="N36" i="1"/>
  <c r="M36" i="1"/>
  <c r="K36" i="1"/>
  <c r="C36" i="1"/>
  <c r="Z34" i="1"/>
  <c r="X34" i="1"/>
  <c r="V34" i="1"/>
  <c r="U34" i="1"/>
  <c r="T34" i="1"/>
  <c r="R34" i="1"/>
  <c r="Q34" i="1"/>
  <c r="O34" i="1"/>
  <c r="N34" i="1"/>
  <c r="M34" i="1"/>
  <c r="Z33" i="1"/>
  <c r="X33" i="1"/>
  <c r="M33" i="1"/>
  <c r="Y32" i="1"/>
  <c r="X32" i="1"/>
  <c r="M32" i="1"/>
  <c r="C32" i="1"/>
  <c r="Z27" i="1"/>
  <c r="X27" i="1"/>
  <c r="V27" i="1"/>
  <c r="U27" i="1"/>
  <c r="T27" i="1"/>
  <c r="S27" i="1"/>
  <c r="R27" i="1"/>
  <c r="Q27" i="1"/>
  <c r="O27" i="1"/>
  <c r="N27" i="1"/>
  <c r="M27" i="1"/>
  <c r="Z26" i="1"/>
  <c r="Y26" i="1"/>
  <c r="X26" i="1"/>
  <c r="V26" i="1"/>
  <c r="U26" i="1"/>
  <c r="T26" i="1"/>
  <c r="S26" i="1"/>
  <c r="R26" i="1"/>
  <c r="Q26" i="1"/>
  <c r="N26" i="1"/>
  <c r="O26" i="1"/>
  <c r="M26" i="1"/>
  <c r="E26" i="1"/>
  <c r="Z25" i="1"/>
  <c r="Y25" i="1"/>
  <c r="X25" i="1"/>
  <c r="U25" i="1"/>
  <c r="T25" i="1"/>
  <c r="S25" i="1"/>
  <c r="R25" i="1"/>
  <c r="Q25" i="1"/>
  <c r="O25" i="1"/>
  <c r="N25" i="1"/>
  <c r="Z24" i="1"/>
  <c r="Y24" i="1"/>
  <c r="X24" i="1"/>
  <c r="W24" i="1"/>
  <c r="V24" i="1"/>
  <c r="U24" i="1"/>
  <c r="T24" i="1"/>
  <c r="S24" i="1"/>
  <c r="Q24" i="1"/>
  <c r="O24" i="1"/>
  <c r="N24" i="1"/>
  <c r="M24" i="1"/>
  <c r="C24" i="1"/>
  <c r="Z22" i="1"/>
  <c r="X22" i="1"/>
  <c r="M22" i="1"/>
  <c r="C22" i="1"/>
  <c r="Z16" i="1"/>
  <c r="X16" i="1"/>
  <c r="V16" i="1"/>
  <c r="S16" i="1"/>
  <c r="R16" i="1"/>
  <c r="Q16" i="1"/>
  <c r="O16" i="1"/>
  <c r="N16" i="1"/>
  <c r="M16" i="1"/>
  <c r="Z15" i="1"/>
  <c r="Y15" i="1"/>
  <c r="X15" i="1"/>
  <c r="V15" i="1"/>
  <c r="U15" i="1"/>
  <c r="T15" i="1"/>
  <c r="S15" i="1"/>
  <c r="R15" i="1"/>
  <c r="Q15" i="1"/>
  <c r="O15" i="1"/>
  <c r="N15" i="1"/>
  <c r="M15" i="1"/>
  <c r="C15" i="1"/>
  <c r="Z14" i="1"/>
  <c r="X14" i="1"/>
  <c r="V14" i="1"/>
  <c r="U14" i="1"/>
  <c r="T14" i="1"/>
  <c r="S14" i="1"/>
  <c r="R14" i="1"/>
  <c r="Q14" i="1"/>
  <c r="O14" i="1"/>
  <c r="N14" i="1"/>
  <c r="M14" i="1"/>
  <c r="C14" i="1"/>
  <c r="Z13" i="1"/>
  <c r="Y13" i="1"/>
  <c r="X13" i="1"/>
  <c r="V13" i="1"/>
  <c r="U13" i="1"/>
  <c r="T13" i="1"/>
  <c r="S13" i="1"/>
  <c r="R13" i="1"/>
  <c r="Q13" i="1"/>
  <c r="O13" i="1"/>
  <c r="N13" i="1"/>
  <c r="M13" i="1"/>
  <c r="C13" i="1"/>
  <c r="AA12" i="1"/>
  <c r="Z12" i="1"/>
  <c r="Y12" i="1"/>
  <c r="X12" i="1"/>
  <c r="V12" i="1"/>
  <c r="U12" i="1"/>
  <c r="T12" i="1"/>
  <c r="S12" i="1"/>
  <c r="R12" i="1"/>
  <c r="Q12" i="1"/>
  <c r="O12" i="1"/>
  <c r="N12" i="1"/>
  <c r="M12" i="1"/>
  <c r="L12" i="1"/>
  <c r="C12" i="1"/>
  <c r="Z11" i="1"/>
  <c r="Y11" i="1"/>
  <c r="X11" i="1"/>
  <c r="V11" i="1"/>
  <c r="U11" i="1"/>
  <c r="T11" i="1"/>
  <c r="S11" i="1"/>
  <c r="R11" i="1"/>
  <c r="Q11" i="1"/>
  <c r="O11" i="1"/>
  <c r="N11" i="1"/>
  <c r="M11" i="1"/>
  <c r="C11" i="1"/>
  <c r="Y10" i="1"/>
  <c r="X10" i="1"/>
  <c r="V10" i="1"/>
  <c r="U10" i="1"/>
  <c r="T10" i="1"/>
  <c r="S10" i="1"/>
  <c r="R10" i="1"/>
  <c r="Q10" i="1"/>
  <c r="O10" i="1"/>
  <c r="N10" i="1"/>
  <c r="M10" i="1"/>
  <c r="C10" i="1"/>
  <c r="V7" i="1"/>
  <c r="U7" i="1"/>
  <c r="T7" i="1"/>
  <c r="S7" i="1"/>
  <c r="R7" i="1"/>
  <c r="Q7" i="1"/>
  <c r="O7" i="1"/>
  <c r="N7" i="1"/>
  <c r="M7" i="1"/>
  <c r="C7" i="1"/>
  <c r="M5" i="1"/>
  <c r="C5" i="1"/>
  <c r="Z3" i="1"/>
  <c r="X3" i="1"/>
  <c r="V3" i="1"/>
  <c r="U3" i="1"/>
  <c r="T3" i="1"/>
  <c r="S3" i="1"/>
  <c r="R3" i="1"/>
  <c r="Q3" i="1"/>
  <c r="O3" i="1"/>
  <c r="N3" i="1"/>
  <c r="M3" i="1"/>
  <c r="C8" i="1"/>
  <c r="U21" i="1"/>
  <c r="T21" i="1"/>
  <c r="S21" i="1"/>
  <c r="R21" i="1"/>
  <c r="Q21" i="1"/>
  <c r="O21" i="1"/>
  <c r="N21" i="1"/>
  <c r="M21" i="1"/>
  <c r="C21" i="1"/>
  <c r="Y9" i="1"/>
  <c r="X9" i="1"/>
  <c r="V9" i="1"/>
  <c r="U9" i="1"/>
  <c r="T9" i="1"/>
  <c r="S9" i="1"/>
  <c r="R9" i="1"/>
  <c r="Q9" i="1"/>
  <c r="O9" i="1"/>
  <c r="N9" i="1"/>
  <c r="M9" i="1"/>
  <c r="C9" i="1"/>
  <c r="Z8" i="1"/>
  <c r="V8" i="1"/>
  <c r="S8" i="1"/>
  <c r="O8" i="1"/>
  <c r="N8" i="1"/>
  <c r="M8" i="1"/>
  <c r="S4" i="1"/>
  <c r="L95" i="2"/>
  <c r="C95" i="2"/>
  <c r="AI101" i="2"/>
  <c r="AG17" i="2"/>
  <c r="AG101" i="2"/>
  <c r="AJ17" i="2"/>
  <c r="AJ101" i="2"/>
  <c r="AL17" i="2"/>
  <c r="O890" i="1"/>
  <c r="O891" i="1"/>
  <c r="Y890" i="1"/>
  <c r="Y891" i="1"/>
  <c r="AF101" i="2"/>
  <c r="AL101" i="2"/>
  <c r="W101" i="2"/>
  <c r="Z101" i="2"/>
  <c r="Z103" i="2"/>
  <c r="R101" i="2"/>
  <c r="AB101" i="2"/>
  <c r="L101" i="2"/>
  <c r="AD101" i="2"/>
  <c r="J99" i="10"/>
  <c r="J101" i="10"/>
  <c r="N99" i="10"/>
  <c r="R99" i="10"/>
  <c r="V99" i="10"/>
  <c r="Z99" i="10"/>
  <c r="Z101" i="10"/>
  <c r="AD99" i="10"/>
  <c r="AH99" i="10"/>
  <c r="AL99" i="10"/>
  <c r="D101" i="2"/>
  <c r="D103" i="2"/>
  <c r="AA101" i="2"/>
  <c r="AA103" i="2"/>
  <c r="AH101" i="2"/>
  <c r="AC101" i="2"/>
  <c r="G99" i="10"/>
  <c r="K99" i="10"/>
  <c r="K101" i="10"/>
  <c r="O99" i="10"/>
  <c r="S99" i="10"/>
  <c r="W99" i="10"/>
  <c r="AA99" i="10"/>
  <c r="AA101" i="10"/>
  <c r="AE99" i="10"/>
  <c r="AI99" i="10"/>
  <c r="AM99" i="10"/>
  <c r="J101" i="2"/>
  <c r="J103" i="2"/>
  <c r="D99" i="10"/>
  <c r="D101" i="10"/>
  <c r="H99" i="10"/>
  <c r="H101" i="10"/>
  <c r="L99" i="10"/>
  <c r="L101" i="10"/>
  <c r="P99" i="10"/>
  <c r="T99" i="10"/>
  <c r="X99" i="10"/>
  <c r="X101" i="10"/>
  <c r="AB99" i="10"/>
  <c r="AF99" i="10"/>
  <c r="AJ99" i="10"/>
  <c r="G18" i="10"/>
  <c r="Q101" i="2"/>
  <c r="AM101" i="2"/>
  <c r="G101" i="2"/>
  <c r="G103" i="2"/>
  <c r="E101" i="2"/>
  <c r="E103" i="2"/>
  <c r="D18" i="10"/>
  <c r="L18" i="10"/>
  <c r="C18" i="10"/>
  <c r="H18" i="10"/>
  <c r="E99" i="10"/>
  <c r="E101" i="10"/>
  <c r="I99" i="10"/>
  <c r="I101" i="10"/>
  <c r="M99" i="10"/>
  <c r="Q99" i="10"/>
  <c r="U99" i="10"/>
  <c r="Y99" i="10"/>
  <c r="Y101" i="10"/>
  <c r="AC99" i="10"/>
  <c r="AG99" i="10"/>
  <c r="AK99" i="10"/>
  <c r="E18" i="10"/>
  <c r="F99" i="10"/>
  <c r="O101" i="2"/>
  <c r="Y101" i="2"/>
  <c r="Y103" i="2"/>
  <c r="V101" i="2"/>
  <c r="T101" i="2"/>
  <c r="N101" i="2"/>
  <c r="K101" i="2"/>
  <c r="K103" i="2"/>
  <c r="F101" i="2"/>
  <c r="F103" i="2"/>
  <c r="H82" i="10"/>
  <c r="H65" i="2"/>
  <c r="D19" i="10"/>
  <c r="E19" i="10"/>
  <c r="D65" i="2"/>
  <c r="E65" i="2"/>
  <c r="L65" i="2"/>
  <c r="C64" i="10"/>
  <c r="G95" i="10"/>
  <c r="C18" i="2"/>
  <c r="H19" i="2"/>
  <c r="G32" i="10"/>
  <c r="L82" i="2"/>
  <c r="H51" i="10"/>
  <c r="G19" i="10"/>
  <c r="C31" i="10"/>
  <c r="D32" i="10"/>
  <c r="C81" i="10"/>
  <c r="E82" i="10"/>
  <c r="E32" i="2"/>
  <c r="F19" i="10"/>
  <c r="L95" i="10"/>
  <c r="F82" i="2"/>
  <c r="D82" i="2"/>
  <c r="G82" i="2"/>
  <c r="D96" i="2"/>
  <c r="E96" i="2"/>
  <c r="L96" i="2"/>
  <c r="F96" i="2"/>
  <c r="G96" i="2"/>
  <c r="C31" i="2"/>
  <c r="H82" i="2"/>
  <c r="H19" i="10"/>
  <c r="F65" i="2"/>
  <c r="D51" i="10"/>
  <c r="C50" i="10"/>
  <c r="G82" i="10"/>
  <c r="C94" i="10"/>
  <c r="E95" i="10"/>
  <c r="C50" i="2"/>
  <c r="D51" i="2"/>
  <c r="F101" i="10"/>
  <c r="H101" i="2"/>
  <c r="G101" i="10"/>
  <c r="L103" i="2"/>
  <c r="F50" i="2"/>
  <c r="F51" i="2"/>
  <c r="L19" i="10"/>
  <c r="E82" i="2"/>
  <c r="D19" i="2"/>
  <c r="F19" i="2"/>
  <c r="L19" i="2"/>
  <c r="E19" i="2"/>
  <c r="L51" i="10"/>
  <c r="F51" i="10"/>
  <c r="E51" i="10"/>
  <c r="E65" i="10"/>
  <c r="D65" i="10"/>
  <c r="G65" i="10"/>
  <c r="L65" i="10"/>
  <c r="D82" i="10"/>
  <c r="F65" i="10"/>
  <c r="L82" i="10"/>
  <c r="F82" i="10"/>
  <c r="F32" i="10"/>
  <c r="E32" i="10"/>
  <c r="H32" i="10"/>
  <c r="G51" i="10"/>
  <c r="H103" i="2"/>
  <c r="H65" i="10"/>
  <c r="H51" i="2"/>
  <c r="L51" i="2"/>
  <c r="C99" i="10"/>
  <c r="L32" i="10"/>
  <c r="C101" i="2"/>
  <c r="G19" i="2"/>
  <c r="G32" i="2"/>
  <c r="L32" i="2"/>
  <c r="F32" i="2"/>
  <c r="H32" i="2"/>
  <c r="D95" i="10"/>
  <c r="H95" i="10"/>
  <c r="F95" i="10"/>
  <c r="D32" i="2"/>
  <c r="G51" i="2"/>
  <c r="E51" i="2"/>
  <c r="E102" i="2"/>
  <c r="D102" i="2"/>
  <c r="G102" i="2"/>
  <c r="F102" i="2"/>
  <c r="L102" i="2"/>
  <c r="L100" i="10"/>
  <c r="D100" i="10"/>
  <c r="H100" i="10"/>
  <c r="F100" i="10"/>
  <c r="G100" i="10"/>
  <c r="E100" i="10"/>
  <c r="H1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B_ALIMENTO_ANALITO1" type="6" refreshedVersion="1" background="1" saveData="1">
    <textPr sourceFile="C:\Documents and Settings\celio.cunha.MSNET\Desktop\TB_ALIMENTO_ANALITO.TXT" decimal="," thousands="." tab="0" semicolon="1">
      <textFields count="4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TB_ALIMENTO_ANALITO11" type="6" refreshedVersion="1" background="1" saveData="1">
    <textPr sourceFile="C:\Documents and Settings\celio.cunha.MSNET\Desktop\TB_ALIMENTO_ANALITO.TXT" decimal="," thousands="." tab="0" semicolon="1">
      <textFields count="4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<sst xmlns="http://schemas.openxmlformats.org/spreadsheetml/2006/main" count="40573" uniqueCount="3278">
  <si>
    <t>Descrição do alimento</t>
  </si>
  <si>
    <t>Quantidade (g)</t>
  </si>
  <si>
    <t>Energia (kcal)</t>
  </si>
  <si>
    <t>Proteína (g)</t>
  </si>
  <si>
    <t>Lipídeos (g)</t>
  </si>
  <si>
    <t>Colesterol (mg)</t>
  </si>
  <si>
    <t>CHO (g)</t>
  </si>
  <si>
    <t>Fibras (g)</t>
  </si>
  <si>
    <t>Cálcio (mg)</t>
  </si>
  <si>
    <t>Mg (mg)</t>
  </si>
  <si>
    <t>Mn (mg)</t>
  </si>
  <si>
    <t>P (mg)</t>
  </si>
  <si>
    <t>Ferro (mg)</t>
  </si>
  <si>
    <t>Sódio (mg)</t>
  </si>
  <si>
    <t>Potássio (mg)</t>
  </si>
  <si>
    <t>Cobre (mg)</t>
  </si>
  <si>
    <t>Zinco (mg)</t>
  </si>
  <si>
    <t>Retinol (mcg)</t>
  </si>
  <si>
    <t>Tiamina (mg)</t>
  </si>
  <si>
    <t>Riboflavina (mg)</t>
  </si>
  <si>
    <t>Piridoxina (mg)</t>
  </si>
  <si>
    <t>Niacina (mg)</t>
  </si>
  <si>
    <t>Vit. C (mg)</t>
  </si>
  <si>
    <t>*</t>
  </si>
  <si>
    <t>Aveia em flocos crua</t>
  </si>
  <si>
    <t>Cereais e derivados</t>
  </si>
  <si>
    <t>*Os dados estão sendo revistos</t>
  </si>
  <si>
    <t>tr</t>
  </si>
  <si>
    <t>Pão francês</t>
  </si>
  <si>
    <t>Farinha de trigo</t>
  </si>
  <si>
    <t>Pupunha, palmito</t>
  </si>
  <si>
    <t>Frutas e derivados</t>
  </si>
  <si>
    <t>Abacaxi</t>
  </si>
  <si>
    <t>Figo</t>
  </si>
  <si>
    <t>Óleo de canola</t>
  </si>
  <si>
    <t>Óleo de soja</t>
  </si>
  <si>
    <t>Pescados e frutos do mar</t>
  </si>
  <si>
    <t>Carnes e derivados</t>
  </si>
  <si>
    <t>Leite e derivados</t>
  </si>
  <si>
    <t>Ovo de galinha inteiro cru</t>
  </si>
  <si>
    <t>Glicose de milho</t>
  </si>
  <si>
    <t>Melado</t>
  </si>
  <si>
    <t>Fermento em pó químico</t>
  </si>
  <si>
    <t>Tempero a base de sal</t>
  </si>
  <si>
    <t>Miscelânea</t>
  </si>
  <si>
    <t>Shoyu</t>
  </si>
  <si>
    <t>Alimentos Preparados</t>
  </si>
  <si>
    <t>Acarajé</t>
  </si>
  <si>
    <t>Dobradinha</t>
  </si>
  <si>
    <t>Saturada (g)</t>
  </si>
  <si>
    <t>Monoinsat (g)</t>
  </si>
  <si>
    <t>Polinsat (g)</t>
  </si>
  <si>
    <t>ômega 6</t>
  </si>
  <si>
    <t>ômega 3</t>
  </si>
  <si>
    <t>Refeição/ Alimento</t>
  </si>
  <si>
    <t>DESJEJUM</t>
  </si>
  <si>
    <t>ALMOÇO</t>
  </si>
  <si>
    <t>COLAÇÃO</t>
  </si>
  <si>
    <t>LANCHE DA TARDE</t>
  </si>
  <si>
    <t>JANTAR</t>
  </si>
  <si>
    <t>CEIA</t>
  </si>
  <si>
    <t>TOTAL</t>
  </si>
  <si>
    <t>kcal</t>
  </si>
  <si>
    <t>% de macronutrientes</t>
  </si>
  <si>
    <t>TOTAL DO DIA</t>
  </si>
  <si>
    <t>% de kcal</t>
  </si>
  <si>
    <t>RDA</t>
  </si>
  <si>
    <t>% de adequação</t>
  </si>
  <si>
    <t>Gestantes 19-30 anos</t>
  </si>
  <si>
    <t>Gestantes 31-50 anos</t>
  </si>
  <si>
    <t>Nutrizes 19-30 anos</t>
  </si>
  <si>
    <t>Nutrizes 31-50 anos</t>
  </si>
  <si>
    <t>Crianças 0-6 meses</t>
  </si>
  <si>
    <t>Crianças 7-12 meses</t>
  </si>
  <si>
    <t>Crianças 1-3 anos</t>
  </si>
  <si>
    <t>Crianças 4-8 anos</t>
  </si>
  <si>
    <t>Meninos 9-13 anos</t>
  </si>
  <si>
    <t>Meninos 14-18 anos</t>
  </si>
  <si>
    <t>Meninas 9-13 anos</t>
  </si>
  <si>
    <t>Meninas 14-18 anos</t>
  </si>
  <si>
    <t>ND</t>
  </si>
  <si>
    <t>650 (108kcal/kg)</t>
  </si>
  <si>
    <t>850 (98kcal/kg)</t>
  </si>
  <si>
    <t>1300 (102kcal/kg)</t>
  </si>
  <si>
    <t>1800 (90kcal/kg)</t>
  </si>
  <si>
    <t>2500 (55kcal/kg)</t>
  </si>
  <si>
    <t>3000 (45kcal/kg)</t>
  </si>
  <si>
    <t>2200 (47kcal/kg)</t>
  </si>
  <si>
    <t>2200 (40kcal/kg)</t>
  </si>
  <si>
    <t>GET</t>
  </si>
  <si>
    <t>GET + 300</t>
  </si>
  <si>
    <t>GET + 500</t>
  </si>
  <si>
    <t>Mulheres 19-30 anos</t>
  </si>
  <si>
    <t>Mulheres 31-50 anos</t>
  </si>
  <si>
    <t>Mulheres 51-70 anos</t>
  </si>
  <si>
    <t>Mulheres &gt;70 anos</t>
  </si>
  <si>
    <t>Homens 19-30 anos</t>
  </si>
  <si>
    <t>Homens 31-50 anos</t>
  </si>
  <si>
    <t>Homens 51-70 anos</t>
  </si>
  <si>
    <t>Hmens &gt;70anos</t>
  </si>
  <si>
    <t>Sal refinado</t>
  </si>
  <si>
    <t>Colorau</t>
  </si>
  <si>
    <t>abacate</t>
  </si>
  <si>
    <t>abacaxi</t>
  </si>
  <si>
    <t>abóbora crua</t>
  </si>
  <si>
    <t>abóbora cozida</t>
  </si>
  <si>
    <t>abobrinha cozida</t>
  </si>
  <si>
    <t>abobrinha crua</t>
  </si>
  <si>
    <t>acelga crua</t>
  </si>
  <si>
    <t>achocolatado gold vepê diet</t>
  </si>
  <si>
    <t>achocolatado new choco lowçucar diet</t>
  </si>
  <si>
    <t>açucar refinado/cristal</t>
  </si>
  <si>
    <t>açúcar mascavo</t>
  </si>
  <si>
    <t>adoçante granular Good Light</t>
  </si>
  <si>
    <t>adoçante granular Splenda</t>
  </si>
  <si>
    <t>adoçante granular Tal e Qual</t>
  </si>
  <si>
    <t>adoçante líquido</t>
  </si>
  <si>
    <t>agrião cru</t>
  </si>
  <si>
    <t>água de côco</t>
  </si>
  <si>
    <t>aipo</t>
  </si>
  <si>
    <t>alcaparras</t>
  </si>
  <si>
    <t>alecrim seco</t>
  </si>
  <si>
    <t>alface lisa</t>
  </si>
  <si>
    <t>almôndegas c/ molho</t>
  </si>
  <si>
    <t>amendoim cru sem pele</t>
  </si>
  <si>
    <t>amido de milho maisena</t>
  </si>
  <si>
    <t>angu ou polenta</t>
  </si>
  <si>
    <t>alho cru</t>
  </si>
  <si>
    <t>alho poró</t>
  </si>
  <si>
    <t>apresuntado Sadia</t>
  </si>
  <si>
    <t>arroz cozido</t>
  </si>
  <si>
    <t>arroz cru</t>
  </si>
  <si>
    <t>arroz integral</t>
  </si>
  <si>
    <t>atum cru</t>
  </si>
  <si>
    <t>atum light</t>
  </si>
  <si>
    <t>aveia farinha</t>
  </si>
  <si>
    <t>azeite de dendê</t>
  </si>
  <si>
    <t>azeite de oliva</t>
  </si>
  <si>
    <t>azeitona preta</t>
  </si>
  <si>
    <t>azeitona verde</t>
  </si>
  <si>
    <t>bacon</t>
  </si>
  <si>
    <t>banana prata*</t>
  </si>
  <si>
    <t>banana</t>
  </si>
  <si>
    <t>bananada</t>
  </si>
  <si>
    <t>batata corada</t>
  </si>
  <si>
    <t>batata cozida</t>
  </si>
  <si>
    <t>batata crua</t>
  </si>
  <si>
    <t>batata doce cozida</t>
  </si>
  <si>
    <t>batata palha</t>
  </si>
  <si>
    <t xml:space="preserve"> -</t>
  </si>
  <si>
    <t>batata sauté</t>
  </si>
  <si>
    <t>beiju (tapioca) c/ coco e queijo</t>
  </si>
  <si>
    <t>berinjela crua</t>
  </si>
  <si>
    <t>beterraba crua</t>
  </si>
  <si>
    <t>beterraba cozida</t>
  </si>
  <si>
    <t>bife a milanesa</t>
  </si>
  <si>
    <t>bife de carne contra filé</t>
  </si>
  <si>
    <t>bife grelhado de contra file</t>
  </si>
  <si>
    <t>biscoito água e sal</t>
  </si>
  <si>
    <t>biscoito integral monjolo</t>
  </si>
  <si>
    <t>biscoito de maisena</t>
  </si>
  <si>
    <t>biscoito de povilho (peta)</t>
  </si>
  <si>
    <t>biscoito recheado chocolate</t>
  </si>
  <si>
    <t>bolo de chocolate</t>
  </si>
  <si>
    <t>bolo de mandioca</t>
  </si>
  <si>
    <t>bolo simples</t>
  </si>
  <si>
    <t>brócolis cozido</t>
  </si>
  <si>
    <t>brócolis cru</t>
  </si>
  <si>
    <t>broto de feijão cru</t>
  </si>
  <si>
    <t>cachorro quente completo 1 salsicha</t>
  </si>
  <si>
    <t>café com açúcar</t>
  </si>
  <si>
    <t>café sem açúcar</t>
  </si>
  <si>
    <t>café com leite com açúcar</t>
  </si>
  <si>
    <t>café com leite s/ açúcar</t>
  </si>
  <si>
    <t>calabresa*</t>
  </si>
  <si>
    <t>caldo de carne</t>
  </si>
  <si>
    <t>caldo de galinha</t>
  </si>
  <si>
    <t>caldo de legumes</t>
  </si>
  <si>
    <t>caldo de feijão</t>
  </si>
  <si>
    <t>camarão cru</t>
  </si>
  <si>
    <t>canela em pó</t>
  </si>
  <si>
    <t>canja de galinha</t>
  </si>
  <si>
    <t>carne de boi magra crua</t>
  </si>
  <si>
    <t>carne de boi magra refogada</t>
  </si>
  <si>
    <t>carne moída refogada</t>
  </si>
  <si>
    <t>carne moída crua</t>
  </si>
  <si>
    <t>carnes em geral</t>
  </si>
  <si>
    <t>carne seca (charque)</t>
  </si>
  <si>
    <t>castanha de caju</t>
  </si>
  <si>
    <t>castanha do Pará</t>
  </si>
  <si>
    <t>cathchup</t>
  </si>
  <si>
    <t>cebola</t>
  </si>
  <si>
    <t>cenoura crua</t>
  </si>
  <si>
    <t>cenoura cozida</t>
  </si>
  <si>
    <t>cenoura refogada c/cebola</t>
  </si>
  <si>
    <t>cereja fresca</t>
  </si>
  <si>
    <t>cereja em calda</t>
  </si>
  <si>
    <t>chá de morango</t>
  </si>
  <si>
    <t>chá mate c/ açúcar infusão</t>
  </si>
  <si>
    <t>champignon conserva</t>
  </si>
  <si>
    <t>cheetos</t>
  </si>
  <si>
    <t>chester</t>
  </si>
  <si>
    <t>chicória*</t>
  </si>
  <si>
    <t>chocolate em pó</t>
  </si>
  <si>
    <t>chuchu cozido</t>
  </si>
  <si>
    <t>chuchu cru</t>
  </si>
  <si>
    <t>clara de ovo</t>
  </si>
  <si>
    <t>coca cola</t>
  </si>
  <si>
    <t>coco seco ralado</t>
  </si>
  <si>
    <t>colorau</t>
  </si>
  <si>
    <t>costela com osso (crua)</t>
  </si>
  <si>
    <t>costelinha de porco assada</t>
  </si>
  <si>
    <t>couve crua</t>
  </si>
  <si>
    <t>couve refogada</t>
  </si>
  <si>
    <t>couve-flor cozida</t>
  </si>
  <si>
    <t>couve flor crua</t>
  </si>
  <si>
    <t>coxa de frango inteira crua</t>
  </si>
  <si>
    <t>coxa de frango sem pele crua</t>
  </si>
  <si>
    <t>coxa de frango sem pele cozida</t>
  </si>
  <si>
    <t>coxinha de frango</t>
  </si>
  <si>
    <t>coxão duro cru</t>
  </si>
  <si>
    <t>coxão mole</t>
  </si>
  <si>
    <t>cream cheese</t>
  </si>
  <si>
    <t>cream cheese light</t>
  </si>
  <si>
    <t>creme de arroz</t>
  </si>
  <si>
    <t>creme de champignon</t>
  </si>
  <si>
    <t>creme de leite</t>
  </si>
  <si>
    <t>creme de leite light Parmalat</t>
  </si>
  <si>
    <t>cremogema</t>
  </si>
  <si>
    <t>cúrcuma</t>
  </si>
  <si>
    <t>curry</t>
  </si>
  <si>
    <t>cuscuz de tapioca *</t>
  </si>
  <si>
    <t>doce de leite cremoso</t>
  </si>
  <si>
    <t>ervilha em conserva</t>
  </si>
  <si>
    <t>ervilha fresca</t>
  </si>
  <si>
    <t>ervilha seca</t>
  </si>
  <si>
    <t>espaguete sêmola vitaminado</t>
  </si>
  <si>
    <t>espinafre cozido</t>
  </si>
  <si>
    <t>espinafre cru</t>
  </si>
  <si>
    <t>extrato de tomate cica</t>
  </si>
  <si>
    <t>farelo de trigo</t>
  </si>
  <si>
    <t>farinha de mandioca crua</t>
  </si>
  <si>
    <t>farofa de farinha de mandioca</t>
  </si>
  <si>
    <t>farinha de trigo comum</t>
  </si>
  <si>
    <t>farinha de trigo integral</t>
  </si>
  <si>
    <t>farinha de milho</t>
  </si>
  <si>
    <t>farinha de rosca</t>
  </si>
  <si>
    <t>farinha de soja</t>
  </si>
  <si>
    <t>fécula de batata</t>
  </si>
  <si>
    <t>Feijão cozido</t>
  </si>
  <si>
    <t>feijão cru</t>
  </si>
  <si>
    <t>feijão branco cru</t>
  </si>
  <si>
    <t>fermento biológico fleishman</t>
  </si>
  <si>
    <t>fermento químico</t>
  </si>
  <si>
    <t>fígado bovino cozido</t>
  </si>
  <si>
    <t>fígado bovino cru</t>
  </si>
  <si>
    <t>frango assado</t>
  </si>
  <si>
    <t>Fruta A (Teresa e monitora dieto)</t>
  </si>
  <si>
    <t>Fruta B (Teresa e monitora dieto)</t>
  </si>
  <si>
    <t>fubá</t>
  </si>
  <si>
    <t>gelatina incolor e sem sabor</t>
  </si>
  <si>
    <t>gelatina pronta</t>
  </si>
  <si>
    <t>gelatina diet</t>
  </si>
  <si>
    <t>geléia de maracujá light</t>
  </si>
  <si>
    <t>gema de ovo</t>
  </si>
  <si>
    <t>gengibre</t>
  </si>
  <si>
    <t>gergelim</t>
  </si>
  <si>
    <t>goiabada</t>
  </si>
  <si>
    <t>goiaba</t>
  </si>
  <si>
    <t>granola (tabela de medidas caseiras)</t>
  </si>
  <si>
    <t>grão de bico cozido</t>
  </si>
  <si>
    <t>grão de bico cru</t>
  </si>
  <si>
    <t>guaraná</t>
  </si>
  <si>
    <t>hambúrguer grelhado</t>
  </si>
  <si>
    <t>hortelã</t>
  </si>
  <si>
    <t>inhame cru</t>
  </si>
  <si>
    <t>iogurte de morango</t>
  </si>
  <si>
    <t>iogurte natural desnatado</t>
  </si>
  <si>
    <t>jiló</t>
  </si>
  <si>
    <t>kani</t>
  </si>
  <si>
    <t>lagarto cru</t>
  </si>
  <si>
    <t>lagarto assado</t>
  </si>
  <si>
    <t>laranja</t>
  </si>
  <si>
    <t>leite de coco</t>
  </si>
  <si>
    <t xml:space="preserve"> - </t>
  </si>
  <si>
    <t>leite de coco light</t>
  </si>
  <si>
    <t>leite integral padrão</t>
  </si>
  <si>
    <t>leite de vaca desn.</t>
  </si>
  <si>
    <t>leite semi desnatado padrão</t>
  </si>
  <si>
    <t>leite em pó integral</t>
  </si>
  <si>
    <t>leite em pó desnatado padrão</t>
  </si>
  <si>
    <t>leite de soja padrão</t>
  </si>
  <si>
    <t>lentilha cozida</t>
  </si>
  <si>
    <t>lentilha seca</t>
  </si>
  <si>
    <t>limão (suco)</t>
  </si>
  <si>
    <t>lingüiça de frango sadia</t>
  </si>
  <si>
    <t>lingüiça calabresa sadia</t>
  </si>
  <si>
    <t>Lombo cru</t>
  </si>
  <si>
    <t>lombo assado</t>
  </si>
  <si>
    <t>maçã vermelha</t>
  </si>
  <si>
    <t>macarrão ao sugo</t>
  </si>
  <si>
    <t>macarrão cozido</t>
  </si>
  <si>
    <t>macarrão cru</t>
  </si>
  <si>
    <t>maionese</t>
  </si>
  <si>
    <t>maisena</t>
  </si>
  <si>
    <t>mamão papaia</t>
  </si>
  <si>
    <t>mandioca</t>
  </si>
  <si>
    <t>mandioquinha</t>
  </si>
  <si>
    <t>manga</t>
  </si>
  <si>
    <t>manjericão seco</t>
  </si>
  <si>
    <t>manjerona seca</t>
  </si>
  <si>
    <t>manteiga sem sal</t>
  </si>
  <si>
    <t>maracujá</t>
  </si>
  <si>
    <t>margarina cremosa com sal</t>
  </si>
  <si>
    <t>margarina cremosa sem sal</t>
  </si>
  <si>
    <t>margarina light</t>
  </si>
  <si>
    <t>massa de lasanha Adria</t>
  </si>
  <si>
    <t>mel</t>
  </si>
  <si>
    <t>melão</t>
  </si>
  <si>
    <t>melancia</t>
  </si>
  <si>
    <t>merluza crua</t>
  </si>
  <si>
    <t>merluza cozida</t>
  </si>
  <si>
    <t>mexerica</t>
  </si>
  <si>
    <t>milho para canjica</t>
  </si>
  <si>
    <t>milho para pipoca yoki</t>
  </si>
  <si>
    <t>milho em conserva</t>
  </si>
  <si>
    <t>milho verde</t>
  </si>
  <si>
    <t>mingau de aveia</t>
  </si>
  <si>
    <t>misto quente</t>
  </si>
  <si>
    <t>molho de tomate</t>
  </si>
  <si>
    <t>molho de tomate cica</t>
  </si>
  <si>
    <t>molho inglês</t>
  </si>
  <si>
    <t>moho de soja</t>
  </si>
  <si>
    <t>molho madeira Uncle Bens</t>
  </si>
  <si>
    <t>morango</t>
  </si>
  <si>
    <t>mostarda molho</t>
  </si>
  <si>
    <t>mucilon de arroz</t>
  </si>
  <si>
    <t>nabo cru</t>
  </si>
  <si>
    <t>nescau</t>
  </si>
  <si>
    <t>neston aveia</t>
  </si>
  <si>
    <t>noz moscada</t>
  </si>
  <si>
    <t>nugget de frango</t>
  </si>
  <si>
    <t>nutry salada de frutas</t>
  </si>
  <si>
    <t>óleo de girassol</t>
  </si>
  <si>
    <t>oligossac</t>
  </si>
  <si>
    <t>orégano seco</t>
  </si>
  <si>
    <t>ovo de galinha cru</t>
  </si>
  <si>
    <t>Ovo de galinha inteiro coz.</t>
  </si>
  <si>
    <t>paleta</t>
  </si>
  <si>
    <t>palmito em conserva</t>
  </si>
  <si>
    <t>Pão de queijo</t>
  </si>
  <si>
    <t>Pão de forma</t>
  </si>
  <si>
    <t>pão de forma light glúten</t>
  </si>
  <si>
    <t>pão para cachorro quente pullman</t>
  </si>
  <si>
    <t>pão integral monjolo</t>
  </si>
  <si>
    <t>pão integral Nutrivida</t>
  </si>
  <si>
    <t>Patinho cru</t>
  </si>
  <si>
    <t>pé*</t>
  </si>
  <si>
    <t>peito de frango cru</t>
  </si>
  <si>
    <t>peite de frango cru sem pele</t>
  </si>
  <si>
    <t>peito de peru defumado sadia</t>
  </si>
  <si>
    <t>pepino</t>
  </si>
  <si>
    <t>pera</t>
  </si>
  <si>
    <t>pescada crua</t>
  </si>
  <si>
    <t>pescada frita</t>
  </si>
  <si>
    <t>pimenta do reino em pó</t>
  </si>
  <si>
    <t>pimentão vermelho cru</t>
  </si>
  <si>
    <t>pimentão verde cru</t>
  </si>
  <si>
    <t>polpa de acerola</t>
  </si>
  <si>
    <t>polvilho</t>
  </si>
  <si>
    <t>prato Nutrivida</t>
  </si>
  <si>
    <t>presunto de frango defumado</t>
  </si>
  <si>
    <t>presunto de porco</t>
  </si>
  <si>
    <t>presunto de peru</t>
  </si>
  <si>
    <t>Proteína texturizada da soja</t>
  </si>
  <si>
    <t xml:space="preserve">Pudim de leite </t>
  </si>
  <si>
    <t>Pudim diet desnatado</t>
  </si>
  <si>
    <t>purê de abóbora</t>
  </si>
  <si>
    <t>purê de batata</t>
  </si>
  <si>
    <t>purê te tomate Cica</t>
  </si>
  <si>
    <t>queijo cottage</t>
  </si>
  <si>
    <t>Queijo minas</t>
  </si>
  <si>
    <t>Queijo muzzarela</t>
  </si>
  <si>
    <t>Queijo muzzarela light</t>
  </si>
  <si>
    <t>queijo parmesão ralado</t>
  </si>
  <si>
    <t>queijo prato</t>
  </si>
  <si>
    <t>quiabo cozido</t>
  </si>
  <si>
    <t>quiabo cru</t>
  </si>
  <si>
    <t>rabanete cru</t>
  </si>
  <si>
    <t>refresco de caju c/açúcar</t>
  </si>
  <si>
    <t>repolho branco cru</t>
  </si>
  <si>
    <t>repolho roxo cru</t>
  </si>
  <si>
    <t>requeijão cremoso</t>
  </si>
  <si>
    <t>requeijão light</t>
  </si>
  <si>
    <t>ricota</t>
  </si>
  <si>
    <t>rúcula</t>
  </si>
  <si>
    <t>sal refinado</t>
  </si>
  <si>
    <t>salada de frutas</t>
  </si>
  <si>
    <t>salada de maionese</t>
  </si>
  <si>
    <t>sardinha em conserva*</t>
  </si>
  <si>
    <t>-</t>
  </si>
  <si>
    <t>salsão</t>
  </si>
  <si>
    <t>salsicha de frango</t>
  </si>
  <si>
    <t>salsinha</t>
  </si>
  <si>
    <t>salvia seca</t>
  </si>
  <si>
    <t>sanduíche natural de atum</t>
  </si>
  <si>
    <t>seleta de legumes em conseva jurema</t>
  </si>
  <si>
    <t>soja crua</t>
  </si>
  <si>
    <t>sopa Nutrivida</t>
  </si>
  <si>
    <t xml:space="preserve">sopa de legumes c/ carne </t>
  </si>
  <si>
    <t>sopa de legumes, carne e macarrão</t>
  </si>
  <si>
    <t>sopa creme de cebola Maggi</t>
  </si>
  <si>
    <t>sopa creme de ervilha</t>
  </si>
  <si>
    <t>sopa creme de queijo</t>
  </si>
  <si>
    <t>sopa creme de espinafre</t>
  </si>
  <si>
    <t>sopa de cenoura</t>
  </si>
  <si>
    <t>sopa de couve-flor</t>
  </si>
  <si>
    <t>sorvete de chocolate kibom</t>
  </si>
  <si>
    <t>strogonoff de frango</t>
  </si>
  <si>
    <t>sustagem</t>
  </si>
  <si>
    <t>suco de abacaxi com açúcar</t>
  </si>
  <si>
    <t>suco de laranja com açúcar</t>
  </si>
  <si>
    <t>suco de laranja s/ açúcar</t>
  </si>
  <si>
    <t>suco de laranja e cenoura s/acucar</t>
  </si>
  <si>
    <t>suco de limão com açúcar**</t>
  </si>
  <si>
    <t>suco de maracujá c/ açúcar</t>
  </si>
  <si>
    <t>suco de maracujá s/ acúcar</t>
  </si>
  <si>
    <t>suco de maracujá concentrado Maguary</t>
  </si>
  <si>
    <t>suco de uva concentrado Jandaia</t>
  </si>
  <si>
    <t>suco de uva diluído artificial</t>
  </si>
  <si>
    <t>talharim</t>
  </si>
  <si>
    <t>tapioca seca</t>
  </si>
  <si>
    <t>tofu</t>
  </si>
  <si>
    <t>torrada de pão francês</t>
  </si>
  <si>
    <t>tomate</t>
  </si>
  <si>
    <t>tomate seco</t>
  </si>
  <si>
    <t>tomilho</t>
  </si>
  <si>
    <t>toucinho</t>
  </si>
  <si>
    <t>tempero em pasta alho e sal maggi</t>
  </si>
  <si>
    <t>trigo para quibe</t>
  </si>
  <si>
    <t>uva itália</t>
  </si>
  <si>
    <t>uva passa</t>
  </si>
  <si>
    <t>vagem crua</t>
  </si>
  <si>
    <t>vagem cozida</t>
  </si>
  <si>
    <t>vagem refogada c/ cebola</t>
  </si>
  <si>
    <t>vegetal A (Teresa e monitora dieto)</t>
  </si>
  <si>
    <t>vegetal B (teresa e monitora dieto)</t>
  </si>
  <si>
    <t>vegetal C (teresa e monitora dieto)</t>
  </si>
  <si>
    <t>vinagre</t>
  </si>
  <si>
    <t>vinho branco seco</t>
  </si>
  <si>
    <t>vinho tinto</t>
  </si>
  <si>
    <t>vitamina de mamão com açúcar</t>
  </si>
  <si>
    <t>vitamina de mamão s/ açúcar</t>
  </si>
  <si>
    <t>Bolo de aveia</t>
  </si>
  <si>
    <t>NA</t>
  </si>
  <si>
    <t>Tr</t>
  </si>
  <si>
    <t>Tt</t>
  </si>
  <si>
    <t>Coentro, folhas desidratadas</t>
  </si>
  <si>
    <t>Jurubeba, crua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</si>
  <si>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</si>
  <si>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</si>
  <si>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</si>
  <si>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</si>
  <si>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</si>
  <si>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</si>
  <si>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</si>
  <si>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</si>
  <si>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</si>
  <si>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</si>
  <si>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</si>
  <si>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 recheado de morango</t>
  </si>
  <si>
    <t>Biscoito, salgado,  cream craker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</si>
  <si>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</si>
  <si>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</si>
  <si>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</si>
  <si>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</si>
  <si>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</si>
  <si>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</si>
  <si>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Cereais, milho, flocos, com sal</t>
  </si>
  <si>
    <t>Cereais, milho, flocos, sem sal</t>
  </si>
  <si>
    <t>Cereais, mingau, milho, infantil</t>
  </si>
  <si>
    <t xml:space="preserve">Cereais, mistura para vitamina, trigo, cevada e aveia </t>
  </si>
  <si>
    <t>Cereal matinal, milho</t>
  </si>
  <si>
    <t>Cereal matinal, milho, açúcar</t>
  </si>
  <si>
    <t>Curau, milho verde, pó</t>
  </si>
  <si>
    <t>Farinha, de arroz, enrriquecida</t>
  </si>
  <si>
    <t>Farinha, de rosca</t>
  </si>
  <si>
    <t>Farinha, de trigo</t>
  </si>
  <si>
    <t>Farinha, láctea, de cereais</t>
  </si>
  <si>
    <t>Lasanha, massa fresca, cozida</t>
  </si>
  <si>
    <t>Macarrão, instantâneo</t>
  </si>
  <si>
    <t>Macarrão, trigo, cru</t>
  </si>
  <si>
    <t>Macarrão, trigo, cru, com ovos</t>
  </si>
  <si>
    <t>Milho, amido, cru</t>
  </si>
  <si>
    <t>Milho, fuba, cru</t>
  </si>
  <si>
    <t>Miho, verde, cru</t>
  </si>
  <si>
    <t>Milho, verde, enlatado, drenado</t>
  </si>
  <si>
    <t>Pamonha, barra para cozimento, pré-cozida</t>
  </si>
  <si>
    <t xml:space="preserve">Pão, aveia, forma </t>
  </si>
  <si>
    <t>Pão, de soja</t>
  </si>
  <si>
    <t xml:space="preserve">Pão, glúten, forma </t>
  </si>
  <si>
    <t xml:space="preserve">Pão, milho, forma </t>
  </si>
  <si>
    <t>Pão, trigo, forma, integral</t>
  </si>
  <si>
    <t>Pão, trigo, francês</t>
  </si>
  <si>
    <t>Pastel, massa, crua</t>
  </si>
  <si>
    <t>Torrada, pão francês</t>
  </si>
  <si>
    <t>Pastel, massa, frita</t>
  </si>
  <si>
    <t>Polenta, pré cozida</t>
  </si>
  <si>
    <t>Verduras, hortaliças e derivados</t>
  </si>
  <si>
    <t>Abóbora, menina brasileira, crua</t>
  </si>
  <si>
    <t>Abóbora, moranga, crua</t>
  </si>
  <si>
    <t>Abobrinha, italiana, cozida</t>
  </si>
  <si>
    <t>Abobrinha, italiana, crua</t>
  </si>
  <si>
    <t>Abobrinha, paulista, crua</t>
  </si>
  <si>
    <t>Abobrinha, pescoço,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</si>
  <si>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</si>
  <si>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</si>
  <si>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</si>
  <si>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</si>
  <si>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</si>
  <si>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</si>
  <si>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Alfavaca, crua</t>
  </si>
  <si>
    <t>Alho,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</si>
  <si>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</si>
  <si>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</si>
  <si>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</si>
  <si>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</si>
  <si>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</si>
  <si>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</si>
  <si>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inglesa, sauté</t>
  </si>
  <si>
    <t>Batata, frita, tipo chips, industrializada</t>
  </si>
  <si>
    <t>Batata, inglesa, cozida</t>
  </si>
  <si>
    <t>Batata, inglesa, crua</t>
  </si>
  <si>
    <t>Batata, inglesa, frita</t>
  </si>
  <si>
    <t>Berinjela, cozida</t>
  </si>
  <si>
    <t>Berinjela, crua</t>
  </si>
  <si>
    <t>Beterraba, cozida</t>
  </si>
  <si>
    <t>Beterraba, crua</t>
  </si>
  <si>
    <t>Brócolis, cozido</t>
  </si>
  <si>
    <t>Brócolis, cru</t>
  </si>
  <si>
    <t>Cará, cozido</t>
  </si>
  <si>
    <t>Cará, cru</t>
  </si>
  <si>
    <t>Caruru, cru</t>
  </si>
  <si>
    <t>Catalonha, crua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</si>
  <si>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</si>
  <si>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</si>
  <si>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</si>
  <si>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</si>
  <si>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</si>
  <si>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</si>
  <si>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</si>
  <si>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Couve, manteiga, crua</t>
  </si>
  <si>
    <t>Couve, manteiga, refogada</t>
  </si>
  <si>
    <t>Couve-flor, crua</t>
  </si>
  <si>
    <t>Couve-flor, cozida</t>
  </si>
  <si>
    <t>Espinafre, cru</t>
  </si>
  <si>
    <t>Espinafre, refogado</t>
  </si>
  <si>
    <t xml:space="preserve">Farinha, de mandioca, crua </t>
  </si>
  <si>
    <t>Farinha, de mandioca, torrada</t>
  </si>
  <si>
    <t xml:space="preserve">Fécula, de mandioca </t>
  </si>
  <si>
    <t>Feijão, broto, cru</t>
  </si>
  <si>
    <t>Inhame, cru</t>
  </si>
  <si>
    <t>Jiló, cru</t>
  </si>
  <si>
    <t>Mandioca, cozida</t>
  </si>
  <si>
    <t>Mandioca, crua</t>
  </si>
  <si>
    <t>Manjericão, cru</t>
  </si>
  <si>
    <t>Mandioca, farofa, temperada</t>
  </si>
  <si>
    <t>Maxixe, cru</t>
  </si>
  <si>
    <t>Mostarda, folha, crua</t>
  </si>
  <si>
    <t>Nabo, cru</t>
  </si>
  <si>
    <t>Pepino, cru</t>
  </si>
  <si>
    <t>Palmito, em conserva</t>
  </si>
  <si>
    <t>Pão, de queijo, assado</t>
  </si>
  <si>
    <t>Pão, de queijo, cru</t>
  </si>
  <si>
    <t>Pimentão, amarelo, cru</t>
  </si>
  <si>
    <t>Pimentão, verde, cru</t>
  </si>
  <si>
    <t>Pimentão, vermelho, cru</t>
  </si>
  <si>
    <t>Polvilho, doce</t>
  </si>
  <si>
    <t>Farinha, de centeio, integral</t>
  </si>
  <si>
    <t>Farinha, de milho, amarela</t>
  </si>
  <si>
    <t>Creme, de milho, pó</t>
  </si>
  <si>
    <t>Creme, de arroz, pó</t>
  </si>
  <si>
    <t>Pão, de trigo, sovado</t>
  </si>
  <si>
    <t>Mingau tradicional, pó</t>
  </si>
  <si>
    <t>Rabanete, cru</t>
  </si>
  <si>
    <t>Repolho, branco, cru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</si>
  <si>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</si>
  <si>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</si>
  <si>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</si>
  <si>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</si>
  <si>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</si>
  <si>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</si>
  <si>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</si>
  <si>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</si>
  <si>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</si>
  <si>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Tremoço, cru</t>
  </si>
  <si>
    <t>Tremoço, em conserva</t>
  </si>
  <si>
    <t>Vagem, crua</t>
  </si>
  <si>
    <t>Lasanha, massa fresca, crua</t>
  </si>
  <si>
    <t>Abacate, cru</t>
  </si>
  <si>
    <t>Abiu, cru</t>
  </si>
  <si>
    <t>Acerola, crua</t>
  </si>
  <si>
    <t>Acerola, polpa, congelada</t>
  </si>
  <si>
    <t>Ameixa, calda, enlatada</t>
  </si>
  <si>
    <t>Ameixa, crua</t>
  </si>
  <si>
    <t>Atemóia, crua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</si>
  <si>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</si>
  <si>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</si>
  <si>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</si>
  <si>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</si>
  <si>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</si>
  <si>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</si>
  <si>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</si>
  <si>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</si>
  <si>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</si>
  <si>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Caju, cru</t>
  </si>
  <si>
    <t>Caju, polpa, congelada</t>
  </si>
  <si>
    <t>Caju, suco concentrado, envasado</t>
  </si>
  <si>
    <t>Caqui, chocolate, cru</t>
  </si>
  <si>
    <t>Carambola, crua</t>
  </si>
  <si>
    <t>Nêspera, crua</t>
  </si>
  <si>
    <t>Pequi, cru</t>
  </si>
  <si>
    <t>Pêra, Park, crua</t>
  </si>
  <si>
    <t>Pêssego, Aurora, cru</t>
  </si>
  <si>
    <t>Pêssego, enlatado, em calda</t>
  </si>
  <si>
    <t>Pinha, crua</t>
  </si>
  <si>
    <t>Pitanga, crua</t>
  </si>
  <si>
    <t>Romã, crua</t>
  </si>
  <si>
    <t>Tamarindo, cru</t>
  </si>
  <si>
    <t>Tangerina Poncã, crua</t>
  </si>
  <si>
    <t>Tangerina Poncã, suco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</si>
  <si>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</si>
  <si>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</si>
  <si>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</si>
  <si>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</si>
  <si>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</si>
  <si>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</si>
  <si>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</si>
  <si>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</si>
  <si>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</si>
  <si>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</si>
  <si>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interesterificado, com sal (65% de lipídeo)</t>
  </si>
  <si>
    <t>Margarina, com óleo hidrogenado, com sal (65% de lipídeos)</t>
  </si>
  <si>
    <t>Margarina, com óleo hidrogenado, sem sal (80% 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</si>
  <si>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</si>
  <si>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</si>
  <si>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</si>
  <si>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</si>
  <si>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</si>
  <si>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</si>
  <si>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</si>
  <si>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Abadejo, filé, congelado,cru</t>
  </si>
  <si>
    <t>Atum, conserva em óleo</t>
  </si>
  <si>
    <t>Atum, fresco, cru</t>
  </si>
  <si>
    <t>Bacalhau, salgado, cru</t>
  </si>
  <si>
    <t>Bacalhau, salgado, refogado</t>
  </si>
  <si>
    <t>Cação, posta, cozida</t>
  </si>
  <si>
    <t>Cação, posta, crua</t>
  </si>
  <si>
    <t>Camarão, de água salgada, cozido</t>
  </si>
  <si>
    <t>Corimba, cru</t>
  </si>
  <si>
    <t>Camarão, de água salgada, cru</t>
  </si>
  <si>
    <t>Carangueijo, cozido</t>
  </si>
  <si>
    <t>Corvina de água doce, crua</t>
  </si>
  <si>
    <t>Corvina do mar, crua</t>
  </si>
  <si>
    <t>Corvina grande, assada</t>
  </si>
  <si>
    <t>Lambari, congelado, cru</t>
  </si>
  <si>
    <t>Lambari, congelado, frito</t>
  </si>
  <si>
    <t>Manjuba, frita</t>
  </si>
  <si>
    <t>Merluza, filé, assado</t>
  </si>
  <si>
    <t>Merluza, filé, cru</t>
  </si>
  <si>
    <t>Pescada, branca, crua</t>
  </si>
  <si>
    <t>Pescada, branca, frita</t>
  </si>
  <si>
    <t>Pescada, filé, cru</t>
  </si>
  <si>
    <t>Pescada, filé, frito</t>
  </si>
  <si>
    <t>Pescadinha, crua</t>
  </si>
  <si>
    <t>Pintado, assado</t>
  </si>
  <si>
    <t>Pintado, cru</t>
  </si>
  <si>
    <t>Pintado, grelhado</t>
  </si>
  <si>
    <t>Porquinho, cru</t>
  </si>
  <si>
    <t>Sardinha, assada</t>
  </si>
  <si>
    <t>Sardinha, conserva em óleo</t>
  </si>
  <si>
    <t>Sardinha, frita</t>
  </si>
  <si>
    <t>Sardinha, inteira, crua</t>
  </si>
  <si>
    <t>Tucunaré, filé, congelado, cru</t>
  </si>
  <si>
    <t>Caldo de carne, tablete</t>
  </si>
  <si>
    <t>Caldo de galinha, tablete</t>
  </si>
  <si>
    <t>Carne, bovina, almonôndegas, cruas</t>
  </si>
  <si>
    <t>Carne, bovina, acém, moída, cozido</t>
  </si>
  <si>
    <t>Carne, bovina, acém, moída, cru</t>
  </si>
  <si>
    <t>Carne, bovina, acém, sem gordura, cozido</t>
  </si>
  <si>
    <t>Carne, bovina, acém, sem gordura, cru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</si>
  <si>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</si>
  <si>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</si>
  <si>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</si>
  <si>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</si>
  <si>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</si>
  <si>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</si>
  <si>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</si>
  <si>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</si>
  <si>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</si>
  <si>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</si>
  <si>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</si>
  <si>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</si>
  <si>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</si>
  <si>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</si>
  <si>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</si>
  <si>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</si>
  <si>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</si>
  <si>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</si>
  <si>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</si>
  <si>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</si>
  <si>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</si>
  <si>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</si>
  <si>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</si>
  <si>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filé mignon, sem gordura, cru</t>
  </si>
  <si>
    <t>Carne, bovina, filé mignon, sem gordura, grelhado</t>
  </si>
  <si>
    <t>Carne, bovina, flanco, sem gordura, cozido</t>
  </si>
  <si>
    <t>Carne, bovina, flanco sem gordura, cru</t>
  </si>
  <si>
    <t>Carne, bovina, fraldinha, com gordura, cozida</t>
  </si>
  <si>
    <t>Carne, bovina, fraldinha,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</si>
  <si>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</si>
  <si>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</si>
  <si>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</si>
  <si>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</si>
  <si>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</si>
  <si>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</si>
  <si>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</si>
  <si>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</si>
  <si>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</si>
  <si>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</si>
  <si>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</si>
  <si>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</si>
  <si>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</si>
  <si>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</si>
  <si>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</si>
  <si>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</si>
  <si>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 sem, gordura, cru</t>
  </si>
  <si>
    <t>Carne, bovina, picanha, com gordura, crua</t>
  </si>
  <si>
    <t>Carne, bovina, picanha, com gordura, grelhada</t>
  </si>
  <si>
    <t>Carne, bovina, picanha, sem gordura, grelhada</t>
  </si>
  <si>
    <t>Carne, bovina, picanha, sem gordura, crua</t>
  </si>
  <si>
    <t>Carne, bovina, seca, cozida</t>
  </si>
  <si>
    <t>Carne, bovina,seca, crua</t>
  </si>
  <si>
    <t>Cochinha de frango, frita</t>
  </si>
  <si>
    <t>Empada de frango, pré-cozida, assada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</si>
  <si>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</si>
  <si>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</si>
  <si>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</si>
  <si>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</si>
  <si>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</si>
  <si>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 crua</t>
  </si>
  <si>
    <t>Frango, coxa, com pele, assada</t>
  </si>
  <si>
    <t>Frango, coxa, sem pele,  crua</t>
  </si>
  <si>
    <t>Frango, coxa, sem pele, cozida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</si>
  <si>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</si>
  <si>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</si>
  <si>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</si>
  <si>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</si>
  <si>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</si>
  <si>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</si>
  <si>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cru</t>
  </si>
  <si>
    <t>Frango, peito, com pele, assado</t>
  </si>
  <si>
    <t>Frango, peito, sem pele, cozido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</si>
  <si>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</si>
  <si>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</si>
  <si>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</si>
  <si>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</si>
  <si>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</si>
  <si>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Hamburguer, bovino, cru</t>
  </si>
  <si>
    <t>Hamburguer, bovino, frito</t>
  </si>
  <si>
    <t>Hamburguer,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</si>
  <si>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</si>
  <si>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</si>
  <si>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</si>
  <si>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</si>
  <si>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</si>
  <si>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</si>
  <si>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Peru, congelado, assado</t>
  </si>
  <si>
    <t>Peru, congelado, cru</t>
  </si>
  <si>
    <t>Porco, bisteca, crua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</si>
  <si>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</si>
  <si>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</si>
  <si>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</si>
  <si>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</si>
  <si>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</si>
  <si>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</si>
  <si>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Porc, pernil, assado</t>
  </si>
  <si>
    <t>Porco, pernil, cru</t>
  </si>
  <si>
    <t>Porco, rabo, salgado, cozido</t>
  </si>
  <si>
    <t>Toucinho, cru</t>
  </si>
  <si>
    <t>Toucinho, frito</t>
  </si>
  <si>
    <t>Bebida, láctea, pêssego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</si>
  <si>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</si>
  <si>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</si>
  <si>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</si>
  <si>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</si>
  <si>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</si>
  <si>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</si>
  <si>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</si>
  <si>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</si>
  <si>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</si>
  <si>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integral</t>
  </si>
  <si>
    <t>Leite, de vaca, integral, pó</t>
  </si>
  <si>
    <t>Queijo, minas/frescal</t>
  </si>
  <si>
    <t>Queijo, parmesão</t>
  </si>
  <si>
    <t>Queijo, pasteurizado</t>
  </si>
  <si>
    <t>Queijo, requeijão, cremoso</t>
  </si>
  <si>
    <t>Queijo, petit suisse, morango</t>
  </si>
  <si>
    <t>Queijo, ricota</t>
  </si>
  <si>
    <t>Leite, de vaca, desnatado, UHT</t>
  </si>
  <si>
    <t>Iogurte, natural</t>
  </si>
  <si>
    <t>Empada, de frango, pré-cozida</t>
  </si>
  <si>
    <t>Carne, bovina, fígado, grelhado</t>
  </si>
  <si>
    <t>Bebidas (alcoólicas e não alcoólicas)</t>
  </si>
  <si>
    <t>Coco, água de</t>
  </si>
  <si>
    <t>Bebida isotônica, sabores variados</t>
  </si>
  <si>
    <t>Café, infusão 10%</t>
  </si>
  <si>
    <t xml:space="preserve">Cana, caldo de </t>
  </si>
  <si>
    <t>Chá, erva-doce, infusão 5%</t>
  </si>
  <si>
    <t>Chá, mate, infusão 5%</t>
  </si>
  <si>
    <t>Chá, preto, infusão 5%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</si>
  <si>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</si>
  <si>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</si>
  <si>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</si>
  <si>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</si>
  <si>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</si>
  <si>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Ovo, de codorna, inteiro, cru</t>
  </si>
  <si>
    <t>Ovo de galinha, clara, cozida/10 minutos</t>
  </si>
  <si>
    <t>Ovo, de galinha, gema, cozida/10 minutos</t>
  </si>
  <si>
    <t>Ovo, de galinha, inteiro, cozido/10 minutos</t>
  </si>
  <si>
    <t>Ovo, de galinha, inteiro, cru</t>
  </si>
  <si>
    <t>Ovos e derivados</t>
  </si>
  <si>
    <t>Produtos açucarados</t>
  </si>
  <si>
    <t>Achocolatado, pó</t>
  </si>
  <si>
    <t>Açúcar, cristal</t>
  </si>
  <si>
    <t>Açúcar, refinado</t>
  </si>
  <si>
    <t>Chocolate, ao leite</t>
  </si>
  <si>
    <t>Chocolate, ao leite, dietético</t>
  </si>
  <si>
    <t>Chocolate, meio amargo</t>
  </si>
  <si>
    <t>Cocada branca</t>
  </si>
  <si>
    <t>Doce de abóbora cremoso</t>
  </si>
  <si>
    <t>Geléia, mocoto, natural</t>
  </si>
  <si>
    <t>Mel, de abelha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</si>
  <si>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</si>
  <si>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</si>
  <si>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</si>
  <si>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</si>
  <si>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</si>
  <si>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</si>
  <si>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Outros alimentos industrializados</t>
  </si>
  <si>
    <t>Azeitona, preta, conserva</t>
  </si>
  <si>
    <t>Azeitona, verde, conserva</t>
  </si>
  <si>
    <t>Chantilly, spray, com gordura vegetal</t>
  </si>
  <si>
    <t>Biscoito, polvilho doce</t>
  </si>
  <si>
    <t>Maionese, industrializada, tradicional com ovos</t>
  </si>
  <si>
    <t>Leite, coco de, industrializado</t>
  </si>
  <si>
    <t>Arroz, bolinho de</t>
  </si>
  <si>
    <t>Arroz, carreteiro</t>
  </si>
  <si>
    <t>Baião de dois, arroz e feijão de corda</t>
  </si>
  <si>
    <t>Cuscuz, de milho, cozido com sal</t>
  </si>
  <si>
    <t>Cuscuz, paulista</t>
  </si>
  <si>
    <t>Leguminosas e derivados</t>
  </si>
  <si>
    <t>Amendoim, grão, cru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</si>
  <si>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</si>
  <si>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</si>
  <si>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</si>
  <si>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</si>
  <si>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</si>
  <si>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</si>
  <si>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</si>
  <si>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</si>
  <si>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</si>
  <si>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</si>
  <si>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</si>
  <si>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</si>
  <si>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</si>
  <si>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</si>
  <si>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</si>
  <si>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</si>
  <si>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</si>
  <si>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</si>
  <si>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</si>
  <si>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</si>
  <si>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Feijão, preto, cru</t>
  </si>
  <si>
    <t xml:space="preserve">Soja, farinha </t>
  </si>
  <si>
    <t>Soja, extrato solúvel, natural, fluido</t>
  </si>
  <si>
    <t>Soja, xtrato solúvel, pó</t>
  </si>
  <si>
    <t>Soja, queijo de (tofu)</t>
  </si>
  <si>
    <t>Nozes e sementes</t>
  </si>
  <si>
    <t>Amêndua, torrada e salgada</t>
  </si>
  <si>
    <t>Castanha-de-caju, torrada, com sal</t>
  </si>
  <si>
    <t>Castanha-do-Brasil, crua</t>
  </si>
  <si>
    <t>Coco, Bahia, cru</t>
  </si>
  <si>
    <t>Gergelim, semente</t>
  </si>
  <si>
    <t>Linhaça, semente</t>
  </si>
  <si>
    <t>Pinhão, cozido</t>
  </si>
  <si>
    <t>Noz, crua</t>
  </si>
  <si>
    <t>Açaí, polpa, com xarope de guaraná e glucose</t>
  </si>
  <si>
    <t>Ameixa, em calda, enlatata, drenada</t>
  </si>
  <si>
    <t>Cirigüela, crua</t>
  </si>
  <si>
    <t>Figo, enlatado, em calda</t>
  </si>
  <si>
    <t>Fruta-pão, crua</t>
  </si>
  <si>
    <t>Goiaba, branca</t>
  </si>
  <si>
    <t>Goiaba, doce em pasta</t>
  </si>
  <si>
    <t>Goiaba, vermelha</t>
  </si>
  <si>
    <t>Graviola, crua</t>
  </si>
  <si>
    <t>Graviola, polpa, congelada</t>
  </si>
  <si>
    <t>Jabuticaba, crua</t>
  </si>
  <si>
    <t>Jaca, crua</t>
  </si>
  <si>
    <t>Jambo, cru</t>
  </si>
  <si>
    <t>Kiwi, cru</t>
  </si>
  <si>
    <t>Laranja, bahia, crua</t>
  </si>
  <si>
    <t>Laranja, bahia, suco</t>
  </si>
  <si>
    <t>Laranja, da terra, crua</t>
  </si>
  <si>
    <t>Laranja, da terra, suco</t>
  </si>
  <si>
    <t>Laranja, lima, crua</t>
  </si>
  <si>
    <t>Laranja, lima, suco</t>
  </si>
  <si>
    <t>Laranja, pêra, suco</t>
  </si>
  <si>
    <t>Laranja, pêra, crua</t>
  </si>
  <si>
    <t>Laranja, valência, crua</t>
  </si>
  <si>
    <t>Laranja, valência, suco</t>
  </si>
  <si>
    <t>Limão, galego, suco</t>
  </si>
  <si>
    <t>Maçã, Argentina, crua</t>
  </si>
  <si>
    <t>Maçã, Fuji, crua</t>
  </si>
  <si>
    <t>Macaúba, crua</t>
  </si>
  <si>
    <t>Mamão, Papaia, cru</t>
  </si>
  <si>
    <t>Mamão, Formosa, cru</t>
  </si>
  <si>
    <t>Limão, tahiti, cru</t>
  </si>
  <si>
    <t>Manga, Haden, crua</t>
  </si>
  <si>
    <t>Manga, polpa, congelada</t>
  </si>
  <si>
    <t>Manga, Tommy Atkims,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</si>
  <si>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</si>
  <si>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</si>
  <si>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</si>
  <si>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</si>
  <si>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</si>
  <si>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</si>
  <si>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</si>
  <si>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</si>
  <si>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Pêra, Williams, crua</t>
  </si>
  <si>
    <t>Chocolate, ao leite, com castanha do Pará</t>
  </si>
  <si>
    <t>Sal, grosso</t>
  </si>
  <si>
    <t>Cupuaçu, cru</t>
  </si>
  <si>
    <t>Cupuaçu, polpa, congelada</t>
  </si>
  <si>
    <t xml:space="preserve">Carne, bovina, costela, crua </t>
  </si>
  <si>
    <t xml:space="preserve">Linhas em branco ácidos graxos não determinados </t>
  </si>
  <si>
    <t>Amarelo: alimento reordenado de local (diferente da localização da TACO V.2)</t>
  </si>
  <si>
    <t>Alimentos escritos em letra vermelha são oriundos da Tabela do ENDEF prioritariamente.</t>
  </si>
  <si>
    <t>Frango, peito, sem pele, cru</t>
  </si>
  <si>
    <t>Tr: traço ou menor que o limite de quantificação</t>
  </si>
  <si>
    <t>NA: não aplicável</t>
  </si>
  <si>
    <r>
      <t xml:space="preserve">Cana, aguardente </t>
    </r>
    <r>
      <rPr>
        <vertAlign val="superscript"/>
        <sz val="10"/>
        <rFont val="Arial"/>
        <family val="2"/>
      </rPr>
      <t>1</t>
    </r>
  </si>
  <si>
    <r>
      <t xml:space="preserve">Cerveja, pilsen </t>
    </r>
    <r>
      <rPr>
        <vertAlign val="superscript"/>
        <sz val="10"/>
        <rFont val="Arial"/>
        <family val="2"/>
      </rPr>
      <t>2</t>
    </r>
  </si>
  <si>
    <r>
      <t xml:space="preserve">Teores alcoólicos (g/100g): </t>
    </r>
    <r>
      <rPr>
        <vertAlign val="superscript"/>
        <sz val="10"/>
        <rFont val="Arial"/>
        <family val="2"/>
      </rPr>
      <t xml:space="preserve">1 </t>
    </r>
    <r>
      <rPr>
        <sz val="10"/>
        <rFont val="Arial"/>
        <family val="2"/>
      </rPr>
      <t>Cana, aguardente: 31,1 e</t>
    </r>
    <r>
      <rPr>
        <vertAlign val="superscript"/>
        <sz val="10"/>
        <rFont val="Arial"/>
        <family val="2"/>
      </rPr>
      <t xml:space="preserve"> 2 </t>
    </r>
    <r>
      <rPr>
        <sz val="10"/>
        <rFont val="Arial"/>
        <family val="2"/>
      </rPr>
      <t>Cerveja, pilsen: 3,6</t>
    </r>
  </si>
  <si>
    <t>Abóbora, cabotian, cozida</t>
  </si>
  <si>
    <t>Abóbora, cabotian, crua</t>
  </si>
  <si>
    <t>g/Kg</t>
  </si>
  <si>
    <t>Massa Corporal (kg)</t>
  </si>
  <si>
    <t>200*</t>
  </si>
  <si>
    <t>260*</t>
  </si>
  <si>
    <t>1,5*</t>
  </si>
  <si>
    <t>0,12*</t>
  </si>
  <si>
    <t>0,37*</t>
  </si>
  <si>
    <t>1,0*</t>
  </si>
  <si>
    <t>1,2*</t>
  </si>
  <si>
    <t>1,3*</t>
  </si>
  <si>
    <t>Gestantes 14-18 anos</t>
  </si>
  <si>
    <t>Nutrizes 14-18 anos</t>
  </si>
  <si>
    <t>* Ingestão adequada (AI)</t>
  </si>
  <si>
    <t>2*</t>
  </si>
  <si>
    <t>0,4*</t>
  </si>
  <si>
    <t>0.7*</t>
  </si>
  <si>
    <t>3,0*</t>
  </si>
  <si>
    <t>3,8*</t>
  </si>
  <si>
    <t>4,5*</t>
  </si>
  <si>
    <t>4,7*</t>
  </si>
  <si>
    <t>5,1*</t>
  </si>
  <si>
    <t>100*</t>
  </si>
  <si>
    <t>275*</t>
  </si>
  <si>
    <t>400*</t>
  </si>
  <si>
    <t>500*</t>
  </si>
  <si>
    <t>40*</t>
  </si>
  <si>
    <t>50*</t>
  </si>
  <si>
    <t>0.2*</t>
  </si>
  <si>
    <t>0.3*</t>
  </si>
  <si>
    <t>1,1</t>
  </si>
  <si>
    <t>0.4*</t>
  </si>
  <si>
    <t>4*</t>
  </si>
  <si>
    <t>0.1*</t>
  </si>
  <si>
    <t>1,7</t>
  </si>
  <si>
    <t>0,27*</t>
  </si>
  <si>
    <t>30*</t>
  </si>
  <si>
    <t>75*</t>
  </si>
  <si>
    <t>0,003*</t>
  </si>
  <si>
    <t>0,6*</t>
  </si>
  <si>
    <t>1,9*</t>
  </si>
  <si>
    <t>2,2*</t>
  </si>
  <si>
    <t>2,3*</t>
  </si>
  <si>
    <t>1,6*</t>
  </si>
  <si>
    <t>1,8*</t>
  </si>
  <si>
    <t>2,6*</t>
  </si>
  <si>
    <t>28*</t>
  </si>
  <si>
    <t>29*</t>
  </si>
  <si>
    <t>19*</t>
  </si>
  <si>
    <t>25*</t>
  </si>
  <si>
    <t>31*</t>
  </si>
  <si>
    <t>38*</t>
  </si>
  <si>
    <t>26*</t>
  </si>
  <si>
    <t>21*</t>
  </si>
  <si>
    <t>13*</t>
  </si>
  <si>
    <t>1.4*</t>
  </si>
  <si>
    <t>1.3*</t>
  </si>
  <si>
    <t>4.4*</t>
  </si>
  <si>
    <t>4.6*</t>
  </si>
  <si>
    <t>7*</t>
  </si>
  <si>
    <t>10*</t>
  </si>
  <si>
    <t>0.5*</t>
  </si>
  <si>
    <t>0.9*</t>
  </si>
  <si>
    <t>12*</t>
  </si>
  <si>
    <t>1.2*</t>
  </si>
  <si>
    <t>16*</t>
  </si>
  <si>
    <t>1.6*</t>
  </si>
  <si>
    <t>17*</t>
  </si>
  <si>
    <t>14*</t>
  </si>
  <si>
    <t>1*</t>
  </si>
  <si>
    <t>11*</t>
  </si>
  <si>
    <t>1.1*</t>
  </si>
  <si>
    <t>RDA/AI (IOM, 2002-2011)</t>
  </si>
  <si>
    <t>DESCRIÇÃO DO ALIMENTO</t>
  </si>
  <si>
    <t>QUANTIDADE (g)</t>
  </si>
  <si>
    <t>ENERGIA (kcal)</t>
  </si>
  <si>
    <t>PROTEÍNA (g)</t>
  </si>
  <si>
    <t>LIPÍDEOS (g)</t>
  </si>
  <si>
    <t>SATURADA (g)</t>
  </si>
  <si>
    <t>MONOINSAT (g)</t>
  </si>
  <si>
    <t>POLINSAT (g)</t>
  </si>
  <si>
    <t>COLESTEROL (mg)</t>
  </si>
  <si>
    <t>FIBRA (g)</t>
  </si>
  <si>
    <t>CÁLCIO (mg)</t>
  </si>
  <si>
    <t>FERRO (mg)</t>
  </si>
  <si>
    <t>SÓDIO (mg)</t>
  </si>
  <si>
    <t>POTÁSSIO (mg)</t>
  </si>
  <si>
    <t>COBRE (mg)</t>
  </si>
  <si>
    <t>ZINCO (mg)</t>
  </si>
  <si>
    <t>RETINOL (mcg)</t>
  </si>
  <si>
    <t>TIAMINA (mg)</t>
  </si>
  <si>
    <t>RIBOFLAVINA (mg)</t>
  </si>
  <si>
    <t>PIRIDOXINA (mg)</t>
  </si>
  <si>
    <t>NIACINA (mg)</t>
  </si>
  <si>
    <t>VITAMINA C (mg)</t>
  </si>
  <si>
    <t>EQUIVALENTE DE NIACINA (mg)</t>
  </si>
  <si>
    <t>COBALAMINA (mcg)</t>
  </si>
  <si>
    <t>FOLATO (EQUIVALENTE DIETÉTICO DE FOLATO) (mcg)</t>
  </si>
  <si>
    <t>VITAMINA D (mcg)</t>
  </si>
  <si>
    <t>VITAMINA E (mg)</t>
  </si>
  <si>
    <t>TRANS (g)</t>
  </si>
  <si>
    <t>SÓDIO DE ADIÇÃO (mg)</t>
  </si>
  <si>
    <t>SELÊNIO (mcg)</t>
  </si>
  <si>
    <t>VITAMINA A (mcg)</t>
  </si>
  <si>
    <t>AÇÚCAR TOTAL (g)</t>
  </si>
  <si>
    <t>AÇÚCAR DE ADIÇÃO (g)</t>
  </si>
  <si>
    <t>ARROZ (POLIDO, PARBOILIZADO, AGULHA, AGULHINHA, ETC)</t>
  </si>
  <si>
    <t>ARROZ INTEGRAL</t>
  </si>
  <si>
    <t>MILHO (EM GRAO) CRU(A)</t>
  </si>
  <si>
    <t>MILHO (EM GRAO) COZIDO(A)</t>
  </si>
  <si>
    <t>MILHO (EM GRAO) GRELHADO(A)/BRASA/CHURRASCO</t>
  </si>
  <si>
    <t>MILHO (EM GRAO) ASSADO(A)</t>
  </si>
  <si>
    <t>MILHO (EM GRAO) REFOGADO(A)</t>
  </si>
  <si>
    <t>MILHO (EM GRAO) ENSOPADO</t>
  </si>
  <si>
    <t>MILHO (EM GRAO)</t>
  </si>
  <si>
    <t>CANJIQUINHA DE MILHO EM GRAOCRU(A)</t>
  </si>
  <si>
    <t>CANJIQUINHA DE MILHO EM GRAOCOZIDO(A)</t>
  </si>
  <si>
    <t>CANJIQUINHA DE MILHO EM GRAOENSOPADO</t>
  </si>
  <si>
    <t>CANJIQUINHA DE MILHO EM GRAOMINGAU</t>
  </si>
  <si>
    <t>CANJIQUINHA DE MILHO EM GRAOSOPA</t>
  </si>
  <si>
    <t>CANJIQUINHA DE MILHO EM GRAO</t>
  </si>
  <si>
    <t>XEREM DE MILHO</t>
  </si>
  <si>
    <t>AMENDOIM (EM GRAO) (IN NATURA)</t>
  </si>
  <si>
    <t>ERVILHA EM GRAO</t>
  </si>
  <si>
    <t>FAVA (EM GRAO)</t>
  </si>
  <si>
    <t>MANGALO AMARGO EM GRAO</t>
  </si>
  <si>
    <t>FEIJAO DE CORDA</t>
  </si>
  <si>
    <t>FEIJAO VERDE</t>
  </si>
  <si>
    <t>SEMENTE DE LINHACA</t>
  </si>
  <si>
    <t>ANDU</t>
  </si>
  <si>
    <t>GRAO DE BICO</t>
  </si>
  <si>
    <t>LENTILHA</t>
  </si>
  <si>
    <t>SOJA EM GRAO</t>
  </si>
  <si>
    <t>FEIJAO (PRETO, MULATINHO, ROXO, ROSINHA, ETC)</t>
  </si>
  <si>
    <t>QUIRERA NAO ESPECIFICADA</t>
  </si>
  <si>
    <t>FEIJAO VERDE ORGANICO</t>
  </si>
  <si>
    <t>FEIJAO ORGANICO</t>
  </si>
  <si>
    <t>PIPOCA  LIGHT</t>
  </si>
  <si>
    <t>ARROZ  ORGANICO</t>
  </si>
  <si>
    <t>ARROZ INTEGRAL ORGANICO</t>
  </si>
  <si>
    <t>FEIJAO SOJA ORGANICO</t>
  </si>
  <si>
    <t>QUINOA</t>
  </si>
  <si>
    <t>BATATA-INGLESACRU(A)</t>
  </si>
  <si>
    <t>BATATA-INGLESACOZIDO(A)</t>
  </si>
  <si>
    <t>BATATA-INGLESAGRELHADO(A)/BRASA/CHURRASCO</t>
  </si>
  <si>
    <t>BATATA-INGLESAASSADO(A)</t>
  </si>
  <si>
    <t>BATATA-INGLESAFRITO(A)</t>
  </si>
  <si>
    <t>BATATA-INGLESAREFOGADO(A)</t>
  </si>
  <si>
    <t>BATATA-INGLESAMOLHO VERMELHO</t>
  </si>
  <si>
    <t>BATATA-INGLESA MOLHO BRANCO</t>
  </si>
  <si>
    <t>BATATA-INGLESAAO ALHO E OLEO</t>
  </si>
  <si>
    <t>BATATA-INGLESACOM MANTEIGA/OLEO</t>
  </si>
  <si>
    <t>BATATA-INGLESAENSOPADO</t>
  </si>
  <si>
    <t>BATATA-INGLESASOPA</t>
  </si>
  <si>
    <t>BATATA-INGLESA</t>
  </si>
  <si>
    <t>MANDIOQUINHA SALSA (BATATA BAROA)COZIDO(A)</t>
  </si>
  <si>
    <t>MANDIOQUINHA SALSA (BATATA BAROA)REFOGADO(A)</t>
  </si>
  <si>
    <t>MANDIOQUINHA SALSA (BATATA BAROA)ENSOPADO</t>
  </si>
  <si>
    <t>MANDIOQUINHA SALSA (BATATA BAROA)</t>
  </si>
  <si>
    <t>CENOURA AMARELA (BATATA BAROA)</t>
  </si>
  <si>
    <t>BATATA DOCECRU(A)</t>
  </si>
  <si>
    <t>BATATA DOCECOZIDO(A)</t>
  </si>
  <si>
    <t>BATATA DOCEASSADO(A)</t>
  </si>
  <si>
    <t>BATATA DOCEFRITO(A)</t>
  </si>
  <si>
    <t>BATATA DOCEREFOGADO(A)</t>
  </si>
  <si>
    <t>BATATA DOCEENSOPADO</t>
  </si>
  <si>
    <t>BATATA DOCE</t>
  </si>
  <si>
    <t>INHAMECRU(A)</t>
  </si>
  <si>
    <t>INHAMECOZIDO(A)</t>
  </si>
  <si>
    <t>INHAMEASSADO(A)</t>
  </si>
  <si>
    <t>INHAMEFRITO(A)</t>
  </si>
  <si>
    <t>INHAMEREFOGADO(A)</t>
  </si>
  <si>
    <t>INHAMEENSOPADO</t>
  </si>
  <si>
    <t>INHAMESOPA</t>
  </si>
  <si>
    <t>QUICARE</t>
  </si>
  <si>
    <t>MANDIOCACRU(A)</t>
  </si>
  <si>
    <t>MANDIOCACOZIDO(A)</t>
  </si>
  <si>
    <t>MANDIOCAASSADO(A)</t>
  </si>
  <si>
    <t>MANDIOCAFRITO(A)</t>
  </si>
  <si>
    <t>MANDIOCAREFOGADO(A)</t>
  </si>
  <si>
    <t>MANDIOCAMOLHO VERMELHO</t>
  </si>
  <si>
    <t>MANDIOCACOM MANTEIGA/OLEO</t>
  </si>
  <si>
    <t>MANDIOCAENSOPADO</t>
  </si>
  <si>
    <t>MANDIOCASOPA</t>
  </si>
  <si>
    <t>MANDIOCA</t>
  </si>
  <si>
    <t>AIPIMCOZIDO(A)</t>
  </si>
  <si>
    <t>AIPIMASSADO(A)</t>
  </si>
  <si>
    <t>AIPIMFRITO(A)</t>
  </si>
  <si>
    <t>AIPIMEMPANADO(A)/A MILANESA</t>
  </si>
  <si>
    <t>AIPIMREFOGADO(A)</t>
  </si>
  <si>
    <t>AIPIMMOLHO VERMELHO</t>
  </si>
  <si>
    <t>AIPIMCOM MANTEIGA/OLEO</t>
  </si>
  <si>
    <t>AIPIMENSOPADO</t>
  </si>
  <si>
    <t>AIPIMSOPA</t>
  </si>
  <si>
    <t>AIPIM</t>
  </si>
  <si>
    <t>MACAXEIRACRU(A)</t>
  </si>
  <si>
    <t>MACAXEIRACOZIDO(A)</t>
  </si>
  <si>
    <t>MACAXEIRAASSADO(A)</t>
  </si>
  <si>
    <t>MACAXEIRAFRITO(A)</t>
  </si>
  <si>
    <t>CARACOZIDO(A)</t>
  </si>
  <si>
    <t>CARAFRITO(A)</t>
  </si>
  <si>
    <t>CARAREFOGADO(A)</t>
  </si>
  <si>
    <t>CARAENSOPADO</t>
  </si>
  <si>
    <t>CARAMINGAU</t>
  </si>
  <si>
    <t>CARASOPA</t>
  </si>
  <si>
    <t>INHAME CARAQUENTO (CARA)COZIDO(A)</t>
  </si>
  <si>
    <t>BATATA (NÃO ESPECIFICADA)CRU(A)</t>
  </si>
  <si>
    <t>BATATA (NÃO ESPECIFICADA)COZIDO(A)</t>
  </si>
  <si>
    <t>BATATA (NÃO ESPECIFICADA)GRELHADO(A)/BRASA/CHURRASCO</t>
  </si>
  <si>
    <t>BATATA (NÃO ESPECIFICADA)ASSADO(A)</t>
  </si>
  <si>
    <t>BATATA (NÃO ESPECIFICADA)FRITO(A)</t>
  </si>
  <si>
    <t>BATATA (NÃO ESPECIFICADA)REFOGADO(A)</t>
  </si>
  <si>
    <t>BATATA (NÃO ESPECIFICADA)MOLHO VERMELHO</t>
  </si>
  <si>
    <t>BATATA (NÃO ESPECIFICADA)MOLHO BRANCO</t>
  </si>
  <si>
    <t>BATATA (NÃO ESPECIFICADA)AO VINAGRETE</t>
  </si>
  <si>
    <t>BATATA (NÃO ESPECIFICADA)ENSOPADO</t>
  </si>
  <si>
    <t>BATATA (NÃO ESPECIFICADA)SOPA</t>
  </si>
  <si>
    <t>BATATA (NÃO ESPECIFICADA)</t>
  </si>
  <si>
    <t>MANDIOQUINHACOZIDO(A)</t>
  </si>
  <si>
    <t>MANDIOQUINHAFRITO(A)</t>
  </si>
  <si>
    <t>MANDIOQUINHAREFOGADO(A)</t>
  </si>
  <si>
    <t>MANDIOQUINHAENSOPADO</t>
  </si>
  <si>
    <t>RABANETECRU(A)</t>
  </si>
  <si>
    <t>RABANETECOZIDO(A)</t>
  </si>
  <si>
    <t>RABANETEAO VINAGRETE</t>
  </si>
  <si>
    <t>BETERRABACRU(A)</t>
  </si>
  <si>
    <t>BETERRABACOZIDO(A)</t>
  </si>
  <si>
    <t>BETERRABAREFOGADO(A)</t>
  </si>
  <si>
    <t>BETERRABAAO VINAGRETE</t>
  </si>
  <si>
    <t>BETERRABASOPA</t>
  </si>
  <si>
    <t>BETERRABA</t>
  </si>
  <si>
    <t>CENOURACRU(A)</t>
  </si>
  <si>
    <t>CENOURACOZIDO(A)</t>
  </si>
  <si>
    <t>CENOURAFRITO(A)</t>
  </si>
  <si>
    <t>CENOURAREFOGADO(A)</t>
  </si>
  <si>
    <t>CENOURAMOLHO VERMELHO</t>
  </si>
  <si>
    <t>CENOURAAO ALHO E OLEO</t>
  </si>
  <si>
    <t>CENOURACOM MANTEIGA/OLEO</t>
  </si>
  <si>
    <t>CENOURAAO VINAGRETE</t>
  </si>
  <si>
    <t>CENOURAENSOPADO</t>
  </si>
  <si>
    <t>CENOURASOPA</t>
  </si>
  <si>
    <t>CENOURA</t>
  </si>
  <si>
    <t>NABOCOZIDO(A)</t>
  </si>
  <si>
    <t>NABOREFOGADO(A)</t>
  </si>
  <si>
    <t>ACAFRAOCRU(A)</t>
  </si>
  <si>
    <t>BATATA INGLESA ORGANICAFRITO(A)</t>
  </si>
  <si>
    <t>CREME DE ARROZ</t>
  </si>
  <si>
    <t>ARROZINA</t>
  </si>
  <si>
    <t>MUCILON</t>
  </si>
  <si>
    <t>MINGAU DE ARROZ</t>
  </si>
  <si>
    <t>CROQUINHOS DE ARROZ</t>
  </si>
  <si>
    <t>FARINHA DE AVEIA</t>
  </si>
  <si>
    <t>AVEIA EM FLOCOS</t>
  </si>
  <si>
    <t>FUBA DE MILHO</t>
  </si>
  <si>
    <t>FARINHA DE MILHO</t>
  </si>
  <si>
    <t>PUBA DE MILHO</t>
  </si>
  <si>
    <t>PUBA DE FUBA</t>
  </si>
  <si>
    <t>MILHO MOIDOCOZIDO(A)</t>
  </si>
  <si>
    <t>MINGAU DE MILHO</t>
  </si>
  <si>
    <t>AMIDO DE MILHO</t>
  </si>
  <si>
    <t>AMIDO DE ARROZ</t>
  </si>
  <si>
    <t>CREMOGEMA</t>
  </si>
  <si>
    <t>VITAMILHO</t>
  </si>
  <si>
    <t>CREME DE MILHO</t>
  </si>
  <si>
    <t>SUCRILHOS DE MILHO</t>
  </si>
  <si>
    <t>CEREAL MATINAL DE MILHO EM FLOCOS</t>
  </si>
  <si>
    <t>GERME DE TRIGO</t>
  </si>
  <si>
    <t>FIBRA DE TRIGO</t>
  </si>
  <si>
    <t>FIBRA DE CEREAL TRIGO</t>
  </si>
  <si>
    <t>FARINHA DE MANDIOCA</t>
  </si>
  <si>
    <t>FARINHA DE COPIOBA</t>
  </si>
  <si>
    <t>FARINHA DE AGUA</t>
  </si>
  <si>
    <t>CRUERA</t>
  </si>
  <si>
    <t>GOMA DE MANDIOCA</t>
  </si>
  <si>
    <t>SAGU DE MANDIOCA</t>
  </si>
  <si>
    <t>FARINHA DE TAPIOCA</t>
  </si>
  <si>
    <t>FARINHA BEIJU</t>
  </si>
  <si>
    <t>SAGU DE TAPIOCA</t>
  </si>
  <si>
    <t>TAPIOCA DE GOMA</t>
  </si>
  <si>
    <t>FARINHA LACTEA</t>
  </si>
  <si>
    <t>NESTON</t>
  </si>
  <si>
    <t>FLOCOS DE CEREAIS</t>
  </si>
  <si>
    <t>VITAFLOCOS</t>
  </si>
  <si>
    <t>MINI PIZZA SEMIPRONTACRU(A)</t>
  </si>
  <si>
    <t>MINI PIZZA SEMIPRONTACOZIDO(A)</t>
  </si>
  <si>
    <t>MINI PIZZA SEMIPRONTAASSADO(A)</t>
  </si>
  <si>
    <t>MINI PIZZA SEMIPRONTAFRITO(A)</t>
  </si>
  <si>
    <t>MINI PIZZA SEMIPRONTA</t>
  </si>
  <si>
    <t>FIBRA DE SOJA</t>
  </si>
  <si>
    <t>MINI PASTEL</t>
  </si>
  <si>
    <t>MACARRAO CRU(A)</t>
  </si>
  <si>
    <t>MACARRAO COZIDO(A)</t>
  </si>
  <si>
    <t>MACARRAO GRELHADO(A)/BRASA/CHURRASCO</t>
  </si>
  <si>
    <t>MACARRAO ASSADO(A)</t>
  </si>
  <si>
    <t>MACARRAO FRITO(A)</t>
  </si>
  <si>
    <t>MACARRAO EMPANADO(A)/A MILANESA</t>
  </si>
  <si>
    <t>MACARRAO REFOGADO(A)</t>
  </si>
  <si>
    <t>MACARRAO MOLHO VERMELHO</t>
  </si>
  <si>
    <t>MACARRAO MOLHO BRANCO</t>
  </si>
  <si>
    <t>MACARRAO AO ALHO E OLEO</t>
  </si>
  <si>
    <t>MACARRAO COM MANTEIGA/OLEO</t>
  </si>
  <si>
    <t>MACARRAO AO VINAGRETE</t>
  </si>
  <si>
    <t>MACARRAO ENSOPADO</t>
  </si>
  <si>
    <t>MACARRAO SOPA</t>
  </si>
  <si>
    <t xml:space="preserve">MACARRAO </t>
  </si>
  <si>
    <t>PURE DE BATATA</t>
  </si>
  <si>
    <t>BIFE VEGETAL</t>
  </si>
  <si>
    <t>CARNE VEGETALFRITO(A)</t>
  </si>
  <si>
    <t>PASTA DE SOJA</t>
  </si>
  <si>
    <t>CARNE DE SOJA</t>
  </si>
  <si>
    <t>AMENDOIM MOIDO</t>
  </si>
  <si>
    <t xml:space="preserve">GRANOLA </t>
  </si>
  <si>
    <t>MUSLI</t>
  </si>
  <si>
    <t>MIX DE CEREAIS</t>
  </si>
  <si>
    <t>MIOJO</t>
  </si>
  <si>
    <t>MACARRAO INSTANTANEO</t>
  </si>
  <si>
    <t>SUSTAGEM</t>
  </si>
  <si>
    <t>PROTEINA DE SOJA</t>
  </si>
  <si>
    <t>PROTEINA VEGETAL</t>
  </si>
  <si>
    <t>COMPLEMENTO ALIMENTAR DE QUALQUER SABOR</t>
  </si>
  <si>
    <t>SUCRILHOS DE MILHO LIGHT</t>
  </si>
  <si>
    <t>MINI PIZZA SEMIPRONTA LIGHTASSADO(A)</t>
  </si>
  <si>
    <t>MACARRAO INSTANTANEO LIGHTSOPA</t>
  </si>
  <si>
    <t>MACARRAO INSTANTANEO LIGHT</t>
  </si>
  <si>
    <t>PROTEINA DE SOJA ORGANICA</t>
  </si>
  <si>
    <t>MACARRAO COM CARNE</t>
  </si>
  <si>
    <t>MACARRAO COM PEIXE</t>
  </si>
  <si>
    <t>COCO DA BAHIA (SECO OU VERDE)</t>
  </si>
  <si>
    <t>CASTANHA PORTUGUESA</t>
  </si>
  <si>
    <t>PINHAO</t>
  </si>
  <si>
    <t>AMENDOA</t>
  </si>
  <si>
    <t>AVELA</t>
  </si>
  <si>
    <t>CASTANHA DO PARA</t>
  </si>
  <si>
    <t>CASTANHA DE CAJU</t>
  </si>
  <si>
    <t>BUTIA</t>
  </si>
  <si>
    <t>TUCUMA</t>
  </si>
  <si>
    <t>COCO MUCAJA</t>
  </si>
  <si>
    <t>NOZ (NOGUEIRA)</t>
  </si>
  <si>
    <t xml:space="preserve">ACAI </t>
  </si>
  <si>
    <t>JUCARA</t>
  </si>
  <si>
    <t>UACAI</t>
  </si>
  <si>
    <t>JUSSARA</t>
  </si>
  <si>
    <t>PUPUNHA</t>
  </si>
  <si>
    <t>BACABA</t>
  </si>
  <si>
    <t>BACABUCU</t>
  </si>
  <si>
    <t>CASTANHA DA INDIA</t>
  </si>
  <si>
    <t>PISTACHE</t>
  </si>
  <si>
    <t xml:space="preserve">BURITI </t>
  </si>
  <si>
    <t xml:space="preserve">COCO </t>
  </si>
  <si>
    <t xml:space="preserve">PATAUA </t>
  </si>
  <si>
    <t>ALFACE</t>
  </si>
  <si>
    <t>BERTALHAREFOGADO(A)</t>
  </si>
  <si>
    <t>CHICORIACRU(A)</t>
  </si>
  <si>
    <t>CHICORIACOZIDO(A)</t>
  </si>
  <si>
    <t>CHICORIAREFOGADO(A)</t>
  </si>
  <si>
    <t>CHICORIAAO VINAGRETE</t>
  </si>
  <si>
    <t>ESCAROLA</t>
  </si>
  <si>
    <t>COUVECRU(A)</t>
  </si>
  <si>
    <t>COUVECOZIDO(A)</t>
  </si>
  <si>
    <t>COUVEFRITO(A)</t>
  </si>
  <si>
    <t>COUVEREFOGADO(A)</t>
  </si>
  <si>
    <t>COUVEMOLHO VERMELHO</t>
  </si>
  <si>
    <t>COUVEAO ALHO E OLEO</t>
  </si>
  <si>
    <t>COUVECOM MANTEIGA/OLEO</t>
  </si>
  <si>
    <t>COUVEAO VINAGRETE</t>
  </si>
  <si>
    <t>COUVEENSOPADO</t>
  </si>
  <si>
    <t>COUVEMINGAU</t>
  </si>
  <si>
    <t>COUVE</t>
  </si>
  <si>
    <t>COUVE FLORCRU(A)</t>
  </si>
  <si>
    <t>COUVE FLORCOZIDO(A)</t>
  </si>
  <si>
    <t>COUVE FLORFRITO(A)</t>
  </si>
  <si>
    <t>COUVE FLOREMPANADO(A)/A MILANESA</t>
  </si>
  <si>
    <t>COUVE FLORREFOGADO(A)</t>
  </si>
  <si>
    <t>COUVE FLORAO VINAGRETE</t>
  </si>
  <si>
    <t>COUVE FLOR</t>
  </si>
  <si>
    <t>ESPINAFRECRU(A)</t>
  </si>
  <si>
    <t>ESPINAFRECOZIDO(A)</t>
  </si>
  <si>
    <t>ESPINAFREREFOGADO(A)</t>
  </si>
  <si>
    <t>ESPINAFREAO VINAGRETE</t>
  </si>
  <si>
    <t>ESPINAFRE</t>
  </si>
  <si>
    <t>MOSTARDA (VERDURA)CRU(A)</t>
  </si>
  <si>
    <t>MOSTARDA (VERDURA)COZIDO(A)</t>
  </si>
  <si>
    <t>MOSTARDA (VERDURA)REFOGADO(A)</t>
  </si>
  <si>
    <t>MOSTARDA (VERDURA)</t>
  </si>
  <si>
    <t>REPOLHOCRU(A)</t>
  </si>
  <si>
    <t>REPOLHOCOZIDO(A)</t>
  </si>
  <si>
    <t>REPOLHOFRITO(A)</t>
  </si>
  <si>
    <t>REPOLHOREFOGADO(A)</t>
  </si>
  <si>
    <t>REPOLHOMOLHO BRANCO</t>
  </si>
  <si>
    <t>REPOLHOAO ALHO E OLEO</t>
  </si>
  <si>
    <t>REPOLHOAO VINAGRETE</t>
  </si>
  <si>
    <t>REPOLHOENSOPADO</t>
  </si>
  <si>
    <t>REPOLHOSOPA</t>
  </si>
  <si>
    <t>REPOLHO</t>
  </si>
  <si>
    <t>CEBOLINHA</t>
  </si>
  <si>
    <t>AGRIAOCRU(A)</t>
  </si>
  <si>
    <t>AGRIAOCOZIDO(A)</t>
  </si>
  <si>
    <t>AGRIAOAO VINAGRETE</t>
  </si>
  <si>
    <t>AGRIAOENSOPADO</t>
  </si>
  <si>
    <t>AGRIAO</t>
  </si>
  <si>
    <t>TAIOBACRU(A)</t>
  </si>
  <si>
    <t>TAIOBACOZIDO(A)</t>
  </si>
  <si>
    <t>TAIOBAREFOGADO(A)</t>
  </si>
  <si>
    <t>ACELGACRU(A)</t>
  </si>
  <si>
    <t>ACELGACOZIDO(A)</t>
  </si>
  <si>
    <t>ACELGAREFOGADO(A)</t>
  </si>
  <si>
    <t>ACELGA</t>
  </si>
  <si>
    <t>BETERRABA BRANCA (ACELGA) COZIDO(A)</t>
  </si>
  <si>
    <t>ALMEIRAOCRU(A)</t>
  </si>
  <si>
    <t>ALMEIRAOCOZIDO(A)</t>
  </si>
  <si>
    <t>ALMEIRAOREFOGADO(A)</t>
  </si>
  <si>
    <t>ALMEIRAOAO VINAGRETE</t>
  </si>
  <si>
    <t>RADITECRU(A)</t>
  </si>
  <si>
    <t>RADITEREFOGADO(A)</t>
  </si>
  <si>
    <t>RADITEAO VINAGRETE</t>
  </si>
  <si>
    <t>BROCOLISCRU(A)</t>
  </si>
  <si>
    <t>BROCOLISCOZIDO(A)</t>
  </si>
  <si>
    <t>BROCOLISEMPANADO(A)/A MILANESA</t>
  </si>
  <si>
    <t>BROCOLISREFOGADO(A)</t>
  </si>
  <si>
    <t>BROCOLISAO ALHO E OLEO</t>
  </si>
  <si>
    <t>BROCOLISAO VINAGRETE</t>
  </si>
  <si>
    <t>BROCOLIS</t>
  </si>
  <si>
    <t>SERRALHACRU(A)</t>
  </si>
  <si>
    <t>SERRALHACOZIDO(A)</t>
  </si>
  <si>
    <t>SERRALHAREFOGADO(A)</t>
  </si>
  <si>
    <t>CARURUCOZIDO(A)</t>
  </si>
  <si>
    <t>CUXA</t>
  </si>
  <si>
    <t xml:space="preserve">VINAGREIRA </t>
  </si>
  <si>
    <t>CARIRU</t>
  </si>
  <si>
    <t>RUCULA</t>
  </si>
  <si>
    <t>JAMBU</t>
  </si>
  <si>
    <t>LINGUA DE VACA (VERDURA)CRU(A)</t>
  </si>
  <si>
    <t>ALCACHOFRA</t>
  </si>
  <si>
    <t>BREDO</t>
  </si>
  <si>
    <t>SALSAO (AIPO)REFOGADO(A)</t>
  </si>
  <si>
    <t>ERVA DOCE</t>
  </si>
  <si>
    <t>FOLHA DE AIPIMCRU(A)</t>
  </si>
  <si>
    <t>FOLHA DE MACAXEIRACOZIDO(A)</t>
  </si>
  <si>
    <t>BROTO DE FEIJAOCRU(A)</t>
  </si>
  <si>
    <t>BROTO DE FEIJAOCOZIDO(A)</t>
  </si>
  <si>
    <t>MORANGACOZIDO(A)</t>
  </si>
  <si>
    <t>MORANGAREFOGADO(A)</t>
  </si>
  <si>
    <t>MORANGAENSOPADO</t>
  </si>
  <si>
    <t>MORANGA</t>
  </si>
  <si>
    <t>ABOBRINHACRU(A)</t>
  </si>
  <si>
    <t>ABOBRINHACOZIDO(A)</t>
  </si>
  <si>
    <t>ABOBRINHAGRELHADO(A)/BRASA/CHURRASCO</t>
  </si>
  <si>
    <t>ABOBRINHAASSADO(A)</t>
  </si>
  <si>
    <t>ABOBRINHAFRITO(A)</t>
  </si>
  <si>
    <t>ABOBRINHAEMPANADO(A)/A MILANESA</t>
  </si>
  <si>
    <t>ABOBRINHAREFOGADO(A)</t>
  </si>
  <si>
    <t>ABOBRINHAENSOPADO</t>
  </si>
  <si>
    <t>JERIMUMCRU(A)</t>
  </si>
  <si>
    <t>JERIMUMCOZIDO(A)</t>
  </si>
  <si>
    <t>ABOBORACRU(A)</t>
  </si>
  <si>
    <t>ABOBORACOZIDO(A)</t>
  </si>
  <si>
    <t>ABOBORAASSADO(A)</t>
  </si>
  <si>
    <t>ABOBORAFRITO(A)</t>
  </si>
  <si>
    <t>ABOBORAREFOGADO(A)</t>
  </si>
  <si>
    <t>ABOBORAMOLHO VERMELHO</t>
  </si>
  <si>
    <t>ABOBORAENSOPADO</t>
  </si>
  <si>
    <t>ABOBORASOPA</t>
  </si>
  <si>
    <t>ABOBORA</t>
  </si>
  <si>
    <t>PEPINO</t>
  </si>
  <si>
    <t>CHUCHUCRU(A)</t>
  </si>
  <si>
    <t>CHUCHUCOZIDO(A)</t>
  </si>
  <si>
    <t>CHUCHUASSADO(A)</t>
  </si>
  <si>
    <t>CHUCHUREFOGADO(A)</t>
  </si>
  <si>
    <t>CHUCHUMOLHO VERMELHO</t>
  </si>
  <si>
    <t>CHUCHUAO ALHO E OLEO</t>
  </si>
  <si>
    <t>CHUCHUAO VINAGRETE</t>
  </si>
  <si>
    <t>CHUCHUENSOPADO</t>
  </si>
  <si>
    <t>CHUCHUSOPA</t>
  </si>
  <si>
    <t>JILOCRU(A)</t>
  </si>
  <si>
    <t>JILOCOZIDO(A)</t>
  </si>
  <si>
    <t>JILOASSADO(A)</t>
  </si>
  <si>
    <t>JILOFRITO(A)</t>
  </si>
  <si>
    <t>JILOREFOGADO(A)</t>
  </si>
  <si>
    <t>JILOCOM MANTEIGA/OLEO</t>
  </si>
  <si>
    <t>JILOENSOPADO</t>
  </si>
  <si>
    <t>JILO</t>
  </si>
  <si>
    <t>MAXIXECRU(A)</t>
  </si>
  <si>
    <t>MAXIXECOZIDO(A)</t>
  </si>
  <si>
    <t>MAXIXEREFOGADO(A)</t>
  </si>
  <si>
    <t>MAXIXEENSOPADO</t>
  </si>
  <si>
    <t>PEPININHO (MAXIXE)COZIDO(A)</t>
  </si>
  <si>
    <t>PEPININHO (MAXIXE)AO VINAGRETE</t>
  </si>
  <si>
    <t>PALMITO IN NATURACRU(A)</t>
  </si>
  <si>
    <t>PALMITO IN NATURACOZIDO(A)</t>
  </si>
  <si>
    <t>PALMITO IN NATURAREFOGADO(A)</t>
  </si>
  <si>
    <t>PALMITO IN NATURAENSOPADO</t>
  </si>
  <si>
    <t>GUARIROBA (PALMITO IN NATURA)COZIDO(A)</t>
  </si>
  <si>
    <t>GUARIROBA (PALMITO IN NATURA)REFOGADO(A)</t>
  </si>
  <si>
    <t>GUARIROBA (PALMITO IN NATURA)MOLHO VERMELHO</t>
  </si>
  <si>
    <t>GUEIROBA (PALMITO IN NATURA)COZIDO(A)</t>
  </si>
  <si>
    <t>GUEIROBA (PALMITO IN NATURA)REFOGADO(A)</t>
  </si>
  <si>
    <t>PIMENTAO</t>
  </si>
  <si>
    <t>QUIABOCRU(A)</t>
  </si>
  <si>
    <t>QUIABO COZIDO(A)</t>
  </si>
  <si>
    <t>QUIABO FRITO(A)</t>
  </si>
  <si>
    <t>QUIABO EMPANADO(A)/A MILANESA</t>
  </si>
  <si>
    <t>QUIABO REFOGADO(A)</t>
  </si>
  <si>
    <t>QUIABO ENSOPADO</t>
  </si>
  <si>
    <t xml:space="preserve">QUIABO </t>
  </si>
  <si>
    <t>TOMATE</t>
  </si>
  <si>
    <t>VAGEMCRU(A)</t>
  </si>
  <si>
    <t>VAGEMCOZIDO(A)</t>
  </si>
  <si>
    <t>VAGEMREFOGADO(A)</t>
  </si>
  <si>
    <t>VAGEMCOM MANTEIGA/OLEO</t>
  </si>
  <si>
    <t>VAGEMENSOPADO</t>
  </si>
  <si>
    <t>VAGEM</t>
  </si>
  <si>
    <t>COGUMELO IN NATURA</t>
  </si>
  <si>
    <t>BERINJELACRU(A)</t>
  </si>
  <si>
    <t>BERINJELACOZIDO(A)</t>
  </si>
  <si>
    <t>BERINJELAASSADO(A)</t>
  </si>
  <si>
    <t>BERINJELAFRITO(A)</t>
  </si>
  <si>
    <t>BERINJELAEMPANADO(A)/A MILANESA</t>
  </si>
  <si>
    <t>BERINJELAREFOGADO(A)</t>
  </si>
  <si>
    <t>BERINJELA AO VINAGRETE</t>
  </si>
  <si>
    <t>BERINJELAENSOPADO</t>
  </si>
  <si>
    <t>BERINJELA</t>
  </si>
  <si>
    <t>ERVILHA EM VAGEMCOZIDO(A)</t>
  </si>
  <si>
    <t>ERVILHA EM VAGEMREFOGADO(A)</t>
  </si>
  <si>
    <t>CEBOLACRU(A)</t>
  </si>
  <si>
    <t>CEBOLACOZIDO(A)</t>
  </si>
  <si>
    <t>CEBOLAGRELHADO(A)/BRASA/CHURRASCO</t>
  </si>
  <si>
    <t>CEBOLAASSADO(A)</t>
  </si>
  <si>
    <t>CEBOLAFRITO(A)</t>
  </si>
  <si>
    <t>CEBOLAREFOGADO(A)</t>
  </si>
  <si>
    <t>CEBOLAMOLHO VERMELHO</t>
  </si>
  <si>
    <t>CEBOLACOM MANTEIGA/OLEO</t>
  </si>
  <si>
    <t>CEBOLAAO VINAGRETE</t>
  </si>
  <si>
    <t>CEBOLA</t>
  </si>
  <si>
    <t>CATALONHAREFOGADO(A)</t>
  </si>
  <si>
    <t>JARDINEIRA (SELETA)</t>
  </si>
  <si>
    <t>SELETA (JARDINEIRA)</t>
  </si>
  <si>
    <t>ALHO</t>
  </si>
  <si>
    <t>ALHO PORO</t>
  </si>
  <si>
    <t>BROTO DE ALFAFA</t>
  </si>
  <si>
    <t>ALFACE ORGANICA</t>
  </si>
  <si>
    <t>TOMATE ORGANICO</t>
  </si>
  <si>
    <t>PIMENTAO ORGANICO</t>
  </si>
  <si>
    <t>OREGANO</t>
  </si>
  <si>
    <t>PACOVA</t>
  </si>
  <si>
    <t>BANANA (OURO, PRATA, D´ÁGUA, DA TERRA, ETC)CRU(A)</t>
  </si>
  <si>
    <t>BANANA (OURO, PRATA, D´ÁGUA, DA TERRA, ETC)COZIDO(A)</t>
  </si>
  <si>
    <t>BANANA (OURO, PRATA, D´ÁGUA, DA TERRA, ETC)ASSADO(A)</t>
  </si>
  <si>
    <t>BANANA (OURO, PRATA, D´ÁGUA, DA TERRA, ETC)FRITO(A)</t>
  </si>
  <si>
    <t>BANANA (OURO, PRATA, D´ÁGUA, DA TERRA, ETC)EMPANADO(A)/A MILANESA</t>
  </si>
  <si>
    <t>BANANA (OURO, PRATA, D´ÁGUA, DA TERRA, ETC)COM MANTEIGA/OLEO</t>
  </si>
  <si>
    <t>BANANA (OURO, PRATA, D´ÁGUA, DA TERRA, ETC)ENSOPADO</t>
  </si>
  <si>
    <t>BANANA (OURO, PRATA, D´ÁGUA, DA TERRA, ETC)MINGAU</t>
  </si>
  <si>
    <t>BANANA (OURO, PRATA, D´ÁGUA, DA TERRA, ETC)SOPA</t>
  </si>
  <si>
    <t>BANANA (OURO, PRATA, D´ÁGUA, DA TERRA, ETC)</t>
  </si>
  <si>
    <t>LARANJA (PERA, SELETA, LIMA, DA TERRA, ETC)</t>
  </si>
  <si>
    <t>LIMA</t>
  </si>
  <si>
    <t>LIMAO (COMUM, GALEGO, ETC)</t>
  </si>
  <si>
    <t>TANGERINA</t>
  </si>
  <si>
    <t>MEXERICA</t>
  </si>
  <si>
    <t>BERGAMOTA</t>
  </si>
  <si>
    <t>MIMOSA</t>
  </si>
  <si>
    <t>TANJA</t>
  </si>
  <si>
    <t>MARICOTA</t>
  </si>
  <si>
    <t>LARANJINHA JAPONESA</t>
  </si>
  <si>
    <t>CANA DE ACUCAR</t>
  </si>
  <si>
    <t>ABACAXI</t>
  </si>
  <si>
    <t>0,02</t>
  </si>
  <si>
    <t>ANANAS</t>
  </si>
  <si>
    <t>ABACATE</t>
  </si>
  <si>
    <t>CAQUI</t>
  </si>
  <si>
    <t>FIGO</t>
  </si>
  <si>
    <t>MACA</t>
  </si>
  <si>
    <t>MAMAO</t>
  </si>
  <si>
    <t>PAPAIA</t>
  </si>
  <si>
    <t>MANGA</t>
  </si>
  <si>
    <t>MANGUITO</t>
  </si>
  <si>
    <t>MARACUJA</t>
  </si>
  <si>
    <t>MELANCIA</t>
  </si>
  <si>
    <t>MELAO</t>
  </si>
  <si>
    <t>PERA</t>
  </si>
  <si>
    <t>PESSEGO</t>
  </si>
  <si>
    <t>FRUTA DE CONDE</t>
  </si>
  <si>
    <t>PINHA (FRUTA DE CONDE)</t>
  </si>
  <si>
    <t>ATA</t>
  </si>
  <si>
    <t>UVA</t>
  </si>
  <si>
    <t>UVA PASSA</t>
  </si>
  <si>
    <t xml:space="preserve">JENIPAPO </t>
  </si>
  <si>
    <t>JACA</t>
  </si>
  <si>
    <t>GOIABA</t>
  </si>
  <si>
    <t>ARACA ACU (GOIABA)</t>
  </si>
  <si>
    <t>AMEIXA</t>
  </si>
  <si>
    <t>CAJU</t>
  </si>
  <si>
    <t>CEREJA</t>
  </si>
  <si>
    <t>CAJA MANGA</t>
  </si>
  <si>
    <t>CAJARANA</t>
  </si>
  <si>
    <t>TAPEREBA</t>
  </si>
  <si>
    <t>ACAJA (TABEREBA)</t>
  </si>
  <si>
    <t>CARAMBOLA</t>
  </si>
  <si>
    <t>JABOTICABA</t>
  </si>
  <si>
    <t>GRAVIOLA</t>
  </si>
  <si>
    <t>MORANGO</t>
  </si>
  <si>
    <t>JAMBO</t>
  </si>
  <si>
    <t xml:space="preserve">ATEMOIA </t>
  </si>
  <si>
    <t>MANGABA</t>
  </si>
  <si>
    <t>ARACA</t>
  </si>
  <si>
    <t>NESPERA</t>
  </si>
  <si>
    <t>FRUTA PAO</t>
  </si>
  <si>
    <t>SAPOTI</t>
  </si>
  <si>
    <t>UXI</t>
  </si>
  <si>
    <t>TAMARINDO</t>
  </si>
  <si>
    <t>CACAU</t>
  </si>
  <si>
    <t xml:space="preserve">PITOMBA </t>
  </si>
  <si>
    <t>BACURI</t>
  </si>
  <si>
    <t>INGA</t>
  </si>
  <si>
    <t>PEQUI</t>
  </si>
  <si>
    <t xml:space="preserve">PITANGA </t>
  </si>
  <si>
    <t>CIRIGUELA</t>
  </si>
  <si>
    <t>MURICI</t>
  </si>
  <si>
    <t>UMBU</t>
  </si>
  <si>
    <t>IMBU</t>
  </si>
  <si>
    <t>BIRIBA</t>
  </si>
  <si>
    <t>CUPUACU</t>
  </si>
  <si>
    <t>NECTARINA</t>
  </si>
  <si>
    <t>MARI</t>
  </si>
  <si>
    <t>ROMA</t>
  </si>
  <si>
    <t>ACEROLA</t>
  </si>
  <si>
    <t>KIWI</t>
  </si>
  <si>
    <t>ABIU</t>
  </si>
  <si>
    <t>JURUBEBA</t>
  </si>
  <si>
    <t>FRUTA (NAO ESPECIFICADA)</t>
  </si>
  <si>
    <t>MACA ORGANICA</t>
  </si>
  <si>
    <t>ACEROLA ORGANICA</t>
  </si>
  <si>
    <t>AMORA</t>
  </si>
  <si>
    <t>JAMELAO (JAMBURAO)</t>
  </si>
  <si>
    <t>DEMERARA</t>
  </si>
  <si>
    <t>ACUCAR MASCAVO</t>
  </si>
  <si>
    <t>RAPADURA</t>
  </si>
  <si>
    <t>ALFENIM DE CANA</t>
  </si>
  <si>
    <t>BATIDA (RAPADURA)</t>
  </si>
  <si>
    <t>SORVETE DE QUALQUER SABOR INDUSTRIALIZADO</t>
  </si>
  <si>
    <t>PICOLE DE QUALQUER SABOR INDUSTRIALIZADO</t>
  </si>
  <si>
    <t>CHICLETE</t>
  </si>
  <si>
    <t>BALA</t>
  </si>
  <si>
    <t>CARAMELO (BALA)</t>
  </si>
  <si>
    <t>DROPS</t>
  </si>
  <si>
    <t>PASTILHA</t>
  </si>
  <si>
    <t>PIRULITO</t>
  </si>
  <si>
    <t>GOMA DE MASCAR</t>
  </si>
  <si>
    <t>JUJUBA</t>
  </si>
  <si>
    <t>TABLETE DE CHOCOLATE</t>
  </si>
  <si>
    <t>BARRA DE CHOCOLATE</t>
  </si>
  <si>
    <t>CONFETE</t>
  </si>
  <si>
    <t>CHOCOLATE EM PO DE QUALQUER MARCA</t>
  </si>
  <si>
    <t>OVOMALTINE</t>
  </si>
  <si>
    <t>ACHOCOLATADO EM PO</t>
  </si>
  <si>
    <t>TODDYNHO</t>
  </si>
  <si>
    <t>BOMBOM DE QUALQUER MARCA</t>
  </si>
  <si>
    <t xml:space="preserve">TRUFA </t>
  </si>
  <si>
    <t>GELEIA DE FRUTAS DE QUALQUER MARCA OU SABOR</t>
  </si>
  <si>
    <t xml:space="preserve">MOUSSE DE QUALQUER SABOR (GELÉIA) </t>
  </si>
  <si>
    <t>GELEIA DE MOCOTO</t>
  </si>
  <si>
    <t>DOCE DE FRUTAS EM PASTA DE QUALQUER SABOR</t>
  </si>
  <si>
    <t>PASTA DE AMENDOIM</t>
  </si>
  <si>
    <t>PESSEGADA</t>
  </si>
  <si>
    <t>MARMELADA</t>
  </si>
  <si>
    <t>FIGADA</t>
  </si>
  <si>
    <t>GOIABADA</t>
  </si>
  <si>
    <t>CAJU EM PASTA</t>
  </si>
  <si>
    <t>MARIOLA</t>
  </si>
  <si>
    <t>DOCE DE FRUTAS EM CALDA DE QUALQUER SABOR</t>
  </si>
  <si>
    <t>DOCE DE FRUTAS CRISTALIZADO DE QUALQUER SABOR</t>
  </si>
  <si>
    <t>MELADO</t>
  </si>
  <si>
    <t xml:space="preserve">MEL </t>
  </si>
  <si>
    <t>GELATINA DE QUALQUER SABOR</t>
  </si>
  <si>
    <t>ADOCANTE ARTIFICIAL</t>
  </si>
  <si>
    <t>MERENGUE</t>
  </si>
  <si>
    <t>SCHIMIER DE CANA</t>
  </si>
  <si>
    <t>FRUTA SECA OU DESIDRATADA</t>
  </si>
  <si>
    <t>PASSA</t>
  </si>
  <si>
    <t>PUDIM DE QUALQUER SABOR</t>
  </si>
  <si>
    <t>DANETTE PUDIM</t>
  </si>
  <si>
    <t>MANJAR</t>
  </si>
  <si>
    <t>CUSCUZ</t>
  </si>
  <si>
    <t>CUSCUZ DE TAPIOCA</t>
  </si>
  <si>
    <t>MARIA MOLE</t>
  </si>
  <si>
    <t>COCADA</t>
  </si>
  <si>
    <t>QUEBRA QUEIXO</t>
  </si>
  <si>
    <t>DOCE DE AMENDOIM</t>
  </si>
  <si>
    <t>PE DE MOLEQUE</t>
  </si>
  <si>
    <t>PACOCA</t>
  </si>
  <si>
    <t>TORRAO DE AMENDOIM</t>
  </si>
  <si>
    <t>PACOQUINHA DE AMENDOIM</t>
  </si>
  <si>
    <t>AMENDOIM CARAMELIZADO</t>
  </si>
  <si>
    <t>AMENDOIM AMANTEIGADO</t>
  </si>
  <si>
    <t>AMENDOIM ACHOCOLATADO</t>
  </si>
  <si>
    <t>AMENDOIM APIMENTADO</t>
  </si>
  <si>
    <t>AMENDOIM COZIDO</t>
  </si>
  <si>
    <t>BRIGADEIRO</t>
  </si>
  <si>
    <t>BOMBA DE QUALQUER TIPO</t>
  </si>
  <si>
    <t>MIL FOLHAS</t>
  </si>
  <si>
    <t>QUEIJADINHA</t>
  </si>
  <si>
    <t>DOCE A BASE DE OVOS</t>
  </si>
  <si>
    <t>CACAROLA ITALIANA</t>
  </si>
  <si>
    <t>QUINDIM</t>
  </si>
  <si>
    <t>FIOS DE OVOS</t>
  </si>
  <si>
    <t>DOCE A BASE DE LEITE</t>
  </si>
  <si>
    <t>PAVE DE QUALQUER SABOR</t>
  </si>
  <si>
    <t>AMBROSIA</t>
  </si>
  <si>
    <t>LEITE GELEIFICADO</t>
  </si>
  <si>
    <t>CHANDELE DE QUALQUER SABOR</t>
  </si>
  <si>
    <t xml:space="preserve">MUMU </t>
  </si>
  <si>
    <t>CANUDINHO RECHEADO</t>
  </si>
  <si>
    <t>SAROLHO</t>
  </si>
  <si>
    <t>BEIJU</t>
  </si>
  <si>
    <t>SCHIMIER DE FRUTA (EXCETO DE CANA)</t>
  </si>
  <si>
    <t>BEIJO DE MOCA</t>
  </si>
  <si>
    <t>PICOLE ENSACADO</t>
  </si>
  <si>
    <t>GELADINHO</t>
  </si>
  <si>
    <t>CHURRO</t>
  </si>
  <si>
    <t>PAMONHA</t>
  </si>
  <si>
    <t>ALGODAO-DOCE</t>
  </si>
  <si>
    <t>IOIO CREME (CHOCOLATE EM CREME)</t>
  </si>
  <si>
    <t>OVO DE PASCOA</t>
  </si>
  <si>
    <t>KINDER OVO</t>
  </si>
  <si>
    <t>TORRONE</t>
  </si>
  <si>
    <t>ARROZ-DOCE</t>
  </si>
  <si>
    <t>POLPA DE COCO</t>
  </si>
  <si>
    <t>DIET SHAKE</t>
  </si>
  <si>
    <t>CONCENTRADO ALIMENTAR DIET SHAKE</t>
  </si>
  <si>
    <t xml:space="preserve">ACUCAR </t>
  </si>
  <si>
    <t>ACUCAR LIGHT</t>
  </si>
  <si>
    <t>BARRA DE CEREAIS</t>
  </si>
  <si>
    <t>BARRA DE CEREAIS SALGADA</t>
  </si>
  <si>
    <t>BARRA DE CEREAIS DOCE</t>
  </si>
  <si>
    <t>SOBREMESA DE QUALQUER TIPO (EXCETO INFANTIL)</t>
  </si>
  <si>
    <t>RABANADA</t>
  </si>
  <si>
    <t xml:space="preserve">MILK SHAKE </t>
  </si>
  <si>
    <t>GELEIA DIET</t>
  </si>
  <si>
    <t>DOCE DE FRUTAS DIET</t>
  </si>
  <si>
    <t>PASTEIS DE SANTA CLARA</t>
  </si>
  <si>
    <t>SUSPIRO</t>
  </si>
  <si>
    <t>DOCE DE FRUTAS CRISTALIZADO DE QUALQUER SABOR DIET</t>
  </si>
  <si>
    <t>SORVETE DE QUALQUER SABOR INDUSTRIALIZADO LIGHT</t>
  </si>
  <si>
    <t>SORVETE DE QUALQUER SABOR INDUSTRIALIZADO DIET</t>
  </si>
  <si>
    <t>BALA LIGHT</t>
  </si>
  <si>
    <t>CHICLETE DIET</t>
  </si>
  <si>
    <t>BALA DIET</t>
  </si>
  <si>
    <t>BARRA DE CHOCOLATE LIGHT</t>
  </si>
  <si>
    <t>BARRA DE CHOCOLATE DIET</t>
  </si>
  <si>
    <t>ACHOCOLATADO EM PO LIGHT</t>
  </si>
  <si>
    <t>ACHOCOLATADO EM PO DIET</t>
  </si>
  <si>
    <t>TODDYNHO DIET</t>
  </si>
  <si>
    <t>BOMBOM DE QUALQUER MARCA LIGHT</t>
  </si>
  <si>
    <t>BOMBOM DE QUALQUER MARCA DIET</t>
  </si>
  <si>
    <t>BOMBOM CARAMELIZADO DE QUALQUER MARCA DIET</t>
  </si>
  <si>
    <t>GELEIA DE FRUTAS DE QUALQUER MARCA OU SABOR LIGHT</t>
  </si>
  <si>
    <t>GELEIA LIGHT</t>
  </si>
  <si>
    <t>GELEIA DE FRUTAS LIGHT</t>
  </si>
  <si>
    <t>DOCE DE FRUTAS EM BARRA OU PASTA LIGHT</t>
  </si>
  <si>
    <t>DOCE DE FRUTAS EM PASTA LIGHT</t>
  </si>
  <si>
    <t>PUDIM DE QUALQUER SABOR LIGHT</t>
  </si>
  <si>
    <t>PUDIM DANETTE LIGHT</t>
  </si>
  <si>
    <t>PUDIM DE QUALQUER SABOR DIET</t>
  </si>
  <si>
    <t>DOCE DE LEITE LIGHT</t>
  </si>
  <si>
    <t>DOCE DE LEITE DIET</t>
  </si>
  <si>
    <t>BARRA DE CEREAIS DIET</t>
  </si>
  <si>
    <t>BARRA DE CEREAIS DOCE DIET</t>
  </si>
  <si>
    <t>MILK SHAKE DIET</t>
  </si>
  <si>
    <t>COCADA DIET</t>
  </si>
  <si>
    <t>DOCE DE AMENDOIM DIET</t>
  </si>
  <si>
    <t>PACOCA DIET</t>
  </si>
  <si>
    <t>AMENDOIM AMANTEIGADO DIET</t>
  </si>
  <si>
    <t>DOCE A BASE DE LEITE DIET</t>
  </si>
  <si>
    <t>GELATINA DE QUALQUER SABOR LIGHT</t>
  </si>
  <si>
    <t>ADOCANTE LIGHT</t>
  </si>
  <si>
    <t>ADOCANTE EM PO LIGHT</t>
  </si>
  <si>
    <t>ADOCANTE LIQUIDO LIGHT</t>
  </si>
  <si>
    <t>MOSTARDA MOLHO</t>
  </si>
  <si>
    <t>HORTELA</t>
  </si>
  <si>
    <t>ALCAPARRA EM CONSERVA</t>
  </si>
  <si>
    <t>COENTRO</t>
  </si>
  <si>
    <t>MOLHO DE SOJA</t>
  </si>
  <si>
    <t>SHOYO</t>
  </si>
  <si>
    <t>LEITE DE COCO</t>
  </si>
  <si>
    <t>MAIONESE (MOLHO)</t>
  </si>
  <si>
    <t>MASSA DE TOMATE</t>
  </si>
  <si>
    <t>MOLHO DE TOMATE</t>
  </si>
  <si>
    <t>KETCHUP</t>
  </si>
  <si>
    <t>CATCHUP</t>
  </si>
  <si>
    <t>PIMENTA EM PO</t>
  </si>
  <si>
    <t>TUCUPI EM CALDO SEM PIMENTA</t>
  </si>
  <si>
    <t>CREME DE QUEIJO</t>
  </si>
  <si>
    <t>CALDO DE PEIXE</t>
  </si>
  <si>
    <t>CALDO DE TOMATE</t>
  </si>
  <si>
    <t>GERGELIM</t>
  </si>
  <si>
    <t>TOMATE SECO</t>
  </si>
  <si>
    <t>MAIONESE (MOLHO) LIGHT</t>
  </si>
  <si>
    <t>MOLHO DE SOJA LIGHT</t>
  </si>
  <si>
    <t>LEITE DE COCO LIGHT</t>
  </si>
  <si>
    <t>VINAGRETE</t>
  </si>
  <si>
    <t>FILE MIGNONCOZIDO(A)</t>
  </si>
  <si>
    <t>FILE MIGNONGRELHADO(A)/BRASA/CHURRASCO</t>
  </si>
  <si>
    <t>FILE MIGNONASSADO(A)</t>
  </si>
  <si>
    <t>FILE MIGNONFRITO(A)</t>
  </si>
  <si>
    <t>FILE MIGNONEMPANADO(A)/A MILANESA</t>
  </si>
  <si>
    <t>FILE MIGNONREFOGADO(A)</t>
  </si>
  <si>
    <t>FILE MIGNONMOLHO VERMELHO</t>
  </si>
  <si>
    <t>FILE MIGNONMOLHO BRANCO</t>
  </si>
  <si>
    <t>FILE MIGNONCOM MANTEIGA/OLEO</t>
  </si>
  <si>
    <t>FILE MIGNON</t>
  </si>
  <si>
    <t>CONTRAFILECOZIDO(A)</t>
  </si>
  <si>
    <t>CONTRAFILEGRELHADO(A)/BRASA/CHURRASCO</t>
  </si>
  <si>
    <t>CONTRAFILEASSADO(A)</t>
  </si>
  <si>
    <t>CONTRAFILEFRITO(A)</t>
  </si>
  <si>
    <t>CONTRAFILEEMPANADO(A)/A MILANESA</t>
  </si>
  <si>
    <t>CONTRAFILEREFOGADO(A)</t>
  </si>
  <si>
    <t>CONTRAFILEMOLHO VERMELHO</t>
  </si>
  <si>
    <t>BISTECA BOVINACRU(A)</t>
  </si>
  <si>
    <t>BISTECA BOVINACOZIDO(A)</t>
  </si>
  <si>
    <t>BISTECA BOVINAGRELHADO(A)/BRASA/CHURRASCO</t>
  </si>
  <si>
    <t>BISTECA BOVINAASSADO(A)</t>
  </si>
  <si>
    <t>BISTECA BOVINAFRITO(A)</t>
  </si>
  <si>
    <t>BISTECA BOVINAEMPANADO(A)/A MILANESA</t>
  </si>
  <si>
    <t>BISTECA BOVINAREFOGADO(A)</t>
  </si>
  <si>
    <t>BISTECA BOVINAMOLHO VERMELHO</t>
  </si>
  <si>
    <t>ALCATRACRU(A)</t>
  </si>
  <si>
    <t>ALCATRA COZIDO(A)</t>
  </si>
  <si>
    <t>ALCATRAGRELHADO(A)/BRASA/CHURRASCO</t>
  </si>
  <si>
    <t>ALCATRAASSADO(A)</t>
  </si>
  <si>
    <t>ALCATRAFRITO(A)</t>
  </si>
  <si>
    <t>ALCATRAEMPANADO(A)/A MILANESA</t>
  </si>
  <si>
    <t>ALCATRAREFOGADO(A)</t>
  </si>
  <si>
    <t>ALCATRAMOLHO VERMELHO</t>
  </si>
  <si>
    <t>ALCATRAAO VINAGRETE</t>
  </si>
  <si>
    <t>ALCATRAENSOPADO</t>
  </si>
  <si>
    <t>MAMINHAGRELHADO(A)/BRASA/CHURRASCO</t>
  </si>
  <si>
    <t>MAMINHAASSADO(A)</t>
  </si>
  <si>
    <t>MAMINHAFRITO(A)</t>
  </si>
  <si>
    <t>MAMINHAMOLHO VERMELHO</t>
  </si>
  <si>
    <t>PICANHACOZIDO(A)</t>
  </si>
  <si>
    <t>PICANHAGRELHADO(A)/BRASA/CHURRASCO</t>
  </si>
  <si>
    <t>PICANHAASSADO(A)</t>
  </si>
  <si>
    <t>PICANHA FRITO(A)</t>
  </si>
  <si>
    <t>PICANHA ENSOPADO</t>
  </si>
  <si>
    <t>PATINHOCOZIDO(A)</t>
  </si>
  <si>
    <t>PATINHOGRELHADO(A)/BRASA/CHURRASCO</t>
  </si>
  <si>
    <t>PATINHOASSADO(A)</t>
  </si>
  <si>
    <t>PATINHOFRITO(A)</t>
  </si>
  <si>
    <t>PATINHOEMPANADO(A)/A MILANESA</t>
  </si>
  <si>
    <t>PATINHOMOLHO VERMELHO</t>
  </si>
  <si>
    <t>PATINHOENSOPADO</t>
  </si>
  <si>
    <t>CABECA DE LOMBO (CARNE BOVINA)COZIDO(A)</t>
  </si>
  <si>
    <t>CABECA DE LOMBO (CARNE BOVINA)GRELHADO(A)/BRASA/CHURRASCO</t>
  </si>
  <si>
    <t>CABECA DE LOMBO (CARNE BOVINA)ASSADO(A)</t>
  </si>
  <si>
    <t>CABECA DE LOMBO (CARNE BOVINA)FRITO(A)</t>
  </si>
  <si>
    <t>CABECA DE LOMBO (CARNE BOVINA)EMPANADO(A)/A MILANESA</t>
  </si>
  <si>
    <t>CABECA DE LOMBO (CARNE BOVINA)REFOGADO(A)</t>
  </si>
  <si>
    <t>POSTA BRANCACOZIDO(A)</t>
  </si>
  <si>
    <t>POSTA BRANCAFRITO(A)</t>
  </si>
  <si>
    <t>POSTA BRANCAMOLHO VERMELHO</t>
  </si>
  <si>
    <t>TATU (LAGARTO REDONDO)COZIDO(A)</t>
  </si>
  <si>
    <t>TATU (LAGARTO REDONDO)ASSADO(A)</t>
  </si>
  <si>
    <t>TATU (LAGARTO REDONDO)REFOGADO(A)</t>
  </si>
  <si>
    <t>TATU (LAGARTO REDONDO)</t>
  </si>
  <si>
    <t>PAULISTACOZIDO(A)</t>
  </si>
  <si>
    <t>PAULISTAASSADO(A)</t>
  </si>
  <si>
    <t>LOMBO PAULISTA (CARNE BOVINA)COZIDO(A)</t>
  </si>
  <si>
    <t>LOMBO PAULISTA (CARNE BOVINA)ASSADO(A)</t>
  </si>
  <si>
    <t>LOMBO PAULISTA (CARNE BOVINA)FRITO(A)</t>
  </si>
  <si>
    <t>LOMBO PAULISTA (CARNE BOVINA)ENSOPADO</t>
  </si>
  <si>
    <t>POSTA VERMELHACOZIDO(A)</t>
  </si>
  <si>
    <t>ACEMCOZIDO(A)</t>
  </si>
  <si>
    <t>ACEMASSADO(A)</t>
  </si>
  <si>
    <t>ACEMFRITO(A)</t>
  </si>
  <si>
    <t>ACEMEMPANADO(A)/A MILANESA</t>
  </si>
  <si>
    <t>ACEMREFOGADO(A)</t>
  </si>
  <si>
    <t>ACEMENSOPADO</t>
  </si>
  <si>
    <t>AGULHA (ACEM)COZIDO(A)</t>
  </si>
  <si>
    <t>AGULHA (ACEM)ASSADO(A)</t>
  </si>
  <si>
    <t>AGULHA (ACEM)FRITO(A)</t>
  </si>
  <si>
    <t>PALETA COZIDO(A)</t>
  </si>
  <si>
    <t>PALETA FRITO(A)</t>
  </si>
  <si>
    <t>PALETA MOLHO VERMELHO</t>
  </si>
  <si>
    <t>PALETA ENSOPADO</t>
  </si>
  <si>
    <t>PA COM OSSOCOZIDO(A)</t>
  </si>
  <si>
    <t>PA COM OSSOGRELHADO(A)/BRASA/CHURRASCO</t>
  </si>
  <si>
    <t>PA COM OSSOASSADO(A)</t>
  </si>
  <si>
    <t>MUSCULO BOVINOCOZIDO(A)</t>
  </si>
  <si>
    <t>MUSCULO BOVINOASSADO(A)</t>
  </si>
  <si>
    <t>MUSCULO BOVINOMOLHO VERMELHO</t>
  </si>
  <si>
    <t>MUSCULO BOVINOENSOPADO</t>
  </si>
  <si>
    <t>MUSCULO BOVINOSOPA</t>
  </si>
  <si>
    <t>CHAMBARILCOZIDO(A)</t>
  </si>
  <si>
    <t>CHAMBARILASSADO(A)</t>
  </si>
  <si>
    <t>CHAMBARILREFOGADO(A)</t>
  </si>
  <si>
    <t>CARNE MARICA BOVINACOZIDO(A)</t>
  </si>
  <si>
    <t>CARNE MARICA BOVINAFRITO(A)</t>
  </si>
  <si>
    <t>CARNE MARICA BOVINAREFOGADO(A)</t>
  </si>
  <si>
    <t>VAZIO (CARNE BOVINA)COZIDO(A)</t>
  </si>
  <si>
    <t>VAZIO (CARNE BOVINA)GRELHADO(A)/BRASA/CHURRASCO</t>
  </si>
  <si>
    <t>VAZIO (CARNE BOVINA)FRITO(A)</t>
  </si>
  <si>
    <t>PEITO BOVINOCOZIDO(A)</t>
  </si>
  <si>
    <t>PEITO BOVINOFRITO(A)</t>
  </si>
  <si>
    <t>FRALDINHA (CAPA DE FILE)COZIDO(A)</t>
  </si>
  <si>
    <t>FRALDINHA (CAPA DE FILE)GRELHADO(A)/BRASA/CHURRASCO</t>
  </si>
  <si>
    <t>FRALDINHA (CAPA DE FILE)ASSADO(A)</t>
  </si>
  <si>
    <t>FRALDINHA (CAPA DE FILE)FRITO(A)</t>
  </si>
  <si>
    <t>ABA DE FILÉ CRU(A)</t>
  </si>
  <si>
    <t>ABA DE FILÉ GRELHADO(A)/BRASA/CHURRASCO</t>
  </si>
  <si>
    <t>ABA DE FILÉ FRITO(A)</t>
  </si>
  <si>
    <t>COSTELA BOVINACOZIDO(A)</t>
  </si>
  <si>
    <t>COSTELA BOVINAASSADO(A)</t>
  </si>
  <si>
    <t>COSTELA BOVINAREFOGADO(A)</t>
  </si>
  <si>
    <t>COSTELA BOVINAENSOPADO</t>
  </si>
  <si>
    <t>JACARE (CARNE BOVINA DE SEGUNDA C/ OSSO)COZIDO(A)</t>
  </si>
  <si>
    <t>JACARE (CARNE BOVINA DE SEGUNDA C/ OSSO)ASSADO(A)</t>
  </si>
  <si>
    <t>JACARE (CARNE BOVINA DE SEGUNDA C/ OSSO)FRITO(A)</t>
  </si>
  <si>
    <t>FILE DE SEGUNDAGRELHADO(A)/BRASA/CHURRASCO</t>
  </si>
  <si>
    <t>FILE DE SEGUNDAASSADO(A)</t>
  </si>
  <si>
    <t>FILE DE SEGUNDAFRITO(A)</t>
  </si>
  <si>
    <t>FILE DE SEGUNDAEMPANADO(A)/A MILANESA</t>
  </si>
  <si>
    <t>FILE DE SEGUNDAAO ALHO E OLEO</t>
  </si>
  <si>
    <t>VISCERA BOVINA COZIDO(A)</t>
  </si>
  <si>
    <t>VISCERA BOVINA FRITO(A)</t>
  </si>
  <si>
    <t>PANELADA (VISCERAS BOVINAS NAO ESPECIFICADAS)COZIDO(A)</t>
  </si>
  <si>
    <t>PANELADA (VISCERAS BOVINAS NAO ESPECIFICADAS)ENSOPADO</t>
  </si>
  <si>
    <t>CORACAO BOVINOCOZIDO(A)</t>
  </si>
  <si>
    <t>CORACAO BOVINOGRELHADO(A)/BRASA/CHURRASCO</t>
  </si>
  <si>
    <t>CORACAO BOVINOASSADO(A)</t>
  </si>
  <si>
    <t>CORACAO BOVINOFRITO(A)</t>
  </si>
  <si>
    <t>RIM DE BOI COZIDO(A)</t>
  </si>
  <si>
    <t>BOFE BOVINOASSADO(A)</t>
  </si>
  <si>
    <t>BOFE BOVINOFRITO(A)</t>
  </si>
  <si>
    <t>BOFE BOVINOREFOGADO(A)</t>
  </si>
  <si>
    <t>MIOLO DE BOICOZIDO(A)</t>
  </si>
  <si>
    <t>TRIPA BOVINACOZIDO(A)</t>
  </si>
  <si>
    <t>TRIPA BOVINAGRELHADO(A)/BRASA/CHURRASCO</t>
  </si>
  <si>
    <t>TRIPA BOVINAASSADO(A)</t>
  </si>
  <si>
    <t>TRIPA BOVINAFRITO(A)</t>
  </si>
  <si>
    <t>DOBRADINHA FRESCACOZIDO(A)</t>
  </si>
  <si>
    <t>DOBRADINHA FRESCAASSADO(A)</t>
  </si>
  <si>
    <t>DOBRADINHA FRESCAMOLHO VERMELHO</t>
  </si>
  <si>
    <t>DOBRADINHA FRESCAENSOPADO</t>
  </si>
  <si>
    <t>DOBRADINHA FRESCA</t>
  </si>
  <si>
    <t>FATO BOVINOCOZIDO(A)</t>
  </si>
  <si>
    <t>FATO BOVINOFRITO(A)</t>
  </si>
  <si>
    <t>FATO CAPRINOCOZIDO(A)</t>
  </si>
  <si>
    <t>FIGADO BOVINOCRU(A)</t>
  </si>
  <si>
    <t>FIGADO BOVINOCOZIDO(A)</t>
  </si>
  <si>
    <t>FIGADO BOVINOGRELHADO(A)/BRASA/CHURRASCO</t>
  </si>
  <si>
    <t>FIGADO BOVINOASSADO(A)</t>
  </si>
  <si>
    <t>FIGADO BOVINOFRITO(A)</t>
  </si>
  <si>
    <t>FIGADO BOVINOEMPANADO(A)/A MILANESA</t>
  </si>
  <si>
    <t>FIGADO BOVINOREFOGADO(A)</t>
  </si>
  <si>
    <t>FIGADO BOVINOMOLHO VERMELHO</t>
  </si>
  <si>
    <t>FIGADO BOVINOAO ALHO E OLEO</t>
  </si>
  <si>
    <t>FIGADO BOVINOENSOPADO</t>
  </si>
  <si>
    <t>CUPIMGRELHADO(A)/BRASA/CHURRASCO</t>
  </si>
  <si>
    <t>CUPIMASSADO(A)</t>
  </si>
  <si>
    <t>CUPIMFRITO(A)</t>
  </si>
  <si>
    <t>LINGUA BOVINACOZIDO(A)</t>
  </si>
  <si>
    <t>LINGUA BOVINAGRELHADO(A)/BRASA/CHURRASCO</t>
  </si>
  <si>
    <t>LINGUA BOVINAASSADO(A)</t>
  </si>
  <si>
    <t>LINGUA BOVINAFRITO(A)</t>
  </si>
  <si>
    <t>LINGUA BOVINAMOLHO VERMELHO</t>
  </si>
  <si>
    <t>LINGUA BOVINAENSOPADO</t>
  </si>
  <si>
    <t>RABADA DE BOI</t>
  </si>
  <si>
    <t>MOCOTO BOVINOCOZIDO(A)</t>
  </si>
  <si>
    <t>MOCOTO BOVINOENSOPADO</t>
  </si>
  <si>
    <t>MOCOTO BOVINOSOPA</t>
  </si>
  <si>
    <t>MOCOTO BOVINO</t>
  </si>
  <si>
    <t>BRACO BOVINOFRITO(A)</t>
  </si>
  <si>
    <t>MAO BOVINACOZIDO(A)</t>
  </si>
  <si>
    <t>CARRE COZIDO(A)</t>
  </si>
  <si>
    <t>CARRE GRELHADO(A)/BRASA/CHURRASCO</t>
  </si>
  <si>
    <t>CARRE ASSADO(A)</t>
  </si>
  <si>
    <t>CARRE FRITO(A)</t>
  </si>
  <si>
    <t>BISTECA SUINACOZIDO(A)</t>
  </si>
  <si>
    <t>BISTECA SUINAGRELHADO(A)/BRASA/CHURRASCO</t>
  </si>
  <si>
    <t>BISTECA SUINAASSADO(A)</t>
  </si>
  <si>
    <t>BISTECA SUINAFRITO(A)</t>
  </si>
  <si>
    <t>BISTECA SUINAEMPANADO(A)/A MILANESA</t>
  </si>
  <si>
    <t>BISTECA SUINAREFOGADO(A)</t>
  </si>
  <si>
    <t>BISTECA SUINA</t>
  </si>
  <si>
    <t>PERNIL SUINOCOZIDO(A)</t>
  </si>
  <si>
    <t>PERNIL SUINOASSADO(A)</t>
  </si>
  <si>
    <t>PERNIL SUINOFRITO(A)</t>
  </si>
  <si>
    <t>PERNIL SUINOREFOGADO(A)</t>
  </si>
  <si>
    <t>QUARTO SUINOCOZIDO(A)</t>
  </si>
  <si>
    <t>COSTELA SUINACRU(A)</t>
  </si>
  <si>
    <t>COSTELA SUINACOZIDO(A)</t>
  </si>
  <si>
    <t>COSTELA SUINAGRELHADO(A)/BRASA/CHURRASCO</t>
  </si>
  <si>
    <t>COSTELA SUINAASSADO(A)</t>
  </si>
  <si>
    <t>COSTELA SUINAFRITO(A)</t>
  </si>
  <si>
    <t>COSTELA SUINAREFOGADO(A)</t>
  </si>
  <si>
    <t>COSTELA SUINAMOLHO VERMELHO</t>
  </si>
  <si>
    <t>COSTELA SUINAENSOPADO</t>
  </si>
  <si>
    <t>COSTELA SUINA</t>
  </si>
  <si>
    <t>LOMBO SUINOCOZIDO(A)</t>
  </si>
  <si>
    <t>LOMBO SUINOGRELHADO(A)/BRASA/CHURRASCO</t>
  </si>
  <si>
    <t>LOMBO SUINOASSADO(A)</t>
  </si>
  <si>
    <t>LOMBO SUINOFRITO(A)</t>
  </si>
  <si>
    <t>TOUCINHO</t>
  </si>
  <si>
    <t>MIUDO SUINOCOZIDO(A)</t>
  </si>
  <si>
    <t>ARRASTO SUINO</t>
  </si>
  <si>
    <t>SARAPATEL SUINO FRESCO</t>
  </si>
  <si>
    <t>CARNE SUINACRU(A)</t>
  </si>
  <si>
    <t>CARNE SUINACOZIDO(A)</t>
  </si>
  <si>
    <t>CARNE SUINAGRELHADO(A)/BRASA/CHURRASCO</t>
  </si>
  <si>
    <t>CARNE SUINAASSADO(A)</t>
  </si>
  <si>
    <t>CARNE SUINAFRITO(A)</t>
  </si>
  <si>
    <t>CARNE SUINAEMPANADO(A)/A MILANESA</t>
  </si>
  <si>
    <t>CARNE SUINAREFOGADO(A)</t>
  </si>
  <si>
    <t>CARNE SUINAMOLHO VERMELHO</t>
  </si>
  <si>
    <t>CARNE SUINAAO ALHO E OLEO</t>
  </si>
  <si>
    <t>CARNE SUINAENSOPADO</t>
  </si>
  <si>
    <t>CARNE SUINA</t>
  </si>
  <si>
    <t>CARNE MOIDA CRU(A)</t>
  </si>
  <si>
    <t>CARNE MOIDACOZIDO(A)</t>
  </si>
  <si>
    <t>CARNE MOIDAASSADO(A)</t>
  </si>
  <si>
    <t>CARNE MOIDAFRITO(A)</t>
  </si>
  <si>
    <t>CARNE MOIDAEMPANADO(A)/A MILANESA</t>
  </si>
  <si>
    <t>CARNE MOIDAREFOGADO(A)</t>
  </si>
  <si>
    <t>CARNE MOIDAMOLHO VERMELHO</t>
  </si>
  <si>
    <t>CARNE MOIDAMOLHO BRANCO</t>
  </si>
  <si>
    <t>CARNE MOIDAAO ALHO E OLEO</t>
  </si>
  <si>
    <t>CARNE MOIDAENSOPADO</t>
  </si>
  <si>
    <t>CARNE MOIDASOPA</t>
  </si>
  <si>
    <t>CARNE MOIDA</t>
  </si>
  <si>
    <t xml:space="preserve">GUIZADO </t>
  </si>
  <si>
    <t>TRIPA SUINAGRELHADO(A)/BRASA/CHURRASCO</t>
  </si>
  <si>
    <t>TRIPA SUINAFRITO(A)</t>
  </si>
  <si>
    <t>FIGADO SUINOCOZIDO(A)</t>
  </si>
  <si>
    <t>FIGADO SUINOASSADO(A)</t>
  </si>
  <si>
    <t>FIGADO SUINOFRITO(A)</t>
  </si>
  <si>
    <t>LINGUA SUINACOZIDO(A)</t>
  </si>
  <si>
    <t>LINGUA SUINAGRELHADO(A)/BRASA/CHURRASCO</t>
  </si>
  <si>
    <t>LINGUA SUINAASSADO(A)</t>
  </si>
  <si>
    <t>LINGUA SUINAFRITO(A)</t>
  </si>
  <si>
    <t>LINGUA SUINAREFOGADO(A)</t>
  </si>
  <si>
    <t>ORELHA SUINA FRESCACOZIDO(A)</t>
  </si>
  <si>
    <t>SARRABULHONAO SE APLICA</t>
  </si>
  <si>
    <t>MOCOTO SUINOCOZIDO(A)</t>
  </si>
  <si>
    <t>CARNE DE CABRITO COZIDO(A)</t>
  </si>
  <si>
    <t>CARNE DE CABRITO GRELHADO(A)/BRASA/CHURRASCO</t>
  </si>
  <si>
    <t>CARNE DE CABRITO ASSADO(A)</t>
  </si>
  <si>
    <t>CARNE DE BODECOZIDO(A)</t>
  </si>
  <si>
    <t>CARNE DE BODE GRELHADO(A)/BRASA/CHURRASCO</t>
  </si>
  <si>
    <t>CARNE DE BODE ASSADO(A)</t>
  </si>
  <si>
    <t>CARNE DE BODE FRITO(A)</t>
  </si>
  <si>
    <t>CARNE CAPRINACOZIDO(A)</t>
  </si>
  <si>
    <t>CARNE CAPRINAASSADO(A)</t>
  </si>
  <si>
    <t>CARNE CAPRINAFRITO(A)</t>
  </si>
  <si>
    <t>CARNE CAPRINAENSOPADO</t>
  </si>
  <si>
    <t>CARNE DE CAPRINOCRU(A)</t>
  </si>
  <si>
    <t>CARNE DE CAPRINOCOZIDO(A)</t>
  </si>
  <si>
    <t>CARNE DE CAPRINOFRITO(A)</t>
  </si>
  <si>
    <t>CARNE DE CARNEIROCOZIDO(A)</t>
  </si>
  <si>
    <t>CARNE DE CARNEIROGRELHADO(A)/BRASA/CHURRASCO</t>
  </si>
  <si>
    <t>CARNE DE CARNEIROASSADO(A)</t>
  </si>
  <si>
    <t>CARNE DE CARNEIROFRITO(A)</t>
  </si>
  <si>
    <t>CARNE DE CARNEIROENSOPADO</t>
  </si>
  <si>
    <t>CARNE DE OVELHACOZIDO(A)</t>
  </si>
  <si>
    <t>CARNE DE OVELHAGRELHADO(A)/BRASA/CHURRASCO</t>
  </si>
  <si>
    <t>CARNE DE OVELHAASSADO(A)</t>
  </si>
  <si>
    <t>CARNE DE OVELHAFRITO(A)</t>
  </si>
  <si>
    <t>MOCOTO DE CAPRINOCOZIDO(A)</t>
  </si>
  <si>
    <t>PERNIL COZIDO(A)</t>
  </si>
  <si>
    <t>PERNIL GRELHADO(A)/BRASA/CHURRASCO</t>
  </si>
  <si>
    <t>PERNIL ASSADO(A)</t>
  </si>
  <si>
    <t>PERNIL FRITO(A)</t>
  </si>
  <si>
    <t>LAGARTO BOVINO COZIDO(A)</t>
  </si>
  <si>
    <t>LAGARTO BOVINO ASSADO(A)</t>
  </si>
  <si>
    <t>LAGARTO BOVINO FRITO(A)</t>
  </si>
  <si>
    <t>LAGARTO BOVINO REFOGADO(A)</t>
  </si>
  <si>
    <t>LAGARTO BOVINO MOLHO VERMELHO</t>
  </si>
  <si>
    <t>ALCATRA SUINACOZIDO(A)</t>
  </si>
  <si>
    <t>ALCATRA SUINAASSADO(A)</t>
  </si>
  <si>
    <t>ALCATRA SUINA FRITO(A)</t>
  </si>
  <si>
    <t>BRACHOLA</t>
  </si>
  <si>
    <t>BIFE ROLE CRU</t>
  </si>
  <si>
    <t>BUCHADA DE BODE</t>
  </si>
  <si>
    <t>SUA SUINACOZIDO(A)</t>
  </si>
  <si>
    <t>SUA SUINAFRITO(A)</t>
  </si>
  <si>
    <t>CARNE DE OUTROS ANIMAISCRU(A)</t>
  </si>
  <si>
    <t>CARNE DE OUTROS ANIMAISCOZIDO(A)</t>
  </si>
  <si>
    <t>CARNE DE OUTROS ANIMAISGRELHADO(A)/BRASA/CHURRASCO</t>
  </si>
  <si>
    <t>CARNE DE OUTROS ANIMAISASSADO(A)</t>
  </si>
  <si>
    <t>CARNE DE OUTROS ANIMAISFRITO(A)</t>
  </si>
  <si>
    <t>CARNE DE OUTROS ANIMAISREFOGADO(A)</t>
  </si>
  <si>
    <t>CARNE DE OUTROS ANIMAISMOLHO VERMELHO</t>
  </si>
  <si>
    <t>CARNE DE OUTROS ANIMAISENSOPADO</t>
  </si>
  <si>
    <t>CARNE DE OUTROS ANIMAIS</t>
  </si>
  <si>
    <t>CARNE DA PACACOZIDO(A)</t>
  </si>
  <si>
    <t>CARNE DA PACAASSADO(A)</t>
  </si>
  <si>
    <t>CARNE DA PACAFRITO(A)</t>
  </si>
  <si>
    <t>CARNE DE JACARECOZIDO(A)</t>
  </si>
  <si>
    <t>CARNE DE JACAREFRITO(A)</t>
  </si>
  <si>
    <t>CARNE DE CAPIVARACOZIDO(A)</t>
  </si>
  <si>
    <t>CARNE DE CAPIVARAASSADO(A)</t>
  </si>
  <si>
    <t>CARNE DE CAPIVARAFRITO(A)</t>
  </si>
  <si>
    <t>CARNE DE COTIACOZIDO(A)</t>
  </si>
  <si>
    <t>CARNE DE COTIAASSADO(A)</t>
  </si>
  <si>
    <t>CARNE DE JABUTICOZIDO(A)</t>
  </si>
  <si>
    <t>CARNE DE PRIMEIRA COZIDO(A)</t>
  </si>
  <si>
    <t>CARNE DE PRIMEIRA GRELHADO(A)/BRASA/CHURRASCO</t>
  </si>
  <si>
    <t>CARNE DE PRIMEIRA ASSADO(A)</t>
  </si>
  <si>
    <t>CARNE DE PRIMEIRA FRITO(A)</t>
  </si>
  <si>
    <t>CARNE DE PRIMEIRA EMPANADO(A)/A MILANESA</t>
  </si>
  <si>
    <t>CARNE DE PRIMEIRA REFOGADO(A)</t>
  </si>
  <si>
    <t>CARNE DE PRIMEIRA MOLHO VERMELHO</t>
  </si>
  <si>
    <t>CARNE DE PRIMEIRA MOLHO BRANCO</t>
  </si>
  <si>
    <t>CARNE DE PRIMEIRA COM MANTEIGA/OLEO</t>
  </si>
  <si>
    <t>CHULETACOZIDO(A)</t>
  </si>
  <si>
    <t>CHULETAGRELHADO(A)/BRASA/CHURRASCO</t>
  </si>
  <si>
    <t>CHULETAASSADO(A)</t>
  </si>
  <si>
    <t>CHULETAFRITO(A)</t>
  </si>
  <si>
    <t>FILE NAO ESPECIFICADOCRU(A)</t>
  </si>
  <si>
    <t>FILE NAO ESPECIFICADOCOZIDO(A)</t>
  </si>
  <si>
    <t>FILE NAO ESPECIFICADOGRELHADO(A)/BRASA/CHURRASCO</t>
  </si>
  <si>
    <t>FILE NAO ESPECIFICADOASSADO(A)</t>
  </si>
  <si>
    <t>FILE NAO ESPECIFICADOFRITO(A)</t>
  </si>
  <si>
    <t>FILE NAO ESPECIFICADOEMPANADO(A)/A MILANESA</t>
  </si>
  <si>
    <t>FILE NAO ESPECIFICADOREFOGADO(A)</t>
  </si>
  <si>
    <t>FILE NAO ESPECIFICADOMOLHO VERMELHO</t>
  </si>
  <si>
    <t>FILE NAO ESPECIFICADOCOM MANTEIGA/OLEO</t>
  </si>
  <si>
    <t>FILE NAO ESPECIFICADOENSOPADO</t>
  </si>
  <si>
    <t>FILE NAO ESPECIFICADO</t>
  </si>
  <si>
    <t>MIUDO DE BODE COZIDO(A)</t>
  </si>
  <si>
    <t>PE SUINO FRESCOCOZIDO(A)</t>
  </si>
  <si>
    <t>PE SUINO FRESCOGRELHADO(A)/BRASA/CHURRASCO</t>
  </si>
  <si>
    <t>PE SUINO FRESCOFRITO(A)</t>
  </si>
  <si>
    <t>CARNE BOVINA CRU(A)</t>
  </si>
  <si>
    <t>CARNE BOVINA COZIDO(A)</t>
  </si>
  <si>
    <t>CARNE BOVINAGRELHADO(A)/BRASA/CHURRASCO</t>
  </si>
  <si>
    <t>CARNE BOVINAASSADO(A)</t>
  </si>
  <si>
    <t>CARNE BOVINAFRITO(A)</t>
  </si>
  <si>
    <t>CARNE BOVINAEMPANADO(A)/A MILANESA</t>
  </si>
  <si>
    <t>CARNE BOVINA REFOGADO(A)</t>
  </si>
  <si>
    <t>CARNE BOVINA MOLHO VERMELHO</t>
  </si>
  <si>
    <t>CARNE BOVINA MOLHO BRANCO</t>
  </si>
  <si>
    <t>CARNE BOVINA AO ALHO E OLEO</t>
  </si>
  <si>
    <t>CARNE BOVINACOM MANTEIGA/OLEO</t>
  </si>
  <si>
    <t>CARNE BOVINA AO VINAGRETE</t>
  </si>
  <si>
    <t>CARNE BOVINAENSOPADO</t>
  </si>
  <si>
    <t>CARNE BOVINA SOPA</t>
  </si>
  <si>
    <t xml:space="preserve">CARNE BOVINA </t>
  </si>
  <si>
    <t>LOMBO NAO ESPECIFICADOCRU(A)</t>
  </si>
  <si>
    <t>LOMBO NAO ESPECIFICADOCOZIDO(A)</t>
  </si>
  <si>
    <t>LOMBO NAO ESPECIFICADOASSADO(A)</t>
  </si>
  <si>
    <t>LOMBO NAO ESPECIFICADOFRITO(A)</t>
  </si>
  <si>
    <t>LOMBO NAO ESPECIFICADOMOLHO BRANCO</t>
  </si>
  <si>
    <t>MUSCULO NAO ESPECIFICADOCOZIDO(A)</t>
  </si>
  <si>
    <t>MUSCULO NAO ESPECIFICADOENSOPADO</t>
  </si>
  <si>
    <t>OSSADA NAO ESPECIFICADACOZIDO(A)</t>
  </si>
  <si>
    <t>OSSADA NAO ESPECIFICADAREFOGADO(A)</t>
  </si>
  <si>
    <t>OSSADA NAO ESPECIFICADASOPA</t>
  </si>
  <si>
    <t>OSSADA NAO ESPECIFICADA</t>
  </si>
  <si>
    <t>CARNE DE SEGUNDA CRU(A)</t>
  </si>
  <si>
    <t>CARNE DE SEGUNDA COZIDO(A)</t>
  </si>
  <si>
    <t>CARNE DE SEGUNDA GRELHADO(A)/BRASA/CHURRASCO</t>
  </si>
  <si>
    <t>CARNE DE SEGUNDA ASSADO(A)</t>
  </si>
  <si>
    <t>CARNE DE SEGUNDA FRITO(A)</t>
  </si>
  <si>
    <t>CARNE DE SEGUNDA EMPANADO(A)/A MILANESA</t>
  </si>
  <si>
    <t>CARNE DE SEGUNDA REFOGADO(A)</t>
  </si>
  <si>
    <t>CARNE DE SEGUNDA MOLHO VERMELHO</t>
  </si>
  <si>
    <t>CARNE DE SEGUNDA AO ALHO E OLEO</t>
  </si>
  <si>
    <t>CARNE DE SEGUNDA ENSOPADO</t>
  </si>
  <si>
    <t>CONTRAFILE ORGANICOASSADO(A)</t>
  </si>
  <si>
    <t>BISTECA ORGANICAASSADO(A)</t>
  </si>
  <si>
    <t>BISTECA ORGANICAFRITO(A)</t>
  </si>
  <si>
    <t>CABECA DE LOMBO (CARNE BOVINA) ORGANICACRU(A)</t>
  </si>
  <si>
    <t>CABECA DE LOMBO (CARNE BOVINA) ORGANICAASSADO(A)</t>
  </si>
  <si>
    <t>CABECA DE LOMBO (CARNE BOVINA) ORGANICAFRITO(A)</t>
  </si>
  <si>
    <t>TATU (LAGARTO REDONDO) ORGANICOASSADO(A)</t>
  </si>
  <si>
    <t>PEIXE DE MAR (INTEIRO, EM POSTA, EM FILÉ, ETC)  CRU(A)</t>
  </si>
  <si>
    <t>PEIXE DE MAR (INTEIRO, EM POSTA, EM FILÉ, ETC)  COZIDO(A)</t>
  </si>
  <si>
    <t>PEIXE DE MAR (INTEIRO, EM POSTA, EM FILÉ, ETC)  GRELHADO(A)/BRASA/CHURRASCO</t>
  </si>
  <si>
    <t>PEIXE DE MAR (INTEIRO, EM POSTA, EM FILÉ, ETC)  ASSADO(A)</t>
  </si>
  <si>
    <t>PEIXE DE MAR (INTEIRO, EM POSTA, EM FILÉ, ETC)  FRITO(A)</t>
  </si>
  <si>
    <t>PEIXE DE MAR (INTEIRO, EM POSTA, EM FILÉ, ETC)  EMPANADO(A)/A MILANESA</t>
  </si>
  <si>
    <t>PEIXE DE MAR (INTEIRO, EM POSTA, EM FILÉ, ETC)  MOLHO VERMELHO</t>
  </si>
  <si>
    <t>PEIXE DE MAR (INTEIRO, EM POSTA, EM FILÉ, ETC)  MOLHO BRANCO</t>
  </si>
  <si>
    <t>PEIXE DE MAR (INTEIRO, EM POSTA, EM FILÉ, ETC)  ENSOPADO</t>
  </si>
  <si>
    <t>PEIXE DE MAR SALGADO (INTEIRO, EM POSTA, EM FILÉ, ETC) COZIDO(A)</t>
  </si>
  <si>
    <t>PEIXE DE MAR SALGADO (INTEIRO, EM POSTA, EM FILÉ, ETC) GRELHADO(A)/BRASA/CHURRASCO</t>
  </si>
  <si>
    <t>PEIXE DE MAR SALGADO (INTEIRO, EM POSTA, EM FILÉ, ETC) ASSADO(A)</t>
  </si>
  <si>
    <t>PEIXE DE MAR SALGADO (INTEIRO, EM POSTA, EM FILÉ, ETC) FRITO(A)</t>
  </si>
  <si>
    <t>PEIXE DE MAR SALGADO (INTEIRO, EM POSTA, EM FILÉ, ETC) EMPANADO(A)/A MILANESA</t>
  </si>
  <si>
    <t>PEIXE DE MAR SALGADO (INTEIRO, EM POSTA, EM FILÉ, ETC) MOLHO BRANCO</t>
  </si>
  <si>
    <t>PEIXE DE MAR SALGADO (INTEIRO, EM POSTA, EM FILÉ, ETC) ENSOPADO</t>
  </si>
  <si>
    <t>CAMARAOCRU(A)</t>
  </si>
  <si>
    <t>CAMARAO COZIDO(A)</t>
  </si>
  <si>
    <t>CAMARAOGRELHADO(A)/BRASA/CHURRASCO</t>
  </si>
  <si>
    <t>CAMARAOASSADO(A)</t>
  </si>
  <si>
    <t>CAMARAOFRITO(A)</t>
  </si>
  <si>
    <t>CAMARAOEMPANADO(A)/A MILANESA</t>
  </si>
  <si>
    <t>CAMARAOREFOGADO(A)</t>
  </si>
  <si>
    <t>CAMARAOMOLHO VERMELHO</t>
  </si>
  <si>
    <t>CAMARAOMOLHO BRANCO</t>
  </si>
  <si>
    <t>CAMARAOAO ALHO E OLEO</t>
  </si>
  <si>
    <t>CAMARAOENSOPADO</t>
  </si>
  <si>
    <t>CAMARAO</t>
  </si>
  <si>
    <t>SIRICOZIDO(A)</t>
  </si>
  <si>
    <t>SIRIEMPANADO(A)/A MILANESA</t>
  </si>
  <si>
    <t>SIRIREFOGADO(A)</t>
  </si>
  <si>
    <t>BAU (SIRI)COZIDO(A)</t>
  </si>
  <si>
    <t>GOIACRU(A)</t>
  </si>
  <si>
    <t>CARANGUEJOCOZIDO(A)</t>
  </si>
  <si>
    <t>CARANGUEJOASSADO(A)</t>
  </si>
  <si>
    <t>CARANGUEJOAO VINAGRETE</t>
  </si>
  <si>
    <t>GUAIAMUCOZIDO(A)</t>
  </si>
  <si>
    <t>MARISCOCOZIDO(A)</t>
  </si>
  <si>
    <t>MARISCOFRITO(A)</t>
  </si>
  <si>
    <t>MARISCOMOLHO VERMELHO</t>
  </si>
  <si>
    <t>MARISCO</t>
  </si>
  <si>
    <t>OSTRACOZIDO(A)</t>
  </si>
  <si>
    <t>LULAEMPANADO(A)/A MILANESA</t>
  </si>
  <si>
    <t>SURURUCOZIDO(A)</t>
  </si>
  <si>
    <t>SURURUENSOPADO</t>
  </si>
  <si>
    <t>BACALHAUCOZIDO(A)</t>
  </si>
  <si>
    <t>BACALHAUASSADO(A)</t>
  </si>
  <si>
    <t>BACALHAUFRITO(A)</t>
  </si>
  <si>
    <t>BACALHAUEMPANADO(A)/A MILANESA</t>
  </si>
  <si>
    <t>BACALHAUREFOGADO(A)</t>
  </si>
  <si>
    <t>BACALHAUMOLHO VERMELHO</t>
  </si>
  <si>
    <t>BACALHAUENSOPADO</t>
  </si>
  <si>
    <t>BACALHAU</t>
  </si>
  <si>
    <t>OVAS DE PEIXE (QUALQUER ESPECIE)ASSADO(A)</t>
  </si>
  <si>
    <t>OVAS DE PEIXE (QUALQUER ESPECIE)FRITO(A)</t>
  </si>
  <si>
    <t>PEIXE DE AGUA DOCE (INTEIRO, EM POSTA, EM FILÉ, ETC) CRU(A)</t>
  </si>
  <si>
    <t>PEIXE DE AGUA DOCE (INTEIRO, EM POSTA, EM FILÉ, ETC) COZIDO(A)</t>
  </si>
  <si>
    <t>PEIXE DE AGUA DOCE (INTEIRO, EM POSTA, EM FILÉ, ETC) GRELHADO(A)/BRASA/CHURRASCO</t>
  </si>
  <si>
    <t>PEIXE DE AGUA DOCE (INTEIRO, EM POSTA, EM FILÉ, ETC) ASSADO(A)</t>
  </si>
  <si>
    <t>PEIXE DE AGUA DOCE (INTEIRO, EM POSTA, EM FILÉ, ETC) FRITO(A)</t>
  </si>
  <si>
    <t>PEIXE DE AGUA DOCE (INTEIRO, EM POSTA, EM FILÉ, ETC) EMPANADO(A)/A MILANESA</t>
  </si>
  <si>
    <t>PEIXE DE AGUA DOCE (INTEIRO, EM POSTA, EM FILÉ, ETC) REFOGADO(A)</t>
  </si>
  <si>
    <t>PEIXE DE AGUA DOCE (INTEIRO, EM POSTA, EM FILÉ, ETC) MOLHO VERMELHO</t>
  </si>
  <si>
    <t>PEIXE DE AGUA DOCE (INTEIRO, EM POSTA, EM FILÉ, ETC) MOLHO BRANCO</t>
  </si>
  <si>
    <t>PEIXE DE AGUA DOCE (INTEIRO, EM POSTA, EM FILÉ, ETC) ENSOPADO</t>
  </si>
  <si>
    <t xml:space="preserve">PEIXE DE AGUA DOCE (INTEIRO, EM POSTA, EM FILÉ, ETC) </t>
  </si>
  <si>
    <t>PEIXE DE AGUA DOCE SALGADO (INTEIRO, EM POSTA, EM FILÉ, ETC) COZIDO(A)</t>
  </si>
  <si>
    <t>PEIXE DE AGUA DOCE SALGADO (INTEIRO, EM POSTA, EM FILÉ, ETC) GRELHADO(A)/BRASA/CHURRASCO</t>
  </si>
  <si>
    <t>PEIXE DE AGUA DOCE SALGADO (INTEIRO, EM POSTA, EM FILÉ, ETC) ASSADO(A)</t>
  </si>
  <si>
    <t>PEIXE DE AGUA DOCE SALGADO (INTEIRO, EM POSTA, EM FILÉ, ETC) FRITO(A)</t>
  </si>
  <si>
    <t>PEIXE DE AGUA DOCE SALGADO (INTEIRO, EM POSTA, EM FILÉ, ETC) EMPANADO(A)/A MILANESA</t>
  </si>
  <si>
    <t>PEIXE DE AGUA DOCE SALGADO (INTEIRO, EM POSTA, EM FILÉ, ETC) MOLHO VERMELHO</t>
  </si>
  <si>
    <t>PEIXE DE AGUA DOCE SALGADO (INTEIRO, EM POSTA, EM FILÉ, ETC) ENSOPADO</t>
  </si>
  <si>
    <t>TRACAJACOZIDO(A)</t>
  </si>
  <si>
    <t>PEIXE NAO ESPECIFICADO (INTEIRO, EM POSTA, EM FILÉ, ETC)CRU(A)</t>
  </si>
  <si>
    <t>PEIXE NAO ESPECIFICADO (INTEIRO, EM POSTA, EM FILÉ, ETC)COZIDO(A)</t>
  </si>
  <si>
    <t>PEIXE NAO ESPECIFICADO (INTEIRO, EM POSTA, EM FILÉ, ETC)GRELHADO(A)/BRASA/CHURRASCO</t>
  </si>
  <si>
    <t>PEIXE NAO ESPECIFICADO (INTEIRO, EM POSTA, EM FILÉ, ETC)ASSADO(A)</t>
  </si>
  <si>
    <t>PEIXE NAO ESPECIFICADO (INTEIRO, EM POSTA, EM FILÉ, ETC)FRITO(A)</t>
  </si>
  <si>
    <t>PEIXE NAO ESPECIFICADO (INTEIRO, EM POSTA, EM FILÉ, ETC)EMPANADO(A)/A MILANESA</t>
  </si>
  <si>
    <t>PEIXE NAO ESPECIFICADO (INTEIRO, EM POSTA, EM FILÉ, ETC)REFOGADO(A)</t>
  </si>
  <si>
    <t>PEIXE NAO ESPECIFICADO (INTEIRO, EM POSTA, EM FILÉ, ETC)MOLHO VERMELHO</t>
  </si>
  <si>
    <t>PEIXE NAO ESPECIFICADO (INTEIRO, EM POSTA, EM FILÉ, ETC)MOLHO BRANCO</t>
  </si>
  <si>
    <t>PEIXE NAO ESPECIFICADO (INTEIRO, EM POSTA, EM FILÉ, ETC)ENSOPADO</t>
  </si>
  <si>
    <t>PEIXE NAO ESPECIFICADO SALGADO (INTEIRO, EM POSTA, EM FILÉ, ETC)COZIDO(A)</t>
  </si>
  <si>
    <t>PEIXE NAO ESPECIFICADO SALGADO (INTEIRO, EM POSTA, EM FILÉ, ETC)GRELHADO(A)/BRASA/CHURRASCO</t>
  </si>
  <si>
    <t>PEIXE NAO ESPECIFICADO SALGADO (INTEIRO, EM POSTA, EM FILÉ, ETC)ASSADO(A)</t>
  </si>
  <si>
    <t>PEIXE NAO ESPECIFICADO SALGADO (INTEIRO, EM POSTA, EM FILÉ, ETC)FRITO(A)</t>
  </si>
  <si>
    <t>PEIXE NAO ESPECIFICADO SALGADO (INTEIRO, EM POSTA, EM FILÉ, ETC)EMPANADO(A)/A MILANESA</t>
  </si>
  <si>
    <t>AZEITONA</t>
  </si>
  <si>
    <t>ERVILHA EM CONSERVA</t>
  </si>
  <si>
    <t>PETIT POIS</t>
  </si>
  <si>
    <t>MILHO VERDE EM CONSERVA</t>
  </si>
  <si>
    <t>PALMITO EM CONSERVA</t>
  </si>
  <si>
    <t>COGUMELO EM CONSERVA</t>
  </si>
  <si>
    <t>CHAMPIGNON EM CONSERVA</t>
  </si>
  <si>
    <t>ASPARGO EM CONSERVA</t>
  </si>
  <si>
    <t>REPOLHO EM CONSERVA</t>
  </si>
  <si>
    <t>CHUCRUTE</t>
  </si>
  <si>
    <t>LEGUME NAO ESPECIFICADO EM CONSERVA</t>
  </si>
  <si>
    <t>CREME DE CEBOLA (SOPA DESIDRATADA)</t>
  </si>
  <si>
    <t>CREME DE LEGUMES (SOPA DESIDRATADA)</t>
  </si>
  <si>
    <t xml:space="preserve">YAKISSOBA </t>
  </si>
  <si>
    <t>MILHO VERDE COM ERVILHA EM CONSERVACRU(A)</t>
  </si>
  <si>
    <t>MILHO VERDE COM ERVILHA EM CONSERVACOZIDO(A)</t>
  </si>
  <si>
    <t>MILHO VERDE COM ERVILHA EM CONSERVAFRITO(A)</t>
  </si>
  <si>
    <t>MILHO VERDE COM ERVILHA EM CONSERVA</t>
  </si>
  <si>
    <t>FEIJOADA</t>
  </si>
  <si>
    <t>FEIJAO BRANCO COM DOBRADINHA EM CONSERVA</t>
  </si>
  <si>
    <t>COZIDO</t>
  </si>
  <si>
    <t>PASTA DE CARNE EM CONSERVA</t>
  </si>
  <si>
    <t>PASTA DE PRESUNTO EM CONSERVA</t>
  </si>
  <si>
    <t>PASTA DE GALINHA EM CONSERVA</t>
  </si>
  <si>
    <t>CARNE BOVINA EM CONSERVA</t>
  </si>
  <si>
    <t xml:space="preserve">ALMONDEGA </t>
  </si>
  <si>
    <t>KITUTE BOVINO</t>
  </si>
  <si>
    <t>ALMONDEGA AO MOLHO EM CONSERVA</t>
  </si>
  <si>
    <t>KITUTE SUINO</t>
  </si>
  <si>
    <t>PRESUNTADA</t>
  </si>
  <si>
    <t>FIAMBRE CRU(A)</t>
  </si>
  <si>
    <t>FIAMBRE COZIDO(A)</t>
  </si>
  <si>
    <t>FIAMBRE ASSADO(A)</t>
  </si>
  <si>
    <t>FIAMBRE FRITO(A)</t>
  </si>
  <si>
    <t>SALSICHA EM CONSERVA</t>
  </si>
  <si>
    <t>SARDINHA EM CONSERVA</t>
  </si>
  <si>
    <t>ATUM EM CONSERVA</t>
  </si>
  <si>
    <t>PEPINO EM CONSERVA</t>
  </si>
  <si>
    <t>PASTA DE PEIXE EM CONSERVA</t>
  </si>
  <si>
    <t>PICLES</t>
  </si>
  <si>
    <t>NABO EM CONSERVA</t>
  </si>
  <si>
    <t xml:space="preserve">STROGONOFF </t>
  </si>
  <si>
    <t>SALMAO EM CONSERVA</t>
  </si>
  <si>
    <t>CREME DE CEBOLA (SOPA DESIDRATADA) LIGHT</t>
  </si>
  <si>
    <t>CREME DE LEGUMES (SOPA DESIDRATADA) LIGHT</t>
  </si>
  <si>
    <t>YAKISSOBA (SOPA DE LEGUMES DESIDRATADA) LIGHT</t>
  </si>
  <si>
    <t>ATUM EM CONSERVA LIGHT</t>
  </si>
  <si>
    <t>FRANGO INTEIROCRU(A)</t>
  </si>
  <si>
    <t>FRANGO INTEIROCOZIDO(A)</t>
  </si>
  <si>
    <t>FRANGO INTEIROGRELHADO(A)/BRASA/CHURRASCO</t>
  </si>
  <si>
    <t>FRANGO INTEIROASSADO(A)</t>
  </si>
  <si>
    <t>FRANGO INTEIROFRITO(A)</t>
  </si>
  <si>
    <t>FRANGO INTEIROEMPANADO(A)/A MILANESA</t>
  </si>
  <si>
    <t>FRANGO INTEIROREFOGADO(A)</t>
  </si>
  <si>
    <t>FRANGO INTEIROMOLHO VERMELHO</t>
  </si>
  <si>
    <t>FRANGO INTEIROENSOPADO</t>
  </si>
  <si>
    <t>PARTE DE GALINHA OU FRANGO NAO ESPECIFICADACRU(A)</t>
  </si>
  <si>
    <t>PARTE DE GALINHA OU FRANGO NAO ESPECIFICADACOZIDO(A)</t>
  </si>
  <si>
    <t>PARTE DE GALINHA OU FRANGO NAO ESPECIFICADAGRELHADO(A)/BRASA/CHURRASCO</t>
  </si>
  <si>
    <t>PARTE DE GALINHA OU FRANGO NAO ESPECIFICADAASSADO(A)</t>
  </si>
  <si>
    <t>PARTE DE GALINHA OU FRANGO NAO ESPECIFICADAFRITO(A)</t>
  </si>
  <si>
    <t>PARTE DE GALINHA OU FRANGO NAO ESPECIFICADAEMPANADO(A)/A MILANESA</t>
  </si>
  <si>
    <t>PARTE DE GALINHA OU FRANGO NAO ESPECIFICADAREFOGADO(A)</t>
  </si>
  <si>
    <t>PARTE DE GALINHA OU FRANGO NAO ESPECIFICADAMOLHO VERMELHO</t>
  </si>
  <si>
    <t>PARTE DE GALINHA OU FRANGO NAO ESPECIFICADAENSOPADO</t>
  </si>
  <si>
    <t>PARTE DE GALINHA OU FRANGO NAO ESPECIFICADA</t>
  </si>
  <si>
    <t>FRANGO EM PEDAÇOSCRU(A)</t>
  </si>
  <si>
    <t>FRANGO EM PEDAÇOSCOZIDO(A)</t>
  </si>
  <si>
    <t>FRANGO EM PEDAÇOSGRELHADO(A)/BRASA/CHURRASCO</t>
  </si>
  <si>
    <t>FRANGO EM PEDAÇOSASSADO(A)</t>
  </si>
  <si>
    <t>FRANGO EM PEDAÇOSFRITO(A)</t>
  </si>
  <si>
    <t>FRANGO EM PEDAÇOSEMPANADO(A)/A MILANESA</t>
  </si>
  <si>
    <t>FRANGO EM PEDAÇOSREFOGADO(A)</t>
  </si>
  <si>
    <t>FRANGO EM PEDAÇOSMOLHO VERMELHO</t>
  </si>
  <si>
    <t>FRANGO EM PEDAÇOSMOLHO BRANCO</t>
  </si>
  <si>
    <t>FRANGO EM PEDAÇOSAO ALHO E OLEO</t>
  </si>
  <si>
    <t>FRANGO EM PEDAÇOSCOM MANTEIGA/OLEO</t>
  </si>
  <si>
    <t>FRANGO EM PEDAÇOSENSOPADO</t>
  </si>
  <si>
    <t>FRANGO EM PEDAÇOSSOPA</t>
  </si>
  <si>
    <t>FRANGO EM PEDAÇOS</t>
  </si>
  <si>
    <t>GALINHA EM PEDACOS COZIDO(A)</t>
  </si>
  <si>
    <t>GALINHA EM PEDACOS GRELHADO(A)/BRASA/CHURRASCO</t>
  </si>
  <si>
    <t>GALINHA EM PEDACOS ASSADO(A)</t>
  </si>
  <si>
    <t>GALINHA EM PEDACOS FRITO(A)</t>
  </si>
  <si>
    <t>GALINHA EM PEDACOS EMPANADO(A)/A MILANESA</t>
  </si>
  <si>
    <t>GALINHA EM PEDACOS REFOGADO(A)</t>
  </si>
  <si>
    <t>GALINHA EM PEDACOS MOLHO VERMELHO</t>
  </si>
  <si>
    <t>GALINHA EM PEDACOS MOLHO BRANCO</t>
  </si>
  <si>
    <t>GALINHA EM PEDACOS ENSOPADO</t>
  </si>
  <si>
    <t>CARNE DE GALINHA CRU(A)</t>
  </si>
  <si>
    <t>CARNE DE GALINHA COZIDO(A)</t>
  </si>
  <si>
    <t>CARNE DE GALINHA GRELHADO(A)/BRASA/CHURRASCO</t>
  </si>
  <si>
    <t>CARNE DE GALINHA ASSADO(A)</t>
  </si>
  <si>
    <t>CARNE DE GALINHA FRITO(A)</t>
  </si>
  <si>
    <t>CARNE DE GALINHA EMPANADO(A)/A MILANESA</t>
  </si>
  <si>
    <t>CARNE DE GALINHA REFOGADO(A)</t>
  </si>
  <si>
    <t>CARNE DE GALINHA MOLHO VERMELHO</t>
  </si>
  <si>
    <t>CARNE DE GALINHA MOLHO BRANCO</t>
  </si>
  <si>
    <t>CARNE DE GALINHA ENSOPADO</t>
  </si>
  <si>
    <t>CARNE DE GALINHA SOPA</t>
  </si>
  <si>
    <t xml:space="preserve">CARNE DE GALINHA </t>
  </si>
  <si>
    <t>PEITO DE GALINHA OU FRANGOCRU(A)</t>
  </si>
  <si>
    <t>PEITO DE GALINHA OU FRANGOCOZIDO(A)</t>
  </si>
  <si>
    <t>PEITO DE GALINHA OU FRANGOGRELHADO(A)/BRASA/CHURRASCO</t>
  </si>
  <si>
    <t>PEITO DE GALINHA OU FRANGOASSADO(A)</t>
  </si>
  <si>
    <t>PEITO DE GALINHA OU FRANGOFRITO(A)</t>
  </si>
  <si>
    <t>PEITO DE GALINHA OU FRANGOEMPANADO(A)/A MILANESA</t>
  </si>
  <si>
    <t>PEITO DE GALINHA OU FRANGOREFOGADO(A)</t>
  </si>
  <si>
    <t>PEITO DE GALINHA OU FRANGOMOLHO VERMELHO</t>
  </si>
  <si>
    <t>PEITO DE GALINHA OU FRANGOMOLHO BRANCO</t>
  </si>
  <si>
    <t>PEITO DE GALINHA OU FRANGOENSOPADO</t>
  </si>
  <si>
    <t>PEITO DE GALINHA OU FRANGOSOPA</t>
  </si>
  <si>
    <t>PEITO DE GALINHA OU FRANGO</t>
  </si>
  <si>
    <t>FILE DE FRANGOCRU(A)</t>
  </si>
  <si>
    <t>FILE DE FRANGOCOZIDO(A)</t>
  </si>
  <si>
    <t>FILE DE FRANGOGRELHADO(A)/BRASA/CHURRASCO</t>
  </si>
  <si>
    <t>FILE DE FRANGOASSADO(A)</t>
  </si>
  <si>
    <t>FILE DE FRANGOFRITO(A)</t>
  </si>
  <si>
    <t>FILE DE FRANGOEMPANADO(A)/A MILANESA</t>
  </si>
  <si>
    <t>FILE DE FRANGOREFOGADO(A)</t>
  </si>
  <si>
    <t>FILE DE FRANGOMOLHO VERMELHO</t>
  </si>
  <si>
    <t>FILE DE FRANGOMOLHO BRANCO</t>
  </si>
  <si>
    <t>FILE DE FRANGOAO ALHO E OLEO</t>
  </si>
  <si>
    <t>FILE DE FRANGOENSOPADO</t>
  </si>
  <si>
    <t>FILE DE FRANGO</t>
  </si>
  <si>
    <t>CARCACA DE GALINHA OU FRANGOCOZIDO(A)</t>
  </si>
  <si>
    <t>CARCACA DE GALINHA OU FRANGOASSADO(A)</t>
  </si>
  <si>
    <t>CARCACA DE GALINHA OU FRANGOFRITO(A)</t>
  </si>
  <si>
    <t>CARCACA DE GALINHA OU FRANGOREFOGADO(A)</t>
  </si>
  <si>
    <t>CARCACA DE GALINHA OU FRANGOENSOPADO</t>
  </si>
  <si>
    <t>ASA DE GALINHA OU FRANGOCRU(A)</t>
  </si>
  <si>
    <t>ASA DE GALINHA OU FRANGOCOZIDO(A)</t>
  </si>
  <si>
    <t>ASA DE GALINHA OU FRANGOGRELHADO(A)/BRASA/CHURRASCO</t>
  </si>
  <si>
    <t>ASA DE GALINHA OU FRANGOASSADO(A)</t>
  </si>
  <si>
    <t>ASA DE GALINHA OU FRANGOFRITO(A)</t>
  </si>
  <si>
    <t>ASA DE GALINHA OU FRANGOEMPANADO(A)/A MILANESA</t>
  </si>
  <si>
    <t>ASA DE GALINHA OU FRANGOREFOGADO(A)</t>
  </si>
  <si>
    <t>ASA DE GALINHA OU FRANGOMOLHO VERMELHO</t>
  </si>
  <si>
    <t>ASA DE GALINHA OU FRANGOENSOPADO</t>
  </si>
  <si>
    <t>DRUMETE DE GALINHA OU FRANGOCOZIDO(A)</t>
  </si>
  <si>
    <t>DRUMETE DE GALINHA OU FRANGOGRELHADO(A)/BRASA/CHURRASCO</t>
  </si>
  <si>
    <t>DRUMETE DE GALINHA OU FRANGOASSADO(A)</t>
  </si>
  <si>
    <t>DRUMETE DE GALINHA OU FRANGOFRITO(A)</t>
  </si>
  <si>
    <t>DRUMETE DE GALINHA OU FRANGOREFOGADO(A)</t>
  </si>
  <si>
    <t>DRUMETE DE GALINHA OU FRANGOMOLHO VERMELHO</t>
  </si>
  <si>
    <t>PESCOCO DE GALINHA OU FRANGOCOZIDO(A)</t>
  </si>
  <si>
    <t>PESCOCO DE GALINHA OU FRANGOASSADO(A)</t>
  </si>
  <si>
    <t>PESCOCO DE GALINHA OU FRANGOFRITO(A)</t>
  </si>
  <si>
    <t>PESCOCO DE GALINHA OU FRANGOREFOGADO(A)</t>
  </si>
  <si>
    <t>PESCOCO DE GALINHA OU FRANGOMOLHO BRANCO</t>
  </si>
  <si>
    <t>PE DE GALINHA OU FRANGOCOZIDO(A)</t>
  </si>
  <si>
    <t>PE DE GALINHA OU FRANGOGRELHADO(A)/BRASA/CHURRASCO</t>
  </si>
  <si>
    <t>PE DE GALINHA OU FRANGOASSADO(A)</t>
  </si>
  <si>
    <t>PE DE GALINHA OU FRANGOFRITO(A)</t>
  </si>
  <si>
    <t>PE DE GALINHA OU FRANGOREFOGADO(A)</t>
  </si>
  <si>
    <t>PE DE GALINHA OU FRANGOMOLHO VERMELHO</t>
  </si>
  <si>
    <t>PE DE GALINHA OU FRANGOENSOPADO</t>
  </si>
  <si>
    <t>MIUDO DE GALINHA OU FRANGO COZIDO(A)</t>
  </si>
  <si>
    <t>MIUDO DE GALINHA OU FRANGO ASSADO(A)</t>
  </si>
  <si>
    <t>MIUDO DE GALINHA OU FRANGO FRITO(A)</t>
  </si>
  <si>
    <t>MIUDO DE GALINHA OU FRANGO MOLHO VERMELHO</t>
  </si>
  <si>
    <t>MIUDO DE GALINHA OU FRANGO SOPA</t>
  </si>
  <si>
    <t>MOELA DE GALINHA OU FRANGOCOZIDO(A)</t>
  </si>
  <si>
    <t>MOELA DE GALINHA OU FRANGOGRELHADO(A)/BRASA/CHURRASCO</t>
  </si>
  <si>
    <t>MOELA DE GALINHA OU FRANGOFRITO(A)</t>
  </si>
  <si>
    <t>MOELA DE GALINHA OU FRANGOREFOGADO(A)</t>
  </si>
  <si>
    <t>MOELA DE GALINHA OU FRANGOMOLHO VERMELHO</t>
  </si>
  <si>
    <t>MOELA DE GALINHA OU FRANGOMOLHO BRANCO</t>
  </si>
  <si>
    <t>MOELA DE GALINHA OU FRANGOENSOPADO</t>
  </si>
  <si>
    <t>MOELA DE GALINHA OU FRANGOSOPA</t>
  </si>
  <si>
    <t>CORACAO DE FRANGOCOZIDO(A)</t>
  </si>
  <si>
    <t>CORACAO DE FRANGOGRELHADO(A)/BRASA/CHURRASCO</t>
  </si>
  <si>
    <t>CORACAO DE FRANGOASSADO(A)</t>
  </si>
  <si>
    <t>CORACAO DE FRANGOFRITO(A)</t>
  </si>
  <si>
    <t>CORACAO DE FRANGOENSOPADO</t>
  </si>
  <si>
    <t>FIGADO DE GALINHA OU FRANGOCOZIDO(A)</t>
  </si>
  <si>
    <t>FIGADO DE GALINHA OU FRANGOASSADO(A)</t>
  </si>
  <si>
    <t>FIGADO DE GALINHA OU FRANGOFRITO(A)</t>
  </si>
  <si>
    <t xml:space="preserve">CANJA </t>
  </si>
  <si>
    <t>PERU EM PEDACO NAO ESPECIFICADOCOZIDO(A)</t>
  </si>
  <si>
    <t>PERU EM PEDACO NAO ESPECIFICADO ASSADO(A)</t>
  </si>
  <si>
    <t>PERU EM PEDACO NAO ESPECIFICADOFRITO(A)</t>
  </si>
  <si>
    <t>PERU EM PEDACO NAO ESPECIFICADOENSOPADO</t>
  </si>
  <si>
    <t>PEITO DE PERUCRU(A)</t>
  </si>
  <si>
    <t>PEITO DE PERUCOZIDO(A)</t>
  </si>
  <si>
    <t>PEITO DE PERUGRELHADO(A)/BRASA/CHURRASCO</t>
  </si>
  <si>
    <t>PEITO DE PERUASSADO(A)</t>
  </si>
  <si>
    <t>PEITO DE PERUFRITO(A)</t>
  </si>
  <si>
    <t>PEITO DE PERUEMPANADO(A)/A MILANESA</t>
  </si>
  <si>
    <t>PEITO DE PERU</t>
  </si>
  <si>
    <t>ASA DE PERUCOZIDO(A)</t>
  </si>
  <si>
    <t>ASA DE PERUASSADO(A)</t>
  </si>
  <si>
    <t>CHESTER COZIDO(A)</t>
  </si>
  <si>
    <t>CHESTER ASSADO(A)</t>
  </si>
  <si>
    <t xml:space="preserve">CHESTER </t>
  </si>
  <si>
    <t>TENDERASSADO(A)</t>
  </si>
  <si>
    <t>NAMBU COZIDO(A)</t>
  </si>
  <si>
    <t>NUGGETS DE FRANGOGRELHADO(A)/BRASA/CHURRASCO</t>
  </si>
  <si>
    <t>NUGGETS DE FRANGOASSADO(A)</t>
  </si>
  <si>
    <t>NUGGETS DE FRANGOFRITO(A)</t>
  </si>
  <si>
    <t>NUGGETS DE FRANGOEMPANADO(A)/A MILANESA</t>
  </si>
  <si>
    <t>NUGGETS DE FRANGOREFOGADO(A)</t>
  </si>
  <si>
    <t>STEAK DE FRANGOCOZIDO(A)</t>
  </si>
  <si>
    <t>STEAK DE FRANGOGRELHADO(A)/BRASA/CHURRASCO</t>
  </si>
  <si>
    <t>STEAK DE FRANGOASSADO(A)</t>
  </si>
  <si>
    <t>STEAK DE FRANGOFRITO(A)</t>
  </si>
  <si>
    <t>STEAK DE FRANGOEMPANADO(A)/A MILANESA</t>
  </si>
  <si>
    <t>STEAK DE FRANGO</t>
  </si>
  <si>
    <t>CODORNAFRITO(A)</t>
  </si>
  <si>
    <t>PE E ASA DE GALINHA OU FRANGOCOZIDO(A)</t>
  </si>
  <si>
    <t>PE E ASA DE GALINHA OU FRANGOASSADO(A)</t>
  </si>
  <si>
    <t>PE E ASA DE GALINHA OU FRANGOFRITO(A)</t>
  </si>
  <si>
    <t>OVO DE GALINHACRU(A)</t>
  </si>
  <si>
    <t>OVO DE GALINHACOZIDO(A)</t>
  </si>
  <si>
    <t>OVO DE GALINHAASSADO(A)</t>
  </si>
  <si>
    <t>OVO DE GALINHAFRITO(A)</t>
  </si>
  <si>
    <t>OVO DE GALINHAREFOGADO(A)</t>
  </si>
  <si>
    <t>OVO DE GALINHAMOLHO VERMELHO</t>
  </si>
  <si>
    <t>OVO DE GALINHAAO ALHO E OLEO</t>
  </si>
  <si>
    <t>OVO DE GALINHACOM MANTEIGA/OLEO</t>
  </si>
  <si>
    <t>OVO DE GALINHAAO VINAGRETE</t>
  </si>
  <si>
    <t>OVO DE GALINHAENSOPADO</t>
  </si>
  <si>
    <t>OVO DE GALINHAMINGAU</t>
  </si>
  <si>
    <t>OVO DE GALINHA</t>
  </si>
  <si>
    <t>OVO DE CODORNACRU(A)</t>
  </si>
  <si>
    <t>OVO DE CODORNACOZIDO(A)</t>
  </si>
  <si>
    <t>OVO DE CODORNAFRITO(A)</t>
  </si>
  <si>
    <t>OVO DE CODORNAAO VINAGRETE</t>
  </si>
  <si>
    <t>OVO DE CODORNA</t>
  </si>
  <si>
    <t>GALINHA DE ANGOLA ABATIDA, CONGELADA OU VIVACOZIDO(A)</t>
  </si>
  <si>
    <t>GALINHA DE ANGOLA ABATIDA, CONGELADA OU VIVAASSADO(A)</t>
  </si>
  <si>
    <t>CAPOTE COZIDO(A)</t>
  </si>
  <si>
    <t>CAPOTE ASSADO(A)</t>
  </si>
  <si>
    <t>CAPOTE FRITO(A)</t>
  </si>
  <si>
    <t>MUTUM COZIDO(A)</t>
  </si>
  <si>
    <t>PATO EM PEDAÇOSCOZIDO(A)</t>
  </si>
  <si>
    <t>PATO EM PEDAÇOSENSOPADO</t>
  </si>
  <si>
    <t>PEITO DE PATOFRITO(A)</t>
  </si>
  <si>
    <t>CARNE DE PATO COZIDO(A)</t>
  </si>
  <si>
    <t>CARNE DE PATO ASSADO(A)</t>
  </si>
  <si>
    <t>CARNE DE PATO FRITO(A)</t>
  </si>
  <si>
    <t>PEITO DE PERU LIGHTCRU(A)</t>
  </si>
  <si>
    <t>PEITO DE PERU LIGHTCOZIDO(A)</t>
  </si>
  <si>
    <t>PEITO DE PERU LIGHT</t>
  </si>
  <si>
    <t>FRANGO INTEIRO ORGANICOCOZIDO(A)</t>
  </si>
  <si>
    <t>FRANGO INTEIRO ORGANICOASSADO(A)</t>
  </si>
  <si>
    <t>FILE DE FRANGO ORGANICOCOZIDO(A)</t>
  </si>
  <si>
    <t>FILE DE FRANGO ORGANICOGRELHADO(A)/BRASA/CHURRASCO</t>
  </si>
  <si>
    <t>FILE DE FRANGO ORGANICOFRITO(A)</t>
  </si>
  <si>
    <t>FILE DE FRANGO ORGANICOEMPANADO(A)/A MILANESA</t>
  </si>
  <si>
    <t>LEITE DE VACA INTEGRAL</t>
  </si>
  <si>
    <t xml:space="preserve">LEITE DE VACA FRESCO </t>
  </si>
  <si>
    <t>LEITE DE CABRA</t>
  </si>
  <si>
    <t>LEITE EM PO INTEGRAL</t>
  </si>
  <si>
    <t>LEITE EM PO DESNATADO</t>
  </si>
  <si>
    <t xml:space="preserve">LEITE EM PO </t>
  </si>
  <si>
    <t>LEITE CONDENSADO</t>
  </si>
  <si>
    <t>LEITE BEIJINHO</t>
  </si>
  <si>
    <t>CREME DE LEITE</t>
  </si>
  <si>
    <t>CHANTILLY</t>
  </si>
  <si>
    <t>IOGURTE DE QUALQUER SABOR</t>
  </si>
  <si>
    <t>IOGURTE DESNATADO</t>
  </si>
  <si>
    <t>IOGURTE NATURAL</t>
  </si>
  <si>
    <t>YAKULT DE QUALQUER SABOR</t>
  </si>
  <si>
    <t>BEBIDA LACTEA</t>
  </si>
  <si>
    <t>LEITE FERMENTADO</t>
  </si>
  <si>
    <t>COALHADA</t>
  </si>
  <si>
    <t>MANTEIGA COM OU SEM SAL</t>
  </si>
  <si>
    <t>MANTEIGA DE GARRAFA</t>
  </si>
  <si>
    <t>MARGARINA COM OU SEM SAL</t>
  </si>
  <si>
    <t>QUEIJO PRATO</t>
  </si>
  <si>
    <t>QUEIJO COLONIAL</t>
  </si>
  <si>
    <t>QUEIJO DE COLONIA</t>
  </si>
  <si>
    <t>QUEIJO MUZARELLA</t>
  </si>
  <si>
    <t>MUSSARELA</t>
  </si>
  <si>
    <t>MUSSARELA DE BUFALA</t>
  </si>
  <si>
    <t>QUEIJO DE BUFALO</t>
  </si>
  <si>
    <t>QUEIJO DE REINO</t>
  </si>
  <si>
    <t>QUEIJO DE MINAS</t>
  </si>
  <si>
    <t>QUEIJO DE MANTEIGA</t>
  </si>
  <si>
    <t>QUECHIMIA</t>
  </si>
  <si>
    <t>QUEIJO DE COALHO</t>
  </si>
  <si>
    <t>QUEIJO CANASTRA</t>
  </si>
  <si>
    <t>QUEIJO RICOTA</t>
  </si>
  <si>
    <t xml:space="preserve">LEITE DE SOJA COM SABOR </t>
  </si>
  <si>
    <t>ADES ORIGINAL</t>
  </si>
  <si>
    <t>QUEIJO RALADO</t>
  </si>
  <si>
    <t>QUEIJO PROVOLONE</t>
  </si>
  <si>
    <t>QUEIJO POLENGUINHO</t>
  </si>
  <si>
    <t>REQUEIJAO</t>
  </si>
  <si>
    <t>QUEIJO CREMOSO</t>
  </si>
  <si>
    <t>QUEIJO NAO ESPECIFICADO</t>
  </si>
  <si>
    <t>LEITE COM SABOR</t>
  </si>
  <si>
    <t>LEITE ACHOCOLATADO</t>
  </si>
  <si>
    <t>LEITE AROMATIZADO</t>
  </si>
  <si>
    <t>BEBIDA ACHOCOLATADA</t>
  </si>
  <si>
    <t>NATA</t>
  </si>
  <si>
    <t>QUEIJO GORGONZOLA</t>
  </si>
  <si>
    <t>TOFU</t>
  </si>
  <si>
    <t>LEITE DE SOJA EM PO</t>
  </si>
  <si>
    <t>LEITE DE VACA DESNATADO</t>
  </si>
  <si>
    <t>LEITE DE VACA SEMIDESNATADO</t>
  </si>
  <si>
    <t>LEITE NAO ESPECIFICADO PASTEURIZADO</t>
  </si>
  <si>
    <t>IOGURTE DE QUALQUER SABOR LIGHT</t>
  </si>
  <si>
    <t>IOGURTE DE QUALQUER SABOR DIET</t>
  </si>
  <si>
    <t>MARGARINA LIGHT</t>
  </si>
  <si>
    <t>LEITE DE VACA INTEGRAL ORGANICO</t>
  </si>
  <si>
    <t>LEITE DE VACA FRESCO ORGANICO</t>
  </si>
  <si>
    <t>LEITE SEMIDESNATADO DE VACA ORGANICO</t>
  </si>
  <si>
    <t>CREME DE LEITE ORGANICO</t>
  </si>
  <si>
    <t>IOGURTE DE QUALQUER SABOR ORGANICO</t>
  </si>
  <si>
    <t>IOGURTE DE QUALQUER SABOR DESNATADO ORGANICO</t>
  </si>
  <si>
    <t>IOGURTE NATURAL DE QUALQUER SABOR ORGANICO</t>
  </si>
  <si>
    <t>MUSSARELA LIGHT</t>
  </si>
  <si>
    <t>QUEIJO MUSSARELA LIGHT</t>
  </si>
  <si>
    <t>LEITE DE SOJA COM SABOR LIGHT</t>
  </si>
  <si>
    <t>ADES LIGHT</t>
  </si>
  <si>
    <t>CREME DE LEITE LIGHT</t>
  </si>
  <si>
    <t>QUEIJO PRATO LIGHT</t>
  </si>
  <si>
    <t>QUEIJO DE MINAS LIGHT</t>
  </si>
  <si>
    <t>QUEIJO DE COALHO LIGHT</t>
  </si>
  <si>
    <t>QUEIJO RICOTA LIGHT</t>
  </si>
  <si>
    <t>QUEIJO RALADO LIGHT</t>
  </si>
  <si>
    <t>QUEIJO POLENGUINHO LIGHT</t>
  </si>
  <si>
    <t>REQUEIJAO LIGHT</t>
  </si>
  <si>
    <t>QUEIJO NAO ESPECIFICADO LIGHT</t>
  </si>
  <si>
    <t>LEITE ACHOCOLATADO LIGHT</t>
  </si>
  <si>
    <t>BEBIDA ACHOCOLATADA LIGHT</t>
  </si>
  <si>
    <t>LEITE COM SABOR DIET</t>
  </si>
  <si>
    <t>LEITE ACHOCOLATADO DIET</t>
  </si>
  <si>
    <t>BEBIDA ACHOCOLATADA DIET</t>
  </si>
  <si>
    <t>LEITE DE SOJA EM PO LIGHT</t>
  </si>
  <si>
    <t>LEITE EM PO COM SABOR</t>
  </si>
  <si>
    <t>MANTEIGA COM OU SEM SAL LIGHT</t>
  </si>
  <si>
    <t>QUEIJO DE MINAS FRESCAL ORGANICO</t>
  </si>
  <si>
    <t>QUEIJO DE COALHO FRESCAL ORGANICO</t>
  </si>
  <si>
    <t>PAO DE HAMBURGUER</t>
  </si>
  <si>
    <t>PAO DE SAL</t>
  </si>
  <si>
    <t>PAO DOCE</t>
  </si>
  <si>
    <t>CHINEQUE</t>
  </si>
  <si>
    <t>CHINEQUE COM FAROFA</t>
  </si>
  <si>
    <t>PAO DE MEL</t>
  </si>
  <si>
    <t>PANETONE</t>
  </si>
  <si>
    <t>BISNAGUINHA</t>
  </si>
  <si>
    <t>CROISSANT</t>
  </si>
  <si>
    <t>PAO DE FORMA INDUSTRIALIZADO DE QUALQUER MARCA</t>
  </si>
  <si>
    <t>PAO DE QUEIJO</t>
  </si>
  <si>
    <t>PAO DE MILHO</t>
  </si>
  <si>
    <t>PAO INTEGRAL</t>
  </si>
  <si>
    <t>PAO NAO ESPECIFICADO</t>
  </si>
  <si>
    <t>TORRADA DE QUALQUER PAO</t>
  </si>
  <si>
    <t>ROSCA DOCE</t>
  </si>
  <si>
    <t>ROSQUINHA DOCE</t>
  </si>
  <si>
    <t>ROSCA SALGADA</t>
  </si>
  <si>
    <t>ROSQUINHA SALGADA</t>
  </si>
  <si>
    <t>BISCOITO SALGADO</t>
  </si>
  <si>
    <t>PRESUNTINHO BISCOITO</t>
  </si>
  <si>
    <t>BISCOITO DE POLVILHO</t>
  </si>
  <si>
    <t>BOLACHA SALGADA</t>
  </si>
  <si>
    <t>CHIPS (SALGADINHOS)</t>
  </si>
  <si>
    <t>BACONZITOS</t>
  </si>
  <si>
    <t>BISCOITO SALGADO INTEGRAL</t>
  </si>
  <si>
    <t>BISCOITO DOCE</t>
  </si>
  <si>
    <t>CAVACO CHINES</t>
  </si>
  <si>
    <t>SEQUILHO</t>
  </si>
  <si>
    <t>TARECO</t>
  </si>
  <si>
    <t>SOLDA</t>
  </si>
  <si>
    <t>BREVIDADE</t>
  </si>
  <si>
    <t>BOLACHA DOCE</t>
  </si>
  <si>
    <t>MARIA MALUCA (BOLACHA DOCE)</t>
  </si>
  <si>
    <t>QUEBRA QUEBRA</t>
  </si>
  <si>
    <t>ROCAMBOLE</t>
  </si>
  <si>
    <t>CUCA DE QUALQUER TIPO</t>
  </si>
  <si>
    <t>BOLO DE MILHO</t>
  </si>
  <si>
    <t>AMIDOMIL (BOLINHO)</t>
  </si>
  <si>
    <t>ANGUSOR DE MILHO</t>
  </si>
  <si>
    <t>GRUSTOLI (BOLINHO DOCE)</t>
  </si>
  <si>
    <t>BOLO DE AIPIM</t>
  </si>
  <si>
    <t>BOLO DE TAPIOCA</t>
  </si>
  <si>
    <t>BOLO DE MACAXEIRA</t>
  </si>
  <si>
    <t>BOLO DE GOMA</t>
  </si>
  <si>
    <t>BOLO DE BATATA DOCE</t>
  </si>
  <si>
    <t>BOLO DE ARROZ</t>
  </si>
  <si>
    <t>BOLO DE CARA</t>
  </si>
  <si>
    <t>TORTAS DOCES DE QUALQUER SABOR</t>
  </si>
  <si>
    <t>TORTAS SALGADAS DE QUALQUER SABOR</t>
  </si>
  <si>
    <t>SONHO</t>
  </si>
  <si>
    <t>FILHOS (BOLINHO DE FARINHA DE TRIGO E OVOS)</t>
  </si>
  <si>
    <t>BOLO DE CHOCOLATE</t>
  </si>
  <si>
    <t>BRIOCHE</t>
  </si>
  <si>
    <t>BOLO DE LARANJA</t>
  </si>
  <si>
    <t>BOLO DE COCO</t>
  </si>
  <si>
    <t>BOLO DE CENOURA</t>
  </si>
  <si>
    <t>BOLO DE TRIGO</t>
  </si>
  <si>
    <t>BROA</t>
  </si>
  <si>
    <t>BISCOITO RECHEADO</t>
  </si>
  <si>
    <t>WAFFER (BISCOITO)</t>
  </si>
  <si>
    <t>ALFAJORES (BISCOITO)</t>
  </si>
  <si>
    <t>BOLACHA RECHEADA</t>
  </si>
  <si>
    <t>ROSCA RECHEADA</t>
  </si>
  <si>
    <t>ROSQUINHA RECHEADA DE QUALQUER SABOR</t>
  </si>
  <si>
    <t>BISCOITO NÃO ESPECIFICADO</t>
  </si>
  <si>
    <t>CREPE</t>
  </si>
  <si>
    <t>PAO DIET (DE FORMA INDUSTRIALIZADO)</t>
  </si>
  <si>
    <t>PAO LIGHT (DE FORMA INDUSTRIALIZADO)</t>
  </si>
  <si>
    <t>PAO DE QUEIJO LIGHT</t>
  </si>
  <si>
    <t>PAO INTEGRAL LIGHT</t>
  </si>
  <si>
    <t>TORTAS DOCES DE QUALQUER SABOR LIGHT</t>
  </si>
  <si>
    <t>TORTAS DOCES DE QUALQUER SABOR DIET</t>
  </si>
  <si>
    <t>FILHOS (BOLINHO DE FARINHA DE TRIGO E OVOS) LIGHT</t>
  </si>
  <si>
    <t>FILHOS (BOLINHO DE FARINHA DE TRIGO E OVOS) DIET</t>
  </si>
  <si>
    <t>BOLO DE CHOCOLATE LIGHT</t>
  </si>
  <si>
    <t>BOLO DE CHOCOLATE DIET</t>
  </si>
  <si>
    <t>BOLO DE LARANJA LIGHT</t>
  </si>
  <si>
    <t>BOLO DE COCO DIET</t>
  </si>
  <si>
    <t>BOLO DE CENOURA DIET</t>
  </si>
  <si>
    <t>BISCOITO RECHEADO LIGHT</t>
  </si>
  <si>
    <t>BISCOITO WAFFER LIGHT</t>
  </si>
  <si>
    <t>WAFFER (BISCOITO) LIGHT</t>
  </si>
  <si>
    <t>ALFAJORES (BISCOITO) LIGHT</t>
  </si>
  <si>
    <t>BOLACHA RECHEADA LIGHT</t>
  </si>
  <si>
    <t>BISCOITO RECHEADO DIET</t>
  </si>
  <si>
    <t>ROSQUINHA RECHEADA DE QUALQUER SABOR DIET</t>
  </si>
  <si>
    <t>BOLACHA RECHEADA DIET</t>
  </si>
  <si>
    <t>PAO DOCE DIET</t>
  </si>
  <si>
    <t>PAO DE MEL DIET</t>
  </si>
  <si>
    <t>PANETONE DIET</t>
  </si>
  <si>
    <t>BISCOITO SALGADO LIGHT</t>
  </si>
  <si>
    <t>BOLACHA SALGADA LIGHT</t>
  </si>
  <si>
    <t>CHIPS (SALGADINHOS) LIGHT</t>
  </si>
  <si>
    <t>BISCOITO DOCE LIGHT</t>
  </si>
  <si>
    <t>BOLACHA DOCE LIGHT</t>
  </si>
  <si>
    <t>BISCOITO DOCE DIET</t>
  </si>
  <si>
    <t>BOLACHA DOCE DIET</t>
  </si>
  <si>
    <t>BOLO DE BANANA</t>
  </si>
  <si>
    <t>CARNE SECACOZIDO(A)</t>
  </si>
  <si>
    <t>CARNE SECAGRELHADO(A)/BRASA/CHURRASCO</t>
  </si>
  <si>
    <t>CARNE SECAASSADO(A)</t>
  </si>
  <si>
    <t>CARNE SECAFRITO(A)</t>
  </si>
  <si>
    <t>CARNE SECAREFOGADO(A)</t>
  </si>
  <si>
    <t>CARNE SECAMOLHO VERMELHO</t>
  </si>
  <si>
    <t>CARNE SECAENSOPADO</t>
  </si>
  <si>
    <t>CARNE DE CHARQUECRU(A)</t>
  </si>
  <si>
    <t>CARNE DE CHARQUECOZIDO(A)</t>
  </si>
  <si>
    <t>CARNE DE CHARQUEGRELHADO(A)/BRASA/CHURRASCO</t>
  </si>
  <si>
    <t>CARNE DE CHARQUEASSADO(A)</t>
  </si>
  <si>
    <t>CARNE DE CHARQUEFRITO(A)</t>
  </si>
  <si>
    <t>CARNE DE CHARQUEREFOGADO(A)</t>
  </si>
  <si>
    <t>CARNE DE CHARQUEMOLHO VERMELHO</t>
  </si>
  <si>
    <t>CARNE DE CHARQUEENSOPADO</t>
  </si>
  <si>
    <t>JABACOZIDO(A)</t>
  </si>
  <si>
    <t>JABAFRITO(A)</t>
  </si>
  <si>
    <t>JABAREFOGADO(A)</t>
  </si>
  <si>
    <t>JABA</t>
  </si>
  <si>
    <t>CARNE DE SOLCRU(A)</t>
  </si>
  <si>
    <t>CARNE DE SOLCOZIDO(A)</t>
  </si>
  <si>
    <t>CARNE DE SOLGRELHADO(A)/BRASA/CHURRASCO</t>
  </si>
  <si>
    <t>CARNE DE SOLASSADO(A)</t>
  </si>
  <si>
    <t>CARNE DE SOLFRITO(A)</t>
  </si>
  <si>
    <t>CARNE DE SOLENSOPADO</t>
  </si>
  <si>
    <t>CARNE DO SERTAOCOZIDO(A)</t>
  </si>
  <si>
    <t>CARNE DO SERTAOASSADO(A)</t>
  </si>
  <si>
    <t>CARNE DO SERTAOFRITO(A)</t>
  </si>
  <si>
    <t>HAMBURGUER DE CARNE BOVINACRU(A)</t>
  </si>
  <si>
    <t>HAMBURGUER DE CARNE BOVINACOZIDO(A)</t>
  </si>
  <si>
    <t>HAMBURGUER DE CARNE BOVINAGRELHADO(A)/BRASA/CHURRASCO</t>
  </si>
  <si>
    <t>HAMBURGUER DE CARNE BOVINAASSADO(A)</t>
  </si>
  <si>
    <t>HAMBURGUER DE CARNE BOVINAFRITO(A)</t>
  </si>
  <si>
    <t>HAMBURGUER DE CARNE BOVINAMOLHO VERMELHO</t>
  </si>
  <si>
    <t>HAMBURGUER DE CARNE BOVINA</t>
  </si>
  <si>
    <t>COPA DE PORCO DEFUMADA</t>
  </si>
  <si>
    <t>BACON</t>
  </si>
  <si>
    <t>HAMBURGUER DE FRANGOCOZIDO(A)</t>
  </si>
  <si>
    <t>HAMBURGUER DE FRANGOGRELHADO(A)/BRASA/CHURRASCO</t>
  </si>
  <si>
    <t>HAMBURGUER DE FRANGOASSADO(A)</t>
  </si>
  <si>
    <t>HAMBURGUER DE FRANGOFRITO(A)</t>
  </si>
  <si>
    <t>HAMBURGUER DE FRANGOEMPANADO(A)/A MILANESA</t>
  </si>
  <si>
    <t>HAMBURGUER DE FRANGO</t>
  </si>
  <si>
    <t>SALSICHA NO VAREJOCRU(A)</t>
  </si>
  <si>
    <t>SALSICHA NO VAREJOCOZIDO(A)</t>
  </si>
  <si>
    <t>SALSICHA NO VAREJOGRELHADO(A)/BRASA/CHURRASCO</t>
  </si>
  <si>
    <t>SALSICHA NO VAREJOASSADO(A)</t>
  </si>
  <si>
    <t>SALSICHA NO VAREJOFRITO(A)</t>
  </si>
  <si>
    <t>SALSICHA NO VAREJOREFOGADO(A)</t>
  </si>
  <si>
    <t>SALSICHA NO VAREJOMOLHO VERMELHO</t>
  </si>
  <si>
    <t>SALSICHA NO VAREJOMOLHO BRANCO</t>
  </si>
  <si>
    <t>SALSICHA NO VAREJOAO ALHO E OLEO</t>
  </si>
  <si>
    <t>SALSICHA NO VAREJOCOM MANTEIGA/OLEO</t>
  </si>
  <si>
    <t>SALSICHA NO VAREJOENSOPADO</t>
  </si>
  <si>
    <t>SALSICHA NO VAREJO</t>
  </si>
  <si>
    <t>LINGUICA (SUÍNA, BOVINA, MISTA, ETC)CRU(A)</t>
  </si>
  <si>
    <t>LINGUICA (SUÍNA, BOVINA, MISTA, ETC)COZIDO(A)</t>
  </si>
  <si>
    <t>LINGUICA (SUÍNA, BOVINA, MISTA, ETC)GRELHADO(A)/BRASA/CHURRASCO</t>
  </si>
  <si>
    <t>LINGUICA (SUÍNA, BOVINA, MISTA, ETC)ASSADO(A)</t>
  </si>
  <si>
    <t>LINGUICA (SUÍNA, BOVINA, MISTA, ETC)FRITO(A)</t>
  </si>
  <si>
    <t>LINGUICA (SUÍNA, BOVINA, MISTA, ETC)EMPANADO(A)/A MILANESA</t>
  </si>
  <si>
    <t>LINGUICA (SUÍNA, BOVINA, MISTA, ETC)REFOGADO(A)</t>
  </si>
  <si>
    <t>LINGUICA (SUÍNA, BOVINA, MISTA, ETC)MOLHO VERMELHO</t>
  </si>
  <si>
    <t>LINGUICA (SUÍNA, BOVINA, MISTA, ETC)COM MANTEIGA/OLEO</t>
  </si>
  <si>
    <t>LINGUICA (SUÍNA, BOVINA, MISTA, ETC)ENSOPADO</t>
  </si>
  <si>
    <t>LINGUICA (SUÍNA, BOVINA, MISTA, ETC)</t>
  </si>
  <si>
    <t>LINGUICA DE FRANGOCRU(A)</t>
  </si>
  <si>
    <t>LINGUICA DE FRANGOCOZIDO(A)</t>
  </si>
  <si>
    <t>LINGUICA DE FRANGOGRELHADO(A)/BRASA/CHURRASCO</t>
  </si>
  <si>
    <t>LINGUICA DE FRANGOASSADO(A)</t>
  </si>
  <si>
    <t>LINGUICA DE FRANGOFRITO(A)</t>
  </si>
  <si>
    <t>CHOURICO</t>
  </si>
  <si>
    <t>MORCELA</t>
  </si>
  <si>
    <t>MORCILHACRU(A)</t>
  </si>
  <si>
    <t>MORCILHACOZIDO(A)</t>
  </si>
  <si>
    <t>PAIOCOZIDO(A)</t>
  </si>
  <si>
    <t>MORTADELA</t>
  </si>
  <si>
    <t>SALAME</t>
  </si>
  <si>
    <t>SALAMINHO</t>
  </si>
  <si>
    <t>BLANQUET DE PERU</t>
  </si>
  <si>
    <t xml:space="preserve">PRESUNTO </t>
  </si>
  <si>
    <t>HAMBURGUER DE PERUCOZIDO(A)</t>
  </si>
  <si>
    <t>HAMBURGUER DE PERUASSADO(A)</t>
  </si>
  <si>
    <t>HAMBURGUER DE PERUEMPANADO(A)/A MILANESA</t>
  </si>
  <si>
    <t>HAMBURGUER NAO ESPECIFICADOCOZIDO(A)</t>
  </si>
  <si>
    <t>HAMBURGUER NAO ESPECIFICADOGRELHADO(A)/BRASA/CHURRASCO</t>
  </si>
  <si>
    <t>HAMBURGUER NAO ESPECIFICADOASSADO(A)</t>
  </si>
  <si>
    <t>HAMBURGUER NAO ESPECIFICADOFRITO(A)</t>
  </si>
  <si>
    <t>HAMBURGUER NAO ESPECIFICADO</t>
  </si>
  <si>
    <t>APRESUNTADO</t>
  </si>
  <si>
    <t>PURURUCA DE PORCO</t>
  </si>
  <si>
    <t>PELE DE PORCO PREPARADA (PURURUCA)</t>
  </si>
  <si>
    <t>PATE (FÍGADO, CALABRESA, FRANGO, PRESUNTO, ETC)</t>
  </si>
  <si>
    <t>CARNE DE AVES DEFUMADA</t>
  </si>
  <si>
    <t>CARNE SALGADA NAO ESPECIFICADACOZIDO(A)</t>
  </si>
  <si>
    <t>CARNE SALGADA NAO ESPECIFICADAGRELHADO(A)/BRASA/CHURRASCO</t>
  </si>
  <si>
    <t>CARNE SALGADA NAO ESPECIFICADAASSADO(A)</t>
  </si>
  <si>
    <t>CARNE SALGADA NAO ESPECIFICADAFRITO(A)</t>
  </si>
  <si>
    <t>CARNE SALGADA NAO ESPECIFICADAREFOGADO(A)</t>
  </si>
  <si>
    <t>CARNE SALGADA NAO ESPECIFICADAMOLHO VERMELHO</t>
  </si>
  <si>
    <t>CARNE SALGADA NAO ESPECIFICADA</t>
  </si>
  <si>
    <t>MINI CHICKEN EMPANADOCOZIDO(A)</t>
  </si>
  <si>
    <t>MINI CHICKEN EMPANADOGRELHADO(A)/BRASA/CHURRASCO</t>
  </si>
  <si>
    <t>MINI CHICKEN EMPANADOASSADO(A)</t>
  </si>
  <si>
    <t>MINI CHICKEN EMPANADOFRITO(A)</t>
  </si>
  <si>
    <t>MINI CHICKEN EMPANADOEMPANADO(A)/A MILANESA</t>
  </si>
  <si>
    <t>MORTADELA LIGHT</t>
  </si>
  <si>
    <t>SALSICHA NO VAREJO LIGHTFRITO(A)</t>
  </si>
  <si>
    <t>SALAME LIGHT</t>
  </si>
  <si>
    <t>BLANQUET DE PERU LIGHT</t>
  </si>
  <si>
    <t>HAMBURGUER NAO ESPECIFICADO LIGHT</t>
  </si>
  <si>
    <t>REFRIGERANTE DE COLA TRADICIONAL</t>
  </si>
  <si>
    <t>COCA COLA TRADICIONAL</t>
  </si>
  <si>
    <t>FANTA LARANJA TRADICIONAL</t>
  </si>
  <si>
    <t>SUKITA TRADICIONAL</t>
  </si>
  <si>
    <t>REFRIGERANTE DE GUARANA TRADICIONAL</t>
  </si>
  <si>
    <t>GUARANA TRADICIONAL</t>
  </si>
  <si>
    <t>SPRIT REFRIGERANTE TRADICIONAL</t>
  </si>
  <si>
    <t>FANTA UVA TRADICIONAL</t>
  </si>
  <si>
    <t>REFRIGERANTE DE COLA LIGHT</t>
  </si>
  <si>
    <t>COCA COLA LIGHT</t>
  </si>
  <si>
    <t>REFRIGERANTE DE COLA DIET</t>
  </si>
  <si>
    <t>MINUANO TRADICIONAL</t>
  </si>
  <si>
    <t>MATE TRADICIONAL</t>
  </si>
  <si>
    <t>BIDU TRADICIONAL</t>
  </si>
  <si>
    <t>FANTA LARANJA LIGHT</t>
  </si>
  <si>
    <t>REFRIGERANTE DE GUARANA LIGHT</t>
  </si>
  <si>
    <t>GUARANA LIGHT</t>
  </si>
  <si>
    <t>TUBAINA TRADICIONAL</t>
  </si>
  <si>
    <t>TUBAINA LIGHT</t>
  </si>
  <si>
    <t>CALDO DE CANA</t>
  </si>
  <si>
    <t>GARAPA</t>
  </si>
  <si>
    <t>AGUA DE COCO</t>
  </si>
  <si>
    <t>Q-SUCO</t>
  </si>
  <si>
    <t>Q-REFRESKO</t>
  </si>
  <si>
    <t>NESCAFE</t>
  </si>
  <si>
    <t>ERVA MATE</t>
  </si>
  <si>
    <t>CHIMARRAO</t>
  </si>
  <si>
    <t>TERERE</t>
  </si>
  <si>
    <t>LEVEDO DE CERVEJA</t>
  </si>
  <si>
    <t>REFRIGERANTE NAO ESPECIFICADO</t>
  </si>
  <si>
    <t>CEVADA EM PO</t>
  </si>
  <si>
    <t xml:space="preserve">CHOCOMILK </t>
  </si>
  <si>
    <t>AGUA TONICA TRADICIONAL</t>
  </si>
  <si>
    <t xml:space="preserve">CHA DIET (PRETO, CAMOMILA, ERVA CIDREIRA, CAPIM LIMAO, ETC) </t>
  </si>
  <si>
    <t>PARAGUAI REFRIGERANTE TRADICIONAL</t>
  </si>
  <si>
    <t>GATORADE</t>
  </si>
  <si>
    <t>BEBIDA ENERGETICA</t>
  </si>
  <si>
    <t>CHA (PRETO, CAMOMILA, ERVA CIDREIRA, CAPIM LIMAO, ETC)</t>
  </si>
  <si>
    <t xml:space="preserve">CAFE SOLUVEL CAPUCCINO </t>
  </si>
  <si>
    <t>REFRIGERANTE DE GUARANA DIET</t>
  </si>
  <si>
    <t>GUARANA DIET</t>
  </si>
  <si>
    <t>REFRIGERANTE DE LIMAO DIET</t>
  </si>
  <si>
    <t>FANTA UVA LIGHT</t>
  </si>
  <si>
    <t>MATE LIGHT</t>
  </si>
  <si>
    <t>AGUA TONICA LIGHT</t>
  </si>
  <si>
    <t>PARAGUAI REFRIGERANTE LIGHT</t>
  </si>
  <si>
    <t>Q-SUCO LIGHT</t>
  </si>
  <si>
    <t>Q-REFRESKO LIGHT</t>
  </si>
  <si>
    <t>Q-SUCO DIET</t>
  </si>
  <si>
    <t>CAFE CAPUCCINO SOLUVEL LIGHT</t>
  </si>
  <si>
    <t>CAFE CAPUCCINO SOLUVEL DIET</t>
  </si>
  <si>
    <t>AGUA TONICA DIET</t>
  </si>
  <si>
    <t>REFRIGERANTE DE QUININO DIETETICO</t>
  </si>
  <si>
    <t>CHA MATE ORGANICO</t>
  </si>
  <si>
    <t>CHIMARRAO ORGANICO</t>
  </si>
  <si>
    <t>SUCO DE CLOROFILA</t>
  </si>
  <si>
    <t>CAFE COM FARINHA</t>
  </si>
  <si>
    <t>CERVEJA (COM OU SEM ALCOOL)</t>
  </si>
  <si>
    <t>CHOPP</t>
  </si>
  <si>
    <t>AGUARDENTE</t>
  </si>
  <si>
    <t>CACHACA</t>
  </si>
  <si>
    <t>BATIDA DE QUALQUER SABOR</t>
  </si>
  <si>
    <t>RUM</t>
  </si>
  <si>
    <t>VODKA</t>
  </si>
  <si>
    <t>UISQUE</t>
  </si>
  <si>
    <t>WHISKY</t>
  </si>
  <si>
    <t>CHAMPANHE</t>
  </si>
  <si>
    <t>SIDRA CHAMPANHE</t>
  </si>
  <si>
    <t>MARTINI</t>
  </si>
  <si>
    <t>CONHAQUE</t>
  </si>
  <si>
    <t>DRINK DREHER</t>
  </si>
  <si>
    <t>LICOR DE QUALQUER SABOR</t>
  </si>
  <si>
    <t>CAJUINA</t>
  </si>
  <si>
    <t>VINHO</t>
  </si>
  <si>
    <t>CATUABA</t>
  </si>
  <si>
    <t>COQUETEL DE FRUTAS</t>
  </si>
  <si>
    <t>CAIPIRINHA</t>
  </si>
  <si>
    <t xml:space="preserve">BEBIDA ALCOOLICA </t>
  </si>
  <si>
    <t>VINHO ORGANICO</t>
  </si>
  <si>
    <t>CERVEJA (COM OU SEM ALCOOL) LIGHT</t>
  </si>
  <si>
    <t>CAXIRI (AGUARDENTE DE MANDIOCA)</t>
  </si>
  <si>
    <t>AZEITE DE OLIVA</t>
  </si>
  <si>
    <t>OLEO DE SOJA</t>
  </si>
  <si>
    <t>BANHA SUINA</t>
  </si>
  <si>
    <t>BANHA BOVINA</t>
  </si>
  <si>
    <t>OLEO NAO ESPECIFICADO</t>
  </si>
  <si>
    <t>OLEO DE DENDE</t>
  </si>
  <si>
    <t>SALGADINHO</t>
  </si>
  <si>
    <t>PASTEL (QUEIJO, CARNE, PALMITO, ETC)</t>
  </si>
  <si>
    <t xml:space="preserve">CROQUETE </t>
  </si>
  <si>
    <t xml:space="preserve">COXINHA </t>
  </si>
  <si>
    <t>EMPADA (QUEIJO, CARNE, CAMARAO, ETC)</t>
  </si>
  <si>
    <t>RIZOLE  (QUEIJO, CARNE, CAMARAO, ETC)</t>
  </si>
  <si>
    <t>ACARAJE</t>
  </si>
  <si>
    <t xml:space="preserve">TORRESMO </t>
  </si>
  <si>
    <t xml:space="preserve">QUIBE </t>
  </si>
  <si>
    <t>ABARA (BAHIA)</t>
  </si>
  <si>
    <t>PACOCA DE CARNE DE SOL</t>
  </si>
  <si>
    <t>ANGU FRITO</t>
  </si>
  <si>
    <t xml:space="preserve">ANGU DE MILHO </t>
  </si>
  <si>
    <t xml:space="preserve">POLENTA </t>
  </si>
  <si>
    <t xml:space="preserve">ESFIRRA </t>
  </si>
  <si>
    <t xml:space="preserve">ESFIRRA DE CARNE </t>
  </si>
  <si>
    <t xml:space="preserve">ESFIRRA DE QUEIJO </t>
  </si>
  <si>
    <t xml:space="preserve">ESFIRRA DE RICOTA </t>
  </si>
  <si>
    <t xml:space="preserve">ESFIRRA DE FRANGO </t>
  </si>
  <si>
    <t xml:space="preserve">ENROLADINHO </t>
  </si>
  <si>
    <t>BOLINHO DE AIPIM</t>
  </si>
  <si>
    <t>BOLINHO DE BACALHAU</t>
  </si>
  <si>
    <t xml:space="preserve">CACHORRO QUENTE </t>
  </si>
  <si>
    <t>HAMBURGUER (SANDUICHE)</t>
  </si>
  <si>
    <t xml:space="preserve">CHEESBURGUER </t>
  </si>
  <si>
    <t xml:space="preserve">EGGSBURGUER </t>
  </si>
  <si>
    <t xml:space="preserve">BAURU </t>
  </si>
  <si>
    <t>AMERICANO</t>
  </si>
  <si>
    <t xml:space="preserve">MISTO QUENTE OU FRIO </t>
  </si>
  <si>
    <t>SANDUICHE DE QUEIJO PRATO</t>
  </si>
  <si>
    <t>SANDUICHE DE SALAME</t>
  </si>
  <si>
    <t>SANDUICHE DE PRESUNTO</t>
  </si>
  <si>
    <t>SANDUICHE DE QUEIJO PRATO COM PRESUNTO</t>
  </si>
  <si>
    <t>SANDUICHE DE MORTADELA</t>
  </si>
  <si>
    <t>SANDUICHE DE QUEIJO MINAS</t>
  </si>
  <si>
    <t>CHEESE EGG</t>
  </si>
  <si>
    <t>CHEESE TUDO</t>
  </si>
  <si>
    <t>SANDUICHE NATURAL</t>
  </si>
  <si>
    <t xml:space="preserve">SUCO </t>
  </si>
  <si>
    <t xml:space="preserve">SUCO DE ABACAXI </t>
  </si>
  <si>
    <t xml:space="preserve">SUCO DE ACEROLA </t>
  </si>
  <si>
    <t xml:space="preserve">SUCO DE BETERRABA </t>
  </si>
  <si>
    <t xml:space="preserve">SUCO DE CUPUACU </t>
  </si>
  <si>
    <t xml:space="preserve">SUCO DE GOIABA </t>
  </si>
  <si>
    <t xml:space="preserve">SUCO DE LARANJA </t>
  </si>
  <si>
    <t xml:space="preserve">SUCO DE LARANJA COM BANANA </t>
  </si>
  <si>
    <t xml:space="preserve">SUCO DE LARANJA E BETERRABA </t>
  </si>
  <si>
    <t xml:space="preserve">SUCO DE LARANJA E CENOURA </t>
  </si>
  <si>
    <t>SUCO DE LARANJA CENOURA E BETERRABA</t>
  </si>
  <si>
    <t xml:space="preserve">SUCO DE MAMAO </t>
  </si>
  <si>
    <t xml:space="preserve">SUCO DE MANGA </t>
  </si>
  <si>
    <t xml:space="preserve">SUCO DE MARACUJA </t>
  </si>
  <si>
    <t xml:space="preserve">SUCO DE MELAO </t>
  </si>
  <si>
    <t xml:space="preserve">SUCO DE MORANGO </t>
  </si>
  <si>
    <t xml:space="preserve">SUCO DE PESSEGO </t>
  </si>
  <si>
    <t xml:space="preserve">SUCO DE PESSEGO EM CALDA </t>
  </si>
  <si>
    <t xml:space="preserve">VITAMINA </t>
  </si>
  <si>
    <t xml:space="preserve">VITAMINA DE BANANA </t>
  </si>
  <si>
    <t xml:space="preserve">VITAMINA DE BANANA COM AVEIA </t>
  </si>
  <si>
    <t xml:space="preserve">VITAMINA DE MAMÃO </t>
  </si>
  <si>
    <t xml:space="preserve">VITAMINA DE ABACATE </t>
  </si>
  <si>
    <t xml:space="preserve">VITAMINA DE MORANGO </t>
  </si>
  <si>
    <t>VITAMINA MISTA</t>
  </si>
  <si>
    <t xml:space="preserve">VITAMINA DE MACA </t>
  </si>
  <si>
    <t xml:space="preserve">REFRESCO </t>
  </si>
  <si>
    <t xml:space="preserve">REFRESCO DE CAJU </t>
  </si>
  <si>
    <t xml:space="preserve">REFRESCO DE GROSELHA </t>
  </si>
  <si>
    <t xml:space="preserve">REFRESCO DE LARANJA </t>
  </si>
  <si>
    <t xml:space="preserve">REFRESCO DE MARACUJA </t>
  </si>
  <si>
    <t>REFRESCO DE LIMAO</t>
  </si>
  <si>
    <t>SALADA OU VERDURA COZIDA, EXCETO DE FRUTA</t>
  </si>
  <si>
    <t xml:space="preserve">SALADA DE MAIONESE </t>
  </si>
  <si>
    <t xml:space="preserve">PIZZA </t>
  </si>
  <si>
    <t xml:space="preserve">LAZANHA </t>
  </si>
  <si>
    <t xml:space="preserve">NHOQUE </t>
  </si>
  <si>
    <t>CANELONI</t>
  </si>
  <si>
    <t xml:space="preserve">CAPELETI </t>
  </si>
  <si>
    <t xml:space="preserve">RAVIOLI </t>
  </si>
  <si>
    <t xml:space="preserve">CALZONE </t>
  </si>
  <si>
    <t>PANQUECA</t>
  </si>
  <si>
    <t>PIZZA CALABREZA</t>
  </si>
  <si>
    <t>PIZZA MUZZARELA</t>
  </si>
  <si>
    <t>PIZZA PRESUNTO</t>
  </si>
  <si>
    <t>PIZZA PORTUGUESA</t>
  </si>
  <si>
    <t>MACARRONADA</t>
  </si>
  <si>
    <t xml:space="preserve">GALETO </t>
  </si>
  <si>
    <t>COSTELA</t>
  </si>
  <si>
    <t xml:space="preserve">PIPOCA DOCE OU SALGADA </t>
  </si>
  <si>
    <t xml:space="preserve">CAFE </t>
  </si>
  <si>
    <t xml:space="preserve">CAFE COM LEITE </t>
  </si>
  <si>
    <t>CAFE TIPO EXPRESSO</t>
  </si>
  <si>
    <t>CAFE TIPO CAPUCCINO</t>
  </si>
  <si>
    <t xml:space="preserve">MILHO COZIDO </t>
  </si>
  <si>
    <t>BATATA PALITO</t>
  </si>
  <si>
    <t>BATATA PALHA</t>
  </si>
  <si>
    <t xml:space="preserve">MUNGUNZA </t>
  </si>
  <si>
    <t xml:space="preserve">CANJICA </t>
  </si>
  <si>
    <t>CURAU</t>
  </si>
  <si>
    <t xml:space="preserve">FAROFA </t>
  </si>
  <si>
    <t xml:space="preserve">MINGAU (FUBA,  AVEIA, FARINHA, ETC) </t>
  </si>
  <si>
    <t xml:space="preserve">TACACA </t>
  </si>
  <si>
    <t xml:space="preserve">BOLINHO DE COCO </t>
  </si>
  <si>
    <t>RISOTO</t>
  </si>
  <si>
    <t xml:space="preserve">VATAPA </t>
  </si>
  <si>
    <t xml:space="preserve">FAROFA PRONTA </t>
  </si>
  <si>
    <t xml:space="preserve">CALDO DE CARNE </t>
  </si>
  <si>
    <t xml:space="preserve">CALDO DE FEIJAO </t>
  </si>
  <si>
    <t xml:space="preserve">CALDO DE MOCOTO </t>
  </si>
  <si>
    <t>BAIAO DE DOIS</t>
  </si>
  <si>
    <t>CHURRASCO</t>
  </si>
  <si>
    <t>SUSHI</t>
  </si>
  <si>
    <t xml:space="preserve">SALADA DE FRUTAS </t>
  </si>
  <si>
    <t>SOPA (LEGUMES, CARNE, ETC)</t>
  </si>
  <si>
    <t xml:space="preserve">SALPICAO </t>
  </si>
  <si>
    <t>CHARUTO DE REPOLHO</t>
  </si>
  <si>
    <t xml:space="preserve">ARROZ A GREGA </t>
  </si>
  <si>
    <t>ARRUMADINHO</t>
  </si>
  <si>
    <t xml:space="preserve">BOBO DE CAMARAO </t>
  </si>
  <si>
    <t>CARURU (QUIABO, AMENDOIM, CASTANHA DE CAJU, CAMARAO SECO, ETC)</t>
  </si>
  <si>
    <t xml:space="preserve">CUSCUZ PAULISTA </t>
  </si>
  <si>
    <t>EMPADAO (QUEIJO, FRANGO, CAMARAO, PALMITO, ETC)</t>
  </si>
  <si>
    <t>FAROFA DE BANANA</t>
  </si>
  <si>
    <t xml:space="preserve">FEIJAO TROPEIRO </t>
  </si>
  <si>
    <t xml:space="preserve">GALINHA COM ARROZ </t>
  </si>
  <si>
    <t xml:space="preserve">GALINHADA </t>
  </si>
  <si>
    <t xml:space="preserve">MOQUECA BAIANA </t>
  </si>
  <si>
    <t xml:space="preserve">OMELETE </t>
  </si>
  <si>
    <t xml:space="preserve">PIRAO </t>
  </si>
  <si>
    <t xml:space="preserve">QUIBEBE </t>
  </si>
  <si>
    <t>QUICHE</t>
  </si>
  <si>
    <t xml:space="preserve">SUFLE </t>
  </si>
  <si>
    <t xml:space="preserve">TUTU </t>
  </si>
  <si>
    <t xml:space="preserve">MOQUECA CAPIXABA </t>
  </si>
  <si>
    <t xml:space="preserve">MANICOBA </t>
  </si>
  <si>
    <t xml:space="preserve">CALDO VERDE </t>
  </si>
  <si>
    <t>ARROZ DE CUXA</t>
  </si>
  <si>
    <t>ANGU A BAIANA</t>
  </si>
  <si>
    <t>CHOCOLATE</t>
  </si>
  <si>
    <t xml:space="preserve">GEMADA </t>
  </si>
  <si>
    <t>ACAI COM GRANOLA</t>
  </si>
  <si>
    <t xml:space="preserve">SUCO ORGANICO </t>
  </si>
  <si>
    <t xml:space="preserve">SUCO DE ABACAXI ORGANICO </t>
  </si>
  <si>
    <t xml:space="preserve">SUCO DE ACEROLA ORGANICO </t>
  </si>
  <si>
    <t xml:space="preserve">SUCO DE GOIABA ORGANICO </t>
  </si>
  <si>
    <t xml:space="preserve">SUCO DE LARANJA ORGANICO </t>
  </si>
  <si>
    <t xml:space="preserve">SUCO DE LARANJA CENOURA E BETERRABA ORGANICO </t>
  </si>
  <si>
    <t xml:space="preserve">SUCO DE MANGA ORGANICO </t>
  </si>
  <si>
    <t xml:space="preserve">SUCO DE MARACUJA ORGANICO </t>
  </si>
  <si>
    <t xml:space="preserve">SUCO DE MORANGO ORGANICO </t>
  </si>
  <si>
    <t xml:space="preserve">SUCO DE PESSEGO ORGANICO </t>
  </si>
  <si>
    <t xml:space="preserve">SUCO DE PESSEGO EM CALDA ORGANICO </t>
  </si>
  <si>
    <t xml:space="preserve">PIZZA PRONTA LIGHT </t>
  </si>
  <si>
    <t xml:space="preserve">LAZANHA PRONTA LIGHT </t>
  </si>
  <si>
    <t>MACARRAO PRONTO LIGHT COZIDO(A)</t>
  </si>
  <si>
    <t>PIZZA PORTUGUESA LIGHT</t>
  </si>
  <si>
    <t>FAROFA PRONTA LIGHT EM PACOTE</t>
  </si>
  <si>
    <t>VACA ATOLADA</t>
  </si>
  <si>
    <t>SALADA OU VERDURA CRUA, EXCETO DE FRUTA</t>
  </si>
  <si>
    <t>OUTROS LEGUMES COZIDOS</t>
  </si>
  <si>
    <t>CAFE DA MANHA</t>
  </si>
  <si>
    <t>PRATO DE COMIDA BRASILEIRO</t>
  </si>
  <si>
    <t>PRATO DE COMIDA NE</t>
  </si>
  <si>
    <t>PRATO DE COMIDA N</t>
  </si>
  <si>
    <t>PRATO DE COMIDA SE</t>
  </si>
  <si>
    <t>PRATO DE COMIDA SUL</t>
  </si>
  <si>
    <t>PRATO DE COMIDA CO</t>
  </si>
  <si>
    <t>ARROZ COM FEIJAO</t>
  </si>
  <si>
    <t>PAO COM MANTEIGA</t>
  </si>
  <si>
    <t>PAO COM MARGARINA</t>
  </si>
  <si>
    <t>PAO COM OVO</t>
  </si>
  <si>
    <t xml:space="preserve">CARNE COM BATATA, INHAME, BATATA BAROA OU AIPIM </t>
  </si>
  <si>
    <t>CARNE COM LEGUMES (EXCETO BATATA, INHAME E AIPIM)</t>
  </si>
  <si>
    <t>FRANGO COM BATATA, INHAME BATATA BAROA OU AIPIM</t>
  </si>
  <si>
    <t>FRANGO COM LEGUMES (EXCETO BATATA,INHAME E AIPIM)</t>
  </si>
  <si>
    <t>ABOBORA COM QUIABO</t>
  </si>
  <si>
    <t>ARROZ CARRETEIRO</t>
  </si>
  <si>
    <t>MARIA IZABEL</t>
  </si>
  <si>
    <t>ARROZ DE LEITE</t>
  </si>
  <si>
    <t>ARROZ COM MANDIOCA</t>
  </si>
  <si>
    <t>ARROZ COM OVO</t>
  </si>
  <si>
    <t xml:space="preserve">PALMA </t>
  </si>
  <si>
    <t>NOME:</t>
  </si>
  <si>
    <t>Ômega 6</t>
  </si>
  <si>
    <t>Ômega 3</t>
  </si>
  <si>
    <t>Equiv Niacina (mg)</t>
  </si>
  <si>
    <t>Cobalamina (mcg)</t>
  </si>
  <si>
    <t>Equiv Folato (mcg)</t>
  </si>
  <si>
    <t>Vit D (mcg)</t>
  </si>
  <si>
    <t>Vit E (mg)</t>
  </si>
  <si>
    <t>Trans (g)</t>
  </si>
  <si>
    <t>Sódio de Adição (mg)</t>
  </si>
  <si>
    <t>Selênio (mcg)</t>
  </si>
  <si>
    <t>Vit A (mcg)</t>
  </si>
  <si>
    <t>Açúcar Total (g)</t>
  </si>
  <si>
    <t>Açúcar de Adição (g)</t>
  </si>
  <si>
    <t>.</t>
  </si>
  <si>
    <t>..</t>
  </si>
  <si>
    <t>Dados de outras Tabelas de Composição de Alimentos</t>
  </si>
  <si>
    <t>Legenda da TACO:</t>
  </si>
  <si>
    <t>EAR</t>
  </si>
  <si>
    <t>1,4</t>
  </si>
  <si>
    <t>AMDR</t>
  </si>
  <si>
    <t>Proteína (% of energy)</t>
  </si>
  <si>
    <t>Lipídeos (% of energy)</t>
  </si>
  <si>
    <t>CHO (% of energy)</t>
  </si>
  <si>
    <t>5–20</t>
  </si>
  <si>
    <t>30–40</t>
  </si>
  <si>
    <t>45–65</t>
  </si>
  <si>
    <t>10–30</t>
  </si>
  <si>
    <t>25–35</t>
  </si>
  <si>
    <t>10–35</t>
  </si>
  <si>
    <t>20–35</t>
  </si>
  <si>
    <t>UL</t>
  </si>
  <si>
    <t xml:space="preserve">AI </t>
  </si>
  <si>
    <t>Biscoito, doce, wafer, recheado de morango</t>
  </si>
  <si>
    <t>Biscoito, salgado, cream cracker</t>
  </si>
  <si>
    <t>Canjica, com leite integral</t>
  </si>
  <si>
    <t>Cereais, mistura para vitamina, trigo, cevada e aveia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</si>
  <si>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</si>
  <si>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</si>
  <si>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</si>
  <si>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</si>
  <si>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</si>
  <si>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Milho, fubá, cru</t>
  </si>
  <si>
    <t>Milho, verde, cru</t>
  </si>
  <si>
    <t>Pão, aveia, forma</t>
  </si>
  <si>
    <t>Pão, glúten, forma</t>
  </si>
  <si>
    <t>Pão, milho, forma</t>
  </si>
  <si>
    <t>Pão, trigo, sovado</t>
  </si>
  <si>
    <t>Pastel, de carne, cru</t>
  </si>
  <si>
    <t>Pastel, de carne, frito</t>
  </si>
  <si>
    <t>Pastel, de queijo, cru</t>
  </si>
  <si>
    <t>Pastel, de queijo, frito</t>
  </si>
  <si>
    <t>Pipoca, com óleo de soja, sem sal</t>
  </si>
  <si>
    <t>Polenta, pré-cozida</t>
  </si>
  <si>
    <t>Abóbora, moranga, refogada</t>
  </si>
  <si>
    <t>Abóbora, pescoço, crua</t>
  </si>
  <si>
    <t>Abobrinha, italiana, refogada</t>
  </si>
  <si>
    <t>Alface, roxa, crua</t>
  </si>
  <si>
    <t>Alho-poró, cru</t>
  </si>
  <si>
    <t>Catalonha, refogada</t>
  </si>
  <si>
    <t xml:space="preserve">Couve, manteiga, refogada </t>
  </si>
  <si>
    <t>Espinafre, Nova Zelândia, cru</t>
  </si>
  <si>
    <t>Espinafre, Nova Zelândia, refogado</t>
  </si>
  <si>
    <t>Farinha, de mandioca, crua</t>
  </si>
  <si>
    <t>Farinha, de puba</t>
  </si>
  <si>
    <t>Fécula, de mandioca</t>
  </si>
  <si>
    <t>Mandioca, frita</t>
  </si>
  <si>
    <t>Nhoque, batata, cozido</t>
  </si>
  <si>
    <t>Palmito, juçara, em conserva</t>
  </si>
  <si>
    <t>Palmito, pupunha, em conserva</t>
  </si>
  <si>
    <t>Quiabo, cru</t>
  </si>
  <si>
    <t>Repolho, roxo, cru</t>
  </si>
  <si>
    <t>Repolho, roxo, refogado</t>
  </si>
  <si>
    <t>Rúcula, crua</t>
  </si>
  <si>
    <t>Abacaxi, cru</t>
  </si>
  <si>
    <t>Abacaxi, polpa, congelada</t>
  </si>
  <si>
    <t>Açaí, polpa, congelada</t>
  </si>
  <si>
    <t xml:space="preserve">Ameixa, calda, enlatada </t>
  </si>
  <si>
    <t xml:space="preserve">Ameixa, em calda, enlatada, drenada </t>
  </si>
  <si>
    <t>Banana, doce em barra</t>
  </si>
  <si>
    <t>Cajá, polpa, congelada</t>
  </si>
  <si>
    <t>Ciriguela, crua</t>
  </si>
  <si>
    <t>Figo, cru</t>
  </si>
  <si>
    <t>Goiaba, branca, com casca, crua</t>
  </si>
  <si>
    <t>Goiaba, doce, cascão</t>
  </si>
  <si>
    <t>Goiaba, vermelha, com casca, crua</t>
  </si>
  <si>
    <t>Jamelão, cru</t>
  </si>
  <si>
    <t>Laranja, baía, crua</t>
  </si>
  <si>
    <t>Laranja, baía, suco</t>
  </si>
  <si>
    <t>Limão, cravo, suco</t>
  </si>
  <si>
    <t>Maçã, Argentina, com casca, crua</t>
  </si>
  <si>
    <t>Maçã, Fuji, com casca, crua</t>
  </si>
  <si>
    <t xml:space="preserve"> Mamão, doce em calda, drenado</t>
  </si>
  <si>
    <t xml:space="preserve"> Mamão verde, doce em calda, drenado</t>
  </si>
  <si>
    <t>Manga, Palmer, crua</t>
  </si>
  <si>
    <t>Manga, Tommy Atkins, crua</t>
  </si>
  <si>
    <t>Pitanga, polpa, congelada</t>
  </si>
  <si>
    <t>Tangerina, Poncã, crua</t>
  </si>
  <si>
    <t>Tangerina, Poncã, suco</t>
  </si>
  <si>
    <t>Tucumã, cru</t>
  </si>
  <si>
    <t>Margarina, com óleo interesterificado, com sal (65%de lipídeos)</t>
  </si>
  <si>
    <t>Abadejo, filé, congelado, assado</t>
  </si>
  <si>
    <t>Abadejo, filé, congelado,cozido</t>
  </si>
  <si>
    <t>Abadejo, filé, congelado, cru</t>
  </si>
  <si>
    <t>Abadejo, filé, congelado, grelhado</t>
  </si>
  <si>
    <t>Cação, posta, com farinha de trigo, frita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</si>
  <si>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</si>
  <si>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</si>
  <si>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</si>
  <si>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</si>
  <si>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Corimbatá, assado</t>
  </si>
  <si>
    <t>Corimbatá, cozido</t>
  </si>
  <si>
    <t>Corvina grande, cozida</t>
  </si>
  <si>
    <t>Dourada de água doce, fresca</t>
  </si>
  <si>
    <t>Lambari, fresco, cru</t>
  </si>
  <si>
    <t>Manjuba, com farinha de trigo, frita</t>
  </si>
  <si>
    <t>Merluza, filé, frito</t>
  </si>
  <si>
    <t>Pescada, filé, com farinha de trigo, frito</t>
  </si>
  <si>
    <t>Pescada, filé, molho escabeche</t>
  </si>
  <si>
    <t>Salmão, filé, com pele, fresco,  grelhado</t>
  </si>
  <si>
    <t>Salmão, sem pele, fresco, cru</t>
  </si>
  <si>
    <t>Salmão, sem pele, fresco, grelhado</t>
  </si>
  <si>
    <t>Apresuntado</t>
  </si>
  <si>
    <t>Carne, bovina, acém, moído, cozido</t>
  </si>
  <si>
    <t>Carne, bovina, acém, moído, cru</t>
  </si>
  <si>
    <t>Carne, bovina, almôndegas, cruas</t>
  </si>
  <si>
    <t>Carne, bovina, contra-filé, à milanesa</t>
  </si>
  <si>
    <t>Carne, bovina, costela, crua</t>
  </si>
  <si>
    <t>Carne, bovina, filé mingnon, sem gordura, cru</t>
  </si>
  <si>
    <t>Carne, bovina, filé mingnon, sem gordura, grelhado</t>
  </si>
  <si>
    <t>Carne, bovina, flanco, sem gordura, cru</t>
  </si>
  <si>
    <t>Carne, bovina, fraldinha, com gordura, crua</t>
  </si>
  <si>
    <t>Carne, bovina, peito, sem gordura, cru</t>
  </si>
  <si>
    <t>Carne, bovina, seca, crua</t>
  </si>
  <si>
    <t>Coxinha de frango, frita</t>
  </si>
  <si>
    <t>Croquete, de carne, cru</t>
  </si>
  <si>
    <t>Croquete, de carne, frito</t>
  </si>
  <si>
    <t>Frango, coxa, com pele, crua</t>
  </si>
  <si>
    <t>Frango, coxa, sem pele, crua</t>
  </si>
  <si>
    <t>Hambúrguer, bovino, cru</t>
  </si>
  <si>
    <t>Hambúrguer, bovino, frito</t>
  </si>
  <si>
    <t>Hambúrguer, bovino, grelhado</t>
  </si>
  <si>
    <t>Mortadela</t>
  </si>
  <si>
    <t>Porco, bisteca, frita</t>
  </si>
  <si>
    <t>Porco, pernil, assado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</si>
  <si>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</si>
  <si>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</si>
  <si>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</si>
  <si>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</si>
  <si>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</si>
  <si>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</si>
  <si>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</si>
  <si>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Bebida láctea, pêssego</t>
  </si>
  <si>
    <t>Creme de Leite</t>
  </si>
  <si>
    <t>Queijo, minas, frescal</t>
  </si>
  <si>
    <t>Queijo, minas, meia cura</t>
  </si>
  <si>
    <t>Queijo, mozarela</t>
  </si>
  <si>
    <t>Queijo, prato</t>
  </si>
  <si>
    <t>Cana, caldo de</t>
  </si>
  <si>
    <t>Omelete, de queijo</t>
  </si>
  <si>
    <t>Ovo, de galinha, clara, cozida/10minutos</t>
  </si>
  <si>
    <t>Ovo, de galinha, gema, cozida/10minutos</t>
  </si>
  <si>
    <t>Ovo, de galinha, inteiro, cozido/10minutos</t>
  </si>
  <si>
    <t>Ovo, de galinha, inteiro, frito</t>
  </si>
  <si>
    <t>Açúcar, mascavo</t>
  </si>
  <si>
    <t>Doce, de abóbora, cremoso</t>
  </si>
  <si>
    <t>Doce, de leite, cremoso</t>
  </si>
  <si>
    <t>Geléia, mocotó, natural</t>
  </si>
  <si>
    <t>Maria mole</t>
  </si>
  <si>
    <t>Maria mole, coco queimado</t>
  </si>
  <si>
    <t>Marmelada</t>
  </si>
  <si>
    <t>Quindim</t>
  </si>
  <si>
    <t>Rapadura</t>
  </si>
  <si>
    <t>Miscelâneas</t>
  </si>
  <si>
    <t>Leite, de coco</t>
  </si>
  <si>
    <t>Maionese, tradicional com ovos</t>
  </si>
  <si>
    <t>Alimentos preparados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</si>
  <si>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</si>
  <si>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</si>
  <si>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</si>
  <si>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</si>
  <si>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</si>
  <si>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</si>
  <si>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</si>
  <si>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Cuxá, molho</t>
  </si>
  <si>
    <t>Estrogonofe de carne</t>
  </si>
  <si>
    <t>Estrogonofe de frango</t>
  </si>
  <si>
    <t>Feijão tropeiro mineiro</t>
  </si>
  <si>
    <t>Feijoada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</si>
  <si>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</si>
  <si>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</si>
  <si>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</si>
  <si>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</si>
  <si>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</si>
  <si>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</si>
  <si>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</si>
  <si>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</si>
  <si>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</si>
  <si>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</si>
  <si>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</si>
  <si>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</si>
  <si>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</si>
  <si>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</si>
  <si>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</si>
  <si>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</si>
  <si>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Amendoim, torrado, salgado</t>
  </si>
  <si>
    <t>Lentilha, cozida</t>
  </si>
  <si>
    <t>Pé-de-moleque, amendoim</t>
  </si>
  <si>
    <t>Soja, farinha</t>
  </si>
  <si>
    <t>Soja, extrato solúvel, pó</t>
  </si>
  <si>
    <t>Soja, queijo (tofu)</t>
  </si>
  <si>
    <t>Amêndoa, torrada, salgada</t>
  </si>
  <si>
    <t>Castanha-de-caju, torrada, salgada</t>
  </si>
  <si>
    <t>Coco, cru</t>
  </si>
  <si>
    <t>Coco,  verde, cru</t>
  </si>
  <si>
    <t>Farinha, de mesocarpo de babaçu, crua</t>
  </si>
  <si>
    <t>Pupunha, cozida</t>
  </si>
  <si>
    <t>Legenda</t>
  </si>
  <si>
    <t>Valores em branco nesta tabela: análises não solicitadas</t>
  </si>
  <si>
    <t>Teores alcoólicos (g/100g): ¹ Cana, aguardente: 31,1 e ² Cerveja, pilsen: 3,6.</t>
  </si>
  <si>
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</si>
  <si>
    <t xml:space="preserve"> </t>
  </si>
  <si>
    <t xml:space="preserve"> Tr</t>
  </si>
  <si>
    <t>(*) As análises estão sendo reavaliadas</t>
  </si>
  <si>
    <t>Abreviações: (g) grama; (mg) micrograma; (kcal) kilocaloria; (kJ) kilojoule; (mg)miligrama; (NA) não aplicável; (Tr)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</si>
  <si>
    <t>9,1*</t>
  </si>
  <si>
    <t>,</t>
  </si>
  <si>
    <t>60*</t>
  </si>
  <si>
    <r>
      <t>10*</t>
    </r>
    <r>
      <rPr>
        <vertAlign val="superscript"/>
        <sz val="11"/>
        <rFont val="Arial"/>
        <family val="2"/>
      </rPr>
      <t>+</t>
    </r>
  </si>
  <si>
    <t>15*</t>
  </si>
  <si>
    <t>95*</t>
  </si>
  <si>
    <t>0,5*</t>
  </si>
  <si>
    <t>5*</t>
  </si>
  <si>
    <t>20*</t>
  </si>
  <si>
    <r>
      <t>(</t>
    </r>
    <r>
      <rPr>
        <vertAlign val="superscript"/>
        <sz val="10"/>
        <rFont val="Arial"/>
        <family val="2"/>
      </rPr>
      <t>+</t>
    </r>
    <r>
      <rPr>
        <sz val="10"/>
        <rFont val="Arial"/>
        <family val="2"/>
      </rPr>
      <t>) Na tabela não está especificado</t>
    </r>
  </si>
  <si>
    <t>5–10</t>
  </si>
  <si>
    <t>0,6–1,2</t>
  </si>
  <si>
    <t xml:space="preserve"> .</t>
  </si>
  <si>
    <t>0,2*</t>
  </si>
  <si>
    <t>0,22*</t>
  </si>
  <si>
    <t>Queijo,Minas,frescal</t>
  </si>
  <si>
    <t>Mamão formosa</t>
  </si>
  <si>
    <t>Lait</t>
  </si>
  <si>
    <t>Leite Desnatado</t>
  </si>
  <si>
    <t>Cuscuz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</si>
</sst>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;[Red]0.0"/>
  </numFmts>
  <fonts count="1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0"/>
      <name val="Arial"/>
    </font>
    <font>
      <vertAlign val="superscript"/>
      <sz val="11"/>
      <name val="Arial"/>
      <family val="2"/>
    </font>
    <font>
      <sz val="10"/>
      <color theme="1" tint="4.9989318521683403E-2"/>
      <name val="Arial"/>
      <family val="2"/>
    </font>
    <font>
      <sz val="10"/>
      <color rgb="FFFF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93FF"/>
        <bgColor indexed="64"/>
      </patternFill>
    </fill>
    <fill>
      <patternFill patternType="solid">
        <fgColor rgb="FFC4A7FF"/>
        <bgColor indexed="64"/>
      </patternFill>
    </fill>
    <fill>
      <patternFill patternType="solid">
        <fgColor rgb="FFBADDFC"/>
        <bgColor indexed="64"/>
      </patternFill>
    </fill>
    <fill>
      <patternFill patternType="solid">
        <fgColor rgb="FFFFCB97"/>
        <bgColor indexed="64"/>
      </patternFill>
    </fill>
    <fill>
      <patternFill patternType="solid">
        <fgColor rgb="FFC2FFA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1" fillId="0" borderId="0"/>
    <xf numFmtId="0" fontId="2" fillId="0" borderId="0"/>
    <xf numFmtId="0" fontId="2" fillId="0" borderId="0"/>
    <xf numFmtId="0" fontId="7" fillId="0" borderId="0"/>
    <xf numFmtId="0" fontId="9" fillId="0" borderId="0"/>
    <xf numFmtId="0" fontId="2" fillId="0" borderId="0">
      <alignment vertical="top"/>
    </xf>
    <xf numFmtId="0" fontId="9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</cellStyleXfs>
  <cellXfs count="33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/>
    </xf>
    <xf numFmtId="0" fontId="1" fillId="8" borderId="1" xfId="0" applyFont="1" applyFill="1" applyBorder="1"/>
    <xf numFmtId="0" fontId="0" fillId="8" borderId="1" xfId="0" applyFill="1" applyBorder="1" applyAlignment="1">
      <alignment horizontal="center"/>
    </xf>
    <xf numFmtId="0" fontId="1" fillId="9" borderId="1" xfId="0" applyFont="1" applyFill="1" applyBorder="1"/>
    <xf numFmtId="0" fontId="0" fillId="9" borderId="1" xfId="0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 applyAlignment="1">
      <alignment horizontal="center"/>
    </xf>
    <xf numFmtId="0" fontId="1" fillId="11" borderId="1" xfId="0" applyFont="1" applyFill="1" applyBorder="1"/>
    <xf numFmtId="0" fontId="0" fillId="11" borderId="1" xfId="0" applyFill="1" applyBorder="1" applyAlignment="1">
      <alignment horizontal="center"/>
    </xf>
    <xf numFmtId="0" fontId="1" fillId="12" borderId="1" xfId="0" applyFont="1" applyFill="1" applyBorder="1"/>
    <xf numFmtId="0" fontId="0" fillId="12" borderId="1" xfId="0" applyFill="1" applyBorder="1" applyAlignment="1">
      <alignment horizontal="center"/>
    </xf>
    <xf numFmtId="0" fontId="1" fillId="13" borderId="1" xfId="0" applyFont="1" applyFill="1" applyBorder="1"/>
    <xf numFmtId="0" fontId="0" fillId="13" borderId="1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" fontId="3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Fill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14" borderId="0" xfId="0" applyFill="1"/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4" borderId="0" xfId="0" applyFont="1" applyFill="1"/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5" borderId="0" xfId="0" applyFont="1" applyFill="1"/>
    <xf numFmtId="0" fontId="0" fillId="16" borderId="0" xfId="0" applyFill="1"/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7" borderId="0" xfId="0" applyFill="1"/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1" fillId="17" borderId="1" xfId="0" applyFont="1" applyFill="1" applyBorder="1"/>
    <xf numFmtId="0" fontId="1" fillId="17" borderId="1" xfId="0" applyFont="1" applyFill="1" applyBorder="1" applyAlignment="1">
      <alignment horizontal="center"/>
    </xf>
    <xf numFmtId="0" fontId="1" fillId="17" borderId="0" xfId="0" applyFont="1" applyFill="1"/>
    <xf numFmtId="0" fontId="0" fillId="15" borderId="0" xfId="0" applyFill="1"/>
    <xf numFmtId="0" fontId="13" fillId="14" borderId="0" xfId="0" applyFont="1" applyFill="1"/>
    <xf numFmtId="0" fontId="0" fillId="18" borderId="0" xfId="0" applyFill="1"/>
    <xf numFmtId="0" fontId="2" fillId="18" borderId="1" xfId="0" applyFont="1" applyFill="1" applyBorder="1"/>
    <xf numFmtId="0" fontId="2" fillId="18" borderId="1" xfId="0" applyFont="1" applyFill="1" applyBorder="1" applyAlignment="1">
      <alignment horizontal="center"/>
    </xf>
    <xf numFmtId="0" fontId="0" fillId="19" borderId="1" xfId="0" applyFill="1" applyBorder="1"/>
    <xf numFmtId="0" fontId="0" fillId="19" borderId="1" xfId="0" applyFill="1" applyBorder="1" applyAlignment="1">
      <alignment horizontal="center"/>
    </xf>
    <xf numFmtId="0" fontId="2" fillId="15" borderId="1" xfId="0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0" xfId="0" applyFont="1" applyFill="1"/>
    <xf numFmtId="0" fontId="1" fillId="15" borderId="0" xfId="0" applyFont="1" applyFill="1"/>
    <xf numFmtId="0" fontId="14" fillId="0" borderId="0" xfId="0" applyFont="1" applyFill="1"/>
    <xf numFmtId="0" fontId="1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3" fillId="15" borderId="1" xfId="0" applyFont="1" applyFill="1" applyBorder="1"/>
    <xf numFmtId="0" fontId="13" fillId="15" borderId="1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13" fillId="15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/>
    <xf numFmtId="0" fontId="15" fillId="0" borderId="0" xfId="0" applyFont="1" applyFill="1"/>
    <xf numFmtId="0" fontId="15" fillId="20" borderId="2" xfId="0" applyFont="1" applyFill="1" applyBorder="1" applyProtection="1"/>
    <xf numFmtId="0" fontId="15" fillId="20" borderId="3" xfId="0" applyFont="1" applyFill="1" applyBorder="1" applyAlignment="1" applyProtection="1">
      <alignment horizontal="center"/>
    </xf>
    <xf numFmtId="0" fontId="16" fillId="20" borderId="3" xfId="0" applyFont="1" applyFill="1" applyBorder="1" applyAlignment="1" applyProtection="1">
      <alignment horizontal="center"/>
    </xf>
    <xf numFmtId="0" fontId="16" fillId="20" borderId="4" xfId="0" applyFont="1" applyFill="1" applyBorder="1" applyAlignment="1" applyProtection="1">
      <alignment horizontal="center"/>
    </xf>
    <xf numFmtId="0" fontId="6" fillId="0" borderId="5" xfId="0" applyFont="1" applyFill="1" applyBorder="1" applyAlignment="1" applyProtection="1">
      <alignment horizontal="left"/>
    </xf>
    <xf numFmtId="0" fontId="5" fillId="0" borderId="1" xfId="0" applyFont="1" applyFill="1" applyBorder="1" applyAlignment="1" applyProtection="1">
      <alignment horizontal="center"/>
    </xf>
    <xf numFmtId="1" fontId="5" fillId="0" borderId="1" xfId="0" applyNumberFormat="1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6" fillId="0" borderId="5" xfId="0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center"/>
    </xf>
    <xf numFmtId="1" fontId="5" fillId="0" borderId="1" xfId="0" applyNumberFormat="1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0" fontId="6" fillId="0" borderId="7" xfId="0" applyFont="1" applyBorder="1" applyProtection="1"/>
    <xf numFmtId="0" fontId="5" fillId="0" borderId="7" xfId="0" applyFont="1" applyBorder="1" applyAlignment="1" applyProtection="1">
      <alignment horizontal="center"/>
    </xf>
    <xf numFmtId="2" fontId="5" fillId="0" borderId="7" xfId="0" applyNumberFormat="1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0" fontId="16" fillId="20" borderId="9" xfId="0" applyFont="1" applyFill="1" applyBorder="1" applyAlignment="1" applyProtection="1">
      <alignment horizontal="left"/>
    </xf>
    <xf numFmtId="0" fontId="15" fillId="20" borderId="10" xfId="0" applyFont="1" applyFill="1" applyBorder="1" applyAlignment="1" applyProtection="1">
      <alignment horizontal="center"/>
    </xf>
    <xf numFmtId="0" fontId="15" fillId="20" borderId="11" xfId="0" applyFont="1" applyFill="1" applyBorder="1" applyAlignment="1" applyProtection="1">
      <alignment horizontal="center"/>
    </xf>
    <xf numFmtId="0" fontId="6" fillId="0" borderId="12" xfId="0" applyFont="1" applyBorder="1" applyAlignment="1" applyProtection="1">
      <alignment horizontal="left"/>
    </xf>
    <xf numFmtId="0" fontId="6" fillId="21" borderId="0" xfId="0" applyFont="1" applyFill="1" applyProtection="1"/>
    <xf numFmtId="0" fontId="5" fillId="22" borderId="1" xfId="0" applyFont="1" applyFill="1" applyBorder="1" applyAlignment="1" applyProtection="1">
      <alignment horizontal="center"/>
    </xf>
    <xf numFmtId="0" fontId="0" fillId="22" borderId="1" xfId="0" applyFill="1" applyBorder="1" applyAlignment="1" applyProtection="1">
      <alignment horizontal="center"/>
    </xf>
    <xf numFmtId="0" fontId="1" fillId="22" borderId="1" xfId="0" applyFont="1" applyFill="1" applyBorder="1" applyAlignment="1" applyProtection="1">
      <alignment horizontal="left"/>
    </xf>
    <xf numFmtId="0" fontId="1" fillId="23" borderId="1" xfId="0" applyFont="1" applyFill="1" applyBorder="1" applyAlignment="1" applyProtection="1">
      <alignment horizontal="left"/>
    </xf>
    <xf numFmtId="0" fontId="5" fillId="23" borderId="1" xfId="0" applyFont="1" applyFill="1" applyBorder="1" applyAlignment="1" applyProtection="1">
      <alignment horizontal="center"/>
    </xf>
    <xf numFmtId="0" fontId="0" fillId="23" borderId="1" xfId="0" applyFill="1" applyBorder="1" applyAlignment="1" applyProtection="1">
      <alignment horizontal="center"/>
    </xf>
    <xf numFmtId="0" fontId="1" fillId="24" borderId="1" xfId="0" applyFont="1" applyFill="1" applyBorder="1" applyAlignment="1" applyProtection="1">
      <alignment horizontal="left"/>
    </xf>
    <xf numFmtId="0" fontId="5" fillId="24" borderId="1" xfId="0" applyFont="1" applyFill="1" applyBorder="1" applyAlignment="1" applyProtection="1">
      <alignment horizontal="center"/>
    </xf>
    <xf numFmtId="0" fontId="2" fillId="24" borderId="1" xfId="0" applyFont="1" applyFill="1" applyBorder="1" applyAlignment="1" applyProtection="1">
      <alignment horizontal="center"/>
    </xf>
    <xf numFmtId="0" fontId="0" fillId="24" borderId="1" xfId="0" applyFill="1" applyBorder="1" applyAlignment="1" applyProtection="1">
      <alignment horizontal="center"/>
    </xf>
    <xf numFmtId="0" fontId="1" fillId="25" borderId="1" xfId="0" applyFont="1" applyFill="1" applyBorder="1" applyAlignment="1" applyProtection="1">
      <alignment horizontal="left"/>
    </xf>
    <xf numFmtId="0" fontId="5" fillId="25" borderId="1" xfId="0" applyFont="1" applyFill="1" applyBorder="1" applyAlignment="1" applyProtection="1">
      <alignment horizontal="center"/>
    </xf>
    <xf numFmtId="0" fontId="0" fillId="25" borderId="1" xfId="0" applyFill="1" applyBorder="1" applyAlignment="1" applyProtection="1">
      <alignment horizontal="center"/>
    </xf>
    <xf numFmtId="0" fontId="2" fillId="25" borderId="1" xfId="0" applyFont="1" applyFill="1" applyBorder="1" applyAlignment="1" applyProtection="1">
      <alignment horizontal="center"/>
    </xf>
    <xf numFmtId="0" fontId="1" fillId="26" borderId="1" xfId="0" applyFont="1" applyFill="1" applyBorder="1" applyAlignment="1" applyProtection="1">
      <alignment horizontal="left"/>
    </xf>
    <xf numFmtId="0" fontId="5" fillId="26" borderId="1" xfId="0" applyFont="1" applyFill="1" applyBorder="1" applyAlignment="1" applyProtection="1">
      <alignment horizontal="center"/>
    </xf>
    <xf numFmtId="0" fontId="0" fillId="26" borderId="1" xfId="0" applyFill="1" applyBorder="1" applyAlignment="1" applyProtection="1">
      <alignment horizontal="center"/>
    </xf>
    <xf numFmtId="0" fontId="5" fillId="0" borderId="0" xfId="0" applyFont="1" applyProtection="1"/>
    <xf numFmtId="0" fontId="5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6" fillId="27" borderId="2" xfId="0" applyFont="1" applyFill="1" applyBorder="1" applyProtection="1">
      <protection locked="0"/>
    </xf>
    <xf numFmtId="0" fontId="5" fillId="27" borderId="3" xfId="0" applyFont="1" applyFill="1" applyBorder="1" applyAlignment="1" applyProtection="1">
      <alignment horizontal="center"/>
      <protection locked="0"/>
    </xf>
    <xf numFmtId="0" fontId="5" fillId="27" borderId="4" xfId="0" applyFont="1" applyFill="1" applyBorder="1" applyAlignment="1" applyProtection="1">
      <alignment horizontal="center"/>
      <protection locked="0"/>
    </xf>
    <xf numFmtId="0" fontId="5" fillId="0" borderId="5" xfId="0" applyFont="1" applyFill="1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5" xfId="0" applyFont="1" applyBorder="1" applyProtection="1"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12" xfId="0" applyFont="1" applyBorder="1" applyProtection="1">
      <protection locked="0"/>
    </xf>
    <xf numFmtId="0" fontId="0" fillId="15" borderId="1" xfId="0" applyFill="1" applyBorder="1" applyAlignment="1" applyProtection="1">
      <alignment horizontal="center"/>
      <protection locked="0"/>
    </xf>
    <xf numFmtId="2" fontId="8" fillId="0" borderId="1" xfId="0" applyNumberFormat="1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right"/>
    </xf>
    <xf numFmtId="2" fontId="2" fillId="0" borderId="1" xfId="0" applyNumberFormat="1" applyFont="1" applyFill="1" applyBorder="1" applyAlignment="1" applyProtection="1">
      <alignment horizontal="right"/>
      <protection locked="0"/>
    </xf>
    <xf numFmtId="2" fontId="2" fillId="0" borderId="1" xfId="17" quotePrefix="1" applyNumberFormat="1" applyFont="1" applyFill="1" applyBorder="1" applyAlignment="1">
      <alignment horizontal="right"/>
    </xf>
    <xf numFmtId="2" fontId="2" fillId="0" borderId="1" xfId="5" quotePrefix="1" applyNumberFormat="1" applyFont="1" applyFill="1" applyBorder="1" applyAlignment="1">
      <alignment horizontal="right"/>
    </xf>
    <xf numFmtId="2" fontId="2" fillId="0" borderId="1" xfId="8" applyNumberFormat="1" applyFont="1" applyFill="1" applyBorder="1" applyAlignment="1">
      <alignment horizontal="right"/>
    </xf>
    <xf numFmtId="2" fontId="2" fillId="0" borderId="1" xfId="17" applyNumberFormat="1" applyFont="1" applyFill="1" applyBorder="1" applyAlignment="1">
      <alignment horizontal="right"/>
    </xf>
    <xf numFmtId="2" fontId="2" fillId="0" borderId="1" xfId="9" applyNumberFormat="1" applyFont="1" applyFill="1" applyBorder="1" applyAlignment="1">
      <alignment horizontal="right" vertical="top"/>
    </xf>
    <xf numFmtId="2" fontId="2" fillId="0" borderId="1" xfId="4" applyNumberFormat="1" applyFont="1" applyFill="1" applyBorder="1" applyAlignment="1">
      <alignment horizontal="right" wrapText="1"/>
    </xf>
    <xf numFmtId="2" fontId="2" fillId="0" borderId="1" xfId="2" applyNumberFormat="1" applyFont="1" applyFill="1" applyBorder="1" applyAlignment="1">
      <alignment horizontal="right"/>
    </xf>
    <xf numFmtId="2" fontId="2" fillId="0" borderId="1" xfId="0" applyNumberFormat="1" applyFont="1" applyFill="1" applyBorder="1" applyAlignment="1">
      <alignment horizontal="right" wrapText="1"/>
    </xf>
    <xf numFmtId="2" fontId="2" fillId="0" borderId="1" xfId="15" applyNumberFormat="1" applyFont="1" applyFill="1" applyBorder="1" applyAlignment="1">
      <alignment horizontal="right"/>
    </xf>
    <xf numFmtId="2" fontId="2" fillId="0" borderId="1" xfId="9" applyNumberFormat="1" applyFont="1" applyFill="1" applyBorder="1" applyAlignment="1">
      <alignment horizontal="right"/>
    </xf>
    <xf numFmtId="2" fontId="2" fillId="0" borderId="1" xfId="15" applyNumberFormat="1" applyFont="1" applyFill="1" applyBorder="1" applyAlignment="1" applyProtection="1">
      <alignment horizontal="right"/>
      <protection locked="0"/>
    </xf>
    <xf numFmtId="0" fontId="10" fillId="0" borderId="0" xfId="0" applyFont="1" applyProtection="1">
      <protection locked="0"/>
    </xf>
    <xf numFmtId="0" fontId="15" fillId="28" borderId="0" xfId="0" applyFont="1" applyFill="1"/>
    <xf numFmtId="0" fontId="5" fillId="28" borderId="0" xfId="0" applyFont="1" applyFill="1"/>
    <xf numFmtId="0" fontId="0" fillId="28" borderId="0" xfId="0" applyFill="1"/>
    <xf numFmtId="2" fontId="1" fillId="0" borderId="1" xfId="0" applyNumberFormat="1" applyFont="1" applyFill="1" applyBorder="1" applyAlignment="1">
      <alignment horizontal="right"/>
    </xf>
    <xf numFmtId="0" fontId="2" fillId="28" borderId="0" xfId="0" applyFont="1" applyFill="1"/>
    <xf numFmtId="0" fontId="2" fillId="0" borderId="0" xfId="0" applyFont="1"/>
    <xf numFmtId="0" fontId="1" fillId="29" borderId="1" xfId="0" applyFont="1" applyFill="1" applyBorder="1"/>
    <xf numFmtId="0" fontId="1" fillId="22" borderId="1" xfId="1" applyFont="1" applyFill="1" applyBorder="1" applyAlignment="1" applyProtection="1">
      <alignment horizontal="left"/>
    </xf>
    <xf numFmtId="0" fontId="1" fillId="23" borderId="1" xfId="1" applyFont="1" applyFill="1" applyBorder="1" applyAlignment="1" applyProtection="1">
      <alignment horizontal="left"/>
    </xf>
    <xf numFmtId="0" fontId="1" fillId="24" borderId="1" xfId="1" applyFont="1" applyFill="1" applyBorder="1" applyAlignment="1" applyProtection="1">
      <alignment horizontal="left"/>
    </xf>
    <xf numFmtId="0" fontId="2" fillId="24" borderId="1" xfId="1" applyFont="1" applyFill="1" applyBorder="1" applyAlignment="1" applyProtection="1">
      <alignment horizontal="center"/>
    </xf>
    <xf numFmtId="0" fontId="1" fillId="25" borderId="1" xfId="1" applyFont="1" applyFill="1" applyBorder="1" applyAlignment="1" applyProtection="1">
      <alignment horizontal="left"/>
    </xf>
    <xf numFmtId="0" fontId="2" fillId="25" borderId="1" xfId="1" applyFont="1" applyFill="1" applyBorder="1" applyAlignment="1" applyProtection="1">
      <alignment horizontal="center"/>
    </xf>
    <xf numFmtId="0" fontId="1" fillId="26" borderId="1" xfId="1" applyFont="1" applyFill="1" applyBorder="1" applyAlignment="1" applyProtection="1">
      <alignment horizontal="left"/>
    </xf>
    <xf numFmtId="0" fontId="2" fillId="22" borderId="1" xfId="1" applyFont="1" applyFill="1" applyBorder="1" applyAlignment="1" applyProtection="1">
      <alignment horizontal="center"/>
    </xf>
    <xf numFmtId="0" fontId="2" fillId="23" borderId="1" xfId="1" applyFont="1" applyFill="1" applyBorder="1" applyAlignment="1" applyProtection="1">
      <alignment horizontal="center"/>
    </xf>
    <xf numFmtId="0" fontId="2" fillId="26" borderId="1" xfId="1" applyFont="1" applyFill="1" applyBorder="1" applyAlignment="1" applyProtection="1">
      <alignment horizontal="center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7" borderId="2" xfId="0" applyFont="1" applyFill="1" applyBorder="1" applyProtection="1">
      <protection locked="0"/>
    </xf>
    <xf numFmtId="0" fontId="2" fillId="27" borderId="3" xfId="0" applyFont="1" applyFill="1" applyBorder="1" applyAlignment="1" applyProtection="1">
      <alignment horizontal="center"/>
      <protection locked="0"/>
    </xf>
    <xf numFmtId="0" fontId="2" fillId="27" borderId="4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15" borderId="1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17" fillId="20" borderId="2" xfId="0" applyFont="1" applyFill="1" applyBorder="1" applyProtection="1"/>
    <xf numFmtId="0" fontId="17" fillId="20" borderId="3" xfId="0" applyFont="1" applyFill="1" applyBorder="1" applyAlignment="1" applyProtection="1">
      <alignment horizontal="center"/>
    </xf>
    <xf numFmtId="0" fontId="18" fillId="20" borderId="3" xfId="0" applyFont="1" applyFill="1" applyBorder="1" applyAlignment="1" applyProtection="1">
      <alignment horizontal="center"/>
    </xf>
    <xf numFmtId="0" fontId="18" fillId="20" borderId="4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center"/>
    </xf>
    <xf numFmtId="1" fontId="2" fillId="0" borderId="1" xfId="0" applyNumberFormat="1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/>
    </xf>
    <xf numFmtId="0" fontId="1" fillId="0" borderId="5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center"/>
    </xf>
    <xf numFmtId="1" fontId="2" fillId="0" borderId="1" xfId="0" applyNumberFormat="1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1" fillId="0" borderId="7" xfId="0" applyFont="1" applyBorder="1" applyProtection="1"/>
    <xf numFmtId="0" fontId="2" fillId="0" borderId="7" xfId="0" applyFont="1" applyBorder="1" applyAlignment="1" applyProtection="1">
      <alignment horizontal="center"/>
    </xf>
    <xf numFmtId="2" fontId="2" fillId="0" borderId="7" xfId="0" applyNumberFormat="1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/>
    </xf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0" fontId="2" fillId="28" borderId="0" xfId="0" applyFont="1" applyFill="1" applyAlignment="1" applyProtection="1">
      <alignment horizontal="center"/>
    </xf>
    <xf numFmtId="0" fontId="18" fillId="20" borderId="9" xfId="1" applyFont="1" applyFill="1" applyBorder="1" applyAlignment="1" applyProtection="1">
      <alignment horizontal="left"/>
    </xf>
    <xf numFmtId="0" fontId="17" fillId="20" borderId="10" xfId="1" applyFont="1" applyFill="1" applyBorder="1" applyAlignment="1" applyProtection="1">
      <alignment horizontal="center"/>
    </xf>
    <xf numFmtId="0" fontId="18" fillId="20" borderId="3" xfId="1" applyFont="1" applyFill="1" applyBorder="1" applyAlignment="1" applyProtection="1">
      <alignment horizontal="center"/>
    </xf>
    <xf numFmtId="0" fontId="18" fillId="20" borderId="4" xfId="1" applyFont="1" applyFill="1" applyBorder="1" applyAlignment="1" applyProtection="1">
      <alignment horizontal="center"/>
    </xf>
    <xf numFmtId="0" fontId="1" fillId="21" borderId="0" xfId="1" applyFont="1" applyFill="1" applyProtection="1"/>
    <xf numFmtId="0" fontId="2" fillId="28" borderId="0" xfId="1" applyFont="1" applyFill="1" applyAlignment="1" applyProtection="1">
      <alignment horizontal="center"/>
    </xf>
    <xf numFmtId="0" fontId="2" fillId="0" borderId="0" xfId="1" applyFont="1" applyProtection="1"/>
    <xf numFmtId="0" fontId="2" fillId="0" borderId="0" xfId="1" applyFont="1" applyAlignment="1" applyProtection="1">
      <alignment horizontal="center"/>
    </xf>
    <xf numFmtId="0" fontId="1" fillId="17" borderId="0" xfId="8" applyFont="1" applyFill="1" applyBorder="1" applyAlignment="1">
      <alignment horizontal="left"/>
    </xf>
    <xf numFmtId="0" fontId="2" fillId="17" borderId="0" xfId="0" applyFont="1" applyFill="1"/>
    <xf numFmtId="0" fontId="2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2" fillId="17" borderId="0" xfId="8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2" fillId="0" borderId="0" xfId="8" applyFont="1" applyFill="1" applyBorder="1" applyAlignment="1">
      <alignment horizontal="left"/>
    </xf>
    <xf numFmtId="0" fontId="2" fillId="0" borderId="0" xfId="8" applyNumberFormat="1" applyFont="1" applyFill="1" applyBorder="1" applyAlignment="1">
      <alignment horizontal="left"/>
    </xf>
    <xf numFmtId="0" fontId="1" fillId="17" borderId="13" xfId="8" applyFont="1" applyFill="1" applyBorder="1" applyAlignment="1"/>
    <xf numFmtId="0" fontId="1" fillId="17" borderId="13" xfId="8" applyFont="1" applyFill="1" applyBorder="1" applyAlignment="1">
      <alignment horizontal="left"/>
    </xf>
    <xf numFmtId="0" fontId="1" fillId="17" borderId="1" xfId="0" applyFont="1" applyFill="1" applyBorder="1" applyAlignment="1">
      <alignment horizontal="left"/>
    </xf>
    <xf numFmtId="0" fontId="2" fillId="0" borderId="1" xfId="17" applyNumberFormat="1" applyFont="1" applyFill="1" applyBorder="1" applyAlignment="1">
      <alignment horizontal="left"/>
    </xf>
    <xf numFmtId="0" fontId="2" fillId="0" borderId="1" xfId="8" applyFont="1" applyFill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2" fillId="0" borderId="1" xfId="8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1" fillId="17" borderId="1" xfId="8" applyFont="1" applyFill="1" applyBorder="1" applyAlignment="1"/>
    <xf numFmtId="2" fontId="2" fillId="0" borderId="1" xfId="17" quotePrefix="1" applyNumberFormat="1" applyFont="1" applyFill="1" applyBorder="1" applyAlignment="1">
      <alignment horizontal="center"/>
    </xf>
    <xf numFmtId="2" fontId="2" fillId="0" borderId="1" xfId="9" applyNumberFormat="1" applyFont="1" applyFill="1" applyBorder="1" applyAlignment="1">
      <alignment horizontal="center"/>
    </xf>
    <xf numFmtId="2" fontId="2" fillId="0" borderId="1" xfId="15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wrapText="1"/>
    </xf>
    <xf numFmtId="2" fontId="2" fillId="0" borderId="1" xfId="17" applyNumberFormat="1" applyFont="1" applyFill="1" applyBorder="1" applyAlignment="1">
      <alignment horizontal="center"/>
    </xf>
    <xf numFmtId="2" fontId="2" fillId="0" borderId="1" xfId="4" applyNumberFormat="1" applyFont="1" applyFill="1" applyBorder="1" applyAlignment="1">
      <alignment horizontal="center" wrapText="1"/>
    </xf>
    <xf numFmtId="2" fontId="7" fillId="0" borderId="1" xfId="0" applyNumberFormat="1" applyFont="1" applyFill="1" applyBorder="1" applyAlignment="1">
      <alignment horizontal="center" wrapText="1"/>
    </xf>
    <xf numFmtId="2" fontId="2" fillId="0" borderId="1" xfId="2" applyNumberFormat="1" applyFont="1" applyFill="1" applyBorder="1" applyAlignment="1">
      <alignment horizontal="center"/>
    </xf>
    <xf numFmtId="2" fontId="2" fillId="0" borderId="1" xfId="1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1" xfId="5" quotePrefix="1" applyNumberFormat="1" applyFont="1" applyFill="1" applyBorder="1" applyAlignment="1">
      <alignment horizontal="center"/>
    </xf>
    <xf numFmtId="2" fontId="2" fillId="0" borderId="1" xfId="15" applyNumberFormat="1" applyFont="1" applyFill="1" applyBorder="1" applyAlignment="1">
      <alignment horizontal="center" vertical="top" wrapText="1"/>
    </xf>
    <xf numFmtId="2" fontId="2" fillId="0" borderId="1" xfId="9" applyNumberFormat="1" applyFont="1" applyFill="1" applyBorder="1" applyAlignment="1">
      <alignment horizontal="center" vertical="top" wrapText="1"/>
    </xf>
    <xf numFmtId="2" fontId="2" fillId="0" borderId="1" xfId="5" applyNumberFormat="1" applyFont="1" applyFill="1" applyBorder="1" applyAlignment="1">
      <alignment horizontal="center"/>
    </xf>
    <xf numFmtId="2" fontId="2" fillId="0" borderId="1" xfId="8" applyNumberFormat="1" applyFont="1" applyFill="1" applyBorder="1" applyAlignment="1">
      <alignment horizontal="center"/>
    </xf>
    <xf numFmtId="2" fontId="2" fillId="0" borderId="1" xfId="3" applyNumberFormat="1" applyFont="1" applyFill="1" applyBorder="1" applyAlignment="1">
      <alignment horizontal="center"/>
    </xf>
    <xf numFmtId="2" fontId="2" fillId="0" borderId="1" xfId="16" applyNumberFormat="1" applyFont="1" applyFill="1" applyBorder="1" applyAlignment="1">
      <alignment horizontal="center"/>
    </xf>
    <xf numFmtId="2" fontId="7" fillId="0" borderId="1" xfId="7" applyNumberFormat="1" applyFont="1" applyFill="1" applyBorder="1" applyAlignment="1">
      <alignment horizontal="center" wrapText="1"/>
    </xf>
    <xf numFmtId="2" fontId="2" fillId="0" borderId="1" xfId="4" applyNumberFormat="1" applyFont="1" applyFill="1" applyBorder="1" applyAlignment="1">
      <alignment horizontal="center"/>
    </xf>
    <xf numFmtId="2" fontId="2" fillId="0" borderId="1" xfId="14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right" wrapText="1"/>
    </xf>
    <xf numFmtId="2" fontId="2" fillId="0" borderId="1" xfId="11" applyNumberFormat="1" applyFont="1" applyFill="1" applyBorder="1" applyAlignment="1">
      <alignment horizontal="center"/>
    </xf>
    <xf numFmtId="0" fontId="2" fillId="15" borderId="0" xfId="8" applyFont="1" applyFill="1" applyBorder="1" applyAlignment="1">
      <alignment horizontal="left"/>
    </xf>
    <xf numFmtId="0" fontId="7" fillId="15" borderId="0" xfId="0" applyFont="1" applyFill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0" borderId="1" xfId="8" quotePrefix="1" applyNumberFormat="1" applyFont="1" applyFill="1" applyBorder="1" applyAlignment="1">
      <alignment horizontal="center"/>
    </xf>
    <xf numFmtId="2" fontId="2" fillId="0" borderId="1" xfId="8" applyNumberFormat="1" applyFont="1" applyFill="1" applyBorder="1" applyAlignment="1">
      <alignment horizontal="center" vertical="top" wrapText="1"/>
    </xf>
    <xf numFmtId="2" fontId="2" fillId="0" borderId="1" xfId="7" quotePrefix="1" applyNumberFormat="1" applyFont="1" applyFill="1" applyBorder="1" applyAlignment="1">
      <alignment horizontal="center"/>
    </xf>
    <xf numFmtId="2" fontId="2" fillId="0" borderId="1" xfId="8" applyNumberFormat="1" applyFont="1" applyFill="1" applyBorder="1" applyAlignment="1">
      <alignment horizontal="center" wrapText="1"/>
    </xf>
    <xf numFmtId="2" fontId="2" fillId="17" borderId="1" xfId="0" applyNumberFormat="1" applyFont="1" applyFill="1" applyBorder="1" applyAlignment="1">
      <alignment horizontal="center"/>
    </xf>
    <xf numFmtId="2" fontId="2" fillId="0" borderId="1" xfId="9" applyNumberFormat="1" applyFont="1" applyFill="1" applyBorder="1" applyAlignment="1">
      <alignment horizontal="center" vertical="top"/>
    </xf>
    <xf numFmtId="2" fontId="2" fillId="0" borderId="1" xfId="7" applyNumberFormat="1" applyFont="1" applyFill="1" applyBorder="1" applyAlignment="1">
      <alignment horizontal="center"/>
    </xf>
    <xf numFmtId="2" fontId="2" fillId="0" borderId="1" xfId="12" quotePrefix="1" applyNumberFormat="1" applyFont="1" applyFill="1" applyBorder="1" applyAlignment="1">
      <alignment horizontal="center"/>
    </xf>
    <xf numFmtId="2" fontId="2" fillId="0" borderId="1" xfId="6" applyNumberFormat="1" applyFont="1" applyFill="1" applyBorder="1" applyAlignment="1">
      <alignment horizontal="center"/>
    </xf>
    <xf numFmtId="2" fontId="2" fillId="0" borderId="1" xfId="13" quotePrefix="1" applyNumberFormat="1" applyFont="1" applyFill="1" applyBorder="1" applyAlignment="1">
      <alignment horizontal="center"/>
    </xf>
    <xf numFmtId="0" fontId="18" fillId="20" borderId="3" xfId="1" applyFont="1" applyFill="1" applyBorder="1" applyAlignment="1" applyProtection="1">
      <alignment horizontal="left"/>
    </xf>
    <xf numFmtId="2" fontId="2" fillId="0" borderId="1" xfId="0" applyNumberFormat="1" applyFont="1" applyBorder="1" applyAlignment="1" applyProtection="1">
      <alignment horizontal="center"/>
    </xf>
    <xf numFmtId="2" fontId="0" fillId="0" borderId="1" xfId="0" applyNumberFormat="1" applyFill="1" applyBorder="1" applyAlignment="1" applyProtection="1">
      <alignment horizontal="right"/>
    </xf>
    <xf numFmtId="2" fontId="2" fillId="0" borderId="1" xfId="0" applyNumberFormat="1" applyFont="1" applyFill="1" applyBorder="1" applyAlignment="1" applyProtection="1">
      <alignment horizontal="right"/>
    </xf>
    <xf numFmtId="0" fontId="5" fillId="0" borderId="0" xfId="0" applyFont="1" applyFill="1" applyProtection="1">
      <protection locked="0"/>
    </xf>
    <xf numFmtId="0" fontId="2" fillId="15" borderId="1" xfId="0" applyFont="1" applyFill="1" applyBorder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14" borderId="0" xfId="0" applyFont="1" applyFill="1" applyProtection="1">
      <protection locked="0"/>
    </xf>
    <xf numFmtId="0" fontId="2" fillId="15" borderId="0" xfId="0" applyFont="1" applyFill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2" fillId="0" borderId="1" xfId="17" applyNumberFormat="1" applyFont="1" applyFill="1" applyBorder="1" applyAlignment="1" applyProtection="1">
      <alignment horizontal="left"/>
      <protection locked="0"/>
    </xf>
    <xf numFmtId="2" fontId="2" fillId="0" borderId="1" xfId="17" quotePrefix="1" applyNumberFormat="1" applyFont="1" applyFill="1" applyBorder="1" applyAlignment="1" applyProtection="1">
      <alignment horizontal="center"/>
      <protection locked="0"/>
    </xf>
    <xf numFmtId="2" fontId="2" fillId="0" borderId="1" xfId="8" applyNumberFormat="1" applyFont="1" applyFill="1" applyBorder="1" applyAlignment="1" applyProtection="1">
      <alignment horizontal="center"/>
      <protection locked="0"/>
    </xf>
    <xf numFmtId="2" fontId="2" fillId="0" borderId="1" xfId="17" applyNumberFormat="1" applyFont="1" applyFill="1" applyBorder="1" applyAlignment="1" applyProtection="1">
      <alignment horizontal="center"/>
      <protection locked="0"/>
    </xf>
    <xf numFmtId="2" fontId="2" fillId="0" borderId="1" xfId="2" applyNumberFormat="1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1" xfId="0" applyFont="1" applyFill="1" applyBorder="1" applyProtection="1">
      <protection locked="0"/>
    </xf>
    <xf numFmtId="0" fontId="0" fillId="0" borderId="1" xfId="0" applyFill="1" applyBorder="1" applyAlignment="1" applyProtection="1">
      <alignment horizontal="center"/>
      <protection locked="0"/>
    </xf>
    <xf numFmtId="2" fontId="0" fillId="0" borderId="1" xfId="0" applyNumberFormat="1" applyFill="1" applyBorder="1" applyAlignment="1" applyProtection="1">
      <alignment horizontal="right"/>
      <protection locked="0"/>
    </xf>
    <xf numFmtId="0" fontId="0" fillId="0" borderId="1" xfId="0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5" fillId="0" borderId="0" xfId="0" applyFont="1" applyProtection="1">
      <protection locked="0"/>
    </xf>
    <xf numFmtId="0" fontId="5" fillId="0" borderId="14" xfId="0" applyFont="1" applyBorder="1" applyProtection="1">
      <protection locked="0"/>
    </xf>
    <xf numFmtId="0" fontId="5" fillId="0" borderId="14" xfId="0" applyFont="1" applyBorder="1" applyAlignment="1" applyProtection="1">
      <alignment horizontal="center"/>
      <protection locked="0"/>
    </xf>
    <xf numFmtId="2" fontId="5" fillId="0" borderId="14" xfId="0" applyNumberFormat="1" applyFont="1" applyBorder="1" applyAlignment="1" applyProtection="1">
      <alignment horizontal="center"/>
      <protection locked="0"/>
    </xf>
    <xf numFmtId="0" fontId="5" fillId="28" borderId="0" xfId="0" applyFont="1" applyFill="1" applyProtection="1">
      <protection locked="0"/>
    </xf>
    <xf numFmtId="0" fontId="5" fillId="28" borderId="0" xfId="0" applyFont="1" applyFill="1" applyAlignment="1" applyProtection="1">
      <alignment horizontal="center"/>
      <protection locked="0"/>
    </xf>
    <xf numFmtId="0" fontId="16" fillId="20" borderId="15" xfId="0" applyFont="1" applyFill="1" applyBorder="1" applyProtection="1"/>
    <xf numFmtId="0" fontId="16" fillId="20" borderId="15" xfId="0" applyFont="1" applyFill="1" applyBorder="1" applyAlignment="1" applyProtection="1">
      <alignment horizontal="center"/>
    </xf>
    <xf numFmtId="2" fontId="16" fillId="30" borderId="1" xfId="0" applyNumberFormat="1" applyFont="1" applyFill="1" applyBorder="1" applyAlignment="1" applyProtection="1">
      <alignment horizontal="center" vertical="center" wrapText="1"/>
    </xf>
    <xf numFmtId="2" fontId="5" fillId="0" borderId="1" xfId="0" applyNumberFormat="1" applyFont="1" applyBorder="1" applyAlignment="1" applyProtection="1">
      <alignment horizontal="center"/>
    </xf>
    <xf numFmtId="0" fontId="6" fillId="0" borderId="16" xfId="0" applyFont="1" applyBorder="1" applyAlignment="1" applyProtection="1">
      <alignment horizontal="left"/>
    </xf>
    <xf numFmtId="164" fontId="5" fillId="0" borderId="1" xfId="0" applyNumberFormat="1" applyFont="1" applyBorder="1" applyAlignment="1" applyProtection="1">
      <alignment horizontal="center"/>
    </xf>
    <xf numFmtId="0" fontId="5" fillId="0" borderId="0" xfId="0" applyFont="1" applyFill="1" applyProtection="1"/>
    <xf numFmtId="0" fontId="5" fillId="0" borderId="15" xfId="0" applyFont="1" applyBorder="1" applyAlignment="1" applyProtection="1">
      <alignment horizontal="center"/>
    </xf>
    <xf numFmtId="1" fontId="5" fillId="0" borderId="15" xfId="0" applyNumberFormat="1" applyFont="1" applyBorder="1" applyAlignment="1" applyProtection="1">
      <alignment horizontal="center"/>
    </xf>
    <xf numFmtId="0" fontId="5" fillId="0" borderId="17" xfId="0" applyFont="1" applyBorder="1" applyAlignment="1" applyProtection="1">
      <alignment horizontal="center"/>
    </xf>
    <xf numFmtId="0" fontId="2" fillId="0" borderId="0" xfId="0" applyFont="1" applyFill="1" applyProtection="1"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4" xfId="0" applyFont="1" applyBorder="1" applyProtection="1">
      <protection locked="0"/>
    </xf>
    <xf numFmtId="0" fontId="2" fillId="0" borderId="14" xfId="0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8" fillId="20" borderId="15" xfId="0" applyFont="1" applyFill="1" applyBorder="1" applyProtection="1"/>
    <xf numFmtId="0" fontId="18" fillId="20" borderId="15" xfId="0" applyFont="1" applyFill="1" applyBorder="1" applyAlignment="1" applyProtection="1">
      <alignment horizontal="center"/>
    </xf>
    <xf numFmtId="2" fontId="18" fillId="30" borderId="1" xfId="0" applyNumberFormat="1" applyFont="1" applyFill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left"/>
    </xf>
    <xf numFmtId="164" fontId="2" fillId="0" borderId="1" xfId="0" applyNumberFormat="1" applyFont="1" applyBorder="1" applyAlignment="1" applyProtection="1">
      <alignment horizontal="center"/>
    </xf>
    <xf numFmtId="0" fontId="2" fillId="0" borderId="0" xfId="0" applyFont="1" applyFill="1" applyProtection="1"/>
    <xf numFmtId="0" fontId="2" fillId="28" borderId="0" xfId="0" applyFont="1" applyFill="1" applyProtection="1"/>
    <xf numFmtId="2" fontId="18" fillId="30" borderId="1" xfId="1" applyNumberFormat="1" applyFont="1" applyFill="1" applyBorder="1" applyAlignment="1" applyProtection="1">
      <alignment horizontal="center" vertical="center" wrapText="1"/>
    </xf>
    <xf numFmtId="0" fontId="2" fillId="28" borderId="0" xfId="1" applyFont="1" applyFill="1" applyProtection="1"/>
    <xf numFmtId="0" fontId="0" fillId="0" borderId="0" xfId="0" applyProtection="1"/>
    <xf numFmtId="0" fontId="2" fillId="0" borderId="1" xfId="8" applyFont="1" applyFill="1" applyBorder="1" applyAlignment="1" applyProtection="1">
      <alignment horizontal="left"/>
      <protection locked="0"/>
    </xf>
    <xf numFmtId="2" fontId="2" fillId="0" borderId="1" xfId="5" quotePrefix="1" applyNumberFormat="1" applyFont="1" applyFill="1" applyBorder="1" applyAlignment="1" applyProtection="1">
      <alignment horizontal="center"/>
      <protection locked="0"/>
    </xf>
    <xf numFmtId="2" fontId="2" fillId="0" borderId="1" xfId="15" applyNumberFormat="1" applyFont="1" applyFill="1" applyBorder="1" applyAlignment="1" applyProtection="1">
      <alignment horizontal="center"/>
      <protection locked="0"/>
    </xf>
    <xf numFmtId="2" fontId="0" fillId="0" borderId="1" xfId="0" applyNumberFormat="1" applyFill="1" applyBorder="1" applyAlignment="1" applyProtection="1">
      <alignment horizontal="center"/>
      <protection locked="0"/>
    </xf>
  </cellXfs>
  <cellStyles count="18">
    <cellStyle name="Normal" xfId="0" builtinId="0"/>
    <cellStyle name="Normal 2" xfId="1" xr:uid="{433385E3-256F-4EA7-A242-F3A16EFA6ED7}"/>
    <cellStyle name="Normal_Análises e formulários 9 semana 2 lote ital" xfId="2" xr:uid="{D1B1437A-6F11-42E9-BC8A-BABEFFF9F6AC}"/>
    <cellStyle name="Normal_Base Regional A. Latina" xfId="3" xr:uid="{BFFF787F-AEF6-4732-A1AA-1F8E78AE293C}"/>
    <cellStyle name="Normal_Conferencia_Embrapa" xfId="4" xr:uid="{2E2AFED5-DED9-4E99-B853-BBE28C49A760}"/>
    <cellStyle name="Normal_ConferenciaComReanaliseSubstituida (1)" xfId="5" xr:uid="{744AE37D-88AD-49E0-A9D3-76FE4EC70B0F}"/>
    <cellStyle name="Normal_conversãoproteínaprimeiraversão" xfId="6" xr:uid="{F14B389D-7FFF-4905-ACC3-BC492EBC123E}"/>
    <cellStyle name="Normal_cópia TACO em excel 2 edição aumentada" xfId="7" xr:uid="{F91F3BC8-F03C-4CF0-8563-B859B9CF374D}"/>
    <cellStyle name="Normal_Documento para banco de dados" xfId="8" xr:uid="{AB8FF4EA-C02F-4A6F-8E12-723B06D9D2E3}"/>
    <cellStyle name="Normal_Fernando fatores de conversão nova" xfId="9" xr:uid="{562D48DB-A705-403B-B5AA-60A450E20A4A}"/>
    <cellStyle name="Normal_Formatação final tabela 1 sem traços" xfId="10" xr:uid="{9F2C15BB-8FE4-484E-B804-8EF536CC831F}"/>
    <cellStyle name="Normal_formulários oitava e nona semanas ital" xfId="11" xr:uid="{A0583536-D53C-4728-ADFC-6530ECAAE249}"/>
    <cellStyle name="Normal_impressão reanálise" xfId="12" xr:uid="{A4E91C3C-BF45-4EFB-B78E-D0B53C4EA5F4}"/>
    <cellStyle name="Normal_Renatareanálisedia2" xfId="13" xr:uid="{A8279B32-5659-4765-8613-E2D87DE3B020}"/>
    <cellStyle name="Normal_ResulAcGr_Tabela de referência cruzada3" xfId="14" xr:uid="{5604DAF9-51CB-4420-8BD3-05C91D62EE5C}"/>
    <cellStyle name="Normal_resultadoscarneseoutros" xfId="15" xr:uid="{738196D5-30A9-4025-8213-E6A548FDA288}"/>
    <cellStyle name="Normal_Tabela IBGE" xfId="16" xr:uid="{F357F4C2-D76F-4D95-8430-F6F9C921F00C}"/>
    <cellStyle name="Normal_Tabela3" xfId="17" xr:uid="{45920D7F-BC00-4C0A-98C5-3AA8F82C46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 /><Relationship Id="rId13" Type="http://schemas.openxmlformats.org/officeDocument/2006/relationships/customXml" Target="../customXml/item2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12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4" Type="http://schemas.openxmlformats.org/officeDocument/2006/relationships/customXml" Target="../customXml/item3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_ALIMENTO_ANALITO_2" connectionId="2" xr16:uid="{00000000-0016-0000-04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 /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3BFF-DB74-463F-8C89-156272A18A77}">
  <dimension ref="A1:EB903"/>
  <sheetViews>
    <sheetView zoomScale="110" zoomScaleNormal="110" workbookViewId="0">
      <pane xSplit="1" ySplit="1" topLeftCell="T2" activePane="bottomRight" state="frozen"/>
      <selection pane="bottomLeft" activeCell="A2" sqref="A2"/>
      <selection pane="topRight" activeCell="B1" sqref="B1"/>
      <selection pane="bottomRight" activeCell="A23" sqref="A23:AB23"/>
    </sheetView>
  </sheetViews>
  <sheetFormatPr defaultRowHeight="12.75"/>
  <cols>
    <col min="1" max="1" width="50.83984375" customWidth="1"/>
    <col min="2" max="2" width="14.6953125" style="1" bestFit="1" customWidth="1"/>
    <col min="3" max="3" width="13.75390625" style="1" bestFit="1" customWidth="1"/>
    <col min="4" max="4" width="11.8671875" style="1" bestFit="1" customWidth="1"/>
    <col min="5" max="5" width="12.26953125" style="1" bestFit="1" customWidth="1"/>
    <col min="6" max="6" width="12.26953125" style="1" customWidth="1"/>
    <col min="7" max="7" width="12.9453125" style="1" customWidth="1"/>
    <col min="8" max="10" width="12.26953125" style="1" customWidth="1"/>
    <col min="11" max="11" width="16.046875" style="1" bestFit="1" customWidth="1"/>
    <col min="12" max="12" width="7.953125" style="1" bestFit="1" customWidth="1"/>
    <col min="13" max="13" width="9.84375" style="1" bestFit="1" customWidth="1"/>
    <col min="14" max="14" width="11.59375" style="1" bestFit="1" customWidth="1"/>
    <col min="15" max="17" width="9.16796875" style="1" customWidth="1"/>
    <col min="18" max="18" width="11.0546875" style="1" bestFit="1" customWidth="1"/>
    <col min="19" max="19" width="11.32421875" style="1" bestFit="1" customWidth="1"/>
    <col min="20" max="20" width="14.29296875" style="1" bestFit="1" customWidth="1"/>
    <col min="21" max="21" width="11.73046875" style="1" bestFit="1" customWidth="1"/>
    <col min="22" max="22" width="11.0546875" style="1" bestFit="1" customWidth="1"/>
    <col min="23" max="23" width="13.6171875" style="1" bestFit="1" customWidth="1"/>
    <col min="24" max="24" width="13.484375" style="1" bestFit="1" customWidth="1"/>
    <col min="25" max="25" width="16.1796875" style="1" bestFit="1" customWidth="1"/>
    <col min="26" max="26" width="15.23828125" style="1" bestFit="1" customWidth="1"/>
    <col min="27" max="27" width="12.5390625" style="1" bestFit="1" customWidth="1"/>
    <col min="28" max="28" width="10.65234375" style="1" customWidth="1"/>
    <col min="29" max="29" width="12.26953125" style="1" bestFit="1" customWidth="1"/>
  </cols>
  <sheetData>
    <row r="1" spans="1:132" s="63" customFormat="1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49</v>
      </c>
      <c r="G1" s="62" t="s">
        <v>50</v>
      </c>
      <c r="H1" s="62" t="s">
        <v>51</v>
      </c>
      <c r="I1" s="62" t="s">
        <v>52</v>
      </c>
      <c r="J1" s="62" t="s">
        <v>53</v>
      </c>
      <c r="K1" s="62" t="s">
        <v>5</v>
      </c>
      <c r="L1" s="62" t="s">
        <v>6</v>
      </c>
      <c r="M1" s="62" t="s">
        <v>7</v>
      </c>
      <c r="N1" s="62" t="s">
        <v>8</v>
      </c>
      <c r="O1" s="62" t="s">
        <v>9</v>
      </c>
      <c r="P1" s="62" t="s">
        <v>10</v>
      </c>
      <c r="Q1" s="62" t="s">
        <v>11</v>
      </c>
      <c r="R1" s="62" t="s">
        <v>12</v>
      </c>
      <c r="S1" s="62" t="s">
        <v>13</v>
      </c>
      <c r="T1" s="62" t="s">
        <v>14</v>
      </c>
      <c r="U1" s="62" t="s">
        <v>15</v>
      </c>
      <c r="V1" s="62" t="s">
        <v>16</v>
      </c>
      <c r="W1" s="62" t="s">
        <v>17</v>
      </c>
      <c r="X1" s="62" t="s">
        <v>18</v>
      </c>
      <c r="Y1" s="62" t="s">
        <v>19</v>
      </c>
      <c r="Z1" s="62" t="s">
        <v>20</v>
      </c>
      <c r="AA1" s="62" t="s">
        <v>21</v>
      </c>
      <c r="AB1" s="62" t="s">
        <v>22</v>
      </c>
      <c r="AC1" s="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</row>
    <row r="2" spans="1:132" s="63" customFormat="1">
      <c r="A2" s="61" t="s">
        <v>25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</row>
    <row r="3" spans="1:132" s="51" customFormat="1">
      <c r="A3" s="71" t="s">
        <v>459</v>
      </c>
      <c r="B3" s="72">
        <v>100</v>
      </c>
      <c r="C3" s="72">
        <f>B3*124/100</f>
        <v>124</v>
      </c>
      <c r="D3" s="72">
        <f>B3*2.6/100</f>
        <v>2.6</v>
      </c>
      <c r="E3" s="72">
        <f>B3*1/100</f>
        <v>1</v>
      </c>
      <c r="F3" s="59">
        <f>B3*0.3/100</f>
        <v>0.3</v>
      </c>
      <c r="G3" s="59">
        <f>B3*0.4/100</f>
        <v>0.4</v>
      </c>
      <c r="H3" s="59">
        <f>B3*0.3/100</f>
        <v>0.3</v>
      </c>
      <c r="I3" s="59">
        <f>B3*0.31/100</f>
        <v>0.31</v>
      </c>
      <c r="J3" s="59">
        <f>B3*0.01/100</f>
        <v>0.01</v>
      </c>
      <c r="K3" s="72" t="s">
        <v>454</v>
      </c>
      <c r="L3" s="72">
        <f>B3*25.8/100</f>
        <v>25.8</v>
      </c>
      <c r="M3" s="72">
        <f>B3*2.7/100</f>
        <v>2.7</v>
      </c>
      <c r="N3" s="72">
        <f>B3*5/100</f>
        <v>5</v>
      </c>
      <c r="O3" s="72">
        <f>B3*59/100</f>
        <v>59</v>
      </c>
      <c r="P3" s="72">
        <f>B3*0.63/100</f>
        <v>0.63</v>
      </c>
      <c r="Q3" s="72">
        <f>B3*106/100</f>
        <v>106</v>
      </c>
      <c r="R3" s="72">
        <f>B3*0.3/100</f>
        <v>0.3</v>
      </c>
      <c r="S3" s="72">
        <f>B3*1/100</f>
        <v>1</v>
      </c>
      <c r="T3" s="72">
        <f>B3*75/100</f>
        <v>75</v>
      </c>
      <c r="U3" s="72">
        <f>B3*0.02/100</f>
        <v>0.02</v>
      </c>
      <c r="V3" s="72">
        <f>B3*0.7/100</f>
        <v>0.7</v>
      </c>
      <c r="W3" s="72" t="s">
        <v>454</v>
      </c>
      <c r="X3" s="72">
        <f>B3*0.08/100</f>
        <v>0.08</v>
      </c>
      <c r="Y3" s="72" t="s">
        <v>455</v>
      </c>
      <c r="Z3" s="72">
        <f>B3*0.08/100</f>
        <v>0.08</v>
      </c>
      <c r="AA3" s="72" t="s">
        <v>455</v>
      </c>
      <c r="AB3" s="72"/>
      <c r="AC3" s="6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</row>
    <row r="4" spans="1:132" s="48" customFormat="1">
      <c r="A4" s="71" t="s">
        <v>460</v>
      </c>
      <c r="B4" s="59">
        <v>100</v>
      </c>
      <c r="C4" s="59">
        <f>B4*360/100</f>
        <v>360</v>
      </c>
      <c r="D4" s="59">
        <f>B4*7.3/100</f>
        <v>7.3</v>
      </c>
      <c r="E4" s="59">
        <f>B4*1.9/100</f>
        <v>1.9</v>
      </c>
      <c r="F4" s="59">
        <f>B4*0.3/100</f>
        <v>0.3</v>
      </c>
      <c r="G4" s="59">
        <f>B4*0.5/100</f>
        <v>0.5</v>
      </c>
      <c r="H4" s="59">
        <f>B4*0.4/100</f>
        <v>0.4</v>
      </c>
      <c r="I4" s="59">
        <f>B4*0.38/100</f>
        <v>0.38</v>
      </c>
      <c r="J4" s="59">
        <f>B4*0.02/100</f>
        <v>0.02</v>
      </c>
      <c r="K4" s="72" t="s">
        <v>454</v>
      </c>
      <c r="L4" s="59">
        <f>B4*77.5/100</f>
        <v>77.5</v>
      </c>
      <c r="M4" s="59">
        <f>B4*4.8/100</f>
        <v>4.8</v>
      </c>
      <c r="N4" s="59">
        <f>B4*8/100</f>
        <v>8</v>
      </c>
      <c r="O4" s="59">
        <f>B4*110/100</f>
        <v>110</v>
      </c>
      <c r="P4" s="59">
        <f>B4*2.9/100</f>
        <v>2.9</v>
      </c>
      <c r="Q4" s="59">
        <f>B4*251/100</f>
        <v>251</v>
      </c>
      <c r="R4" s="59">
        <f>B4*0.9/100</f>
        <v>0.9</v>
      </c>
      <c r="S4" s="59">
        <f>B4*2/100</f>
        <v>2</v>
      </c>
      <c r="T4" s="59">
        <f>B4*1173/100</f>
        <v>1173</v>
      </c>
      <c r="U4" s="59">
        <f>B4*0.07/100</f>
        <v>7.0000000000000007E-2</v>
      </c>
      <c r="V4" s="59">
        <f>B4*1.4/100</f>
        <v>1.4</v>
      </c>
      <c r="W4" s="72" t="s">
        <v>454</v>
      </c>
      <c r="X4" s="59">
        <f>B4*0.26/100</f>
        <v>0.26</v>
      </c>
      <c r="Y4" s="72" t="s">
        <v>455</v>
      </c>
      <c r="Z4" s="59">
        <f>B4*0.18/100</f>
        <v>0.18</v>
      </c>
      <c r="AA4" s="59">
        <f>B4*4.18/100</f>
        <v>4.18</v>
      </c>
      <c r="AB4" s="59"/>
      <c r="AC4" s="3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</row>
    <row r="5" spans="1:132" s="48" customFormat="1">
      <c r="A5" s="71" t="s">
        <v>461</v>
      </c>
      <c r="B5" s="59">
        <v>100</v>
      </c>
      <c r="C5" s="59">
        <f>B5*128/100</f>
        <v>128</v>
      </c>
      <c r="D5" s="59">
        <f>B5*2.5/100</f>
        <v>2.5</v>
      </c>
      <c r="E5" s="59">
        <f>B5*0.2/100</f>
        <v>0.2</v>
      </c>
      <c r="F5" s="59">
        <f>B5*0.2/100</f>
        <v>0.2</v>
      </c>
      <c r="G5" s="59" t="s">
        <v>455</v>
      </c>
      <c r="H5" s="59" t="s">
        <v>455</v>
      </c>
      <c r="I5" s="59">
        <f>B5*0.06/100</f>
        <v>0.06</v>
      </c>
      <c r="J5" s="59"/>
      <c r="K5" s="72" t="s">
        <v>454</v>
      </c>
      <c r="L5" s="59">
        <f>B5*28.1/100</f>
        <v>28.1</v>
      </c>
      <c r="M5" s="59">
        <f>B5*1.6/100</f>
        <v>1.6</v>
      </c>
      <c r="N5" s="59">
        <f>B5*4/100</f>
        <v>4</v>
      </c>
      <c r="O5" s="59">
        <f>B5*2/100</f>
        <v>2</v>
      </c>
      <c r="P5" s="59">
        <f>B5*0.3/100</f>
        <v>0.3</v>
      </c>
      <c r="Q5" s="59">
        <f>B5*18/100</f>
        <v>18</v>
      </c>
      <c r="R5" s="59">
        <f>B5*0.1/100</f>
        <v>0.1</v>
      </c>
      <c r="S5" s="59">
        <f>B5*1/100</f>
        <v>1</v>
      </c>
      <c r="T5" s="59">
        <f>B5*15/100</f>
        <v>15</v>
      </c>
      <c r="U5" s="59">
        <f>B5*0.02/100</f>
        <v>0.02</v>
      </c>
      <c r="V5" s="59">
        <f>B5*0.5/100</f>
        <v>0.5</v>
      </c>
      <c r="W5" s="72" t="s">
        <v>454</v>
      </c>
      <c r="X5" s="72" t="s">
        <v>455</v>
      </c>
      <c r="Y5" s="59" t="s">
        <v>455</v>
      </c>
      <c r="Z5" s="59" t="s">
        <v>455</v>
      </c>
      <c r="AA5" s="59" t="s">
        <v>455</v>
      </c>
      <c r="AB5" s="59"/>
      <c r="AC5" s="3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</row>
    <row r="6" spans="1:132" s="48" customFormat="1">
      <c r="A6" s="71" t="s">
        <v>462</v>
      </c>
      <c r="B6" s="59">
        <v>100</v>
      </c>
      <c r="C6" s="59">
        <v>358</v>
      </c>
      <c r="D6" s="59">
        <f>B6*7.2/100</f>
        <v>7.2</v>
      </c>
      <c r="E6" s="59">
        <f>B6*0.3/100</f>
        <v>0.3</v>
      </c>
      <c r="F6" s="59">
        <f>B6*0.1/100</f>
        <v>0.1</v>
      </c>
      <c r="G6" s="59">
        <f>B6*0.1/100</f>
        <v>0.1</v>
      </c>
      <c r="H6" s="59">
        <f>B6*0.1/100</f>
        <v>0.1</v>
      </c>
      <c r="I6" s="59">
        <f>B6*0.08/100</f>
        <v>0.08</v>
      </c>
      <c r="J6" s="59" t="s">
        <v>455</v>
      </c>
      <c r="K6" s="72" t="s">
        <v>454</v>
      </c>
      <c r="L6" s="59">
        <f>B6*78.8/100</f>
        <v>78.8</v>
      </c>
      <c r="M6" s="59">
        <f>B6*1.6/100</f>
        <v>1.6</v>
      </c>
      <c r="N6" s="59">
        <f>B6*4/100</f>
        <v>4</v>
      </c>
      <c r="O6" s="59">
        <f>B6*30/100</f>
        <v>30</v>
      </c>
      <c r="P6" s="59">
        <f>B6*1.03/100</f>
        <v>1.03</v>
      </c>
      <c r="Q6" s="59">
        <f>B6*104/100</f>
        <v>104</v>
      </c>
      <c r="R6" s="59">
        <f>B6*0.7/100</f>
        <v>0.7</v>
      </c>
      <c r="S6" s="59">
        <f>B6*1/100</f>
        <v>1</v>
      </c>
      <c r="T6" s="59">
        <f>B6*62/100</f>
        <v>62</v>
      </c>
      <c r="U6" s="59">
        <f>B6*0.11/100</f>
        <v>0.11</v>
      </c>
      <c r="V6" s="59">
        <f>B6*1.2/100</f>
        <v>1.2</v>
      </c>
      <c r="W6" s="72" t="s">
        <v>454</v>
      </c>
      <c r="X6" s="59">
        <f>B6*0.16/100</f>
        <v>0.16</v>
      </c>
      <c r="Y6" s="59" t="s">
        <v>455</v>
      </c>
      <c r="Z6" s="59">
        <f>B6*0.07/100</f>
        <v>7.0000000000000007E-2</v>
      </c>
      <c r="AA6" s="59">
        <f>B6*1.12/100</f>
        <v>1.1200000000000001</v>
      </c>
      <c r="AB6" s="59"/>
      <c r="AC6" s="3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</row>
    <row r="7" spans="1:132" s="48" customFormat="1">
      <c r="A7" s="71" t="s">
        <v>463</v>
      </c>
      <c r="B7" s="59">
        <v>100</v>
      </c>
      <c r="C7" s="59">
        <f>B7*130/100</f>
        <v>130</v>
      </c>
      <c r="D7" s="59">
        <f>B7*2.6/100</f>
        <v>2.6</v>
      </c>
      <c r="E7" s="59">
        <f>B7*0.4/100</f>
        <v>0.4</v>
      </c>
      <c r="F7" s="59">
        <f>B7*0.1/100</f>
        <v>0.1</v>
      </c>
      <c r="G7" s="59">
        <f>B7*0.1/100</f>
        <v>0.1</v>
      </c>
      <c r="H7" s="59">
        <f>B7*0.1/100</f>
        <v>0.1</v>
      </c>
      <c r="I7" s="59">
        <f>B7*0.09/100</f>
        <v>0.09</v>
      </c>
      <c r="J7" s="59" t="s">
        <v>455</v>
      </c>
      <c r="K7" s="72" t="s">
        <v>454</v>
      </c>
      <c r="L7" s="59">
        <f>B7*28.2/100</f>
        <v>28.2</v>
      </c>
      <c r="M7" s="59">
        <f>B7*1.1/100</f>
        <v>1.1000000000000001</v>
      </c>
      <c r="N7" s="59">
        <f>B7*3/100</f>
        <v>3</v>
      </c>
      <c r="O7" s="59">
        <f>B7*6/100</f>
        <v>6</v>
      </c>
      <c r="P7" s="59">
        <f>B7*0.37/100</f>
        <v>0.37</v>
      </c>
      <c r="Q7" s="59">
        <f>B7*22/100</f>
        <v>22</v>
      </c>
      <c r="R7" s="59">
        <f>B7*0.1/100</f>
        <v>0.1</v>
      </c>
      <c r="S7" s="59">
        <f>B7*2/100</f>
        <v>2</v>
      </c>
      <c r="T7" s="59">
        <f>B7*20/100</f>
        <v>20</v>
      </c>
      <c r="U7" s="59">
        <f>B7*0.04/100</f>
        <v>0.04</v>
      </c>
      <c r="V7" s="59">
        <f>B7*0.5/100</f>
        <v>0.5</v>
      </c>
      <c r="W7" s="72" t="s">
        <v>454</v>
      </c>
      <c r="X7" s="59" t="s">
        <v>455</v>
      </c>
      <c r="Y7" s="59" t="s">
        <v>455</v>
      </c>
      <c r="Z7" s="59" t="s">
        <v>455</v>
      </c>
      <c r="AA7" s="59" t="s">
        <v>455</v>
      </c>
      <c r="AB7" s="59"/>
      <c r="AC7" s="3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</row>
    <row r="8" spans="1:132" s="48" customFormat="1">
      <c r="A8" s="71" t="s">
        <v>464</v>
      </c>
      <c r="B8" s="59">
        <v>100</v>
      </c>
      <c r="C8" s="59">
        <f>B8*358/100</f>
        <v>358</v>
      </c>
      <c r="D8" s="59">
        <f>B8*7.2/100</f>
        <v>7.2</v>
      </c>
      <c r="E8" s="59">
        <f>B8*0.3/100</f>
        <v>0.3</v>
      </c>
      <c r="F8" s="59">
        <f>B8*0.1/100</f>
        <v>0.1</v>
      </c>
      <c r="G8" s="59">
        <f>B8*0.1/100</f>
        <v>0.1</v>
      </c>
      <c r="H8" s="59">
        <f>B8*0.1/100</f>
        <v>0.1</v>
      </c>
      <c r="I8" s="59">
        <f>B8*0.09/100</f>
        <v>0.09</v>
      </c>
      <c r="J8" s="59" t="s">
        <v>455</v>
      </c>
      <c r="K8" s="72" t="s">
        <v>454</v>
      </c>
      <c r="L8" s="59">
        <f>B8*78.9/100</f>
        <v>78.900000000000006</v>
      </c>
      <c r="M8" s="59">
        <f>B8*1.7/100</f>
        <v>1.7</v>
      </c>
      <c r="N8" s="59">
        <f>B8*5/100</f>
        <v>5</v>
      </c>
      <c r="O8" s="59">
        <f>B8*29/100</f>
        <v>29</v>
      </c>
      <c r="P8" s="59">
        <f>B8*0.83/100</f>
        <v>0.83</v>
      </c>
      <c r="Q8" s="59">
        <f>B8*82/100</f>
        <v>82</v>
      </c>
      <c r="R8" s="59">
        <f>B8*0.6/100</f>
        <v>0.6</v>
      </c>
      <c r="S8" s="59">
        <f>B8*1/100</f>
        <v>1</v>
      </c>
      <c r="T8" s="59">
        <f>B8*57/100</f>
        <v>57</v>
      </c>
      <c r="U8" s="59">
        <f>B8*0.05/100</f>
        <v>0.05</v>
      </c>
      <c r="V8" s="59">
        <f>B8*1.3/100</f>
        <v>1.3</v>
      </c>
      <c r="W8" s="72" t="s">
        <v>454</v>
      </c>
      <c r="X8" s="59">
        <f>B8*0.16/100</f>
        <v>0.16</v>
      </c>
      <c r="Y8" s="59" t="s">
        <v>455</v>
      </c>
      <c r="Z8" s="59">
        <f>B8*0.05/100</f>
        <v>0.05</v>
      </c>
      <c r="AA8" s="59">
        <f>B8*0.92/100</f>
        <v>0.92</v>
      </c>
      <c r="AB8" s="59"/>
      <c r="AC8" s="3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</row>
    <row r="9" spans="1:132" s="64" customFormat="1">
      <c r="A9" s="46" t="s">
        <v>465</v>
      </c>
      <c r="B9" s="47">
        <v>100</v>
      </c>
      <c r="C9" s="47">
        <f>B9*394/100</f>
        <v>394</v>
      </c>
      <c r="D9" s="47">
        <f>B9*13.9/100</f>
        <v>13.9</v>
      </c>
      <c r="E9" s="47">
        <f>B9*8.5/100</f>
        <v>8.5</v>
      </c>
      <c r="F9" s="47"/>
      <c r="G9" s="47"/>
      <c r="H9" s="47"/>
      <c r="I9" s="47"/>
      <c r="J9" s="47"/>
      <c r="K9" s="47" t="s">
        <v>454</v>
      </c>
      <c r="L9" s="47">
        <f>B9*66.6/100</f>
        <v>66.599999999999994</v>
      </c>
      <c r="M9" s="47">
        <f>B9*9.1/100</f>
        <v>9.1</v>
      </c>
      <c r="N9" s="47">
        <f>B9*48/100</f>
        <v>48</v>
      </c>
      <c r="O9" s="47">
        <f>B9*119/100</f>
        <v>119</v>
      </c>
      <c r="P9" s="47"/>
      <c r="Q9" s="47">
        <f>B9*153/100</f>
        <v>153</v>
      </c>
      <c r="R9" s="47">
        <f>B9*4.4/100</f>
        <v>4.4000000000000004</v>
      </c>
      <c r="S9" s="47">
        <f>B9*5/100</f>
        <v>5</v>
      </c>
      <c r="T9" s="47">
        <f>B9*336/100</f>
        <v>336</v>
      </c>
      <c r="U9" s="47">
        <f>B9*0.44/100</f>
        <v>0.44</v>
      </c>
      <c r="V9" s="47">
        <f>B9*2.6/100</f>
        <v>2.6</v>
      </c>
      <c r="W9" s="47" t="s">
        <v>454</v>
      </c>
      <c r="X9" s="47">
        <f>B9*0.55/100</f>
        <v>0.55000000000000004</v>
      </c>
      <c r="Y9" s="47">
        <f>B9*0.03/100</f>
        <v>0.03</v>
      </c>
      <c r="Z9" s="47" t="s">
        <v>455</v>
      </c>
      <c r="AA9" s="47">
        <f>B9*4.47/100</f>
        <v>4.47</v>
      </c>
      <c r="AB9" s="47"/>
      <c r="AC9" s="34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</row>
    <row r="10" spans="1:132" s="48" customFormat="1">
      <c r="A10" s="60" t="s">
        <v>466</v>
      </c>
      <c r="B10" s="59">
        <v>100</v>
      </c>
      <c r="C10" s="59">
        <f>B10*443/100</f>
        <v>443</v>
      </c>
      <c r="D10" s="59">
        <f>B10*8.1/100</f>
        <v>8.1</v>
      </c>
      <c r="E10" s="59">
        <f>B10*12/100</f>
        <v>12</v>
      </c>
      <c r="F10" s="59">
        <f>B10*3.9/100</f>
        <v>3.9</v>
      </c>
      <c r="G10" s="59">
        <f>B10*3.7/100</f>
        <v>3.7</v>
      </c>
      <c r="H10" s="59">
        <f>B10*2.2/100</f>
        <v>2.2000000000000002</v>
      </c>
      <c r="I10" s="59">
        <f>B10*2.13/100</f>
        <v>2.13</v>
      </c>
      <c r="J10" s="59">
        <f>B10*0.1/100</f>
        <v>0.1</v>
      </c>
      <c r="K10" s="59" t="s">
        <v>454</v>
      </c>
      <c r="L10" s="59">
        <f>B10*75.2/100</f>
        <v>75.2</v>
      </c>
      <c r="M10" s="59">
        <f>B10*2.1/100</f>
        <v>2.1</v>
      </c>
      <c r="N10" s="59">
        <f>B10*54/100</f>
        <v>54</v>
      </c>
      <c r="O10" s="59">
        <f>B10*37/100</f>
        <v>37</v>
      </c>
      <c r="P10" s="59"/>
      <c r="Q10" s="59">
        <f>B10*166/100</f>
        <v>166</v>
      </c>
      <c r="R10" s="59">
        <f>B10*1.8/100</f>
        <v>1.8</v>
      </c>
      <c r="S10" s="59">
        <f>B10*352/100</f>
        <v>352</v>
      </c>
      <c r="T10" s="59">
        <f>B10*142/100</f>
        <v>142</v>
      </c>
      <c r="U10" s="59">
        <f>B10*0.17/100</f>
        <v>0.17</v>
      </c>
      <c r="V10" s="59">
        <f>B10*1/100</f>
        <v>1</v>
      </c>
      <c r="W10" s="59" t="s">
        <v>454</v>
      </c>
      <c r="X10" s="59">
        <f>B10*1.01/100</f>
        <v>1.01</v>
      </c>
      <c r="Y10" s="59">
        <f>B10*0.42/100</f>
        <v>0.42</v>
      </c>
      <c r="Z10" s="59"/>
      <c r="AA10" s="59">
        <f>B10*3.91/100</f>
        <v>3.91</v>
      </c>
      <c r="AB10" s="59"/>
      <c r="AC10" s="3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</row>
    <row r="11" spans="1:132" s="48" customFormat="1">
      <c r="A11" s="60" t="s">
        <v>467</v>
      </c>
      <c r="B11" s="59">
        <v>100</v>
      </c>
      <c r="C11" s="59">
        <f>B11*472/100</f>
        <v>472</v>
      </c>
      <c r="D11" s="59">
        <f>B11*6.4/100</f>
        <v>6.4</v>
      </c>
      <c r="E11" s="59">
        <f>B11*19.6/100</f>
        <v>19.600000000000001</v>
      </c>
      <c r="F11" s="59">
        <f>B11*6.2/100</f>
        <v>6.2</v>
      </c>
      <c r="G11" s="59">
        <f>B11*6.6/100</f>
        <v>6.6</v>
      </c>
      <c r="H11" s="59">
        <f>B11*1.7/100</f>
        <v>1.7</v>
      </c>
      <c r="I11" s="59">
        <f>B11*1.68/100</f>
        <v>1.68</v>
      </c>
      <c r="J11" s="59">
        <f>B11*0.06/100</f>
        <v>0.06</v>
      </c>
      <c r="K11" s="59" t="s">
        <v>455</v>
      </c>
      <c r="L11" s="59">
        <f>B11*70.5/100</f>
        <v>70.5</v>
      </c>
      <c r="M11" s="59">
        <f>B11*3/100</f>
        <v>3</v>
      </c>
      <c r="N11" s="59">
        <f>B11*27/100</f>
        <v>27</v>
      </c>
      <c r="O11" s="59">
        <f>B11*48/100</f>
        <v>48</v>
      </c>
      <c r="P11" s="59"/>
      <c r="Q11" s="59">
        <f>B11*139/100</f>
        <v>139</v>
      </c>
      <c r="R11" s="59">
        <f>B11*2.3/100</f>
        <v>2.2999999999999998</v>
      </c>
      <c r="S11" s="59">
        <f>B11*239/100</f>
        <v>239</v>
      </c>
      <c r="T11" s="59">
        <f>B11*232/100</f>
        <v>232</v>
      </c>
      <c r="U11" s="59">
        <f>B11*0.27/100</f>
        <v>0.27</v>
      </c>
      <c r="V11" s="59">
        <f>B11*1/100</f>
        <v>1</v>
      </c>
      <c r="W11" s="59" t="s">
        <v>455</v>
      </c>
      <c r="X11" s="59">
        <f>B11*0.32/100</f>
        <v>0.32</v>
      </c>
      <c r="Y11" s="59">
        <f>B11*0.39/100</f>
        <v>0.39</v>
      </c>
      <c r="Z11" s="59">
        <f>B11*0.46/100</f>
        <v>0.46</v>
      </c>
      <c r="AA11" s="59">
        <f>B11*2.52/100</f>
        <v>2.52</v>
      </c>
      <c r="AB11" s="59"/>
      <c r="AC11" s="3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</row>
    <row r="12" spans="1:132" s="48" customFormat="1">
      <c r="A12" s="60" t="s">
        <v>468</v>
      </c>
      <c r="B12" s="59">
        <v>100</v>
      </c>
      <c r="C12" s="59">
        <f>B12*471/100</f>
        <v>471</v>
      </c>
      <c r="D12" s="59">
        <f>B12*5.7/100</f>
        <v>5.7</v>
      </c>
      <c r="E12" s="59">
        <f>B12*19.6/100</f>
        <v>19.600000000000001</v>
      </c>
      <c r="F12" s="59">
        <f>B12*6.1/100</f>
        <v>6.1</v>
      </c>
      <c r="G12" s="59">
        <f>B12*6.5/100</f>
        <v>6.5</v>
      </c>
      <c r="H12" s="59">
        <f>B12*1.7/100</f>
        <v>1.7</v>
      </c>
      <c r="I12" s="59">
        <f>B12*1.61/100</f>
        <v>1.61</v>
      </c>
      <c r="J12" s="59">
        <f>B12*0.06/100</f>
        <v>0.06</v>
      </c>
      <c r="K12" s="59"/>
      <c r="L12" s="59">
        <f>B12*71/100</f>
        <v>71</v>
      </c>
      <c r="M12" s="59">
        <f>B12*1.5/100</f>
        <v>1.5</v>
      </c>
      <c r="N12" s="59">
        <f>B12*36/100</f>
        <v>36</v>
      </c>
      <c r="O12" s="59">
        <f>B12*27/100</f>
        <v>27</v>
      </c>
      <c r="P12" s="59"/>
      <c r="Q12" s="59">
        <f>B12*138/100</f>
        <v>138</v>
      </c>
      <c r="R12" s="59">
        <f>B12*1.5/100</f>
        <v>1.5</v>
      </c>
      <c r="S12" s="59">
        <f>B12*230/100</f>
        <v>230</v>
      </c>
      <c r="T12" s="59">
        <f>B12*113/100</f>
        <v>113</v>
      </c>
      <c r="U12" s="59">
        <f>B12*0.13/100</f>
        <v>0.13</v>
      </c>
      <c r="V12" s="59">
        <f>B12*0.7/100</f>
        <v>0.7</v>
      </c>
      <c r="W12" s="59" t="s">
        <v>455</v>
      </c>
      <c r="X12" s="59">
        <f>B12*0.9/100</f>
        <v>0.9</v>
      </c>
      <c r="Y12" s="59">
        <f>B12*0.42/100</f>
        <v>0.42</v>
      </c>
      <c r="Z12" s="59">
        <f>B12*0.21/100</f>
        <v>0.21</v>
      </c>
      <c r="AA12" s="59">
        <f>B12*1.5/100</f>
        <v>1.5</v>
      </c>
      <c r="AB12" s="59"/>
      <c r="AC12" s="34"/>
      <c r="AD12" s="33"/>
      <c r="AE12" s="33"/>
      <c r="AF12" s="33"/>
      <c r="AG12" s="33"/>
      <c r="AH12" s="33"/>
      <c r="AI12" s="33"/>
      <c r="AJ12" s="33"/>
      <c r="AK12" s="33"/>
      <c r="AL12" s="33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</row>
    <row r="13" spans="1:132" s="48" customFormat="1">
      <c r="A13" s="60" t="s">
        <v>469</v>
      </c>
      <c r="B13" s="59">
        <v>100</v>
      </c>
      <c r="C13" s="59">
        <f>B13*502/100</f>
        <v>502</v>
      </c>
      <c r="D13" s="59">
        <f>B13*5.6/100</f>
        <v>5.6</v>
      </c>
      <c r="E13" s="59">
        <f>B13*24.7/100</f>
        <v>24.7</v>
      </c>
      <c r="F13" s="59">
        <f>B13*6.5/100</f>
        <v>6.5</v>
      </c>
      <c r="G13" s="59">
        <f>B13*8.1/100</f>
        <v>8.1</v>
      </c>
      <c r="H13" s="59">
        <f>B13*1.9/100</f>
        <v>1.9</v>
      </c>
      <c r="I13" s="59">
        <f>B13*1.84/100</f>
        <v>1.84</v>
      </c>
      <c r="J13" s="59">
        <f>B13*0.09/100</f>
        <v>0.09</v>
      </c>
      <c r="K13" s="59" t="s">
        <v>455</v>
      </c>
      <c r="L13" s="59">
        <f>B13*67.5/100</f>
        <v>67.5</v>
      </c>
      <c r="M13" s="59">
        <f>B13*1.8/100</f>
        <v>1.8</v>
      </c>
      <c r="N13" s="59">
        <f>B13*23/100</f>
        <v>23</v>
      </c>
      <c r="O13" s="59">
        <f>B13*48/100</f>
        <v>48</v>
      </c>
      <c r="P13" s="59"/>
      <c r="Q13" s="59">
        <f>B13*124/100</f>
        <v>124</v>
      </c>
      <c r="R13" s="59">
        <f>B13*2.4/100</f>
        <v>2.4</v>
      </c>
      <c r="S13" s="59">
        <f>B13*137/100</f>
        <v>137</v>
      </c>
      <c r="T13" s="59">
        <f>B13*240/100</f>
        <v>240</v>
      </c>
      <c r="U13" s="59">
        <f>B13*0.26/100</f>
        <v>0.26</v>
      </c>
      <c r="V13" s="59">
        <f>B13*0.9/100</f>
        <v>0.9</v>
      </c>
      <c r="W13" s="59" t="s">
        <v>455</v>
      </c>
      <c r="X13" s="59">
        <f>B13*0.37/100</f>
        <v>0.37</v>
      </c>
      <c r="Y13" s="59">
        <f>B13*0.03/100</f>
        <v>0.03</v>
      </c>
      <c r="Z13" s="59">
        <f>B13*0.3/100</f>
        <v>0.3</v>
      </c>
      <c r="AA13" s="59">
        <f>B13*1.12/100</f>
        <v>1.1200000000000001</v>
      </c>
      <c r="AB13" s="59"/>
      <c r="AC13" s="34"/>
      <c r="AD13" s="33"/>
      <c r="AE13" s="33"/>
      <c r="AF13" s="33"/>
      <c r="AG13" s="33"/>
      <c r="AH13" s="33"/>
      <c r="AI13" s="33"/>
      <c r="AJ13" s="33"/>
      <c r="AK13" s="33"/>
      <c r="AL13" s="33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</row>
    <row r="14" spans="1:132" s="48" customFormat="1">
      <c r="A14" s="60" t="s">
        <v>470</v>
      </c>
      <c r="B14" s="59">
        <v>100</v>
      </c>
      <c r="C14" s="59">
        <f>B14*513/100</f>
        <v>513</v>
      </c>
      <c r="D14" s="59">
        <f>B14*4.5/100</f>
        <v>4.5</v>
      </c>
      <c r="E14" s="59">
        <f>B14*26.4/100</f>
        <v>26.4</v>
      </c>
      <c r="F14" s="59">
        <f>B14*6.7/100</f>
        <v>6.7</v>
      </c>
      <c r="G14" s="59">
        <f>B14*8.9/100</f>
        <v>8.9</v>
      </c>
      <c r="H14" s="59">
        <f>B14*1.8/100</f>
        <v>1.8</v>
      </c>
      <c r="I14" s="59">
        <f>B14*1.77/100</f>
        <v>1.77</v>
      </c>
      <c r="J14" s="59">
        <f>B14*0.08/100</f>
        <v>0.08</v>
      </c>
      <c r="K14" s="59"/>
      <c r="L14" s="59">
        <f>B14*67.4/100</f>
        <v>67.400000000000006</v>
      </c>
      <c r="M14" s="59">
        <f>B14*0.8/100</f>
        <v>0.8</v>
      </c>
      <c r="N14" s="59">
        <f>B14*14/100</f>
        <v>14</v>
      </c>
      <c r="O14" s="59">
        <f>B14*19/100</f>
        <v>19</v>
      </c>
      <c r="P14" s="59"/>
      <c r="Q14" s="59">
        <f>B14*73/100</f>
        <v>73</v>
      </c>
      <c r="R14" s="59">
        <f>B14*1.1/100</f>
        <v>1.1000000000000001</v>
      </c>
      <c r="S14" s="59">
        <f>B14*120/100</f>
        <v>120</v>
      </c>
      <c r="T14" s="59">
        <f>B14*75/100</f>
        <v>75</v>
      </c>
      <c r="U14" s="59">
        <f>B14*0.08/100</f>
        <v>0.08</v>
      </c>
      <c r="V14" s="59">
        <f>B14*0.5/100</f>
        <v>0.5</v>
      </c>
      <c r="W14" s="59" t="s">
        <v>455</v>
      </c>
      <c r="X14" s="59">
        <f>B14*0.36/100</f>
        <v>0.36</v>
      </c>
      <c r="Y14" s="59" t="s">
        <v>455</v>
      </c>
      <c r="Z14" s="59">
        <f>B14*0.94/100</f>
        <v>0.94</v>
      </c>
      <c r="AA14" s="59">
        <f>B14*0.37/100</f>
        <v>0.37</v>
      </c>
      <c r="AB14" s="59"/>
      <c r="AC14" s="34"/>
      <c r="AD14" s="33"/>
      <c r="AE14" s="33"/>
      <c r="AF14" s="33"/>
      <c r="AG14" s="33"/>
      <c r="AH14" s="33"/>
      <c r="AI14" s="33"/>
      <c r="AJ14" s="33"/>
      <c r="AK14" s="33"/>
      <c r="AL14" s="33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</row>
    <row r="15" spans="1:132" s="48" customFormat="1">
      <c r="A15" s="60" t="s">
        <v>471</v>
      </c>
      <c r="B15" s="59">
        <v>100</v>
      </c>
      <c r="C15" s="59">
        <f>B15*432/100</f>
        <v>432</v>
      </c>
      <c r="D15" s="59">
        <f>B15*10.1/100</f>
        <v>10.1</v>
      </c>
      <c r="E15" s="59">
        <f>B15*14.4/100</f>
        <v>14.4</v>
      </c>
      <c r="F15" s="59">
        <f>B15*4.4/100</f>
        <v>4.4000000000000004</v>
      </c>
      <c r="G15" s="59">
        <f>B15*4.6/100</f>
        <v>4.5999999999999996</v>
      </c>
      <c r="H15" s="59">
        <f>B15*2.9/100</f>
        <v>2.9</v>
      </c>
      <c r="I15" s="59">
        <f>B15*2.79/100</f>
        <v>2.79</v>
      </c>
      <c r="J15" s="59">
        <f>B15*0.01/100</f>
        <v>0.01</v>
      </c>
      <c r="K15" s="59"/>
      <c r="L15" s="59">
        <f>B15*68.7/100</f>
        <v>68.7</v>
      </c>
      <c r="M15" s="59">
        <f>B15*2.5/100</f>
        <v>2.5</v>
      </c>
      <c r="N15" s="59">
        <f>B15*20/100</f>
        <v>20</v>
      </c>
      <c r="O15" s="59">
        <f>B15*40/100</f>
        <v>40</v>
      </c>
      <c r="P15" s="59"/>
      <c r="Q15" s="59">
        <f>B15*148/100</f>
        <v>148</v>
      </c>
      <c r="R15" s="59">
        <f>B15*2.2/100</f>
        <v>2.2000000000000002</v>
      </c>
      <c r="S15" s="59">
        <f>B15*854/100</f>
        <v>854</v>
      </c>
      <c r="T15" s="59">
        <f>B15*181/100</f>
        <v>181</v>
      </c>
      <c r="U15" s="59">
        <f>B15*0.18/100</f>
        <v>0.18</v>
      </c>
      <c r="V15" s="59">
        <f>B15*1.1/100</f>
        <v>1.1000000000000001</v>
      </c>
      <c r="W15" s="59" t="s">
        <v>454</v>
      </c>
      <c r="X15" s="59">
        <f>B15*0.71/100</f>
        <v>0.71</v>
      </c>
      <c r="Y15" s="59">
        <f>B15*0.13/100</f>
        <v>0.13</v>
      </c>
      <c r="Z15" s="59">
        <f>B15*0.17/100</f>
        <v>0.17</v>
      </c>
      <c r="AA15" s="59">
        <f>B15*7.14/100</f>
        <v>7.14</v>
      </c>
      <c r="AB15" s="59"/>
      <c r="AC15" s="34"/>
      <c r="AD15" s="33"/>
      <c r="AE15" s="33"/>
      <c r="AF15" s="33"/>
      <c r="AG15" s="33"/>
      <c r="AH15" s="33"/>
      <c r="AI15" s="33"/>
      <c r="AJ15" s="33"/>
      <c r="AK15" s="33"/>
      <c r="AL15" s="33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</row>
    <row r="16" spans="1:132" s="48" customFormat="1">
      <c r="A16" s="60" t="s">
        <v>472</v>
      </c>
      <c r="B16" s="59">
        <v>100</v>
      </c>
      <c r="C16" s="59">
        <f>B16*419/100</f>
        <v>419</v>
      </c>
      <c r="D16" s="59">
        <f>B16*6.2/100</f>
        <v>6.2</v>
      </c>
      <c r="E16" s="59">
        <f>B16*6.1/100</f>
        <v>6.1</v>
      </c>
      <c r="F16" s="59">
        <f>B16*2.2/100</f>
        <v>2.2000000000000002</v>
      </c>
      <c r="G16" s="59">
        <f>B16*1.7/100</f>
        <v>1.7</v>
      </c>
      <c r="H16" s="59">
        <f>B16*0.8/100</f>
        <v>0.8</v>
      </c>
      <c r="I16" s="59">
        <f>B16*0.8/100</f>
        <v>0.8</v>
      </c>
      <c r="J16" s="59">
        <f>B16*0.04/100</f>
        <v>0.04</v>
      </c>
      <c r="K16" s="59" t="s">
        <v>455</v>
      </c>
      <c r="L16" s="59">
        <f>B16*84.7/100</f>
        <v>84.7</v>
      </c>
      <c r="M16" s="59">
        <f>B16*1.7/100</f>
        <v>1.7</v>
      </c>
      <c r="N16" s="59">
        <f>B16*59/100</f>
        <v>59</v>
      </c>
      <c r="O16" s="59">
        <f>B16*28/100</f>
        <v>28</v>
      </c>
      <c r="P16" s="59"/>
      <c r="Q16" s="59">
        <f>B16*333/100</f>
        <v>333</v>
      </c>
      <c r="R16" s="59">
        <f>B16*1.2/100</f>
        <v>1.2</v>
      </c>
      <c r="S16" s="59">
        <f>B16*463/100</f>
        <v>463</v>
      </c>
      <c r="T16" s="59">
        <v>0</v>
      </c>
      <c r="U16" s="59">
        <f>B16*1.15/100</f>
        <v>1.1499999999999999</v>
      </c>
      <c r="V16" s="59">
        <f>B16*0.6/100</f>
        <v>0.6</v>
      </c>
      <c r="W16" s="59" t="s">
        <v>454</v>
      </c>
      <c r="X16" s="59">
        <f>B16*0.18/100</f>
        <v>0.18</v>
      </c>
      <c r="Y16" s="59" t="s">
        <v>455</v>
      </c>
      <c r="Z16" s="59">
        <f>B16*1.5/100</f>
        <v>1.5</v>
      </c>
      <c r="AA16" s="59">
        <f>B16*1.52/100</f>
        <v>1.52</v>
      </c>
      <c r="AB16" s="59"/>
      <c r="AC16" s="34"/>
      <c r="AD16" s="33"/>
      <c r="AE16" s="33"/>
      <c r="AF16" s="33"/>
      <c r="AG16" s="33"/>
      <c r="AH16" s="33"/>
      <c r="AI16" s="33"/>
      <c r="AJ16" s="33"/>
      <c r="AK16" s="33"/>
      <c r="AL16" s="33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</row>
    <row r="17" spans="1:67" s="48" customFormat="1">
      <c r="A17" s="60" t="s">
        <v>473</v>
      </c>
      <c r="B17" s="59">
        <v>100</v>
      </c>
      <c r="C17" s="59">
        <f>B17*324/100</f>
        <v>324</v>
      </c>
      <c r="D17" s="59">
        <f>B17*4.4/100</f>
        <v>4.4000000000000004</v>
      </c>
      <c r="E17" s="59">
        <f>B17*12.7/100</f>
        <v>12.7</v>
      </c>
      <c r="F17" s="59">
        <f>B17*5/100</f>
        <v>5</v>
      </c>
      <c r="G17" s="59">
        <f>B17*3.9/100</f>
        <v>3.9</v>
      </c>
      <c r="H17" s="59">
        <f>B17*1.1/100</f>
        <v>1.1000000000000001</v>
      </c>
      <c r="I17" s="59">
        <f>B17*1/100</f>
        <v>1</v>
      </c>
      <c r="J17" s="59">
        <f>B17*0.06/100</f>
        <v>0.06</v>
      </c>
      <c r="K17" s="59">
        <f>B17*73/100</f>
        <v>73</v>
      </c>
      <c r="L17" s="59">
        <f>B17*47.9/100</f>
        <v>47.9</v>
      </c>
      <c r="M17" s="59">
        <f>B17*0.7/100</f>
        <v>0.7</v>
      </c>
      <c r="N17" s="59">
        <f>B17*85/100</f>
        <v>85</v>
      </c>
      <c r="O17" s="59">
        <f>B17*10/100</f>
        <v>10</v>
      </c>
      <c r="P17" s="59">
        <f>B17*0.11/100</f>
        <v>0.11</v>
      </c>
      <c r="Q17" s="59">
        <f>B17*122/100</f>
        <v>122</v>
      </c>
      <c r="R17" s="59">
        <f>B17*0.5/100</f>
        <v>0.5</v>
      </c>
      <c r="S17" s="59">
        <f>B17*111/100</f>
        <v>111</v>
      </c>
      <c r="T17" s="59">
        <f>B17*135/100</f>
        <v>135</v>
      </c>
      <c r="U17" s="59">
        <f>B17*0.05/100</f>
        <v>0.05</v>
      </c>
      <c r="V17" s="59">
        <f>B17*0.4/100</f>
        <v>0.4</v>
      </c>
      <c r="W17" s="59" t="s">
        <v>455</v>
      </c>
      <c r="X17" s="59">
        <f>B17*0.13/100</f>
        <v>0.13</v>
      </c>
      <c r="Y17" s="59">
        <f>B17*0.07/100</f>
        <v>7.0000000000000007E-2</v>
      </c>
      <c r="Z17" s="59" t="s">
        <v>455</v>
      </c>
      <c r="AA17" s="59" t="s">
        <v>455</v>
      </c>
      <c r="AB17" s="59" t="s">
        <v>455</v>
      </c>
      <c r="AC17" s="34"/>
      <c r="AD17" s="33"/>
      <c r="AE17" s="33"/>
      <c r="AF17" s="33"/>
      <c r="AG17" s="33"/>
      <c r="AH17" s="33"/>
      <c r="AI17" s="33"/>
      <c r="AJ17" s="33"/>
      <c r="AK17" s="33"/>
      <c r="AL17" s="33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</row>
    <row r="18" spans="1:67" s="48" customFormat="1">
      <c r="A18" s="60" t="s">
        <v>474</v>
      </c>
      <c r="B18" s="59">
        <v>100</v>
      </c>
      <c r="C18" s="59">
        <f>B18*410/100</f>
        <v>410</v>
      </c>
      <c r="D18" s="59">
        <f>B18*6.2/100</f>
        <v>6.2</v>
      </c>
      <c r="E18" s="59">
        <f>B18*18.2/100</f>
        <v>18.2</v>
      </c>
      <c r="F18" s="59">
        <f>B18*5.5/100</f>
        <v>5.5</v>
      </c>
      <c r="G18" s="59">
        <f>B18*6.2/100</f>
        <v>6.2</v>
      </c>
      <c r="H18" s="59">
        <f>B18*3/100</f>
        <v>3</v>
      </c>
      <c r="I18" s="59">
        <f>B18*2.83/100</f>
        <v>2.83</v>
      </c>
      <c r="J18" s="59">
        <f>B18*0.04/100</f>
        <v>0.04</v>
      </c>
      <c r="K18" s="59">
        <f>B18*77/100</f>
        <v>77</v>
      </c>
      <c r="L18" s="59">
        <f>B18*54.7/100</f>
        <v>54.7</v>
      </c>
      <c r="M18" s="59">
        <f>B18*1.4/100</f>
        <v>1.4</v>
      </c>
      <c r="N18" s="59">
        <f>B18*75/100</f>
        <v>75</v>
      </c>
      <c r="O18" s="59">
        <f>B18*28/100</f>
        <v>28</v>
      </c>
      <c r="P18" s="59">
        <f>B18*0.38/100</f>
        <v>0.38</v>
      </c>
      <c r="Q18" s="59">
        <f>B18*197/100</f>
        <v>197</v>
      </c>
      <c r="R18" s="59">
        <f>B18*2.1/100</f>
        <v>2.1</v>
      </c>
      <c r="S18" s="59">
        <f>B18*283/100</f>
        <v>283</v>
      </c>
      <c r="T18" s="59">
        <f>B18*212/100</f>
        <v>212</v>
      </c>
      <c r="U18" s="59">
        <f>B18*0.05/100</f>
        <v>0.05</v>
      </c>
      <c r="V18" s="59">
        <f>B18*0.7/100</f>
        <v>0.7</v>
      </c>
      <c r="W18" s="59" t="s">
        <v>455</v>
      </c>
      <c r="X18" s="59"/>
      <c r="Y18" s="59">
        <f>B18*0.09/100</f>
        <v>0.09</v>
      </c>
      <c r="Z18" s="59">
        <f>B18*0.05/100</f>
        <v>0.05</v>
      </c>
      <c r="AA18" s="59" t="s">
        <v>455</v>
      </c>
      <c r="AB18" s="59" t="s">
        <v>455</v>
      </c>
      <c r="AC18" s="34"/>
      <c r="AD18" s="33"/>
      <c r="AE18" s="33"/>
      <c r="AF18" s="33"/>
      <c r="AG18" s="33"/>
      <c r="AH18" s="33"/>
      <c r="AI18" s="33"/>
      <c r="AJ18" s="33"/>
      <c r="AK18" s="33"/>
      <c r="AL18" s="33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</row>
    <row r="19" spans="1:67" s="48" customFormat="1">
      <c r="A19" s="60" t="s">
        <v>475</v>
      </c>
      <c r="B19" s="59">
        <v>100</v>
      </c>
      <c r="C19" s="59">
        <f>B19*333/100</f>
        <v>333</v>
      </c>
      <c r="D19" s="59">
        <f>B19*5.7/100</f>
        <v>5.7</v>
      </c>
      <c r="E19" s="59">
        <f>B19*11.3/100</f>
        <v>11.3</v>
      </c>
      <c r="F19" s="59">
        <f>B19*4.9/100</f>
        <v>4.9000000000000004</v>
      </c>
      <c r="G19" s="59">
        <f>B19*3/100</f>
        <v>3</v>
      </c>
      <c r="H19" s="59">
        <f>B19*1.8/100</f>
        <v>1.8</v>
      </c>
      <c r="I19" s="59">
        <f>B19*1.69/100</f>
        <v>1.69</v>
      </c>
      <c r="J19" s="59">
        <f>B19*0.06/100</f>
        <v>0.06</v>
      </c>
      <c r="K19" s="59">
        <f>B19*63/100</f>
        <v>63</v>
      </c>
      <c r="L19" s="59">
        <f>B19*52.3/100</f>
        <v>52.3</v>
      </c>
      <c r="M19" s="59">
        <f>B19*1.1/100</f>
        <v>1.1000000000000001</v>
      </c>
      <c r="N19" s="59">
        <f>B19*57/100</f>
        <v>57</v>
      </c>
      <c r="O19" s="59">
        <f>B19*16/100</f>
        <v>16</v>
      </c>
      <c r="P19" s="59">
        <f>B19*0.4/100</f>
        <v>0.4</v>
      </c>
      <c r="Q19" s="59">
        <f>B19*303/100</f>
        <v>303</v>
      </c>
      <c r="R19" s="59">
        <f>B19*0.8/100</f>
        <v>0.8</v>
      </c>
      <c r="S19" s="59">
        <f>B19*190/100</f>
        <v>190</v>
      </c>
      <c r="T19" s="59">
        <f>B19*143/100</f>
        <v>143</v>
      </c>
      <c r="U19" s="59">
        <f>B19*0.09/100</f>
        <v>0.09</v>
      </c>
      <c r="V19" s="59">
        <f>B19*0.7/100</f>
        <v>0.7</v>
      </c>
      <c r="W19" s="59" t="s">
        <v>455</v>
      </c>
      <c r="X19" s="59">
        <f>B19*0.15/100</f>
        <v>0.15</v>
      </c>
      <c r="Y19" s="59">
        <f>B19*0.06/100</f>
        <v>0.06</v>
      </c>
      <c r="Z19" s="59" t="s">
        <v>455</v>
      </c>
      <c r="AA19" s="59" t="s">
        <v>455</v>
      </c>
      <c r="AB19" s="59" t="s">
        <v>455</v>
      </c>
      <c r="AC19" s="34"/>
      <c r="AD19" s="33"/>
      <c r="AE19" s="33"/>
      <c r="AF19" s="33"/>
      <c r="AG19" s="33"/>
      <c r="AH19" s="33"/>
      <c r="AI19" s="33"/>
      <c r="AJ19" s="33"/>
      <c r="AK19" s="33"/>
      <c r="AL19" s="33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</row>
    <row r="20" spans="1:67" s="48" customFormat="1">
      <c r="A20" s="60" t="s">
        <v>476</v>
      </c>
      <c r="B20" s="59">
        <v>100</v>
      </c>
      <c r="C20" s="59">
        <f>B20*311/100</f>
        <v>311</v>
      </c>
      <c r="D20" s="59">
        <f>B20*4.8/100</f>
        <v>4.8</v>
      </c>
      <c r="E20" s="59">
        <f>B20*12.4/100</f>
        <v>12.4</v>
      </c>
      <c r="F20" s="59">
        <f>B20*4.5/100</f>
        <v>4.5</v>
      </c>
      <c r="G20" s="59">
        <f>B20*3.9/100</f>
        <v>3.9</v>
      </c>
      <c r="H20" s="59">
        <f>B20*1.5/100</f>
        <v>1.5</v>
      </c>
      <c r="I20" s="59">
        <f>B20*1.34/100</f>
        <v>1.34</v>
      </c>
      <c r="J20" s="59">
        <f>B20*0.08/100</f>
        <v>0.08</v>
      </c>
      <c r="K20" s="59">
        <f>B20*82/100</f>
        <v>82</v>
      </c>
      <c r="L20" s="59">
        <f>B20*45.1/100</f>
        <v>45.1</v>
      </c>
      <c r="M20" s="59">
        <f>B20*0.7/100</f>
        <v>0.7</v>
      </c>
      <c r="N20" s="59">
        <f>B20*83/100</f>
        <v>83</v>
      </c>
      <c r="O20" s="59">
        <f>B20*10/100</f>
        <v>10</v>
      </c>
      <c r="P20" s="59">
        <f>B20*0.11/100</f>
        <v>0.11</v>
      </c>
      <c r="Q20" s="59">
        <f>B20*128/100</f>
        <v>128</v>
      </c>
      <c r="R20" s="59">
        <f>B20*0.7/100</f>
        <v>0.7</v>
      </c>
      <c r="S20" s="59">
        <f>B20*134/100</f>
        <v>134</v>
      </c>
      <c r="T20" s="59">
        <f>B20*118/100</f>
        <v>118</v>
      </c>
      <c r="U20" s="59">
        <f>B20*0.04/100</f>
        <v>0.04</v>
      </c>
      <c r="V20" s="59">
        <f>B20*0.4/100</f>
        <v>0.4</v>
      </c>
      <c r="W20" s="59">
        <f>B20*57/100</f>
        <v>57</v>
      </c>
      <c r="X20" s="59">
        <f>B20*0.11/100</f>
        <v>0.11</v>
      </c>
      <c r="Y20" s="59">
        <f>B20*0.05/100</f>
        <v>0.05</v>
      </c>
      <c r="Z20" s="59" t="s">
        <v>455</v>
      </c>
      <c r="AA20" s="59" t="s">
        <v>455</v>
      </c>
      <c r="AB20" s="59" t="s">
        <v>455</v>
      </c>
      <c r="AC20" s="34"/>
      <c r="AD20" s="33"/>
      <c r="AE20" s="33"/>
      <c r="AF20" s="33"/>
      <c r="AG20" s="33"/>
      <c r="AH20" s="33"/>
      <c r="AI20" s="33"/>
      <c r="AJ20" s="33"/>
      <c r="AK20" s="33"/>
      <c r="AL20" s="33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</row>
    <row r="21" spans="1:67" s="48" customFormat="1">
      <c r="A21" s="60" t="s">
        <v>477</v>
      </c>
      <c r="B21" s="59">
        <v>100</v>
      </c>
      <c r="C21" s="59">
        <f>B21*358/100</f>
        <v>358</v>
      </c>
      <c r="D21" s="59">
        <f>B21*7.2/100</f>
        <v>7.2</v>
      </c>
      <c r="E21" s="59">
        <f>B21*1/100</f>
        <v>1</v>
      </c>
      <c r="F21" s="59">
        <f>B21*0.3/100</f>
        <v>0.3</v>
      </c>
      <c r="G21" s="59">
        <f>B21*0.2/100</f>
        <v>0.2</v>
      </c>
      <c r="H21" s="59">
        <f>B21*0.4/100</f>
        <v>0.4</v>
      </c>
      <c r="I21" s="59">
        <f>B21*0.38/100</f>
        <v>0.38</v>
      </c>
      <c r="J21" s="59">
        <f>B21*0.01/100</f>
        <v>0.01</v>
      </c>
      <c r="K21" s="59" t="s">
        <v>454</v>
      </c>
      <c r="L21" s="59">
        <f>B21*78.1/100</f>
        <v>78.099999999999994</v>
      </c>
      <c r="M21" s="59">
        <f>B21*5.5/100</f>
        <v>5.5</v>
      </c>
      <c r="N21" s="59">
        <f>B21*2/100</f>
        <v>2</v>
      </c>
      <c r="O21" s="59">
        <f>B21*12/100</f>
        <v>12</v>
      </c>
      <c r="P21" s="59">
        <f>B21*0.09/100</f>
        <v>0.09</v>
      </c>
      <c r="Q21" s="59">
        <f>B21*48/100</f>
        <v>48</v>
      </c>
      <c r="R21" s="59">
        <f>B21*0.3/100</f>
        <v>0.3</v>
      </c>
      <c r="S21" s="59">
        <f>B21*1/100</f>
        <v>1</v>
      </c>
      <c r="T21" s="59">
        <f>B21*93/100</f>
        <v>93</v>
      </c>
      <c r="U21" s="59">
        <f>B21*0.05/100</f>
        <v>0.05</v>
      </c>
      <c r="V21" s="59">
        <f>B21*0.4/100</f>
        <v>0.4</v>
      </c>
      <c r="W21" s="59" t="s">
        <v>454</v>
      </c>
      <c r="X21" s="59" t="s">
        <v>455</v>
      </c>
      <c r="Y21" s="59" t="s">
        <v>455</v>
      </c>
      <c r="Z21" s="59" t="s">
        <v>455</v>
      </c>
      <c r="AA21" s="59" t="s">
        <v>455</v>
      </c>
      <c r="AB21" s="59" t="s">
        <v>455</v>
      </c>
      <c r="AC21" s="34"/>
      <c r="AD21" s="33"/>
      <c r="AE21" s="33"/>
      <c r="AF21" s="33"/>
      <c r="AG21" s="33"/>
      <c r="AH21" s="33"/>
      <c r="AI21" s="33"/>
      <c r="AJ21" s="33"/>
      <c r="AK21" s="33"/>
      <c r="AL21" s="33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</row>
    <row r="22" spans="1:67" s="48" customFormat="1">
      <c r="A22" s="60" t="s">
        <v>478</v>
      </c>
      <c r="B22" s="59">
        <v>100</v>
      </c>
      <c r="C22" s="59">
        <f>B22*370/100</f>
        <v>370</v>
      </c>
      <c r="D22" s="59">
        <f>B22*7.3/100</f>
        <v>7.3</v>
      </c>
      <c r="E22" s="59">
        <f>B22*1.6/100</f>
        <v>1.6</v>
      </c>
      <c r="F22" s="59">
        <f>B22*0.5/100</f>
        <v>0.5</v>
      </c>
      <c r="G22" s="59">
        <f>B22*0.6/100</f>
        <v>0.6</v>
      </c>
      <c r="H22" s="59">
        <f>B22*0.9/100</f>
        <v>0.9</v>
      </c>
      <c r="I22" s="59">
        <f>B22*0.89/100</f>
        <v>0.89</v>
      </c>
      <c r="J22" s="59">
        <f>B22*0.03/100</f>
        <v>0.03</v>
      </c>
      <c r="K22" s="59" t="s">
        <v>454</v>
      </c>
      <c r="L22" s="59">
        <f>B22*80.8/100</f>
        <v>80.8</v>
      </c>
      <c r="M22" s="59">
        <f>B22*5.3/100</f>
        <v>5.3</v>
      </c>
      <c r="N22" s="59">
        <f>B22*2/100</f>
        <v>2</v>
      </c>
      <c r="O22" s="59">
        <f>B22*20/100</f>
        <v>20</v>
      </c>
      <c r="P22" s="59" t="s">
        <v>455</v>
      </c>
      <c r="Q22" s="59">
        <f>B22*91/100</f>
        <v>91</v>
      </c>
      <c r="R22" s="59">
        <f>B22*0.5/100</f>
        <v>0.5</v>
      </c>
      <c r="S22" s="59">
        <f>B22*272/100</f>
        <v>272</v>
      </c>
      <c r="T22" s="59">
        <f>B22*69/100</f>
        <v>69</v>
      </c>
      <c r="U22" s="59" t="s">
        <v>455</v>
      </c>
      <c r="V22" s="59">
        <f>B22*0.6/100</f>
        <v>0.6</v>
      </c>
      <c r="W22" s="59" t="s">
        <v>454</v>
      </c>
      <c r="X22" s="59">
        <f>B22*0.12/100</f>
        <v>0.12</v>
      </c>
      <c r="Y22" s="59" t="s">
        <v>455</v>
      </c>
      <c r="Z22" s="59">
        <f>B22*0.06/100</f>
        <v>0.06</v>
      </c>
      <c r="AA22" s="59" t="s">
        <v>455</v>
      </c>
      <c r="AB22" s="59" t="s">
        <v>455</v>
      </c>
      <c r="AC22" s="34"/>
      <c r="AD22" s="33"/>
      <c r="AE22" s="33"/>
      <c r="AF22" s="33"/>
      <c r="AG22" s="33"/>
      <c r="AH22" s="33"/>
      <c r="AI22" s="33"/>
      <c r="AJ22" s="33"/>
      <c r="AK22" s="33"/>
      <c r="AL22" s="33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</row>
    <row r="23" spans="1:67" s="48" customFormat="1">
      <c r="A23" s="60" t="s">
        <v>479</v>
      </c>
      <c r="B23" s="59">
        <v>100</v>
      </c>
      <c r="C23" s="59">
        <f>B23*363/100</f>
        <v>363</v>
      </c>
      <c r="D23" s="59">
        <f>B23*6.9/100</f>
        <v>6.9</v>
      </c>
      <c r="E23" s="59">
        <f>B23*1.2/100</f>
        <v>1.2</v>
      </c>
      <c r="F23" s="59">
        <f>B23*0.3/100</f>
        <v>0.3</v>
      </c>
      <c r="G23" s="59">
        <f>B23*0.3/100</f>
        <v>0.3</v>
      </c>
      <c r="H23" s="59">
        <f>B23*0.6/100</f>
        <v>0.6</v>
      </c>
      <c r="I23" s="59">
        <f>B23*0.6/100</f>
        <v>0.6</v>
      </c>
      <c r="J23" s="59">
        <f>B23*0.02/100</f>
        <v>0.02</v>
      </c>
      <c r="K23" s="59" t="s">
        <v>454</v>
      </c>
      <c r="L23" s="59">
        <f>B23*80.4/100</f>
        <v>80.400000000000006</v>
      </c>
      <c r="M23" s="59">
        <f>B23*1.8/100</f>
        <v>1.8</v>
      </c>
      <c r="N23" s="59">
        <f>B23*2/100</f>
        <v>2</v>
      </c>
      <c r="O23" s="59">
        <f>B23*17/100</f>
        <v>17</v>
      </c>
      <c r="P23" s="59" t="s">
        <v>455</v>
      </c>
      <c r="Q23" s="59">
        <f>B23*58/100</f>
        <v>58</v>
      </c>
      <c r="R23" s="59">
        <f>B23*1.7/100</f>
        <v>1.7</v>
      </c>
      <c r="S23" s="59">
        <f>B23*31/100</f>
        <v>31</v>
      </c>
      <c r="T23" s="59">
        <f>B23*29/100</f>
        <v>29</v>
      </c>
      <c r="U23" s="59">
        <f>B23*0.24/100</f>
        <v>0.24</v>
      </c>
      <c r="V23" s="59">
        <f>B23*0.3/100</f>
        <v>0.3</v>
      </c>
      <c r="W23" s="59" t="s">
        <v>454</v>
      </c>
      <c r="X23" s="59">
        <f>B23*0.05/100</f>
        <v>0.05</v>
      </c>
      <c r="Y23" s="59" t="s">
        <v>455</v>
      </c>
      <c r="Z23" s="59">
        <f>B23*0.04/100</f>
        <v>0.04</v>
      </c>
      <c r="AA23" s="59" t="s">
        <v>455</v>
      </c>
      <c r="AB23" s="59" t="s">
        <v>455</v>
      </c>
      <c r="AC23" s="34"/>
      <c r="AD23" s="33"/>
      <c r="AE23" s="33"/>
      <c r="AF23" s="33"/>
      <c r="AG23" s="33"/>
      <c r="AH23" s="33"/>
      <c r="AI23" s="33"/>
      <c r="AJ23" s="33"/>
      <c r="AK23" s="33"/>
      <c r="AL23" s="33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</row>
    <row r="24" spans="1:67" s="48" customFormat="1">
      <c r="A24" s="60" t="s">
        <v>480</v>
      </c>
      <c r="B24" s="59">
        <v>100</v>
      </c>
      <c r="C24" s="59">
        <f>B24*394/100</f>
        <v>394</v>
      </c>
      <c r="D24" s="59">
        <f>B24*6.4/100</f>
        <v>6.4</v>
      </c>
      <c r="E24" s="59">
        <f>B24*1.1/100</f>
        <v>1.1000000000000001</v>
      </c>
      <c r="F24" s="59">
        <f>B24*0.3/100</f>
        <v>0.3</v>
      </c>
      <c r="G24" s="59">
        <f>B24*0.3/100</f>
        <v>0.3</v>
      </c>
      <c r="H24" s="59">
        <f>B24*0.5/100</f>
        <v>0.5</v>
      </c>
      <c r="I24" s="59">
        <f>B24*0.45/100</f>
        <v>0.45</v>
      </c>
      <c r="J24" s="59">
        <f>B24*0.01/100</f>
        <v>0.01</v>
      </c>
      <c r="K24" s="59" t="s">
        <v>454</v>
      </c>
      <c r="L24" s="59">
        <f>B24*87.3/100</f>
        <v>87.3</v>
      </c>
      <c r="M24" s="59">
        <f>B24*3.2/100</f>
        <v>3.2</v>
      </c>
      <c r="N24" s="59">
        <f>B24*219/100</f>
        <v>219</v>
      </c>
      <c r="O24" s="59">
        <f>B24*16/100</f>
        <v>16</v>
      </c>
      <c r="P24" s="59"/>
      <c r="Q24" s="59">
        <f>B24*169/100</f>
        <v>169</v>
      </c>
      <c r="R24" s="59">
        <f>B24*3/100</f>
        <v>3</v>
      </c>
      <c r="S24" s="59">
        <f>B24*399/100</f>
        <v>399</v>
      </c>
      <c r="T24" s="59">
        <f>B24*82/100</f>
        <v>82</v>
      </c>
      <c r="U24" s="59">
        <f>B24*0.04/100</f>
        <v>0.04</v>
      </c>
      <c r="V24" s="59">
        <f>B24*0.4/100</f>
        <v>0.4</v>
      </c>
      <c r="W24" s="59">
        <f>B24*21/100</f>
        <v>21</v>
      </c>
      <c r="X24" s="59">
        <f>B24*3.72/100</f>
        <v>3.72</v>
      </c>
      <c r="Y24" s="59">
        <f>B24*0.47/100</f>
        <v>0.47</v>
      </c>
      <c r="Z24" s="59">
        <f>B24*5.08/100</f>
        <v>5.08</v>
      </c>
      <c r="AA24" s="59">
        <f>B24*24.16/100</f>
        <v>24.16</v>
      </c>
      <c r="AB24" s="59">
        <f>B24*109.4/100</f>
        <v>109.4</v>
      </c>
      <c r="AC24" s="34"/>
      <c r="AD24" s="33"/>
      <c r="AE24" s="33"/>
      <c r="AF24" s="33"/>
      <c r="AG24" s="33"/>
      <c r="AH24" s="33"/>
      <c r="AI24" s="33"/>
      <c r="AJ24" s="33"/>
      <c r="AK24" s="33"/>
      <c r="AL24" s="33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</row>
    <row r="25" spans="1:67" s="48" customFormat="1">
      <c r="A25" s="60" t="s">
        <v>481</v>
      </c>
      <c r="B25" s="59">
        <v>100</v>
      </c>
      <c r="C25" s="59">
        <f>B25*381/100</f>
        <v>381</v>
      </c>
      <c r="D25" s="59">
        <f>B25*8.9/100</f>
        <v>8.9</v>
      </c>
      <c r="E25" s="59">
        <f>B25*2.1/100</f>
        <v>2.1</v>
      </c>
      <c r="F25" s="59">
        <f>B25*0.5/100</f>
        <v>0.5</v>
      </c>
      <c r="G25" s="59">
        <f>B25*0.4/100</f>
        <v>0.4</v>
      </c>
      <c r="H25" s="59">
        <f>B25*1/100</f>
        <v>1</v>
      </c>
      <c r="I25" s="59">
        <f>B25*0.43/100</f>
        <v>0.43</v>
      </c>
      <c r="J25" s="59">
        <f>B25*0.01/100</f>
        <v>0.01</v>
      </c>
      <c r="K25" s="59" t="s">
        <v>454</v>
      </c>
      <c r="L25" s="59">
        <f>B25*81.6/100</f>
        <v>81.599999999999994</v>
      </c>
      <c r="M25" s="59">
        <f>B25*5/100</f>
        <v>5</v>
      </c>
      <c r="N25" s="59">
        <f>B25*584/100</f>
        <v>584</v>
      </c>
      <c r="O25" s="59">
        <f>B25*72/100</f>
        <v>72</v>
      </c>
      <c r="P25" s="59">
        <f>B25*2.28/100</f>
        <v>2.2799999999999998</v>
      </c>
      <c r="Q25" s="59">
        <f>B25*515/100</f>
        <v>515</v>
      </c>
      <c r="R25" s="59">
        <f>B25*12.6/100</f>
        <v>12.6</v>
      </c>
      <c r="S25" s="59">
        <f>B25*1163/100</f>
        <v>1163</v>
      </c>
      <c r="T25" s="59">
        <f>B25*244/100</f>
        <v>244</v>
      </c>
      <c r="U25" s="59">
        <f>B25*0.21/100</f>
        <v>0.21</v>
      </c>
      <c r="V25" s="59">
        <f>B25*2/100</f>
        <v>2</v>
      </c>
      <c r="W25" s="59" t="s">
        <v>455</v>
      </c>
      <c r="X25" s="59">
        <f>B25*0.76/100</f>
        <v>0.76</v>
      </c>
      <c r="Y25" s="59">
        <f>B25*0.88/100</f>
        <v>0.88</v>
      </c>
      <c r="Z25" s="59">
        <f>B25*1.49/100</f>
        <v>1.49</v>
      </c>
      <c r="AA25" s="59">
        <f>B25*7.46/100</f>
        <v>7.46</v>
      </c>
      <c r="AB25" s="59"/>
      <c r="AC25" s="34"/>
      <c r="AD25" s="33"/>
      <c r="AE25" s="33"/>
      <c r="AF25" s="33"/>
      <c r="AG25" s="33"/>
      <c r="AH25" s="33"/>
      <c r="AI25" s="33"/>
      <c r="AJ25" s="33"/>
      <c r="AK25" s="33"/>
      <c r="AL25" s="33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</row>
    <row r="26" spans="1:67" s="64" customFormat="1">
      <c r="A26" s="46" t="s">
        <v>482</v>
      </c>
      <c r="B26" s="47">
        <v>100</v>
      </c>
      <c r="C26" s="47">
        <f>B26*365/100</f>
        <v>365</v>
      </c>
      <c r="D26" s="47">
        <f>B26*7.2/100</f>
        <v>7.2</v>
      </c>
      <c r="E26" s="47">
        <f>B26*1/100</f>
        <v>1</v>
      </c>
      <c r="F26" s="47"/>
      <c r="G26" s="47"/>
      <c r="H26" s="47"/>
      <c r="I26" s="47"/>
      <c r="J26" s="47"/>
      <c r="K26" s="47" t="s">
        <v>454</v>
      </c>
      <c r="L26" s="47">
        <f>B26*83.8/100</f>
        <v>83.8</v>
      </c>
      <c r="M26" s="47">
        <f>B26*4.1/100</f>
        <v>4.0999999999999996</v>
      </c>
      <c r="N26" s="47">
        <f>B26*143/100</f>
        <v>143</v>
      </c>
      <c r="O26" s="47">
        <f>B26*11/100</f>
        <v>11</v>
      </c>
      <c r="P26" s="47"/>
      <c r="Q26" s="47">
        <f>B26*101/100</f>
        <v>101</v>
      </c>
      <c r="R26" s="47">
        <f>B26*3.1/100</f>
        <v>3.1</v>
      </c>
      <c r="S26" s="47">
        <f>B26*655/100</f>
        <v>655</v>
      </c>
      <c r="T26" s="47">
        <f>B26*83/100</f>
        <v>83</v>
      </c>
      <c r="U26" s="47">
        <f>B26*0.06/100</f>
        <v>0.06</v>
      </c>
      <c r="V26" s="47">
        <f>B26*7.6/100</f>
        <v>7.6</v>
      </c>
      <c r="W26" s="47" t="s">
        <v>454</v>
      </c>
      <c r="X26" s="47">
        <f>B26*0.76/100</f>
        <v>0.76</v>
      </c>
      <c r="Y26" s="47">
        <f>B26*1.02/100</f>
        <v>1.02</v>
      </c>
      <c r="Z26" s="47">
        <f>B26*2.25/100</f>
        <v>2.25</v>
      </c>
      <c r="AA26" s="47">
        <f>B26*11.04/100</f>
        <v>11.04</v>
      </c>
      <c r="AB26" s="47"/>
      <c r="AC26" s="34"/>
      <c r="AD26" s="33"/>
      <c r="AE26" s="33"/>
      <c r="AF26" s="33"/>
      <c r="AG26" s="33"/>
      <c r="AH26" s="33"/>
      <c r="AI26" s="33"/>
      <c r="AJ26" s="33"/>
      <c r="AK26" s="33"/>
      <c r="AL26" s="33"/>
    </row>
    <row r="27" spans="1:67" s="64" customFormat="1">
      <c r="A27" s="46" t="s">
        <v>483</v>
      </c>
      <c r="B27" s="47">
        <v>100</v>
      </c>
      <c r="C27" s="47">
        <f>B27*377/100</f>
        <v>377</v>
      </c>
      <c r="D27" s="47">
        <f>B27*4.7/100</f>
        <v>4.7</v>
      </c>
      <c r="E27" s="47">
        <f>B27*0.7/100</f>
        <v>0.7</v>
      </c>
      <c r="F27" s="47"/>
      <c r="G27" s="47"/>
      <c r="H27" s="47"/>
      <c r="I27" s="47"/>
      <c r="J27" s="47"/>
      <c r="K27" s="47" t="s">
        <v>454</v>
      </c>
      <c r="L27" s="47">
        <f>B27*88.8/100</f>
        <v>88.8</v>
      </c>
      <c r="M27" s="47">
        <f>B27*2.1/100</f>
        <v>2.1</v>
      </c>
      <c r="N27" s="47">
        <f>B27*56/100</f>
        <v>56</v>
      </c>
      <c r="O27" s="47">
        <f>B27*8/100</f>
        <v>8</v>
      </c>
      <c r="P27" s="47"/>
      <c r="Q27" s="47">
        <f>B27*43/100</f>
        <v>43</v>
      </c>
      <c r="R27" s="47">
        <f>B27*3.9/100</f>
        <v>3.9</v>
      </c>
      <c r="S27" s="47">
        <f>B27*405/100</f>
        <v>405</v>
      </c>
      <c r="T27" s="47">
        <f>B27*52/100</f>
        <v>52</v>
      </c>
      <c r="U27" s="47">
        <f>B27*0.04/100</f>
        <v>0.04</v>
      </c>
      <c r="V27" s="47">
        <f>B27*8.5/100</f>
        <v>8.5</v>
      </c>
      <c r="W27" s="47" t="s">
        <v>454</v>
      </c>
      <c r="X27" s="47">
        <f>B27*0.73/100</f>
        <v>0.73</v>
      </c>
      <c r="Y27" s="47">
        <f>B27*1.11/100</f>
        <v>1.1100000000000001</v>
      </c>
      <c r="Z27" s="47">
        <f>B27*0.79/100</f>
        <v>0.79</v>
      </c>
      <c r="AA27" s="47">
        <f>B27*10.13/100</f>
        <v>10.130000000000001</v>
      </c>
      <c r="AB27" s="47"/>
      <c r="AC27" s="34"/>
    </row>
    <row r="28" spans="1:67" s="48" customFormat="1">
      <c r="A28" s="60" t="s">
        <v>581</v>
      </c>
      <c r="B28" s="59">
        <v>100</v>
      </c>
      <c r="C28" s="59">
        <f>B28*386/100</f>
        <v>386</v>
      </c>
      <c r="D28" s="59">
        <f>B28*7/100</f>
        <v>7</v>
      </c>
      <c r="E28" s="59">
        <f>B28*1.2/100</f>
        <v>1.2</v>
      </c>
      <c r="F28" s="59">
        <f>B28*0.4/100</f>
        <v>0.4</v>
      </c>
      <c r="G28" s="59">
        <f>B28*0.3/100</f>
        <v>0.3</v>
      </c>
      <c r="H28" s="59">
        <f>B28*0.4/100</f>
        <v>0.4</v>
      </c>
      <c r="I28" s="59">
        <f>B28*0.43/100</f>
        <v>0.43</v>
      </c>
      <c r="J28" s="59">
        <f>B28*0.01/100</f>
        <v>0.01</v>
      </c>
      <c r="K28" s="59" t="s">
        <v>454</v>
      </c>
      <c r="L28" s="59">
        <f>B28*83.9/100</f>
        <v>83.9</v>
      </c>
      <c r="M28" s="59">
        <f>B28*1.1/100</f>
        <v>1.1000000000000001</v>
      </c>
      <c r="N28" s="59">
        <f>B28*7/100</f>
        <v>7</v>
      </c>
      <c r="O28" s="59">
        <f>B28*51/100</f>
        <v>51</v>
      </c>
      <c r="P28" s="59">
        <f>B28*1.24/100</f>
        <v>1.24</v>
      </c>
      <c r="Q28" s="59">
        <f>B28*153/100</f>
        <v>153</v>
      </c>
      <c r="R28" s="59">
        <f>B28*0.6/100</f>
        <v>0.6</v>
      </c>
      <c r="S28" s="59">
        <f>B28*1/100</f>
        <v>1</v>
      </c>
      <c r="T28" s="59">
        <f>B28*115/100</f>
        <v>115</v>
      </c>
      <c r="U28" s="59">
        <f>B28*0.04/100</f>
        <v>0.04</v>
      </c>
      <c r="V28" s="59">
        <f>B28*1.9/100</f>
        <v>1.9</v>
      </c>
      <c r="W28" s="59" t="s">
        <v>454</v>
      </c>
      <c r="X28" s="59">
        <f>B28*0.22/100</f>
        <v>0.22</v>
      </c>
      <c r="Y28" s="59" t="s">
        <v>455</v>
      </c>
      <c r="Z28" s="59">
        <f>B28*0.05/100</f>
        <v>0.05</v>
      </c>
      <c r="AA28" s="59" t="s">
        <v>455</v>
      </c>
      <c r="AB28" s="59" t="s">
        <v>455</v>
      </c>
      <c r="AC28" s="3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</row>
    <row r="29" spans="1:67" s="48" customFormat="1">
      <c r="A29" s="60" t="s">
        <v>580</v>
      </c>
      <c r="B29" s="59">
        <v>100</v>
      </c>
      <c r="C29" s="59">
        <f>B29*333/100</f>
        <v>333</v>
      </c>
      <c r="D29" s="59">
        <f>B29*4.8/100</f>
        <v>4.8</v>
      </c>
      <c r="E29" s="59">
        <f>B29*1.6/100</f>
        <v>1.6</v>
      </c>
      <c r="F29" s="59">
        <f>B29*0.3/100</f>
        <v>0.3</v>
      </c>
      <c r="G29" s="59">
        <f>B29*0.5/100</f>
        <v>0.5</v>
      </c>
      <c r="H29" s="59">
        <f>B29*0.8/100</f>
        <v>0.8</v>
      </c>
      <c r="I29" s="59">
        <f>B29*0.75/100</f>
        <v>0.75</v>
      </c>
      <c r="J29" s="59">
        <f>B29*0.02/100</f>
        <v>0.02</v>
      </c>
      <c r="K29" s="59" t="s">
        <v>454</v>
      </c>
      <c r="L29" s="59">
        <f>B29*86.1/100</f>
        <v>86.1</v>
      </c>
      <c r="M29" s="59">
        <f>B29*3.7/100</f>
        <v>3.7</v>
      </c>
      <c r="N29" s="59">
        <f>B29*323/100</f>
        <v>323</v>
      </c>
      <c r="O29" s="59">
        <f>B29*30/100</f>
        <v>30</v>
      </c>
      <c r="P29" s="59">
        <f>B29*0.2/100</f>
        <v>0.2</v>
      </c>
      <c r="Q29" s="59">
        <f>B29*303/100</f>
        <v>303</v>
      </c>
      <c r="R29" s="59">
        <f>B29*4.3/100</f>
        <v>4.3</v>
      </c>
      <c r="S29" s="59">
        <f>B29*594/100</f>
        <v>594</v>
      </c>
      <c r="T29" s="59">
        <f>B29*166/100</f>
        <v>166</v>
      </c>
      <c r="U29" s="59">
        <f>B29*0.04/100</f>
        <v>0.04</v>
      </c>
      <c r="V29" s="59">
        <f>B29*0.8/100</f>
        <v>0.8</v>
      </c>
      <c r="W29" s="59" t="s">
        <v>454</v>
      </c>
      <c r="X29" s="59">
        <f>B29*0.74/100</f>
        <v>0.74</v>
      </c>
      <c r="Y29" s="59" t="s">
        <v>455</v>
      </c>
      <c r="Z29" s="59">
        <f>B29*2.05/100</f>
        <v>2.0499999999999998</v>
      </c>
      <c r="AA29" s="59" t="s">
        <v>455</v>
      </c>
      <c r="AB29" s="59">
        <f>B29*96.3/100</f>
        <v>96.3</v>
      </c>
      <c r="AC29" s="3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</row>
    <row r="30" spans="1:67" s="48" customFormat="1">
      <c r="A30" s="60" t="s">
        <v>484</v>
      </c>
      <c r="B30" s="59">
        <v>100</v>
      </c>
      <c r="C30" s="59">
        <f>B30*402/100</f>
        <v>402</v>
      </c>
      <c r="D30" s="59">
        <f>B30*2.2/100</f>
        <v>2.2000000000000002</v>
      </c>
      <c r="E30" s="59">
        <f>B30*13.4/100</f>
        <v>13.4</v>
      </c>
      <c r="F30" s="59">
        <f>B30*3/100</f>
        <v>3</v>
      </c>
      <c r="G30" s="59">
        <f>B30*4.9/100</f>
        <v>4.9000000000000004</v>
      </c>
      <c r="H30" s="59">
        <f>B30*1.4/100</f>
        <v>1.4</v>
      </c>
      <c r="I30" s="59">
        <f>B30*1.38/100</f>
        <v>1.38</v>
      </c>
      <c r="J30" s="59">
        <f>B30*0.03/100</f>
        <v>0.03</v>
      </c>
      <c r="K30" s="59" t="s">
        <v>454</v>
      </c>
      <c r="L30" s="59">
        <f>B30*79.8/100</f>
        <v>79.8</v>
      </c>
      <c r="M30" s="59">
        <f>B30*2.5/100</f>
        <v>2.5</v>
      </c>
      <c r="N30" s="59">
        <f>B30*31/100</f>
        <v>31</v>
      </c>
      <c r="O30" s="59">
        <f>B30*9/100</f>
        <v>9</v>
      </c>
      <c r="P30" s="59">
        <f>B30*0.05/100</f>
        <v>0.05</v>
      </c>
      <c r="Q30" s="59">
        <f>B30*45/100</f>
        <v>45</v>
      </c>
      <c r="R30" s="59">
        <f>B30*0.9/100</f>
        <v>0.9</v>
      </c>
      <c r="S30" s="59">
        <f>B30*223/100</f>
        <v>223</v>
      </c>
      <c r="T30" s="59">
        <f>B30*55/100</f>
        <v>55</v>
      </c>
      <c r="U30" s="59">
        <f>B30*0.03/100</f>
        <v>0.03</v>
      </c>
      <c r="V30" s="59">
        <f>B30*0.2/100</f>
        <v>0.2</v>
      </c>
      <c r="W30" s="59" t="s">
        <v>454</v>
      </c>
      <c r="X30" s="59">
        <f>B30*0.13/100</f>
        <v>0.13</v>
      </c>
      <c r="Y30" s="59" t="s">
        <v>455</v>
      </c>
      <c r="Z30" s="59" t="s">
        <v>455</v>
      </c>
      <c r="AA30" s="59" t="s">
        <v>455</v>
      </c>
      <c r="AB30" s="59" t="s">
        <v>455</v>
      </c>
      <c r="AC30" s="3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</row>
    <row r="31" spans="1:67" s="48" customFormat="1">
      <c r="A31" s="60" t="s">
        <v>485</v>
      </c>
      <c r="B31" s="59">
        <v>100</v>
      </c>
      <c r="C31" s="59">
        <f>B31*363/100</f>
        <v>363</v>
      </c>
      <c r="D31" s="59">
        <f>B31*1.3/100</f>
        <v>1.3</v>
      </c>
      <c r="E31" s="59">
        <f>B31*0.3/100</f>
        <v>0.3</v>
      </c>
      <c r="F31" s="59">
        <f>B31*0.2/100</f>
        <v>0.2</v>
      </c>
      <c r="G31" s="59">
        <f>B31*0.1/100</f>
        <v>0.1</v>
      </c>
      <c r="H31" s="59">
        <f>B31*0.2/100</f>
        <v>0.2</v>
      </c>
      <c r="I31" s="59">
        <f>B31*0.17/100</f>
        <v>0.17</v>
      </c>
      <c r="J31" s="59">
        <f>B31*0.01/100</f>
        <v>0.01</v>
      </c>
      <c r="K31" s="59" t="s">
        <v>454</v>
      </c>
      <c r="L31" s="59">
        <f>B31*85.5/100</f>
        <v>85.5</v>
      </c>
      <c r="M31" s="59">
        <f>B31*0.6/100</f>
        <v>0.6</v>
      </c>
      <c r="N31" s="59">
        <f>B31*1/100</f>
        <v>1</v>
      </c>
      <c r="O31" s="59">
        <f>B31*4/100</f>
        <v>4</v>
      </c>
      <c r="P31" s="59">
        <f>B31*0.04/100</f>
        <v>0.04</v>
      </c>
      <c r="Q31" s="59">
        <f>B31*36/100</f>
        <v>36</v>
      </c>
      <c r="R31" s="59">
        <f>B31*31.4/100</f>
        <v>31.4</v>
      </c>
      <c r="S31" s="59">
        <f>B31*17/100</f>
        <v>17</v>
      </c>
      <c r="T31" s="59">
        <f>B31*13/100</f>
        <v>13</v>
      </c>
      <c r="U31" s="59" t="s">
        <v>455</v>
      </c>
      <c r="V31" s="59">
        <f>B31*8.5/100</f>
        <v>8.5</v>
      </c>
      <c r="W31" s="59" t="s">
        <v>454</v>
      </c>
      <c r="X31" s="59">
        <f>B31*3.23/100</f>
        <v>3.23</v>
      </c>
      <c r="Y31" s="59" t="s">
        <v>455</v>
      </c>
      <c r="Z31" s="59">
        <f>B31*3.47/100</f>
        <v>3.47</v>
      </c>
      <c r="AA31" s="59">
        <f>B31*24.42/100</f>
        <v>24.42</v>
      </c>
      <c r="AB31" s="59">
        <f>B31*173.6/100</f>
        <v>173.6</v>
      </c>
      <c r="AC31" s="3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</row>
    <row r="32" spans="1:67" s="48" customFormat="1">
      <c r="A32" s="60" t="s">
        <v>578</v>
      </c>
      <c r="B32" s="59">
        <v>100</v>
      </c>
      <c r="C32" s="59">
        <f>B32*336/100</f>
        <v>336</v>
      </c>
      <c r="D32" s="59">
        <f>B32*12.5/100</f>
        <v>12.5</v>
      </c>
      <c r="E32" s="59">
        <f>B32*1.8/100</f>
        <v>1.8</v>
      </c>
      <c r="F32" s="59">
        <f>B32*0.3/100</f>
        <v>0.3</v>
      </c>
      <c r="G32" s="59">
        <f>B32*0.3/100</f>
        <v>0.3</v>
      </c>
      <c r="H32" s="59">
        <f>B32*0.8/100</f>
        <v>0.8</v>
      </c>
      <c r="I32" s="59">
        <f>B32*0.73/100</f>
        <v>0.73</v>
      </c>
      <c r="J32" s="59">
        <f>B32*0.06/100</f>
        <v>0.06</v>
      </c>
      <c r="K32" s="59" t="s">
        <v>454</v>
      </c>
      <c r="L32" s="59">
        <f>B32*73.3/100</f>
        <v>73.3</v>
      </c>
      <c r="M32" s="59">
        <f>B32*15.5/100</f>
        <v>15.5</v>
      </c>
      <c r="N32" s="59">
        <f>B32*34/100</f>
        <v>34</v>
      </c>
      <c r="O32" s="59">
        <f>B32*120/100</f>
        <v>120</v>
      </c>
      <c r="P32" s="59">
        <f>B32*3.86/100</f>
        <v>3.86</v>
      </c>
      <c r="Q32" s="59">
        <f>B32*340/100</f>
        <v>340</v>
      </c>
      <c r="R32" s="59">
        <f>B32*4.7/100</f>
        <v>4.7</v>
      </c>
      <c r="S32" s="59">
        <f>B32*41/100</f>
        <v>41</v>
      </c>
      <c r="T32" s="59">
        <f>B32*334/100</f>
        <v>334</v>
      </c>
      <c r="U32" s="59">
        <f>B32*0.56/100</f>
        <v>0.56000000000000005</v>
      </c>
      <c r="V32" s="59">
        <f>B32*2.7/100</f>
        <v>2.7</v>
      </c>
      <c r="W32" s="59" t="s">
        <v>454</v>
      </c>
      <c r="X32" s="59">
        <f>B32*0.29/100</f>
        <v>0.28999999999999998</v>
      </c>
      <c r="Y32" s="59">
        <f>B32*0.03/100</f>
        <v>0.03</v>
      </c>
      <c r="Z32" s="59">
        <f>B32*0.08/100</f>
        <v>0.08</v>
      </c>
      <c r="AA32" s="59" t="s">
        <v>455</v>
      </c>
      <c r="AB32" s="59" t="s">
        <v>455</v>
      </c>
      <c r="AC32" s="3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</row>
    <row r="33" spans="1:44" s="48" customFormat="1">
      <c r="A33" s="60" t="s">
        <v>579</v>
      </c>
      <c r="B33" s="59">
        <v>100</v>
      </c>
      <c r="C33" s="59">
        <f>B33*351/100</f>
        <v>351</v>
      </c>
      <c r="D33" s="59">
        <f>B33*7.2/100</f>
        <v>7.2</v>
      </c>
      <c r="E33" s="59">
        <f>B33*1.5/100</f>
        <v>1.5</v>
      </c>
      <c r="F33" s="59">
        <f>B33*0.4/100</f>
        <v>0.4</v>
      </c>
      <c r="G33" s="59">
        <f>B33*0.4/100</f>
        <v>0.4</v>
      </c>
      <c r="H33" s="59">
        <f>B33*0.6/100</f>
        <v>0.6</v>
      </c>
      <c r="I33" s="59">
        <f>B33*0.63/100</f>
        <v>0.63</v>
      </c>
      <c r="J33" s="59">
        <f>B33*0.02/100</f>
        <v>0.02</v>
      </c>
      <c r="K33" s="59" t="s">
        <v>454</v>
      </c>
      <c r="L33" s="59">
        <f>B33*79.1/100</f>
        <v>79.099999999999994</v>
      </c>
      <c r="M33" s="59">
        <f>B33*5.5/100</f>
        <v>5.5</v>
      </c>
      <c r="N33" s="59">
        <f>B33*1/100</f>
        <v>1</v>
      </c>
      <c r="O33" s="59">
        <f>B33*31/100</f>
        <v>31</v>
      </c>
      <c r="P33" s="59" t="s">
        <v>455</v>
      </c>
      <c r="Q33" s="59">
        <f>B33*84/100</f>
        <v>84</v>
      </c>
      <c r="R33" s="59">
        <f>B33*2.3/100</f>
        <v>2.2999999999999998</v>
      </c>
      <c r="S33" s="59">
        <f>B33*45/100</f>
        <v>45</v>
      </c>
      <c r="T33" s="59">
        <f>B33*58/100</f>
        <v>58</v>
      </c>
      <c r="U33" s="59">
        <f>B33*0.27/100</f>
        <v>0.27</v>
      </c>
      <c r="V33" s="59">
        <f>B33*0.6/100</f>
        <v>0.6</v>
      </c>
      <c r="W33" s="59" t="s">
        <v>454</v>
      </c>
      <c r="X33" s="59">
        <f>B33*0.25/100</f>
        <v>0.25</v>
      </c>
      <c r="Y33" s="59" t="s">
        <v>455</v>
      </c>
      <c r="Z33" s="59">
        <f>B33*0.25/100</f>
        <v>0.25</v>
      </c>
      <c r="AA33" s="59" t="s">
        <v>455</v>
      </c>
      <c r="AB33" s="59" t="s">
        <v>455</v>
      </c>
      <c r="AC33" s="3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</row>
    <row r="34" spans="1:44" s="48" customFormat="1">
      <c r="A34" s="60" t="s">
        <v>486</v>
      </c>
      <c r="B34" s="59">
        <v>100</v>
      </c>
      <c r="C34" s="59">
        <f>B34*371/100</f>
        <v>371</v>
      </c>
      <c r="D34" s="59">
        <f>B34*11.4/100</f>
        <v>11.4</v>
      </c>
      <c r="E34" s="59">
        <f>B34*1.5/100</f>
        <v>1.5</v>
      </c>
      <c r="F34" s="59">
        <f>B34*0.6/100</f>
        <v>0.6</v>
      </c>
      <c r="G34" s="59">
        <f>B34*0.4/100</f>
        <v>0.4</v>
      </c>
      <c r="H34" s="59">
        <f>B34*0.8/100</f>
        <v>0.8</v>
      </c>
      <c r="I34" s="59">
        <f>B34*0.74/100</f>
        <v>0.74</v>
      </c>
      <c r="J34" s="59">
        <f>B34*0.05/100</f>
        <v>0.05</v>
      </c>
      <c r="K34" s="59" t="s">
        <v>454</v>
      </c>
      <c r="L34" s="59">
        <f>B34*75.8/100</f>
        <v>75.8</v>
      </c>
      <c r="M34" s="59">
        <f>B34*4.8/100</f>
        <v>4.8</v>
      </c>
      <c r="N34" s="59">
        <f>B34*35/100</f>
        <v>35</v>
      </c>
      <c r="O34" s="59">
        <f>B34*57/100</f>
        <v>57</v>
      </c>
      <c r="P34" s="59">
        <f>B34*1.62/100</f>
        <v>1.62</v>
      </c>
      <c r="Q34" s="59">
        <f>B34*195/100</f>
        <v>195</v>
      </c>
      <c r="R34" s="59">
        <f>B34*6.7/100</f>
        <v>6.7</v>
      </c>
      <c r="S34" s="59">
        <f>B34*333/100</f>
        <v>333</v>
      </c>
      <c r="T34" s="59">
        <f>B34*212/100</f>
        <v>212</v>
      </c>
      <c r="U34" s="59">
        <f>B34*0.26/100</f>
        <v>0.26</v>
      </c>
      <c r="V34" s="59">
        <f>B34*1.7/100</f>
        <v>1.7</v>
      </c>
      <c r="W34" s="59" t="s">
        <v>454</v>
      </c>
      <c r="X34" s="59">
        <f>B34*0.25/100</f>
        <v>0.25</v>
      </c>
      <c r="Y34" s="59" t="s">
        <v>455</v>
      </c>
      <c r="Z34" s="59">
        <f>B34*0.09/100</f>
        <v>0.09</v>
      </c>
      <c r="AA34" s="59" t="s">
        <v>455</v>
      </c>
      <c r="AB34" s="59" t="s">
        <v>455</v>
      </c>
      <c r="AC34" s="3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</row>
    <row r="35" spans="1:44" s="64" customFormat="1">
      <c r="A35" s="46" t="s">
        <v>487</v>
      </c>
      <c r="B35" s="47">
        <v>100</v>
      </c>
      <c r="C35" s="47">
        <f>B35*360/100</f>
        <v>360</v>
      </c>
      <c r="D35" s="47">
        <f>B35*9.8/100</f>
        <v>9.8000000000000007</v>
      </c>
      <c r="E35" s="47">
        <f>B35*1.4/100</f>
        <v>1.4</v>
      </c>
      <c r="F35" s="47"/>
      <c r="G35" s="47"/>
      <c r="H35" s="47"/>
      <c r="I35" s="47"/>
      <c r="J35" s="47"/>
      <c r="K35" s="47" t="s">
        <v>454</v>
      </c>
      <c r="L35" s="47">
        <f>B35*75.1/100</f>
        <v>75.099999999999994</v>
      </c>
      <c r="M35" s="47">
        <f>B35*2.3/100</f>
        <v>2.2999999999999998</v>
      </c>
      <c r="N35" s="47">
        <f>B35*18/100</f>
        <v>18</v>
      </c>
      <c r="O35" s="47">
        <f>B35*31/100</f>
        <v>31</v>
      </c>
      <c r="P35" s="47"/>
      <c r="Q35" s="47">
        <f>B35*115/100</f>
        <v>115</v>
      </c>
      <c r="R35" s="47">
        <f>B35*1/100</f>
        <v>1</v>
      </c>
      <c r="S35" s="47">
        <f>B35*1/100</f>
        <v>1</v>
      </c>
      <c r="T35" s="47">
        <f>B35*151/100</f>
        <v>151</v>
      </c>
      <c r="U35" s="47">
        <f>B35*0.15/100</f>
        <v>0.15</v>
      </c>
      <c r="V35" s="47">
        <f>B35*0.8/100</f>
        <v>0.8</v>
      </c>
      <c r="W35" s="47" t="s">
        <v>454</v>
      </c>
      <c r="X35" s="47">
        <f>B35*0.31/100</f>
        <v>0.31</v>
      </c>
      <c r="Y35" s="47" t="s">
        <v>455</v>
      </c>
      <c r="Z35" s="47"/>
      <c r="AA35" s="47">
        <f>B35*0.89/100</f>
        <v>0.89</v>
      </c>
      <c r="AB35" s="47"/>
      <c r="AC35" s="34"/>
    </row>
    <row r="36" spans="1:44" s="48" customFormat="1">
      <c r="A36" s="60" t="s">
        <v>488</v>
      </c>
      <c r="B36" s="59">
        <v>100</v>
      </c>
      <c r="C36" s="59">
        <f>B36*415/100</f>
        <v>415</v>
      </c>
      <c r="D36" s="59">
        <f>B36*11.9/100</f>
        <v>11.9</v>
      </c>
      <c r="E36" s="59">
        <f>B36*5.8/100</f>
        <v>5.8</v>
      </c>
      <c r="F36" s="59">
        <f>B36*3.3/100</f>
        <v>3.3</v>
      </c>
      <c r="G36" s="59">
        <f>B36*1.4/100</f>
        <v>1.4</v>
      </c>
      <c r="H36" s="59">
        <f>B36*0.6/100</f>
        <v>0.6</v>
      </c>
      <c r="I36" s="59">
        <f>B36*0.59/100</f>
        <v>0.59</v>
      </c>
      <c r="J36" s="59">
        <f>B36*0.03/100</f>
        <v>0.03</v>
      </c>
      <c r="K36" s="59">
        <f>B36*11/100</f>
        <v>11</v>
      </c>
      <c r="L36" s="59">
        <f>B36*77.8/100</f>
        <v>77.8</v>
      </c>
      <c r="M36" s="59">
        <f>B36*1.9/100</f>
        <v>1.9</v>
      </c>
      <c r="N36" s="59">
        <f>B36*196/100</f>
        <v>196</v>
      </c>
      <c r="O36" s="59">
        <f>B36*58/100</f>
        <v>58</v>
      </c>
      <c r="P36" s="59"/>
      <c r="Q36" s="59">
        <f>B36*296/100</f>
        <v>296</v>
      </c>
      <c r="R36" s="59">
        <f>B36*8.7/100</f>
        <v>8.6999999999999993</v>
      </c>
      <c r="S36" s="59">
        <f>B36*125/100</f>
        <v>125</v>
      </c>
      <c r="T36" s="59">
        <f>B36*366/100</f>
        <v>366</v>
      </c>
      <c r="U36" s="59">
        <f>B36*0.19/100</f>
        <v>0.19</v>
      </c>
      <c r="V36" s="59">
        <f>B36*1.7/100</f>
        <v>1.7</v>
      </c>
      <c r="W36" s="59">
        <f>B36*492/100</f>
        <v>492</v>
      </c>
      <c r="X36" s="59">
        <f>B36*1.43/100</f>
        <v>1.43</v>
      </c>
      <c r="Y36" s="59">
        <f>B36*1.13/100</f>
        <v>1.1299999999999999</v>
      </c>
      <c r="Z36" s="59">
        <f>B36*1.14/100</f>
        <v>1.1399999999999999</v>
      </c>
      <c r="AA36" s="59">
        <f>B36*9.5/100</f>
        <v>9.5</v>
      </c>
      <c r="AB36" s="59"/>
      <c r="AC36" s="3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</row>
    <row r="37" spans="1:44" s="48" customFormat="1">
      <c r="A37" s="60" t="s">
        <v>489</v>
      </c>
      <c r="B37" s="59">
        <v>100</v>
      </c>
      <c r="C37" s="59">
        <f>B37*164/100</f>
        <v>164</v>
      </c>
      <c r="D37" s="59">
        <f>B37*5.8/100</f>
        <v>5.8</v>
      </c>
      <c r="E37" s="59">
        <f>B37*1.2/100</f>
        <v>1.2</v>
      </c>
      <c r="F37" s="59">
        <f>B37*0.6/100</f>
        <v>0.6</v>
      </c>
      <c r="G37" s="59">
        <f>B37*0.4/100</f>
        <v>0.4</v>
      </c>
      <c r="H37" s="59">
        <f>B37*0.1/100</f>
        <v>0.1</v>
      </c>
      <c r="I37" s="59">
        <f>B37*0.1/100</f>
        <v>0.1</v>
      </c>
      <c r="J37" s="59"/>
      <c r="K37" s="59" t="s">
        <v>454</v>
      </c>
      <c r="L37" s="59">
        <f>B37*32.5/100</f>
        <v>32.5</v>
      </c>
      <c r="M37" s="59">
        <f>B37*1.6/100</f>
        <v>1.6</v>
      </c>
      <c r="N37" s="59">
        <f>B37*10/100</f>
        <v>10</v>
      </c>
      <c r="O37" s="59">
        <f>B37*4/100</f>
        <v>4</v>
      </c>
      <c r="P37" s="59">
        <f>B37*0.2/100</f>
        <v>0.2</v>
      </c>
      <c r="Q37" s="59">
        <f>B37*42/100</f>
        <v>42</v>
      </c>
      <c r="R37" s="59">
        <f>B37*1.2/100</f>
        <v>1.2</v>
      </c>
      <c r="S37" s="59">
        <f>B37*207/100</f>
        <v>207</v>
      </c>
      <c r="T37" s="59">
        <f>B37*54/100</f>
        <v>54</v>
      </c>
      <c r="U37" s="59">
        <f>B37*0.07/100</f>
        <v>7.0000000000000007E-2</v>
      </c>
      <c r="V37" s="59">
        <f>B37*0.4/100</f>
        <v>0.4</v>
      </c>
      <c r="W37" s="59" t="s">
        <v>454</v>
      </c>
      <c r="X37" s="59">
        <f>B37*0.04/100</f>
        <v>0.04</v>
      </c>
      <c r="Y37" s="59" t="s">
        <v>455</v>
      </c>
      <c r="Z37" s="59" t="s">
        <v>455</v>
      </c>
      <c r="AA37" s="59">
        <f>B37*3.96/100</f>
        <v>3.96</v>
      </c>
      <c r="AB37" s="59"/>
      <c r="AC37" s="3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</row>
    <row r="38" spans="1:44" s="48" customFormat="1">
      <c r="A38" s="60" t="s">
        <v>598</v>
      </c>
      <c r="B38" s="59">
        <v>100</v>
      </c>
      <c r="C38" s="59">
        <f>B38*220/100</f>
        <v>220</v>
      </c>
      <c r="D38" s="59">
        <f>B38*7/100</f>
        <v>7</v>
      </c>
      <c r="E38" s="59">
        <f>B38*1.3/100</f>
        <v>1.3</v>
      </c>
      <c r="F38" s="59">
        <f>B38*0.5/100</f>
        <v>0.5</v>
      </c>
      <c r="G38" s="59">
        <f>B38*0.4/100</f>
        <v>0.4</v>
      </c>
      <c r="H38" s="59">
        <f>B38*0.4/100</f>
        <v>0.4</v>
      </c>
      <c r="I38" s="59">
        <f>B38*0.38/100</f>
        <v>0.38</v>
      </c>
      <c r="J38" s="59">
        <f>B38*0.01/100</f>
        <v>0.01</v>
      </c>
      <c r="K38" s="59" t="s">
        <v>454</v>
      </c>
      <c r="L38" s="59">
        <f>B38*45.1/100</f>
        <v>45.1</v>
      </c>
      <c r="M38" s="59">
        <f>B38*1.6/100</f>
        <v>1.6</v>
      </c>
      <c r="N38" s="59">
        <f>B38*17/100</f>
        <v>17</v>
      </c>
      <c r="O38" s="59">
        <f>B38*13/100</f>
        <v>13</v>
      </c>
      <c r="P38" s="59">
        <f>B38*0.34/100</f>
        <v>0.34</v>
      </c>
      <c r="Q38" s="59">
        <f>B38*82/100</f>
        <v>82</v>
      </c>
      <c r="R38" s="59">
        <f>B38*1.9/100</f>
        <v>1.9</v>
      </c>
      <c r="S38" s="59">
        <f>B38*667/100</f>
        <v>667</v>
      </c>
      <c r="T38" s="59">
        <f>B38*137/100</f>
        <v>137</v>
      </c>
      <c r="U38" s="59">
        <f>B38*0.1/100</f>
        <v>0.1</v>
      </c>
      <c r="V38" s="59">
        <f>B38*0.8/100</f>
        <v>0.8</v>
      </c>
      <c r="W38" s="59" t="s">
        <v>454</v>
      </c>
      <c r="X38" s="59">
        <f>B38*0.08/100</f>
        <v>0.08</v>
      </c>
      <c r="Y38" s="59" t="s">
        <v>455</v>
      </c>
      <c r="Z38" s="59" t="s">
        <v>455</v>
      </c>
      <c r="AA38" s="59" t="s">
        <v>455</v>
      </c>
      <c r="AB38" s="59"/>
      <c r="AC38" s="3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</row>
    <row r="39" spans="1:44" s="48" customFormat="1">
      <c r="A39" s="46" t="s">
        <v>490</v>
      </c>
      <c r="B39" s="47">
        <v>100</v>
      </c>
      <c r="C39" s="47">
        <f>B39*436/100</f>
        <v>436</v>
      </c>
      <c r="D39" s="47">
        <f>B39*8.8/100</f>
        <v>8.8000000000000007</v>
      </c>
      <c r="E39" s="47">
        <f>B39*17.2/100</f>
        <v>17.2</v>
      </c>
      <c r="F39" s="47"/>
      <c r="G39" s="47"/>
      <c r="H39" s="47"/>
      <c r="I39" s="47"/>
      <c r="J39" s="47"/>
      <c r="K39" s="47" t="s">
        <v>454</v>
      </c>
      <c r="L39" s="47">
        <f>B39*62.4/100</f>
        <v>62.4</v>
      </c>
      <c r="M39" s="47">
        <f>B39*5.6/100</f>
        <v>5.6</v>
      </c>
      <c r="N39" s="47">
        <f>B39*18/100</f>
        <v>18</v>
      </c>
      <c r="O39" s="47">
        <f>B39*19/100</f>
        <v>19</v>
      </c>
      <c r="P39" s="47"/>
      <c r="Q39" s="47">
        <f>B39*112/100</f>
        <v>112</v>
      </c>
      <c r="R39" s="47">
        <f>B39*0.8/100</f>
        <v>0.8</v>
      </c>
      <c r="S39" s="47">
        <f>B39*1516/100</f>
        <v>1516</v>
      </c>
      <c r="T39" s="47">
        <f>B39*148/100</f>
        <v>148</v>
      </c>
      <c r="U39" s="47">
        <f>B39*0.1/100</f>
        <v>0.1</v>
      </c>
      <c r="V39" s="47">
        <f>B39*0.5/100</f>
        <v>0.5</v>
      </c>
      <c r="W39" s="47" t="s">
        <v>454</v>
      </c>
      <c r="X39" s="47">
        <f>B39*1.18/100</f>
        <v>1.18</v>
      </c>
      <c r="Y39" s="47">
        <f>B39*0.04/100</f>
        <v>0.04</v>
      </c>
      <c r="Z39" s="47">
        <f>B39*0.53/100</f>
        <v>0.53</v>
      </c>
      <c r="AA39" s="47">
        <f>B39*9.37/100</f>
        <v>9.3699999999999992</v>
      </c>
      <c r="AB39" s="47"/>
      <c r="AC39" s="3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</row>
    <row r="40" spans="1:44" s="48" customFormat="1">
      <c r="A40" s="46" t="s">
        <v>491</v>
      </c>
      <c r="B40" s="47">
        <v>100</v>
      </c>
      <c r="C40" s="47">
        <f>B40*371/100</f>
        <v>371</v>
      </c>
      <c r="D40" s="47">
        <f>B40*10/100</f>
        <v>10</v>
      </c>
      <c r="E40" s="47">
        <f>B40*1.3/100</f>
        <v>1.3</v>
      </c>
      <c r="F40" s="47"/>
      <c r="G40" s="47"/>
      <c r="H40" s="47"/>
      <c r="I40" s="47"/>
      <c r="J40" s="47"/>
      <c r="K40" s="47" t="s">
        <v>454</v>
      </c>
      <c r="L40" s="47">
        <f>B40*77.9/100</f>
        <v>77.900000000000006</v>
      </c>
      <c r="M40" s="47">
        <f>B40*2.9/100</f>
        <v>2.9</v>
      </c>
      <c r="N40" s="47">
        <f>B40*17/100</f>
        <v>17</v>
      </c>
      <c r="O40" s="47">
        <f>B40*28/100</f>
        <v>28</v>
      </c>
      <c r="P40" s="47"/>
      <c r="Q40" s="47">
        <f>B40*100/100</f>
        <v>100</v>
      </c>
      <c r="R40" s="47">
        <f>B40*0.9/100</f>
        <v>0.9</v>
      </c>
      <c r="S40" s="47">
        <f>B40*7/100</f>
        <v>7</v>
      </c>
      <c r="T40" s="47">
        <f>B40*147/100</f>
        <v>147</v>
      </c>
      <c r="U40" s="47">
        <f>B40*0.15/100</f>
        <v>0.15</v>
      </c>
      <c r="V40" s="47">
        <f>B40*0.8/100</f>
        <v>0.8</v>
      </c>
      <c r="W40" s="47" t="s">
        <v>454</v>
      </c>
      <c r="X40" s="47">
        <f>B40*0.18/100</f>
        <v>0.18</v>
      </c>
      <c r="Y40" s="47">
        <f>B40*0.02/100</f>
        <v>0.02</v>
      </c>
      <c r="Z40" s="47" t="s">
        <v>455</v>
      </c>
      <c r="AA40" s="47">
        <f>B40*3.57/100</f>
        <v>3.57</v>
      </c>
      <c r="AB40" s="47"/>
      <c r="AC40" s="3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</row>
    <row r="41" spans="1:44" s="48" customFormat="1">
      <c r="A41" s="46" t="s">
        <v>492</v>
      </c>
      <c r="B41" s="47">
        <v>100</v>
      </c>
      <c r="C41" s="47">
        <f>B41*371/100</f>
        <v>371</v>
      </c>
      <c r="D41" s="47">
        <f>B41*10.3/100</f>
        <v>10.3</v>
      </c>
      <c r="E41" s="47">
        <f>B41*2/100</f>
        <v>2</v>
      </c>
      <c r="F41" s="47"/>
      <c r="G41" s="47"/>
      <c r="H41" s="47"/>
      <c r="I41" s="47"/>
      <c r="J41" s="47"/>
      <c r="K41" s="47">
        <f>B41*18/100</f>
        <v>18</v>
      </c>
      <c r="L41" s="47">
        <f>B41*76.6/100</f>
        <v>76.599999999999994</v>
      </c>
      <c r="M41" s="47">
        <f>B41*2.3/100</f>
        <v>2.2999999999999998</v>
      </c>
      <c r="N41" s="47">
        <f>B41*19/100</f>
        <v>19</v>
      </c>
      <c r="O41" s="47" t="s">
        <v>455</v>
      </c>
      <c r="P41" s="47"/>
      <c r="Q41" s="47">
        <f>B41*118/100</f>
        <v>118</v>
      </c>
      <c r="R41" s="47">
        <f>B41*0.9/100</f>
        <v>0.9</v>
      </c>
      <c r="S41" s="47">
        <f>B41*15/100</f>
        <v>15</v>
      </c>
      <c r="T41" s="47">
        <f>B41*134/100</f>
        <v>134</v>
      </c>
      <c r="U41" s="47">
        <f>B41*0.14/100</f>
        <v>0.14000000000000001</v>
      </c>
      <c r="V41" s="47">
        <f>B41*0.8/100</f>
        <v>0.8</v>
      </c>
      <c r="W41" s="47" t="s">
        <v>455</v>
      </c>
      <c r="X41" s="47">
        <f>B41*0.11/100</f>
        <v>0.11</v>
      </c>
      <c r="Y41" s="47">
        <f>B41*0.05/100</f>
        <v>0.05</v>
      </c>
      <c r="Z41" s="47">
        <f>B41*0.03/100</f>
        <v>0.03</v>
      </c>
      <c r="AA41" s="47">
        <f>B41*4.37/100</f>
        <v>4.37</v>
      </c>
      <c r="AB41" s="47"/>
      <c r="AC41" s="3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</row>
    <row r="42" spans="1:44" s="48" customFormat="1">
      <c r="A42" s="46" t="s">
        <v>493</v>
      </c>
      <c r="B42" s="47">
        <v>100</v>
      </c>
      <c r="C42" s="47">
        <f>B42*361/100</f>
        <v>361</v>
      </c>
      <c r="D42" s="47">
        <f>B42*0.6/100</f>
        <v>0.6</v>
      </c>
      <c r="E42" s="47" t="s">
        <v>455</v>
      </c>
      <c r="F42" s="47"/>
      <c r="G42" s="47"/>
      <c r="H42" s="47"/>
      <c r="I42" s="47"/>
      <c r="J42" s="47"/>
      <c r="K42" s="47" t="s">
        <v>454</v>
      </c>
      <c r="L42" s="47">
        <f>B42*87.1/100</f>
        <v>87.1</v>
      </c>
      <c r="M42" s="47">
        <f>B42*0.7/100</f>
        <v>0.7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3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</row>
    <row r="43" spans="1:44" s="48" customFormat="1">
      <c r="A43" s="46" t="s">
        <v>494</v>
      </c>
      <c r="B43" s="47">
        <v>100</v>
      </c>
      <c r="C43" s="47">
        <f>B43*353/100</f>
        <v>353</v>
      </c>
      <c r="D43" s="47">
        <f>B43*7.2/100</f>
        <v>7.2</v>
      </c>
      <c r="E43" s="47">
        <f>B43*1.9/100</f>
        <v>1.9</v>
      </c>
      <c r="F43" s="47"/>
      <c r="G43" s="47"/>
      <c r="H43" s="47"/>
      <c r="I43" s="47"/>
      <c r="J43" s="47"/>
      <c r="K43" s="47" t="s">
        <v>454</v>
      </c>
      <c r="L43" s="47">
        <f>B43*78.9/100</f>
        <v>78.900000000000006</v>
      </c>
      <c r="M43" s="47">
        <f>B43*4.7/100</f>
        <v>4.7</v>
      </c>
      <c r="N43" s="47">
        <f>B43*3/100</f>
        <v>3</v>
      </c>
      <c r="O43" s="47">
        <f>B43*41/100</f>
        <v>41</v>
      </c>
      <c r="P43" s="47"/>
      <c r="Q43" s="47">
        <f>B43*108/100</f>
        <v>108</v>
      </c>
      <c r="R43" s="47">
        <f>B43*0.9/100</f>
        <v>0.9</v>
      </c>
      <c r="S43" s="47" t="s">
        <v>455</v>
      </c>
      <c r="T43" s="47">
        <f>B43*168/100</f>
        <v>168</v>
      </c>
      <c r="U43" s="47">
        <f>B43*0.08/100</f>
        <v>0.08</v>
      </c>
      <c r="V43" s="47">
        <f>B43*1.1/100</f>
        <v>1.1000000000000001</v>
      </c>
      <c r="W43" s="47" t="s">
        <v>454</v>
      </c>
      <c r="X43" s="47">
        <f>B43*0.25/100</f>
        <v>0.25</v>
      </c>
      <c r="Y43" s="47" t="s">
        <v>455</v>
      </c>
      <c r="Z43" s="47" t="s">
        <v>455</v>
      </c>
      <c r="AA43" s="47">
        <f>B43*0.75/100</f>
        <v>0.75</v>
      </c>
      <c r="AB43" s="47"/>
      <c r="AC43" s="3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</row>
    <row r="44" spans="1:44" s="48" customFormat="1">
      <c r="A44" s="60" t="s">
        <v>495</v>
      </c>
      <c r="B44" s="59">
        <v>100</v>
      </c>
      <c r="C44" s="59">
        <f>B44*138/100</f>
        <v>138</v>
      </c>
      <c r="D44" s="59">
        <f>B44*6.6/100</f>
        <v>6.6</v>
      </c>
      <c r="E44" s="59">
        <f>B44*0.6/100</f>
        <v>0.6</v>
      </c>
      <c r="F44" s="59">
        <f>B44*0.2/100</f>
        <v>0.2</v>
      </c>
      <c r="G44" s="59">
        <f>B44*0.2/100</f>
        <v>0.2</v>
      </c>
      <c r="H44" s="59">
        <f>B44*0.6/100</f>
        <v>0.6</v>
      </c>
      <c r="I44" s="59">
        <f>B44*0.53/100</f>
        <v>0.53</v>
      </c>
      <c r="J44" s="59">
        <f>B44*0.02/100</f>
        <v>0.02</v>
      </c>
      <c r="K44" s="59" t="s">
        <v>454</v>
      </c>
      <c r="L44" s="59">
        <f>B44*28.6/100</f>
        <v>28.6</v>
      </c>
      <c r="M44" s="59">
        <f>B44*3.9/100</f>
        <v>3.9</v>
      </c>
      <c r="N44" s="59">
        <f>B44*2/100</f>
        <v>2</v>
      </c>
      <c r="O44" s="59">
        <f>B44*33/100</f>
        <v>33</v>
      </c>
      <c r="P44" s="59">
        <f>B44*0.12/100</f>
        <v>0.12</v>
      </c>
      <c r="Q44" s="59">
        <f>B44*113/100</f>
        <v>113</v>
      </c>
      <c r="R44" s="59">
        <f>B44*0.4/100</f>
        <v>0.4</v>
      </c>
      <c r="S44" s="59">
        <f>B44*1/100</f>
        <v>1</v>
      </c>
      <c r="T44" s="59">
        <f>B44*185/100</f>
        <v>185</v>
      </c>
      <c r="U44" s="59">
        <f>B44*0.05/100</f>
        <v>0.05</v>
      </c>
      <c r="V44" s="59">
        <f>B44*0.5/100</f>
        <v>0.5</v>
      </c>
      <c r="W44" s="59" t="s">
        <v>454</v>
      </c>
      <c r="X44" s="59">
        <f>B44*0.3/100</f>
        <v>0.3</v>
      </c>
      <c r="Y44" s="59" t="s">
        <v>455</v>
      </c>
      <c r="Z44" s="59">
        <f>B44*0.04/100</f>
        <v>0.04</v>
      </c>
      <c r="AA44" s="59" t="s">
        <v>455</v>
      </c>
      <c r="AB44" s="59" t="s">
        <v>455</v>
      </c>
      <c r="AC44" s="3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</row>
    <row r="45" spans="1:44" s="48" customFormat="1">
      <c r="A45" s="60" t="s">
        <v>496</v>
      </c>
      <c r="B45" s="59">
        <v>100</v>
      </c>
      <c r="C45" s="59">
        <f>B45*98/100</f>
        <v>98</v>
      </c>
      <c r="D45" s="59">
        <f>B45*3.2/100</f>
        <v>3.2</v>
      </c>
      <c r="E45" s="59">
        <f>B45*2.4/100</f>
        <v>2.4</v>
      </c>
      <c r="F45" s="59">
        <f>B45*0.6/100</f>
        <v>0.6</v>
      </c>
      <c r="G45" s="59">
        <f>B45*0.8/100</f>
        <v>0.8</v>
      </c>
      <c r="H45" s="59">
        <f>B45*0.9/100</f>
        <v>0.9</v>
      </c>
      <c r="I45" s="59">
        <f>B45*0.88/100</f>
        <v>0.88</v>
      </c>
      <c r="J45" s="59">
        <f>B45*0.03/100</f>
        <v>0.03</v>
      </c>
      <c r="K45" s="59" t="s">
        <v>454</v>
      </c>
      <c r="L45" s="59">
        <f>B45*17.1/100</f>
        <v>17.100000000000001</v>
      </c>
      <c r="M45" s="59">
        <f>B45*4.6/100</f>
        <v>4.5999999999999996</v>
      </c>
      <c r="N45" s="59">
        <f>B45*2/100</f>
        <v>2</v>
      </c>
      <c r="O45" s="59">
        <f>B45*20/100</f>
        <v>20</v>
      </c>
      <c r="P45" s="59"/>
      <c r="Q45" s="59">
        <f>B45*61/100</f>
        <v>61</v>
      </c>
      <c r="R45" s="59">
        <f>B45*0.6/100</f>
        <v>0.6</v>
      </c>
      <c r="S45" s="59">
        <f>B45*260/100</f>
        <v>260</v>
      </c>
      <c r="T45" s="59">
        <f>B45*162/100</f>
        <v>162</v>
      </c>
      <c r="U45" s="59">
        <f>B45*0.05/100</f>
        <v>0.05</v>
      </c>
      <c r="V45" s="59">
        <f>B45*0.5/100</f>
        <v>0.5</v>
      </c>
      <c r="W45" s="59" t="s">
        <v>454</v>
      </c>
      <c r="X45" s="59" t="s">
        <v>455</v>
      </c>
      <c r="Y45" s="59">
        <f>B45*0.05/100</f>
        <v>0.05</v>
      </c>
      <c r="Z45" s="59" t="s">
        <v>455</v>
      </c>
      <c r="AA45" s="59">
        <f>B45*3.74/100</f>
        <v>3.74</v>
      </c>
      <c r="AB45" s="59"/>
      <c r="AC45" s="3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</row>
    <row r="46" spans="1:44" s="48" customFormat="1">
      <c r="A46" s="60" t="s">
        <v>583</v>
      </c>
      <c r="B46" s="59">
        <v>100</v>
      </c>
      <c r="C46" s="59">
        <f>B46*373/100</f>
        <v>373</v>
      </c>
      <c r="D46" s="59">
        <f>B46*0.6/100</f>
        <v>0.6</v>
      </c>
      <c r="E46" s="59">
        <f>B46*0.4/100</f>
        <v>0.4</v>
      </c>
      <c r="F46" s="59">
        <f>B46*0.1/100</f>
        <v>0.1</v>
      </c>
      <c r="G46" s="59" t="s">
        <v>455</v>
      </c>
      <c r="H46" s="59">
        <f>B46*0.1/100</f>
        <v>0.1</v>
      </c>
      <c r="I46" s="59">
        <f>B46*0.13/100</f>
        <v>0.13</v>
      </c>
      <c r="J46" s="59">
        <f>B46*0.01/100</f>
        <v>0.01</v>
      </c>
      <c r="K46" s="59" t="s">
        <v>454</v>
      </c>
      <c r="L46" s="59">
        <f>B46*89.3/100</f>
        <v>89.3</v>
      </c>
      <c r="M46" s="59">
        <f>B46*0.9/100</f>
        <v>0.9</v>
      </c>
      <c r="N46" s="59">
        <f>B46*522/100</f>
        <v>522</v>
      </c>
      <c r="O46" s="59">
        <f>B46*4/100</f>
        <v>4</v>
      </c>
      <c r="P46" s="59" t="s">
        <v>455</v>
      </c>
      <c r="Q46" s="59">
        <f>B46*273/100</f>
        <v>273</v>
      </c>
      <c r="R46" s="59">
        <f>B46*42/100</f>
        <v>42</v>
      </c>
      <c r="S46" s="59">
        <f>B46*15/100</f>
        <v>15</v>
      </c>
      <c r="T46" s="59" t="s">
        <v>455</v>
      </c>
      <c r="U46" s="59" t="s">
        <v>455</v>
      </c>
      <c r="V46" s="59">
        <f>B46*15.2/100</f>
        <v>15.2</v>
      </c>
      <c r="W46" s="59">
        <f>B46*1533/100</f>
        <v>1533</v>
      </c>
      <c r="X46" s="59">
        <f>B46*3.41/100</f>
        <v>3.41</v>
      </c>
      <c r="Y46" s="59" t="s">
        <v>455</v>
      </c>
      <c r="Z46" s="59">
        <f>B46*3.11/100</f>
        <v>3.11</v>
      </c>
      <c r="AA46" s="59">
        <f>B46*19.39/100</f>
        <v>19.39</v>
      </c>
      <c r="AB46" s="59" t="s">
        <v>455</v>
      </c>
      <c r="AC46" s="3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</row>
    <row r="47" spans="1:44" s="48" customFormat="1">
      <c r="A47" s="60" t="s">
        <v>497</v>
      </c>
      <c r="B47" s="59">
        <v>100</v>
      </c>
      <c r="C47" s="59">
        <f>B47*171/100</f>
        <v>171</v>
      </c>
      <c r="D47" s="59">
        <f>B47*2.6/100</f>
        <v>2.6</v>
      </c>
      <c r="E47" s="59">
        <f>B47*4.8/100</f>
        <v>4.8</v>
      </c>
      <c r="F47" s="59">
        <f>B47*0.5/100</f>
        <v>0.5</v>
      </c>
      <c r="G47" s="59">
        <f>B47*0.7/100</f>
        <v>0.7</v>
      </c>
      <c r="H47" s="59">
        <f>B47*1.4/100</f>
        <v>1.4</v>
      </c>
      <c r="I47" s="59">
        <f>B47*1.32/100</f>
        <v>1.32</v>
      </c>
      <c r="J47" s="59">
        <f>B47*0.09/100</f>
        <v>0.09</v>
      </c>
      <c r="K47" s="59" t="s">
        <v>454</v>
      </c>
      <c r="L47" s="59">
        <f>B47*30.7/100</f>
        <v>30.7</v>
      </c>
      <c r="M47" s="59">
        <f>B47*2.4/100</f>
        <v>2.4</v>
      </c>
      <c r="N47" s="59">
        <f>B47*4/100</f>
        <v>4</v>
      </c>
      <c r="O47" s="59">
        <f>B47*15/100</f>
        <v>15</v>
      </c>
      <c r="P47" s="59">
        <f>B47*0.12/100</f>
        <v>0.12</v>
      </c>
      <c r="Q47" s="59">
        <f>B47*55/100</f>
        <v>55</v>
      </c>
      <c r="R47" s="59">
        <f>B47*0.4/100</f>
        <v>0.4</v>
      </c>
      <c r="S47" s="59">
        <f>B47*132/100</f>
        <v>132</v>
      </c>
      <c r="T47" s="59">
        <f>B47*125/100</f>
        <v>125</v>
      </c>
      <c r="U47" s="59">
        <f>B47*0.03/100</f>
        <v>0.03</v>
      </c>
      <c r="V47" s="59">
        <f>B47*0.4/100</f>
        <v>0.4</v>
      </c>
      <c r="W47" s="59" t="s">
        <v>454</v>
      </c>
      <c r="X47" s="59" t="s">
        <v>455</v>
      </c>
      <c r="Y47" s="59" t="s">
        <v>455</v>
      </c>
      <c r="Z47" s="59" t="s">
        <v>455</v>
      </c>
      <c r="AA47" s="59" t="s">
        <v>455</v>
      </c>
      <c r="AB47" s="59" t="s">
        <v>455</v>
      </c>
      <c r="AC47" s="3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</row>
    <row r="48" spans="1:44" s="48" customFormat="1">
      <c r="A48" s="60" t="s">
        <v>498</v>
      </c>
      <c r="B48" s="59">
        <v>100</v>
      </c>
      <c r="C48" s="59">
        <f>B48*343/100</f>
        <v>343</v>
      </c>
      <c r="D48" s="59">
        <f>B48*12.4/100</f>
        <v>12.4</v>
      </c>
      <c r="E48" s="59">
        <f>B48*5.7/100</f>
        <v>5.7</v>
      </c>
      <c r="F48" s="59">
        <f>B48*1.1/100</f>
        <v>1.1000000000000001</v>
      </c>
      <c r="G48" s="59">
        <f>B48*1/100</f>
        <v>1</v>
      </c>
      <c r="H48" s="59">
        <f>B48*1.6/100</f>
        <v>1.6</v>
      </c>
      <c r="I48" s="59">
        <f>B48*1.06/100</f>
        <v>1.06</v>
      </c>
      <c r="J48" s="59">
        <f>B48*0.59/100</f>
        <v>0.59</v>
      </c>
      <c r="K48" s="59" t="s">
        <v>455</v>
      </c>
      <c r="L48" s="59">
        <f>B48*59.6/100</f>
        <v>59.6</v>
      </c>
      <c r="M48" s="59">
        <f>B48*6/100</f>
        <v>6</v>
      </c>
      <c r="N48" s="59">
        <f>B48*109/100</f>
        <v>109</v>
      </c>
      <c r="O48" s="59">
        <f>B48*57/100</f>
        <v>57</v>
      </c>
      <c r="P48" s="59">
        <f>B48*1.08/100</f>
        <v>1.08</v>
      </c>
      <c r="Q48" s="59">
        <f>B48*182/100</f>
        <v>182</v>
      </c>
      <c r="R48" s="59">
        <f>B48*4.7/100</f>
        <v>4.7</v>
      </c>
      <c r="S48" s="59">
        <f>B48*606/100</f>
        <v>606</v>
      </c>
      <c r="T48" s="59">
        <f>B48*210/100</f>
        <v>210</v>
      </c>
      <c r="U48" s="59">
        <f>B48*0.14/100</f>
        <v>0.14000000000000001</v>
      </c>
      <c r="V48" s="59">
        <f>B48*1.7/100</f>
        <v>1.7</v>
      </c>
      <c r="W48" s="59" t="s">
        <v>455</v>
      </c>
      <c r="X48" s="59">
        <f>B48*0.09/100</f>
        <v>0.09</v>
      </c>
      <c r="Y48" s="59">
        <f>B48*0.03/100</f>
        <v>0.03</v>
      </c>
      <c r="Z48" s="59">
        <f>B48*0.08/100</f>
        <v>0.08</v>
      </c>
      <c r="AA48" s="59" t="s">
        <v>455</v>
      </c>
      <c r="AB48" s="59" t="s">
        <v>455</v>
      </c>
      <c r="AC48" s="3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</row>
    <row r="49" spans="1:52" s="48" customFormat="1">
      <c r="A49" s="60" t="s">
        <v>499</v>
      </c>
      <c r="B49" s="59">
        <v>100</v>
      </c>
      <c r="C49" s="59">
        <f>B49*309/100</f>
        <v>309</v>
      </c>
      <c r="D49" s="59">
        <f>B49*11.3/100</f>
        <v>11.3</v>
      </c>
      <c r="E49" s="59">
        <f>B49*3.6/100</f>
        <v>3.6</v>
      </c>
      <c r="F49" s="59">
        <f>B49*0.7/100</f>
        <v>0.7</v>
      </c>
      <c r="G49" s="59">
        <f>B49*0.6/100</f>
        <v>0.6</v>
      </c>
      <c r="H49" s="59">
        <f>B49*1.6/100</f>
        <v>1.6</v>
      </c>
      <c r="I49" s="59">
        <f>B49*1.41/100</f>
        <v>1.41</v>
      </c>
      <c r="J49" s="59">
        <f>B49*0.14/100</f>
        <v>0.14000000000000001</v>
      </c>
      <c r="K49" s="59" t="s">
        <v>454</v>
      </c>
      <c r="L49" s="59">
        <f>B49*56.5/100</f>
        <v>56.5</v>
      </c>
      <c r="M49" s="59">
        <f>B49*5.7/100</f>
        <v>5.7</v>
      </c>
      <c r="N49" s="59">
        <f>B49*90/100</f>
        <v>90</v>
      </c>
      <c r="O49" s="59">
        <f>B49*48/100</f>
        <v>48</v>
      </c>
      <c r="P49" s="59">
        <f>B49*0.57/100</f>
        <v>0.56999999999999995</v>
      </c>
      <c r="Q49" s="59">
        <f>B49*153/100</f>
        <v>153</v>
      </c>
      <c r="R49" s="59">
        <f>B49*3.3/100</f>
        <v>3.3</v>
      </c>
      <c r="S49" s="59">
        <f>B49*663/100</f>
        <v>663</v>
      </c>
      <c r="T49" s="59">
        <f>B49*296/100</f>
        <v>296</v>
      </c>
      <c r="U49" s="59">
        <f>B49*0.16/100</f>
        <v>0.16</v>
      </c>
      <c r="V49" s="59">
        <f>B49*1.5/100</f>
        <v>1.5</v>
      </c>
      <c r="W49" s="59" t="s">
        <v>454</v>
      </c>
      <c r="X49" s="59">
        <f>B49*0.07/100</f>
        <v>7.0000000000000007E-2</v>
      </c>
      <c r="Y49" s="59">
        <f>B49*0.04/100</f>
        <v>0.04</v>
      </c>
      <c r="Z49" s="59">
        <f>B49*0.79/100</f>
        <v>0.79</v>
      </c>
      <c r="AA49" s="59" t="s">
        <v>455</v>
      </c>
      <c r="AB49" s="59" t="s">
        <v>455</v>
      </c>
      <c r="AC49" s="3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</row>
    <row r="50" spans="1:52" s="48" customFormat="1">
      <c r="A50" s="60" t="s">
        <v>500</v>
      </c>
      <c r="B50" s="59">
        <v>100</v>
      </c>
      <c r="C50" s="59">
        <f>B50*253/100</f>
        <v>253</v>
      </c>
      <c r="D50" s="59">
        <f>B50*12/100</f>
        <v>12</v>
      </c>
      <c r="E50" s="59">
        <f>B50*2.7/100</f>
        <v>2.7</v>
      </c>
      <c r="F50" s="59">
        <f>B50*0.5/100</f>
        <v>0.5</v>
      </c>
      <c r="G50" s="59">
        <f>B50*0.6/100</f>
        <v>0.6</v>
      </c>
      <c r="H50" s="59">
        <f>B50*0.7/100</f>
        <v>0.7</v>
      </c>
      <c r="I50" s="59">
        <f>B50*0.69/100</f>
        <v>0.69</v>
      </c>
      <c r="J50" s="59">
        <f>B50*0.04/100</f>
        <v>0.04</v>
      </c>
      <c r="K50" s="59" t="s">
        <v>454</v>
      </c>
      <c r="L50" s="59">
        <f>B50*44.1/100</f>
        <v>44.1</v>
      </c>
      <c r="M50" s="59">
        <f>B50*2.5/100</f>
        <v>2.5</v>
      </c>
      <c r="N50" s="59">
        <f>B50*156/100</f>
        <v>156</v>
      </c>
      <c r="O50" s="59">
        <f>B50*24/100</f>
        <v>24</v>
      </c>
      <c r="P50" s="59">
        <f>B50*0.51/100</f>
        <v>0.51</v>
      </c>
      <c r="Q50" s="59">
        <f>B50*105/100</f>
        <v>105</v>
      </c>
      <c r="R50" s="59">
        <f>B50*5.7/100</f>
        <v>5.7</v>
      </c>
      <c r="S50" s="59">
        <f>B50*22/100</f>
        <v>22</v>
      </c>
      <c r="T50" s="59">
        <f>B50*65/100</f>
        <v>65</v>
      </c>
      <c r="U50" s="59">
        <f>B50*0.06/100</f>
        <v>0.06</v>
      </c>
      <c r="V50" s="59">
        <f>B50*1.3/100</f>
        <v>1.3</v>
      </c>
      <c r="W50" s="59" t="s">
        <v>454</v>
      </c>
      <c r="X50" s="59">
        <f>B50*0.04/100</f>
        <v>0.04</v>
      </c>
      <c r="Y50" s="59">
        <f>B50*0.03/100</f>
        <v>0.03</v>
      </c>
      <c r="Z50" s="59" t="s">
        <v>455</v>
      </c>
      <c r="AA50" s="59" t="s">
        <v>455</v>
      </c>
      <c r="AB50" s="59" t="s">
        <v>455</v>
      </c>
      <c r="AC50" s="3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</row>
    <row r="51" spans="1:52" s="48" customFormat="1">
      <c r="A51" s="60" t="s">
        <v>501</v>
      </c>
      <c r="B51" s="59">
        <v>100</v>
      </c>
      <c r="C51" s="59">
        <f>B51*292/100</f>
        <v>292</v>
      </c>
      <c r="D51" s="59">
        <f>B51*8.3/100</f>
        <v>8.3000000000000007</v>
      </c>
      <c r="E51" s="59">
        <f>B51*3.1/100</f>
        <v>3.1</v>
      </c>
      <c r="F51" s="59">
        <f>B51*0.6/100</f>
        <v>0.6</v>
      </c>
      <c r="G51" s="59">
        <f>B51*0.6/100</f>
        <v>0.6</v>
      </c>
      <c r="H51" s="59">
        <f>B51*1/100</f>
        <v>1</v>
      </c>
      <c r="I51" s="59">
        <f>B51*0.98/100</f>
        <v>0.98</v>
      </c>
      <c r="J51" s="59">
        <f>B51*0.03/100</f>
        <v>0.03</v>
      </c>
      <c r="K51" s="59">
        <f>B51*6/100</f>
        <v>6</v>
      </c>
      <c r="L51" s="59">
        <f>B51*56.4/100</f>
        <v>56.4</v>
      </c>
      <c r="M51" s="59">
        <f>B51*4.3/100</f>
        <v>4.3</v>
      </c>
      <c r="N51" s="59">
        <f>B51*78/100</f>
        <v>78</v>
      </c>
      <c r="O51" s="59">
        <f>B51*29/100</f>
        <v>29</v>
      </c>
      <c r="P51" s="59">
        <f>B51*0.37/100</f>
        <v>0.37</v>
      </c>
      <c r="Q51" s="59">
        <f>B51*110/100</f>
        <v>110</v>
      </c>
      <c r="R51" s="59">
        <f>B51*3/100</f>
        <v>3</v>
      </c>
      <c r="S51" s="59">
        <f>B51*507/100</f>
        <v>507</v>
      </c>
      <c r="T51" s="59">
        <f>B51*89/100</f>
        <v>89</v>
      </c>
      <c r="U51" s="59">
        <f>B51*0.1/100</f>
        <v>0.1</v>
      </c>
      <c r="V51" s="59">
        <f>B51*0.8/100</f>
        <v>0.8</v>
      </c>
      <c r="W51" s="59" t="s">
        <v>455</v>
      </c>
      <c r="X51" s="59">
        <f>B51*0.08/100</f>
        <v>0.08</v>
      </c>
      <c r="Y51" s="59" t="s">
        <v>455</v>
      </c>
      <c r="Z51" s="59">
        <f>B51*0.08/100</f>
        <v>0.08</v>
      </c>
      <c r="AA51" s="59" t="s">
        <v>455</v>
      </c>
      <c r="AB51" s="59" t="s">
        <v>455</v>
      </c>
      <c r="AC51" s="3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1:52" s="48" customFormat="1">
      <c r="A52" s="60" t="s">
        <v>502</v>
      </c>
      <c r="B52" s="59">
        <v>100</v>
      </c>
      <c r="C52" s="59">
        <f>B52*253/100</f>
        <v>253</v>
      </c>
      <c r="D52" s="59">
        <f>B52*9.4/100</f>
        <v>9.4</v>
      </c>
      <c r="E52" s="59">
        <f>B52*3.7/100</f>
        <v>3.7</v>
      </c>
      <c r="F52" s="59">
        <f>B52*0.7/100</f>
        <v>0.7</v>
      </c>
      <c r="G52" s="59">
        <f>B52*0.8/100</f>
        <v>0.8</v>
      </c>
      <c r="H52" s="59">
        <f>B52*1.1/100</f>
        <v>1.1000000000000001</v>
      </c>
      <c r="I52" s="59">
        <f>B52*0.98/100</f>
        <v>0.98</v>
      </c>
      <c r="J52" s="59">
        <f>B52*0.08/100</f>
        <v>0.08</v>
      </c>
      <c r="K52" s="59" t="s">
        <v>454</v>
      </c>
      <c r="L52" s="59">
        <f>B52*49.9/100</f>
        <v>49.9</v>
      </c>
      <c r="M52" s="59">
        <f>B52*6.9/100</f>
        <v>6.9</v>
      </c>
      <c r="N52" s="59">
        <f>B52*132/100</f>
        <v>132</v>
      </c>
      <c r="O52" s="59">
        <f>B52*60/100</f>
        <v>60</v>
      </c>
      <c r="P52" s="59">
        <f>B52*1.62/100</f>
        <v>1.62</v>
      </c>
      <c r="Q52" s="59">
        <f>B52*193/100</f>
        <v>193</v>
      </c>
      <c r="R52" s="59">
        <f>B52*3/100</f>
        <v>3</v>
      </c>
      <c r="S52" s="59">
        <f>B52*506/100</f>
        <v>506</v>
      </c>
      <c r="T52" s="59">
        <f>B52*163/100</f>
        <v>163</v>
      </c>
      <c r="U52" s="59">
        <f>B52*0.15/100</f>
        <v>0.15</v>
      </c>
      <c r="V52" s="59">
        <f>B52*1.6/100</f>
        <v>1.6</v>
      </c>
      <c r="W52" s="59" t="s">
        <v>454</v>
      </c>
      <c r="X52" s="59">
        <f>B52*0.08/100</f>
        <v>0.08</v>
      </c>
      <c r="Y52" s="59">
        <f>B52*0.04/100</f>
        <v>0.04</v>
      </c>
      <c r="Z52" s="59">
        <f>B52*0.15/100</f>
        <v>0.15</v>
      </c>
      <c r="AA52" s="59" t="s">
        <v>455</v>
      </c>
      <c r="AB52" s="59" t="s">
        <v>455</v>
      </c>
      <c r="AC52" s="3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1:52" s="48" customFormat="1">
      <c r="A53" s="60" t="s">
        <v>503</v>
      </c>
      <c r="B53" s="59">
        <v>100</v>
      </c>
      <c r="C53" s="59">
        <f>B53*300/100</f>
        <v>300</v>
      </c>
      <c r="D53" s="59">
        <f>B53*8/100</f>
        <v>8</v>
      </c>
      <c r="E53" s="59">
        <f>B53*3.1/100</f>
        <v>3.1</v>
      </c>
      <c r="F53" s="59">
        <f>B53*1/100</f>
        <v>1</v>
      </c>
      <c r="G53" s="59">
        <f>B53*0.9/100</f>
        <v>0.9</v>
      </c>
      <c r="H53" s="59">
        <f>B53*0.7/100</f>
        <v>0.7</v>
      </c>
      <c r="I53" s="59">
        <f>B53*0.7/100</f>
        <v>0.7</v>
      </c>
      <c r="J53" s="59">
        <f>B53*0.04/100</f>
        <v>0.04</v>
      </c>
      <c r="K53" s="59" t="s">
        <v>454</v>
      </c>
      <c r="L53" s="59">
        <f>B53*58.6/100</f>
        <v>58.6</v>
      </c>
      <c r="M53" s="59">
        <f>B53*2.3/100</f>
        <v>2.2999999999999998</v>
      </c>
      <c r="N53" s="59">
        <f>B53*16/100</f>
        <v>16</v>
      </c>
      <c r="O53" s="59">
        <f>B53*25/100</f>
        <v>25</v>
      </c>
      <c r="P53" s="59">
        <f>B53*0.46/100</f>
        <v>0.46</v>
      </c>
      <c r="Q53" s="59">
        <f>B53*95/100</f>
        <v>95</v>
      </c>
      <c r="R53" s="59">
        <f>B53*1/100</f>
        <v>1</v>
      </c>
      <c r="S53" s="59">
        <f>B53*648/100</f>
        <v>648</v>
      </c>
      <c r="T53" s="59">
        <f>B53*142/100</f>
        <v>142</v>
      </c>
      <c r="U53" s="59">
        <f>B53*0.13/100</f>
        <v>0.13</v>
      </c>
      <c r="V53" s="59">
        <f>B53*0.8/100</f>
        <v>0.8</v>
      </c>
      <c r="W53" s="59">
        <f>B53*3/100</f>
        <v>3</v>
      </c>
      <c r="X53" s="59">
        <f>B53*0.39/100</f>
        <v>0.39</v>
      </c>
      <c r="Y53" s="59">
        <f>B53*0.67/100</f>
        <v>0.67</v>
      </c>
      <c r="Z53" s="59">
        <f>B53*0.6/100</f>
        <v>0.6</v>
      </c>
      <c r="AA53" s="59">
        <f>B53*2.34/100</f>
        <v>2.34</v>
      </c>
      <c r="AB53" s="59"/>
      <c r="AC53" s="3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1:52" s="48" customFormat="1">
      <c r="A54" s="60" t="s">
        <v>582</v>
      </c>
      <c r="B54" s="59">
        <v>100</v>
      </c>
      <c r="C54" s="59">
        <f>B54*311/100</f>
        <v>311</v>
      </c>
      <c r="D54" s="59">
        <f>B54*8.4/100</f>
        <v>8.4</v>
      </c>
      <c r="E54" s="59">
        <f>B54*2.8/100</f>
        <v>2.8</v>
      </c>
      <c r="F54" s="59">
        <f>B54*0.8/100</f>
        <v>0.8</v>
      </c>
      <c r="G54" s="59">
        <f>B54*0.7/100</f>
        <v>0.7</v>
      </c>
      <c r="H54" s="59">
        <f>B54*0.7/100</f>
        <v>0.7</v>
      </c>
      <c r="I54" s="59">
        <f>B54*0.68/100</f>
        <v>0.68</v>
      </c>
      <c r="J54" s="59">
        <f>B54*0.04/100</f>
        <v>0.04</v>
      </c>
      <c r="K54" s="59">
        <f>B54*17/100</f>
        <v>17</v>
      </c>
      <c r="L54" s="59">
        <f>B54*61.5/100</f>
        <v>61.5</v>
      </c>
      <c r="M54" s="59">
        <f>B54*2.4/100</f>
        <v>2.4</v>
      </c>
      <c r="N54" s="59">
        <f>B54*52/100</f>
        <v>52</v>
      </c>
      <c r="O54" s="59">
        <f>B54*22/100</f>
        <v>22</v>
      </c>
      <c r="P54" s="59">
        <f>B54*0.31/100</f>
        <v>0.31</v>
      </c>
      <c r="Q54" s="59">
        <f>B54*101/100</f>
        <v>101</v>
      </c>
      <c r="R54" s="59">
        <f>B54*2.3/100</f>
        <v>2.2999999999999998</v>
      </c>
      <c r="S54" s="59">
        <f>B54*431/100</f>
        <v>431</v>
      </c>
      <c r="T54" s="59">
        <f>B54*91/100</f>
        <v>91</v>
      </c>
      <c r="U54" s="59" t="s">
        <v>455</v>
      </c>
      <c r="V54" s="59">
        <f>B54*2.7/100</f>
        <v>2.7</v>
      </c>
      <c r="W54" s="59" t="s">
        <v>455</v>
      </c>
      <c r="X54" s="59">
        <f>B54*0.08/100</f>
        <v>0.08</v>
      </c>
      <c r="Y54" s="59">
        <f>B54*0.04/100</f>
        <v>0.04</v>
      </c>
      <c r="Z54" s="59">
        <f>B54*0.15/100</f>
        <v>0.15</v>
      </c>
      <c r="AA54" s="59" t="s">
        <v>455</v>
      </c>
      <c r="AB54" s="59" t="s">
        <v>455</v>
      </c>
      <c r="AC54" s="3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1:52" s="48" customFormat="1">
      <c r="A55" s="60" t="s">
        <v>504</v>
      </c>
      <c r="B55" s="59">
        <v>100</v>
      </c>
      <c r="C55" s="59">
        <f>B55*310/100</f>
        <v>310</v>
      </c>
      <c r="D55" s="59">
        <f>B55*6.9/100</f>
        <v>6.9</v>
      </c>
      <c r="E55" s="59">
        <f>B55*5.5/100</f>
        <v>5.5</v>
      </c>
      <c r="F55" s="59">
        <f>B55*2.1/100</f>
        <v>2.1</v>
      </c>
      <c r="G55" s="59">
        <f>B55*1.7/100</f>
        <v>1.7</v>
      </c>
      <c r="H55" s="59">
        <f>B55*0.9/100</f>
        <v>0.9</v>
      </c>
      <c r="I55" s="59">
        <f>B55*0.91/100</f>
        <v>0.91</v>
      </c>
      <c r="J55" s="59">
        <f>B55*0.03/100</f>
        <v>0.03</v>
      </c>
      <c r="K55" s="59" t="s">
        <v>454</v>
      </c>
      <c r="L55" s="59">
        <f>B55*57.4/100</f>
        <v>57.4</v>
      </c>
      <c r="M55" s="59">
        <f>B55*1.4/100</f>
        <v>1.4</v>
      </c>
      <c r="N55" s="59">
        <f>B55*13/100</f>
        <v>13</v>
      </c>
      <c r="O55" s="59">
        <f>B55*14/100</f>
        <v>14</v>
      </c>
      <c r="P55" s="59">
        <f>B55*0.38/100</f>
        <v>0.38</v>
      </c>
      <c r="Q55" s="59">
        <f>B55*73/100</f>
        <v>73</v>
      </c>
      <c r="R55" s="59">
        <f>B55*1.1/100</f>
        <v>1.1000000000000001</v>
      </c>
      <c r="S55" s="59">
        <f>B55*1344/100</f>
        <v>1344</v>
      </c>
      <c r="T55" s="59">
        <f>B55*167/100</f>
        <v>167</v>
      </c>
      <c r="U55" s="59">
        <f>B55*0.11/100</f>
        <v>0.11</v>
      </c>
      <c r="V55" s="59">
        <f>B55*0.6/100</f>
        <v>0.6</v>
      </c>
      <c r="W55" s="59" t="s">
        <v>454</v>
      </c>
      <c r="X55" s="59">
        <f>B55*0.15/100</f>
        <v>0.15</v>
      </c>
      <c r="Y55" s="59" t="s">
        <v>455</v>
      </c>
      <c r="Z55" s="59" t="s">
        <v>455</v>
      </c>
      <c r="AA55" s="59" t="s">
        <v>455</v>
      </c>
      <c r="AB55" s="59"/>
      <c r="AC55" s="3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1:52" s="48" customFormat="1">
      <c r="A56" s="60" t="s">
        <v>506</v>
      </c>
      <c r="B56" s="59">
        <v>100</v>
      </c>
      <c r="C56" s="59">
        <f>B56*570/100</f>
        <v>570</v>
      </c>
      <c r="D56" s="59">
        <f>B56*6/100</f>
        <v>6</v>
      </c>
      <c r="E56" s="59">
        <f>B56*40.9/100</f>
        <v>40.9</v>
      </c>
      <c r="F56" s="59">
        <f>B56*6.9/100</f>
        <v>6.9</v>
      </c>
      <c r="G56" s="59">
        <f>B56*10.1/100</f>
        <v>10.1</v>
      </c>
      <c r="H56" s="59">
        <f>B56*21.2/100</f>
        <v>21.2</v>
      </c>
      <c r="I56" s="59">
        <f>B56*19.61/100</f>
        <v>19.61</v>
      </c>
      <c r="J56" s="59">
        <f>B56*1.32/100</f>
        <v>1.32</v>
      </c>
      <c r="K56" s="59" t="s">
        <v>454</v>
      </c>
      <c r="L56" s="59">
        <f>B56*49.3/100</f>
        <v>49.3</v>
      </c>
      <c r="M56" s="59">
        <f>B56*1.3/100</f>
        <v>1.3</v>
      </c>
      <c r="N56" s="59">
        <f>B56*11/100</f>
        <v>11</v>
      </c>
      <c r="O56" s="59">
        <f>B56*13/100</f>
        <v>13</v>
      </c>
      <c r="P56" s="59">
        <f>B56*0.36/100</f>
        <v>0.36</v>
      </c>
      <c r="Q56" s="59">
        <f>B56*62/100</f>
        <v>62</v>
      </c>
      <c r="R56" s="59">
        <f>B56*1.4/100</f>
        <v>1.4</v>
      </c>
      <c r="S56" s="59">
        <f>B56*1175/100</f>
        <v>1175</v>
      </c>
      <c r="T56" s="59">
        <f>B56*143/100</f>
        <v>143</v>
      </c>
      <c r="U56" s="59">
        <f>B56*0.08/100</f>
        <v>0.08</v>
      </c>
      <c r="V56" s="59">
        <f>B56*0.5/100</f>
        <v>0.5</v>
      </c>
      <c r="W56" s="59" t="s">
        <v>454</v>
      </c>
      <c r="X56" s="59">
        <f>B56*0.16/100</f>
        <v>0.16</v>
      </c>
      <c r="Y56" s="59" t="s">
        <v>455</v>
      </c>
      <c r="Z56" s="59" t="s">
        <v>455</v>
      </c>
      <c r="AA56" s="59" t="s">
        <v>455</v>
      </c>
      <c r="AB56" s="59"/>
      <c r="AC56" s="3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1:52" s="48" customFormat="1">
      <c r="A57" s="46" t="s">
        <v>507</v>
      </c>
      <c r="B57" s="47">
        <v>100</v>
      </c>
      <c r="C57" s="47">
        <f>B57*103/100</f>
        <v>103</v>
      </c>
      <c r="D57" s="47">
        <f>B57*2.3/100</f>
        <v>2.2999999999999998</v>
      </c>
      <c r="E57" s="47">
        <f>B57*0.3/100</f>
        <v>0.3</v>
      </c>
      <c r="F57" s="47"/>
      <c r="G57" s="47"/>
      <c r="H57" s="47"/>
      <c r="I57" s="47"/>
      <c r="J57" s="47"/>
      <c r="K57" s="47" t="s">
        <v>454</v>
      </c>
      <c r="L57" s="47">
        <f>B57*23.3/100</f>
        <v>23.3</v>
      </c>
      <c r="M57" s="47">
        <f>B57*2.4/100</f>
        <v>2.4</v>
      </c>
      <c r="N57" s="47">
        <f>B57*1/100</f>
        <v>1</v>
      </c>
      <c r="O57" s="47">
        <f>B57*4/100</f>
        <v>4</v>
      </c>
      <c r="P57" s="47" t="s">
        <v>455</v>
      </c>
      <c r="Q57" s="47">
        <f>B57*17/100</f>
        <v>17</v>
      </c>
      <c r="R57" s="47" t="s">
        <v>455</v>
      </c>
      <c r="S57" s="47">
        <f>B57*442/100</f>
        <v>442</v>
      </c>
      <c r="T57" s="47">
        <f>B57*100/100</f>
        <v>100</v>
      </c>
      <c r="U57" s="47">
        <f>B57*0.04/100</f>
        <v>0.04</v>
      </c>
      <c r="V57" s="47">
        <f>B57*0.1/100</f>
        <v>0.1</v>
      </c>
      <c r="W57" s="47" t="s">
        <v>454</v>
      </c>
      <c r="X57" s="47">
        <f>B57*0.04/100</f>
        <v>0.04</v>
      </c>
      <c r="Y57" s="47" t="s">
        <v>455</v>
      </c>
      <c r="Z57" s="47" t="s">
        <v>455</v>
      </c>
      <c r="AA57" s="47" t="s">
        <v>455</v>
      </c>
      <c r="AB57" s="47" t="s">
        <v>455</v>
      </c>
      <c r="AC57" s="3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1:52" s="48" customFormat="1">
      <c r="A58" s="60" t="s">
        <v>505</v>
      </c>
      <c r="B58" s="59">
        <v>100</v>
      </c>
      <c r="C58" s="59">
        <f>B58*377/100</f>
        <v>377</v>
      </c>
      <c r="D58" s="59">
        <f>B58*10.5/100</f>
        <v>10.5</v>
      </c>
      <c r="E58" s="59">
        <f>B58*3.3/100</f>
        <v>3.3</v>
      </c>
      <c r="F58" s="59">
        <f>B58*0.9/100</f>
        <v>0.9</v>
      </c>
      <c r="G58" s="59">
        <f>B58*0.8/100</f>
        <v>0.8</v>
      </c>
      <c r="H58" s="59">
        <f>B58*1/100</f>
        <v>1</v>
      </c>
      <c r="I58" s="59">
        <f>B58*0.99/100</f>
        <v>0.99</v>
      </c>
      <c r="J58" s="59">
        <f>B58*0.05/100</f>
        <v>0.05</v>
      </c>
      <c r="K58" s="59" t="s">
        <v>454</v>
      </c>
      <c r="L58" s="59">
        <f>B58*74.6/100</f>
        <v>74.599999999999994</v>
      </c>
      <c r="M58" s="59">
        <f>B58*3.4/100</f>
        <v>3.4</v>
      </c>
      <c r="N58" s="59">
        <f>B58*19/100</f>
        <v>19</v>
      </c>
      <c r="O58" s="59">
        <f>B58*32/100</f>
        <v>32</v>
      </c>
      <c r="P58" s="59">
        <f>B58*0.55/100</f>
        <v>0.55000000000000004</v>
      </c>
      <c r="Q58" s="59">
        <f>B58*114/100</f>
        <v>114</v>
      </c>
      <c r="R58" s="59">
        <f>B58*1.2/100</f>
        <v>1.2</v>
      </c>
      <c r="S58" s="59">
        <f>B58*829/100</f>
        <v>829</v>
      </c>
      <c r="T58" s="59">
        <f>B58*189/100</f>
        <v>189</v>
      </c>
      <c r="U58" s="59">
        <f>B58*0.16/100</f>
        <v>0.16</v>
      </c>
      <c r="V58" s="59">
        <f>B58*0.9/100</f>
        <v>0.9</v>
      </c>
      <c r="W58" s="59" t="s">
        <v>454</v>
      </c>
      <c r="X58" s="59">
        <f>B58*0.38/100</f>
        <v>0.38</v>
      </c>
      <c r="Y58" s="59" t="s">
        <v>455</v>
      </c>
      <c r="Z58" s="59" t="s">
        <v>455</v>
      </c>
      <c r="AA58" s="59" t="s">
        <v>455</v>
      </c>
      <c r="AB58" s="59" t="s">
        <v>455</v>
      </c>
      <c r="AC58" s="3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1:52">
      <c r="A59" s="10" t="s">
        <v>508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34"/>
    </row>
    <row r="60" spans="1:52" s="55" customFormat="1">
      <c r="A60" s="71" t="s">
        <v>954</v>
      </c>
      <c r="B60" s="59">
        <v>100</v>
      </c>
      <c r="C60" s="59">
        <f>B60*48/100</f>
        <v>48</v>
      </c>
      <c r="D60" s="59">
        <f>B60*1.4/100</f>
        <v>1.4</v>
      </c>
      <c r="E60" s="59">
        <f>B60*0.7/100</f>
        <v>0.7</v>
      </c>
      <c r="F60" s="59">
        <f>B60*0.1/100</f>
        <v>0.1</v>
      </c>
      <c r="G60" s="59">
        <f>B60*0.2/100</f>
        <v>0.2</v>
      </c>
      <c r="H60" s="59">
        <f>B60*0.2/100</f>
        <v>0.2</v>
      </c>
      <c r="I60" s="59">
        <f>B60*0.15/100</f>
        <v>0.15</v>
      </c>
      <c r="J60" s="59">
        <f>B60*0.08/100</f>
        <v>0.08</v>
      </c>
      <c r="K60" s="59" t="s">
        <v>454</v>
      </c>
      <c r="L60" s="59">
        <f>B60*10.8/100</f>
        <v>10.8</v>
      </c>
      <c r="M60" s="59">
        <f>B60*2.5/100</f>
        <v>2.5</v>
      </c>
      <c r="N60" s="59">
        <f>B60*8/100</f>
        <v>8</v>
      </c>
      <c r="O60" s="59">
        <f>B60*9/100</f>
        <v>9</v>
      </c>
      <c r="P60" s="59">
        <f>B60*0.26/100</f>
        <v>0.26</v>
      </c>
      <c r="Q60" s="59">
        <f>B60*33/100</f>
        <v>33</v>
      </c>
      <c r="R60" s="59">
        <f>B60*0.3/100</f>
        <v>0.3</v>
      </c>
      <c r="S60" s="59">
        <f>B60*1/100</f>
        <v>1</v>
      </c>
      <c r="T60" s="59">
        <f>B60*199/100</f>
        <v>199</v>
      </c>
      <c r="U60" s="59">
        <f>B60*0.06/100</f>
        <v>0.06</v>
      </c>
      <c r="V60" s="59">
        <f>B60*0.3/100</f>
        <v>0.3</v>
      </c>
      <c r="W60" s="59" t="s">
        <v>454</v>
      </c>
      <c r="X60" s="59">
        <f>B60*0.08/100</f>
        <v>0.08</v>
      </c>
      <c r="Y60" s="59" t="s">
        <v>455</v>
      </c>
      <c r="Z60" s="59">
        <f>B60*0.07/100</f>
        <v>7.0000000000000007E-2</v>
      </c>
      <c r="AA60" s="59" t="s">
        <v>455</v>
      </c>
      <c r="AB60" s="59">
        <f>B60*7.5/100</f>
        <v>7.5</v>
      </c>
      <c r="AC60" s="3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</row>
    <row r="61" spans="1:52" s="55" customFormat="1">
      <c r="A61" s="49" t="s">
        <v>955</v>
      </c>
      <c r="B61" s="47">
        <v>100</v>
      </c>
      <c r="C61" s="47">
        <f>B61*39/100</f>
        <v>39</v>
      </c>
      <c r="D61" s="47">
        <f>B61*1.7/100</f>
        <v>1.7</v>
      </c>
      <c r="E61" s="47">
        <f>B61*0.5/100</f>
        <v>0.5</v>
      </c>
      <c r="F61" s="47"/>
      <c r="G61" s="47"/>
      <c r="H61" s="47"/>
      <c r="I61" s="47"/>
      <c r="J61" s="47"/>
      <c r="K61" s="47" t="s">
        <v>454</v>
      </c>
      <c r="L61" s="47">
        <f>B61*8.4/100</f>
        <v>8.4</v>
      </c>
      <c r="M61" s="47">
        <f>B61*2.2/100</f>
        <v>2.2000000000000002</v>
      </c>
      <c r="N61" s="47">
        <f>B61*18/100</f>
        <v>18</v>
      </c>
      <c r="O61" s="47">
        <f>B61*9/100</f>
        <v>9</v>
      </c>
      <c r="P61" s="47">
        <f>B61*0.11/100</f>
        <v>0.11</v>
      </c>
      <c r="Q61" s="47">
        <f>B61*26/100</f>
        <v>26</v>
      </c>
      <c r="R61" s="47">
        <f>B61*0.4/100</f>
        <v>0.4</v>
      </c>
      <c r="S61" s="47" t="s">
        <v>455</v>
      </c>
      <c r="T61" s="47">
        <f>B61*351/100</f>
        <v>351</v>
      </c>
      <c r="U61" s="47">
        <f>B61*0.06/100</f>
        <v>0.06</v>
      </c>
      <c r="V61" s="47">
        <f>B61*0.3/100</f>
        <v>0.3</v>
      </c>
      <c r="W61" s="47" t="s">
        <v>454</v>
      </c>
      <c r="X61" s="47" t="s">
        <v>455</v>
      </c>
      <c r="Y61" s="47" t="s">
        <v>455</v>
      </c>
      <c r="Z61" s="47">
        <f>B61*0.1/100</f>
        <v>0.1</v>
      </c>
      <c r="AA61" s="47" t="s">
        <v>23</v>
      </c>
      <c r="AB61" s="47">
        <f>B61*5.1/100</f>
        <v>5.0999999999999996</v>
      </c>
      <c r="AC61" s="3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</row>
    <row r="62" spans="1:52" s="55" customFormat="1">
      <c r="A62" s="46" t="s">
        <v>509</v>
      </c>
      <c r="B62" s="47">
        <v>100</v>
      </c>
      <c r="C62" s="47">
        <f>B62*14/100</f>
        <v>14</v>
      </c>
      <c r="D62" s="47">
        <f>B62*0.6/100</f>
        <v>0.6</v>
      </c>
      <c r="E62" s="47" t="s">
        <v>455</v>
      </c>
      <c r="F62" s="47"/>
      <c r="G62" s="47"/>
      <c r="H62" s="47"/>
      <c r="I62" s="47"/>
      <c r="J62" s="47"/>
      <c r="K62" s="47" t="s">
        <v>454</v>
      </c>
      <c r="L62" s="47">
        <f>B62*3.3/100</f>
        <v>3.3</v>
      </c>
      <c r="M62" s="47">
        <f>B62*1.2/100</f>
        <v>1.2</v>
      </c>
      <c r="N62" s="47">
        <f>B62*9/100</f>
        <v>9</v>
      </c>
      <c r="O62" s="47">
        <f>B62*4/100</f>
        <v>4</v>
      </c>
      <c r="P62" s="47">
        <f>B62*0.01/100</f>
        <v>0.01</v>
      </c>
      <c r="Q62" s="47">
        <f>B62*12/100</f>
        <v>12</v>
      </c>
      <c r="R62" s="47">
        <f>B62*0.2/100</f>
        <v>0.2</v>
      </c>
      <c r="S62" s="47" t="s">
        <v>455</v>
      </c>
      <c r="T62" s="47">
        <f>B62*165/100</f>
        <v>165</v>
      </c>
      <c r="U62" s="47">
        <f>B62*0.02/100</f>
        <v>0.02</v>
      </c>
      <c r="V62" s="47" t="s">
        <v>455</v>
      </c>
      <c r="W62" s="47" t="s">
        <v>454</v>
      </c>
      <c r="X62" s="47">
        <f>B62*0.07/100</f>
        <v>7.0000000000000007E-2</v>
      </c>
      <c r="Y62" s="47" t="s">
        <v>455</v>
      </c>
      <c r="Z62" s="47">
        <f>B62*0.04/100</f>
        <v>0.04</v>
      </c>
      <c r="AA62" s="47" t="s">
        <v>23</v>
      </c>
      <c r="AB62" s="47">
        <f>B62*1.5/100</f>
        <v>1.5</v>
      </c>
      <c r="AC62" s="3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</row>
    <row r="63" spans="1:52" s="55" customFormat="1">
      <c r="A63" s="46" t="s">
        <v>510</v>
      </c>
      <c r="B63" s="47">
        <v>100</v>
      </c>
      <c r="C63" s="47">
        <f>B63*12/100</f>
        <v>12</v>
      </c>
      <c r="D63" s="47">
        <f>B63*1/100</f>
        <v>1</v>
      </c>
      <c r="E63" s="47">
        <f>B63*0.1/100</f>
        <v>0.1</v>
      </c>
      <c r="F63" s="47"/>
      <c r="G63" s="47"/>
      <c r="H63" s="47"/>
      <c r="I63" s="47"/>
      <c r="J63" s="47"/>
      <c r="K63" s="47" t="s">
        <v>454</v>
      </c>
      <c r="L63" s="47">
        <f>B63*2.7/100</f>
        <v>2.7</v>
      </c>
      <c r="M63" s="47">
        <f>B63*1.7/100</f>
        <v>1.7</v>
      </c>
      <c r="N63" s="47" t="s">
        <v>23</v>
      </c>
      <c r="O63" s="47" t="s">
        <v>23</v>
      </c>
      <c r="P63" s="47">
        <f>B63*0.01/100</f>
        <v>0.01</v>
      </c>
      <c r="Q63" s="47" t="s">
        <v>23</v>
      </c>
      <c r="R63" s="47" t="s">
        <v>23</v>
      </c>
      <c r="S63" s="47" t="s">
        <v>455</v>
      </c>
      <c r="T63" s="47" t="s">
        <v>23</v>
      </c>
      <c r="U63" s="47">
        <f>B63*0.05/100</f>
        <v>0.05</v>
      </c>
      <c r="V63" s="47">
        <f>B63*0.1/100</f>
        <v>0.1</v>
      </c>
      <c r="W63" s="47" t="s">
        <v>454</v>
      </c>
      <c r="X63" s="47" t="s">
        <v>455</v>
      </c>
      <c r="Y63" s="47" t="s">
        <v>455</v>
      </c>
      <c r="Z63" s="47">
        <f>B63*0.06/100</f>
        <v>0.06</v>
      </c>
      <c r="AA63" s="47" t="s">
        <v>23</v>
      </c>
      <c r="AB63" s="47" t="s">
        <v>23</v>
      </c>
      <c r="AC63" s="3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</row>
    <row r="64" spans="1:52" s="55" customFormat="1">
      <c r="A64" s="60" t="s">
        <v>511</v>
      </c>
      <c r="B64" s="59">
        <v>100</v>
      </c>
      <c r="C64" s="59">
        <f>B64*15/100</f>
        <v>15</v>
      </c>
      <c r="D64" s="59">
        <f>B64*1.1/100</f>
        <v>1.1000000000000001</v>
      </c>
      <c r="E64" s="59">
        <f>B64*0.2/100</f>
        <v>0.2</v>
      </c>
      <c r="F64" s="59">
        <f>B64*0.1/100</f>
        <v>0.1</v>
      </c>
      <c r="G64" s="59" t="s">
        <v>455</v>
      </c>
      <c r="H64" s="59">
        <f>B64*0.1/100</f>
        <v>0.1</v>
      </c>
      <c r="I64" s="59">
        <f>B64*0.03/100</f>
        <v>0.03</v>
      </c>
      <c r="J64" s="59">
        <f>B64*0.03/100</f>
        <v>0.03</v>
      </c>
      <c r="K64" s="59" t="s">
        <v>454</v>
      </c>
      <c r="L64" s="59">
        <f>B64*3/100</f>
        <v>3</v>
      </c>
      <c r="M64" s="59">
        <f>B64*1.6/100</f>
        <v>1.6</v>
      </c>
      <c r="N64" s="59">
        <f>B64*17/100</f>
        <v>17</v>
      </c>
      <c r="O64" s="59">
        <f>B64*17/100</f>
        <v>17</v>
      </c>
      <c r="P64" s="59">
        <f>B64*0.11/100</f>
        <v>0.11</v>
      </c>
      <c r="Q64" s="59">
        <f>B64*22/100</f>
        <v>22</v>
      </c>
      <c r="R64" s="59">
        <f>B64*0.2/100</f>
        <v>0.2</v>
      </c>
      <c r="S64" s="59">
        <f>B64*1/100</f>
        <v>1</v>
      </c>
      <c r="T64" s="59">
        <f>B64*126/100</f>
        <v>126</v>
      </c>
      <c r="U64" s="59">
        <f>B64*0.01/100</f>
        <v>0.01</v>
      </c>
      <c r="V64" s="59">
        <f>B64*0.3/100</f>
        <v>0.3</v>
      </c>
      <c r="W64" s="59" t="s">
        <v>454</v>
      </c>
      <c r="X64" s="59">
        <f>B64*0.05/100</f>
        <v>0.05</v>
      </c>
      <c r="Y64" s="59" t="s">
        <v>455</v>
      </c>
      <c r="Z64" s="59">
        <f>B64*0.06/100</f>
        <v>0.06</v>
      </c>
      <c r="AA64" s="59" t="s">
        <v>455</v>
      </c>
      <c r="AB64" s="59">
        <f>B64*2.1/100</f>
        <v>2.1</v>
      </c>
      <c r="AC64" s="3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</row>
    <row r="65" spans="1:52" s="55" customFormat="1">
      <c r="A65" s="46" t="s">
        <v>512</v>
      </c>
      <c r="B65" s="47">
        <v>100</v>
      </c>
      <c r="C65" s="47">
        <f>B65*19/100</f>
        <v>19</v>
      </c>
      <c r="D65" s="47">
        <f>B65*1.1/100</f>
        <v>1.1000000000000001</v>
      </c>
      <c r="E65" s="47">
        <f>B65*0.1/100</f>
        <v>0.1</v>
      </c>
      <c r="F65" s="47"/>
      <c r="G65" s="47"/>
      <c r="H65" s="47"/>
      <c r="I65" s="47"/>
      <c r="J65" s="47"/>
      <c r="K65" s="47" t="s">
        <v>454</v>
      </c>
      <c r="L65" s="47">
        <f>B65*4.3/100</f>
        <v>4.3</v>
      </c>
      <c r="M65" s="47">
        <f>B65*1.4/100</f>
        <v>1.4</v>
      </c>
      <c r="N65" s="47">
        <f>B65*15/100</f>
        <v>15</v>
      </c>
      <c r="O65" s="47">
        <f>B65*20/100</f>
        <v>20</v>
      </c>
      <c r="P65" s="47">
        <f>B65*0.09/100</f>
        <v>0.09</v>
      </c>
      <c r="Q65" s="47">
        <f>B65*32/100</f>
        <v>32</v>
      </c>
      <c r="R65" s="47">
        <f>B65*0.2/100</f>
        <v>0.2</v>
      </c>
      <c r="S65" s="47" t="s">
        <v>455</v>
      </c>
      <c r="T65" s="47">
        <f>B65*253/100</f>
        <v>253</v>
      </c>
      <c r="U65" s="47">
        <f>B65*0.05/100</f>
        <v>0.05</v>
      </c>
      <c r="V65" s="47">
        <f>B65*0.2/100</f>
        <v>0.2</v>
      </c>
      <c r="W65" s="47" t="s">
        <v>454</v>
      </c>
      <c r="X65" s="47" t="s">
        <v>455</v>
      </c>
      <c r="Y65" s="47">
        <f>B65*0.06/100</f>
        <v>0.06</v>
      </c>
      <c r="Z65" s="47">
        <f>B65*0.03/100</f>
        <v>0.03</v>
      </c>
      <c r="AA65" s="47" t="s">
        <v>23</v>
      </c>
      <c r="AB65" s="47" t="s">
        <v>23</v>
      </c>
      <c r="AC65" s="3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</row>
    <row r="66" spans="1:52" s="55" customFormat="1">
      <c r="A66" s="46" t="s">
        <v>513</v>
      </c>
      <c r="B66" s="47">
        <v>100</v>
      </c>
      <c r="C66" s="47">
        <f>B66*31/100</f>
        <v>31</v>
      </c>
      <c r="D66" s="47">
        <f>B66*0.6/100</f>
        <v>0.6</v>
      </c>
      <c r="E66" s="47">
        <f>B66*0.1/100</f>
        <v>0.1</v>
      </c>
      <c r="F66" s="47"/>
      <c r="G66" s="47"/>
      <c r="H66" s="47"/>
      <c r="I66" s="47"/>
      <c r="J66" s="47"/>
      <c r="K66" s="47" t="s">
        <v>454</v>
      </c>
      <c r="L66" s="47">
        <f>B66*7.9/100</f>
        <v>7.9</v>
      </c>
      <c r="M66" s="47">
        <f>B66*2.6/100</f>
        <v>2.6</v>
      </c>
      <c r="N66" s="47">
        <f>B66*19/100</f>
        <v>19</v>
      </c>
      <c r="O66" s="47">
        <f>B66*9/100</f>
        <v>9</v>
      </c>
      <c r="P66" s="47">
        <f>B66*0.11/100</f>
        <v>0.11</v>
      </c>
      <c r="Q66" s="47">
        <f>B66*33/100</f>
        <v>33</v>
      </c>
      <c r="R66" s="47">
        <f>B66*0.2/100</f>
        <v>0.2</v>
      </c>
      <c r="S66" s="47">
        <f>B66*1/100</f>
        <v>1</v>
      </c>
      <c r="T66" s="47">
        <f>B66*213/100</f>
        <v>213</v>
      </c>
      <c r="U66" s="47">
        <f>B66*0.1/100</f>
        <v>0.1</v>
      </c>
      <c r="V66" s="47">
        <f>B66*0.2/100</f>
        <v>0.2</v>
      </c>
      <c r="W66" s="47" t="s">
        <v>454</v>
      </c>
      <c r="X66" s="47" t="s">
        <v>455</v>
      </c>
      <c r="Y66" s="47" t="s">
        <v>455</v>
      </c>
      <c r="Z66" s="47">
        <f>B66*0.03/100</f>
        <v>0.03</v>
      </c>
      <c r="AA66" s="47" t="s">
        <v>455</v>
      </c>
      <c r="AB66" s="47">
        <f>B66*17.5/100</f>
        <v>17.5</v>
      </c>
      <c r="AC66" s="3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</row>
    <row r="67" spans="1:52" s="55" customFormat="1">
      <c r="A67" s="46" t="s">
        <v>514</v>
      </c>
      <c r="B67" s="47">
        <v>100</v>
      </c>
      <c r="C67" s="47">
        <f>B67*24/100</f>
        <v>24</v>
      </c>
      <c r="D67" s="47">
        <f>B67*0.7/100</f>
        <v>0.7</v>
      </c>
      <c r="E67" s="47">
        <f>B67*0.1/100</f>
        <v>0.1</v>
      </c>
      <c r="F67" s="47"/>
      <c r="G67" s="47"/>
      <c r="H67" s="47"/>
      <c r="I67" s="47"/>
      <c r="J67" s="47"/>
      <c r="K67" s="47" t="s">
        <v>454</v>
      </c>
      <c r="L67" s="47">
        <f>B67*6.1/100</f>
        <v>6.1</v>
      </c>
      <c r="M67" s="47">
        <f>B67*2.3/100</f>
        <v>2.2999999999999998</v>
      </c>
      <c r="N67" s="47">
        <f>B67*9/100</f>
        <v>9</v>
      </c>
      <c r="O67" s="47">
        <f>B67*7/100</f>
        <v>7</v>
      </c>
      <c r="P67" s="47">
        <f>B67*0.07/100</f>
        <v>7.0000000000000007E-2</v>
      </c>
      <c r="Q67" s="47">
        <f>B67*32/100</f>
        <v>32</v>
      </c>
      <c r="R67" s="47">
        <f>B67*0.3/100</f>
        <v>0.3</v>
      </c>
      <c r="S67" s="47">
        <f>B67*1/100</f>
        <v>1</v>
      </c>
      <c r="T67" s="47">
        <f>B67*264/100</f>
        <v>264</v>
      </c>
      <c r="U67" s="47">
        <f>B67*0.09/100</f>
        <v>0.09</v>
      </c>
      <c r="V67" s="47">
        <f>B67*0.2/100</f>
        <v>0.2</v>
      </c>
      <c r="W67" s="47" t="s">
        <v>454</v>
      </c>
      <c r="X67" s="47" t="s">
        <v>455</v>
      </c>
      <c r="Y67" s="47" t="s">
        <v>455</v>
      </c>
      <c r="Z67" s="47">
        <f>B67*0.06/100</f>
        <v>0.06</v>
      </c>
      <c r="AA67" s="47" t="s">
        <v>455</v>
      </c>
      <c r="AB67" s="47">
        <f>B67*2.1/100</f>
        <v>2.1</v>
      </c>
      <c r="AC67" s="3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</row>
    <row r="68" spans="1:52" s="55" customFormat="1">
      <c r="A68" s="46" t="s">
        <v>515</v>
      </c>
      <c r="B68" s="47">
        <v>100</v>
      </c>
      <c r="C68" s="47">
        <f>B68*21/100</f>
        <v>21</v>
      </c>
      <c r="D68" s="47">
        <f>B68*1.4/100</f>
        <v>1.4</v>
      </c>
      <c r="E68" s="47">
        <f>B68*0.1/100</f>
        <v>0.1</v>
      </c>
      <c r="F68" s="47"/>
      <c r="G68" s="47"/>
      <c r="H68" s="47"/>
      <c r="I68" s="47"/>
      <c r="J68" s="47"/>
      <c r="K68" s="47" t="s">
        <v>454</v>
      </c>
      <c r="L68" s="47">
        <f>B68*4.6/100</f>
        <v>4.5999999999999996</v>
      </c>
      <c r="M68" s="47">
        <f>B68*1.1/100</f>
        <v>1.1000000000000001</v>
      </c>
      <c r="N68" s="47">
        <f>B68*43/100</f>
        <v>43</v>
      </c>
      <c r="O68" s="47">
        <f>B68*10/100</f>
        <v>10</v>
      </c>
      <c r="P68" s="47">
        <f>B68*0.11/100</f>
        <v>0.11</v>
      </c>
      <c r="Q68" s="47">
        <f>B68*40/100</f>
        <v>40</v>
      </c>
      <c r="R68" s="47">
        <f>B68*0.3/100</f>
        <v>0.3</v>
      </c>
      <c r="S68" s="47">
        <f>B68*1/100</f>
        <v>1</v>
      </c>
      <c r="T68" s="47">
        <f>B68*240/100</f>
        <v>240</v>
      </c>
      <c r="U68" s="47">
        <f>B68*0.1/100</f>
        <v>0.1</v>
      </c>
      <c r="V68" s="47">
        <f>B68*0.3/100</f>
        <v>0.3</v>
      </c>
      <c r="W68" s="47" t="s">
        <v>454</v>
      </c>
      <c r="X68" s="47">
        <f>B68*0.04/100</f>
        <v>0.04</v>
      </c>
      <c r="Y68" s="47" t="s">
        <v>455</v>
      </c>
      <c r="Z68" s="47">
        <f>B68*0.16/100</f>
        <v>0.16</v>
      </c>
      <c r="AA68" s="47" t="s">
        <v>455</v>
      </c>
      <c r="AB68" s="47">
        <f>B68*22.6/100</f>
        <v>22.6</v>
      </c>
      <c r="AC68" s="3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</row>
    <row r="69" spans="1:52" s="55" customFormat="1">
      <c r="A69" s="46" t="s">
        <v>516</v>
      </c>
      <c r="B69" s="47">
        <v>100</v>
      </c>
      <c r="C69" s="47">
        <f>B69*17/100</f>
        <v>17</v>
      </c>
      <c r="D69" s="47">
        <f>B69*2.7/100</f>
        <v>2.7</v>
      </c>
      <c r="E69" s="47">
        <f>B69*0.2/100</f>
        <v>0.2</v>
      </c>
      <c r="F69" s="47"/>
      <c r="G69" s="47"/>
      <c r="H69" s="47"/>
      <c r="I69" s="47"/>
      <c r="J69" s="47"/>
      <c r="K69" s="47" t="s">
        <v>454</v>
      </c>
      <c r="L69" s="47">
        <f>B69*2.3/100</f>
        <v>2.2999999999999998</v>
      </c>
      <c r="M69" s="47">
        <f>B69*2.1/100</f>
        <v>2.1</v>
      </c>
      <c r="N69" s="47">
        <f>B69*133/100</f>
        <v>133</v>
      </c>
      <c r="O69" s="47">
        <f>B69*18/100</f>
        <v>18</v>
      </c>
      <c r="P69" s="47">
        <f>B69*0.28/100</f>
        <v>0.28000000000000003</v>
      </c>
      <c r="Q69" s="47">
        <f>B69*51/100</f>
        <v>51</v>
      </c>
      <c r="R69" s="47">
        <f>B69*3.1/100</f>
        <v>3.1</v>
      </c>
      <c r="S69" s="47" t="s">
        <v>23</v>
      </c>
      <c r="T69" s="47">
        <f>B69*218/100</f>
        <v>218</v>
      </c>
      <c r="U69" s="47">
        <f>B69*0.1/100</f>
        <v>0.1</v>
      </c>
      <c r="V69" s="47">
        <f>B69*0.7/100</f>
        <v>0.7</v>
      </c>
      <c r="W69" s="47" t="s">
        <v>454</v>
      </c>
      <c r="X69" s="47">
        <f>B69*0.11/100</f>
        <v>0.11</v>
      </c>
      <c r="Y69" s="47">
        <f>B69*0.23/100</f>
        <v>0.23</v>
      </c>
      <c r="Z69" s="47">
        <f>B69*0.09/100</f>
        <v>0.09</v>
      </c>
      <c r="AA69" s="47" t="s">
        <v>23</v>
      </c>
      <c r="AB69" s="47" t="s">
        <v>23</v>
      </c>
      <c r="AC69" s="3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</row>
    <row r="70" spans="1:52" s="55" customFormat="1">
      <c r="A70" s="46" t="s">
        <v>517</v>
      </c>
      <c r="B70" s="47">
        <v>100</v>
      </c>
      <c r="C70" s="47">
        <f>B70*19/100</f>
        <v>19</v>
      </c>
      <c r="D70" s="47">
        <f>B70*0.8/100</f>
        <v>0.8</v>
      </c>
      <c r="E70" s="47">
        <f>B70*0.1/100</f>
        <v>0.1</v>
      </c>
      <c r="F70" s="47"/>
      <c r="G70" s="47"/>
      <c r="H70" s="47"/>
      <c r="I70" s="47"/>
      <c r="J70" s="47"/>
      <c r="K70" s="47" t="s">
        <v>454</v>
      </c>
      <c r="L70" s="47">
        <f>B70*4.3/100</f>
        <v>4.3</v>
      </c>
      <c r="M70" s="47">
        <f>B70*1/100</f>
        <v>1</v>
      </c>
      <c r="N70" s="47">
        <f>B70*65/100</f>
        <v>65</v>
      </c>
      <c r="O70" s="47">
        <f>B70*9/100</f>
        <v>9</v>
      </c>
      <c r="P70" s="47">
        <f>B70*0.18/100</f>
        <v>0.18</v>
      </c>
      <c r="Q70" s="47">
        <f>B70*28/100</f>
        <v>28</v>
      </c>
      <c r="R70" s="47">
        <f>B70*0.7/100</f>
        <v>0.7</v>
      </c>
      <c r="S70" s="47">
        <f>B70*10/100</f>
        <v>10</v>
      </c>
      <c r="T70" s="47">
        <f>B70*274/100</f>
        <v>274</v>
      </c>
      <c r="U70" s="47">
        <f>B70*0.31/100</f>
        <v>0.31</v>
      </c>
      <c r="V70" s="47">
        <f>B70*0.1/100</f>
        <v>0.1</v>
      </c>
      <c r="W70" s="47" t="s">
        <v>454</v>
      </c>
      <c r="X70" s="47" t="s">
        <v>455</v>
      </c>
      <c r="Y70" s="47" t="s">
        <v>455</v>
      </c>
      <c r="Z70" s="47">
        <f>B70*0.18/100</f>
        <v>0.18</v>
      </c>
      <c r="AA70" s="47" t="s">
        <v>455</v>
      </c>
      <c r="AB70" s="47">
        <f>B70*5.9/100</f>
        <v>5.9</v>
      </c>
      <c r="AC70" s="3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</row>
    <row r="71" spans="1:52" s="55" customFormat="1">
      <c r="A71" s="46" t="s">
        <v>518</v>
      </c>
      <c r="B71" s="47">
        <v>100</v>
      </c>
      <c r="C71" s="47">
        <f>B71*9/100</f>
        <v>9</v>
      </c>
      <c r="D71" s="47">
        <f>B71*0.6/100</f>
        <v>0.6</v>
      </c>
      <c r="E71" s="47">
        <f>B71*0.1/100</f>
        <v>0.1</v>
      </c>
      <c r="F71" s="47"/>
      <c r="G71" s="47"/>
      <c r="H71" s="47"/>
      <c r="I71" s="47"/>
      <c r="J71" s="47"/>
      <c r="K71" s="47" t="s">
        <v>454</v>
      </c>
      <c r="L71" s="47">
        <f>B71*1.7/100</f>
        <v>1.7</v>
      </c>
      <c r="M71" s="47">
        <f>B71*1/100</f>
        <v>1</v>
      </c>
      <c r="N71" s="47">
        <f>B71*14/100</f>
        <v>14</v>
      </c>
      <c r="O71" s="47">
        <f>B71*6/100</f>
        <v>6</v>
      </c>
      <c r="P71" s="47">
        <f>B71*0.12/100</f>
        <v>0.12</v>
      </c>
      <c r="Q71" s="47">
        <f>B71*19/100</f>
        <v>19</v>
      </c>
      <c r="R71" s="47">
        <f>B71*0.3/100</f>
        <v>0.3</v>
      </c>
      <c r="S71" s="47">
        <f>B71*7/100</f>
        <v>7</v>
      </c>
      <c r="T71" s="47">
        <f>B71*136/100</f>
        <v>136</v>
      </c>
      <c r="U71" s="47">
        <f>B71*0.02/100</f>
        <v>0.02</v>
      </c>
      <c r="V71" s="47">
        <f>B71*0.2/100</f>
        <v>0.2</v>
      </c>
      <c r="W71" s="47" t="s">
        <v>454</v>
      </c>
      <c r="X71" s="47">
        <f>B71*0.03/100</f>
        <v>0.03</v>
      </c>
      <c r="Y71" s="47" t="s">
        <v>455</v>
      </c>
      <c r="Z71" s="47">
        <f>B71*0.04/100</f>
        <v>0.04</v>
      </c>
      <c r="AA71" s="47" t="s">
        <v>455</v>
      </c>
      <c r="AB71" s="47">
        <f>B71*11/100</f>
        <v>11</v>
      </c>
      <c r="AC71" s="3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</row>
    <row r="72" spans="1:52" s="55" customFormat="1">
      <c r="A72" s="46" t="s">
        <v>519</v>
      </c>
      <c r="B72" s="47">
        <v>100</v>
      </c>
      <c r="C72" s="47">
        <f>B72*11/100</f>
        <v>11</v>
      </c>
      <c r="D72" s="47">
        <f>B72*1.3/100</f>
        <v>1.3</v>
      </c>
      <c r="E72" s="47">
        <f>B72*0.2/100</f>
        <v>0.2</v>
      </c>
      <c r="F72" s="47"/>
      <c r="G72" s="47"/>
      <c r="H72" s="47"/>
      <c r="I72" s="47"/>
      <c r="J72" s="47"/>
      <c r="K72" s="47" t="s">
        <v>454</v>
      </c>
      <c r="L72" s="47">
        <f>B72*1.7/100</f>
        <v>1.7</v>
      </c>
      <c r="M72" s="47">
        <f>B72*1.8/100</f>
        <v>1.8</v>
      </c>
      <c r="N72" s="47">
        <f>B72*38/100</f>
        <v>38</v>
      </c>
      <c r="O72" s="47">
        <f>B72*11/100</f>
        <v>11</v>
      </c>
      <c r="P72" s="47">
        <f>B72*0.2/100</f>
        <v>0.2</v>
      </c>
      <c r="Q72" s="47">
        <f>B72*26/100</f>
        <v>26</v>
      </c>
      <c r="R72" s="47">
        <f>B72*0.4/100</f>
        <v>0.4</v>
      </c>
      <c r="S72" s="47">
        <f>B72*3/100</f>
        <v>3</v>
      </c>
      <c r="T72" s="47">
        <f>B72*267/100</f>
        <v>267</v>
      </c>
      <c r="U72" s="47">
        <f>B72*0.03/100</f>
        <v>0.03</v>
      </c>
      <c r="V72" s="47">
        <f>B72*0.3/100</f>
        <v>0.3</v>
      </c>
      <c r="W72" s="47" t="s">
        <v>454</v>
      </c>
      <c r="X72" s="47">
        <f>B72*0.11/100</f>
        <v>0.11</v>
      </c>
      <c r="Y72" s="47">
        <f>B72*0.12/100</f>
        <v>0.12</v>
      </c>
      <c r="Z72" s="47" t="s">
        <v>455</v>
      </c>
      <c r="AA72" s="47" t="s">
        <v>23</v>
      </c>
      <c r="AB72" s="47" t="s">
        <v>23</v>
      </c>
      <c r="AC72" s="3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</row>
    <row r="73" spans="1:52" s="55" customFormat="1">
      <c r="A73" s="46" t="s">
        <v>520</v>
      </c>
      <c r="B73" s="47">
        <v>100</v>
      </c>
      <c r="C73" s="47">
        <f>B73*14/100</f>
        <v>14</v>
      </c>
      <c r="D73" s="47">
        <f>B73*1.7/100</f>
        <v>1.7</v>
      </c>
      <c r="E73" s="47">
        <f>B73*0.1/100</f>
        <v>0.1</v>
      </c>
      <c r="F73" s="47"/>
      <c r="G73" s="47"/>
      <c r="H73" s="47"/>
      <c r="I73" s="47"/>
      <c r="J73" s="47"/>
      <c r="K73" s="47" t="s">
        <v>454</v>
      </c>
      <c r="L73" s="47">
        <f>B73*2.4/100</f>
        <v>2.4</v>
      </c>
      <c r="M73" s="47">
        <f>B73*2.3/100</f>
        <v>2.2999999999999998</v>
      </c>
      <c r="N73" s="47">
        <f>B73*28/100</f>
        <v>28</v>
      </c>
      <c r="O73" s="47">
        <f>B73*9/100</f>
        <v>9</v>
      </c>
      <c r="P73" s="47" t="s">
        <v>23</v>
      </c>
      <c r="Q73" s="47">
        <f>B73*26/100</f>
        <v>26</v>
      </c>
      <c r="R73" s="47">
        <f>B73*0.6/100</f>
        <v>0.6</v>
      </c>
      <c r="S73" s="47">
        <f>B73*4/100</f>
        <v>4</v>
      </c>
      <c r="T73" s="47">
        <f>B73*349/100</f>
        <v>349</v>
      </c>
      <c r="U73" s="47">
        <f>B73*0.03/100</f>
        <v>0.03</v>
      </c>
      <c r="V73" s="47">
        <f>B73*0.3/100</f>
        <v>0.3</v>
      </c>
      <c r="W73" s="47" t="s">
        <v>454</v>
      </c>
      <c r="X73" s="47">
        <f>B73*0.09/100</f>
        <v>0.09</v>
      </c>
      <c r="Y73" s="47">
        <f>B73*0.08/100</f>
        <v>0.08</v>
      </c>
      <c r="Z73" s="47">
        <f>B73*0.07/100</f>
        <v>7.0000000000000007E-2</v>
      </c>
      <c r="AA73" s="47" t="s">
        <v>23</v>
      </c>
      <c r="AB73" s="47" t="s">
        <v>23</v>
      </c>
      <c r="AC73" s="3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</row>
    <row r="74" spans="1:52" s="55" customFormat="1">
      <c r="A74" s="60" t="s">
        <v>521</v>
      </c>
      <c r="B74" s="59">
        <v>100</v>
      </c>
      <c r="C74" s="59">
        <f>B74*29/100</f>
        <v>29</v>
      </c>
      <c r="D74" s="59">
        <f>B74*2.7/100</f>
        <v>2.7</v>
      </c>
      <c r="E74" s="59">
        <f>B74*0.5/100</f>
        <v>0.5</v>
      </c>
      <c r="F74" s="59">
        <f>B74*0.1/100</f>
        <v>0.1</v>
      </c>
      <c r="G74" s="59" t="s">
        <v>455</v>
      </c>
      <c r="H74" s="59">
        <f>B74*0.2/100</f>
        <v>0.2</v>
      </c>
      <c r="I74" s="59">
        <f>B74*0.04/100</f>
        <v>0.04</v>
      </c>
      <c r="J74" s="59">
        <f>B74*0.16/100</f>
        <v>0.16</v>
      </c>
      <c r="K74" s="59" t="s">
        <v>454</v>
      </c>
      <c r="L74" s="59">
        <f>B74*5.2/100</f>
        <v>5.2</v>
      </c>
      <c r="M74" s="59">
        <f>B74*4.1/100</f>
        <v>4.0999999999999996</v>
      </c>
      <c r="N74" s="59">
        <f>B74*258/100</f>
        <v>258</v>
      </c>
      <c r="O74" s="59">
        <f>B74*84/100</f>
        <v>84</v>
      </c>
      <c r="P74" s="59">
        <f>B74*0.15/100</f>
        <v>0.15</v>
      </c>
      <c r="Q74" s="59">
        <f>B74*50/100</f>
        <v>50</v>
      </c>
      <c r="R74" s="59">
        <f>B74*1.3/100</f>
        <v>1.3</v>
      </c>
      <c r="S74" s="59">
        <f>B74*5/100</f>
        <v>5</v>
      </c>
      <c r="T74" s="59">
        <f>B74*261/100</f>
        <v>261</v>
      </c>
      <c r="U74" s="59">
        <f>B74*0.15/100</f>
        <v>0.15</v>
      </c>
      <c r="V74" s="59">
        <f>B74*0.7/100</f>
        <v>0.7</v>
      </c>
      <c r="W74" s="59" t="s">
        <v>454</v>
      </c>
      <c r="X74" s="59" t="s">
        <v>455</v>
      </c>
      <c r="Y74" s="59">
        <f>B74*0.12/100</f>
        <v>0.12</v>
      </c>
      <c r="Z74" s="59">
        <f>B74*0.56/100</f>
        <v>0.56000000000000005</v>
      </c>
      <c r="AA74" s="59" t="s">
        <v>455</v>
      </c>
      <c r="AB74" s="59" t="s">
        <v>455</v>
      </c>
      <c r="AC74" s="3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</row>
    <row r="75" spans="1:52" s="55" customFormat="1">
      <c r="A75" s="46" t="s">
        <v>522</v>
      </c>
      <c r="B75" s="47">
        <v>100</v>
      </c>
      <c r="C75" s="47">
        <f>B75*113/100</f>
        <v>113</v>
      </c>
      <c r="D75" s="47">
        <f>B75*7/100</f>
        <v>7</v>
      </c>
      <c r="E75" s="47">
        <f>B75*0.2/100</f>
        <v>0.2</v>
      </c>
      <c r="F75" s="47"/>
      <c r="G75" s="47"/>
      <c r="H75" s="47"/>
      <c r="I75" s="47"/>
      <c r="J75" s="47"/>
      <c r="K75" s="47" t="s">
        <v>454</v>
      </c>
      <c r="L75" s="47">
        <f>B75*23.9/100</f>
        <v>23.9</v>
      </c>
      <c r="M75" s="47">
        <f>B75*4.3/100</f>
        <v>4.3</v>
      </c>
      <c r="N75" s="47">
        <f>B75*14/100</f>
        <v>14</v>
      </c>
      <c r="O75" s="47">
        <f>B75*21/100</f>
        <v>21</v>
      </c>
      <c r="P75" s="47">
        <f>B75*0.24/100</f>
        <v>0.24</v>
      </c>
      <c r="Q75" s="47">
        <f>B75*149/100</f>
        <v>149</v>
      </c>
      <c r="R75" s="47">
        <f>B75*0.8/100</f>
        <v>0.8</v>
      </c>
      <c r="S75" s="47">
        <f>B75*5/100</f>
        <v>5</v>
      </c>
      <c r="T75" s="47">
        <f>B75*535/100</f>
        <v>535</v>
      </c>
      <c r="U75" s="47">
        <f>B75*0.15/100</f>
        <v>0.15</v>
      </c>
      <c r="V75" s="47">
        <f>B75*0.8/100</f>
        <v>0.8</v>
      </c>
      <c r="W75" s="47" t="s">
        <v>454</v>
      </c>
      <c r="X75" s="47">
        <f>B75*0.18/100</f>
        <v>0.18</v>
      </c>
      <c r="Y75" s="47" t="s">
        <v>455</v>
      </c>
      <c r="Z75" s="47">
        <f>B75*0.44/100</f>
        <v>0.44</v>
      </c>
      <c r="AA75" s="47" t="s">
        <v>23</v>
      </c>
      <c r="AB75" s="47" t="s">
        <v>23</v>
      </c>
      <c r="AC75" s="3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</row>
    <row r="76" spans="1:52" s="55" customFormat="1">
      <c r="A76" s="46" t="s">
        <v>523</v>
      </c>
      <c r="B76" s="47">
        <v>100</v>
      </c>
      <c r="C76" s="47">
        <f>B76*18/100</f>
        <v>18</v>
      </c>
      <c r="D76" s="47">
        <f>B76*1.8/100</f>
        <v>1.8</v>
      </c>
      <c r="E76" s="47">
        <f>B76*0.2/100</f>
        <v>0.2</v>
      </c>
      <c r="F76" s="47"/>
      <c r="G76" s="47"/>
      <c r="H76" s="47"/>
      <c r="I76" s="47"/>
      <c r="J76" s="47"/>
      <c r="K76" s="47" t="s">
        <v>454</v>
      </c>
      <c r="L76" s="47">
        <f>B76*3.3/100</f>
        <v>3.3</v>
      </c>
      <c r="M76" s="47">
        <f>B76*2.6/100</f>
        <v>2.6</v>
      </c>
      <c r="N76" s="47" t="s">
        <v>23</v>
      </c>
      <c r="O76" s="47">
        <f>B76*21/100</f>
        <v>21</v>
      </c>
      <c r="P76" s="47">
        <f>B76*0.17/100</f>
        <v>0.17</v>
      </c>
      <c r="Q76" s="47">
        <f>B76*40/100</f>
        <v>40</v>
      </c>
      <c r="R76" s="47">
        <f>B76*0.7/100</f>
        <v>0.7</v>
      </c>
      <c r="S76" s="47" t="s">
        <v>23</v>
      </c>
      <c r="T76" s="47">
        <f>B76*369/100</f>
        <v>369</v>
      </c>
      <c r="U76" s="47">
        <f>B76*0.1/100</f>
        <v>0.1</v>
      </c>
      <c r="V76" s="47">
        <f>B76*0.3/100</f>
        <v>0.3</v>
      </c>
      <c r="W76" s="47" t="s">
        <v>454</v>
      </c>
      <c r="X76" s="47">
        <f>B76*0.1/100</f>
        <v>0.1</v>
      </c>
      <c r="Y76" s="47">
        <f>B76*0.18/100</f>
        <v>0.18</v>
      </c>
      <c r="Z76" s="47" t="s">
        <v>455</v>
      </c>
      <c r="AA76" s="47" t="s">
        <v>23</v>
      </c>
      <c r="AB76" s="47" t="s">
        <v>23</v>
      </c>
      <c r="AC76" s="3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</row>
    <row r="77" spans="1:52" s="55" customFormat="1">
      <c r="A77" s="60" t="s">
        <v>524</v>
      </c>
      <c r="B77" s="59">
        <v>100</v>
      </c>
      <c r="C77" s="59">
        <f>B77*65/100</f>
        <v>65</v>
      </c>
      <c r="D77" s="59">
        <f>B77*1.7/100</f>
        <v>1.7</v>
      </c>
      <c r="E77" s="59">
        <f>B77*4.8/100</f>
        <v>4.8</v>
      </c>
      <c r="F77" s="59">
        <f>B77*0.8/100</f>
        <v>0.8</v>
      </c>
      <c r="G77" s="59">
        <f>B77*1.1/100</f>
        <v>1.1000000000000001</v>
      </c>
      <c r="H77" s="59">
        <f>B77*2.6/100</f>
        <v>2.6</v>
      </c>
      <c r="I77" s="59">
        <f>B77*2.3/100</f>
        <v>2.2999999999999998</v>
      </c>
      <c r="J77" s="59">
        <f>B77*0.35/100</f>
        <v>0.35</v>
      </c>
      <c r="K77" s="59" t="s">
        <v>454</v>
      </c>
      <c r="L77" s="59">
        <f>B77*5.7/100</f>
        <v>5.7</v>
      </c>
      <c r="M77" s="59">
        <f>B77*3.4/100</f>
        <v>3.4</v>
      </c>
      <c r="N77" s="59">
        <f>B77*63/100</f>
        <v>63</v>
      </c>
      <c r="O77" s="59">
        <f>B77*17/100</f>
        <v>17</v>
      </c>
      <c r="P77" s="59">
        <f>B77*0.28/100</f>
        <v>0.28000000000000003</v>
      </c>
      <c r="Q77" s="59">
        <f>B77*31/100</f>
        <v>31</v>
      </c>
      <c r="R77" s="59">
        <f>B77*1.6/100</f>
        <v>1.6</v>
      </c>
      <c r="S77" s="59">
        <f>B77*15/100</f>
        <v>15</v>
      </c>
      <c r="T77" s="59">
        <f>B77*315/100</f>
        <v>315</v>
      </c>
      <c r="U77" s="59">
        <f>B77*0.06/100</f>
        <v>0.06</v>
      </c>
      <c r="V77" s="59">
        <f>B77*0.2/100</f>
        <v>0.2</v>
      </c>
      <c r="W77" s="59" t="s">
        <v>454</v>
      </c>
      <c r="X77" s="59">
        <f>B77*0.03/100</f>
        <v>0.03</v>
      </c>
      <c r="Y77" s="59">
        <f>B77*0.06/100</f>
        <v>0.06</v>
      </c>
      <c r="Z77" s="59">
        <f>B77*0.05/100</f>
        <v>0.05</v>
      </c>
      <c r="AA77" s="59">
        <f>B77*4.03/100</f>
        <v>4.03</v>
      </c>
      <c r="AB77" s="59">
        <f>B77*1.5/100</f>
        <v>1.5</v>
      </c>
      <c r="AC77" s="3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</row>
    <row r="78" spans="1:52" s="55" customFormat="1">
      <c r="A78" s="46" t="s">
        <v>525</v>
      </c>
      <c r="B78" s="47">
        <v>100</v>
      </c>
      <c r="C78" s="47">
        <f>B78*80/100</f>
        <v>80</v>
      </c>
      <c r="D78" s="47">
        <f>B78*0.9/100</f>
        <v>0.9</v>
      </c>
      <c r="E78" s="47">
        <f>B78*0.2/100</f>
        <v>0.2</v>
      </c>
      <c r="F78" s="47"/>
      <c r="G78" s="47"/>
      <c r="H78" s="47"/>
      <c r="I78" s="47"/>
      <c r="J78" s="47"/>
      <c r="K78" s="47" t="s">
        <v>454</v>
      </c>
      <c r="L78" s="47">
        <f>B78*18.9/100</f>
        <v>18.899999999999999</v>
      </c>
      <c r="M78" s="47">
        <f>B78*1.8/100</f>
        <v>1.8</v>
      </c>
      <c r="N78" s="47">
        <f>B78*12/100</f>
        <v>12</v>
      </c>
      <c r="O78" s="47">
        <f>B78*8/100</f>
        <v>8</v>
      </c>
      <c r="P78" s="47">
        <f>B78*0.22/100</f>
        <v>0.22</v>
      </c>
      <c r="Q78" s="47">
        <f>B78*29/100</f>
        <v>29</v>
      </c>
      <c r="R78" s="47">
        <f>B78*0.4/100</f>
        <v>0.4</v>
      </c>
      <c r="S78" s="47">
        <f>B78*2/100</f>
        <v>2</v>
      </c>
      <c r="T78" s="47">
        <f>B78*258/100</f>
        <v>258</v>
      </c>
      <c r="U78" s="47">
        <f>B78*0.15/100</f>
        <v>0.15</v>
      </c>
      <c r="V78" s="47">
        <f>B78*0.4/100</f>
        <v>0.4</v>
      </c>
      <c r="W78" s="47" t="s">
        <v>454</v>
      </c>
      <c r="X78" s="47">
        <f>B78*0.06/100</f>
        <v>0.06</v>
      </c>
      <c r="Y78" s="47" t="s">
        <v>455</v>
      </c>
      <c r="Z78" s="47" t="s">
        <v>455</v>
      </c>
      <c r="AA78" s="47">
        <f>B78*1.98/100</f>
        <v>1.98</v>
      </c>
      <c r="AB78" s="47">
        <f>B78*17.1/100</f>
        <v>17.100000000000001</v>
      </c>
      <c r="AC78" s="3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</row>
    <row r="79" spans="1:52" s="55" customFormat="1">
      <c r="A79" s="46" t="s">
        <v>526</v>
      </c>
      <c r="B79" s="47">
        <v>100</v>
      </c>
      <c r="C79" s="47">
        <f>B79*101/100</f>
        <v>101</v>
      </c>
      <c r="D79" s="47">
        <f>B79*1/100</f>
        <v>1</v>
      </c>
      <c r="E79" s="47">
        <f>B79*0.2/100</f>
        <v>0.2</v>
      </c>
      <c r="F79" s="47"/>
      <c r="G79" s="47"/>
      <c r="H79" s="47"/>
      <c r="I79" s="47"/>
      <c r="J79" s="47"/>
      <c r="K79" s="47" t="s">
        <v>454</v>
      </c>
      <c r="L79" s="47">
        <f>B79*24/100</f>
        <v>24</v>
      </c>
      <c r="M79" s="47">
        <f>B79*2.1/100</f>
        <v>2.1</v>
      </c>
      <c r="N79" s="47">
        <f>B79*17/100</f>
        <v>17</v>
      </c>
      <c r="O79" s="47">
        <f>B79*12/100</f>
        <v>12</v>
      </c>
      <c r="P79" s="47">
        <f>B79*0.07/100</f>
        <v>7.0000000000000007E-2</v>
      </c>
      <c r="Q79" s="47">
        <f>B79*45/100</f>
        <v>45</v>
      </c>
      <c r="R79" s="47">
        <f>B79*0.3/100</f>
        <v>0.3</v>
      </c>
      <c r="S79" s="47" t="s">
        <v>455</v>
      </c>
      <c r="T79" s="47">
        <f>B79*505/100</f>
        <v>505</v>
      </c>
      <c r="U79" s="47">
        <f>B79*0.05/100</f>
        <v>0.05</v>
      </c>
      <c r="V79" s="47">
        <f>B79*0.2/100</f>
        <v>0.2</v>
      </c>
      <c r="W79" s="47" t="s">
        <v>454</v>
      </c>
      <c r="X79" s="47">
        <f>B79*0.05/100</f>
        <v>0.05</v>
      </c>
      <c r="Y79" s="47" t="s">
        <v>455</v>
      </c>
      <c r="Z79" s="47">
        <f>B79*0.12/100</f>
        <v>0.12</v>
      </c>
      <c r="AA79" s="47" t="s">
        <v>23</v>
      </c>
      <c r="AB79" s="47" t="s">
        <v>23</v>
      </c>
      <c r="AC79" s="3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</row>
    <row r="80" spans="1:52" s="55" customFormat="1">
      <c r="A80" s="46" t="s">
        <v>527</v>
      </c>
      <c r="B80" s="47">
        <v>100</v>
      </c>
      <c r="C80" s="47">
        <f>B80*77/100</f>
        <v>77</v>
      </c>
      <c r="D80" s="47">
        <f>B80*0.6/100</f>
        <v>0.6</v>
      </c>
      <c r="E80" s="47">
        <f>B80*0.1/100</f>
        <v>0.1</v>
      </c>
      <c r="F80" s="47"/>
      <c r="G80" s="47"/>
      <c r="H80" s="47"/>
      <c r="I80" s="47"/>
      <c r="J80" s="47"/>
      <c r="K80" s="47" t="s">
        <v>454</v>
      </c>
      <c r="L80" s="47">
        <f>B80*18.4/100</f>
        <v>18.399999999999999</v>
      </c>
      <c r="M80" s="47">
        <f>B80*2.2/100</f>
        <v>2.2000000000000002</v>
      </c>
      <c r="N80" s="47">
        <f>B80*17/100</f>
        <v>17</v>
      </c>
      <c r="O80" s="47">
        <f>B80*11/100</f>
        <v>11</v>
      </c>
      <c r="P80" s="47">
        <f>B80*0.14/100</f>
        <v>0.14000000000000001</v>
      </c>
      <c r="Q80" s="47">
        <f>B80*15/100</f>
        <v>15</v>
      </c>
      <c r="R80" s="47">
        <f>B80*0.2/100</f>
        <v>0.2</v>
      </c>
      <c r="S80" s="47">
        <f>B80*3/100</f>
        <v>3</v>
      </c>
      <c r="T80" s="47">
        <f>B80*148/100</f>
        <v>148</v>
      </c>
      <c r="U80" s="47">
        <f>B80*0.06/100</f>
        <v>0.06</v>
      </c>
      <c r="V80" s="47">
        <f>B80*0.1/100</f>
        <v>0.1</v>
      </c>
      <c r="W80" s="47" t="s">
        <v>454</v>
      </c>
      <c r="X80" s="47">
        <f>B80*0.08/100</f>
        <v>0.08</v>
      </c>
      <c r="Y80" s="47" t="s">
        <v>455</v>
      </c>
      <c r="Z80" s="47">
        <f>B80*0.05/100</f>
        <v>0.05</v>
      </c>
      <c r="AA80" s="47">
        <f>B80*2.57/100</f>
        <v>2.57</v>
      </c>
      <c r="AB80" s="47">
        <f>B80*23.8/100</f>
        <v>23.8</v>
      </c>
      <c r="AC80" s="3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</row>
    <row r="81" spans="1:52" s="55" customFormat="1">
      <c r="A81" s="46" t="s">
        <v>528</v>
      </c>
      <c r="B81" s="47">
        <v>100</v>
      </c>
      <c r="C81" s="47">
        <f>B81*118/100</f>
        <v>118</v>
      </c>
      <c r="D81" s="47">
        <f>B81*1.3/100</f>
        <v>1.3</v>
      </c>
      <c r="E81" s="47">
        <f>B81*0.1/100</f>
        <v>0.1</v>
      </c>
      <c r="F81" s="47"/>
      <c r="G81" s="47"/>
      <c r="H81" s="47"/>
      <c r="I81" s="47"/>
      <c r="J81" s="47"/>
      <c r="K81" s="47" t="s">
        <v>454</v>
      </c>
      <c r="L81" s="47">
        <f>B81*28.2/100</f>
        <v>28.2</v>
      </c>
      <c r="M81" s="47">
        <f>B81*2.6/100</f>
        <v>2.6</v>
      </c>
      <c r="N81" s="47">
        <f>B81*21/100</f>
        <v>21</v>
      </c>
      <c r="O81" s="47">
        <f>B81*17/100</f>
        <v>17</v>
      </c>
      <c r="P81" s="47">
        <f>B81*0.18/100</f>
        <v>0.18</v>
      </c>
      <c r="Q81" s="47">
        <f>B81*36/100</f>
        <v>36</v>
      </c>
      <c r="R81" s="47">
        <f>B81*0.4/100</f>
        <v>0.4</v>
      </c>
      <c r="S81" s="47">
        <f>B81*9/100</f>
        <v>9</v>
      </c>
      <c r="T81" s="47">
        <f>B81*340/100</f>
        <v>340</v>
      </c>
      <c r="U81" s="47">
        <f>B81*0.11/100</f>
        <v>0.11</v>
      </c>
      <c r="V81" s="47">
        <f>B81*0.2/100</f>
        <v>0.2</v>
      </c>
      <c r="W81" s="47" t="s">
        <v>454</v>
      </c>
      <c r="X81" s="47">
        <f>B81*0.06/100</f>
        <v>0.06</v>
      </c>
      <c r="Y81" s="47" t="s">
        <v>455</v>
      </c>
      <c r="Z81" s="47">
        <f>B81*0.1/100</f>
        <v>0.1</v>
      </c>
      <c r="AA81" s="47" t="s">
        <v>23</v>
      </c>
      <c r="AB81" s="47" t="s">
        <v>23</v>
      </c>
      <c r="AC81" s="3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</row>
    <row r="82" spans="1:52" s="55" customFormat="1">
      <c r="A82" s="60" t="s">
        <v>530</v>
      </c>
      <c r="B82" s="59">
        <v>100</v>
      </c>
      <c r="C82" s="59">
        <f>B82*543/100</f>
        <v>543</v>
      </c>
      <c r="D82" s="59">
        <f>B82*5.6/100</f>
        <v>5.6</v>
      </c>
      <c r="E82" s="59">
        <f>B82*36.6/100</f>
        <v>36.6</v>
      </c>
      <c r="F82" s="59">
        <f>B82*12.9/100</f>
        <v>12.9</v>
      </c>
      <c r="G82" s="59">
        <f>B82*11.9/100</f>
        <v>11.9</v>
      </c>
      <c r="H82" s="59">
        <f>B82*4/100</f>
        <v>4</v>
      </c>
      <c r="I82" s="59">
        <f>B82*3.85/100</f>
        <v>3.85</v>
      </c>
      <c r="J82" s="59">
        <f>B82*0.09/100</f>
        <v>0.09</v>
      </c>
      <c r="K82" s="59" t="s">
        <v>454</v>
      </c>
      <c r="L82" s="59">
        <f>B82*51.2/100</f>
        <v>51.2</v>
      </c>
      <c r="M82" s="59">
        <f>B82*2.5/100</f>
        <v>2.5</v>
      </c>
      <c r="N82" s="59">
        <f>B82*12/100</f>
        <v>12</v>
      </c>
      <c r="O82" s="59">
        <f>B82*24/100</f>
        <v>24</v>
      </c>
      <c r="P82" s="59">
        <f>B82*0.23/100</f>
        <v>0.23</v>
      </c>
      <c r="Q82" s="59">
        <f>B82*96/100</f>
        <v>96</v>
      </c>
      <c r="R82" s="59">
        <f>B82*0.7/100</f>
        <v>0.7</v>
      </c>
      <c r="S82" s="59">
        <f>B82*607/100</f>
        <v>607</v>
      </c>
      <c r="T82" s="59">
        <f>B82*1014/100</f>
        <v>1014</v>
      </c>
      <c r="U82" s="59">
        <f>B82*0.12/100</f>
        <v>0.12</v>
      </c>
      <c r="V82" s="59">
        <f>B82*0.6/100</f>
        <v>0.6</v>
      </c>
      <c r="W82" s="59" t="s">
        <v>454</v>
      </c>
      <c r="X82" s="59">
        <f>B82*0.2/100</f>
        <v>0.2</v>
      </c>
      <c r="Y82" s="59" t="s">
        <v>455</v>
      </c>
      <c r="Z82" s="59">
        <f>B82*0.13/100</f>
        <v>0.13</v>
      </c>
      <c r="AA82" s="59">
        <f>B82*2.61/100</f>
        <v>2.61</v>
      </c>
      <c r="AB82" s="59" t="s">
        <v>455</v>
      </c>
      <c r="AC82" s="3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</row>
    <row r="83" spans="1:52" s="55" customFormat="1">
      <c r="A83" s="60" t="s">
        <v>529</v>
      </c>
      <c r="B83" s="59">
        <v>100</v>
      </c>
      <c r="C83" s="59">
        <f>B83*68/100</f>
        <v>68</v>
      </c>
      <c r="D83" s="59">
        <f>B83*1.3/100</f>
        <v>1.3</v>
      </c>
      <c r="E83" s="59">
        <f>B83*0.9/100</f>
        <v>0.9</v>
      </c>
      <c r="F83" s="59">
        <f>B83*0.3/100</f>
        <v>0.3</v>
      </c>
      <c r="G83" s="59">
        <f>B83*0.2/100</f>
        <v>0.2</v>
      </c>
      <c r="H83" s="59">
        <f>B83*0.4/100</f>
        <v>0.4</v>
      </c>
      <c r="I83" s="59">
        <f>B83*0.33/100</f>
        <v>0.33</v>
      </c>
      <c r="J83" s="59">
        <f>B83*0.03/100</f>
        <v>0.03</v>
      </c>
      <c r="K83" s="59" t="s">
        <v>454</v>
      </c>
      <c r="L83" s="59">
        <f>B83*14.1/100</f>
        <v>14.1</v>
      </c>
      <c r="M83" s="59">
        <f>B83*1.4/100</f>
        <v>1.4</v>
      </c>
      <c r="N83" s="59">
        <f>B83*4/100</f>
        <v>4</v>
      </c>
      <c r="O83" s="59">
        <f>B83*6/100</f>
        <v>6</v>
      </c>
      <c r="P83" s="59">
        <f>B83*0.08/100</f>
        <v>0.08</v>
      </c>
      <c r="Q83" s="59">
        <f>B83*32/100</f>
        <v>32</v>
      </c>
      <c r="R83" s="59">
        <f>B83*0.3/100</f>
        <v>0.3</v>
      </c>
      <c r="S83" s="59">
        <f>B83*8/100</f>
        <v>8</v>
      </c>
      <c r="T83" s="59">
        <f>B83*199/100</f>
        <v>199</v>
      </c>
      <c r="U83" s="59">
        <f>B83*0.05/100</f>
        <v>0.05</v>
      </c>
      <c r="V83" s="59">
        <f>B83*0.2/100</f>
        <v>0.2</v>
      </c>
      <c r="W83" s="59" t="s">
        <v>454</v>
      </c>
      <c r="X83" s="59">
        <f>B83*0.07/100</f>
        <v>7.0000000000000007E-2</v>
      </c>
      <c r="Y83" s="59" t="s">
        <v>455</v>
      </c>
      <c r="Z83" s="59">
        <f>B83*0.09/100</f>
        <v>0.09</v>
      </c>
      <c r="AA83" s="59">
        <f>B83*1.36/100</f>
        <v>1.36</v>
      </c>
      <c r="AB83" s="59" t="s">
        <v>455</v>
      </c>
      <c r="AC83" s="3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</row>
    <row r="84" spans="1:52" s="55" customFormat="1">
      <c r="A84" s="46" t="s">
        <v>531</v>
      </c>
      <c r="B84" s="47">
        <v>100</v>
      </c>
      <c r="C84" s="47">
        <f>B84*52/100</f>
        <v>52</v>
      </c>
      <c r="D84" s="47">
        <f>B84*1.2/100</f>
        <v>1.2</v>
      </c>
      <c r="E84" s="47" t="s">
        <v>455</v>
      </c>
      <c r="F84" s="47"/>
      <c r="G84" s="47"/>
      <c r="H84" s="47"/>
      <c r="I84" s="47"/>
      <c r="J84" s="47"/>
      <c r="K84" s="47" t="s">
        <v>454</v>
      </c>
      <c r="L84" s="47">
        <f>B84*11.9/100</f>
        <v>11.9</v>
      </c>
      <c r="M84" s="47">
        <f>B84*1.3/100</f>
        <v>1.3</v>
      </c>
      <c r="N84" s="47">
        <f>B84*4/100</f>
        <v>4</v>
      </c>
      <c r="O84" s="47">
        <f>B84*5/100</f>
        <v>5</v>
      </c>
      <c r="P84" s="47">
        <f>B84*0.07/100</f>
        <v>7.0000000000000007E-2</v>
      </c>
      <c r="Q84" s="47">
        <f>B84*24/100</f>
        <v>24</v>
      </c>
      <c r="R84" s="47">
        <f>B84*0.2/100</f>
        <v>0.2</v>
      </c>
      <c r="S84" s="47">
        <f>B84*2/100</f>
        <v>2</v>
      </c>
      <c r="T84" s="47">
        <f>B84*161/100</f>
        <v>161</v>
      </c>
      <c r="U84" s="47">
        <f>B84*0.06/100</f>
        <v>0.06</v>
      </c>
      <c r="V84" s="47">
        <f>B84*0.2/100</f>
        <v>0.2</v>
      </c>
      <c r="W84" s="47" t="s">
        <v>454</v>
      </c>
      <c r="X84" s="47">
        <f>B84*0.05/100</f>
        <v>0.05</v>
      </c>
      <c r="Y84" s="47" t="s">
        <v>455</v>
      </c>
      <c r="Z84" s="47">
        <f>B84*0.08/100</f>
        <v>0.08</v>
      </c>
      <c r="AA84" s="47" t="s">
        <v>455</v>
      </c>
      <c r="AB84" s="47">
        <f>B84*3.8/100</f>
        <v>3.8</v>
      </c>
      <c r="AC84" s="3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</row>
    <row r="85" spans="1:52" s="55" customFormat="1">
      <c r="A85" s="46" t="s">
        <v>532</v>
      </c>
      <c r="B85" s="47">
        <v>100</v>
      </c>
      <c r="C85" s="47">
        <f>B85*64/100</f>
        <v>64</v>
      </c>
      <c r="D85" s="47">
        <f>B85*1.8/100</f>
        <v>1.8</v>
      </c>
      <c r="E85" s="47" t="s">
        <v>455</v>
      </c>
      <c r="F85" s="47"/>
      <c r="G85" s="47"/>
      <c r="H85" s="47"/>
      <c r="I85" s="47"/>
      <c r="J85" s="47"/>
      <c r="K85" s="47" t="s">
        <v>454</v>
      </c>
      <c r="L85" s="47">
        <f>B85*14.7/100</f>
        <v>14.7</v>
      </c>
      <c r="M85" s="47">
        <f>B85*1.2/100</f>
        <v>1.2</v>
      </c>
      <c r="N85" s="47">
        <f>B85*4/100</f>
        <v>4</v>
      </c>
      <c r="O85" s="47">
        <f>B85*15/100</f>
        <v>15</v>
      </c>
      <c r="P85" s="47">
        <f>B85*0.1/100</f>
        <v>0.1</v>
      </c>
      <c r="Q85" s="47">
        <f>B85*39/100</f>
        <v>39</v>
      </c>
      <c r="R85" s="47">
        <f>B85*0.4/100</f>
        <v>0.4</v>
      </c>
      <c r="S85" s="47" t="s">
        <v>455</v>
      </c>
      <c r="T85" s="47">
        <f>B85*302/100</f>
        <v>302</v>
      </c>
      <c r="U85" s="47">
        <f>B85*0.09/100</f>
        <v>0.09</v>
      </c>
      <c r="V85" s="47">
        <f>B85*0.2/100</f>
        <v>0.2</v>
      </c>
      <c r="W85" s="47" t="s">
        <v>454</v>
      </c>
      <c r="X85" s="47">
        <f>B85*0.1/100</f>
        <v>0.1</v>
      </c>
      <c r="Y85" s="47" t="s">
        <v>455</v>
      </c>
      <c r="Z85" s="47">
        <f>B85*0.15/100</f>
        <v>0.15</v>
      </c>
      <c r="AA85" s="47" t="s">
        <v>23</v>
      </c>
      <c r="AB85" s="47">
        <f>B85*31.1/100</f>
        <v>31.1</v>
      </c>
      <c r="AC85" s="3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</row>
    <row r="86" spans="1:52" s="55" customFormat="1">
      <c r="A86" s="60" t="s">
        <v>533</v>
      </c>
      <c r="B86" s="59">
        <v>100</v>
      </c>
      <c r="C86" s="59">
        <f>B86*267/100</f>
        <v>267</v>
      </c>
      <c r="D86" s="59">
        <f>B86*5/100</f>
        <v>5</v>
      </c>
      <c r="E86" s="59">
        <f>B86*13.1/100</f>
        <v>13.1</v>
      </c>
      <c r="F86" s="59">
        <f>B86*2.1/100</f>
        <v>2.1</v>
      </c>
      <c r="G86" s="59">
        <f>B86*3.4/100</f>
        <v>3.4</v>
      </c>
      <c r="H86" s="59">
        <f>B86*6.6/100</f>
        <v>6.6</v>
      </c>
      <c r="I86" s="59">
        <f>B86*6.29/100</f>
        <v>6.29</v>
      </c>
      <c r="J86" s="59">
        <f>B86*0.3/100</f>
        <v>0.3</v>
      </c>
      <c r="K86" s="59" t="s">
        <v>454</v>
      </c>
      <c r="L86" s="59">
        <f>B86*35.6/100</f>
        <v>35.6</v>
      </c>
      <c r="M86" s="59">
        <f>B86*8.1/100</f>
        <v>8.1</v>
      </c>
      <c r="N86" s="59">
        <f>B86*6/100</f>
        <v>6</v>
      </c>
      <c r="O86" s="59">
        <f>B86*14/100</f>
        <v>14</v>
      </c>
      <c r="P86" s="59">
        <f>B86*0.15/100</f>
        <v>0.15</v>
      </c>
      <c r="Q86" s="59">
        <f>B86*70/100</f>
        <v>70</v>
      </c>
      <c r="R86" s="59">
        <f>B86*0.4/100</f>
        <v>0.4</v>
      </c>
      <c r="S86" s="59">
        <f>B86*2/100</f>
        <v>2</v>
      </c>
      <c r="T86" s="59">
        <f>B86*489/100</f>
        <v>489</v>
      </c>
      <c r="U86" s="59">
        <f>B86*0.1/100</f>
        <v>0.1</v>
      </c>
      <c r="V86" s="59">
        <f>B86*0.4/100</f>
        <v>0.4</v>
      </c>
      <c r="W86" s="59" t="s">
        <v>454</v>
      </c>
      <c r="X86" s="59">
        <f>B86*0.17/100</f>
        <v>0.17</v>
      </c>
      <c r="Y86" s="59" t="s">
        <v>455</v>
      </c>
      <c r="Z86" s="59">
        <f>B86*0.1/100</f>
        <v>0.1</v>
      </c>
      <c r="AA86" s="59">
        <f>B86*2.51/100</f>
        <v>2.5099999999999998</v>
      </c>
      <c r="AB86" s="59">
        <f>B86*16.3/100</f>
        <v>16.3</v>
      </c>
      <c r="AC86" s="3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</row>
    <row r="87" spans="1:52" s="55" customFormat="1">
      <c r="A87" s="60" t="s">
        <v>529</v>
      </c>
      <c r="B87" s="59">
        <v>100</v>
      </c>
      <c r="C87" s="59">
        <f>B87*68/100</f>
        <v>68</v>
      </c>
      <c r="D87" s="59">
        <f>B87*1.3/100</f>
        <v>1.3</v>
      </c>
      <c r="E87" s="59">
        <f>B87*0.9/100</f>
        <v>0.9</v>
      </c>
      <c r="F87" s="59">
        <f>B87*0.3/100</f>
        <v>0.3</v>
      </c>
      <c r="G87" s="59">
        <f>B87*0.2/100</f>
        <v>0.2</v>
      </c>
      <c r="H87" s="59">
        <f>B87*0.4/100</f>
        <v>0.4</v>
      </c>
      <c r="I87" s="59">
        <f>B87*0.33/100</f>
        <v>0.33</v>
      </c>
      <c r="J87" s="59">
        <f>B87*0.03/100</f>
        <v>0.03</v>
      </c>
      <c r="K87" s="59" t="s">
        <v>454</v>
      </c>
      <c r="L87" s="59">
        <f>B87*14.1/100</f>
        <v>14.1</v>
      </c>
      <c r="M87" s="59">
        <f>B87*1.4/100</f>
        <v>1.4</v>
      </c>
      <c r="N87" s="59">
        <f>B87*4/100</f>
        <v>4</v>
      </c>
      <c r="O87" s="59">
        <f>B87*6/100</f>
        <v>6</v>
      </c>
      <c r="P87" s="59">
        <f>B87*0.08/100</f>
        <v>0.08</v>
      </c>
      <c r="Q87" s="59">
        <f>B87*32/100</f>
        <v>32</v>
      </c>
      <c r="R87" s="59">
        <f>B87*0.3/100</f>
        <v>0.3</v>
      </c>
      <c r="S87" s="59">
        <f>B87*8/100</f>
        <v>8</v>
      </c>
      <c r="T87" s="59">
        <f>B87*199/100</f>
        <v>199</v>
      </c>
      <c r="U87" s="59">
        <f>B87*0.05/100</f>
        <v>0.05</v>
      </c>
      <c r="V87" s="59">
        <f>B87*0.2/100</f>
        <v>0.2</v>
      </c>
      <c r="W87" s="59" t="s">
        <v>454</v>
      </c>
      <c r="X87" s="59">
        <f>B87*0.07/100</f>
        <v>7.0000000000000007E-2</v>
      </c>
      <c r="Y87" s="59" t="s">
        <v>455</v>
      </c>
      <c r="Z87" s="59">
        <f>B87*0.09/100</f>
        <v>0.09</v>
      </c>
      <c r="AA87" s="59">
        <f>B87*1.38/100</f>
        <v>1.38</v>
      </c>
      <c r="AB87" s="59" t="s">
        <v>455</v>
      </c>
      <c r="AC87" s="3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</row>
    <row r="88" spans="1:52" s="55" customFormat="1">
      <c r="A88" s="46" t="s">
        <v>534</v>
      </c>
      <c r="B88" s="47">
        <v>100</v>
      </c>
      <c r="C88" s="47">
        <f>B88*19/100</f>
        <v>19</v>
      </c>
      <c r="D88" s="47">
        <f>B88*0.7/100</f>
        <v>0.7</v>
      </c>
      <c r="E88" s="47">
        <f>B88*0.1/100</f>
        <v>0.1</v>
      </c>
      <c r="F88" s="47"/>
      <c r="G88" s="47"/>
      <c r="H88" s="47"/>
      <c r="I88" s="47"/>
      <c r="J88" s="47"/>
      <c r="K88" s="47" t="s">
        <v>454</v>
      </c>
      <c r="L88" s="47">
        <f>B88*4.5/100</f>
        <v>4.5</v>
      </c>
      <c r="M88" s="47">
        <f>B88*2.5/100</f>
        <v>2.5</v>
      </c>
      <c r="N88" s="47">
        <f>B88*11/100</f>
        <v>11</v>
      </c>
      <c r="O88" s="47">
        <f>B88*9/100</f>
        <v>9</v>
      </c>
      <c r="P88" s="47">
        <f>B88*0.11/100</f>
        <v>0.11</v>
      </c>
      <c r="Q88" s="47">
        <f>B88*15/100</f>
        <v>15</v>
      </c>
      <c r="R88" s="47">
        <f>B88*0.2/100</f>
        <v>0.2</v>
      </c>
      <c r="S88" s="47">
        <f>B88*1/100</f>
        <v>1</v>
      </c>
      <c r="T88" s="47">
        <f>B88*105/100</f>
        <v>105</v>
      </c>
      <c r="U88" s="47">
        <f>B88*0.04/100</f>
        <v>0.04</v>
      </c>
      <c r="V88" s="47">
        <f>B88*0.1/100</f>
        <v>0.1</v>
      </c>
      <c r="W88" s="47" t="s">
        <v>454</v>
      </c>
      <c r="X88" s="47">
        <f>B88*0.04/100</f>
        <v>0.04</v>
      </c>
      <c r="Y88" s="47" t="s">
        <v>455</v>
      </c>
      <c r="Z88" s="47" t="s">
        <v>455</v>
      </c>
      <c r="AA88" s="47" t="s">
        <v>455</v>
      </c>
      <c r="AB88" s="47" t="s">
        <v>455</v>
      </c>
      <c r="AC88" s="3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</row>
    <row r="89" spans="1:52" s="55" customFormat="1">
      <c r="A89" s="46" t="s">
        <v>535</v>
      </c>
      <c r="B89" s="47">
        <v>100</v>
      </c>
      <c r="C89" s="47">
        <f>B89*20/100</f>
        <v>20</v>
      </c>
      <c r="D89" s="47">
        <f>B89*1.2/100</f>
        <v>1.2</v>
      </c>
      <c r="E89" s="47">
        <f>B89*0.1/100</f>
        <v>0.1</v>
      </c>
      <c r="F89" s="47"/>
      <c r="G89" s="47"/>
      <c r="H89" s="47"/>
      <c r="I89" s="47"/>
      <c r="J89" s="47"/>
      <c r="K89" s="47" t="s">
        <v>454</v>
      </c>
      <c r="L89" s="47">
        <f>B89*4.4/100</f>
        <v>4.4000000000000004</v>
      </c>
      <c r="M89" s="47">
        <f>B89*2.9/100</f>
        <v>2.9</v>
      </c>
      <c r="N89" s="47">
        <f>B89*9/100</f>
        <v>9</v>
      </c>
      <c r="O89" s="47">
        <f>B89*13/100</f>
        <v>13</v>
      </c>
      <c r="P89" s="47">
        <f>B89*0.1/100</f>
        <v>0.1</v>
      </c>
      <c r="Q89" s="47">
        <f>B89*20/100</f>
        <v>20</v>
      </c>
      <c r="R89" s="47">
        <f>B89*0.2/100</f>
        <v>0.2</v>
      </c>
      <c r="S89" s="47" t="s">
        <v>455</v>
      </c>
      <c r="T89" s="47">
        <f>B89*205/100</f>
        <v>205</v>
      </c>
      <c r="U89" s="47">
        <f>B89*0.06/100</f>
        <v>0.06</v>
      </c>
      <c r="V89" s="47">
        <f>B89*0.1/100</f>
        <v>0.1</v>
      </c>
      <c r="W89" s="47" t="s">
        <v>454</v>
      </c>
      <c r="X89" s="47">
        <f>B89*0.04/100</f>
        <v>0.04</v>
      </c>
      <c r="Y89" s="47">
        <f>B89*0.05/100</f>
        <v>0.05</v>
      </c>
      <c r="Z89" s="47" t="s">
        <v>455</v>
      </c>
      <c r="AA89" s="47" t="s">
        <v>23</v>
      </c>
      <c r="AB89" s="47">
        <f>B89*3/100</f>
        <v>3</v>
      </c>
      <c r="AC89" s="3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</row>
    <row r="90" spans="1:52" s="55" customFormat="1">
      <c r="A90" s="46" t="s">
        <v>536</v>
      </c>
      <c r="B90" s="47">
        <v>100</v>
      </c>
      <c r="C90" s="47">
        <f>B90*32/100</f>
        <v>32</v>
      </c>
      <c r="D90" s="47">
        <f>B90*1.3/100</f>
        <v>1.3</v>
      </c>
      <c r="E90" s="47">
        <f>B90*0.1/100</f>
        <v>0.1</v>
      </c>
      <c r="F90" s="47"/>
      <c r="G90" s="47"/>
      <c r="H90" s="47"/>
      <c r="I90" s="47"/>
      <c r="J90" s="47"/>
      <c r="K90" s="47" t="s">
        <v>454</v>
      </c>
      <c r="L90" s="47">
        <f>B90*7.2/100</f>
        <v>7.2</v>
      </c>
      <c r="M90" s="47">
        <f>B90*1.9/100</f>
        <v>1.9</v>
      </c>
      <c r="N90" s="47">
        <f>B90*15/100</f>
        <v>15</v>
      </c>
      <c r="O90" s="47">
        <f>B90*17/100</f>
        <v>17</v>
      </c>
      <c r="P90" s="47">
        <f>B90*0.19/100</f>
        <v>0.19</v>
      </c>
      <c r="Q90" s="47">
        <f>B90*30/100</f>
        <v>30</v>
      </c>
      <c r="R90" s="47">
        <f>B90*0.2/100</f>
        <v>0.2</v>
      </c>
      <c r="S90" s="47">
        <f>B90*23/100</f>
        <v>23</v>
      </c>
      <c r="T90" s="47">
        <f>B90*245/100</f>
        <v>245</v>
      </c>
      <c r="U90" s="47">
        <f>B90*0.04/100</f>
        <v>0.04</v>
      </c>
      <c r="V90" s="47">
        <f>B90*0.4/100</f>
        <v>0.4</v>
      </c>
      <c r="W90" s="47" t="s">
        <v>454</v>
      </c>
      <c r="X90" s="47">
        <f>B90*0.09/100</f>
        <v>0.09</v>
      </c>
      <c r="Y90" s="47" t="s">
        <v>455</v>
      </c>
      <c r="Z90" s="47" t="s">
        <v>455</v>
      </c>
      <c r="AA90" s="47" t="s">
        <v>455</v>
      </c>
      <c r="AB90" s="47">
        <f>B90*1.2/100</f>
        <v>1.2</v>
      </c>
      <c r="AC90" s="3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</row>
    <row r="91" spans="1:52" s="55" customFormat="1">
      <c r="A91" s="46" t="s">
        <v>537</v>
      </c>
      <c r="B91" s="47">
        <v>100</v>
      </c>
      <c r="C91" s="47">
        <f>B91*49/100</f>
        <v>49</v>
      </c>
      <c r="D91" s="47">
        <f>B91*1.9/100</f>
        <v>1.9</v>
      </c>
      <c r="E91" s="47">
        <f>B91*0.1/100</f>
        <v>0.1</v>
      </c>
      <c r="F91" s="47"/>
      <c r="G91" s="47"/>
      <c r="H91" s="47"/>
      <c r="I91" s="47"/>
      <c r="J91" s="47"/>
      <c r="K91" s="47" t="s">
        <v>454</v>
      </c>
      <c r="L91" s="47">
        <f>B91*11.1/100</f>
        <v>11.1</v>
      </c>
      <c r="M91" s="47">
        <f>B91*3.4/100</f>
        <v>3.4</v>
      </c>
      <c r="N91" s="47">
        <f>B91*18/100</f>
        <v>18</v>
      </c>
      <c r="O91" s="47">
        <f>B91*24/100</f>
        <v>24</v>
      </c>
      <c r="P91" s="47">
        <f>B91*1.23/100</f>
        <v>1.23</v>
      </c>
      <c r="Q91" s="47">
        <f>B91*19/100</f>
        <v>19</v>
      </c>
      <c r="R91" s="47">
        <f>B91*0.3/100</f>
        <v>0.3</v>
      </c>
      <c r="S91" s="47">
        <f>B91*10/100</f>
        <v>10</v>
      </c>
      <c r="T91" s="47">
        <f>B91*375/100</f>
        <v>375</v>
      </c>
      <c r="U91" s="47">
        <f>B91*0.08/100</f>
        <v>0.08</v>
      </c>
      <c r="V91" s="47">
        <f>B91*0.5/100</f>
        <v>0.5</v>
      </c>
      <c r="W91" s="47" t="s">
        <v>454</v>
      </c>
      <c r="X91" s="47">
        <f>B91*0.04/100</f>
        <v>0.04</v>
      </c>
      <c r="Y91" s="47" t="s">
        <v>455</v>
      </c>
      <c r="Z91" s="47">
        <f>B91*0.04/100</f>
        <v>0.04</v>
      </c>
      <c r="AA91" s="47" t="s">
        <v>23</v>
      </c>
      <c r="AB91" s="47">
        <f>B91*3.1/100</f>
        <v>3.1</v>
      </c>
      <c r="AC91" s="3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</row>
    <row r="92" spans="1:52" s="55" customFormat="1">
      <c r="A92" s="60" t="s">
        <v>538</v>
      </c>
      <c r="B92" s="59">
        <v>100</v>
      </c>
      <c r="C92" s="59">
        <f>B92*25/100</f>
        <v>25</v>
      </c>
      <c r="D92" s="59">
        <f>B92*2.1/100</f>
        <v>2.1</v>
      </c>
      <c r="E92" s="59">
        <f>B92*0.5/100</f>
        <v>0.5</v>
      </c>
      <c r="F92" s="59">
        <f>B92*0.1/100</f>
        <v>0.1</v>
      </c>
      <c r="G92" s="59" t="s">
        <v>455</v>
      </c>
      <c r="H92" s="59">
        <f>B92*0.2/100</f>
        <v>0.2</v>
      </c>
      <c r="I92" s="59">
        <f>B92*0.06/100</f>
        <v>0.06</v>
      </c>
      <c r="J92" s="59">
        <f>B92*0.1/100</f>
        <v>0.1</v>
      </c>
      <c r="K92" s="59" t="s">
        <v>454</v>
      </c>
      <c r="L92" s="59">
        <f>B92*4.4/100</f>
        <v>4.4000000000000004</v>
      </c>
      <c r="M92" s="59">
        <f>B92*3.4/100</f>
        <v>3.4</v>
      </c>
      <c r="N92" s="59">
        <f>B92*51/100</f>
        <v>51</v>
      </c>
      <c r="O92" s="59">
        <f>B92*15/100</f>
        <v>15</v>
      </c>
      <c r="P92" s="59">
        <f>B92*0.12/100</f>
        <v>0.12</v>
      </c>
      <c r="Q92" s="59">
        <f>B92*33/100</f>
        <v>33</v>
      </c>
      <c r="R92" s="59">
        <f>B92*0.5/100</f>
        <v>0.5</v>
      </c>
      <c r="S92" s="59">
        <f>B92*2/100</f>
        <v>2</v>
      </c>
      <c r="T92" s="59">
        <f>B92*119/100</f>
        <v>119</v>
      </c>
      <c r="U92" s="59">
        <f>B92*0.08/100</f>
        <v>0.08</v>
      </c>
      <c r="V92" s="59">
        <f>B92*0.2/100</f>
        <v>0.2</v>
      </c>
      <c r="W92" s="59" t="s">
        <v>454</v>
      </c>
      <c r="X92" s="59">
        <f>B92*0.04/100</f>
        <v>0.04</v>
      </c>
      <c r="Y92" s="59">
        <f>B92*0.03/100</f>
        <v>0.03</v>
      </c>
      <c r="Z92" s="59" t="s">
        <v>455</v>
      </c>
      <c r="AA92" s="59" t="s">
        <v>455</v>
      </c>
      <c r="AB92" s="59">
        <f>B92*42/100</f>
        <v>42</v>
      </c>
      <c r="AC92" s="3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</row>
    <row r="93" spans="1:52" s="55" customFormat="1">
      <c r="A93" s="46" t="s">
        <v>539</v>
      </c>
      <c r="B93" s="47">
        <v>100</v>
      </c>
      <c r="C93" s="47">
        <f>B93*25/100</f>
        <v>25</v>
      </c>
      <c r="D93" s="47">
        <f>B93*3.6/100</f>
        <v>3.6</v>
      </c>
      <c r="E93" s="47">
        <f>B93*0.3/100</f>
        <v>0.3</v>
      </c>
      <c r="F93" s="47"/>
      <c r="G93" s="47"/>
      <c r="H93" s="47"/>
      <c r="I93" s="47"/>
      <c r="J93" s="47"/>
      <c r="K93" s="47" t="s">
        <v>454</v>
      </c>
      <c r="L93" s="47">
        <f>B93*4/100</f>
        <v>4</v>
      </c>
      <c r="M93" s="47">
        <f>B93*2.9/100</f>
        <v>2.9</v>
      </c>
      <c r="N93" s="47">
        <f>B93*86/100</f>
        <v>86</v>
      </c>
      <c r="O93" s="47">
        <f>B93*30/100</f>
        <v>30</v>
      </c>
      <c r="P93" s="47">
        <f>B93*0.26/100</f>
        <v>0.26</v>
      </c>
      <c r="Q93" s="47">
        <f>B93*78/100</f>
        <v>78</v>
      </c>
      <c r="R93" s="47">
        <f>B93*0.6/100</f>
        <v>0.6</v>
      </c>
      <c r="S93" s="47">
        <f>B93*3/100</f>
        <v>3</v>
      </c>
      <c r="T93" s="47">
        <f>B93*322/100</f>
        <v>322</v>
      </c>
      <c r="U93" s="47">
        <f>B93*0.06/100</f>
        <v>0.06</v>
      </c>
      <c r="V93" s="47">
        <f>B93*0.5/100</f>
        <v>0.5</v>
      </c>
      <c r="W93" s="47" t="s">
        <v>454</v>
      </c>
      <c r="X93" s="47">
        <f>B93*0.12/100</f>
        <v>0.12</v>
      </c>
      <c r="Y93" s="47">
        <f>B93*0.18/100</f>
        <v>0.18</v>
      </c>
      <c r="Z93" s="47">
        <f>B93*0.08/100</f>
        <v>0.08</v>
      </c>
      <c r="AA93" s="47" t="s">
        <v>23</v>
      </c>
      <c r="AB93" s="47" t="s">
        <v>23</v>
      </c>
      <c r="AC93" s="3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</row>
    <row r="94" spans="1:52" s="55" customFormat="1">
      <c r="A94" s="46" t="s">
        <v>540</v>
      </c>
      <c r="B94" s="47">
        <v>100</v>
      </c>
      <c r="C94" s="47">
        <f>B94*78/100</f>
        <v>78</v>
      </c>
      <c r="D94" s="47">
        <f>B94*1.5/100</f>
        <v>1.5</v>
      </c>
      <c r="E94" s="47">
        <f>B94*0.1/100</f>
        <v>0.1</v>
      </c>
      <c r="F94" s="47"/>
      <c r="G94" s="47"/>
      <c r="H94" s="47"/>
      <c r="I94" s="47"/>
      <c r="J94" s="47"/>
      <c r="K94" s="47" t="s">
        <v>454</v>
      </c>
      <c r="L94" s="47">
        <f>B94*18.9/100</f>
        <v>18.899999999999999</v>
      </c>
      <c r="M94" s="47">
        <f>B94*2.6/100</f>
        <v>2.6</v>
      </c>
      <c r="N94" s="47">
        <f>B94*5/100</f>
        <v>5</v>
      </c>
      <c r="O94" s="47">
        <f>B94*15/100</f>
        <v>15</v>
      </c>
      <c r="P94" s="47">
        <f>B94*0.02/100</f>
        <v>0.02</v>
      </c>
      <c r="Q94" s="47">
        <f>B94*28/100</f>
        <v>28</v>
      </c>
      <c r="R94" s="47">
        <f>B94*0.3/100</f>
        <v>0.3</v>
      </c>
      <c r="S94" s="47">
        <f>B94*1/100</f>
        <v>1</v>
      </c>
      <c r="T94" s="47">
        <f>B94*203/100</f>
        <v>203</v>
      </c>
      <c r="U94" s="47">
        <f>B94*0.11/100</f>
        <v>0.11</v>
      </c>
      <c r="V94" s="47">
        <f>B94*0.2/100</f>
        <v>0.2</v>
      </c>
      <c r="W94" s="47" t="s">
        <v>454</v>
      </c>
      <c r="X94" s="47">
        <f>B94*0.12/100</f>
        <v>0.12</v>
      </c>
      <c r="Y94" s="47" t="s">
        <v>455</v>
      </c>
      <c r="Z94" s="47">
        <f>B94*0.12/100</f>
        <v>0.12</v>
      </c>
      <c r="AA94" s="47" t="s">
        <v>455</v>
      </c>
      <c r="AB94" s="47" t="s">
        <v>455</v>
      </c>
      <c r="AC94" s="3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</row>
    <row r="95" spans="1:52" s="55" customFormat="1">
      <c r="A95" s="46" t="s">
        <v>541</v>
      </c>
      <c r="B95" s="47">
        <v>100</v>
      </c>
      <c r="C95" s="47">
        <f>B95*96/100</f>
        <v>96</v>
      </c>
      <c r="D95" s="47">
        <f>B95*2.3/100</f>
        <v>2.2999999999999998</v>
      </c>
      <c r="E95" s="47">
        <f>B95*0.1/100</f>
        <v>0.1</v>
      </c>
      <c r="F95" s="47"/>
      <c r="G95" s="47"/>
      <c r="H95" s="47"/>
      <c r="I95" s="47"/>
      <c r="J95" s="47"/>
      <c r="K95" s="47" t="s">
        <v>454</v>
      </c>
      <c r="L95" s="47">
        <f>B95*23/100</f>
        <v>23</v>
      </c>
      <c r="M95" s="47">
        <f>B95*7.3/100</f>
        <v>7.3</v>
      </c>
      <c r="N95" s="47" t="s">
        <v>23</v>
      </c>
      <c r="O95" s="47">
        <f>B95*11/100</f>
        <v>11</v>
      </c>
      <c r="P95" s="47">
        <f>B95*0.01/100</f>
        <v>0.01</v>
      </c>
      <c r="Q95" s="47">
        <f>B95*35/100</f>
        <v>35</v>
      </c>
      <c r="R95" s="47">
        <f>B95*0.2/100</f>
        <v>0.2</v>
      </c>
      <c r="S95" s="47" t="s">
        <v>455</v>
      </c>
      <c r="T95" s="47" t="s">
        <v>23</v>
      </c>
      <c r="U95" s="47">
        <f>B95*0.06/100</f>
        <v>0.06</v>
      </c>
      <c r="V95" s="47">
        <f>B95*0.2/100</f>
        <v>0.2</v>
      </c>
      <c r="W95" s="47" t="s">
        <v>454</v>
      </c>
      <c r="X95" s="47">
        <f>B95*0.11/100</f>
        <v>0.11</v>
      </c>
      <c r="Y95" s="47" t="s">
        <v>455</v>
      </c>
      <c r="Z95" s="47">
        <f>B95*0.02/100</f>
        <v>0.02</v>
      </c>
      <c r="AA95" s="47" t="s">
        <v>23</v>
      </c>
      <c r="AB95" s="47" t="s">
        <v>23</v>
      </c>
      <c r="AC95" s="3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</row>
    <row r="96" spans="1:52" s="55" customFormat="1">
      <c r="A96" s="60" t="s">
        <v>542</v>
      </c>
      <c r="B96" s="59">
        <v>100</v>
      </c>
      <c r="C96" s="59">
        <f>B96*34/100</f>
        <v>34</v>
      </c>
      <c r="D96" s="59">
        <f>B96*3.2/100</f>
        <v>3.2</v>
      </c>
      <c r="E96" s="59">
        <f>B96*0.6/100</f>
        <v>0.6</v>
      </c>
      <c r="F96" s="59">
        <f>B96*0.1/100</f>
        <v>0.1</v>
      </c>
      <c r="G96" s="59" t="s">
        <v>455</v>
      </c>
      <c r="H96" s="59">
        <f>B96*0.3/100</f>
        <v>0.3</v>
      </c>
      <c r="I96" s="59">
        <f>B96*0.09/100</f>
        <v>0.09</v>
      </c>
      <c r="J96" s="59">
        <f>B96*0.17/100</f>
        <v>0.17</v>
      </c>
      <c r="K96" s="59" t="s">
        <v>454</v>
      </c>
      <c r="L96" s="59">
        <f>B96*6/100</f>
        <v>6</v>
      </c>
      <c r="M96" s="59">
        <f>B96*4.5/100</f>
        <v>4.5</v>
      </c>
      <c r="N96" s="59">
        <f>B96*455/100</f>
        <v>455</v>
      </c>
      <c r="O96" s="59">
        <f>B96*197/100</f>
        <v>197</v>
      </c>
      <c r="P96" s="59">
        <f>B96*0.89/100</f>
        <v>0.89</v>
      </c>
      <c r="Q96" s="59">
        <f>B96*77/100</f>
        <v>77</v>
      </c>
      <c r="R96" s="59">
        <f>B96*4.5/100</f>
        <v>4.5</v>
      </c>
      <c r="S96" s="59">
        <f>B96*14/100</f>
        <v>14</v>
      </c>
      <c r="T96" s="59">
        <f>B96*279/100</f>
        <v>279</v>
      </c>
      <c r="U96" s="59">
        <f>B96*0.37/100</f>
        <v>0.37</v>
      </c>
      <c r="V96" s="59">
        <f>B96*6/100</f>
        <v>6</v>
      </c>
      <c r="W96" s="59" t="s">
        <v>454</v>
      </c>
      <c r="X96" s="59" t="s">
        <v>455</v>
      </c>
      <c r="Y96" s="59">
        <f>B96*0.1/100</f>
        <v>0.1</v>
      </c>
      <c r="Z96" s="59">
        <f>B96*0.11/100</f>
        <v>0.11</v>
      </c>
      <c r="AA96" s="59" t="s">
        <v>455</v>
      </c>
      <c r="AB96" s="59">
        <f>B96*5.4/100</f>
        <v>5.4</v>
      </c>
      <c r="AC96" s="3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</row>
    <row r="97" spans="1:52" s="55" customFormat="1">
      <c r="A97" s="60" t="s">
        <v>543</v>
      </c>
      <c r="B97" s="59">
        <v>100</v>
      </c>
      <c r="C97" s="59">
        <f>B97*24/100</f>
        <v>24</v>
      </c>
      <c r="D97" s="59">
        <f>B97*1.9/100</f>
        <v>1.9</v>
      </c>
      <c r="E97" s="59">
        <f>B97*0.3/100</f>
        <v>0.3</v>
      </c>
      <c r="F97" s="59">
        <f>B97*0.1/100</f>
        <v>0.1</v>
      </c>
      <c r="G97" s="59" t="s">
        <v>455</v>
      </c>
      <c r="H97" s="59">
        <f>B97*0.1/100</f>
        <v>0.1</v>
      </c>
      <c r="I97" s="59">
        <f>B97*0.04/100</f>
        <v>0.04</v>
      </c>
      <c r="J97" s="59">
        <f>B97*0.1/100</f>
        <v>0.1</v>
      </c>
      <c r="K97" s="59" t="s">
        <v>454</v>
      </c>
      <c r="L97" s="59">
        <f>B97*4.8/100</f>
        <v>4.8</v>
      </c>
      <c r="M97" s="59">
        <f>B97*2/100</f>
        <v>2</v>
      </c>
      <c r="N97" s="59">
        <f>B97*57/100</f>
        <v>57</v>
      </c>
      <c r="O97" s="59">
        <f>B97*17/100</f>
        <v>17</v>
      </c>
      <c r="P97" s="59">
        <f>B97*0.34/100</f>
        <v>0.34</v>
      </c>
      <c r="Q97" s="59">
        <f>B97*32/100</f>
        <v>32</v>
      </c>
      <c r="R97" s="59">
        <f>B97*3.1/100</f>
        <v>3.1</v>
      </c>
      <c r="S97" s="59">
        <f>B97*9/100</f>
        <v>9</v>
      </c>
      <c r="T97" s="59">
        <f>B97*412/100</f>
        <v>412</v>
      </c>
      <c r="U97" s="59">
        <f>B97*0.27/100</f>
        <v>0.27</v>
      </c>
      <c r="V97" s="59">
        <f>B97*0.5/100</f>
        <v>0.5</v>
      </c>
      <c r="W97" s="59" t="s">
        <v>454</v>
      </c>
      <c r="X97" s="59" t="s">
        <v>455</v>
      </c>
      <c r="Y97" s="59" t="s">
        <v>455</v>
      </c>
      <c r="Z97" s="59">
        <f>B97*0.36/100</f>
        <v>0.36</v>
      </c>
      <c r="AA97" s="59">
        <f>B97*1.54/100</f>
        <v>1.54</v>
      </c>
      <c r="AB97" s="59">
        <f>B97*7.3/100</f>
        <v>7.3</v>
      </c>
      <c r="AC97" s="3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</row>
    <row r="98" spans="1:52" s="55" customFormat="1">
      <c r="A98" s="46" t="s">
        <v>544</v>
      </c>
      <c r="B98" s="47">
        <v>100</v>
      </c>
      <c r="C98" s="47">
        <f>B98*39/100</f>
        <v>39</v>
      </c>
      <c r="D98" s="47">
        <f>B98*1.7/100</f>
        <v>1.7</v>
      </c>
      <c r="E98" s="47">
        <f>B98*0.1/100</f>
        <v>0.1</v>
      </c>
      <c r="F98" s="47"/>
      <c r="G98" s="47"/>
      <c r="H98" s="47"/>
      <c r="I98" s="47"/>
      <c r="J98" s="47"/>
      <c r="K98" s="47" t="s">
        <v>454</v>
      </c>
      <c r="L98" s="47">
        <f>B98*8.9/100</f>
        <v>8.9</v>
      </c>
      <c r="M98" s="47">
        <f>B98*2.2/100</f>
        <v>2.2000000000000002</v>
      </c>
      <c r="N98" s="47">
        <f>B98*14/100</f>
        <v>14</v>
      </c>
      <c r="O98" s="47">
        <f>B98*404/100</f>
        <v>404</v>
      </c>
      <c r="P98" s="47">
        <f>B98*0.13/100</f>
        <v>0.13</v>
      </c>
      <c r="Q98" s="47">
        <f>B98*38/100</f>
        <v>38</v>
      </c>
      <c r="R98" s="47">
        <f>B98*0.2/100</f>
        <v>0.2</v>
      </c>
      <c r="S98" s="47">
        <f>B98*1/100</f>
        <v>1</v>
      </c>
      <c r="T98" s="47">
        <f>B98*176/100</f>
        <v>176</v>
      </c>
      <c r="U98" s="47">
        <f>B98*0.05/100</f>
        <v>0.05</v>
      </c>
      <c r="V98" s="47">
        <f>B98*0.2/100</f>
        <v>0.2</v>
      </c>
      <c r="W98" s="47" t="s">
        <v>454</v>
      </c>
      <c r="X98" s="47">
        <f>B98*0.04/100</f>
        <v>0.04</v>
      </c>
      <c r="Y98" s="47" t="s">
        <v>455</v>
      </c>
      <c r="Z98" s="47">
        <f>B98*0.14/100</f>
        <v>0.14000000000000001</v>
      </c>
      <c r="AA98" s="47" t="s">
        <v>23</v>
      </c>
      <c r="AB98" s="47">
        <f>B98*4.7/100</f>
        <v>4.7</v>
      </c>
      <c r="AC98" s="3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</row>
    <row r="99" spans="1:52" s="55" customFormat="1">
      <c r="A99" s="46" t="s">
        <v>545</v>
      </c>
      <c r="B99" s="47">
        <v>100</v>
      </c>
      <c r="C99" s="47">
        <f>B99*20/100</f>
        <v>20</v>
      </c>
      <c r="D99" s="47">
        <f>B99*1.9/100</f>
        <v>1.9</v>
      </c>
      <c r="E99" s="47">
        <f>B99*0.4/100</f>
        <v>0.4</v>
      </c>
      <c r="F99" s="47"/>
      <c r="G99" s="47"/>
      <c r="H99" s="47"/>
      <c r="I99" s="47"/>
      <c r="J99" s="47"/>
      <c r="K99" s="47" t="s">
        <v>454</v>
      </c>
      <c r="L99" s="47">
        <f>B99*3.4/100</f>
        <v>3.4</v>
      </c>
      <c r="M99" s="47">
        <f>B99*3.6/100</f>
        <v>3.6</v>
      </c>
      <c r="N99" s="47">
        <f>B99*80/100</f>
        <v>80</v>
      </c>
      <c r="O99" s="47">
        <f>B99*25/100</f>
        <v>25</v>
      </c>
      <c r="P99" s="47">
        <f>B99*0.13/100</f>
        <v>0.13</v>
      </c>
      <c r="Q99" s="47">
        <f>B99*27/100</f>
        <v>27</v>
      </c>
      <c r="R99" s="47">
        <f>B99*0.6/100</f>
        <v>0.6</v>
      </c>
      <c r="S99" s="47">
        <f>B99*2/100</f>
        <v>2</v>
      </c>
      <c r="T99" s="47">
        <f>B99*206/100</f>
        <v>206</v>
      </c>
      <c r="U99" s="47">
        <f>B99*0.04/100</f>
        <v>0.04</v>
      </c>
      <c r="V99" s="47">
        <f>B99*0.3/100</f>
        <v>0.3</v>
      </c>
      <c r="W99" s="47" t="s">
        <v>454</v>
      </c>
      <c r="X99" s="47">
        <f>B99*0.03/100</f>
        <v>0.03</v>
      </c>
      <c r="Y99" s="47">
        <f>B99*0.04/100</f>
        <v>0.04</v>
      </c>
      <c r="Z99" s="47">
        <f>B99*0.08/100</f>
        <v>0.08</v>
      </c>
      <c r="AA99" s="47" t="s">
        <v>455</v>
      </c>
      <c r="AB99" s="47" t="s">
        <v>23</v>
      </c>
      <c r="AC99" s="3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</row>
    <row r="100" spans="1:52" s="55" customFormat="1">
      <c r="A100" s="60" t="s">
        <v>546</v>
      </c>
      <c r="B100" s="59">
        <v>100</v>
      </c>
      <c r="C100" s="59">
        <f>B100*30/100</f>
        <v>30</v>
      </c>
      <c r="D100" s="59">
        <f>B100*0.8/100</f>
        <v>0.8</v>
      </c>
      <c r="E100" s="59">
        <f>B100*0.2/100</f>
        <v>0.2</v>
      </c>
      <c r="F100" s="59" t="s">
        <v>455</v>
      </c>
      <c r="G100" s="59" t="s">
        <v>455</v>
      </c>
      <c r="H100" s="59">
        <f>B100*0.1/100</f>
        <v>0.1</v>
      </c>
      <c r="I100" s="59">
        <f>B100*0.12/100</f>
        <v>0.12</v>
      </c>
      <c r="J100" s="59" t="s">
        <v>455</v>
      </c>
      <c r="K100" s="59" t="s">
        <v>454</v>
      </c>
      <c r="L100" s="59">
        <f>B100*6.7/100</f>
        <v>6.7</v>
      </c>
      <c r="M100" s="59">
        <f>B100*2.6/100</f>
        <v>2.6</v>
      </c>
      <c r="N100" s="59">
        <f>B100*26/100</f>
        <v>26</v>
      </c>
      <c r="O100" s="59">
        <f>B100*14/100</f>
        <v>14</v>
      </c>
      <c r="P100" s="59">
        <f>B100*0.05/100</f>
        <v>0.05</v>
      </c>
      <c r="Q100" s="59">
        <f>B100*27/100</f>
        <v>27</v>
      </c>
      <c r="R100" s="59">
        <f>B100*0.1/100</f>
        <v>0.1</v>
      </c>
      <c r="S100" s="59">
        <f>B100*8/100</f>
        <v>8</v>
      </c>
      <c r="T100" s="59">
        <f>B100*176/100</f>
        <v>176</v>
      </c>
      <c r="U100" s="59">
        <f>B100*0.02/100</f>
        <v>0.02</v>
      </c>
      <c r="V100" s="59">
        <f>B100*0.2/100</f>
        <v>0.2</v>
      </c>
      <c r="W100" s="59" t="s">
        <v>454</v>
      </c>
      <c r="X100" s="59">
        <f>B100*0.07/100</f>
        <v>7.0000000000000007E-2</v>
      </c>
      <c r="Y100" s="59" t="s">
        <v>455</v>
      </c>
      <c r="Z100" s="59">
        <f>B100*0.06/100</f>
        <v>0.06</v>
      </c>
      <c r="AA100" s="59">
        <f>B100*2.68/100</f>
        <v>2.68</v>
      </c>
      <c r="AB100" s="59" t="s">
        <v>455</v>
      </c>
      <c r="AC100" s="3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</row>
    <row r="101" spans="1:52" s="55" customFormat="1">
      <c r="A101" s="46" t="s">
        <v>547</v>
      </c>
      <c r="B101" s="47">
        <v>100</v>
      </c>
      <c r="C101" s="47">
        <f>B101*34/100</f>
        <v>34</v>
      </c>
      <c r="D101" s="47">
        <f>B101*1.3/100</f>
        <v>1.3</v>
      </c>
      <c r="E101" s="47">
        <f>B101*0.2/100</f>
        <v>0.2</v>
      </c>
      <c r="F101" s="47"/>
      <c r="G101" s="47"/>
      <c r="H101" s="47"/>
      <c r="I101" s="47"/>
      <c r="J101" s="47"/>
      <c r="K101" s="47" t="s">
        <v>454</v>
      </c>
      <c r="L101" s="47">
        <f>B101*7.7/100</f>
        <v>7.7</v>
      </c>
      <c r="M101" s="47">
        <f>B101*3.2/100</f>
        <v>3.2</v>
      </c>
      <c r="N101" s="47">
        <f>B101*23/100</f>
        <v>23</v>
      </c>
      <c r="O101" s="47">
        <f>B101*11/100</f>
        <v>11</v>
      </c>
      <c r="P101" s="47">
        <f>B101*0.05/100</f>
        <v>0.05</v>
      </c>
      <c r="Q101" s="47">
        <f>B101*28/100</f>
        <v>28</v>
      </c>
      <c r="R101" s="47">
        <f>B101*0.2/100</f>
        <v>0.2</v>
      </c>
      <c r="S101" s="47">
        <f>B101*3/100</f>
        <v>3</v>
      </c>
      <c r="T101" s="47">
        <f>B101*315/100</f>
        <v>315</v>
      </c>
      <c r="U101" s="47">
        <f>B101*0.05/100</f>
        <v>0.05</v>
      </c>
      <c r="V101" s="47">
        <f>B101*0.2/100</f>
        <v>0.2</v>
      </c>
      <c r="W101" s="47" t="s">
        <v>454</v>
      </c>
      <c r="X101" s="47" t="s">
        <v>455</v>
      </c>
      <c r="Y101" s="47" t="s">
        <v>455</v>
      </c>
      <c r="Z101" s="47">
        <f>B101*0.05/100</f>
        <v>0.05</v>
      </c>
      <c r="AA101" s="47" t="s">
        <v>23</v>
      </c>
      <c r="AB101" s="47">
        <f>B101*5.1/100</f>
        <v>5.0999999999999996</v>
      </c>
      <c r="AC101" s="3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</row>
    <row r="102" spans="1:52" s="55" customFormat="1">
      <c r="A102" s="46" t="s">
        <v>548</v>
      </c>
      <c r="B102" s="47">
        <v>100</v>
      </c>
      <c r="C102" s="47">
        <f>B102*14/100</f>
        <v>14</v>
      </c>
      <c r="D102" s="47">
        <f>B102*1.1/100</f>
        <v>1.1000000000000001</v>
      </c>
      <c r="E102" s="47">
        <f>B102*0.1/100</f>
        <v>0.1</v>
      </c>
      <c r="F102" s="47"/>
      <c r="G102" s="47"/>
      <c r="H102" s="47"/>
      <c r="I102" s="47"/>
      <c r="J102" s="47"/>
      <c r="K102" s="47" t="s">
        <v>454</v>
      </c>
      <c r="L102" s="47">
        <f>B102*2.9/100</f>
        <v>2.9</v>
      </c>
      <c r="M102" s="47">
        <f>B102*2.2/100</f>
        <v>2.2000000000000002</v>
      </c>
      <c r="N102" s="47">
        <f>B102*45/100</f>
        <v>45</v>
      </c>
      <c r="O102" s="47">
        <f>B102*14/100</f>
        <v>14</v>
      </c>
      <c r="P102" s="47">
        <f>B102*0.13/100</f>
        <v>0.13</v>
      </c>
      <c r="Q102" s="47" t="s">
        <v>23</v>
      </c>
      <c r="R102" s="47">
        <f>B102*0.5/100</f>
        <v>0.5</v>
      </c>
      <c r="S102" s="47" t="s">
        <v>23</v>
      </c>
      <c r="T102" s="47">
        <f>B102*425/100</f>
        <v>425</v>
      </c>
      <c r="U102" s="47">
        <f>B102*0.04/100</f>
        <v>0.04</v>
      </c>
      <c r="V102" s="47" t="s">
        <v>23</v>
      </c>
      <c r="W102" s="47" t="s">
        <v>454</v>
      </c>
      <c r="X102" s="47">
        <f>B102*0.03/100</f>
        <v>0.03</v>
      </c>
      <c r="Y102" s="47">
        <f>B102*0.1/100</f>
        <v>0.1</v>
      </c>
      <c r="Z102" s="47" t="s">
        <v>455</v>
      </c>
      <c r="AA102" s="47" t="s">
        <v>23</v>
      </c>
      <c r="AB102" s="47" t="s">
        <v>23</v>
      </c>
      <c r="AC102" s="3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</row>
    <row r="103" spans="1:52" s="55" customFormat="1">
      <c r="A103" s="46" t="s">
        <v>549</v>
      </c>
      <c r="B103" s="47">
        <v>100</v>
      </c>
      <c r="C103" s="47">
        <f>B103*19/100</f>
        <v>19</v>
      </c>
      <c r="D103" s="47">
        <f>B103*0.4/100</f>
        <v>0.4</v>
      </c>
      <c r="E103" s="47" t="s">
        <v>455</v>
      </c>
      <c r="F103" s="47"/>
      <c r="G103" s="47"/>
      <c r="H103" s="47"/>
      <c r="I103" s="47"/>
      <c r="J103" s="47"/>
      <c r="K103" s="47" t="s">
        <v>454</v>
      </c>
      <c r="L103" s="47">
        <f>B103*4.8/100</f>
        <v>4.8</v>
      </c>
      <c r="M103" s="47">
        <f>B103*1/100</f>
        <v>1</v>
      </c>
      <c r="N103" s="47">
        <f>B103*8/100</f>
        <v>8</v>
      </c>
      <c r="O103" s="47">
        <f>B103*7/100</f>
        <v>7</v>
      </c>
      <c r="P103" s="47">
        <f>B103*0.07/100</f>
        <v>7.0000000000000007E-2</v>
      </c>
      <c r="Q103" s="47">
        <f>B103*13/100</f>
        <v>13</v>
      </c>
      <c r="R103" s="47">
        <f>B103*0.1/100</f>
        <v>0.1</v>
      </c>
      <c r="S103" s="47">
        <f>B103*2/100</f>
        <v>2</v>
      </c>
      <c r="T103" s="47">
        <f>B103*54/100</f>
        <v>54</v>
      </c>
      <c r="U103" s="47" t="s">
        <v>455</v>
      </c>
      <c r="V103" s="47">
        <f>B103*0.1/100</f>
        <v>0.1</v>
      </c>
      <c r="W103" s="47" t="s">
        <v>454</v>
      </c>
      <c r="X103" s="47">
        <f>B103*0.03/100</f>
        <v>0.03</v>
      </c>
      <c r="Y103" s="47" t="s">
        <v>455</v>
      </c>
      <c r="Z103" s="47" t="s">
        <v>455</v>
      </c>
      <c r="AA103" s="47" t="s">
        <v>455</v>
      </c>
      <c r="AB103" s="47">
        <f>B103*5.6/100</f>
        <v>5.6</v>
      </c>
      <c r="AC103" s="3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</row>
    <row r="104" spans="1:52" s="55" customFormat="1">
      <c r="A104" s="46" t="s">
        <v>550</v>
      </c>
      <c r="B104" s="47">
        <v>100</v>
      </c>
      <c r="C104" s="47">
        <f>B104*17/100</f>
        <v>17</v>
      </c>
      <c r="D104" s="47">
        <f>B104*0.7/100</f>
        <v>0.7</v>
      </c>
      <c r="E104" s="47">
        <f>B104*0.1/100</f>
        <v>0.1</v>
      </c>
      <c r="F104" s="47"/>
      <c r="G104" s="47"/>
      <c r="H104" s="47"/>
      <c r="I104" s="47"/>
      <c r="J104" s="47"/>
      <c r="K104" s="47" t="s">
        <v>454</v>
      </c>
      <c r="L104" s="47">
        <f>B104*4.1/100</f>
        <v>4.0999999999999996</v>
      </c>
      <c r="M104" s="47">
        <f>B104*1.3/100</f>
        <v>1.3</v>
      </c>
      <c r="N104" s="47">
        <f>B104*12/100</f>
        <v>12</v>
      </c>
      <c r="O104" s="47">
        <f>B104*7/100</f>
        <v>7</v>
      </c>
      <c r="P104" s="47">
        <f>B104*0.08/100</f>
        <v>0.08</v>
      </c>
      <c r="Q104" s="47">
        <f>B104*18/100</f>
        <v>18</v>
      </c>
      <c r="R104" s="47">
        <f>B104*0.2/100</f>
        <v>0.2</v>
      </c>
      <c r="S104" s="47" t="s">
        <v>455</v>
      </c>
      <c r="T104" s="47">
        <f>B104*126/100</f>
        <v>126</v>
      </c>
      <c r="U104" s="47">
        <f>B104*0.03/100</f>
        <v>0.03</v>
      </c>
      <c r="V104" s="47">
        <f>B104*0.1/100</f>
        <v>0.1</v>
      </c>
      <c r="W104" s="47" t="s">
        <v>454</v>
      </c>
      <c r="X104" s="47" t="s">
        <v>455</v>
      </c>
      <c r="Y104" s="47" t="s">
        <v>455</v>
      </c>
      <c r="Z104" s="47" t="s">
        <v>455</v>
      </c>
      <c r="AA104" s="47" t="s">
        <v>23</v>
      </c>
      <c r="AB104" s="47" t="s">
        <v>23</v>
      </c>
      <c r="AC104" s="3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</row>
    <row r="105" spans="1:52" s="55" customFormat="1">
      <c r="A105" s="46" t="s">
        <v>457</v>
      </c>
      <c r="B105" s="47">
        <v>100</v>
      </c>
      <c r="C105" s="47">
        <f>B105*309/100</f>
        <v>309</v>
      </c>
      <c r="D105" s="47">
        <f>B105*20.9/100</f>
        <v>20.9</v>
      </c>
      <c r="E105" s="47">
        <f>B105*10.4/100</f>
        <v>10.4</v>
      </c>
      <c r="F105" s="47"/>
      <c r="G105" s="47"/>
      <c r="H105" s="47"/>
      <c r="I105" s="47"/>
      <c r="J105" s="47"/>
      <c r="K105" s="47" t="s">
        <v>454</v>
      </c>
      <c r="L105" s="47">
        <f>B105*48/100</f>
        <v>48</v>
      </c>
      <c r="M105" s="47">
        <f>B105*37.3/100</f>
        <v>37.299999999999997</v>
      </c>
      <c r="N105" s="47">
        <f>B105*784/100</f>
        <v>784</v>
      </c>
      <c r="O105" s="47">
        <f>B105*393/100</f>
        <v>393</v>
      </c>
      <c r="P105" s="47">
        <f>B105*10.48/100</f>
        <v>10.48</v>
      </c>
      <c r="Q105" s="47">
        <f>B105*388/100</f>
        <v>388</v>
      </c>
      <c r="R105" s="47">
        <f>B105*81.4/100</f>
        <v>81.400000000000006</v>
      </c>
      <c r="S105" s="47">
        <f>B105*18/100</f>
        <v>18</v>
      </c>
      <c r="T105" s="47">
        <f>B105*3223/100</f>
        <v>3223</v>
      </c>
      <c r="U105" s="47">
        <f>B105*4.09/100</f>
        <v>4.09</v>
      </c>
      <c r="V105" s="47">
        <f>B105*4.7/100</f>
        <v>4.7</v>
      </c>
      <c r="W105" s="47" t="s">
        <v>454</v>
      </c>
      <c r="X105" s="47">
        <f>B105*0.1/100</f>
        <v>0.1</v>
      </c>
      <c r="Y105" s="47">
        <f>B105*0.11/100</f>
        <v>0.11</v>
      </c>
      <c r="Z105" s="47">
        <f>B105*0.09/100</f>
        <v>0.09</v>
      </c>
      <c r="AA105" s="47" t="s">
        <v>455</v>
      </c>
      <c r="AB105" s="47">
        <f>B105*40.8/100</f>
        <v>40.799999999999997</v>
      </c>
      <c r="AC105" s="3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</row>
    <row r="106" spans="1:52" s="55" customFormat="1">
      <c r="A106" s="46" t="s">
        <v>551</v>
      </c>
      <c r="B106" s="47">
        <v>100</v>
      </c>
      <c r="C106" s="47">
        <f>B106*27/100</f>
        <v>27</v>
      </c>
      <c r="D106" s="47">
        <f>B106*2.9/100</f>
        <v>2.9</v>
      </c>
      <c r="E106" s="47">
        <f>B106*0.5/100</f>
        <v>0.5</v>
      </c>
      <c r="F106" s="47"/>
      <c r="G106" s="47"/>
      <c r="H106" s="47"/>
      <c r="I106" s="47"/>
      <c r="J106" s="47"/>
      <c r="K106" s="47" t="s">
        <v>454</v>
      </c>
      <c r="L106" s="47">
        <f>B106*4.3/100</f>
        <v>4.3</v>
      </c>
      <c r="M106" s="47">
        <f>B106*3.1/100</f>
        <v>3.1</v>
      </c>
      <c r="N106" s="47" t="s">
        <v>23</v>
      </c>
      <c r="O106" s="47">
        <f>B106*35/100</f>
        <v>35</v>
      </c>
      <c r="P106" s="47">
        <f>B106*1.02/100</f>
        <v>1.02</v>
      </c>
      <c r="Q106" s="47" t="s">
        <v>23</v>
      </c>
      <c r="R106" s="47" t="s">
        <v>23</v>
      </c>
      <c r="S106" s="47" t="s">
        <v>23</v>
      </c>
      <c r="T106" s="47">
        <f>B106*403/100</f>
        <v>403</v>
      </c>
      <c r="U106" s="47">
        <f>B106*0.06/100</f>
        <v>0.06</v>
      </c>
      <c r="V106" s="47">
        <f>B106*0.4/100</f>
        <v>0.4</v>
      </c>
      <c r="W106" s="47" t="s">
        <v>454</v>
      </c>
      <c r="X106" s="47">
        <f>B106*0.2/100</f>
        <v>0.2</v>
      </c>
      <c r="Y106" s="47">
        <f>B106*0.31/100</f>
        <v>0.31</v>
      </c>
      <c r="Z106" s="47">
        <f>B106*0.06/100</f>
        <v>0.06</v>
      </c>
      <c r="AA106" s="47" t="s">
        <v>23</v>
      </c>
      <c r="AB106" s="47" t="s">
        <v>23</v>
      </c>
      <c r="AC106" s="3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</row>
    <row r="107" spans="1:52" s="55" customFormat="1">
      <c r="A107" s="60" t="s">
        <v>552</v>
      </c>
      <c r="B107" s="59">
        <v>100</v>
      </c>
      <c r="C107" s="59">
        <f>B107*90/100</f>
        <v>90</v>
      </c>
      <c r="D107" s="59">
        <f>B107*1.7/100</f>
        <v>1.7</v>
      </c>
      <c r="E107" s="59">
        <f>B107*6.6/100</f>
        <v>6.6</v>
      </c>
      <c r="F107" s="59">
        <f>B107*1/100</f>
        <v>1</v>
      </c>
      <c r="G107" s="59">
        <f>B107*1.6/100</f>
        <v>1.6</v>
      </c>
      <c r="H107" s="59">
        <f>B107*3.6/100</f>
        <v>3.6</v>
      </c>
      <c r="I107" s="59">
        <f>B107*3.16/100</f>
        <v>3.16</v>
      </c>
      <c r="J107" s="59">
        <f>B107*0.38/100</f>
        <v>0.38</v>
      </c>
      <c r="K107" s="59" t="s">
        <v>454</v>
      </c>
      <c r="L107" s="59">
        <f>B107*8.7/100</f>
        <v>8.6999999999999993</v>
      </c>
      <c r="M107" s="59">
        <f>B107*5.7/100</f>
        <v>5.7</v>
      </c>
      <c r="N107" s="59">
        <f>B107*177/100</f>
        <v>177</v>
      </c>
      <c r="O107" s="59">
        <f>B107*26/100</f>
        <v>26</v>
      </c>
      <c r="P107" s="59">
        <f>B107*0.12/100</f>
        <v>0.12</v>
      </c>
      <c r="Q107" s="59">
        <f>B107*33/100</f>
        <v>33</v>
      </c>
      <c r="R107" s="59">
        <f>B107*0.5/100</f>
        <v>0.5</v>
      </c>
      <c r="S107" s="59">
        <f>B107*11/100</f>
        <v>11</v>
      </c>
      <c r="T107" s="59">
        <f>B107*315/100</f>
        <v>315</v>
      </c>
      <c r="U107" s="59">
        <f>B107*0.02/100</f>
        <v>0.02</v>
      </c>
      <c r="V107" s="59">
        <f>B107*0.2/100</f>
        <v>0.2</v>
      </c>
      <c r="W107" s="59" t="s">
        <v>454</v>
      </c>
      <c r="X107" s="59" t="s">
        <v>455</v>
      </c>
      <c r="Y107" s="59">
        <f>B107*0.05/100</f>
        <v>0.05</v>
      </c>
      <c r="Z107" s="59">
        <f>B107*0.07/100</f>
        <v>7.0000000000000007E-2</v>
      </c>
      <c r="AA107" s="59" t="s">
        <v>455</v>
      </c>
      <c r="AB107" s="59">
        <f>B107*76.9/100</f>
        <v>76.900000000000006</v>
      </c>
      <c r="AC107" s="3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</row>
    <row r="108" spans="1:52" s="55" customFormat="1">
      <c r="A108" s="46" t="s">
        <v>553</v>
      </c>
      <c r="B108" s="47">
        <v>100</v>
      </c>
      <c r="C108" s="47">
        <f>B108*23/100</f>
        <v>23</v>
      </c>
      <c r="D108" s="47">
        <f>B108*1.9/100</f>
        <v>1.9</v>
      </c>
      <c r="E108" s="47">
        <f>B108*0.2/100</f>
        <v>0.2</v>
      </c>
      <c r="F108" s="47"/>
      <c r="G108" s="47"/>
      <c r="H108" s="47"/>
      <c r="I108" s="47"/>
      <c r="J108" s="47"/>
      <c r="K108" s="47" t="s">
        <v>454</v>
      </c>
      <c r="L108" s="47">
        <f>B108*4.5/100</f>
        <v>4.5</v>
      </c>
      <c r="M108" s="47">
        <f>B108*2.4/100</f>
        <v>2.4</v>
      </c>
      <c r="N108" s="47">
        <f>B108*18/100</f>
        <v>18</v>
      </c>
      <c r="O108" s="47">
        <f>B108*12/100</f>
        <v>12</v>
      </c>
      <c r="P108" s="47">
        <f>B108*0.16/100</f>
        <v>0.16</v>
      </c>
      <c r="Q108" s="47">
        <f>B108*57/100</f>
        <v>57</v>
      </c>
      <c r="R108" s="47">
        <f>B108*0.5/100</f>
        <v>0.5</v>
      </c>
      <c r="S108" s="47">
        <f>B108*3/100</f>
        <v>3</v>
      </c>
      <c r="T108" s="47">
        <f>B108*256/100</f>
        <v>256</v>
      </c>
      <c r="U108" s="47">
        <f>B108*0.03/100</f>
        <v>0.03</v>
      </c>
      <c r="V108" s="47">
        <f>B108*0.3/100</f>
        <v>0.3</v>
      </c>
      <c r="W108" s="47" t="s">
        <v>454</v>
      </c>
      <c r="X108" s="47">
        <f>B108*0.03/100</f>
        <v>0.03</v>
      </c>
      <c r="Y108" s="47">
        <f>B108*0.09/100</f>
        <v>0.09</v>
      </c>
      <c r="Z108" s="47">
        <f>B108*0.1/100</f>
        <v>0.1</v>
      </c>
      <c r="AA108" s="47" t="s">
        <v>23</v>
      </c>
      <c r="AB108" s="47" t="s">
        <v>23</v>
      </c>
      <c r="AC108" s="3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</row>
    <row r="109" spans="1:52" s="55" customFormat="1">
      <c r="A109" s="60" t="s">
        <v>554</v>
      </c>
      <c r="B109" s="59">
        <v>100</v>
      </c>
      <c r="C109" s="59">
        <f>B109*19/100</f>
        <v>19</v>
      </c>
      <c r="D109" s="59">
        <f>B109*1.2/100</f>
        <v>1.2</v>
      </c>
      <c r="E109" s="59">
        <f>B109*0.3/100</f>
        <v>0.3</v>
      </c>
      <c r="F109" s="59">
        <f>B109*0.1/100</f>
        <v>0.1</v>
      </c>
      <c r="G109" s="59" t="s">
        <v>455</v>
      </c>
      <c r="H109" s="59">
        <f>B109*0.1/100</f>
        <v>0.1</v>
      </c>
      <c r="I109" s="59">
        <f>B109*0.06/100</f>
        <v>0.06</v>
      </c>
      <c r="J109" s="59">
        <f>B109*0.06/100</f>
        <v>0.06</v>
      </c>
      <c r="K109" s="59" t="s">
        <v>454</v>
      </c>
      <c r="L109" s="59">
        <f>B109*3.9/100</f>
        <v>3.9</v>
      </c>
      <c r="M109" s="59">
        <f>B109*2.1/100</f>
        <v>2.1</v>
      </c>
      <c r="N109" s="59">
        <f>B109*16/100</f>
        <v>16</v>
      </c>
      <c r="O109" s="59">
        <f>B109*5/100</f>
        <v>5</v>
      </c>
      <c r="P109" s="59">
        <f>B109*0.1/100</f>
        <v>0.1</v>
      </c>
      <c r="Q109" s="59">
        <f>B109*25/100</f>
        <v>25</v>
      </c>
      <c r="R109" s="59">
        <f>B109*0.1/100</f>
        <v>0.1</v>
      </c>
      <c r="S109" s="59">
        <f>B109*2/100</f>
        <v>2</v>
      </c>
      <c r="T109" s="59">
        <f>B109*80/100</f>
        <v>80</v>
      </c>
      <c r="U109" s="59" t="s">
        <v>455</v>
      </c>
      <c r="V109" s="59">
        <f>B109*0.3/100</f>
        <v>0.3</v>
      </c>
      <c r="W109" s="59" t="s">
        <v>454</v>
      </c>
      <c r="X109" s="59">
        <f>B109*0.04/100</f>
        <v>0.04</v>
      </c>
      <c r="Y109" s="59" t="s">
        <v>455</v>
      </c>
      <c r="Z109" s="59" t="s">
        <v>455</v>
      </c>
      <c r="AA109" s="59" t="s">
        <v>455</v>
      </c>
      <c r="AB109" s="59">
        <f>B109*23.7/100</f>
        <v>23.7</v>
      </c>
      <c r="AC109" s="3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</row>
    <row r="110" spans="1:52" s="55" customFormat="1">
      <c r="A110" s="46" t="s">
        <v>555</v>
      </c>
      <c r="B110" s="47">
        <v>100</v>
      </c>
      <c r="C110" s="47">
        <f>B110*16/100</f>
        <v>16</v>
      </c>
      <c r="D110" s="47">
        <f>B110*2/100</f>
        <v>2</v>
      </c>
      <c r="E110" s="47">
        <f>B110*0.2/100</f>
        <v>0.2</v>
      </c>
      <c r="F110" s="47"/>
      <c r="G110" s="47"/>
      <c r="H110" s="47"/>
      <c r="I110" s="47"/>
      <c r="J110" s="47"/>
      <c r="K110" s="47" t="s">
        <v>454</v>
      </c>
      <c r="L110" s="47">
        <f>B110*2.6/100</f>
        <v>2.6</v>
      </c>
      <c r="M110" s="47">
        <f>B110*2.1/100</f>
        <v>2.1</v>
      </c>
      <c r="N110" s="47">
        <f>B110*98/100</f>
        <v>98</v>
      </c>
      <c r="O110" s="47">
        <f>B110*82/100</f>
        <v>82</v>
      </c>
      <c r="P110" s="47">
        <f>B110*0.71/100</f>
        <v>0.71</v>
      </c>
      <c r="Q110" s="47">
        <f>B110*25/100</f>
        <v>25</v>
      </c>
      <c r="R110" s="47" t="s">
        <v>23</v>
      </c>
      <c r="S110" s="47" t="s">
        <v>23</v>
      </c>
      <c r="T110" s="47">
        <f>B110*336/100</f>
        <v>336</v>
      </c>
      <c r="U110" s="47">
        <f>B110*0.06/100</f>
        <v>0.06</v>
      </c>
      <c r="V110" s="47">
        <f>B110*0.3/100</f>
        <v>0.3</v>
      </c>
      <c r="W110" s="47" t="s">
        <v>454</v>
      </c>
      <c r="X110" s="47">
        <f>B110*0.1/100</f>
        <v>0.1</v>
      </c>
      <c r="Y110" s="47">
        <f>B110*0.21/100</f>
        <v>0.21</v>
      </c>
      <c r="Z110" s="47">
        <f>B110*0.06/100</f>
        <v>0.06</v>
      </c>
      <c r="AA110" s="47" t="s">
        <v>23</v>
      </c>
      <c r="AB110" s="47" t="s">
        <v>23</v>
      </c>
      <c r="AC110" s="3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</row>
    <row r="111" spans="1:52" s="55" customFormat="1">
      <c r="A111" s="60" t="s">
        <v>556</v>
      </c>
      <c r="B111" s="59">
        <v>100</v>
      </c>
      <c r="C111" s="59">
        <f>B111*67/100</f>
        <v>67</v>
      </c>
      <c r="D111" s="59">
        <f>B111*2.7/100</f>
        <v>2.7</v>
      </c>
      <c r="E111" s="59">
        <f>B111*5.4/100</f>
        <v>5.4</v>
      </c>
      <c r="F111" s="59">
        <f>B111*0.9/100</f>
        <v>0.9</v>
      </c>
      <c r="G111" s="59">
        <f>B111*1.3/100</f>
        <v>1.3</v>
      </c>
      <c r="H111" s="59">
        <f>B111*2.9/100</f>
        <v>2.9</v>
      </c>
      <c r="I111" s="59">
        <f>B111*2.55/100</f>
        <v>2.5499999999999998</v>
      </c>
      <c r="J111" s="59">
        <f>B111*0.38/100</f>
        <v>0.38</v>
      </c>
      <c r="K111" s="59" t="s">
        <v>454</v>
      </c>
      <c r="L111" s="59">
        <f>B111*4.2/100</f>
        <v>4.2</v>
      </c>
      <c r="M111" s="59">
        <f>B111*2.5/100</f>
        <v>2.5</v>
      </c>
      <c r="N111" s="59">
        <f>B111*112/100</f>
        <v>112</v>
      </c>
      <c r="O111" s="59">
        <f>B111*123/100</f>
        <v>123</v>
      </c>
      <c r="P111" s="59">
        <f>B111*0.61/100</f>
        <v>0.61</v>
      </c>
      <c r="Q111" s="59">
        <f>B111*34/100</f>
        <v>34</v>
      </c>
      <c r="R111" s="59">
        <f>B111*0.6/100</f>
        <v>0.6</v>
      </c>
      <c r="S111" s="59">
        <f>B111*47/100</f>
        <v>47</v>
      </c>
      <c r="T111" s="59">
        <f>B111*149/100</f>
        <v>149</v>
      </c>
      <c r="U111" s="59">
        <f>B111*0.04/100</f>
        <v>0.04</v>
      </c>
      <c r="V111" s="59">
        <f>B111*0.6/100</f>
        <v>0.6</v>
      </c>
      <c r="W111" s="59" t="s">
        <v>454</v>
      </c>
      <c r="X111" s="59">
        <f>B111*0.08/100</f>
        <v>0.08</v>
      </c>
      <c r="Y111" s="59">
        <f>B111*0.13/100</f>
        <v>0.13</v>
      </c>
      <c r="Z111" s="59">
        <f>B111*0.13/100</f>
        <v>0.13</v>
      </c>
      <c r="AA111" s="59" t="s">
        <v>23</v>
      </c>
      <c r="AB111" s="59">
        <f>B111*5.3/100</f>
        <v>5.3</v>
      </c>
      <c r="AC111" s="3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</row>
    <row r="112" spans="1:52" s="55" customFormat="1">
      <c r="A112" s="60" t="s">
        <v>557</v>
      </c>
      <c r="B112" s="59">
        <v>100</v>
      </c>
      <c r="C112" s="59">
        <f>B112*361/100</f>
        <v>361</v>
      </c>
      <c r="D112" s="59">
        <f>B112*1.6/100</f>
        <v>1.6</v>
      </c>
      <c r="E112" s="59">
        <f>B112*0.3/100</f>
        <v>0.3</v>
      </c>
      <c r="F112" s="59">
        <f>B112*0.1/100</f>
        <v>0.1</v>
      </c>
      <c r="G112" s="59">
        <f>B112*0.1/100</f>
        <v>0.1</v>
      </c>
      <c r="H112" s="59" t="s">
        <v>455</v>
      </c>
      <c r="I112" s="59">
        <f>B112*0.03/100</f>
        <v>0.03</v>
      </c>
      <c r="J112" s="59">
        <f>B112*0.01/100</f>
        <v>0.01</v>
      </c>
      <c r="K112" s="59" t="s">
        <v>454</v>
      </c>
      <c r="L112" s="59">
        <f>B112*87.9/100</f>
        <v>87.9</v>
      </c>
      <c r="M112" s="59">
        <f>B112*6.4/100</f>
        <v>6.4</v>
      </c>
      <c r="N112" s="59">
        <f>B112*65/100</f>
        <v>65</v>
      </c>
      <c r="O112" s="59">
        <f>B112*37/100</f>
        <v>37</v>
      </c>
      <c r="P112" s="59" t="s">
        <v>455</v>
      </c>
      <c r="Q112" s="59">
        <f>B112*42/100</f>
        <v>42</v>
      </c>
      <c r="R112" s="59">
        <f>B112*1.1/100</f>
        <v>1.1000000000000001</v>
      </c>
      <c r="S112" s="59">
        <f>B112*1/100</f>
        <v>1</v>
      </c>
      <c r="T112" s="59">
        <f>B112*340/100</f>
        <v>340</v>
      </c>
      <c r="U112" s="59">
        <f>B112*0.08/100</f>
        <v>0.08</v>
      </c>
      <c r="V112" s="59">
        <f>B112*0.4/100</f>
        <v>0.4</v>
      </c>
      <c r="W112" s="59" t="s">
        <v>454</v>
      </c>
      <c r="X112" s="59">
        <f>B112*0.14/100</f>
        <v>0.14000000000000001</v>
      </c>
      <c r="Y112" s="59" t="s">
        <v>455</v>
      </c>
      <c r="Z112" s="59"/>
      <c r="AA112" s="59" t="s">
        <v>23</v>
      </c>
      <c r="AB112" s="59"/>
      <c r="AC112" s="3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</row>
    <row r="113" spans="1:52" s="55" customFormat="1">
      <c r="A113" s="60" t="s">
        <v>558</v>
      </c>
      <c r="B113" s="59">
        <v>100</v>
      </c>
      <c r="C113" s="59">
        <f>B113*365/100</f>
        <v>365</v>
      </c>
      <c r="D113" s="59">
        <f>B113*1.2/100</f>
        <v>1.2</v>
      </c>
      <c r="E113" s="59">
        <f>B113*0.3/100</f>
        <v>0.3</v>
      </c>
      <c r="F113" s="59">
        <f>B113*0.1/100</f>
        <v>0.1</v>
      </c>
      <c r="G113" s="59">
        <f>B113*0.1/100</f>
        <v>0.1</v>
      </c>
      <c r="H113" s="59" t="s">
        <v>455</v>
      </c>
      <c r="I113" s="59">
        <f>B113*0.03/100</f>
        <v>0.03</v>
      </c>
      <c r="J113" s="59">
        <f>B113*0.01/100</f>
        <v>0.01</v>
      </c>
      <c r="K113" s="59" t="s">
        <v>454</v>
      </c>
      <c r="L113" s="59">
        <f>B113*89.2/100</f>
        <v>89.2</v>
      </c>
      <c r="M113" s="59">
        <f>B113*6.5/100</f>
        <v>6.5</v>
      </c>
      <c r="N113" s="59">
        <f>B113*76/100</f>
        <v>76</v>
      </c>
      <c r="O113" s="59">
        <f>B113*40/100</f>
        <v>40</v>
      </c>
      <c r="P113" s="59">
        <f>B113*0.37/100</f>
        <v>0.37</v>
      </c>
      <c r="Q113" s="59">
        <f>B113*39/100</f>
        <v>39</v>
      </c>
      <c r="R113" s="59">
        <f>B113*1.2/100</f>
        <v>1.2</v>
      </c>
      <c r="S113" s="59">
        <f>B113*10/100</f>
        <v>10</v>
      </c>
      <c r="T113" s="59">
        <f>B113*328/100</f>
        <v>328</v>
      </c>
      <c r="U113" s="59" t="s">
        <v>455</v>
      </c>
      <c r="V113" s="59">
        <f>B113*0.4/100</f>
        <v>0.4</v>
      </c>
      <c r="W113" s="59" t="s">
        <v>454</v>
      </c>
      <c r="X113" s="59" t="s">
        <v>455</v>
      </c>
      <c r="Y113" s="59" t="s">
        <v>455</v>
      </c>
      <c r="Z113" s="59">
        <f>B113*0.81/100</f>
        <v>0.81</v>
      </c>
      <c r="AA113" s="59" t="s">
        <v>455</v>
      </c>
      <c r="AB113" s="59" t="s">
        <v>455</v>
      </c>
      <c r="AC113" s="3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</row>
    <row r="114" spans="1:52" s="55" customFormat="1">
      <c r="A114" s="46" t="s">
        <v>559</v>
      </c>
      <c r="B114" s="47">
        <v>100</v>
      </c>
      <c r="C114" s="47">
        <f>B114*331/100</f>
        <v>331</v>
      </c>
      <c r="D114" s="47">
        <f>B114*0.5/100</f>
        <v>0.5</v>
      </c>
      <c r="E114" s="47">
        <f>B114*0.3/100</f>
        <v>0.3</v>
      </c>
      <c r="F114" s="47"/>
      <c r="G114" s="47"/>
      <c r="H114" s="47"/>
      <c r="I114" s="47"/>
      <c r="J114" s="47"/>
      <c r="K114" s="47" t="s">
        <v>454</v>
      </c>
      <c r="L114" s="47">
        <f>B114*81.1/100</f>
        <v>81.099999999999994</v>
      </c>
      <c r="M114" s="47">
        <f>B114*0.6/100</f>
        <v>0.6</v>
      </c>
      <c r="N114" s="47">
        <f>B114*12/100</f>
        <v>12</v>
      </c>
      <c r="O114" s="47">
        <f>B114*3/100</f>
        <v>3</v>
      </c>
      <c r="P114" s="47" t="s">
        <v>455</v>
      </c>
      <c r="Q114" s="47">
        <f>B114*60/100</f>
        <v>60</v>
      </c>
      <c r="R114" s="47">
        <f>B114*0.1/100</f>
        <v>0.1</v>
      </c>
      <c r="S114" s="47">
        <f>B114*2/100</f>
        <v>2</v>
      </c>
      <c r="T114" s="47">
        <f>B114*48/100</f>
        <v>48</v>
      </c>
      <c r="U114" s="47" t="s">
        <v>455</v>
      </c>
      <c r="V114" s="47" t="s">
        <v>455</v>
      </c>
      <c r="W114" s="47" t="s">
        <v>454</v>
      </c>
      <c r="X114" s="47">
        <f>B114*0.03/100</f>
        <v>0.03</v>
      </c>
      <c r="Y114" s="47" t="s">
        <v>455</v>
      </c>
      <c r="Z114" s="47" t="s">
        <v>455</v>
      </c>
      <c r="AA114" s="47" t="s">
        <v>455</v>
      </c>
      <c r="AB114" s="47" t="s">
        <v>455</v>
      </c>
      <c r="AC114" s="3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</row>
    <row r="115" spans="1:52" s="55" customFormat="1">
      <c r="A115" s="46" t="s">
        <v>560</v>
      </c>
      <c r="B115" s="47">
        <v>100</v>
      </c>
      <c r="C115" s="47">
        <f>B115*39/100</f>
        <v>39</v>
      </c>
      <c r="D115" s="47">
        <f>B115*4.2/100</f>
        <v>4.2</v>
      </c>
      <c r="E115" s="47">
        <f>B115*0.1/100</f>
        <v>0.1</v>
      </c>
      <c r="F115" s="47"/>
      <c r="G115" s="47"/>
      <c r="H115" s="47"/>
      <c r="I115" s="47"/>
      <c r="J115" s="47"/>
      <c r="K115" s="47" t="s">
        <v>454</v>
      </c>
      <c r="L115" s="47">
        <f>B115*7.8/100</f>
        <v>7.8</v>
      </c>
      <c r="M115" s="47">
        <f>B115*2/100</f>
        <v>2</v>
      </c>
      <c r="N115" s="47">
        <f>B115*14/100</f>
        <v>14</v>
      </c>
      <c r="O115" s="47">
        <f>B115*25/100</f>
        <v>25</v>
      </c>
      <c r="P115" s="47">
        <f>B115*0.19/100</f>
        <v>0.19</v>
      </c>
      <c r="Q115" s="47">
        <f>B115*75/100</f>
        <v>75</v>
      </c>
      <c r="R115" s="47">
        <f>B115*0.8/100</f>
        <v>0.8</v>
      </c>
      <c r="S115" s="47">
        <f>B115*2/100</f>
        <v>2</v>
      </c>
      <c r="T115" s="47">
        <f>B115*189/100</f>
        <v>189</v>
      </c>
      <c r="U115" s="47">
        <f>B115*0.17/100</f>
        <v>0.17</v>
      </c>
      <c r="V115" s="47">
        <f>B115*0.6/100</f>
        <v>0.6</v>
      </c>
      <c r="W115" s="47" t="s">
        <v>454</v>
      </c>
      <c r="X115" s="47" t="s">
        <v>455</v>
      </c>
      <c r="Y115" s="47">
        <f>B115*0.04/100</f>
        <v>0.04</v>
      </c>
      <c r="Z115" s="47">
        <f>B115*0.15/100</f>
        <v>0.15</v>
      </c>
      <c r="AA115" s="47" t="s">
        <v>455</v>
      </c>
      <c r="AB115" s="47">
        <f>B115*12/100</f>
        <v>12</v>
      </c>
      <c r="AC115" s="3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</row>
    <row r="116" spans="1:52" s="55" customFormat="1">
      <c r="A116" s="46" t="s">
        <v>561</v>
      </c>
      <c r="B116" s="47">
        <v>100</v>
      </c>
      <c r="C116" s="47">
        <f>B116*97/100</f>
        <v>97</v>
      </c>
      <c r="D116" s="47">
        <f>B116*2.1/100</f>
        <v>2.1</v>
      </c>
      <c r="E116" s="47">
        <f>B116*0.2/100</f>
        <v>0.2</v>
      </c>
      <c r="F116" s="47"/>
      <c r="G116" s="47"/>
      <c r="H116" s="47"/>
      <c r="I116" s="47"/>
      <c r="J116" s="47"/>
      <c r="K116" s="47" t="s">
        <v>454</v>
      </c>
      <c r="L116" s="47">
        <f>B116*23.2/100</f>
        <v>23.2</v>
      </c>
      <c r="M116" s="47">
        <f>B116*1.7/100</f>
        <v>1.7</v>
      </c>
      <c r="N116" s="47">
        <f>B116*12/100</f>
        <v>12</v>
      </c>
      <c r="O116" s="47">
        <f>B116*29/100</f>
        <v>29</v>
      </c>
      <c r="P116" s="47">
        <f>B116*0.15/100</f>
        <v>0.15</v>
      </c>
      <c r="Q116" s="47">
        <f>B116*65/100</f>
        <v>65</v>
      </c>
      <c r="R116" s="47">
        <f>B116*0.4/100</f>
        <v>0.4</v>
      </c>
      <c r="S116" s="47" t="s">
        <v>455</v>
      </c>
      <c r="T116" s="47">
        <f>B116*568/100</f>
        <v>568</v>
      </c>
      <c r="U116" s="47">
        <f>B116*0.17/100</f>
        <v>0.17</v>
      </c>
      <c r="V116" s="47">
        <f>B116*0.3/100</f>
        <v>0.3</v>
      </c>
      <c r="W116" s="47" t="s">
        <v>454</v>
      </c>
      <c r="X116" s="47">
        <f>B116*0.08/100</f>
        <v>0.08</v>
      </c>
      <c r="Y116" s="47" t="s">
        <v>455</v>
      </c>
      <c r="Z116" s="47">
        <f>B116*0.11/100</f>
        <v>0.11</v>
      </c>
      <c r="AA116" s="47" t="s">
        <v>23</v>
      </c>
      <c r="AB116" s="47">
        <f>B116*5.6/100</f>
        <v>5.6</v>
      </c>
      <c r="AC116" s="3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</row>
    <row r="117" spans="1:52" s="55" customFormat="1">
      <c r="A117" s="46" t="s">
        <v>562</v>
      </c>
      <c r="B117" s="47">
        <v>100</v>
      </c>
      <c r="C117" s="47">
        <f>B117*27/100</f>
        <v>27</v>
      </c>
      <c r="D117" s="47">
        <f>B117*1.4/100</f>
        <v>1.4</v>
      </c>
      <c r="E117" s="47">
        <f>B117*0.2/100</f>
        <v>0.2</v>
      </c>
      <c r="F117" s="47"/>
      <c r="G117" s="47"/>
      <c r="H117" s="47"/>
      <c r="I117" s="47"/>
      <c r="J117" s="47"/>
      <c r="K117" s="47" t="s">
        <v>454</v>
      </c>
      <c r="L117" s="47">
        <f>B117*6.2/100</f>
        <v>6.2</v>
      </c>
      <c r="M117" s="47">
        <f>B117*4.8/100</f>
        <v>4.8</v>
      </c>
      <c r="N117" s="47">
        <f>B117*20/100</f>
        <v>20</v>
      </c>
      <c r="O117" s="47">
        <f>B117*21/100</f>
        <v>21</v>
      </c>
      <c r="P117" s="47">
        <f>B117*0.14/100</f>
        <v>0.14000000000000001</v>
      </c>
      <c r="Q117" s="47">
        <f>B117*29/100</f>
        <v>29</v>
      </c>
      <c r="R117" s="47">
        <f>B117*0.3/100</f>
        <v>0.3</v>
      </c>
      <c r="S117" s="47" t="s">
        <v>455</v>
      </c>
      <c r="T117" s="47">
        <f>B117*213/100</f>
        <v>213</v>
      </c>
      <c r="U117" s="47">
        <f>B117*0.07/100</f>
        <v>7.0000000000000007E-2</v>
      </c>
      <c r="V117" s="47">
        <f>B117*0.1/100</f>
        <v>0.1</v>
      </c>
      <c r="W117" s="47" t="s">
        <v>454</v>
      </c>
      <c r="X117" s="47">
        <f>B117*0.07/100</f>
        <v>7.0000000000000007E-2</v>
      </c>
      <c r="Y117" s="47">
        <f>B117*0.04/100</f>
        <v>0.04</v>
      </c>
      <c r="Z117" s="47" t="s">
        <v>455</v>
      </c>
      <c r="AA117" s="47" t="s">
        <v>23</v>
      </c>
      <c r="AB117" s="47" t="s">
        <v>23</v>
      </c>
      <c r="AC117" s="3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</row>
    <row r="118" spans="1:52" s="55" customFormat="1">
      <c r="A118" s="60" t="s">
        <v>458</v>
      </c>
      <c r="B118" s="59">
        <v>100</v>
      </c>
      <c r="C118" s="59">
        <f>B118*126/100</f>
        <v>126</v>
      </c>
      <c r="D118" s="59">
        <f>B118*4.4/100</f>
        <v>4.4000000000000004</v>
      </c>
      <c r="E118" s="59">
        <f>B118*3.9/100</f>
        <v>3.9</v>
      </c>
      <c r="F118" s="59">
        <f>B118*0.5/100</f>
        <v>0.5</v>
      </c>
      <c r="G118" s="59">
        <f>B118*0.5/100</f>
        <v>0.5</v>
      </c>
      <c r="H118" s="59">
        <f>B118*2.1/100</f>
        <v>2.1</v>
      </c>
      <c r="I118" s="59">
        <f>B118*2.09/100</f>
        <v>2.09</v>
      </c>
      <c r="J118" s="59">
        <f>B118*0.03/100</f>
        <v>0.03</v>
      </c>
      <c r="K118" s="59" t="s">
        <v>454</v>
      </c>
      <c r="L118" s="59">
        <f>B118*23.1/100</f>
        <v>23.1</v>
      </c>
      <c r="M118" s="59">
        <f>B118*23.9/100</f>
        <v>23.9</v>
      </c>
      <c r="N118" s="59">
        <f>B118*151/100</f>
        <v>151</v>
      </c>
      <c r="O118" s="59">
        <f>B118*65/100</f>
        <v>65</v>
      </c>
      <c r="P118" s="59">
        <f>B118*0.52/100</f>
        <v>0.52</v>
      </c>
      <c r="Q118" s="59">
        <f>B118*155/100</f>
        <v>155</v>
      </c>
      <c r="R118" s="59">
        <f>B118*0.9/100</f>
        <v>0.9</v>
      </c>
      <c r="S118" s="59">
        <f>B118*1/100</f>
        <v>1</v>
      </c>
      <c r="T118" s="59">
        <f>B118*619/100</f>
        <v>619</v>
      </c>
      <c r="U118" s="59">
        <f>B118*1.16/100</f>
        <v>1.1599999999999999</v>
      </c>
      <c r="V118" s="59">
        <f>B118*0.6/100</f>
        <v>0.6</v>
      </c>
      <c r="W118" s="59" t="s">
        <v>454</v>
      </c>
      <c r="X118" s="59">
        <f>B118*0.13/100</f>
        <v>0.13</v>
      </c>
      <c r="Y118" s="59">
        <f>B118*0.02/100</f>
        <v>0.02</v>
      </c>
      <c r="Z118" s="59">
        <f>B118*0.2/100</f>
        <v>0.2</v>
      </c>
      <c r="AA118" s="59" t="s">
        <v>455</v>
      </c>
      <c r="AB118" s="59">
        <f>B118*13.8/100</f>
        <v>13.8</v>
      </c>
      <c r="AC118" s="3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</row>
    <row r="119" spans="1:52" s="55" customFormat="1">
      <c r="A119" s="60" t="s">
        <v>563</v>
      </c>
      <c r="B119" s="59">
        <v>100</v>
      </c>
      <c r="C119" s="59">
        <f>B119*125/100</f>
        <v>125</v>
      </c>
      <c r="D119" s="59">
        <f>B119*0.6/100</f>
        <v>0.6</v>
      </c>
      <c r="E119" s="59">
        <f>B119*0.3/100</f>
        <v>0.3</v>
      </c>
      <c r="F119" s="59">
        <f>B119*0.1/100</f>
        <v>0.1</v>
      </c>
      <c r="G119" s="59">
        <f>B119*0.1/100</f>
        <v>0.1</v>
      </c>
      <c r="H119" s="59">
        <f>B119*0.1/100</f>
        <v>0.1</v>
      </c>
      <c r="I119" s="59">
        <f>B119*0.05/100</f>
        <v>0.05</v>
      </c>
      <c r="J119" s="59">
        <f>B119*0.01/100</f>
        <v>0.01</v>
      </c>
      <c r="K119" s="59" t="s">
        <v>454</v>
      </c>
      <c r="L119" s="59">
        <f>B119*30.1/100</f>
        <v>30.1</v>
      </c>
      <c r="M119" s="59">
        <f>B119*1.6/100</f>
        <v>1.6</v>
      </c>
      <c r="N119" s="59">
        <f>B119*19/100</f>
        <v>19</v>
      </c>
      <c r="O119" s="59">
        <f>B119*27/100</f>
        <v>27</v>
      </c>
      <c r="P119" s="59">
        <f>B119*0.06/100</f>
        <v>0.06</v>
      </c>
      <c r="Q119" s="59">
        <f>B119*22/100</f>
        <v>22</v>
      </c>
      <c r="R119" s="59">
        <f>B119*0.1/100</f>
        <v>0.1</v>
      </c>
      <c r="S119" s="59">
        <f>B119*1/100</f>
        <v>1</v>
      </c>
      <c r="T119" s="59">
        <f>B119*100/100</f>
        <v>100</v>
      </c>
      <c r="U119" s="59">
        <f>B119*0.01/100</f>
        <v>0.01</v>
      </c>
      <c r="V119" s="59">
        <f>B119*0.2/100</f>
        <v>0.2</v>
      </c>
      <c r="W119" s="59" t="s">
        <v>454</v>
      </c>
      <c r="X119" s="59">
        <f>B119*0.06/100</f>
        <v>0.06</v>
      </c>
      <c r="Y119" s="59" t="s">
        <v>455</v>
      </c>
      <c r="Z119" s="59">
        <f>B119*0.03/100</f>
        <v>0.03</v>
      </c>
      <c r="AA119" s="59" t="s">
        <v>455</v>
      </c>
      <c r="AB119" s="59">
        <f>B119*11.1/100</f>
        <v>11.1</v>
      </c>
      <c r="AC119" s="3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</row>
    <row r="120" spans="1:52" s="55" customFormat="1">
      <c r="A120" s="46" t="s">
        <v>564</v>
      </c>
      <c r="B120" s="47">
        <v>100</v>
      </c>
      <c r="C120" s="47">
        <f>B120*151/100</f>
        <v>151</v>
      </c>
      <c r="D120" s="47">
        <f>B120*1.1/100</f>
        <v>1.1000000000000001</v>
      </c>
      <c r="E120" s="47">
        <f>B120*0.3/100</f>
        <v>0.3</v>
      </c>
      <c r="F120" s="47"/>
      <c r="G120" s="47"/>
      <c r="H120" s="47"/>
      <c r="I120" s="47"/>
      <c r="J120" s="47"/>
      <c r="K120" s="47" t="s">
        <v>454</v>
      </c>
      <c r="L120" s="47">
        <f>B120*36.2/100</f>
        <v>36.200000000000003</v>
      </c>
      <c r="M120" s="47">
        <f>B120*1.9/100</f>
        <v>1.9</v>
      </c>
      <c r="N120" s="47">
        <f>B120*15/100</f>
        <v>15</v>
      </c>
      <c r="O120" s="47">
        <f>B120*44/100</f>
        <v>44</v>
      </c>
      <c r="P120" s="47">
        <f>B120*0.05/100</f>
        <v>0.05</v>
      </c>
      <c r="Q120" s="47">
        <f>B120*29/100</f>
        <v>29</v>
      </c>
      <c r="R120" s="47">
        <f>B120*0.3/100</f>
        <v>0.3</v>
      </c>
      <c r="S120" s="47">
        <f>B120*2/100</f>
        <v>2</v>
      </c>
      <c r="T120" s="47">
        <f>B120*208/100</f>
        <v>208</v>
      </c>
      <c r="U120" s="47">
        <f>B120*0.07/100</f>
        <v>7.0000000000000007E-2</v>
      </c>
      <c r="V120" s="47">
        <f>B120*0.2/100</f>
        <v>0.2</v>
      </c>
      <c r="W120" s="47" t="s">
        <v>454</v>
      </c>
      <c r="X120" s="47" t="s">
        <v>455</v>
      </c>
      <c r="Y120" s="47" t="s">
        <v>455</v>
      </c>
      <c r="Z120" s="47">
        <f>B120*0.04/100</f>
        <v>0.04</v>
      </c>
      <c r="AA120" s="47" t="s">
        <v>23</v>
      </c>
      <c r="AB120" s="47">
        <f>B120*16.5/100</f>
        <v>16.5</v>
      </c>
      <c r="AC120" s="3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</row>
    <row r="121" spans="1:52" s="55" customFormat="1">
      <c r="A121" s="60" t="s">
        <v>566</v>
      </c>
      <c r="B121" s="59">
        <v>100</v>
      </c>
      <c r="C121" s="59">
        <f>B121*406/100</f>
        <v>406</v>
      </c>
      <c r="D121" s="59">
        <f>B121*2.1/100</f>
        <v>2.1</v>
      </c>
      <c r="E121" s="59">
        <f>B121*9.1/100</f>
        <v>9.1</v>
      </c>
      <c r="F121" s="59">
        <f>B121*1.9/100</f>
        <v>1.9</v>
      </c>
      <c r="G121" s="59">
        <f>B121*2.4/100</f>
        <v>2.4</v>
      </c>
      <c r="H121" s="59">
        <f>B121*2.5/100</f>
        <v>2.5</v>
      </c>
      <c r="I121" s="59">
        <f>B121*2.29/100</f>
        <v>2.29</v>
      </c>
      <c r="J121" s="59">
        <f>B121*0.19/100</f>
        <v>0.19</v>
      </c>
      <c r="K121" s="59" t="s">
        <v>454</v>
      </c>
      <c r="L121" s="59">
        <f>B121*80.3/100</f>
        <v>80.3</v>
      </c>
      <c r="M121" s="59">
        <f>B121*7.8/100</f>
        <v>7.8</v>
      </c>
      <c r="N121" s="59">
        <f>B121*66/100</f>
        <v>66</v>
      </c>
      <c r="O121" s="59">
        <f>B121*34/100</f>
        <v>34</v>
      </c>
      <c r="P121" s="59">
        <f>B121*0.29/100</f>
        <v>0.28999999999999998</v>
      </c>
      <c r="Q121" s="59">
        <f>B121*45/100</f>
        <v>45</v>
      </c>
      <c r="R121" s="59">
        <f>B121*1.4/100</f>
        <v>1.4</v>
      </c>
      <c r="S121" s="59">
        <f>B121*575/100</f>
        <v>575</v>
      </c>
      <c r="T121" s="59">
        <f>B121*201/100</f>
        <v>201</v>
      </c>
      <c r="U121" s="59" t="s">
        <v>455</v>
      </c>
      <c r="V121" s="59">
        <f>B121*0.2/100</f>
        <v>0.2</v>
      </c>
      <c r="W121" s="59" t="s">
        <v>454</v>
      </c>
      <c r="X121" s="59">
        <f>B121*0.1/100</f>
        <v>0.1</v>
      </c>
      <c r="Y121" s="59" t="s">
        <v>455</v>
      </c>
      <c r="Z121" s="59">
        <f>B121*0.15/100</f>
        <v>0.15</v>
      </c>
      <c r="AA121" s="59" t="s">
        <v>455</v>
      </c>
      <c r="AB121" s="59" t="s">
        <v>455</v>
      </c>
      <c r="AC121" s="3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</row>
    <row r="122" spans="1:52" s="55" customFormat="1">
      <c r="A122" s="46" t="s">
        <v>565</v>
      </c>
      <c r="B122" s="47">
        <v>100</v>
      </c>
      <c r="C122" s="47">
        <f>B122*21/100</f>
        <v>21</v>
      </c>
      <c r="D122" s="47">
        <f>B122*2/100</f>
        <v>2</v>
      </c>
      <c r="E122" s="47">
        <f>B122*0.4/100</f>
        <v>0.4</v>
      </c>
      <c r="F122" s="47"/>
      <c r="G122" s="47"/>
      <c r="H122" s="47"/>
      <c r="I122" s="47"/>
      <c r="J122" s="47"/>
      <c r="K122" s="47" t="s">
        <v>454</v>
      </c>
      <c r="L122" s="47">
        <f>B122*3.6/100</f>
        <v>3.6</v>
      </c>
      <c r="M122" s="47">
        <f>B122*3.3/100</f>
        <v>3.3</v>
      </c>
      <c r="N122" s="47">
        <f>B122*211/100</f>
        <v>211</v>
      </c>
      <c r="O122" s="47">
        <f>B122*58/100</f>
        <v>58</v>
      </c>
      <c r="P122" s="47">
        <f>B122*0.17/100</f>
        <v>0.17</v>
      </c>
      <c r="Q122" s="47">
        <f>B122*40/100</f>
        <v>40</v>
      </c>
      <c r="R122" s="47">
        <f>B122*1/100</f>
        <v>1</v>
      </c>
      <c r="S122" s="47">
        <f>B122*4/100</f>
        <v>4</v>
      </c>
      <c r="T122" s="47">
        <f>B122*252/100</f>
        <v>252</v>
      </c>
      <c r="U122" s="47">
        <f>B122*0.16/100</f>
        <v>0.16</v>
      </c>
      <c r="V122" s="47">
        <f>B122*0.5/100</f>
        <v>0.5</v>
      </c>
      <c r="W122" s="47" t="s">
        <v>454</v>
      </c>
      <c r="X122" s="47">
        <f>B122*0.06/100</f>
        <v>0.06</v>
      </c>
      <c r="Y122" s="47">
        <f>B122*0.21/100</f>
        <v>0.21</v>
      </c>
      <c r="Z122" s="47">
        <f>B122*0.06/100</f>
        <v>0.06</v>
      </c>
      <c r="AA122" s="47" t="s">
        <v>23</v>
      </c>
      <c r="AB122" s="47" t="s">
        <v>23</v>
      </c>
      <c r="AC122" s="3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</row>
    <row r="123" spans="1:52" s="55" customFormat="1">
      <c r="A123" s="46" t="s">
        <v>567</v>
      </c>
      <c r="B123" s="47">
        <v>100</v>
      </c>
      <c r="C123" s="47">
        <f>B123*14/100</f>
        <v>14</v>
      </c>
      <c r="D123" s="47">
        <f>B123*1.4/100</f>
        <v>1.4</v>
      </c>
      <c r="E123" s="47">
        <f>B123*0.1/100</f>
        <v>0.1</v>
      </c>
      <c r="F123" s="47"/>
      <c r="G123" s="47"/>
      <c r="H123" s="47"/>
      <c r="I123" s="47"/>
      <c r="J123" s="47"/>
      <c r="K123" s="47" t="s">
        <v>454</v>
      </c>
      <c r="L123" s="47">
        <f>B123*2.7/100</f>
        <v>2.7</v>
      </c>
      <c r="M123" s="47">
        <f>B123*2.2/100</f>
        <v>2.2000000000000002</v>
      </c>
      <c r="N123" s="47">
        <f>B123*21/100</f>
        <v>21</v>
      </c>
      <c r="O123" s="47">
        <f>B123*10/100</f>
        <v>10</v>
      </c>
      <c r="P123" s="47">
        <f>B123*0.07/100</f>
        <v>7.0000000000000007E-2</v>
      </c>
      <c r="Q123" s="47">
        <f>B123*25/100</f>
        <v>25</v>
      </c>
      <c r="R123" s="47">
        <f>B123*0.4/100</f>
        <v>0.4</v>
      </c>
      <c r="S123" s="47">
        <f>B123*11/100</f>
        <v>11</v>
      </c>
      <c r="T123" s="47">
        <f>B123*328/100</f>
        <v>328</v>
      </c>
      <c r="U123" s="47">
        <f>B123*0.02/100</f>
        <v>0.02</v>
      </c>
      <c r="V123" s="47">
        <f>B123*0.2/100</f>
        <v>0.2</v>
      </c>
      <c r="W123" s="47" t="s">
        <v>454</v>
      </c>
      <c r="X123" s="47">
        <f>B123*0.06/100</f>
        <v>0.06</v>
      </c>
      <c r="Y123" s="47">
        <f>B123*0.02/100</f>
        <v>0.02</v>
      </c>
      <c r="Z123" s="47">
        <f>B123*0.04/100</f>
        <v>0.04</v>
      </c>
      <c r="AA123" s="47" t="s">
        <v>23</v>
      </c>
      <c r="AB123" s="47">
        <f>B123*9.6/100</f>
        <v>9.6</v>
      </c>
      <c r="AC123" s="3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</row>
    <row r="124" spans="1:52" s="55" customFormat="1">
      <c r="A124" s="46" t="s">
        <v>568</v>
      </c>
      <c r="B124" s="47">
        <v>100</v>
      </c>
      <c r="C124" s="47">
        <f>B124*18/100</f>
        <v>18</v>
      </c>
      <c r="D124" s="47">
        <f>B124*2.1/100</f>
        <v>2.1</v>
      </c>
      <c r="E124" s="47">
        <f>B124*0.2/100</f>
        <v>0.2</v>
      </c>
      <c r="F124" s="47"/>
      <c r="G124" s="47"/>
      <c r="H124" s="47"/>
      <c r="I124" s="47"/>
      <c r="J124" s="47"/>
      <c r="K124" s="47" t="s">
        <v>454</v>
      </c>
      <c r="L124" s="47">
        <f>B124*3.2/100</f>
        <v>3.2</v>
      </c>
      <c r="M124" s="47">
        <f>B124*1.9/100</f>
        <v>1.9</v>
      </c>
      <c r="N124" s="47">
        <f>B124*68/100</f>
        <v>68</v>
      </c>
      <c r="O124" s="47">
        <f>B124*16/100</f>
        <v>16</v>
      </c>
      <c r="P124" s="47">
        <f>B124*0.14/100</f>
        <v>0.14000000000000001</v>
      </c>
      <c r="Q124" s="47">
        <f>B124*58/100</f>
        <v>58</v>
      </c>
      <c r="R124" s="47">
        <f>B124*1.1/100</f>
        <v>1.1000000000000001</v>
      </c>
      <c r="S124" s="47">
        <f>B124*3/100</f>
        <v>3</v>
      </c>
      <c r="T124" s="47">
        <f>B124*364/100</f>
        <v>364</v>
      </c>
      <c r="U124" s="47">
        <f>B124*0.05/100</f>
        <v>0.05</v>
      </c>
      <c r="V124" s="47">
        <f>B124*0.3/100</f>
        <v>0.3</v>
      </c>
      <c r="W124" s="47" t="s">
        <v>454</v>
      </c>
      <c r="X124" s="47">
        <f>B124*0.05/100</f>
        <v>0.05</v>
      </c>
      <c r="Y124" s="47">
        <f>B124*0.04/100</f>
        <v>0.04</v>
      </c>
      <c r="Z124" s="47">
        <f>B124*0.05/100</f>
        <v>0.05</v>
      </c>
      <c r="AA124" s="47" t="s">
        <v>455</v>
      </c>
      <c r="AB124" s="47">
        <f>B124*38.6/100</f>
        <v>38.6</v>
      </c>
      <c r="AC124" s="3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</row>
    <row r="125" spans="1:52" s="55" customFormat="1">
      <c r="A125" s="46" t="s">
        <v>569</v>
      </c>
      <c r="B125" s="47">
        <v>100</v>
      </c>
      <c r="C125" s="47">
        <f>B125*18/100</f>
        <v>18</v>
      </c>
      <c r="D125" s="47">
        <f>B125*1.2/100</f>
        <v>1.2</v>
      </c>
      <c r="E125" s="47">
        <f>B125*0.1/100</f>
        <v>0.1</v>
      </c>
      <c r="F125" s="47"/>
      <c r="G125" s="47"/>
      <c r="H125" s="47"/>
      <c r="I125" s="47"/>
      <c r="J125" s="47"/>
      <c r="K125" s="47" t="s">
        <v>454</v>
      </c>
      <c r="L125" s="47">
        <f>B125*4.1/100</f>
        <v>4.0999999999999996</v>
      </c>
      <c r="M125" s="47">
        <f>B125*2.6/100</f>
        <v>2.6</v>
      </c>
      <c r="N125" s="47">
        <f>B125*42/100</f>
        <v>42</v>
      </c>
      <c r="O125" s="47">
        <f>B125*15/100</f>
        <v>15</v>
      </c>
      <c r="P125" s="47">
        <f>B125*4.42/100</f>
        <v>4.42</v>
      </c>
      <c r="Q125" s="47">
        <f>B125*17/100</f>
        <v>17</v>
      </c>
      <c r="R125" s="47">
        <f>B125*0.2/100</f>
        <v>0.2</v>
      </c>
      <c r="S125" s="47">
        <f>B125*2/100</f>
        <v>2</v>
      </c>
      <c r="T125" s="47">
        <f>B125*280/100</f>
        <v>280</v>
      </c>
      <c r="U125" s="47">
        <f>B125*0.02/100</f>
        <v>0.02</v>
      </c>
      <c r="V125" s="47">
        <f>B125*0.2/100</f>
        <v>0.2</v>
      </c>
      <c r="W125" s="47" t="s">
        <v>454</v>
      </c>
      <c r="X125" s="47">
        <f>B125*0.07/100</f>
        <v>7.0000000000000007E-2</v>
      </c>
      <c r="Y125" s="47" t="s">
        <v>455</v>
      </c>
      <c r="Z125" s="47">
        <f>B125*0.03/100</f>
        <v>0.03</v>
      </c>
      <c r="AA125" s="47" t="s">
        <v>23</v>
      </c>
      <c r="AB125" s="47">
        <f>B125*9.6/100</f>
        <v>9.6</v>
      </c>
      <c r="AC125" s="3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</row>
    <row r="126" spans="1:52" s="55" customFormat="1">
      <c r="A126" s="60" t="s">
        <v>571</v>
      </c>
      <c r="B126" s="59">
        <v>100</v>
      </c>
      <c r="C126" s="59">
        <f>B126*23/100</f>
        <v>23</v>
      </c>
      <c r="D126" s="59">
        <f>B126*1.8/100</f>
        <v>1.8</v>
      </c>
      <c r="E126" s="59">
        <f>B126*0.4/100</f>
        <v>0.4</v>
      </c>
      <c r="F126" s="59">
        <f>B126*0.1/100</f>
        <v>0.1</v>
      </c>
      <c r="G126" s="59">
        <f>B126*0.1/100</f>
        <v>0.1</v>
      </c>
      <c r="H126" s="59">
        <f>B126*0.2/100</f>
        <v>0.2</v>
      </c>
      <c r="I126" s="59">
        <f>B126*0.09/100</f>
        <v>0.09</v>
      </c>
      <c r="J126" s="59">
        <f>B126*0.01/100</f>
        <v>0.01</v>
      </c>
      <c r="K126" s="59" t="s">
        <v>454</v>
      </c>
      <c r="L126" s="59">
        <f>B126*4.3/100</f>
        <v>4.3</v>
      </c>
      <c r="M126" s="59">
        <f>B126*3.2/100</f>
        <v>3.2</v>
      </c>
      <c r="N126" s="59">
        <f>B126*58/100</f>
        <v>58</v>
      </c>
      <c r="O126" s="59">
        <f>B126*34/100</f>
        <v>34</v>
      </c>
      <c r="P126" s="59">
        <f>B126*10.82/100</f>
        <v>10.82</v>
      </c>
      <c r="Q126" s="59">
        <f>B126*40/100</f>
        <v>40</v>
      </c>
      <c r="R126" s="59">
        <f>B126*0.3/100</f>
        <v>0.3</v>
      </c>
      <c r="S126" s="59">
        <f>B126*514/100</f>
        <v>514</v>
      </c>
      <c r="T126" s="59">
        <f>B126*244/100</f>
        <v>244</v>
      </c>
      <c r="U126" s="59">
        <f>B126*0.23/100</f>
        <v>0.23</v>
      </c>
      <c r="V126" s="59">
        <f>B126*0.7/100</f>
        <v>0.7</v>
      </c>
      <c r="W126" s="59" t="s">
        <v>454</v>
      </c>
      <c r="X126" s="59">
        <f>B126*0.06/100</f>
        <v>0.06</v>
      </c>
      <c r="Y126" s="59">
        <f>B126*0.04/100</f>
        <v>0.04</v>
      </c>
      <c r="Z126" s="59" t="s">
        <v>455</v>
      </c>
      <c r="AA126" s="59" t="s">
        <v>455</v>
      </c>
      <c r="AB126" s="59">
        <f>B126*2/100</f>
        <v>2</v>
      </c>
      <c r="AC126" s="3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</row>
    <row r="127" spans="1:52" s="55" customFormat="1">
      <c r="A127" s="46" t="s">
        <v>570</v>
      </c>
      <c r="B127" s="47">
        <v>100</v>
      </c>
      <c r="C127" s="47">
        <f>B127*10/100</f>
        <v>10</v>
      </c>
      <c r="D127" s="47">
        <f>B127*0.9/100</f>
        <v>0.9</v>
      </c>
      <c r="E127" s="47" t="s">
        <v>455</v>
      </c>
      <c r="F127" s="47"/>
      <c r="G127" s="47"/>
      <c r="H127" s="47"/>
      <c r="I127" s="47"/>
      <c r="J127" s="47"/>
      <c r="K127" s="47" t="s">
        <v>454</v>
      </c>
      <c r="L127" s="47">
        <f>B127*2/100</f>
        <v>2</v>
      </c>
      <c r="M127" s="47">
        <f>B127*1.1/100</f>
        <v>1.1000000000000001</v>
      </c>
      <c r="N127" s="47">
        <f>B127*10/100</f>
        <v>10</v>
      </c>
      <c r="O127" s="47">
        <f>B127*9/100</f>
        <v>9</v>
      </c>
      <c r="P127" s="47">
        <f>B127*0.08/100</f>
        <v>0.08</v>
      </c>
      <c r="Q127" s="47">
        <f>B127*12/100</f>
        <v>12</v>
      </c>
      <c r="R127" s="47">
        <f>B127*0.1/100</f>
        <v>0.1</v>
      </c>
      <c r="S127" s="47" t="s">
        <v>455</v>
      </c>
      <c r="T127" s="47">
        <f>B127*154/100</f>
        <v>154</v>
      </c>
      <c r="U127" s="47">
        <f>B127*0.04/100</f>
        <v>0.04</v>
      </c>
      <c r="V127" s="47">
        <f>B127*0.1/100</f>
        <v>0.1</v>
      </c>
      <c r="W127" s="47" t="s">
        <v>454</v>
      </c>
      <c r="X127" s="47" t="s">
        <v>455</v>
      </c>
      <c r="Y127" s="47">
        <f>B127*0.03/100</f>
        <v>0.03</v>
      </c>
      <c r="Z127" s="47" t="s">
        <v>455</v>
      </c>
      <c r="AA127" s="47" t="s">
        <v>23</v>
      </c>
      <c r="AB127" s="47">
        <f>B127*5/100</f>
        <v>5</v>
      </c>
      <c r="AC127" s="3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</row>
    <row r="128" spans="1:52" s="55" customFormat="1">
      <c r="A128" s="46" t="s">
        <v>574</v>
      </c>
      <c r="B128" s="47">
        <v>100</v>
      </c>
      <c r="C128" s="47">
        <f>B128*28/100</f>
        <v>28</v>
      </c>
      <c r="D128" s="47">
        <f>B128*1.2/100</f>
        <v>1.2</v>
      </c>
      <c r="E128" s="47">
        <f>B128*0.4/100</f>
        <v>0.4</v>
      </c>
      <c r="F128" s="47"/>
      <c r="G128" s="47"/>
      <c r="H128" s="47"/>
      <c r="I128" s="47"/>
      <c r="J128" s="47"/>
      <c r="K128" s="47" t="s">
        <v>454</v>
      </c>
      <c r="L128" s="47">
        <f>B128*6/100</f>
        <v>6</v>
      </c>
      <c r="M128" s="47">
        <f>B128*1.9/100</f>
        <v>1.9</v>
      </c>
      <c r="N128" s="47">
        <f>B128*10/100</f>
        <v>10</v>
      </c>
      <c r="O128" s="47">
        <f>B128*11/100</f>
        <v>11</v>
      </c>
      <c r="P128" s="47">
        <f>B128*0.08/100</f>
        <v>0.08</v>
      </c>
      <c r="Q128" s="47">
        <f>B128*22/100</f>
        <v>22</v>
      </c>
      <c r="R128" s="47">
        <f>B128*0.4/100</f>
        <v>0.4</v>
      </c>
      <c r="S128" s="47" t="s">
        <v>455</v>
      </c>
      <c r="T128" s="47">
        <f>B128*221/100</f>
        <v>221</v>
      </c>
      <c r="U128" s="47">
        <f>B128*0.04/100</f>
        <v>0.04</v>
      </c>
      <c r="V128" s="47">
        <f>B128*0.2/100</f>
        <v>0.2</v>
      </c>
      <c r="W128" s="47" t="s">
        <v>454</v>
      </c>
      <c r="X128" s="47">
        <f>B128*0.04/100</f>
        <v>0.04</v>
      </c>
      <c r="Y128" s="47">
        <f>B128*0.03/100</f>
        <v>0.03</v>
      </c>
      <c r="Z128" s="47">
        <f>B128*0.06/100</f>
        <v>0.06</v>
      </c>
      <c r="AA128" s="47" t="s">
        <v>23</v>
      </c>
      <c r="AB128" s="47">
        <f>B128*201.4/100</f>
        <v>201.4</v>
      </c>
      <c r="AC128" s="3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</row>
    <row r="129" spans="1:52" s="55" customFormat="1">
      <c r="A129" s="46" t="s">
        <v>575</v>
      </c>
      <c r="B129" s="47">
        <v>100</v>
      </c>
      <c r="C129" s="47">
        <f>B129*21/100</f>
        <v>21</v>
      </c>
      <c r="D129" s="47">
        <f>B129*1.1/100</f>
        <v>1.1000000000000001</v>
      </c>
      <c r="E129" s="47">
        <f>B129*0.2/100</f>
        <v>0.2</v>
      </c>
      <c r="F129" s="47"/>
      <c r="G129" s="47"/>
      <c r="H129" s="47"/>
      <c r="I129" s="47"/>
      <c r="J129" s="47"/>
      <c r="K129" s="47" t="s">
        <v>454</v>
      </c>
      <c r="L129" s="47">
        <f>B129*4.9/100</f>
        <v>4.9000000000000004</v>
      </c>
      <c r="M129" s="47">
        <f>B129*2.6/100</f>
        <v>2.6</v>
      </c>
      <c r="N129" s="47">
        <f>B129*9/100</f>
        <v>9</v>
      </c>
      <c r="O129" s="47">
        <f>B129*8/100</f>
        <v>8</v>
      </c>
      <c r="P129" s="47">
        <f>B129*0.14/100</f>
        <v>0.14000000000000001</v>
      </c>
      <c r="Q129" s="47">
        <f>B129*17/100</f>
        <v>17</v>
      </c>
      <c r="R129" s="47">
        <f>B129*0.4/100</f>
        <v>0.4</v>
      </c>
      <c r="S129" s="47" t="s">
        <v>455</v>
      </c>
      <c r="T129" s="47">
        <f>B129*174/100</f>
        <v>174</v>
      </c>
      <c r="U129" s="47">
        <f>B129*0.07/100</f>
        <v>7.0000000000000007E-2</v>
      </c>
      <c r="V129" s="47">
        <f>B129*0.1/100</f>
        <v>0.1</v>
      </c>
      <c r="W129" s="47" t="s">
        <v>454</v>
      </c>
      <c r="X129" s="47" t="s">
        <v>455</v>
      </c>
      <c r="Y129" s="47" t="s">
        <v>455</v>
      </c>
      <c r="Z129" s="47" t="s">
        <v>455</v>
      </c>
      <c r="AA129" s="47" t="s">
        <v>23</v>
      </c>
      <c r="AB129" s="47">
        <f>B129*100.2/100</f>
        <v>100.2</v>
      </c>
      <c r="AC129" s="3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</row>
    <row r="130" spans="1:52" s="55" customFormat="1">
      <c r="A130" s="46" t="s">
        <v>576</v>
      </c>
      <c r="B130" s="47">
        <v>100</v>
      </c>
      <c r="C130" s="47">
        <f>B130*23/100</f>
        <v>23</v>
      </c>
      <c r="D130" s="47">
        <f>B130*1/100</f>
        <v>1</v>
      </c>
      <c r="E130" s="47">
        <f>B130*0.1/100</f>
        <v>0.1</v>
      </c>
      <c r="F130" s="47"/>
      <c r="G130" s="47"/>
      <c r="H130" s="47"/>
      <c r="I130" s="47"/>
      <c r="J130" s="47"/>
      <c r="K130" s="47" t="s">
        <v>454</v>
      </c>
      <c r="L130" s="47">
        <f>B130*5.5/100</f>
        <v>5.5</v>
      </c>
      <c r="M130" s="47">
        <f>B130*1.6/100</f>
        <v>1.6</v>
      </c>
      <c r="N130" s="47">
        <f>B130*6/100</f>
        <v>6</v>
      </c>
      <c r="O130" s="47">
        <f>B130*11/100</f>
        <v>11</v>
      </c>
      <c r="P130" s="47">
        <f>B130*0.06/100</f>
        <v>0.06</v>
      </c>
      <c r="Q130" s="47">
        <f>B130*20/100</f>
        <v>20</v>
      </c>
      <c r="R130" s="47">
        <f>B130*0.3/100</f>
        <v>0.3</v>
      </c>
      <c r="S130" s="47" t="s">
        <v>455</v>
      </c>
      <c r="T130" s="47">
        <f>B130*211/100</f>
        <v>211</v>
      </c>
      <c r="U130" s="47">
        <f>B130*0.04/100</f>
        <v>0.04</v>
      </c>
      <c r="V130" s="47">
        <f>B130*0.2/100</f>
        <v>0.2</v>
      </c>
      <c r="W130" s="47" t="s">
        <v>454</v>
      </c>
      <c r="X130" s="47">
        <f>B130*0.05/100</f>
        <v>0.05</v>
      </c>
      <c r="Y130" s="47">
        <f>B130*0.06/100</f>
        <v>0.06</v>
      </c>
      <c r="Z130" s="47">
        <f>B130*0.02/100</f>
        <v>0.02</v>
      </c>
      <c r="AA130" s="47" t="s">
        <v>23</v>
      </c>
      <c r="AB130" s="47">
        <f>B130*158.2/100</f>
        <v>158.19999999999999</v>
      </c>
      <c r="AC130" s="3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</row>
    <row r="131" spans="1:52" s="55" customFormat="1">
      <c r="A131" s="46" t="s">
        <v>577</v>
      </c>
      <c r="B131" s="47">
        <v>100</v>
      </c>
      <c r="C131" s="47">
        <f>B131*351/100</f>
        <v>351</v>
      </c>
      <c r="D131" s="47">
        <v>0.4</v>
      </c>
      <c r="E131" s="47" t="s">
        <v>455</v>
      </c>
      <c r="F131" s="47"/>
      <c r="G131" s="47"/>
      <c r="H131" s="47"/>
      <c r="I131" s="47"/>
      <c r="J131" s="47"/>
      <c r="K131" s="47" t="s">
        <v>454</v>
      </c>
      <c r="L131" s="47">
        <f>B131*86.8/100</f>
        <v>86.8</v>
      </c>
      <c r="M131" s="47">
        <f>B131*0.2/100</f>
        <v>0.2</v>
      </c>
      <c r="N131" s="47">
        <f>B131*27/100</f>
        <v>27</v>
      </c>
      <c r="O131" s="47">
        <f>B131*4/100</f>
        <v>4</v>
      </c>
      <c r="P131" s="47"/>
      <c r="Q131" s="47">
        <f>B131*8/100</f>
        <v>8</v>
      </c>
      <c r="R131" s="47">
        <f>B131*0.5/100</f>
        <v>0.5</v>
      </c>
      <c r="S131" s="47">
        <f>B131*2/100</f>
        <v>2</v>
      </c>
      <c r="T131" s="47">
        <f>B131*38/100</f>
        <v>38</v>
      </c>
      <c r="U131" s="47" t="s">
        <v>455</v>
      </c>
      <c r="V131" s="47" t="s">
        <v>455</v>
      </c>
      <c r="W131" s="47" t="s">
        <v>454</v>
      </c>
      <c r="X131" s="47"/>
      <c r="Y131" s="47"/>
      <c r="Z131" s="47"/>
      <c r="AA131" s="47"/>
      <c r="AB131" s="47"/>
      <c r="AC131" s="3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</row>
    <row r="132" spans="1:52" s="55" customFormat="1" ht="13.5" customHeight="1">
      <c r="A132" s="60" t="s">
        <v>30</v>
      </c>
      <c r="B132" s="59">
        <v>100</v>
      </c>
      <c r="C132" s="59">
        <f>B132*29/100</f>
        <v>29</v>
      </c>
      <c r="D132" s="59">
        <f>B132*2.5/100</f>
        <v>2.5</v>
      </c>
      <c r="E132" s="59">
        <v>0.5</v>
      </c>
      <c r="F132" s="59">
        <f>B132*0.1/100</f>
        <v>0.1</v>
      </c>
      <c r="G132" s="59">
        <f>B132*0.1/100</f>
        <v>0.1</v>
      </c>
      <c r="H132" s="59">
        <f>B132*0.2/100</f>
        <v>0.2</v>
      </c>
      <c r="I132" s="59">
        <f>B132*0.17/100</f>
        <v>0.17</v>
      </c>
      <c r="J132" s="59" t="s">
        <v>455</v>
      </c>
      <c r="K132" s="59" t="s">
        <v>454</v>
      </c>
      <c r="L132" s="59">
        <f>B132*5.5/100</f>
        <v>5.5</v>
      </c>
      <c r="M132" s="59">
        <f>B132*2.6/100</f>
        <v>2.6</v>
      </c>
      <c r="N132" s="59">
        <f>B132*32/100</f>
        <v>32</v>
      </c>
      <c r="O132" s="59">
        <f>B132*25/100</f>
        <v>25</v>
      </c>
      <c r="P132" s="59">
        <f>B132*0.14/100</f>
        <v>0.14000000000000001</v>
      </c>
      <c r="Q132" s="59">
        <f>B132*55/100</f>
        <v>55</v>
      </c>
      <c r="R132" s="59">
        <f>B132*0.2/100</f>
        <v>0.2</v>
      </c>
      <c r="S132" s="59">
        <f>B132*563/100</f>
        <v>563</v>
      </c>
      <c r="T132" s="59">
        <f>B132*206/100</f>
        <v>206</v>
      </c>
      <c r="U132" s="59">
        <f>B132*0.08/100</f>
        <v>0.08</v>
      </c>
      <c r="V132" s="59">
        <f>B132*0.4/100</f>
        <v>0.4</v>
      </c>
      <c r="W132" s="59" t="s">
        <v>454</v>
      </c>
      <c r="X132" s="59">
        <f>B132*0.03/100</f>
        <v>0.03</v>
      </c>
      <c r="Y132" s="59" t="s">
        <v>455</v>
      </c>
      <c r="Z132" s="59" t="s">
        <v>455</v>
      </c>
      <c r="AA132" s="59" t="s">
        <v>455</v>
      </c>
      <c r="AB132" s="59">
        <f>B132*8.7/100</f>
        <v>8.6999999999999993</v>
      </c>
      <c r="AC132" s="3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</row>
    <row r="133" spans="1:52" s="55" customFormat="1">
      <c r="A133" s="46" t="s">
        <v>584</v>
      </c>
      <c r="B133" s="47">
        <v>100</v>
      </c>
      <c r="C133" s="47">
        <f>B133*14/100</f>
        <v>14</v>
      </c>
      <c r="D133" s="47">
        <f>B133*1.4/100</f>
        <v>1.4</v>
      </c>
      <c r="E133" s="47">
        <f>B133*0.1/100</f>
        <v>0.1</v>
      </c>
      <c r="F133" s="47"/>
      <c r="G133" s="47"/>
      <c r="H133" s="47"/>
      <c r="I133" s="47"/>
      <c r="J133" s="47"/>
      <c r="K133" s="47" t="s">
        <v>454</v>
      </c>
      <c r="L133" s="47">
        <f>B133*2.7/100</f>
        <v>2.7</v>
      </c>
      <c r="M133" s="47">
        <f>B133*2.2/100</f>
        <v>2.2000000000000002</v>
      </c>
      <c r="N133" s="47">
        <f>B133*21/100</f>
        <v>21</v>
      </c>
      <c r="O133" s="47">
        <f>B133*10/100</f>
        <v>10</v>
      </c>
      <c r="P133" s="47">
        <f>B133*0.07/100</f>
        <v>7.0000000000000007E-2</v>
      </c>
      <c r="Q133" s="47">
        <f>B133*25/100</f>
        <v>25</v>
      </c>
      <c r="R133" s="47">
        <f>B133*0.4/100</f>
        <v>0.4</v>
      </c>
      <c r="S133" s="47">
        <f>B133*11/100</f>
        <v>11</v>
      </c>
      <c r="T133" s="47">
        <f>B133*328/100</f>
        <v>328</v>
      </c>
      <c r="U133" s="47">
        <f>B133*0.02/100</f>
        <v>0.02</v>
      </c>
      <c r="V133" s="47">
        <f>B133*0.2/100</f>
        <v>0.2</v>
      </c>
      <c r="W133" s="47" t="s">
        <v>454</v>
      </c>
      <c r="X133" s="47">
        <f>B133*0.06/100</f>
        <v>0.06</v>
      </c>
      <c r="Y133" s="47">
        <f>B133*0.02/100</f>
        <v>0.02</v>
      </c>
      <c r="Z133" s="47">
        <f>B133*0.04/100</f>
        <v>0.04</v>
      </c>
      <c r="AA133" s="47" t="s">
        <v>23</v>
      </c>
      <c r="AB133" s="47">
        <f>B133*9.6/100</f>
        <v>9.6</v>
      </c>
      <c r="AC133" s="3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</row>
    <row r="134" spans="1:52" s="55" customFormat="1">
      <c r="A134" s="46" t="s">
        <v>585</v>
      </c>
      <c r="B134" s="47">
        <v>100</v>
      </c>
      <c r="C134" s="47">
        <f>B134*17/100</f>
        <v>17</v>
      </c>
      <c r="D134" s="47">
        <f>B134*0.9/100</f>
        <v>0.9</v>
      </c>
      <c r="E134" s="47">
        <f>B134*0.1/100</f>
        <v>0.1</v>
      </c>
      <c r="F134" s="47"/>
      <c r="G134" s="47"/>
      <c r="H134" s="47"/>
      <c r="I134" s="47"/>
      <c r="J134" s="47"/>
      <c r="K134" s="47" t="s">
        <v>454</v>
      </c>
      <c r="L134" s="47">
        <f>B134*3.9/100</f>
        <v>3.9</v>
      </c>
      <c r="M134" s="47">
        <f>B134*1.9/100</f>
        <v>1.9</v>
      </c>
      <c r="N134" s="47">
        <f>B134*35/100</f>
        <v>35</v>
      </c>
      <c r="O134" s="47">
        <f>B134*9/100</f>
        <v>9</v>
      </c>
      <c r="P134" s="47">
        <f>B134*0.13/100</f>
        <v>0.13</v>
      </c>
      <c r="Q134" s="47">
        <f>B134*14/100</f>
        <v>14</v>
      </c>
      <c r="R134" s="47">
        <f>B134*0.2/100</f>
        <v>0.2</v>
      </c>
      <c r="S134" s="47">
        <f>B134*4/100</f>
        <v>4</v>
      </c>
      <c r="T134" s="47">
        <f>B134*150/100</f>
        <v>150</v>
      </c>
      <c r="U134" s="47">
        <f>B134*0.02/100</f>
        <v>0.02</v>
      </c>
      <c r="V134" s="47">
        <f>B134*0.2/100</f>
        <v>0.2</v>
      </c>
      <c r="W134" s="47" t="s">
        <v>454</v>
      </c>
      <c r="X134" s="47" t="s">
        <v>455</v>
      </c>
      <c r="Y134" s="47">
        <f>B134*0.03/100</f>
        <v>0.03</v>
      </c>
      <c r="Z134" s="47">
        <f>B134*0.06/100</f>
        <v>0.06</v>
      </c>
      <c r="AA134" s="47" t="s">
        <v>23</v>
      </c>
      <c r="AB134" s="47" t="s">
        <v>23</v>
      </c>
      <c r="AC134" s="3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</row>
    <row r="135" spans="1:52" s="55" customFormat="1">
      <c r="A135" s="46" t="s">
        <v>586</v>
      </c>
      <c r="B135" s="47">
        <v>100</v>
      </c>
      <c r="C135" s="47">
        <f>B135*33/100</f>
        <v>33</v>
      </c>
      <c r="D135" s="47">
        <f>B135*3.3/100</f>
        <v>3.3</v>
      </c>
      <c r="E135" s="47">
        <f>B135*0.6/100</f>
        <v>0.6</v>
      </c>
      <c r="F135" s="47"/>
      <c r="G135" s="47"/>
      <c r="H135" s="47"/>
      <c r="I135" s="47"/>
      <c r="J135" s="47"/>
      <c r="K135" s="47" t="s">
        <v>454</v>
      </c>
      <c r="L135" s="47">
        <f>B135*5.7/100</f>
        <v>5.7</v>
      </c>
      <c r="M135" s="47">
        <f>B135*1.9/100</f>
        <v>1.9</v>
      </c>
      <c r="N135" s="47">
        <f>B135*179/100</f>
        <v>179</v>
      </c>
      <c r="O135" s="47">
        <f>B135*698/100</f>
        <v>698</v>
      </c>
      <c r="P135" s="47">
        <f>B135*1.88/100</f>
        <v>1.88</v>
      </c>
      <c r="Q135" s="47">
        <f>B135*49/100</f>
        <v>49</v>
      </c>
      <c r="R135" s="47">
        <f>B135*3.2/100</f>
        <v>3.2</v>
      </c>
      <c r="S135" s="47">
        <f>B135*2/100</f>
        <v>2</v>
      </c>
      <c r="T135" s="47">
        <f>B135*711/100</f>
        <v>711</v>
      </c>
      <c r="U135" s="47">
        <f>B135*0.2/100</f>
        <v>0.2</v>
      </c>
      <c r="V135" s="47">
        <f>B135*1.3/100</f>
        <v>1.3</v>
      </c>
      <c r="W135" s="47" t="s">
        <v>454</v>
      </c>
      <c r="X135" s="47">
        <f>B135*0.12/100</f>
        <v>0.12</v>
      </c>
      <c r="Y135" s="47">
        <f>B135*0.15/100</f>
        <v>0.15</v>
      </c>
      <c r="Z135" s="47">
        <f>B135*0.47/100</f>
        <v>0.47</v>
      </c>
      <c r="AA135" s="47" t="s">
        <v>23</v>
      </c>
      <c r="AB135" s="47" t="s">
        <v>23</v>
      </c>
      <c r="AC135" s="3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</row>
    <row r="136" spans="1:52" s="55" customFormat="1">
      <c r="A136" s="46" t="s">
        <v>587</v>
      </c>
      <c r="B136" s="47">
        <v>100</v>
      </c>
      <c r="C136" s="47">
        <f>B136*57/100</f>
        <v>57</v>
      </c>
      <c r="D136" s="47">
        <f>B136*3.4/100</f>
        <v>3.4</v>
      </c>
      <c r="E136" s="47">
        <v>0.4</v>
      </c>
      <c r="F136" s="47"/>
      <c r="G136" s="47"/>
      <c r="H136" s="47"/>
      <c r="I136" s="47"/>
      <c r="J136" s="47"/>
      <c r="K136" s="47" t="s">
        <v>454</v>
      </c>
      <c r="L136" s="47">
        <f>B136*12.7/100</f>
        <v>12.7</v>
      </c>
      <c r="M136" s="47">
        <f>B136*3.1/100</f>
        <v>3.1</v>
      </c>
      <c r="N136" s="47">
        <f>B136*16/100</f>
        <v>16</v>
      </c>
      <c r="O136" s="47">
        <f>B136*16/100</f>
        <v>16</v>
      </c>
      <c r="P136" s="47"/>
      <c r="Q136" s="47">
        <f>B136*49/100</f>
        <v>49</v>
      </c>
      <c r="R136" s="47">
        <f>B136*1.1/100</f>
        <v>1.1000000000000001</v>
      </c>
      <c r="S136" s="47">
        <f>B136*398/100</f>
        <v>398</v>
      </c>
      <c r="T136" s="47">
        <f>B136*122/100</f>
        <v>122</v>
      </c>
      <c r="U136" s="47">
        <f>B136*0.08/100</f>
        <v>0.08</v>
      </c>
      <c r="V136" s="47">
        <f>B136*0.5/100</f>
        <v>0.5</v>
      </c>
      <c r="W136" s="47" t="s">
        <v>454</v>
      </c>
      <c r="X136" s="47">
        <f>B136*0.03/100</f>
        <v>0.03</v>
      </c>
      <c r="Y136" s="47" t="s">
        <v>455</v>
      </c>
      <c r="Z136" s="47" t="s">
        <v>455</v>
      </c>
      <c r="AA136" s="47">
        <f>B136*3.72/100</f>
        <v>3.72</v>
      </c>
      <c r="AB136" s="47" t="s">
        <v>455</v>
      </c>
      <c r="AC136" s="3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</row>
    <row r="137" spans="1:52" s="55" customFormat="1">
      <c r="A137" s="60" t="s">
        <v>588</v>
      </c>
      <c r="B137" s="59">
        <v>100</v>
      </c>
      <c r="C137" s="59">
        <f>B137*30/100</f>
        <v>30</v>
      </c>
      <c r="D137" s="59">
        <f>B137*2.7/100</f>
        <v>2.7</v>
      </c>
      <c r="E137" s="59">
        <f>B137*0.7/100</f>
        <v>0.7</v>
      </c>
      <c r="F137" s="59">
        <f>B137*0.1/100</f>
        <v>0.1</v>
      </c>
      <c r="G137" s="59">
        <f>B137*0.1/100</f>
        <v>0.1</v>
      </c>
      <c r="H137" s="59">
        <f>B137*0.3/100</f>
        <v>0.3</v>
      </c>
      <c r="I137" s="59">
        <f>B137*0.07/100</f>
        <v>7.0000000000000007E-2</v>
      </c>
      <c r="J137" s="59">
        <f>B137*0.26/100</f>
        <v>0.26</v>
      </c>
      <c r="K137" s="59" t="s">
        <v>454</v>
      </c>
      <c r="L137" s="59">
        <f>B137*4.9/100</f>
        <v>4.9000000000000004</v>
      </c>
      <c r="M137" s="59">
        <f>B137*3.5/100</f>
        <v>3.5</v>
      </c>
      <c r="N137" s="59">
        <f>B137*126/100</f>
        <v>126</v>
      </c>
      <c r="O137" s="59">
        <f>B137*30/100</f>
        <v>30</v>
      </c>
      <c r="P137" s="59">
        <f>B137*0.23/100</f>
        <v>0.23</v>
      </c>
      <c r="Q137" s="59">
        <f>B137*48/100</f>
        <v>48</v>
      </c>
      <c r="R137" s="59">
        <f>B137*1.3/100</f>
        <v>1.3</v>
      </c>
      <c r="S137" s="59">
        <f>B137*19/100</f>
        <v>19</v>
      </c>
      <c r="T137" s="59">
        <f>B137*265/100</f>
        <v>265</v>
      </c>
      <c r="U137" s="59">
        <f>B137*0.2/100</f>
        <v>0.2</v>
      </c>
      <c r="V137" s="59">
        <f>B137*1.3/100</f>
        <v>1.3</v>
      </c>
      <c r="W137" s="59" t="s">
        <v>454</v>
      </c>
      <c r="X137" s="59" t="s">
        <v>455</v>
      </c>
      <c r="Y137" s="59">
        <f>B137*0.11/100</f>
        <v>0.11</v>
      </c>
      <c r="Z137" s="59">
        <f>B137*0.08/100</f>
        <v>0.08</v>
      </c>
      <c r="AA137" s="59" t="s">
        <v>455</v>
      </c>
      <c r="AB137" s="59">
        <f>B137*1.5/100</f>
        <v>1.5</v>
      </c>
      <c r="AC137" s="3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</row>
    <row r="138" spans="1:52" s="55" customFormat="1" ht="12" customHeight="1">
      <c r="A138" s="60" t="s">
        <v>589</v>
      </c>
      <c r="B138" s="59">
        <v>100</v>
      </c>
      <c r="C138" s="59">
        <f>B138*34/100</f>
        <v>34</v>
      </c>
      <c r="D138" s="59">
        <f>B138*2.9/100</f>
        <v>2.9</v>
      </c>
      <c r="E138" s="59">
        <f>B138*0.9/100</f>
        <v>0.9</v>
      </c>
      <c r="F138" s="59">
        <f>B138*0.2/100</f>
        <v>0.2</v>
      </c>
      <c r="G138" s="59">
        <f>B138*0.1/100</f>
        <v>0.1</v>
      </c>
      <c r="H138" s="59">
        <f>B138*0.4/100</f>
        <v>0.4</v>
      </c>
      <c r="I138" s="59">
        <f>B138*0.12/100</f>
        <v>0.12</v>
      </c>
      <c r="J138" s="59">
        <f>B138*0.25/100</f>
        <v>0.25</v>
      </c>
      <c r="K138" s="59" t="s">
        <v>454</v>
      </c>
      <c r="L138" s="59">
        <v>5.4</v>
      </c>
      <c r="M138" s="59">
        <f>B138*4.5/100</f>
        <v>4.5</v>
      </c>
      <c r="N138" s="59">
        <f>B138*141/100</f>
        <v>141</v>
      </c>
      <c r="O138" s="59">
        <f>B138*38/100</f>
        <v>38</v>
      </c>
      <c r="P138" s="59">
        <f>B138*0.66/100</f>
        <v>0.66</v>
      </c>
      <c r="Q138" s="59">
        <f>B138*53/100</f>
        <v>53</v>
      </c>
      <c r="R138" s="59">
        <f>B138*1.9/100</f>
        <v>1.9</v>
      </c>
      <c r="S138" s="59">
        <f>B138*1/100</f>
        <v>1</v>
      </c>
      <c r="T138" s="59">
        <f>B138*290/100</f>
        <v>290</v>
      </c>
      <c r="U138" s="59">
        <f>B138*0.16/100</f>
        <v>0.16</v>
      </c>
      <c r="V138" s="59">
        <f>B138*0.6/100</f>
        <v>0.6</v>
      </c>
      <c r="W138" s="59" t="s">
        <v>454</v>
      </c>
      <c r="X138" s="59" t="s">
        <v>455</v>
      </c>
      <c r="Y138" s="59">
        <f>B138*0.1/100</f>
        <v>0.1</v>
      </c>
      <c r="Z138" s="59">
        <f>B138*0.1/100</f>
        <v>0.1</v>
      </c>
      <c r="AA138" s="59" t="s">
        <v>455</v>
      </c>
      <c r="AB138" s="59">
        <f>B138*17.9/100</f>
        <v>17.899999999999999</v>
      </c>
      <c r="AC138" s="3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</row>
    <row r="139" spans="1:52" s="55" customFormat="1">
      <c r="A139" s="46" t="s">
        <v>590</v>
      </c>
      <c r="B139" s="47">
        <v>100</v>
      </c>
      <c r="C139" s="47">
        <f>B139*15/100</f>
        <v>15</v>
      </c>
      <c r="D139" s="47">
        <f>B139*1.1/100</f>
        <v>1.1000000000000001</v>
      </c>
      <c r="E139" s="47">
        <v>0.2</v>
      </c>
      <c r="F139" s="47"/>
      <c r="G139" s="47"/>
      <c r="H139" s="47"/>
      <c r="I139" s="47"/>
      <c r="J139" s="47"/>
      <c r="K139" s="47" t="s">
        <v>454</v>
      </c>
      <c r="L139" s="47">
        <f>B139*3.1/100</f>
        <v>3.1</v>
      </c>
      <c r="M139" s="47">
        <f>B139*1.2/100</f>
        <v>1.2</v>
      </c>
      <c r="N139" s="47">
        <f>B139*7/100</f>
        <v>7</v>
      </c>
      <c r="O139" s="47">
        <f>B139*11/100</f>
        <v>11</v>
      </c>
      <c r="P139" s="47">
        <f>B139*0.07/100</f>
        <v>7.0000000000000007E-2</v>
      </c>
      <c r="Q139" s="47">
        <f>B139*20/100</f>
        <v>20</v>
      </c>
      <c r="R139" s="47">
        <f>B139*0.2/100</f>
        <v>0.2</v>
      </c>
      <c r="S139" s="47">
        <f>B139*1/100</f>
        <v>1</v>
      </c>
      <c r="T139" s="47">
        <f>B139*222/100</f>
        <v>222</v>
      </c>
      <c r="U139" s="47">
        <f>B139*0.04/100</f>
        <v>0.04</v>
      </c>
      <c r="V139" s="47">
        <f>B139*0.1/100</f>
        <v>0.1</v>
      </c>
      <c r="W139" s="47" t="s">
        <v>454</v>
      </c>
      <c r="X139" s="47">
        <f>B139*0.12/100</f>
        <v>0.12</v>
      </c>
      <c r="Y139" s="47" t="s">
        <v>455</v>
      </c>
      <c r="Z139" s="47">
        <f>B139*0.02/100</f>
        <v>0.02</v>
      </c>
      <c r="AA139" s="47" t="s">
        <v>23</v>
      </c>
      <c r="AB139" s="47">
        <f>B139*21.2/100</f>
        <v>21.2</v>
      </c>
      <c r="AC139" s="3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</row>
    <row r="140" spans="1:52" s="55" customFormat="1">
      <c r="A140" s="46" t="s">
        <v>591</v>
      </c>
      <c r="B140" s="47">
        <v>100</v>
      </c>
      <c r="C140" s="47">
        <f>B140*61/100</f>
        <v>61</v>
      </c>
      <c r="D140" s="47">
        <f>B140*2.4/100</f>
        <v>2.4</v>
      </c>
      <c r="E140" s="47">
        <v>0.2</v>
      </c>
      <c r="F140" s="47"/>
      <c r="G140" s="47"/>
      <c r="H140" s="47"/>
      <c r="I140" s="47"/>
      <c r="J140" s="47"/>
      <c r="K140" s="47" t="s">
        <v>454</v>
      </c>
      <c r="L140" s="47">
        <f>B140*15/100</f>
        <v>15</v>
      </c>
      <c r="M140" s="47">
        <f>B140*2.8/100</f>
        <v>2.8</v>
      </c>
      <c r="N140" s="47">
        <f>B140*29/100</f>
        <v>29</v>
      </c>
      <c r="O140" s="47">
        <f>B140*29/100</f>
        <v>29</v>
      </c>
      <c r="P140" s="47"/>
      <c r="Q140" s="47">
        <f>B140*47/100</f>
        <v>47</v>
      </c>
      <c r="R140" s="47">
        <f>B140*2.1/100</f>
        <v>2.1</v>
      </c>
      <c r="S140" s="47">
        <f>B140*498/100</f>
        <v>498</v>
      </c>
      <c r="T140" s="47">
        <f>B140*680/100</f>
        <v>680</v>
      </c>
      <c r="U140" s="47">
        <f>B140*0.2/100</f>
        <v>0.2</v>
      </c>
      <c r="V140" s="47">
        <f>B140*0.4/100</f>
        <v>0.4</v>
      </c>
      <c r="W140" s="47" t="s">
        <v>454</v>
      </c>
      <c r="X140" s="47" t="s">
        <v>455</v>
      </c>
      <c r="Y140" s="47" t="s">
        <v>455</v>
      </c>
      <c r="Z140" s="47">
        <f>B140*0.11/100</f>
        <v>0.11</v>
      </c>
      <c r="AA140" s="47">
        <v>2.42</v>
      </c>
      <c r="AB140" s="47">
        <f>B140*18/100</f>
        <v>18</v>
      </c>
      <c r="AC140" s="3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</row>
    <row r="141" spans="1:52" s="55" customFormat="1">
      <c r="A141" s="60" t="s">
        <v>592</v>
      </c>
      <c r="B141" s="59">
        <v>100</v>
      </c>
      <c r="C141" s="59">
        <f>B141*38/100</f>
        <v>38</v>
      </c>
      <c r="D141" s="59">
        <f>B141*1.4/100</f>
        <v>1.4</v>
      </c>
      <c r="E141" s="59">
        <f>B141*0.9/100</f>
        <v>0.9</v>
      </c>
      <c r="F141" s="59">
        <f>B141*0.1/100</f>
        <v>0.1</v>
      </c>
      <c r="G141" s="59">
        <f>B141*0.1/100</f>
        <v>0.1</v>
      </c>
      <c r="H141" s="59">
        <f>B141*0.2/100</f>
        <v>0.2</v>
      </c>
      <c r="I141" s="59">
        <f>B141*0.17/100</f>
        <v>0.17</v>
      </c>
      <c r="J141" s="59">
        <f>B141*0.02/100</f>
        <v>0.02</v>
      </c>
      <c r="K141" s="59" t="s">
        <v>454</v>
      </c>
      <c r="L141" s="59">
        <f>B141*7.7/100</f>
        <v>7.7</v>
      </c>
      <c r="M141" s="59">
        <f>B141*3.1/100</f>
        <v>3.1</v>
      </c>
      <c r="N141" s="59">
        <f>B141*12/100</f>
        <v>12</v>
      </c>
      <c r="O141" s="59">
        <f>B141*17/100</f>
        <v>17</v>
      </c>
      <c r="P141" s="59">
        <f>B141*0.08/100</f>
        <v>0.08</v>
      </c>
      <c r="Q141" s="59">
        <f>B141*27/100</f>
        <v>27</v>
      </c>
      <c r="R141" s="59">
        <f>B141*1.6/100</f>
        <v>1.6</v>
      </c>
      <c r="S141" s="59">
        <f>B141*418/100</f>
        <v>418</v>
      </c>
      <c r="T141" s="59">
        <f>B141*388/100</f>
        <v>388</v>
      </c>
      <c r="U141" s="59">
        <f>B141*0.08/100</f>
        <v>0.08</v>
      </c>
      <c r="V141" s="59">
        <f>B141*0.1/100</f>
        <v>0.1</v>
      </c>
      <c r="W141" s="59" t="s">
        <v>454</v>
      </c>
      <c r="X141" s="59" t="s">
        <v>455</v>
      </c>
      <c r="Y141" s="59" t="s">
        <v>455</v>
      </c>
      <c r="Z141" s="59">
        <f>B141*0.06/100</f>
        <v>0.06</v>
      </c>
      <c r="AA141" s="59" t="s">
        <v>455</v>
      </c>
      <c r="AB141" s="59">
        <f>B141*2.7/100</f>
        <v>2.7</v>
      </c>
      <c r="AC141" s="3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</row>
    <row r="142" spans="1:52" s="55" customFormat="1">
      <c r="A142" s="46" t="s">
        <v>593</v>
      </c>
      <c r="B142" s="47">
        <v>100</v>
      </c>
      <c r="C142" s="47">
        <f>B142*28/100</f>
        <v>28</v>
      </c>
      <c r="D142" s="47">
        <f>B142*1.4/100</f>
        <v>1.4</v>
      </c>
      <c r="E142" s="47" t="s">
        <v>455</v>
      </c>
      <c r="F142" s="47"/>
      <c r="G142" s="47"/>
      <c r="H142" s="47"/>
      <c r="I142" s="47"/>
      <c r="J142" s="47"/>
      <c r="K142" s="47" t="s">
        <v>454</v>
      </c>
      <c r="L142" s="47">
        <f>B142*6.9/100</f>
        <v>6.9</v>
      </c>
      <c r="M142" s="47">
        <f>B142*1/100</f>
        <v>1</v>
      </c>
      <c r="N142" s="47">
        <f>B142*13/100</f>
        <v>13</v>
      </c>
      <c r="O142" s="47">
        <f>B142*15/100</f>
        <v>15</v>
      </c>
      <c r="P142" s="47"/>
      <c r="Q142" s="47">
        <f>B142*30/100</f>
        <v>30</v>
      </c>
      <c r="R142" s="47">
        <f>B142*1.3/100</f>
        <v>1.3</v>
      </c>
      <c r="S142" s="47">
        <f>B142*104/100</f>
        <v>104</v>
      </c>
      <c r="T142" s="47">
        <f>B142*308/100</f>
        <v>308</v>
      </c>
      <c r="U142" s="47">
        <f>B142*0.09/100</f>
        <v>0.09</v>
      </c>
      <c r="V142" s="47">
        <f>B142*0.3/100</f>
        <v>0.3</v>
      </c>
      <c r="W142" s="47" t="s">
        <v>454</v>
      </c>
      <c r="X142" s="47" t="s">
        <v>455</v>
      </c>
      <c r="Y142" s="47" t="s">
        <v>455</v>
      </c>
      <c r="Z142" s="47">
        <f>B142*0.07/100</f>
        <v>7.0000000000000007E-2</v>
      </c>
      <c r="AA142" s="47">
        <v>1.18</v>
      </c>
      <c r="AB142" s="47">
        <f>B142*5.4/100</f>
        <v>5.4</v>
      </c>
      <c r="AC142" s="3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</row>
    <row r="143" spans="1:52" s="55" customFormat="1">
      <c r="A143" s="46" t="s">
        <v>594</v>
      </c>
      <c r="B143" s="47">
        <v>100</v>
      </c>
      <c r="C143" s="47">
        <f>B143*21/100</f>
        <v>21</v>
      </c>
      <c r="D143" s="47">
        <f>B143*0.8/100</f>
        <v>0.8</v>
      </c>
      <c r="E143" s="47" t="s">
        <v>455</v>
      </c>
      <c r="F143" s="47"/>
      <c r="G143" s="47"/>
      <c r="H143" s="47"/>
      <c r="I143" s="47"/>
      <c r="J143" s="47"/>
      <c r="K143" s="47" t="s">
        <v>454</v>
      </c>
      <c r="L143" s="47">
        <f>B143*5.1/100</f>
        <v>5.0999999999999996</v>
      </c>
      <c r="M143" s="47">
        <f>B143*2.3/100</f>
        <v>2.2999999999999998</v>
      </c>
      <c r="N143" s="47">
        <f>B143*7/100</f>
        <v>7</v>
      </c>
      <c r="O143" s="47">
        <f>B143*10/100</f>
        <v>10</v>
      </c>
      <c r="P143" s="47">
        <v>0.04</v>
      </c>
      <c r="Q143" s="47">
        <f>B143*23/100</f>
        <v>23</v>
      </c>
      <c r="R143" s="47">
        <f>B143*0.3/100</f>
        <v>0.3</v>
      </c>
      <c r="S143" s="47">
        <v>5</v>
      </c>
      <c r="T143" s="47">
        <v>161</v>
      </c>
      <c r="U143" s="47">
        <f>B143*0.07/100</f>
        <v>7.0000000000000007E-2</v>
      </c>
      <c r="V143" s="47">
        <f>B143*0.2/100</f>
        <v>0.2</v>
      </c>
      <c r="W143" s="47" t="s">
        <v>454</v>
      </c>
      <c r="X143" s="47">
        <f>B143*0.06/100</f>
        <v>0.06</v>
      </c>
      <c r="Y143" s="47">
        <f>B143*0.04/100</f>
        <v>0.04</v>
      </c>
      <c r="Z143" s="47">
        <f>B143*0.05/100</f>
        <v>0.05</v>
      </c>
      <c r="AA143" s="47" t="s">
        <v>455</v>
      </c>
      <c r="AB143" s="47">
        <f>B143*12.8/100</f>
        <v>12.8</v>
      </c>
      <c r="AC143" s="3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</row>
    <row r="144" spans="1:52" s="55" customFormat="1">
      <c r="A144" s="60" t="s">
        <v>595</v>
      </c>
      <c r="B144" s="59">
        <v>100</v>
      </c>
      <c r="C144" s="59">
        <f>B144*381/100</f>
        <v>381</v>
      </c>
      <c r="D144" s="59">
        <f>B144*33.6/100</f>
        <v>33.6</v>
      </c>
      <c r="E144" s="59">
        <f>B144*10.3/100</f>
        <v>10.3</v>
      </c>
      <c r="F144" s="59">
        <f>B144*1.2/100</f>
        <v>1.2</v>
      </c>
      <c r="G144" s="59">
        <f>B144*5.4/100</f>
        <v>5.4</v>
      </c>
      <c r="H144" s="59">
        <f>B144*1.7/100</f>
        <v>1.7</v>
      </c>
      <c r="I144" s="59">
        <f>B144*1.08/100</f>
        <v>1.08</v>
      </c>
      <c r="J144" s="59">
        <f>B144*0.57/100</f>
        <v>0.56999999999999995</v>
      </c>
      <c r="K144" s="59" t="s">
        <v>454</v>
      </c>
      <c r="L144" s="59">
        <f>B144*43.8/100</f>
        <v>43.8</v>
      </c>
      <c r="M144" s="59">
        <f>B144*32.3/100</f>
        <v>32.299999999999997</v>
      </c>
      <c r="N144" s="59" t="s">
        <v>23</v>
      </c>
      <c r="O144" s="59" t="s">
        <v>23</v>
      </c>
      <c r="P144" s="59" t="s">
        <v>23</v>
      </c>
      <c r="Q144" s="59" t="s">
        <v>23</v>
      </c>
      <c r="R144" s="59" t="s">
        <v>23</v>
      </c>
      <c r="S144" s="59" t="s">
        <v>23</v>
      </c>
      <c r="T144" s="59" t="s">
        <v>23</v>
      </c>
      <c r="U144" s="59" t="s">
        <v>23</v>
      </c>
      <c r="V144" s="59" t="s">
        <v>23</v>
      </c>
      <c r="W144" s="59" t="s">
        <v>454</v>
      </c>
      <c r="X144" s="59">
        <v>0.24</v>
      </c>
      <c r="Y144" s="59" t="s">
        <v>455</v>
      </c>
      <c r="Z144" s="59">
        <f>B144*0.07/100</f>
        <v>7.0000000000000007E-2</v>
      </c>
      <c r="AA144" s="59" t="s">
        <v>455</v>
      </c>
      <c r="AB144" s="59">
        <f>B144*25/100</f>
        <v>25</v>
      </c>
      <c r="AC144" s="3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</row>
    <row r="145" spans="1:52" s="55" customFormat="1">
      <c r="A145" s="60" t="s">
        <v>596</v>
      </c>
      <c r="B145" s="59">
        <v>100</v>
      </c>
      <c r="C145" s="59">
        <f>B145*121/100</f>
        <v>121</v>
      </c>
      <c r="D145" s="59">
        <f>B145*11.1/100</f>
        <v>11.1</v>
      </c>
      <c r="E145" s="59">
        <f>B145*3.8/100</f>
        <v>3.8</v>
      </c>
      <c r="F145" s="59">
        <f>B145*0.4/100</f>
        <v>0.4</v>
      </c>
      <c r="G145" s="59">
        <f>B145*1.9/100</f>
        <v>1.9</v>
      </c>
      <c r="H145" s="59">
        <f>B145*0.6/100</f>
        <v>0.6</v>
      </c>
      <c r="I145" s="59">
        <f>B145*0.4/100</f>
        <v>0.4</v>
      </c>
      <c r="J145" s="59">
        <f>B145*0.22/100</f>
        <v>0.22</v>
      </c>
      <c r="K145" s="59" t="s">
        <v>454</v>
      </c>
      <c r="L145" s="59">
        <f>B145*12.4/100</f>
        <v>12.4</v>
      </c>
      <c r="M145" s="59">
        <v>14.4</v>
      </c>
      <c r="N145" s="59" t="s">
        <v>23</v>
      </c>
      <c r="O145" s="59" t="s">
        <v>23</v>
      </c>
      <c r="P145" s="59" t="s">
        <v>23</v>
      </c>
      <c r="Q145" s="59" t="s">
        <v>23</v>
      </c>
      <c r="R145" s="59" t="s">
        <v>23</v>
      </c>
      <c r="S145" s="59" t="s">
        <v>23</v>
      </c>
      <c r="T145" s="59" t="s">
        <v>23</v>
      </c>
      <c r="U145" s="59" t="s">
        <v>23</v>
      </c>
      <c r="V145" s="59" t="s">
        <v>23</v>
      </c>
      <c r="W145" s="59" t="s">
        <v>454</v>
      </c>
      <c r="X145" s="59" t="s">
        <v>455</v>
      </c>
      <c r="Y145" s="59" t="s">
        <v>455</v>
      </c>
      <c r="Z145" s="59" t="s">
        <v>455</v>
      </c>
      <c r="AA145" s="59" t="s">
        <v>455</v>
      </c>
      <c r="AB145" s="59" t="s">
        <v>455</v>
      </c>
      <c r="AC145" s="3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</row>
    <row r="146" spans="1:52" s="55" customFormat="1">
      <c r="A146" s="46" t="s">
        <v>597</v>
      </c>
      <c r="B146" s="47">
        <v>100</v>
      </c>
      <c r="C146" s="47">
        <f>B146*25/100</f>
        <v>25</v>
      </c>
      <c r="D146" s="47">
        <f>B146*1.8/100</f>
        <v>1.8</v>
      </c>
      <c r="E146" s="47">
        <f>B146*0.2/100</f>
        <v>0.2</v>
      </c>
      <c r="F146" s="47"/>
      <c r="G146" s="47"/>
      <c r="H146" s="47"/>
      <c r="I146" s="47"/>
      <c r="J146" s="47"/>
      <c r="K146" s="47" t="s">
        <v>454</v>
      </c>
      <c r="L146" s="47">
        <f>B146*5.3/100</f>
        <v>5.3</v>
      </c>
      <c r="M146" s="47">
        <f>B146*2.4/100</f>
        <v>2.4</v>
      </c>
      <c r="N146" s="47">
        <f>B146*41/100</f>
        <v>41</v>
      </c>
      <c r="O146" s="47">
        <f>B146*18/100</f>
        <v>18</v>
      </c>
      <c r="P146" s="47">
        <f>B146*0.5/100</f>
        <v>0.5</v>
      </c>
      <c r="Q146" s="47">
        <f>B146*28/100</f>
        <v>28</v>
      </c>
      <c r="R146" s="47">
        <f>B146*0.4/100</f>
        <v>0.4</v>
      </c>
      <c r="S146" s="47" t="s">
        <v>455</v>
      </c>
      <c r="T146" s="47">
        <f>B146*208/100</f>
        <v>208</v>
      </c>
      <c r="U146" s="47">
        <f>B146*0.06/100</f>
        <v>0.06</v>
      </c>
      <c r="V146" s="47">
        <f>B146*0.3/100</f>
        <v>0.3</v>
      </c>
      <c r="W146" s="47" t="s">
        <v>454</v>
      </c>
      <c r="X146" s="47" t="s">
        <v>455</v>
      </c>
      <c r="Y146" s="47">
        <f>B146*0.08/100</f>
        <v>0.08</v>
      </c>
      <c r="Z146" s="47" t="s">
        <v>455</v>
      </c>
      <c r="AA146" s="47" t="s">
        <v>23</v>
      </c>
      <c r="AB146" s="47" t="s">
        <v>23</v>
      </c>
      <c r="AC146" s="3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</row>
    <row r="147" spans="1:52">
      <c r="A147" s="13" t="s">
        <v>31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34"/>
      <c r="AD147" s="64"/>
      <c r="AE147" s="64"/>
      <c r="AF147" s="64"/>
      <c r="AG147" s="64"/>
      <c r="AH147" s="64"/>
    </row>
    <row r="148" spans="1:52" s="65" customFormat="1">
      <c r="A148" s="78" t="s">
        <v>599</v>
      </c>
      <c r="B148" s="79">
        <v>100</v>
      </c>
      <c r="C148" s="79">
        <f>B148*96/100</f>
        <v>96</v>
      </c>
      <c r="D148" s="79">
        <f>B148*1.2/100</f>
        <v>1.2</v>
      </c>
      <c r="E148" s="79">
        <f>B148*8.4/100</f>
        <v>8.4</v>
      </c>
      <c r="F148" s="79">
        <f>B148*2.3/100</f>
        <v>2.2999999999999998</v>
      </c>
      <c r="G148" s="79">
        <f>B148*4.3/100</f>
        <v>4.3</v>
      </c>
      <c r="H148" s="79">
        <f>B148*1.4/100</f>
        <v>1.4</v>
      </c>
      <c r="I148" s="79">
        <f>B148*1.29/100</f>
        <v>1.29</v>
      </c>
      <c r="J148" s="79">
        <f>B148*0.08/100</f>
        <v>0.08</v>
      </c>
      <c r="K148" s="79" t="s">
        <v>454</v>
      </c>
      <c r="L148" s="79">
        <f>B148*6/100</f>
        <v>6</v>
      </c>
      <c r="M148" s="79">
        <f>B148*6.3/100</f>
        <v>6.3</v>
      </c>
      <c r="N148" s="79">
        <f>B148*8/100</f>
        <v>8</v>
      </c>
      <c r="O148" s="79">
        <f>B148*15/100</f>
        <v>15</v>
      </c>
      <c r="P148" s="59">
        <f>B148*0.17/100</f>
        <v>0.17</v>
      </c>
      <c r="Q148" s="79">
        <f>B148*22/100</f>
        <v>22</v>
      </c>
      <c r="R148" s="79">
        <f>B148*0.2/100</f>
        <v>0.2</v>
      </c>
      <c r="S148" s="79" t="s">
        <v>455</v>
      </c>
      <c r="T148" s="79">
        <f>B148*206/100</f>
        <v>206</v>
      </c>
      <c r="U148" s="79">
        <f>B148*0.15/100</f>
        <v>0.15</v>
      </c>
      <c r="V148" s="79">
        <f>B148*0.2/100</f>
        <v>0.2</v>
      </c>
      <c r="W148" s="79" t="s">
        <v>454</v>
      </c>
      <c r="X148" s="79" t="s">
        <v>455</v>
      </c>
      <c r="Y148" s="79">
        <f>B148*0.04/100</f>
        <v>0.04</v>
      </c>
      <c r="Z148" s="79" t="s">
        <v>455</v>
      </c>
      <c r="AA148" s="79" t="s">
        <v>23</v>
      </c>
      <c r="AB148" s="79">
        <v>8.6999999999999993</v>
      </c>
      <c r="AC148" s="76"/>
      <c r="AD148" s="81"/>
      <c r="AE148" s="81"/>
      <c r="AF148" s="81"/>
      <c r="AG148" s="81"/>
      <c r="AH148" s="81"/>
    </row>
    <row r="149" spans="1:52" s="48" customFormat="1">
      <c r="A149" s="46" t="s">
        <v>32</v>
      </c>
      <c r="B149" s="47">
        <v>100</v>
      </c>
      <c r="C149" s="47">
        <f>B149*48/100</f>
        <v>48</v>
      </c>
      <c r="D149" s="47">
        <f>B149*0.9/100</f>
        <v>0.9</v>
      </c>
      <c r="E149" s="47">
        <f>B149*0.1/100</f>
        <v>0.1</v>
      </c>
      <c r="F149" s="47"/>
      <c r="G149" s="47"/>
      <c r="H149" s="47"/>
      <c r="I149" s="47"/>
      <c r="J149" s="47"/>
      <c r="K149" s="47" t="s">
        <v>454</v>
      </c>
      <c r="L149" s="47">
        <f>B149*12.3/100</f>
        <v>12.3</v>
      </c>
      <c r="M149" s="47">
        <f>B149*1/100</f>
        <v>1</v>
      </c>
      <c r="N149" s="47">
        <f>B149*22/100</f>
        <v>22</v>
      </c>
      <c r="O149" s="47">
        <f>B149*18/100</f>
        <v>18</v>
      </c>
      <c r="P149" s="47">
        <f>B149*1.62/100</f>
        <v>1.62</v>
      </c>
      <c r="Q149" s="47">
        <f>B149*13/100</f>
        <v>13</v>
      </c>
      <c r="R149" s="47">
        <f>B149*0.3/100</f>
        <v>0.3</v>
      </c>
      <c r="S149" s="47" t="s">
        <v>455</v>
      </c>
      <c r="T149" s="47">
        <f>B149*131/100</f>
        <v>131</v>
      </c>
      <c r="U149" s="47">
        <f>B149*0.11/100</f>
        <v>0.11</v>
      </c>
      <c r="V149" s="47">
        <f t="shared" ref="V149:V155" si="0">B149*0.1/100</f>
        <v>0.1</v>
      </c>
      <c r="W149" s="47" t="s">
        <v>454</v>
      </c>
      <c r="X149" s="47">
        <f>B149*0.17/100</f>
        <v>0.17</v>
      </c>
      <c r="Y149" s="47">
        <f>B149*0.02/100</f>
        <v>0.02</v>
      </c>
      <c r="Z149" s="47" t="s">
        <v>455</v>
      </c>
      <c r="AA149" s="47" t="s">
        <v>23</v>
      </c>
      <c r="AB149" s="47" t="s">
        <v>23</v>
      </c>
      <c r="AC149" s="34"/>
      <c r="AD149" s="64"/>
      <c r="AE149" s="64"/>
      <c r="AF149" s="64"/>
      <c r="AG149" s="64"/>
      <c r="AH149" s="64"/>
    </row>
    <row r="150" spans="1:52" s="48" customFormat="1">
      <c r="A150" s="60" t="s">
        <v>600</v>
      </c>
      <c r="B150" s="59">
        <v>100</v>
      </c>
      <c r="C150" s="59">
        <f>B150*62/100</f>
        <v>62</v>
      </c>
      <c r="D150" s="59">
        <f>B150*0.8/100</f>
        <v>0.8</v>
      </c>
      <c r="E150" s="59">
        <f>B150*0.7/100</f>
        <v>0.7</v>
      </c>
      <c r="F150" s="59">
        <f>B150*0.3/100</f>
        <v>0.3</v>
      </c>
      <c r="G150" s="59">
        <f>B150*0.1/100</f>
        <v>0.1</v>
      </c>
      <c r="H150" s="59">
        <f>B150*0.1/100</f>
        <v>0.1</v>
      </c>
      <c r="I150" s="59">
        <f>B150*0.1/100</f>
        <v>0.1</v>
      </c>
      <c r="J150" s="59">
        <f>B150*0.02/100</f>
        <v>0.02</v>
      </c>
      <c r="K150" s="59" t="s">
        <v>454</v>
      </c>
      <c r="L150" s="59">
        <f>B150*14.9/100</f>
        <v>14.9</v>
      </c>
      <c r="M150" s="59">
        <f>B150*1.7/100</f>
        <v>1.7</v>
      </c>
      <c r="N150" s="59">
        <f>B150*6/100</f>
        <v>6</v>
      </c>
      <c r="O150" s="59">
        <f>B150*9/100</f>
        <v>9</v>
      </c>
      <c r="P150" s="59">
        <f>B150*0.08/100</f>
        <v>0.08</v>
      </c>
      <c r="Q150" s="59">
        <f>B150*20/100</f>
        <v>20</v>
      </c>
      <c r="R150" s="59">
        <f>B150*0.2/100</f>
        <v>0.2</v>
      </c>
      <c r="S150" s="59" t="s">
        <v>455</v>
      </c>
      <c r="T150" s="59">
        <f>B150*128/100</f>
        <v>128</v>
      </c>
      <c r="U150" s="59">
        <f>B150*0.09/100</f>
        <v>0.09</v>
      </c>
      <c r="V150" s="59">
        <f t="shared" si="0"/>
        <v>0.1</v>
      </c>
      <c r="W150" s="59" t="s">
        <v>454</v>
      </c>
      <c r="X150" s="59" t="s">
        <v>455</v>
      </c>
      <c r="Y150" s="59">
        <f>B150*0.04/100</f>
        <v>0.04</v>
      </c>
      <c r="Z150" s="59">
        <f>B150*0.05/100</f>
        <v>0.05</v>
      </c>
      <c r="AA150" s="59" t="s">
        <v>455</v>
      </c>
      <c r="AB150" s="59">
        <f>B150*10.3/100</f>
        <v>10.3</v>
      </c>
      <c r="AC150" s="34"/>
      <c r="AD150" s="64"/>
      <c r="AE150" s="64"/>
      <c r="AF150" s="64"/>
      <c r="AG150" s="64"/>
      <c r="AH150" s="64"/>
    </row>
    <row r="151" spans="1:52" s="48" customFormat="1">
      <c r="A151" s="60" t="s">
        <v>897</v>
      </c>
      <c r="B151" s="59">
        <v>100</v>
      </c>
      <c r="C151" s="59">
        <f>B151*110/100</f>
        <v>110</v>
      </c>
      <c r="D151" s="59">
        <f>B151*0.7/100</f>
        <v>0.7</v>
      </c>
      <c r="E151" s="59">
        <f>B151*3.7/100</f>
        <v>3.7</v>
      </c>
      <c r="F151" s="59">
        <f>B151*0.7/100</f>
        <v>0.7</v>
      </c>
      <c r="G151" s="59">
        <f>B151*1.9/100</f>
        <v>1.9</v>
      </c>
      <c r="H151" s="59">
        <f>B151*0.3/100</f>
        <v>0.3</v>
      </c>
      <c r="I151" s="59">
        <f>B151*0.3/100</f>
        <v>0.3</v>
      </c>
      <c r="J151" s="59">
        <f>B151*0.02/100</f>
        <v>0.02</v>
      </c>
      <c r="K151" s="59" t="s">
        <v>454</v>
      </c>
      <c r="L151" s="59">
        <f>B151*21.5/100</f>
        <v>21.5</v>
      </c>
      <c r="M151" s="59">
        <f>B151*1.7/100</f>
        <v>1.7</v>
      </c>
      <c r="N151" s="59">
        <f>B151*22/100</f>
        <v>22</v>
      </c>
      <c r="O151" s="59">
        <f>B151*13/100</f>
        <v>13</v>
      </c>
      <c r="P151" s="59">
        <f>B151*3.29/100</f>
        <v>3.29</v>
      </c>
      <c r="Q151" s="59">
        <f>B151*11/100</f>
        <v>11</v>
      </c>
      <c r="R151" s="59">
        <f>B151*0.3/100</f>
        <v>0.3</v>
      </c>
      <c r="S151" s="59">
        <f>B151*15/100</f>
        <v>15</v>
      </c>
      <c r="T151" s="59">
        <f>B151*75/100</f>
        <v>75</v>
      </c>
      <c r="U151" s="59">
        <f>B151*0.14/100</f>
        <v>0.14000000000000001</v>
      </c>
      <c r="V151" s="59">
        <f>B151*0.2/100</f>
        <v>0.2</v>
      </c>
      <c r="W151" s="59" t="s">
        <v>454</v>
      </c>
      <c r="X151" s="59" t="s">
        <v>455</v>
      </c>
      <c r="Y151" s="59" t="s">
        <v>455</v>
      </c>
      <c r="Z151" s="59">
        <f>B151*0.07/100</f>
        <v>7.0000000000000007E-2</v>
      </c>
      <c r="AA151" s="59" t="s">
        <v>455</v>
      </c>
      <c r="AB151" s="59">
        <f>B151*10.3/100</f>
        <v>10.3</v>
      </c>
      <c r="AC151" s="34"/>
      <c r="AD151" s="64"/>
      <c r="AE151" s="64"/>
      <c r="AF151" s="64"/>
      <c r="AG151" s="64"/>
      <c r="AH151" s="64"/>
    </row>
    <row r="152" spans="1:52" s="48" customFormat="1">
      <c r="A152" s="46" t="s">
        <v>601</v>
      </c>
      <c r="B152" s="47">
        <v>100</v>
      </c>
      <c r="C152" s="47">
        <f>B152*33/100</f>
        <v>33</v>
      </c>
      <c r="D152" s="47">
        <f>B152*0.9/100</f>
        <v>0.9</v>
      </c>
      <c r="E152" s="47">
        <f>B152*0.2/100</f>
        <v>0.2</v>
      </c>
      <c r="F152" s="47"/>
      <c r="G152" s="47"/>
      <c r="H152" s="47"/>
      <c r="I152" s="47"/>
      <c r="J152" s="47"/>
      <c r="K152" s="47" t="s">
        <v>454</v>
      </c>
      <c r="L152" s="47">
        <f>B152*8/100</f>
        <v>8</v>
      </c>
      <c r="M152" s="47">
        <f>B152*1.5/100</f>
        <v>1.5</v>
      </c>
      <c r="N152" s="47">
        <f>B152*13/100</f>
        <v>13</v>
      </c>
      <c r="O152" s="47">
        <f>B152*13/100</f>
        <v>13</v>
      </c>
      <c r="P152" s="47">
        <f>B152*0.07/100</f>
        <v>7.0000000000000007E-2</v>
      </c>
      <c r="Q152" s="47">
        <f>B152*9/100</f>
        <v>9</v>
      </c>
      <c r="R152" s="47">
        <f>B152*0.2/100</f>
        <v>0.2</v>
      </c>
      <c r="S152" s="47" t="s">
        <v>455</v>
      </c>
      <c r="T152" s="47">
        <f>B152*165/100</f>
        <v>165</v>
      </c>
      <c r="U152" s="47">
        <f>B152*0.07/100</f>
        <v>7.0000000000000007E-2</v>
      </c>
      <c r="V152" s="47">
        <f t="shared" si="0"/>
        <v>0.1</v>
      </c>
      <c r="W152" s="47" t="s">
        <v>454</v>
      </c>
      <c r="X152" s="47" t="s">
        <v>455</v>
      </c>
      <c r="Y152" s="47">
        <f>B152*0.04/100</f>
        <v>0.04</v>
      </c>
      <c r="Z152" s="47" t="s">
        <v>455</v>
      </c>
      <c r="AA152" s="47">
        <f>B152*1.38/100</f>
        <v>1.38</v>
      </c>
      <c r="AB152" s="47">
        <f>B152*941.4/100</f>
        <v>941.4</v>
      </c>
      <c r="AC152" s="34"/>
      <c r="AD152" s="64"/>
      <c r="AE152" s="64"/>
      <c r="AF152" s="64"/>
      <c r="AG152" s="64"/>
      <c r="AH152" s="64"/>
    </row>
    <row r="153" spans="1:52" s="48" customFormat="1">
      <c r="A153" s="46" t="s">
        <v>602</v>
      </c>
      <c r="B153" s="47">
        <v>100</v>
      </c>
      <c r="C153" s="47">
        <f>B153*22/100</f>
        <v>22</v>
      </c>
      <c r="D153" s="47">
        <f>B153*0.6/100</f>
        <v>0.6</v>
      </c>
      <c r="E153" s="47" t="s">
        <v>455</v>
      </c>
      <c r="F153" s="47"/>
      <c r="G153" s="47"/>
      <c r="H153" s="47"/>
      <c r="I153" s="47"/>
      <c r="J153" s="47"/>
      <c r="K153" s="47" t="s">
        <v>454</v>
      </c>
      <c r="L153" s="47">
        <f>B153*5.5/100</f>
        <v>5.5</v>
      </c>
      <c r="M153" s="47">
        <f>B153*0.7/100</f>
        <v>0.7</v>
      </c>
      <c r="N153" s="47">
        <f>B153*8/100</f>
        <v>8</v>
      </c>
      <c r="O153" s="47">
        <f>B153*9/100</f>
        <v>9</v>
      </c>
      <c r="P153" s="47">
        <f>B153*0.03/100</f>
        <v>0.03</v>
      </c>
      <c r="Q153" s="47">
        <f>B153*13/100</f>
        <v>13</v>
      </c>
      <c r="R153" s="47">
        <f>B153*0.2/100</f>
        <v>0.2</v>
      </c>
      <c r="S153" s="47">
        <f>B153*1/100</f>
        <v>1</v>
      </c>
      <c r="T153" s="47">
        <f>B153*112/100</f>
        <v>112</v>
      </c>
      <c r="U153" s="47">
        <f>B153*0.04/100</f>
        <v>0.04</v>
      </c>
      <c r="V153" s="47">
        <f t="shared" si="0"/>
        <v>0.1</v>
      </c>
      <c r="W153" s="47" t="s">
        <v>454</v>
      </c>
      <c r="X153" s="47" t="s">
        <v>455</v>
      </c>
      <c r="Y153" s="47">
        <f>B153*0.1/100</f>
        <v>0.1</v>
      </c>
      <c r="Z153" s="47" t="s">
        <v>455</v>
      </c>
      <c r="AA153" s="47" t="s">
        <v>454</v>
      </c>
      <c r="AB153" s="47">
        <f>B153*623.2/100</f>
        <v>623.20000000000005</v>
      </c>
      <c r="AC153" s="34"/>
      <c r="AD153" s="64"/>
      <c r="AE153" s="64"/>
      <c r="AF153" s="64"/>
      <c r="AG153" s="64"/>
      <c r="AH153" s="64"/>
    </row>
    <row r="154" spans="1:52" s="48" customFormat="1">
      <c r="A154" s="46" t="s">
        <v>603</v>
      </c>
      <c r="B154" s="47">
        <v>100</v>
      </c>
      <c r="C154" s="47">
        <f>B154*183/100</f>
        <v>183</v>
      </c>
      <c r="D154" s="47">
        <f>B154*0.4/100</f>
        <v>0.4</v>
      </c>
      <c r="E154" s="47" t="s">
        <v>455</v>
      </c>
      <c r="F154" s="47"/>
      <c r="G154" s="47"/>
      <c r="H154" s="47"/>
      <c r="I154" s="47"/>
      <c r="J154" s="47"/>
      <c r="K154" s="47" t="s">
        <v>454</v>
      </c>
      <c r="L154" s="47">
        <f>B154*46.9/100</f>
        <v>46.9</v>
      </c>
      <c r="M154" s="47">
        <f>B154*0.5/100</f>
        <v>0.5</v>
      </c>
      <c r="N154" s="47">
        <f>B154*13/100</f>
        <v>13</v>
      </c>
      <c r="O154" s="47">
        <f>B154*10/100</f>
        <v>10</v>
      </c>
      <c r="P154" s="47">
        <f>B154*0.1/100</f>
        <v>0.1</v>
      </c>
      <c r="Q154" s="47">
        <f>B154*21/100</f>
        <v>21</v>
      </c>
      <c r="R154" s="47">
        <f>B154*2.2/100</f>
        <v>2.2000000000000002</v>
      </c>
      <c r="S154" s="47">
        <f>B154*3/100</f>
        <v>3</v>
      </c>
      <c r="T154" s="47">
        <f>B154*221/100</f>
        <v>221</v>
      </c>
      <c r="U154" s="47">
        <f>B154*0.03/100</f>
        <v>0.03</v>
      </c>
      <c r="V154" s="47">
        <f>B154*0.1/100</f>
        <v>0.1</v>
      </c>
      <c r="W154" s="47" t="s">
        <v>454</v>
      </c>
      <c r="X154" s="47" t="s">
        <v>455</v>
      </c>
      <c r="Y154" s="47">
        <f>B154*0.23/100</f>
        <v>0.23</v>
      </c>
      <c r="Z154" s="47">
        <f>B154*0.37/100</f>
        <v>0.37</v>
      </c>
      <c r="AA154" s="47" t="s">
        <v>455</v>
      </c>
      <c r="AB154" s="47">
        <f>B154*4.3/100</f>
        <v>4.3</v>
      </c>
      <c r="AC154" s="34"/>
      <c r="AD154" s="64"/>
      <c r="AE154" s="64"/>
      <c r="AF154" s="64"/>
      <c r="AG154" s="64"/>
      <c r="AH154" s="64"/>
    </row>
    <row r="155" spans="1:52" s="48" customFormat="1">
      <c r="A155" s="46" t="s">
        <v>604</v>
      </c>
      <c r="B155" s="47">
        <v>100</v>
      </c>
      <c r="C155" s="47">
        <f>B155*53/100</f>
        <v>53</v>
      </c>
      <c r="D155" s="47">
        <f>B155*0.8/100</f>
        <v>0.8</v>
      </c>
      <c r="E155" s="47" t="s">
        <v>455</v>
      </c>
      <c r="F155" s="47"/>
      <c r="G155" s="47"/>
      <c r="H155" s="47"/>
      <c r="I155" s="47"/>
      <c r="J155" s="47"/>
      <c r="K155" s="47" t="s">
        <v>454</v>
      </c>
      <c r="L155" s="47">
        <f>B155*13.9/100</f>
        <v>13.9</v>
      </c>
      <c r="M155" s="47">
        <f>B155*2.4/100</f>
        <v>2.4</v>
      </c>
      <c r="N155" s="47">
        <f>B155*6/100</f>
        <v>6</v>
      </c>
      <c r="O155" s="47">
        <f>B155*5/100</f>
        <v>5</v>
      </c>
      <c r="P155" s="47">
        <f>B155*0.03/100</f>
        <v>0.03</v>
      </c>
      <c r="Q155" s="47">
        <f>B155*14/100</f>
        <v>14</v>
      </c>
      <c r="R155" s="47">
        <f>B155*0.1/100</f>
        <v>0.1</v>
      </c>
      <c r="S155" s="47" t="s">
        <v>455</v>
      </c>
      <c r="T155" s="47">
        <f>B155*134/100</f>
        <v>134</v>
      </c>
      <c r="U155" s="47">
        <f>B155*0.06/100</f>
        <v>0.06</v>
      </c>
      <c r="V155" s="47">
        <f t="shared" si="0"/>
        <v>0.1</v>
      </c>
      <c r="W155" s="47" t="s">
        <v>454</v>
      </c>
      <c r="X155" s="47">
        <f>B155*0.07/100</f>
        <v>7.0000000000000007E-2</v>
      </c>
      <c r="Y155" s="47" t="s">
        <v>455</v>
      </c>
      <c r="Z155" s="47">
        <f>B155*0.03/100</f>
        <v>0.03</v>
      </c>
      <c r="AA155" s="47" t="s">
        <v>23</v>
      </c>
      <c r="AB155" s="47" t="s">
        <v>23</v>
      </c>
      <c r="AC155" s="34"/>
      <c r="AD155" s="64"/>
      <c r="AE155" s="64"/>
      <c r="AF155" s="64"/>
      <c r="AG155" s="64"/>
      <c r="AH155" s="64"/>
    </row>
    <row r="156" spans="1:52" s="48" customFormat="1">
      <c r="A156" s="60" t="s">
        <v>898</v>
      </c>
      <c r="B156" s="59">
        <v>100</v>
      </c>
      <c r="C156" s="59">
        <f>B156*177/100</f>
        <v>177</v>
      </c>
      <c r="D156" s="59">
        <f>B156*1/100</f>
        <v>1</v>
      </c>
      <c r="E156" s="59">
        <f>B156*0.3/100</f>
        <v>0.3</v>
      </c>
      <c r="F156" s="59">
        <f>B156*0.1/100</f>
        <v>0.1</v>
      </c>
      <c r="G156" s="59" t="s">
        <v>455</v>
      </c>
      <c r="H156" s="59">
        <f>B156*0.1/100</f>
        <v>0.1</v>
      </c>
      <c r="I156" s="59">
        <f>B156*0.07/100</f>
        <v>7.0000000000000007E-2</v>
      </c>
      <c r="J156" s="59">
        <f>B156*0.01/100</f>
        <v>0.01</v>
      </c>
      <c r="K156" s="59" t="s">
        <v>454</v>
      </c>
      <c r="L156" s="59">
        <f>B156*47.7/100</f>
        <v>47.7</v>
      </c>
      <c r="M156" s="59">
        <f>B156*4.5/100</f>
        <v>4.5</v>
      </c>
      <c r="N156" s="59">
        <f>B156*39/100</f>
        <v>39</v>
      </c>
      <c r="O156" s="59">
        <f>B156*14/100</f>
        <v>14</v>
      </c>
      <c r="P156" s="59">
        <f>B156*0.2/100</f>
        <v>0.2</v>
      </c>
      <c r="Q156" s="59">
        <f>B156*26/100</f>
        <v>26</v>
      </c>
      <c r="R156" s="59">
        <f>B156*2.7/100</f>
        <v>2.7</v>
      </c>
      <c r="S156" s="59">
        <f>B156*3/100</f>
        <v>3</v>
      </c>
      <c r="T156" s="59">
        <f>B156*263/100</f>
        <v>263</v>
      </c>
      <c r="U156" s="59">
        <f>B156*0.16/100</f>
        <v>0.16</v>
      </c>
      <c r="V156" s="59">
        <f>B156*0.2/100</f>
        <v>0.2</v>
      </c>
      <c r="W156" s="59" t="s">
        <v>454</v>
      </c>
      <c r="X156" s="59" t="s">
        <v>455</v>
      </c>
      <c r="Y156" s="59">
        <f>B156*0.22/100</f>
        <v>0.22</v>
      </c>
      <c r="Z156" s="59">
        <f>B156*0.08/100</f>
        <v>0.08</v>
      </c>
      <c r="AA156" s="59" t="s">
        <v>455</v>
      </c>
      <c r="AB156" s="59">
        <f>B156*5.2/100</f>
        <v>5.2</v>
      </c>
      <c r="AC156" s="34"/>
      <c r="AD156" s="64"/>
      <c r="AE156" s="64"/>
      <c r="AF156" s="64"/>
      <c r="AG156" s="64"/>
      <c r="AH156" s="64"/>
    </row>
    <row r="157" spans="1:52" s="48" customFormat="1">
      <c r="A157" s="60" t="s">
        <v>605</v>
      </c>
      <c r="B157" s="59">
        <v>100</v>
      </c>
      <c r="C157" s="59">
        <f>B157*97/100</f>
        <v>97</v>
      </c>
      <c r="D157" s="59">
        <f>B157*1/100</f>
        <v>1</v>
      </c>
      <c r="E157" s="59">
        <f>B157*0.3/100</f>
        <v>0.3</v>
      </c>
      <c r="F157" s="59">
        <f>B157*0.1/100</f>
        <v>0.1</v>
      </c>
      <c r="G157" s="59" t="s">
        <v>455</v>
      </c>
      <c r="H157" s="59">
        <f>B157*0.1/100</f>
        <v>0.1</v>
      </c>
      <c r="I157" s="59">
        <f>B157*0.06/100</f>
        <v>0.06</v>
      </c>
      <c r="J157" s="59">
        <f>B157*0.04/100</f>
        <v>0.04</v>
      </c>
      <c r="K157" s="59" t="s">
        <v>454</v>
      </c>
      <c r="L157" s="59">
        <f>B157*25.3/100</f>
        <v>25.3</v>
      </c>
      <c r="M157" s="59">
        <f>B157*2.1/100</f>
        <v>2.1</v>
      </c>
      <c r="N157" s="59">
        <f>B157*23/100</f>
        <v>23</v>
      </c>
      <c r="O157" s="59">
        <f>B157*25/100</f>
        <v>25</v>
      </c>
      <c r="P157" s="59">
        <v>0.16</v>
      </c>
      <c r="Q157" s="59">
        <f>B157*23/100</f>
        <v>23</v>
      </c>
      <c r="R157" s="59">
        <f>B157*0.2/100</f>
        <v>0.2</v>
      </c>
      <c r="S157" s="59">
        <f>B157*1/100</f>
        <v>1</v>
      </c>
      <c r="T157" s="59">
        <f>B157*300/100</f>
        <v>300</v>
      </c>
      <c r="U157" s="59">
        <f>B157*0.17/100</f>
        <v>0.17</v>
      </c>
      <c r="V157" s="59">
        <f>B157*0.2/100</f>
        <v>0.2</v>
      </c>
      <c r="W157" s="59" t="s">
        <v>454</v>
      </c>
      <c r="X157" s="59">
        <f>B157*0.09/100</f>
        <v>0.09</v>
      </c>
      <c r="Y157" s="59">
        <v>7.0000000000000007E-2</v>
      </c>
      <c r="Z157" s="59">
        <v>7.0000000000000007E-2</v>
      </c>
      <c r="AA157" s="59">
        <v>1.58</v>
      </c>
      <c r="AB157" s="59">
        <f>B157*10.1/100</f>
        <v>10.1</v>
      </c>
      <c r="AC157" s="34"/>
      <c r="AD157" s="64"/>
      <c r="AE157" s="64"/>
      <c r="AF157" s="64"/>
      <c r="AG157" s="64"/>
      <c r="AH157" s="64"/>
    </row>
    <row r="158" spans="1:52" s="48" customFormat="1">
      <c r="A158" s="46" t="s">
        <v>606</v>
      </c>
      <c r="B158" s="47">
        <v>100</v>
      </c>
      <c r="C158" s="47">
        <f>B158*128/100</f>
        <v>128</v>
      </c>
      <c r="D158" s="47">
        <f>B158*1.4/100</f>
        <v>1.4</v>
      </c>
      <c r="E158" s="47">
        <f>B158*0.2/100</f>
        <v>0.2</v>
      </c>
      <c r="F158" s="47"/>
      <c r="G158" s="47"/>
      <c r="H158" s="47"/>
      <c r="I158" s="47"/>
      <c r="J158" s="47"/>
      <c r="K158" s="47" t="s">
        <v>454</v>
      </c>
      <c r="L158" s="47">
        <f>B158*33.7/100</f>
        <v>33.700000000000003</v>
      </c>
      <c r="M158" s="47">
        <f>B158*1.5/100</f>
        <v>1.5</v>
      </c>
      <c r="N158" s="47" t="s">
        <v>23</v>
      </c>
      <c r="O158" s="47">
        <f>B158*24/100</f>
        <v>24</v>
      </c>
      <c r="P158" s="47">
        <f>B158*0.16/100</f>
        <v>0.16</v>
      </c>
      <c r="Q158" s="47">
        <f>B158*26/100</f>
        <v>26</v>
      </c>
      <c r="R158" s="47">
        <f>B158*0.3/100</f>
        <v>0.3</v>
      </c>
      <c r="S158" s="47" t="s">
        <v>455</v>
      </c>
      <c r="T158" s="47">
        <f>B158*328/100</f>
        <v>328</v>
      </c>
      <c r="U158" s="47">
        <f>B158*0.05/100</f>
        <v>0.05</v>
      </c>
      <c r="V158" s="47">
        <f>B158*0.2/100</f>
        <v>0.2</v>
      </c>
      <c r="W158" s="47" t="s">
        <v>454</v>
      </c>
      <c r="X158" s="47">
        <f>B158*0.03/100</f>
        <v>0.03</v>
      </c>
      <c r="Y158" s="47">
        <f>B158*0.02/100</f>
        <v>0.02</v>
      </c>
      <c r="Z158" s="47">
        <f>B158*0.14/100</f>
        <v>0.14000000000000001</v>
      </c>
      <c r="AA158" s="47" t="s">
        <v>23</v>
      </c>
      <c r="AB158" s="47">
        <f>B158*15.7/100</f>
        <v>15.7</v>
      </c>
      <c r="AC158" s="34"/>
      <c r="AD158" s="64"/>
      <c r="AE158" s="64"/>
      <c r="AF158" s="64"/>
      <c r="AG158" s="64"/>
      <c r="AH158" s="64"/>
    </row>
    <row r="159" spans="1:52" s="48" customFormat="1">
      <c r="A159" s="46" t="s">
        <v>607</v>
      </c>
      <c r="B159" s="47">
        <v>100</v>
      </c>
      <c r="C159" s="47">
        <f>B159*105/100</f>
        <v>105</v>
      </c>
      <c r="D159" s="47">
        <f>B159*1.1/100</f>
        <v>1.1000000000000001</v>
      </c>
      <c r="E159" s="47">
        <f>B159*0.1/100</f>
        <v>0.1</v>
      </c>
      <c r="F159" s="47"/>
      <c r="G159" s="47"/>
      <c r="H159" s="47"/>
      <c r="I159" s="47"/>
      <c r="J159" s="47"/>
      <c r="K159" s="47" t="s">
        <v>454</v>
      </c>
      <c r="L159" s="47">
        <f>B159*27.8/100</f>
        <v>27.8</v>
      </c>
      <c r="M159" s="47">
        <f>B159*2.8/100</f>
        <v>2.8</v>
      </c>
      <c r="N159" s="47">
        <f>B159*6/100</f>
        <v>6</v>
      </c>
      <c r="O159" s="47">
        <f>B159*30/100</f>
        <v>30</v>
      </c>
      <c r="P159" s="47">
        <f>B159*0.21/100</f>
        <v>0.21</v>
      </c>
      <c r="Q159" s="47">
        <f>B159*16/100</f>
        <v>16</v>
      </c>
      <c r="R159" s="47">
        <f>B159*0.2/100</f>
        <v>0.2</v>
      </c>
      <c r="S159" s="47" t="s">
        <v>455</v>
      </c>
      <c r="T159" s="47">
        <f>B159*387/100</f>
        <v>387</v>
      </c>
      <c r="U159" s="47">
        <f>B159*0.06/100</f>
        <v>0.06</v>
      </c>
      <c r="V159" s="47">
        <f>B159*0.1/100</f>
        <v>0.1</v>
      </c>
      <c r="W159" s="47" t="s">
        <v>454</v>
      </c>
      <c r="X159" s="47">
        <f>B159*0.09/100</f>
        <v>0.09</v>
      </c>
      <c r="Y159" s="47" t="s">
        <v>455</v>
      </c>
      <c r="Z159" s="47">
        <f>B159*0.03/100</f>
        <v>0.03</v>
      </c>
      <c r="AA159" s="47" t="s">
        <v>455</v>
      </c>
      <c r="AB159" s="47">
        <f>B159*17.5/100</f>
        <v>17.5</v>
      </c>
      <c r="AC159" s="34"/>
      <c r="AD159" s="64"/>
      <c r="AE159" s="64"/>
      <c r="AF159" s="64"/>
      <c r="AG159" s="64"/>
      <c r="AH159" s="64"/>
    </row>
    <row r="160" spans="1:52" s="48" customFormat="1">
      <c r="A160" s="46" t="s">
        <v>608</v>
      </c>
      <c r="B160" s="47">
        <v>100</v>
      </c>
      <c r="C160" s="47">
        <f>B160*87/100</f>
        <v>87</v>
      </c>
      <c r="D160" s="47">
        <f>B160*1.8/100</f>
        <v>1.8</v>
      </c>
      <c r="E160" s="47">
        <f>B160*0.1/100</f>
        <v>0.1</v>
      </c>
      <c r="F160" s="47"/>
      <c r="G160" s="47"/>
      <c r="H160" s="47"/>
      <c r="I160" s="47"/>
      <c r="J160" s="47"/>
      <c r="K160" s="47" t="s">
        <v>454</v>
      </c>
      <c r="L160" s="47">
        <f>B160*22.3/100</f>
        <v>22.3</v>
      </c>
      <c r="M160" s="47">
        <f>B160*2.6/100</f>
        <v>2.6</v>
      </c>
      <c r="N160" s="47">
        <f>B160*3/100</f>
        <v>3</v>
      </c>
      <c r="O160" s="47">
        <f>B160*24/100</f>
        <v>24</v>
      </c>
      <c r="P160" s="47">
        <f>B160*0.6/100</f>
        <v>0.6</v>
      </c>
      <c r="Q160" s="47">
        <f>B160*29/100</f>
        <v>29</v>
      </c>
      <c r="R160" s="47">
        <f>B160*0.2/100</f>
        <v>0.2</v>
      </c>
      <c r="S160" s="47" t="s">
        <v>455</v>
      </c>
      <c r="T160" s="47">
        <f>B160*264/100</f>
        <v>264</v>
      </c>
      <c r="U160" s="47">
        <f>B160*0.11/100</f>
        <v>0.11</v>
      </c>
      <c r="V160" s="47">
        <f>B160*0.1/100</f>
        <v>0.1</v>
      </c>
      <c r="W160" s="47" t="s">
        <v>454</v>
      </c>
      <c r="X160" s="47" t="s">
        <v>455</v>
      </c>
      <c r="Y160" s="47" t="s">
        <v>455</v>
      </c>
      <c r="Z160" s="47">
        <f>B160*0.14/100</f>
        <v>0.14000000000000001</v>
      </c>
      <c r="AA160" s="47" t="s">
        <v>23</v>
      </c>
      <c r="AB160" s="47">
        <f>B160*10.5/100</f>
        <v>10.5</v>
      </c>
      <c r="AC160" s="34"/>
      <c r="AD160" s="64"/>
      <c r="AE160" s="64"/>
      <c r="AF160" s="64"/>
      <c r="AG160" s="64"/>
      <c r="AH160" s="64"/>
    </row>
    <row r="161" spans="1:34" s="48" customFormat="1">
      <c r="A161" s="46" t="s">
        <v>609</v>
      </c>
      <c r="B161" s="47">
        <v>100</v>
      </c>
      <c r="C161" s="47">
        <f>B161*92/100</f>
        <v>92</v>
      </c>
      <c r="D161" s="47">
        <f>B161*1.4/100</f>
        <v>1.4</v>
      </c>
      <c r="E161" s="47">
        <f>B161*0.1/100</f>
        <v>0.1</v>
      </c>
      <c r="F161" s="47"/>
      <c r="G161" s="47"/>
      <c r="H161" s="47"/>
      <c r="I161" s="47"/>
      <c r="J161" s="47"/>
      <c r="K161" s="47" t="s">
        <v>454</v>
      </c>
      <c r="L161" s="47">
        <f>B161*23.8/100</f>
        <v>23.8</v>
      </c>
      <c r="M161" s="47">
        <f>B161*1.9/100</f>
        <v>1.9</v>
      </c>
      <c r="N161" s="47">
        <f>B161*3/100</f>
        <v>3</v>
      </c>
      <c r="O161" s="47">
        <f>B161*28/100</f>
        <v>28</v>
      </c>
      <c r="P161" s="47">
        <f>B161*0.14/100</f>
        <v>0.14000000000000001</v>
      </c>
      <c r="Q161" s="47">
        <f>B161*27/100</f>
        <v>27</v>
      </c>
      <c r="R161" s="47">
        <f>B161*0.3/100</f>
        <v>0.3</v>
      </c>
      <c r="S161" s="47" t="s">
        <v>455</v>
      </c>
      <c r="T161" s="47">
        <f>B161*376/100</f>
        <v>376</v>
      </c>
      <c r="U161" s="47">
        <f>B161*0.1/100</f>
        <v>0.1</v>
      </c>
      <c r="V161" s="47">
        <f>B161*0.2/100</f>
        <v>0.2</v>
      </c>
      <c r="W161" s="47" t="s">
        <v>454</v>
      </c>
      <c r="X161" s="47" t="s">
        <v>455</v>
      </c>
      <c r="Y161" s="47">
        <f>B161*0.02/100</f>
        <v>0.02</v>
      </c>
      <c r="Z161" s="47">
        <f>B161*0.14/100</f>
        <v>0.14000000000000001</v>
      </c>
      <c r="AA161" s="47" t="s">
        <v>23</v>
      </c>
      <c r="AB161" s="47">
        <f>B161*5.9/100</f>
        <v>5.9</v>
      </c>
      <c r="AC161" s="34"/>
      <c r="AD161" s="64"/>
      <c r="AE161" s="64"/>
      <c r="AF161" s="64"/>
      <c r="AG161" s="64"/>
      <c r="AH161" s="64"/>
    </row>
    <row r="162" spans="1:34" s="48" customFormat="1">
      <c r="A162" s="46" t="s">
        <v>610</v>
      </c>
      <c r="B162" s="47">
        <v>100</v>
      </c>
      <c r="C162" s="47">
        <f>B162*112/100</f>
        <v>112</v>
      </c>
      <c r="D162" s="47">
        <f>B162*1.5/100</f>
        <v>1.5</v>
      </c>
      <c r="E162" s="47">
        <f>B162*0.2/100</f>
        <v>0.2</v>
      </c>
      <c r="F162" s="47"/>
      <c r="G162" s="47"/>
      <c r="H162" s="47"/>
      <c r="I162" s="47"/>
      <c r="J162" s="47"/>
      <c r="K162" s="47" t="s">
        <v>454</v>
      </c>
      <c r="L162" s="47">
        <f>B162*29.3/100</f>
        <v>29.3</v>
      </c>
      <c r="M162" s="47">
        <f>B162*2/100</f>
        <v>2</v>
      </c>
      <c r="N162" s="47">
        <f>B162*3/100</f>
        <v>3</v>
      </c>
      <c r="O162" s="47">
        <f>B162*28/100</f>
        <v>28</v>
      </c>
      <c r="P162" s="47">
        <f>B162*0.9/100</f>
        <v>0.9</v>
      </c>
      <c r="Q162" s="47">
        <f>B162*22/100</f>
        <v>22</v>
      </c>
      <c r="R162" s="47">
        <f>B162*0.3/100</f>
        <v>0.3</v>
      </c>
      <c r="S162" s="47" t="s">
        <v>455</v>
      </c>
      <c r="T162" s="47">
        <f>B162*355/100</f>
        <v>355</v>
      </c>
      <c r="U162" s="47">
        <f>B162*0.08/100</f>
        <v>0.08</v>
      </c>
      <c r="V162" s="47">
        <f>B162*0.3/100</f>
        <v>0.3</v>
      </c>
      <c r="W162" s="47" t="s">
        <v>454</v>
      </c>
      <c r="X162" s="47" t="s">
        <v>455</v>
      </c>
      <c r="Y162" s="47" t="s">
        <v>455</v>
      </c>
      <c r="Z162" s="47">
        <f>B162*0.14/100</f>
        <v>0.14000000000000001</v>
      </c>
      <c r="AA162" s="47" t="s">
        <v>23</v>
      </c>
      <c r="AB162" s="47">
        <f>B162*7.6/100</f>
        <v>7.6</v>
      </c>
      <c r="AC162" s="34"/>
      <c r="AD162" s="64"/>
      <c r="AE162" s="64"/>
      <c r="AF162" s="64"/>
      <c r="AG162" s="64"/>
      <c r="AH162" s="64"/>
    </row>
    <row r="163" spans="1:34" s="48" customFormat="1">
      <c r="A163" s="46" t="s">
        <v>611</v>
      </c>
      <c r="B163" s="47">
        <v>100</v>
      </c>
      <c r="C163" s="47">
        <f>B163*78/100</f>
        <v>78</v>
      </c>
      <c r="D163" s="47">
        <f>B163*1.2/100</f>
        <v>1.2</v>
      </c>
      <c r="E163" s="47">
        <f>B163*0.1/100</f>
        <v>0.1</v>
      </c>
      <c r="F163" s="47"/>
      <c r="G163" s="47"/>
      <c r="H163" s="47"/>
      <c r="I163" s="47"/>
      <c r="J163" s="47"/>
      <c r="K163" s="47" t="s">
        <v>454</v>
      </c>
      <c r="L163" s="47">
        <f>B163*20.3/100</f>
        <v>20.3</v>
      </c>
      <c r="M163" s="47">
        <f>B163*2/100</f>
        <v>2</v>
      </c>
      <c r="N163" s="47">
        <f>B163*5/100</f>
        <v>5</v>
      </c>
      <c r="O163" s="47">
        <f>B163*30/100</f>
        <v>30</v>
      </c>
      <c r="P163" s="47">
        <f>B163*0.41/100</f>
        <v>0.41</v>
      </c>
      <c r="Q163" s="47">
        <f>B163*20/100</f>
        <v>20</v>
      </c>
      <c r="R163" s="47">
        <f>B163*0.4/100</f>
        <v>0.4</v>
      </c>
      <c r="S163" s="47">
        <f>B163*1/100</f>
        <v>1</v>
      </c>
      <c r="T163" s="47">
        <f>B163*267/100</f>
        <v>267</v>
      </c>
      <c r="U163" s="47">
        <f>B163*0.06/100</f>
        <v>0.06</v>
      </c>
      <c r="V163" s="47">
        <f>B163*0.1/100</f>
        <v>0.1</v>
      </c>
      <c r="W163" s="47" t="s">
        <v>454</v>
      </c>
      <c r="X163" s="47">
        <f>B163*0.05/100</f>
        <v>0.05</v>
      </c>
      <c r="Y163" s="47">
        <f>B163*0.03/100</f>
        <v>0.03</v>
      </c>
      <c r="Z163" s="47">
        <f>B163*0.17/100</f>
        <v>0.17</v>
      </c>
      <c r="AA163" s="47" t="s">
        <v>455</v>
      </c>
      <c r="AB163" s="47" t="s">
        <v>455</v>
      </c>
      <c r="AC163" s="34"/>
      <c r="AD163" s="64"/>
      <c r="AE163" s="64"/>
      <c r="AF163" s="64"/>
      <c r="AG163" s="64"/>
      <c r="AH163" s="64"/>
    </row>
    <row r="164" spans="1:34" s="48" customFormat="1">
      <c r="A164" s="46" t="s">
        <v>612</v>
      </c>
      <c r="B164" s="47">
        <v>100</v>
      </c>
      <c r="C164" s="47">
        <f>B164*98/100</f>
        <v>98</v>
      </c>
      <c r="D164" s="47">
        <f>B164*1.3/100</f>
        <v>1.3</v>
      </c>
      <c r="E164" s="47">
        <f>B164*0.1/100</f>
        <v>0.1</v>
      </c>
      <c r="F164" s="47"/>
      <c r="G164" s="47"/>
      <c r="H164" s="47"/>
      <c r="I164" s="47"/>
      <c r="J164" s="47"/>
      <c r="K164" s="47" t="s">
        <v>454</v>
      </c>
      <c r="L164" s="47">
        <f>B164*26/100</f>
        <v>26</v>
      </c>
      <c r="M164" s="47">
        <f>B164*2/100</f>
        <v>2</v>
      </c>
      <c r="N164" s="47">
        <f>B164*8/100</f>
        <v>8</v>
      </c>
      <c r="O164" s="47">
        <f>B164*26/100</f>
        <v>26</v>
      </c>
      <c r="P164" s="47">
        <f>B164*0.42/100</f>
        <v>0.42</v>
      </c>
      <c r="Q164" s="47">
        <f>B164*22/100</f>
        <v>22</v>
      </c>
      <c r="R164" s="47">
        <f>B164*0.4/100</f>
        <v>0.4</v>
      </c>
      <c r="S164" s="47" t="s">
        <v>455</v>
      </c>
      <c r="T164" s="47">
        <f>B164*358/100</f>
        <v>358</v>
      </c>
      <c r="U164" s="47">
        <f>B164*0.05/100</f>
        <v>0.05</v>
      </c>
      <c r="V164" s="47">
        <f>B164*0.1/100</f>
        <v>0.1</v>
      </c>
      <c r="W164" s="47" t="s">
        <v>454</v>
      </c>
      <c r="X164" s="47" t="s">
        <v>455</v>
      </c>
      <c r="Y164" s="47">
        <f>B164*0.02/100</f>
        <v>0.02</v>
      </c>
      <c r="Z164" s="47">
        <f>B164*0.1/100</f>
        <v>0.1</v>
      </c>
      <c r="AA164" s="47" t="s">
        <v>23</v>
      </c>
      <c r="AB164" s="47" t="s">
        <v>23</v>
      </c>
      <c r="AC164" s="34"/>
      <c r="AD164" s="64"/>
      <c r="AE164" s="64"/>
      <c r="AF164" s="64"/>
      <c r="AG164" s="64"/>
      <c r="AH164" s="64"/>
    </row>
    <row r="165" spans="1:34" s="48" customFormat="1">
      <c r="A165" s="46" t="s">
        <v>613</v>
      </c>
      <c r="B165" s="47">
        <v>100</v>
      </c>
      <c r="C165" s="47">
        <f>B165*74/100</f>
        <v>74</v>
      </c>
      <c r="D165" s="47">
        <f>B165*1/100</f>
        <v>1</v>
      </c>
      <c r="E165" s="47">
        <f>B165*0.1/100</f>
        <v>0.1</v>
      </c>
      <c r="F165" s="47"/>
      <c r="G165" s="47"/>
      <c r="H165" s="47"/>
      <c r="I165" s="47"/>
      <c r="J165" s="47"/>
      <c r="K165" s="47" t="s">
        <v>454</v>
      </c>
      <c r="L165" s="47">
        <f>B165*19.4/100</f>
        <v>19.399999999999999</v>
      </c>
      <c r="M165" s="47">
        <f>B165*2.2/100</f>
        <v>2.2000000000000002</v>
      </c>
      <c r="N165" s="47">
        <f>B165*12/100</f>
        <v>12</v>
      </c>
      <c r="O165" s="47">
        <f>B165*25/100</f>
        <v>25</v>
      </c>
      <c r="P165" s="47">
        <f>B165*0.04/100</f>
        <v>0.04</v>
      </c>
      <c r="Q165" s="47">
        <f>B165*9/100</f>
        <v>9</v>
      </c>
      <c r="R165" s="47">
        <f>B165*0.3/100</f>
        <v>0.3</v>
      </c>
      <c r="S165" s="47">
        <f>B165*1/100</f>
        <v>1</v>
      </c>
      <c r="T165" s="47">
        <f>B165*72/100</f>
        <v>72</v>
      </c>
      <c r="U165" s="47">
        <f>B165*0.15/100</f>
        <v>0.15</v>
      </c>
      <c r="V165" s="47">
        <f>B165*0.6/100</f>
        <v>0.6</v>
      </c>
      <c r="W165" s="47" t="s">
        <v>454</v>
      </c>
      <c r="X165" s="47">
        <f>B165*0.25/100</f>
        <v>0.25</v>
      </c>
      <c r="Y165" s="47" t="s">
        <v>455</v>
      </c>
      <c r="Z165" s="47">
        <f>B165*0.04/100</f>
        <v>0.04</v>
      </c>
      <c r="AA165" s="47" t="s">
        <v>455</v>
      </c>
      <c r="AB165" s="47">
        <f>B165*13.6/100</f>
        <v>13.6</v>
      </c>
      <c r="AC165" s="34"/>
      <c r="AD165" s="64"/>
      <c r="AE165" s="64"/>
      <c r="AF165" s="64"/>
      <c r="AG165" s="64"/>
      <c r="AH165" s="64"/>
    </row>
    <row r="166" spans="1:34" s="48" customFormat="1">
      <c r="A166" s="46" t="s">
        <v>614</v>
      </c>
      <c r="B166" s="47">
        <v>100</v>
      </c>
      <c r="C166" s="47">
        <f>B166*46/100</f>
        <v>46</v>
      </c>
      <c r="D166" s="47">
        <f>B166*1.3/100</f>
        <v>1.3</v>
      </c>
      <c r="E166" s="47" t="s">
        <v>455</v>
      </c>
      <c r="F166" s="47"/>
      <c r="G166" s="47"/>
      <c r="H166" s="47"/>
      <c r="I166" s="47"/>
      <c r="J166" s="47"/>
      <c r="K166" s="47" t="s">
        <v>454</v>
      </c>
      <c r="L166" s="47">
        <f>B166*11.4/100</f>
        <v>11.4</v>
      </c>
      <c r="M166" s="47">
        <f>B166*2.6/100</f>
        <v>2.6</v>
      </c>
      <c r="N166" s="47">
        <f>B166*13/100</f>
        <v>13</v>
      </c>
      <c r="O166" s="47">
        <f>B166*11/100</f>
        <v>11</v>
      </c>
      <c r="P166" s="47">
        <f>B166*0.05/100</f>
        <v>0.05</v>
      </c>
      <c r="Q166" s="47">
        <f>B166*24/100</f>
        <v>24</v>
      </c>
      <c r="R166" s="47">
        <f>B166*0.2/100</f>
        <v>0.2</v>
      </c>
      <c r="S166" s="47">
        <f>B166*1/100</f>
        <v>1</v>
      </c>
      <c r="T166" s="47">
        <f>B166*119/100</f>
        <v>119</v>
      </c>
      <c r="U166" s="47">
        <f>B166*0.02/100</f>
        <v>0.02</v>
      </c>
      <c r="V166" s="47">
        <f>B166*0.2/100</f>
        <v>0.2</v>
      </c>
      <c r="W166" s="47" t="s">
        <v>454</v>
      </c>
      <c r="X166" s="47">
        <f>B166*0.11/100</f>
        <v>0.11</v>
      </c>
      <c r="Y166" s="47" t="s">
        <v>455</v>
      </c>
      <c r="Z166" s="47">
        <f>B166*0.05/100</f>
        <v>0.05</v>
      </c>
      <c r="AA166" s="47" t="s">
        <v>455</v>
      </c>
      <c r="AB166" s="47">
        <f>B166*26.7/100</f>
        <v>26.7</v>
      </c>
      <c r="AC166" s="34"/>
      <c r="AD166" s="64"/>
      <c r="AE166" s="64"/>
      <c r="AF166" s="64"/>
      <c r="AG166" s="64"/>
      <c r="AH166" s="64"/>
    </row>
    <row r="167" spans="1:34" s="48" customFormat="1">
      <c r="A167" s="46" t="s">
        <v>615</v>
      </c>
      <c r="B167" s="47">
        <v>100</v>
      </c>
      <c r="C167" s="47">
        <f>B167*43/100</f>
        <v>43</v>
      </c>
      <c r="D167" s="47">
        <f>B167*1/100</f>
        <v>1</v>
      </c>
      <c r="E167" s="47">
        <f>B167*0.3/100</f>
        <v>0.3</v>
      </c>
      <c r="F167" s="47"/>
      <c r="G167" s="47"/>
      <c r="H167" s="47"/>
      <c r="I167" s="47"/>
      <c r="J167" s="47"/>
      <c r="K167" s="47" t="s">
        <v>454</v>
      </c>
      <c r="L167" s="47">
        <f>B167*10.3/100</f>
        <v>10.3</v>
      </c>
      <c r="M167" s="47">
        <f>B167*1.7/100</f>
        <v>1.7</v>
      </c>
      <c r="N167" s="47">
        <f>B167*1/100</f>
        <v>1</v>
      </c>
      <c r="O167" s="47">
        <f>B167*10/100</f>
        <v>10</v>
      </c>
      <c r="P167" s="47">
        <f>B167*0.12/100</f>
        <v>0.12</v>
      </c>
      <c r="Q167" s="47">
        <f>B167*16/100</f>
        <v>16</v>
      </c>
      <c r="R167" s="47">
        <f>B167*0.2/100</f>
        <v>0.2</v>
      </c>
      <c r="S167" s="47">
        <f>B167*3/100</f>
        <v>3</v>
      </c>
      <c r="T167" s="47">
        <f>B167*124/100</f>
        <v>124</v>
      </c>
      <c r="U167" s="47">
        <f>B167*0.07/100</f>
        <v>7.0000000000000007E-2</v>
      </c>
      <c r="V167" s="47">
        <f>B167*0.1/100</f>
        <v>0.1</v>
      </c>
      <c r="W167" s="47" t="s">
        <v>454</v>
      </c>
      <c r="X167" s="47" t="s">
        <v>455</v>
      </c>
      <c r="Y167" s="47" t="s">
        <v>455</v>
      </c>
      <c r="Z167" s="47" t="s">
        <v>455</v>
      </c>
      <c r="AA167" s="47" t="s">
        <v>23</v>
      </c>
      <c r="AB167" s="47" t="s">
        <v>23</v>
      </c>
      <c r="AC167" s="34"/>
      <c r="AD167" s="64"/>
      <c r="AE167" s="64"/>
      <c r="AF167" s="64"/>
      <c r="AG167" s="64"/>
      <c r="AH167" s="64"/>
    </row>
    <row r="168" spans="1:34" s="48" customFormat="1">
      <c r="A168" s="46" t="s">
        <v>616</v>
      </c>
      <c r="B168" s="47">
        <v>100</v>
      </c>
      <c r="C168" s="47">
        <f>B168*37/100</f>
        <v>37</v>
      </c>
      <c r="D168" s="47">
        <f>B168*0.5/100</f>
        <v>0.5</v>
      </c>
      <c r="E168" s="47">
        <f>B168*0.2/100</f>
        <v>0.2</v>
      </c>
      <c r="F168" s="47"/>
      <c r="G168" s="47"/>
      <c r="H168" s="47"/>
      <c r="I168" s="47"/>
      <c r="J168" s="47"/>
      <c r="K168" s="47" t="s">
        <v>454</v>
      </c>
      <c r="L168" s="47">
        <f>B168*9.4/100</f>
        <v>9.4</v>
      </c>
      <c r="M168" s="47">
        <f>B168*0.8/100</f>
        <v>0.8</v>
      </c>
      <c r="N168" s="47">
        <f>B168*1/100</f>
        <v>1</v>
      </c>
      <c r="O168" s="47">
        <f>B168*7/100</f>
        <v>7</v>
      </c>
      <c r="P168" s="47">
        <f>B168*0.05/100</f>
        <v>0.05</v>
      </c>
      <c r="Q168" s="47">
        <f>B168*10/100</f>
        <v>10</v>
      </c>
      <c r="R168" s="47">
        <f>B168*0.1/100</f>
        <v>0.1</v>
      </c>
      <c r="S168" s="47">
        <f>B168*4/100</f>
        <v>4</v>
      </c>
      <c r="T168" s="47">
        <f>B168*88/100</f>
        <v>88</v>
      </c>
      <c r="U168" s="47">
        <f>B168*0.07/100</f>
        <v>7.0000000000000007E-2</v>
      </c>
      <c r="V168" s="47">
        <f>B168*0.1/100</f>
        <v>0.1</v>
      </c>
      <c r="W168" s="47" t="s">
        <v>454</v>
      </c>
      <c r="X168" s="47" t="s">
        <v>455</v>
      </c>
      <c r="Y168" s="47">
        <f>B168*0.02/100</f>
        <v>0.02</v>
      </c>
      <c r="Z168" s="47" t="s">
        <v>455</v>
      </c>
      <c r="AA168" s="47">
        <f>B168*2.25/100</f>
        <v>2.25</v>
      </c>
      <c r="AB168" s="47">
        <f>B168*119.7/100</f>
        <v>119.7</v>
      </c>
      <c r="AC168" s="34"/>
      <c r="AD168" s="64"/>
      <c r="AE168" s="64"/>
      <c r="AF168" s="64"/>
      <c r="AG168" s="64"/>
      <c r="AH168" s="64"/>
    </row>
    <row r="169" spans="1:34" s="48" customFormat="1">
      <c r="A169" s="46" t="s">
        <v>617</v>
      </c>
      <c r="B169" s="47">
        <v>100</v>
      </c>
      <c r="C169" s="47">
        <f>B169*45/100</f>
        <v>45</v>
      </c>
      <c r="D169" s="47">
        <f>B169*0.4/100</f>
        <v>0.4</v>
      </c>
      <c r="E169" s="47">
        <f>B169*0.2/100</f>
        <v>0.2</v>
      </c>
      <c r="F169" s="47"/>
      <c r="G169" s="47"/>
      <c r="H169" s="47"/>
      <c r="I169" s="47"/>
      <c r="J169" s="47"/>
      <c r="K169" s="47" t="s">
        <v>454</v>
      </c>
      <c r="L169" s="47">
        <f>B169*10.7/100</f>
        <v>10.7</v>
      </c>
      <c r="M169" s="47">
        <f>B169*0.6/100</f>
        <v>0.6</v>
      </c>
      <c r="N169" s="47">
        <f>B169*1/100</f>
        <v>1</v>
      </c>
      <c r="O169" s="47">
        <f>B169*8/100</f>
        <v>8</v>
      </c>
      <c r="P169" s="47">
        <f>B169*0.06/100</f>
        <v>0.06</v>
      </c>
      <c r="Q169" s="47">
        <f>B169*11/100</f>
        <v>11</v>
      </c>
      <c r="R169" s="47">
        <f>B169*0.1/100</f>
        <v>0.1</v>
      </c>
      <c r="S169" s="47">
        <f>B169*45/100</f>
        <v>45</v>
      </c>
      <c r="T169" s="47">
        <f>B169*107/100</f>
        <v>107</v>
      </c>
      <c r="U169" s="47">
        <f>B169*0.04/100</f>
        <v>0.04</v>
      </c>
      <c r="V169" s="47">
        <f>B169*0.1/100</f>
        <v>0.1</v>
      </c>
      <c r="W169" s="47" t="s">
        <v>454</v>
      </c>
      <c r="X169" s="47" t="s">
        <v>455</v>
      </c>
      <c r="Y169" s="47">
        <f>B169*0.03/100</f>
        <v>0.03</v>
      </c>
      <c r="Z169" s="47" t="s">
        <v>455</v>
      </c>
      <c r="AA169" s="47" t="s">
        <v>455</v>
      </c>
      <c r="AB169" s="47">
        <f>B169*138.7/100</f>
        <v>138.69999999999999</v>
      </c>
      <c r="AC169" s="34"/>
      <c r="AD169" s="64"/>
      <c r="AE169" s="64"/>
      <c r="AF169" s="64"/>
      <c r="AG169" s="64"/>
      <c r="AH169" s="64"/>
    </row>
    <row r="170" spans="1:34" s="48" customFormat="1">
      <c r="A170" s="46" t="s">
        <v>618</v>
      </c>
      <c r="B170" s="47">
        <v>100</v>
      </c>
      <c r="C170" s="47">
        <f>B170*71/100</f>
        <v>71</v>
      </c>
      <c r="D170" s="47">
        <f>B170*0.4/100</f>
        <v>0.4</v>
      </c>
      <c r="E170" s="47">
        <f>B170*0.1/100</f>
        <v>0.1</v>
      </c>
      <c r="F170" s="47"/>
      <c r="G170" s="47"/>
      <c r="H170" s="47"/>
      <c r="I170" s="47"/>
      <c r="J170" s="47"/>
      <c r="K170" s="47" t="s">
        <v>454</v>
      </c>
      <c r="L170" s="47">
        <f>B170*19.3/100</f>
        <v>19.3</v>
      </c>
      <c r="M170" s="47">
        <f>B170*6.5/100</f>
        <v>6.5</v>
      </c>
      <c r="N170" s="47">
        <f>B170*18/100</f>
        <v>18</v>
      </c>
      <c r="O170" s="47">
        <f>B170*9/100</f>
        <v>9</v>
      </c>
      <c r="P170" s="47">
        <f>B170*0.39/100</f>
        <v>0.39</v>
      </c>
      <c r="Q170" s="47">
        <f>B170*18/100</f>
        <v>18</v>
      </c>
      <c r="R170" s="47">
        <f>B170*0.1/100</f>
        <v>0.1</v>
      </c>
      <c r="S170" s="47">
        <f>B170*2/100</f>
        <v>2</v>
      </c>
      <c r="T170" s="47">
        <f>B170*164/100</f>
        <v>164</v>
      </c>
      <c r="U170" s="47" t="s">
        <v>455</v>
      </c>
      <c r="V170" s="47">
        <f>B170*0.2/100</f>
        <v>0.2</v>
      </c>
      <c r="W170" s="47" t="s">
        <v>454</v>
      </c>
      <c r="X170" s="47" t="s">
        <v>455</v>
      </c>
      <c r="Y170" s="47" t="s">
        <v>455</v>
      </c>
      <c r="Z170" s="47">
        <f>B170*0.03/100</f>
        <v>0.03</v>
      </c>
      <c r="AA170" s="47" t="s">
        <v>455</v>
      </c>
      <c r="AB170" s="47">
        <f>B170*29.6/100</f>
        <v>29.6</v>
      </c>
      <c r="AC170" s="34"/>
      <c r="AD170" s="64"/>
      <c r="AE170" s="64"/>
      <c r="AF170" s="64"/>
      <c r="AG170" s="64"/>
      <c r="AH170" s="64"/>
    </row>
    <row r="171" spans="1:34" s="48" customFormat="1">
      <c r="A171" s="46" t="s">
        <v>619</v>
      </c>
      <c r="B171" s="47">
        <v>100</v>
      </c>
      <c r="C171" s="47">
        <f>B171*46/100</f>
        <v>46</v>
      </c>
      <c r="D171" s="47">
        <f>B171*0.9/100</f>
        <v>0.9</v>
      </c>
      <c r="E171" s="47">
        <f>B171*0.2/100</f>
        <v>0.2</v>
      </c>
      <c r="F171" s="47"/>
      <c r="G171" s="47"/>
      <c r="H171" s="47"/>
      <c r="I171" s="47"/>
      <c r="J171" s="47"/>
      <c r="K171" s="47" t="s">
        <v>454</v>
      </c>
      <c r="L171" s="47">
        <f>B171*11.5/100</f>
        <v>11.5</v>
      </c>
      <c r="M171" s="47">
        <f>B171*2/100</f>
        <v>2</v>
      </c>
      <c r="N171" s="47">
        <f>B171*5/100</f>
        <v>5</v>
      </c>
      <c r="O171" s="47">
        <f>B171*7/100</f>
        <v>7</v>
      </c>
      <c r="P171" s="47">
        <f>B171*0.13/100</f>
        <v>0.13</v>
      </c>
      <c r="Q171" s="47">
        <f>B171*11/100</f>
        <v>11</v>
      </c>
      <c r="R171" s="47">
        <f>B171*0.2/100</f>
        <v>0.2</v>
      </c>
      <c r="S171" s="47">
        <f>B171*4/100</f>
        <v>4</v>
      </c>
      <c r="T171" s="47">
        <f>B171*133/100</f>
        <v>133</v>
      </c>
      <c r="U171" s="47">
        <f>B171*0.08/100</f>
        <v>0.08</v>
      </c>
      <c r="V171" s="47">
        <f>B171*0.2/100</f>
        <v>0.2</v>
      </c>
      <c r="W171" s="47" t="s">
        <v>454</v>
      </c>
      <c r="X171" s="47">
        <f>B171*0.12/100</f>
        <v>0.12</v>
      </c>
      <c r="Y171" s="47" t="s">
        <v>455</v>
      </c>
      <c r="Z171" s="47" t="s">
        <v>455</v>
      </c>
      <c r="AA171" s="47" t="s">
        <v>455</v>
      </c>
      <c r="AB171" s="47">
        <f>B171*60.9/100</f>
        <v>60.9</v>
      </c>
      <c r="AC171" s="34"/>
      <c r="AD171" s="64"/>
      <c r="AE171" s="64"/>
      <c r="AF171" s="64"/>
      <c r="AG171" s="64"/>
      <c r="AH171" s="64"/>
    </row>
    <row r="172" spans="1:34" s="48" customFormat="1">
      <c r="A172" s="60" t="s">
        <v>899</v>
      </c>
      <c r="B172" s="59">
        <v>100</v>
      </c>
      <c r="C172" s="59">
        <f>B172*78/100</f>
        <v>78</v>
      </c>
      <c r="D172" s="59">
        <f>B172*1.4/100</f>
        <v>1.4</v>
      </c>
      <c r="E172" s="59">
        <f>B172*0.4/100</f>
        <v>0.4</v>
      </c>
      <c r="F172" s="59">
        <f>B172*0.2/100</f>
        <v>0.2</v>
      </c>
      <c r="G172" s="59" t="s">
        <v>455</v>
      </c>
      <c r="H172" s="59">
        <f>B172*0.1/100</f>
        <v>0.1</v>
      </c>
      <c r="I172" s="59">
        <f>B172*0.07/100</f>
        <v>7.0000000000000007E-2</v>
      </c>
      <c r="J172" s="59">
        <f>B172*0.03/100</f>
        <v>0.03</v>
      </c>
      <c r="K172" s="59">
        <v>0</v>
      </c>
      <c r="L172" s="59">
        <f>B172*18.9/100</f>
        <v>18.899999999999999</v>
      </c>
      <c r="M172" s="59">
        <f>B172*3.9/100</f>
        <v>3.9</v>
      </c>
      <c r="N172" s="59">
        <f>B172*27/100</f>
        <v>27</v>
      </c>
      <c r="O172" s="59">
        <f>B172*18/100</f>
        <v>18</v>
      </c>
      <c r="P172" s="59">
        <f>B172*0.06/100</f>
        <v>0.06</v>
      </c>
      <c r="Q172" s="59">
        <f>B172*49/100</f>
        <v>49</v>
      </c>
      <c r="R172" s="59">
        <f>B172*0.4/100</f>
        <v>0.4</v>
      </c>
      <c r="S172" s="59">
        <f>B172*2/100</f>
        <v>2</v>
      </c>
      <c r="T172" s="59">
        <f>B172*248/100</f>
        <v>248</v>
      </c>
      <c r="U172" s="59">
        <f>B172*0.12/100</f>
        <v>0.12</v>
      </c>
      <c r="V172" s="59">
        <f>B172*0.5/100</f>
        <v>0.5</v>
      </c>
      <c r="W172" s="59">
        <v>0</v>
      </c>
      <c r="X172" s="59">
        <v>0.14000000000000001</v>
      </c>
      <c r="Y172" s="59" t="s">
        <v>455</v>
      </c>
      <c r="Z172" s="59" t="s">
        <v>455</v>
      </c>
      <c r="AA172" s="59" t="s">
        <v>455</v>
      </c>
      <c r="AB172" s="59">
        <f>B172*27/100</f>
        <v>27</v>
      </c>
      <c r="AC172" s="34"/>
      <c r="AD172" s="64"/>
      <c r="AE172" s="64"/>
      <c r="AF172" s="64"/>
      <c r="AG172" s="64"/>
      <c r="AH172" s="64"/>
    </row>
    <row r="173" spans="1:34" s="48" customFormat="1">
      <c r="A173" s="60" t="s">
        <v>942</v>
      </c>
      <c r="B173" s="59">
        <v>100</v>
      </c>
      <c r="C173" s="59">
        <f>B173*49/100</f>
        <v>49</v>
      </c>
      <c r="D173" s="59">
        <f>B173*1.2/100</f>
        <v>1.2</v>
      </c>
      <c r="E173" s="59">
        <f>B173*1/100</f>
        <v>1</v>
      </c>
      <c r="F173" s="59">
        <f>B173*0.4/100</f>
        <v>0.4</v>
      </c>
      <c r="G173" s="59">
        <f>B173*0.2/100</f>
        <v>0.2</v>
      </c>
      <c r="H173" s="59">
        <f>B173*0.1/100</f>
        <v>0.1</v>
      </c>
      <c r="I173" s="59">
        <f>B173*0.03/100</f>
        <v>0.03</v>
      </c>
      <c r="J173" s="59">
        <f>B173*0.09/100</f>
        <v>0.09</v>
      </c>
      <c r="K173" s="59">
        <v>0</v>
      </c>
      <c r="L173" s="59">
        <f>B173*10.4/100</f>
        <v>10.4</v>
      </c>
      <c r="M173" s="59">
        <f>B173*3.1/100</f>
        <v>3.1</v>
      </c>
      <c r="N173" s="59">
        <f>B173*13/100</f>
        <v>13</v>
      </c>
      <c r="O173" s="59">
        <f>B173*18/100</f>
        <v>18</v>
      </c>
      <c r="P173" s="59">
        <f>B173*0.07/100</f>
        <v>7.0000000000000007E-2</v>
      </c>
      <c r="Q173" s="59">
        <f>B173*21/100</f>
        <v>21</v>
      </c>
      <c r="R173" s="59">
        <f>B173*0.5/100</f>
        <v>0.5</v>
      </c>
      <c r="S173" s="59">
        <f>B173*3/100</f>
        <v>3</v>
      </c>
      <c r="T173" s="59">
        <f>B173*331/100</f>
        <v>331</v>
      </c>
      <c r="U173" s="59">
        <f>B173*0.07/100</f>
        <v>7.0000000000000007E-2</v>
      </c>
      <c r="V173" s="59">
        <f>B173*0.3/100</f>
        <v>0.3</v>
      </c>
      <c r="W173" s="59">
        <v>0</v>
      </c>
      <c r="X173" s="59">
        <f>B173*0.37/100</f>
        <v>0.37</v>
      </c>
      <c r="Y173" s="59">
        <f>B173*0.04/100</f>
        <v>0.04</v>
      </c>
      <c r="Z173" s="59">
        <f>B173*0.07/100</f>
        <v>7.0000000000000007E-2</v>
      </c>
      <c r="AA173" s="59">
        <f>B173*4.34/100</f>
        <v>4.34</v>
      </c>
      <c r="AB173" s="59">
        <f>B173*24.5/100</f>
        <v>24.5</v>
      </c>
      <c r="AC173" s="34"/>
      <c r="AD173" s="64"/>
      <c r="AE173" s="64"/>
      <c r="AF173" s="64"/>
      <c r="AG173" s="64"/>
      <c r="AH173" s="64"/>
    </row>
    <row r="174" spans="1:34" s="48" customFormat="1">
      <c r="A174" s="60" t="s">
        <v>943</v>
      </c>
      <c r="B174" s="59">
        <v>100</v>
      </c>
      <c r="C174" s="59">
        <f>B174*49/100</f>
        <v>49</v>
      </c>
      <c r="D174" s="59">
        <f>B174*0.8/100</f>
        <v>0.8</v>
      </c>
      <c r="E174" s="59">
        <f>B174*0.6/100</f>
        <v>0.6</v>
      </c>
      <c r="F174" s="59">
        <f>B174*0.3/100</f>
        <v>0.3</v>
      </c>
      <c r="G174" s="59">
        <f>B174*0.1/100</f>
        <v>0.1</v>
      </c>
      <c r="H174" s="59" t="s">
        <v>455</v>
      </c>
      <c r="I174" s="59">
        <f>B174*0.01/100</f>
        <v>0.01</v>
      </c>
      <c r="J174" s="59">
        <f>B174*0.03/100</f>
        <v>0.03</v>
      </c>
      <c r="K174" s="59">
        <v>0</v>
      </c>
      <c r="L174" s="59">
        <f>B174*11.4/100</f>
        <v>11.4</v>
      </c>
      <c r="M174" s="59">
        <f>B174*1.6/100</f>
        <v>1.6</v>
      </c>
      <c r="N174" s="59">
        <f>B174*5/100</f>
        <v>5</v>
      </c>
      <c r="O174" s="59">
        <f>B174*14/100</f>
        <v>14</v>
      </c>
      <c r="P174" s="59">
        <f>B174*0.17/100</f>
        <v>0.17</v>
      </c>
      <c r="Q174" s="59">
        <f>B174*14/100</f>
        <v>14</v>
      </c>
      <c r="R174" s="59">
        <f>B174*0.3/100</f>
        <v>0.3</v>
      </c>
      <c r="S174" s="59">
        <f>B174*1/100</f>
        <v>1</v>
      </c>
      <c r="T174" s="59">
        <f>B174*291/100</f>
        <v>291</v>
      </c>
      <c r="U174" s="59">
        <f>B174*0.14/100</f>
        <v>0.14000000000000001</v>
      </c>
      <c r="V174" s="59">
        <f>B174*0.2/100</f>
        <v>0.2</v>
      </c>
      <c r="W174" s="59">
        <v>0</v>
      </c>
      <c r="X174" s="59">
        <f>B174*0.07/100</f>
        <v>7.0000000000000007E-2</v>
      </c>
      <c r="Y174" s="59">
        <f>B174*0.07/100</f>
        <v>7.0000000000000007E-2</v>
      </c>
      <c r="Z174" s="59">
        <f>B174*0.05/100</f>
        <v>0.05</v>
      </c>
      <c r="AA174" s="59" t="s">
        <v>455</v>
      </c>
      <c r="AB174" s="59">
        <v>10.5</v>
      </c>
      <c r="AC174" s="34"/>
      <c r="AD174" s="64"/>
      <c r="AE174" s="64"/>
      <c r="AF174" s="64"/>
      <c r="AG174" s="64"/>
      <c r="AH174" s="64"/>
    </row>
    <row r="175" spans="1:34" s="64" customFormat="1">
      <c r="A175" s="49" t="s">
        <v>33</v>
      </c>
      <c r="B175" s="50">
        <v>100</v>
      </c>
      <c r="C175" s="50">
        <f>B175*41/100</f>
        <v>41</v>
      </c>
      <c r="D175" s="50">
        <f>B175*1/100</f>
        <v>1</v>
      </c>
      <c r="E175" s="50">
        <f>B175*0.2/100</f>
        <v>0.2</v>
      </c>
      <c r="F175" s="50"/>
      <c r="G175" s="50"/>
      <c r="H175" s="50"/>
      <c r="I175" s="50"/>
      <c r="J175" s="50"/>
      <c r="K175" s="50">
        <v>0</v>
      </c>
      <c r="L175" s="50">
        <f>B175*10.2/100</f>
        <v>10.199999999999999</v>
      </c>
      <c r="M175" s="50">
        <f>B175*1.8/100</f>
        <v>1.8</v>
      </c>
      <c r="N175" s="50">
        <f>B175*27/100</f>
        <v>27</v>
      </c>
      <c r="O175" s="50">
        <f>B175*11/100</f>
        <v>11</v>
      </c>
      <c r="P175" s="50">
        <f>B175*0.06/100</f>
        <v>0.06</v>
      </c>
      <c r="Q175" s="50">
        <f>B175*15/100</f>
        <v>15</v>
      </c>
      <c r="R175" s="50">
        <f>B175*0.2/100</f>
        <v>0.2</v>
      </c>
      <c r="S175" s="50" t="s">
        <v>455</v>
      </c>
      <c r="T175" s="50">
        <f>B175*174/100</f>
        <v>174</v>
      </c>
      <c r="U175" s="50">
        <f>B175*0.13/100</f>
        <v>0.13</v>
      </c>
      <c r="V175" s="50">
        <f>B175*0.1/100</f>
        <v>0.1</v>
      </c>
      <c r="W175" s="50">
        <v>0</v>
      </c>
      <c r="X175" s="50">
        <f>B175*0.05/100</f>
        <v>0.05</v>
      </c>
      <c r="Y175" s="50" t="s">
        <v>455</v>
      </c>
      <c r="Z175" s="50" t="s">
        <v>455</v>
      </c>
      <c r="AA175" s="50" t="s">
        <v>23</v>
      </c>
      <c r="AB175" s="50">
        <f>B175*1/100</f>
        <v>1</v>
      </c>
      <c r="AC175" s="34"/>
    </row>
    <row r="176" spans="1:34" s="64" customFormat="1">
      <c r="A176" s="49" t="s">
        <v>900</v>
      </c>
      <c r="B176" s="50">
        <v>100</v>
      </c>
      <c r="C176" s="50">
        <f>B176*184/100</f>
        <v>184</v>
      </c>
      <c r="D176" s="50">
        <f>B176*0.6/100</f>
        <v>0.6</v>
      </c>
      <c r="E176" s="50">
        <f>B176*0.2/100</f>
        <v>0.2</v>
      </c>
      <c r="F176" s="50"/>
      <c r="G176" s="50"/>
      <c r="H176" s="50"/>
      <c r="I176" s="50"/>
      <c r="J176" s="50"/>
      <c r="K176" s="50">
        <v>0</v>
      </c>
      <c r="L176" s="50">
        <f>B176*50.3/100</f>
        <v>50.3</v>
      </c>
      <c r="M176" s="50">
        <f>B176*2/100</f>
        <v>2</v>
      </c>
      <c r="N176" s="50">
        <f>B176*33/100</f>
        <v>33</v>
      </c>
      <c r="O176" s="50">
        <f>B176*7/100</f>
        <v>7</v>
      </c>
      <c r="P176" s="50">
        <f>B176*0.04/100</f>
        <v>0.04</v>
      </c>
      <c r="Q176" s="50">
        <f>B176*6/100</f>
        <v>6</v>
      </c>
      <c r="R176" s="50">
        <f>B176*0.5/100</f>
        <v>0.5</v>
      </c>
      <c r="S176" s="50">
        <f>B176*7/100</f>
        <v>7</v>
      </c>
      <c r="T176" s="50">
        <f>B176*39/100</f>
        <v>39</v>
      </c>
      <c r="U176" s="50">
        <f>B176*0.25/100</f>
        <v>0.25</v>
      </c>
      <c r="V176" s="50">
        <f>B176*0.1/100</f>
        <v>0.1</v>
      </c>
      <c r="W176" s="50">
        <v>0</v>
      </c>
      <c r="X176" s="50"/>
      <c r="Y176" s="50"/>
      <c r="Z176" s="50"/>
      <c r="AA176" s="50"/>
      <c r="AB176" s="50"/>
      <c r="AC176" s="34"/>
    </row>
    <row r="177" spans="1:29" s="48" customFormat="1">
      <c r="A177" s="60" t="s">
        <v>901</v>
      </c>
      <c r="B177" s="59">
        <v>100</v>
      </c>
      <c r="C177" s="59">
        <f>B177*67/100</f>
        <v>67</v>
      </c>
      <c r="D177" s="59">
        <f>B177*1.1/100</f>
        <v>1.1000000000000001</v>
      </c>
      <c r="E177" s="59">
        <f>B177*0.2/100</f>
        <v>0.2</v>
      </c>
      <c r="F177" s="59">
        <f>B177*0.1/100</f>
        <v>0.1</v>
      </c>
      <c r="G177" s="59" t="s">
        <v>455</v>
      </c>
      <c r="H177" s="59" t="s">
        <v>455</v>
      </c>
      <c r="I177" s="59">
        <f>B177*0.01/100</f>
        <v>0.01</v>
      </c>
      <c r="J177" s="59">
        <f>B177*0.02/100</f>
        <v>0.02</v>
      </c>
      <c r="K177" s="59">
        <v>0</v>
      </c>
      <c r="L177" s="59">
        <f>B177*17.2/100</f>
        <v>17.2</v>
      </c>
      <c r="M177" s="59">
        <f>B177*5.5/100</f>
        <v>5.5</v>
      </c>
      <c r="N177" s="59">
        <f>B177*34/100</f>
        <v>34</v>
      </c>
      <c r="O177" s="59">
        <f>B177*24/100</f>
        <v>24</v>
      </c>
      <c r="P177" s="59">
        <f>B177*0.04/100</f>
        <v>0.04</v>
      </c>
      <c r="Q177" s="59">
        <f>B177*27/100</f>
        <v>27</v>
      </c>
      <c r="R177" s="59">
        <f>B177*0.2/100</f>
        <v>0.2</v>
      </c>
      <c r="S177" s="59">
        <f>B177*1/100</f>
        <v>1</v>
      </c>
      <c r="T177" s="59">
        <f>B177*188/100</f>
        <v>188</v>
      </c>
      <c r="U177" s="59">
        <f>B177*0.07/100</f>
        <v>7.0000000000000007E-2</v>
      </c>
      <c r="V177" s="59">
        <f>B177*0.1/100</f>
        <v>0.1</v>
      </c>
      <c r="W177" s="59"/>
      <c r="X177" s="59">
        <f>B177*0.03/100</f>
        <v>0.03</v>
      </c>
      <c r="Y177" s="59" t="s">
        <v>455</v>
      </c>
      <c r="Z177" s="59" t="s">
        <v>455</v>
      </c>
      <c r="AA177" s="59" t="s">
        <v>455</v>
      </c>
      <c r="AB177" s="59">
        <f>B177*9.9/100</f>
        <v>9.9</v>
      </c>
      <c r="AC177" s="34"/>
    </row>
    <row r="178" spans="1:29" s="64" customFormat="1">
      <c r="A178" s="46" t="s">
        <v>902</v>
      </c>
      <c r="B178" s="47">
        <v>100</v>
      </c>
      <c r="C178" s="47">
        <f>B178*52/100</f>
        <v>52</v>
      </c>
      <c r="D178" s="47">
        <f>B178*0.9/100</f>
        <v>0.9</v>
      </c>
      <c r="E178" s="47">
        <f>B178*0.5/100</f>
        <v>0.5</v>
      </c>
      <c r="F178" s="47"/>
      <c r="G178" s="47"/>
      <c r="H178" s="47"/>
      <c r="I178" s="47"/>
      <c r="J178" s="47"/>
      <c r="K178" s="47">
        <v>0</v>
      </c>
      <c r="L178" s="47">
        <f>B178*12.4/100</f>
        <v>12.4</v>
      </c>
      <c r="M178" s="47">
        <f>B178*6.3/100</f>
        <v>6.3</v>
      </c>
      <c r="N178" s="47" t="s">
        <v>23</v>
      </c>
      <c r="O178" s="47">
        <f>B178*7/100</f>
        <v>7</v>
      </c>
      <c r="P178" s="47">
        <f>B178*0.07/100</f>
        <v>7.0000000000000007E-2</v>
      </c>
      <c r="Q178" s="47">
        <f>B178*16/100</f>
        <v>16</v>
      </c>
      <c r="R178" s="47">
        <f>B178*0.2/100</f>
        <v>0.2</v>
      </c>
      <c r="S178" s="47" t="s">
        <v>455</v>
      </c>
      <c r="T178" s="47">
        <f>B178*220/100</f>
        <v>220</v>
      </c>
      <c r="U178" s="47">
        <f>B178*0.04/100</f>
        <v>0.04</v>
      </c>
      <c r="V178" s="47">
        <f>B178*0.2/100</f>
        <v>0.2</v>
      </c>
      <c r="W178" s="47">
        <v>0</v>
      </c>
      <c r="X178" s="47" t="s">
        <v>455</v>
      </c>
      <c r="Y178" s="47" t="s">
        <v>455</v>
      </c>
      <c r="Z178" s="47">
        <f>B178*0.03/100</f>
        <v>0.03</v>
      </c>
      <c r="AA178" s="47"/>
      <c r="AB178" s="47" t="s">
        <v>23</v>
      </c>
      <c r="AC178" s="34"/>
    </row>
    <row r="179" spans="1:29" s="64" customFormat="1">
      <c r="A179" s="46" t="s">
        <v>903</v>
      </c>
      <c r="B179" s="47">
        <v>100</v>
      </c>
      <c r="C179" s="47">
        <f>B179*269/100</f>
        <v>269</v>
      </c>
      <c r="D179" s="47">
        <f>B179*0.6/100</f>
        <v>0.6</v>
      </c>
      <c r="E179" s="47" t="s">
        <v>455</v>
      </c>
      <c r="F179" s="47"/>
      <c r="G179" s="47"/>
      <c r="H179" s="47"/>
      <c r="I179" s="47"/>
      <c r="J179" s="47"/>
      <c r="K179" s="47">
        <v>0</v>
      </c>
      <c r="L179" s="47">
        <f>B179*74.1/100</f>
        <v>74.099999999999994</v>
      </c>
      <c r="M179" s="47">
        <f>B179*3.7/100</f>
        <v>3.7</v>
      </c>
      <c r="N179" s="47">
        <f>B179*10/100</f>
        <v>10</v>
      </c>
      <c r="O179" s="47">
        <f>B179*6/100</f>
        <v>6</v>
      </c>
      <c r="P179" s="47"/>
      <c r="Q179" s="47">
        <f>B179*54/100</f>
        <v>54</v>
      </c>
      <c r="R179" s="47">
        <f>B179*0.4/100</f>
        <v>0.4</v>
      </c>
      <c r="S179" s="47">
        <f>B179*4/100</f>
        <v>4</v>
      </c>
      <c r="T179" s="47">
        <f>B179*165/100</f>
        <v>165</v>
      </c>
      <c r="U179" s="47">
        <f>B179*0.06/100</f>
        <v>0.06</v>
      </c>
      <c r="V179" s="47">
        <f>B179*0.1/100</f>
        <v>0.1</v>
      </c>
      <c r="W179" s="47">
        <v>0</v>
      </c>
      <c r="X179" s="47"/>
      <c r="Y179" s="47"/>
      <c r="Z179" s="47"/>
      <c r="AA179" s="47"/>
      <c r="AB179" s="47"/>
      <c r="AC179" s="34"/>
    </row>
    <row r="180" spans="1:29" s="64" customFormat="1">
      <c r="A180" s="46" t="s">
        <v>904</v>
      </c>
      <c r="B180" s="47">
        <v>100</v>
      </c>
      <c r="C180" s="47">
        <f>B180*54/100</f>
        <v>54</v>
      </c>
      <c r="D180" s="47">
        <f>B180*1.1/100</f>
        <v>1.1000000000000001</v>
      </c>
      <c r="E180" s="47">
        <f>B180*0.4/100</f>
        <v>0.4</v>
      </c>
      <c r="F180" s="47"/>
      <c r="G180" s="47"/>
      <c r="H180" s="47"/>
      <c r="I180" s="47"/>
      <c r="J180" s="47"/>
      <c r="K180" s="47">
        <v>0</v>
      </c>
      <c r="L180" s="47">
        <f>B180*13/100</f>
        <v>13</v>
      </c>
      <c r="M180" s="47">
        <f>B180*6.2/100</f>
        <v>6.2</v>
      </c>
      <c r="N180" s="47" t="s">
        <v>23</v>
      </c>
      <c r="O180" s="47">
        <f>B180*7/100</f>
        <v>7</v>
      </c>
      <c r="P180" s="47">
        <f>B180*0.09/100</f>
        <v>0.09</v>
      </c>
      <c r="Q180" s="47">
        <f>B180*15/100</f>
        <v>15</v>
      </c>
      <c r="R180" s="47">
        <f>B180*0.2/100</f>
        <v>0.2</v>
      </c>
      <c r="S180" s="47" t="s">
        <v>455</v>
      </c>
      <c r="T180" s="47">
        <f>B180*198/100</f>
        <v>198</v>
      </c>
      <c r="U180" s="47">
        <f>B180*0.04/100</f>
        <v>0.04</v>
      </c>
      <c r="V180" s="47">
        <f>B180*0.1/100</f>
        <v>0.1</v>
      </c>
      <c r="W180" s="47">
        <v>0</v>
      </c>
      <c r="X180" s="47" t="s">
        <v>455</v>
      </c>
      <c r="Y180" s="47" t="s">
        <v>455</v>
      </c>
      <c r="Z180" s="47">
        <f>B180*0.03/100</f>
        <v>0.03</v>
      </c>
      <c r="AA180" s="47"/>
      <c r="AB180" s="47" t="s">
        <v>23</v>
      </c>
      <c r="AC180" s="34"/>
    </row>
    <row r="181" spans="1:29" s="48" customFormat="1">
      <c r="A181" s="60" t="s">
        <v>905</v>
      </c>
      <c r="B181" s="59">
        <v>100</v>
      </c>
      <c r="C181" s="59">
        <f>B181*62/100</f>
        <v>62</v>
      </c>
      <c r="D181" s="59">
        <f>B181*0.8/100</f>
        <v>0.8</v>
      </c>
      <c r="E181" s="59" t="s">
        <v>455</v>
      </c>
      <c r="F181" s="59" t="s">
        <v>455</v>
      </c>
      <c r="G181" s="59">
        <f>B181*0.1/100</f>
        <v>0.1</v>
      </c>
      <c r="H181" s="59" t="s">
        <v>455</v>
      </c>
      <c r="I181" s="59">
        <f>B181*0.01/100</f>
        <v>0.01</v>
      </c>
      <c r="J181" s="59">
        <f>B181*0.02/100</f>
        <v>0.02</v>
      </c>
      <c r="K181" s="59">
        <v>0</v>
      </c>
      <c r="L181" s="59">
        <f>B181*15.8/100</f>
        <v>15.8</v>
      </c>
      <c r="M181" s="59">
        <f>B181*1.9/100</f>
        <v>1.9</v>
      </c>
      <c r="N181" s="59" t="s">
        <v>23</v>
      </c>
      <c r="O181" s="59">
        <f>B181*23/100</f>
        <v>23</v>
      </c>
      <c r="P181" s="59">
        <f>B181*0.08/100</f>
        <v>0.08</v>
      </c>
      <c r="Q181" s="59">
        <f>B181*19/100</f>
        <v>19</v>
      </c>
      <c r="R181" s="59">
        <f>B181*0.2/100</f>
        <v>0.2</v>
      </c>
      <c r="S181" s="59">
        <f>B181*4/100</f>
        <v>4</v>
      </c>
      <c r="T181" s="59">
        <f>B181*250/100</f>
        <v>250</v>
      </c>
      <c r="U181" s="59">
        <f>B181*0.04/100</f>
        <v>0.04</v>
      </c>
      <c r="V181" s="59">
        <f>B181*0.1/100</f>
        <v>0.1</v>
      </c>
      <c r="W181" s="59">
        <v>0</v>
      </c>
      <c r="X181" s="59">
        <f>B181*0.17/100</f>
        <v>0.17</v>
      </c>
      <c r="Y181" s="59">
        <f>B181*0.2/100</f>
        <v>0.2</v>
      </c>
      <c r="Z181" s="59">
        <f>B181*0.03/100</f>
        <v>0.03</v>
      </c>
      <c r="AA181" s="59" t="s">
        <v>455</v>
      </c>
      <c r="AB181" s="59" t="s">
        <v>23</v>
      </c>
      <c r="AC181" s="34"/>
    </row>
    <row r="182" spans="1:29" s="64" customFormat="1">
      <c r="A182" s="46" t="s">
        <v>906</v>
      </c>
      <c r="B182" s="47">
        <v>100</v>
      </c>
      <c r="C182" s="47">
        <f>B182*38/100</f>
        <v>38</v>
      </c>
      <c r="D182" s="47">
        <f>B182*0.6/100</f>
        <v>0.6</v>
      </c>
      <c r="E182" s="47">
        <f>B182*0.1/100</f>
        <v>0.1</v>
      </c>
      <c r="F182" s="47"/>
      <c r="G182" s="47"/>
      <c r="H182" s="47"/>
      <c r="I182" s="47"/>
      <c r="J182" s="47"/>
      <c r="K182" s="47">
        <v>0</v>
      </c>
      <c r="L182" s="47">
        <f>B182*0.9/100</f>
        <v>0.9</v>
      </c>
      <c r="M182" s="47">
        <f>B182*1.2/100</f>
        <v>1.2</v>
      </c>
      <c r="N182" s="47">
        <f>B182*6/100</f>
        <v>6</v>
      </c>
      <c r="O182" s="47">
        <f>B182*10/100</f>
        <v>10</v>
      </c>
      <c r="P182" s="47">
        <f>B182*0.06/100</f>
        <v>0.06</v>
      </c>
      <c r="Q182" s="47">
        <f>B182*17/100</f>
        <v>17</v>
      </c>
      <c r="R182" s="47">
        <f>B182*0.1/100</f>
        <v>0.1</v>
      </c>
      <c r="S182" s="47">
        <f>B182*3/100</f>
        <v>3</v>
      </c>
      <c r="T182" s="47">
        <f>B182*170/100</f>
        <v>170</v>
      </c>
      <c r="U182" s="47">
        <f>B182*0.06/100</f>
        <v>0.06</v>
      </c>
      <c r="V182" s="47">
        <f>B182*0.01/100</f>
        <v>0.01</v>
      </c>
      <c r="W182" s="47">
        <v>0</v>
      </c>
      <c r="X182" s="47" t="s">
        <v>455</v>
      </c>
      <c r="Y182" s="47">
        <f>B182*0.09/100</f>
        <v>0.09</v>
      </c>
      <c r="Z182" s="47" t="s">
        <v>455</v>
      </c>
      <c r="AA182" s="47" t="s">
        <v>455</v>
      </c>
      <c r="AB182" s="47">
        <f>B182*10.5/100</f>
        <v>10.5</v>
      </c>
      <c r="AC182" s="34"/>
    </row>
    <row r="183" spans="1:29" s="64" customFormat="1">
      <c r="A183" s="46" t="s">
        <v>907</v>
      </c>
      <c r="B183" s="47">
        <v>100</v>
      </c>
      <c r="C183" s="47">
        <f>B183*58/100</f>
        <v>58</v>
      </c>
      <c r="D183" s="47">
        <f>B183*0.6/100</f>
        <v>0.6</v>
      </c>
      <c r="E183" s="47">
        <f>B183*0.1/100</f>
        <v>0.1</v>
      </c>
      <c r="F183" s="47"/>
      <c r="G183" s="47"/>
      <c r="H183" s="47"/>
      <c r="I183" s="47"/>
      <c r="J183" s="47"/>
      <c r="K183" s="47">
        <v>0</v>
      </c>
      <c r="L183" s="47">
        <f>B183*15.3/100</f>
        <v>15.3</v>
      </c>
      <c r="M183" s="47">
        <f>B183*2.3/100</f>
        <v>2.2999999999999998</v>
      </c>
      <c r="N183" s="47">
        <f>B183*8/100</f>
        <v>8</v>
      </c>
      <c r="O183" s="47">
        <f>B183*18/100</f>
        <v>18</v>
      </c>
      <c r="P183" s="47">
        <f>B183*0.3/100</f>
        <v>0.3</v>
      </c>
      <c r="Q183" s="47">
        <f>B183*15/100</f>
        <v>15</v>
      </c>
      <c r="R183" s="47">
        <f>B183*0.1/100</f>
        <v>0.1</v>
      </c>
      <c r="S183" s="47" t="s">
        <v>455</v>
      </c>
      <c r="T183" s="47">
        <f>B183*130/100</f>
        <v>130</v>
      </c>
      <c r="U183" s="47">
        <f>B183*0.07/100</f>
        <v>7.0000000000000007E-2</v>
      </c>
      <c r="V183" s="47">
        <f>B183*0.3/100</f>
        <v>0.3</v>
      </c>
      <c r="W183" s="47">
        <v>0</v>
      </c>
      <c r="X183" s="47">
        <f>B183*0.06/100</f>
        <v>0.06</v>
      </c>
      <c r="Y183" s="47" t="s">
        <v>455</v>
      </c>
      <c r="Z183" s="47" t="s">
        <v>455</v>
      </c>
      <c r="AA183" s="47" t="s">
        <v>455</v>
      </c>
      <c r="AB183" s="47">
        <f>B183*16.2/100</f>
        <v>16.2</v>
      </c>
      <c r="AC183" s="34"/>
    </row>
    <row r="184" spans="1:29" s="48" customFormat="1">
      <c r="A184" s="60" t="s">
        <v>908</v>
      </c>
      <c r="B184" s="59">
        <v>100</v>
      </c>
      <c r="C184" s="59">
        <f>B184*88/100</f>
        <v>88</v>
      </c>
      <c r="D184" s="59">
        <f>B184*1.4/100</f>
        <v>1.4</v>
      </c>
      <c r="E184" s="59">
        <f>B184*0.3/100</f>
        <v>0.3</v>
      </c>
      <c r="F184" s="59">
        <f>B184*0.1/100</f>
        <v>0.1</v>
      </c>
      <c r="G184" s="59">
        <f>B184*0.1/100</f>
        <v>0.1</v>
      </c>
      <c r="H184" s="59" t="s">
        <v>455</v>
      </c>
      <c r="I184" s="59" t="s">
        <v>455</v>
      </c>
      <c r="J184" s="59">
        <f>B184*0.02/100</f>
        <v>0.02</v>
      </c>
      <c r="K184" s="59">
        <v>0</v>
      </c>
      <c r="L184" s="59">
        <f>B184*22.5/100</f>
        <v>22.5</v>
      </c>
      <c r="M184" s="59">
        <f>B184*2.4/100</f>
        <v>2.4</v>
      </c>
      <c r="N184" s="59">
        <f>B184*11/100</f>
        <v>11</v>
      </c>
      <c r="O184" s="59">
        <f>B184*40/100</f>
        <v>40</v>
      </c>
      <c r="P184" s="59">
        <f>B184*0.48/100</f>
        <v>0.48</v>
      </c>
      <c r="Q184" s="59">
        <f>B184*14/100</f>
        <v>14</v>
      </c>
      <c r="R184" s="59">
        <f>B184*0.4/100</f>
        <v>0.4</v>
      </c>
      <c r="S184" s="59">
        <f>B184*2/100</f>
        <v>2</v>
      </c>
      <c r="T184" s="59">
        <f>B184*234/100</f>
        <v>234</v>
      </c>
      <c r="U184" s="59">
        <f>B184*0.09/100</f>
        <v>0.09</v>
      </c>
      <c r="V184" s="59">
        <f>B184*0.2/100</f>
        <v>0.2</v>
      </c>
      <c r="W184" s="59">
        <v>0</v>
      </c>
      <c r="X184" s="59">
        <f>B184*0.1/100</f>
        <v>0.1</v>
      </c>
      <c r="Y184" s="59">
        <f>B184*0.04/100</f>
        <v>0.04</v>
      </c>
      <c r="Z184" s="59">
        <f>B184*0.05/100</f>
        <v>0.05</v>
      </c>
      <c r="AA184" s="59" t="s">
        <v>455</v>
      </c>
      <c r="AB184" s="59">
        <f>B184*14.8/100</f>
        <v>14.8</v>
      </c>
      <c r="AC184" s="34"/>
    </row>
    <row r="185" spans="1:29" s="64" customFormat="1">
      <c r="A185" s="46" t="s">
        <v>909</v>
      </c>
      <c r="B185" s="47">
        <v>100</v>
      </c>
      <c r="C185" s="47">
        <f>B185*27/100</f>
        <v>27</v>
      </c>
      <c r="D185" s="47">
        <f>B185*0.9/100</f>
        <v>0.9</v>
      </c>
      <c r="E185" s="47">
        <f>B185*0.1/100</f>
        <v>0.1</v>
      </c>
      <c r="F185" s="47"/>
      <c r="G185" s="47"/>
      <c r="H185" s="47"/>
      <c r="I185" s="47"/>
      <c r="J185" s="47"/>
      <c r="K185" s="47">
        <v>0</v>
      </c>
      <c r="L185" s="47">
        <f>B185*6.5/100</f>
        <v>6.5</v>
      </c>
      <c r="M185" s="47">
        <f>B185*5.1/100</f>
        <v>5.0999999999999996</v>
      </c>
      <c r="N185" s="47">
        <f>B185*14/100</f>
        <v>14</v>
      </c>
      <c r="O185" s="47">
        <f>B185*14/100</f>
        <v>14</v>
      </c>
      <c r="P185" s="47">
        <f>B185*0.05/100</f>
        <v>0.05</v>
      </c>
      <c r="Q185" s="47">
        <f>B185*18/100</f>
        <v>18</v>
      </c>
      <c r="R185" s="47">
        <f>B185*0.1/100</f>
        <v>0.1</v>
      </c>
      <c r="S185" s="47">
        <f>B185*22/100</f>
        <v>22</v>
      </c>
      <c r="T185" s="47">
        <f>B185*135/100</f>
        <v>135</v>
      </c>
      <c r="U185" s="47">
        <f>B185*0.02/100</f>
        <v>0.02</v>
      </c>
      <c r="V185" s="47">
        <f>B185*0.1/100</f>
        <v>0.1</v>
      </c>
      <c r="W185" s="47">
        <v>0</v>
      </c>
      <c r="X185" s="47">
        <f>B185*0.08/100</f>
        <v>0.08</v>
      </c>
      <c r="Y185" s="47" t="s">
        <v>455</v>
      </c>
      <c r="Z185" s="47" t="s">
        <v>455</v>
      </c>
      <c r="AA185" s="47">
        <f>B185*1.18/100</f>
        <v>1.18</v>
      </c>
      <c r="AB185" s="47">
        <f>B185*3.8/100</f>
        <v>3.8</v>
      </c>
      <c r="AC185" s="34"/>
    </row>
    <row r="186" spans="1:29" s="64" customFormat="1">
      <c r="A186" s="46" t="s">
        <v>910</v>
      </c>
      <c r="B186" s="47">
        <v>100</v>
      </c>
      <c r="C186" s="47">
        <f>B186*51/100</f>
        <v>51</v>
      </c>
      <c r="D186" s="47">
        <f>B186*1.3/100</f>
        <v>1.3</v>
      </c>
      <c r="E186" s="47">
        <f>B186*0.6/100</f>
        <v>0.6</v>
      </c>
      <c r="F186" s="47"/>
      <c r="G186" s="47"/>
      <c r="H186" s="47"/>
      <c r="I186" s="47"/>
      <c r="J186" s="47"/>
      <c r="K186" s="47">
        <v>0</v>
      </c>
      <c r="L186" s="47">
        <f>B186*11.5/100</f>
        <v>11.5</v>
      </c>
      <c r="M186" s="47">
        <f>B186*2.7/100</f>
        <v>2.7</v>
      </c>
      <c r="N186" s="47">
        <f>B186*24/100</f>
        <v>24</v>
      </c>
      <c r="O186" s="47">
        <f>B186*11/100</f>
        <v>11</v>
      </c>
      <c r="P186" s="47">
        <f>B186*0.05/100</f>
        <v>0.05</v>
      </c>
      <c r="Q186" s="47">
        <f>B186*33/100</f>
        <v>33</v>
      </c>
      <c r="R186" s="47">
        <f>B186*0.3/100</f>
        <v>0.3</v>
      </c>
      <c r="S186" s="47" t="s">
        <v>455</v>
      </c>
      <c r="T186" s="47">
        <f>B186*269/100</f>
        <v>269</v>
      </c>
      <c r="U186" s="47">
        <f>B186*0.15/100</f>
        <v>0.15</v>
      </c>
      <c r="V186" s="47">
        <f>B186*0.1/100</f>
        <v>0.1</v>
      </c>
      <c r="W186" s="47">
        <v>0</v>
      </c>
      <c r="X186" s="47" t="s">
        <v>455</v>
      </c>
      <c r="Y186" s="47" t="s">
        <v>455</v>
      </c>
      <c r="Z186" s="47">
        <f>B186*0.06/100</f>
        <v>0.06</v>
      </c>
      <c r="AA186" s="47" t="s">
        <v>23</v>
      </c>
      <c r="AB186" s="47">
        <f>B186*70.8/100</f>
        <v>70.8</v>
      </c>
      <c r="AC186" s="34"/>
    </row>
    <row r="187" spans="1:29" s="64" customFormat="1">
      <c r="A187" s="46" t="s">
        <v>911</v>
      </c>
      <c r="B187" s="47">
        <v>100</v>
      </c>
      <c r="C187" s="47">
        <f>B187*45/100</f>
        <v>45</v>
      </c>
      <c r="D187" s="47">
        <f>B187*1/100</f>
        <v>1</v>
      </c>
      <c r="E187" s="47">
        <f>B187*0.1/100</f>
        <v>0.1</v>
      </c>
      <c r="F187" s="47"/>
      <c r="G187" s="47"/>
      <c r="H187" s="47"/>
      <c r="I187" s="47"/>
      <c r="J187" s="47"/>
      <c r="K187" s="47">
        <v>0</v>
      </c>
      <c r="L187" s="47">
        <f>B187*11.5/100</f>
        <v>11.5</v>
      </c>
      <c r="M187" s="47">
        <f>B187*1.1/100</f>
        <v>1.1000000000000001</v>
      </c>
      <c r="N187" s="47" t="s">
        <v>23</v>
      </c>
      <c r="O187" s="47">
        <f>B187*9/100</f>
        <v>9</v>
      </c>
      <c r="P187" s="47">
        <f>B187*0.04/100</f>
        <v>0.04</v>
      </c>
      <c r="Q187" s="47">
        <f>B187*24/100</f>
        <v>24</v>
      </c>
      <c r="R187" s="47">
        <f>B187*0.1/100</f>
        <v>0.1</v>
      </c>
      <c r="S187" s="47" t="s">
        <v>455</v>
      </c>
      <c r="T187" s="47">
        <f>B187*174/100</f>
        <v>174</v>
      </c>
      <c r="U187" s="47">
        <f>B187*0.04/100</f>
        <v>0.04</v>
      </c>
      <c r="V187" s="47">
        <f>B187*0.1/100</f>
        <v>0.1</v>
      </c>
      <c r="W187" s="47">
        <v>0</v>
      </c>
      <c r="X187" s="47">
        <f>B187*0.06/100</f>
        <v>0.06</v>
      </c>
      <c r="Y187" s="47">
        <f>B187*0.02/100</f>
        <v>0.02</v>
      </c>
      <c r="Z187" s="47" t="s">
        <v>455</v>
      </c>
      <c r="AA187" s="47"/>
      <c r="AB187" s="47">
        <f>B187*56.9/100</f>
        <v>56.9</v>
      </c>
      <c r="AC187" s="34"/>
    </row>
    <row r="188" spans="1:29" s="64" customFormat="1">
      <c r="A188" s="46" t="s">
        <v>912</v>
      </c>
      <c r="B188" s="47">
        <v>100</v>
      </c>
      <c r="C188" s="47">
        <f>B188*37/100</f>
        <v>37</v>
      </c>
      <c r="D188" s="47">
        <f>B188*0.7/100</f>
        <v>0.7</v>
      </c>
      <c r="E188" s="47" t="s">
        <v>455</v>
      </c>
      <c r="F188" s="47"/>
      <c r="G188" s="47"/>
      <c r="H188" s="47"/>
      <c r="I188" s="47"/>
      <c r="J188" s="47"/>
      <c r="K188" s="47">
        <v>0</v>
      </c>
      <c r="L188" s="47">
        <f>B188*8.7/100</f>
        <v>8.6999999999999993</v>
      </c>
      <c r="M188" s="47" t="s">
        <v>455</v>
      </c>
      <c r="N188" s="47" t="s">
        <v>23</v>
      </c>
      <c r="O188" s="47">
        <f>B188*8/100</f>
        <v>8</v>
      </c>
      <c r="P188" s="47">
        <f>B188*0.02/100</f>
        <v>0.02</v>
      </c>
      <c r="Q188" s="47">
        <f>B188*22/100</f>
        <v>22</v>
      </c>
      <c r="R188" s="47">
        <f>B188*0.1/100</f>
        <v>0.1</v>
      </c>
      <c r="S188" s="47" t="s">
        <v>455</v>
      </c>
      <c r="T188" s="47">
        <f>B188*173/100</f>
        <v>173</v>
      </c>
      <c r="U188" s="47">
        <f>B188*0.02/100</f>
        <v>0.02</v>
      </c>
      <c r="V188" s="47" t="s">
        <v>455</v>
      </c>
      <c r="W188" s="47">
        <v>0</v>
      </c>
      <c r="X188" s="47">
        <f>B188*0.03/100</f>
        <v>0.03</v>
      </c>
      <c r="Y188" s="47" t="s">
        <v>455</v>
      </c>
      <c r="Z188" s="47">
        <f>B188*0.02/100</f>
        <v>0.02</v>
      </c>
      <c r="AA188" s="47"/>
      <c r="AB188" s="47">
        <f>B188*94.5/100</f>
        <v>94.5</v>
      </c>
      <c r="AC188" s="34"/>
    </row>
    <row r="189" spans="1:29" s="64" customFormat="1">
      <c r="A189" s="46" t="s">
        <v>913</v>
      </c>
      <c r="B189" s="47">
        <v>100</v>
      </c>
      <c r="C189" s="47">
        <f>B189*51/100</f>
        <v>51</v>
      </c>
      <c r="D189" s="47">
        <f>B189*1.1/100</f>
        <v>1.1000000000000001</v>
      </c>
      <c r="E189" s="47">
        <f>B189*0.2/100</f>
        <v>0.2</v>
      </c>
      <c r="F189" s="47"/>
      <c r="G189" s="47"/>
      <c r="H189" s="47"/>
      <c r="I189" s="47"/>
      <c r="J189" s="47"/>
      <c r="K189" s="47">
        <v>0</v>
      </c>
      <c r="L189" s="47">
        <f>B189*12.9/100</f>
        <v>12.9</v>
      </c>
      <c r="M189" s="47">
        <f>B189*4/100</f>
        <v>4</v>
      </c>
      <c r="N189" s="47">
        <f>B189*51/100</f>
        <v>51</v>
      </c>
      <c r="O189" s="47">
        <f>B189*14/100</f>
        <v>14</v>
      </c>
      <c r="P189" s="47">
        <f>B189*0.04/100</f>
        <v>0.04</v>
      </c>
      <c r="Q189" s="47">
        <f>B189*20/100</f>
        <v>20</v>
      </c>
      <c r="R189" s="47">
        <f>B189*0.1/100</f>
        <v>0.1</v>
      </c>
      <c r="S189" s="47">
        <f>B189*1/100</f>
        <v>1</v>
      </c>
      <c r="T189" s="47">
        <f>B189*173/100</f>
        <v>173</v>
      </c>
      <c r="U189" s="47">
        <f>B189*0.04/100</f>
        <v>0.04</v>
      </c>
      <c r="V189" s="47">
        <f>B189*0.2/100</f>
        <v>0.2</v>
      </c>
      <c r="W189" s="47">
        <v>0</v>
      </c>
      <c r="X189" s="47">
        <f>B189*0.07/100</f>
        <v>7.0000000000000007E-2</v>
      </c>
      <c r="Y189" s="47">
        <f>B189*0.09/100</f>
        <v>0.09</v>
      </c>
      <c r="Z189" s="47">
        <f>B189*0.03/100</f>
        <v>0.03</v>
      </c>
      <c r="AA189" s="47" t="s">
        <v>455</v>
      </c>
      <c r="AB189" s="47">
        <f>B189*34.7/100</f>
        <v>34.700000000000003</v>
      </c>
      <c r="AC189" s="34"/>
    </row>
    <row r="190" spans="1:29" s="64" customFormat="1">
      <c r="A190" s="46" t="s">
        <v>914</v>
      </c>
      <c r="B190" s="47">
        <v>100</v>
      </c>
      <c r="C190" s="47">
        <f>B190*41/100</f>
        <v>41</v>
      </c>
      <c r="D190" s="47">
        <f>B190*0.7/100</f>
        <v>0.7</v>
      </c>
      <c r="E190" s="47">
        <f>B190*0.1/100</f>
        <v>0.1</v>
      </c>
      <c r="F190" s="47"/>
      <c r="G190" s="47"/>
      <c r="H190" s="47"/>
      <c r="I190" s="47"/>
      <c r="J190" s="47"/>
      <c r="K190" s="47">
        <v>0</v>
      </c>
      <c r="L190" s="47">
        <f>B190*9.6/100</f>
        <v>9.6</v>
      </c>
      <c r="M190" s="47">
        <f>B190*1/100</f>
        <v>1</v>
      </c>
      <c r="N190" s="47">
        <f>B190*13/100</f>
        <v>13</v>
      </c>
      <c r="O190" s="47">
        <f>B190*10/100</f>
        <v>10</v>
      </c>
      <c r="P190" s="47">
        <f>B190*0.02/100</f>
        <v>0.02</v>
      </c>
      <c r="Q190" s="47">
        <f>B190*15/100</f>
        <v>15</v>
      </c>
      <c r="R190" s="47">
        <f>B190*0.1/100</f>
        <v>0.1</v>
      </c>
      <c r="S190" s="47" t="s">
        <v>455</v>
      </c>
      <c r="T190" s="47">
        <f>B190*145/100</f>
        <v>145</v>
      </c>
      <c r="U190" s="47">
        <f>B190*0.02/100</f>
        <v>0.02</v>
      </c>
      <c r="V190" s="47">
        <f>B190*0.1/100</f>
        <v>0.1</v>
      </c>
      <c r="W190" s="47">
        <v>0</v>
      </c>
      <c r="X190" s="47" t="s">
        <v>23</v>
      </c>
      <c r="Y190" s="47" t="s">
        <v>23</v>
      </c>
      <c r="Z190" s="47">
        <f>B190*0.04/100</f>
        <v>0.04</v>
      </c>
      <c r="AA190" s="47" t="s">
        <v>455</v>
      </c>
      <c r="AB190" s="47" t="s">
        <v>23</v>
      </c>
      <c r="AC190" s="34"/>
    </row>
    <row r="191" spans="1:29" s="64" customFormat="1">
      <c r="A191" s="46" t="s">
        <v>915</v>
      </c>
      <c r="B191" s="47">
        <v>100</v>
      </c>
      <c r="C191" s="47">
        <f>B191*46/100</f>
        <v>46</v>
      </c>
      <c r="D191" s="47">
        <f>B191*1.1/100</f>
        <v>1.1000000000000001</v>
      </c>
      <c r="E191" s="47">
        <f>B191*0.1/100</f>
        <v>0.1</v>
      </c>
      <c r="F191" s="47"/>
      <c r="G191" s="47"/>
      <c r="H191" s="47"/>
      <c r="I191" s="47"/>
      <c r="J191" s="47"/>
      <c r="K191" s="47">
        <v>0</v>
      </c>
      <c r="L191" s="47">
        <f>B191*11.5/100</f>
        <v>11.5</v>
      </c>
      <c r="M191" s="47">
        <f>B191*1.8/100</f>
        <v>1.8</v>
      </c>
      <c r="N191" s="47">
        <f>B191*31/100</f>
        <v>31</v>
      </c>
      <c r="O191" s="47">
        <f>B191*10/100</f>
        <v>10</v>
      </c>
      <c r="P191" s="47">
        <f>B191*0.05/100</f>
        <v>0.05</v>
      </c>
      <c r="Q191" s="47">
        <f>B191*15/100</f>
        <v>15</v>
      </c>
      <c r="R191" s="47">
        <f>B191*0.1/100</f>
        <v>0.1</v>
      </c>
      <c r="S191" s="47">
        <f>B191*1/100</f>
        <v>1</v>
      </c>
      <c r="T191" s="47">
        <f>B191*130/100</f>
        <v>130</v>
      </c>
      <c r="U191" s="47">
        <f>B191*0.03/100</f>
        <v>0.03</v>
      </c>
      <c r="V191" s="47">
        <f>B191*0.1/100</f>
        <v>0.1</v>
      </c>
      <c r="W191" s="47">
        <v>0</v>
      </c>
      <c r="X191" s="47">
        <f>B191*0.09/100</f>
        <v>0.09</v>
      </c>
      <c r="Y191" s="47">
        <f>B191*0.05/100</f>
        <v>0.05</v>
      </c>
      <c r="Z191" s="47">
        <f>B191*0.04/100</f>
        <v>0.04</v>
      </c>
      <c r="AA191" s="47" t="s">
        <v>455</v>
      </c>
      <c r="AB191" s="47">
        <f>B191*43.5/100</f>
        <v>43.5</v>
      </c>
      <c r="AC191" s="34"/>
    </row>
    <row r="192" spans="1:29" s="64" customFormat="1">
      <c r="A192" s="46" t="s">
        <v>916</v>
      </c>
      <c r="B192" s="47">
        <v>100</v>
      </c>
      <c r="C192" s="47">
        <f>B192*39/100</f>
        <v>39</v>
      </c>
      <c r="D192" s="47">
        <f>B192*0.7/100</f>
        <v>0.7</v>
      </c>
      <c r="E192" s="47">
        <f>B192*0.1/100</f>
        <v>0.1</v>
      </c>
      <c r="F192" s="47"/>
      <c r="G192" s="47"/>
      <c r="H192" s="47"/>
      <c r="I192" s="47"/>
      <c r="J192" s="47"/>
      <c r="K192" s="47">
        <v>0</v>
      </c>
      <c r="L192" s="47">
        <f>B192*9.2/100</f>
        <v>9.1999999999999993</v>
      </c>
      <c r="M192" s="47">
        <f>B192*0.4/100</f>
        <v>0.4</v>
      </c>
      <c r="N192" s="47">
        <f>B192*8/100</f>
        <v>8</v>
      </c>
      <c r="O192" s="47">
        <f>B192*11/100</f>
        <v>11</v>
      </c>
      <c r="P192" s="47">
        <f>B192*0.02/100</f>
        <v>0.02</v>
      </c>
      <c r="Q192" s="47">
        <f>B192*16/100</f>
        <v>16</v>
      </c>
      <c r="R192" s="47" t="s">
        <v>455</v>
      </c>
      <c r="S192" s="47" t="s">
        <v>455</v>
      </c>
      <c r="T192" s="47">
        <f>B192*129/100</f>
        <v>129</v>
      </c>
      <c r="U192" s="47">
        <f>B192*0.02/100</f>
        <v>0.02</v>
      </c>
      <c r="V192" s="47" t="s">
        <v>455</v>
      </c>
      <c r="W192" s="47">
        <v>0</v>
      </c>
      <c r="X192" s="47">
        <f>B192*0.1/100</f>
        <v>0.1</v>
      </c>
      <c r="Y192" s="47">
        <f>B192*0.03/100</f>
        <v>0.03</v>
      </c>
      <c r="Z192" s="47">
        <f>B192*0.04/100</f>
        <v>0.04</v>
      </c>
      <c r="AA192" s="47" t="s">
        <v>455</v>
      </c>
      <c r="AB192" s="47">
        <f>B192*41.3/100</f>
        <v>41.3</v>
      </c>
      <c r="AC192" s="34"/>
    </row>
    <row r="193" spans="1:29" s="64" customFormat="1">
      <c r="A193" s="46" t="s">
        <v>918</v>
      </c>
      <c r="B193" s="47">
        <v>100</v>
      </c>
      <c r="C193" s="47">
        <f>B193*37/100</f>
        <v>37</v>
      </c>
      <c r="D193" s="47">
        <f>B193*1/100</f>
        <v>1</v>
      </c>
      <c r="E193" s="47">
        <f>B193*0.1/100</f>
        <v>0.1</v>
      </c>
      <c r="F193" s="47"/>
      <c r="G193" s="47"/>
      <c r="H193" s="47"/>
      <c r="I193" s="47"/>
      <c r="J193" s="47"/>
      <c r="K193" s="47">
        <v>0</v>
      </c>
      <c r="L193" s="47">
        <f>B193*8.9/100</f>
        <v>8.9</v>
      </c>
      <c r="M193" s="47">
        <f>B193*0.8/100</f>
        <v>0.8</v>
      </c>
      <c r="N193" s="47" t="s">
        <v>23</v>
      </c>
      <c r="O193" s="47">
        <f>B193*9/100</f>
        <v>9</v>
      </c>
      <c r="P193" s="47">
        <f>B193*0.05/100</f>
        <v>0.05</v>
      </c>
      <c r="Q193" s="47">
        <f>B193*23/100</f>
        <v>23</v>
      </c>
      <c r="R193" s="47">
        <f>B193*0.1/100</f>
        <v>0.1</v>
      </c>
      <c r="S193" s="47" t="s">
        <v>455</v>
      </c>
      <c r="T193" s="47">
        <f>B193*163/100</f>
        <v>163</v>
      </c>
      <c r="U193" s="47">
        <f>B193*0.03/100</f>
        <v>0.03</v>
      </c>
      <c r="V193" s="47">
        <f>B193*0.1/100</f>
        <v>0.1</v>
      </c>
      <c r="W193" s="47">
        <v>0</v>
      </c>
      <c r="X193" s="47">
        <f>B193*0.07/100</f>
        <v>7.0000000000000007E-2</v>
      </c>
      <c r="Y193" s="47">
        <f>B193*0.02/100</f>
        <v>0.02</v>
      </c>
      <c r="Z193" s="47">
        <f>B193*0.02/100</f>
        <v>0.02</v>
      </c>
      <c r="AA193" s="47"/>
      <c r="AB193" s="47">
        <f>B193*53.7/100</f>
        <v>53.7</v>
      </c>
      <c r="AC193" s="34"/>
    </row>
    <row r="194" spans="1:29" s="64" customFormat="1">
      <c r="A194" s="46" t="s">
        <v>917</v>
      </c>
      <c r="B194" s="47">
        <v>100</v>
      </c>
      <c r="C194" s="47">
        <f>B194*33/100</f>
        <v>33</v>
      </c>
      <c r="D194" s="47">
        <f>B194*1/100</f>
        <v>1</v>
      </c>
      <c r="E194" s="47">
        <f>B194*0.1/100</f>
        <v>0.1</v>
      </c>
      <c r="F194" s="47"/>
      <c r="G194" s="47"/>
      <c r="H194" s="47"/>
      <c r="I194" s="47"/>
      <c r="J194" s="47"/>
      <c r="K194" s="47">
        <v>0</v>
      </c>
      <c r="L194" s="47">
        <f>B194*7.6/100</f>
        <v>7.6</v>
      </c>
      <c r="M194" s="47" t="s">
        <v>455</v>
      </c>
      <c r="N194" s="47" t="s">
        <v>23</v>
      </c>
      <c r="O194" s="47">
        <f>B194*8/100</f>
        <v>8</v>
      </c>
      <c r="P194" s="47">
        <f>B194*0.03/100</f>
        <v>0.03</v>
      </c>
      <c r="Q194" s="47">
        <f>B194*14/100</f>
        <v>14</v>
      </c>
      <c r="R194" s="47" t="s">
        <v>455</v>
      </c>
      <c r="S194" s="47" t="s">
        <v>455</v>
      </c>
      <c r="T194" s="47">
        <f>B194*149/100</f>
        <v>149</v>
      </c>
      <c r="U194" s="47">
        <f>B194*0.01/100</f>
        <v>0.01</v>
      </c>
      <c r="V194" s="47" t="s">
        <v>455</v>
      </c>
      <c r="W194" s="47">
        <v>0</v>
      </c>
      <c r="X194" s="47" t="s">
        <v>455</v>
      </c>
      <c r="Y194" s="47" t="s">
        <v>455</v>
      </c>
      <c r="Z194" s="47" t="s">
        <v>455</v>
      </c>
      <c r="AA194" s="47"/>
      <c r="AB194" s="47">
        <f>B194*73.3/100</f>
        <v>73.3</v>
      </c>
      <c r="AC194" s="34"/>
    </row>
    <row r="195" spans="1:29" s="64" customFormat="1">
      <c r="A195" s="46" t="s">
        <v>919</v>
      </c>
      <c r="B195" s="47">
        <v>100</v>
      </c>
      <c r="C195" s="47">
        <f>B195*46/100</f>
        <v>46</v>
      </c>
      <c r="D195" s="47">
        <f>B195*0.8/100</f>
        <v>0.8</v>
      </c>
      <c r="E195" s="47">
        <f>B195*0.2/100</f>
        <v>0.2</v>
      </c>
      <c r="F195" s="47"/>
      <c r="G195" s="47"/>
      <c r="H195" s="47"/>
      <c r="I195" s="47"/>
      <c r="J195" s="47"/>
      <c r="K195" s="47">
        <v>0</v>
      </c>
      <c r="L195" s="47">
        <f>B195*11.7/100</f>
        <v>11.7</v>
      </c>
      <c r="M195" s="47">
        <f>B195*1.7/100</f>
        <v>1.7</v>
      </c>
      <c r="N195" s="47">
        <f>B195*34/100</f>
        <v>34</v>
      </c>
      <c r="O195" s="47">
        <f>B195*14/100</f>
        <v>14</v>
      </c>
      <c r="P195" s="47">
        <f>B195*0.06/100</f>
        <v>0.06</v>
      </c>
      <c r="Q195" s="47">
        <f>B195*20/100</f>
        <v>20</v>
      </c>
      <c r="R195" s="47">
        <f>B195*0.1/100</f>
        <v>0.1</v>
      </c>
      <c r="S195" s="47">
        <f>B195*1/100</f>
        <v>1</v>
      </c>
      <c r="T195" s="47">
        <f>B195*158/100</f>
        <v>158</v>
      </c>
      <c r="U195" s="47">
        <f>B195*0.04/100</f>
        <v>0.04</v>
      </c>
      <c r="V195" s="47">
        <f>B195*0.1/100</f>
        <v>0.1</v>
      </c>
      <c r="W195" s="47">
        <v>0</v>
      </c>
      <c r="X195" s="47">
        <f>B195*0.07/100</f>
        <v>7.0000000000000007E-2</v>
      </c>
      <c r="Y195" s="47">
        <f>B195*0.04/100</f>
        <v>0.04</v>
      </c>
      <c r="Z195" s="47">
        <f>B195*0.03/100</f>
        <v>0.03</v>
      </c>
      <c r="AA195" s="47" t="s">
        <v>455</v>
      </c>
      <c r="AB195" s="47">
        <f>B195*47.8/100</f>
        <v>47.8</v>
      </c>
      <c r="AC195" s="34"/>
    </row>
    <row r="196" spans="1:29" s="64" customFormat="1">
      <c r="A196" s="46" t="s">
        <v>920</v>
      </c>
      <c r="B196" s="47">
        <v>100</v>
      </c>
      <c r="C196" s="47">
        <f>B196*36/100</f>
        <v>36</v>
      </c>
      <c r="D196" s="47">
        <f>B196*0.5/100</f>
        <v>0.5</v>
      </c>
      <c r="E196" s="47">
        <f>B196*0.1/100</f>
        <v>0.1</v>
      </c>
      <c r="F196" s="47"/>
      <c r="G196" s="47"/>
      <c r="H196" s="47"/>
      <c r="I196" s="47"/>
      <c r="J196" s="47"/>
      <c r="K196" s="47">
        <v>0</v>
      </c>
      <c r="L196" s="47">
        <f>B196*8.6/100</f>
        <v>8.6</v>
      </c>
      <c r="M196" s="47">
        <f>B196*0.4/100</f>
        <v>0.4</v>
      </c>
      <c r="N196" s="47">
        <f>B196*9/100</f>
        <v>9</v>
      </c>
      <c r="O196" s="47">
        <f>B196*10/100</f>
        <v>10</v>
      </c>
      <c r="P196" s="47">
        <f>B196*0.03/100</f>
        <v>0.03</v>
      </c>
      <c r="Q196" s="47">
        <f>B196*17/100</f>
        <v>17</v>
      </c>
      <c r="R196" s="47" t="s">
        <v>455</v>
      </c>
      <c r="S196" s="47" t="s">
        <v>455</v>
      </c>
      <c r="T196" s="47">
        <f>B196*143/100</f>
        <v>143</v>
      </c>
      <c r="U196" s="47">
        <f>B196*0.02/100</f>
        <v>0.02</v>
      </c>
      <c r="V196" s="47" t="s">
        <v>455</v>
      </c>
      <c r="W196" s="47">
        <v>0</v>
      </c>
      <c r="X196" s="47" t="s">
        <v>23</v>
      </c>
      <c r="Y196" s="47" t="s">
        <v>23</v>
      </c>
      <c r="Z196" s="47">
        <f>B196*0.03/100</f>
        <v>0.03</v>
      </c>
      <c r="AA196" s="47" t="s">
        <v>455</v>
      </c>
      <c r="AB196" s="47" t="s">
        <v>23</v>
      </c>
      <c r="AC196" s="34"/>
    </row>
    <row r="197" spans="1:29" s="64" customFormat="1">
      <c r="A197" s="46" t="s">
        <v>921</v>
      </c>
      <c r="B197" s="47">
        <v>100</v>
      </c>
      <c r="C197" s="47">
        <f>B197*22/100</f>
        <v>22</v>
      </c>
      <c r="D197" s="47">
        <f>B197*0.6/100</f>
        <v>0.6</v>
      </c>
      <c r="E197" s="47">
        <f>B197*0.1/100</f>
        <v>0.1</v>
      </c>
      <c r="F197" s="47"/>
      <c r="G197" s="47"/>
      <c r="H197" s="47"/>
      <c r="I197" s="47"/>
      <c r="J197" s="47"/>
      <c r="K197" s="47">
        <v>0</v>
      </c>
      <c r="L197" s="47">
        <f>B197*7.3/100</f>
        <v>7.3</v>
      </c>
      <c r="M197" s="47" t="s">
        <v>455</v>
      </c>
      <c r="N197" s="47">
        <f>B197*5/100</f>
        <v>5</v>
      </c>
      <c r="O197" s="47">
        <f>B197*6/100</f>
        <v>6</v>
      </c>
      <c r="P197" s="47">
        <f>B197*0.01/100</f>
        <v>0.01</v>
      </c>
      <c r="Q197" s="47">
        <f>B197*13/100</f>
        <v>13</v>
      </c>
      <c r="R197" s="47">
        <f>B197*0.1/100</f>
        <v>0.1</v>
      </c>
      <c r="S197" s="47" t="s">
        <v>455</v>
      </c>
      <c r="T197" s="47">
        <f>B197*113/100</f>
        <v>113</v>
      </c>
      <c r="U197" s="47">
        <f>B197*0.02/100</f>
        <v>0.02</v>
      </c>
      <c r="V197" s="47">
        <f>B197*0.1/100</f>
        <v>0.1</v>
      </c>
      <c r="W197" s="47">
        <v>0</v>
      </c>
      <c r="X197" s="47" t="s">
        <v>455</v>
      </c>
      <c r="Y197" s="47" t="s">
        <v>455</v>
      </c>
      <c r="Z197" s="47">
        <f>B197*0.03/100</f>
        <v>0.03</v>
      </c>
      <c r="AA197" s="47"/>
      <c r="AB197" s="47" t="s">
        <v>23</v>
      </c>
      <c r="AC197" s="34"/>
    </row>
    <row r="198" spans="1:29" s="64" customFormat="1">
      <c r="A198" s="46" t="s">
        <v>927</v>
      </c>
      <c r="B198" s="47">
        <v>100</v>
      </c>
      <c r="C198" s="47">
        <f>B198*32/100</f>
        <v>32</v>
      </c>
      <c r="D198" s="47">
        <f>B198*0.9/100</f>
        <v>0.9</v>
      </c>
      <c r="E198" s="47">
        <f>B198*0.1/100</f>
        <v>0.1</v>
      </c>
      <c r="F198" s="47"/>
      <c r="G198" s="47"/>
      <c r="H198" s="47"/>
      <c r="I198" s="47"/>
      <c r="J198" s="47"/>
      <c r="K198" s="47">
        <v>0</v>
      </c>
      <c r="L198" s="47">
        <f>B198*11.1/100</f>
        <v>11.1</v>
      </c>
      <c r="M198" s="47">
        <f>B198*1.2/100</f>
        <v>1.2</v>
      </c>
      <c r="N198" s="47">
        <f>B198*51/100</f>
        <v>51</v>
      </c>
      <c r="O198" s="47">
        <f>B198*10/100</f>
        <v>10</v>
      </c>
      <c r="P198" s="47">
        <f>B198*0.07/100</f>
        <v>7.0000000000000007E-2</v>
      </c>
      <c r="Q198" s="47">
        <f>B198*24/100</f>
        <v>24</v>
      </c>
      <c r="R198" s="47" t="s">
        <v>23</v>
      </c>
      <c r="S198" s="47">
        <f>B198*1/100</f>
        <v>1</v>
      </c>
      <c r="T198" s="47">
        <f>B198*128/100</f>
        <v>128</v>
      </c>
      <c r="U198" s="47">
        <f>B198*0.06/100</f>
        <v>0.06</v>
      </c>
      <c r="V198" s="47">
        <f>B198*0.2/100</f>
        <v>0.2</v>
      </c>
      <c r="W198" s="47">
        <v>0</v>
      </c>
      <c r="X198" s="47">
        <f>B198*0.3/100</f>
        <v>0.3</v>
      </c>
      <c r="Y198" s="47">
        <f>B198*0.04/100</f>
        <v>0.04</v>
      </c>
      <c r="Z198" s="47" t="s">
        <v>455</v>
      </c>
      <c r="AA198" s="47" t="s">
        <v>455</v>
      </c>
      <c r="AB198" s="47" t="s">
        <v>23</v>
      </c>
      <c r="AC198" s="34"/>
    </row>
    <row r="199" spans="1:29" s="48" customFormat="1">
      <c r="A199" s="60" t="s">
        <v>922</v>
      </c>
      <c r="B199" s="59">
        <v>100</v>
      </c>
      <c r="C199" s="59">
        <f>B199*63/100</f>
        <v>63</v>
      </c>
      <c r="D199" s="59">
        <f>B199*0.2/100</f>
        <v>0.2</v>
      </c>
      <c r="E199" s="59">
        <f>B199*0.2/100</f>
        <v>0.2</v>
      </c>
      <c r="F199" s="59">
        <f>B199*0.1/100</f>
        <v>0.1</v>
      </c>
      <c r="G199" s="59" t="s">
        <v>455</v>
      </c>
      <c r="H199" s="59" t="s">
        <v>455</v>
      </c>
      <c r="I199" s="59">
        <f>B199*0.04/100</f>
        <v>0.04</v>
      </c>
      <c r="J199" s="59">
        <f>B199*0.01/100</f>
        <v>0.01</v>
      </c>
      <c r="K199" s="59">
        <v>0</v>
      </c>
      <c r="L199" s="59">
        <f>B199*16.6/100</f>
        <v>16.600000000000001</v>
      </c>
      <c r="M199" s="59">
        <f>B199*2/100</f>
        <v>2</v>
      </c>
      <c r="N199" s="59">
        <f>B199*3/100</f>
        <v>3</v>
      </c>
      <c r="O199" s="59">
        <f>B199*5/100</f>
        <v>5</v>
      </c>
      <c r="P199" s="59">
        <f>B199*0.01/100</f>
        <v>0.01</v>
      </c>
      <c r="Q199" s="59">
        <f>B199*11/100</f>
        <v>11</v>
      </c>
      <c r="R199" s="59">
        <f>B199*0.1/100</f>
        <v>0.1</v>
      </c>
      <c r="S199" s="59">
        <f>B199*1/100</f>
        <v>1</v>
      </c>
      <c r="T199" s="59">
        <f>B199*117/100</f>
        <v>117</v>
      </c>
      <c r="U199" s="59">
        <f>B199*0.03/100</f>
        <v>0.03</v>
      </c>
      <c r="V199" s="59" t="s">
        <v>455</v>
      </c>
      <c r="W199" s="59">
        <v>0</v>
      </c>
      <c r="X199" s="59">
        <f>B199*0.05/100</f>
        <v>0.05</v>
      </c>
      <c r="Y199" s="59" t="s">
        <v>455</v>
      </c>
      <c r="Z199" s="59" t="s">
        <v>455</v>
      </c>
      <c r="AA199" s="59" t="s">
        <v>455</v>
      </c>
      <c r="AB199" s="59">
        <f>B199*1.5/100</f>
        <v>1.5</v>
      </c>
      <c r="AC199" s="34"/>
    </row>
    <row r="200" spans="1:29" s="64" customFormat="1">
      <c r="A200" s="46" t="s">
        <v>923</v>
      </c>
      <c r="B200" s="47">
        <v>100</v>
      </c>
      <c r="C200" s="47">
        <f>B200*56/100</f>
        <v>56</v>
      </c>
      <c r="D200" s="47">
        <f>B200*0.3/100</f>
        <v>0.3</v>
      </c>
      <c r="E200" s="47" t="s">
        <v>455</v>
      </c>
      <c r="F200" s="47"/>
      <c r="G200" s="47"/>
      <c r="H200" s="47"/>
      <c r="I200" s="47"/>
      <c r="J200" s="47"/>
      <c r="K200" s="47">
        <v>0</v>
      </c>
      <c r="L200" s="47">
        <f>B200*15.2/100</f>
        <v>15.2</v>
      </c>
      <c r="M200" s="47">
        <f>B200*1.3/100</f>
        <v>1.3</v>
      </c>
      <c r="N200" s="47">
        <f>B200*2/100</f>
        <v>2</v>
      </c>
      <c r="O200" s="47">
        <f>B200*2/100</f>
        <v>2</v>
      </c>
      <c r="P200" s="47">
        <f>B200*0.03/100</f>
        <v>0.03</v>
      </c>
      <c r="Q200" s="47">
        <f>B200*9/100</f>
        <v>9</v>
      </c>
      <c r="R200" s="47">
        <f>B200*0.1/100</f>
        <v>0.1</v>
      </c>
      <c r="S200" s="47" t="s">
        <v>455</v>
      </c>
      <c r="T200" s="47">
        <f>B200*75/100</f>
        <v>75</v>
      </c>
      <c r="U200" s="47">
        <f>B200*0.06/100</f>
        <v>0.06</v>
      </c>
      <c r="V200" s="47" t="s">
        <v>455</v>
      </c>
      <c r="W200" s="47">
        <v>0</v>
      </c>
      <c r="X200" s="47" t="s">
        <v>455</v>
      </c>
      <c r="Y200" s="47" t="s">
        <v>455</v>
      </c>
      <c r="Z200" s="47">
        <f>B200*0.03/100</f>
        <v>0.03</v>
      </c>
      <c r="AA200" s="47"/>
      <c r="AB200" s="47">
        <f>B200*2.4/100</f>
        <v>2.4</v>
      </c>
      <c r="AC200" s="34"/>
    </row>
    <row r="201" spans="1:29" s="48" customFormat="1">
      <c r="A201" s="60" t="s">
        <v>924</v>
      </c>
      <c r="B201" s="59">
        <v>100</v>
      </c>
      <c r="C201" s="59">
        <f>B201*404/100</f>
        <v>404</v>
      </c>
      <c r="D201" s="59">
        <f>B201*2.1/100</f>
        <v>2.1</v>
      </c>
      <c r="E201" s="59">
        <f>B201*40.7/100</f>
        <v>40.700000000000003</v>
      </c>
      <c r="F201" s="59">
        <f>B201*7.1/100</f>
        <v>7.1</v>
      </c>
      <c r="G201" s="59">
        <f>B201*25.3/100</f>
        <v>25.3</v>
      </c>
      <c r="H201" s="59">
        <f>B201*6.5/100</f>
        <v>6.5</v>
      </c>
      <c r="I201" s="59">
        <f>B201*6.18/100</f>
        <v>6.18</v>
      </c>
      <c r="J201" s="59">
        <f>B201*0.3/100</f>
        <v>0.3</v>
      </c>
      <c r="K201" s="59">
        <v>0</v>
      </c>
      <c r="L201" s="59">
        <f>B201*13.9/100</f>
        <v>13.9</v>
      </c>
      <c r="M201" s="59">
        <f>B201*13.4/100</f>
        <v>13.4</v>
      </c>
      <c r="N201" s="59">
        <f>B201*67/100</f>
        <v>67</v>
      </c>
      <c r="O201" s="59">
        <f>B201*66/100</f>
        <v>66</v>
      </c>
      <c r="P201" s="59">
        <f>B201*0.08/100</f>
        <v>0.08</v>
      </c>
      <c r="Q201" s="59">
        <f>B201*44/100</f>
        <v>44</v>
      </c>
      <c r="R201" s="59">
        <f>B201*0.8/100</f>
        <v>0.8</v>
      </c>
      <c r="S201" s="59">
        <f>B201*1/100</f>
        <v>1</v>
      </c>
      <c r="T201" s="59">
        <f>B201*306/100</f>
        <v>306</v>
      </c>
      <c r="U201" s="59">
        <f>B201*0.35/100</f>
        <v>0.35</v>
      </c>
      <c r="V201" s="59">
        <f>B201*0.7/100</f>
        <v>0.7</v>
      </c>
      <c r="W201" s="59">
        <v>0</v>
      </c>
      <c r="X201" s="59">
        <f>B201*0.11/100</f>
        <v>0.11</v>
      </c>
      <c r="Y201" s="59">
        <f>B201*0.11/100</f>
        <v>0.11</v>
      </c>
      <c r="Z201" s="59">
        <f>B201*0.03/100</f>
        <v>0.03</v>
      </c>
      <c r="AA201" s="59" t="s">
        <v>455</v>
      </c>
      <c r="AB201" s="59">
        <f>B201*13.4/100</f>
        <v>13.4</v>
      </c>
      <c r="AC201" s="34"/>
    </row>
    <row r="202" spans="1:29" s="64" customFormat="1">
      <c r="A202" s="46" t="s">
        <v>926</v>
      </c>
      <c r="B202" s="47">
        <v>100</v>
      </c>
      <c r="C202" s="47">
        <f>B202*45/100</f>
        <v>45</v>
      </c>
      <c r="D202" s="47">
        <f>B202*0.8/100</f>
        <v>0.8</v>
      </c>
      <c r="E202" s="47">
        <f>B202*0.1/100</f>
        <v>0.1</v>
      </c>
      <c r="F202" s="47"/>
      <c r="G202" s="47"/>
      <c r="H202" s="47"/>
      <c r="I202" s="47"/>
      <c r="J202" s="47"/>
      <c r="K202" s="47">
        <v>0</v>
      </c>
      <c r="L202" s="47">
        <f>B202*11.6/100</f>
        <v>11.6</v>
      </c>
      <c r="M202" s="47">
        <f>B202*1.8/100</f>
        <v>1.8</v>
      </c>
      <c r="N202" s="47">
        <f>B202*25/100</f>
        <v>25</v>
      </c>
      <c r="O202" s="47">
        <f>B202*17/100</f>
        <v>17</v>
      </c>
      <c r="P202" s="47">
        <f>B202*0.04/100</f>
        <v>0.04</v>
      </c>
      <c r="Q202" s="47">
        <f>B202*11/100</f>
        <v>11</v>
      </c>
      <c r="R202" s="47">
        <f>B202*0.2/100</f>
        <v>0.2</v>
      </c>
      <c r="S202" s="47">
        <f>B202*3/100</f>
        <v>3</v>
      </c>
      <c r="T202" s="47">
        <f>B202*222/100</f>
        <v>222</v>
      </c>
      <c r="U202" s="47">
        <f>B202*1.36/100</f>
        <v>1.36</v>
      </c>
      <c r="V202" s="47">
        <f>B202*0.1/100</f>
        <v>0.1</v>
      </c>
      <c r="W202" s="47">
        <v>0</v>
      </c>
      <c r="X202" s="47">
        <f>B202*0.03/100</f>
        <v>0.03</v>
      </c>
      <c r="Y202" s="47">
        <f>B202*0.03/100</f>
        <v>0.03</v>
      </c>
      <c r="Z202" s="47" t="s">
        <v>455</v>
      </c>
      <c r="AA202" s="47" t="s">
        <v>23</v>
      </c>
      <c r="AB202" s="47">
        <f>B202*78.5/100</f>
        <v>78.5</v>
      </c>
      <c r="AC202" s="34"/>
    </row>
    <row r="203" spans="1:29" s="64" customFormat="1">
      <c r="A203" s="46" t="s">
        <v>925</v>
      </c>
      <c r="B203" s="47">
        <v>100</v>
      </c>
      <c r="C203" s="47">
        <f>B203*40/100</f>
        <v>40</v>
      </c>
      <c r="D203" s="47">
        <f>B203*0.5/100</f>
        <v>0.5</v>
      </c>
      <c r="E203" s="47">
        <f>B203*0.1/100</f>
        <v>0.1</v>
      </c>
      <c r="F203" s="47"/>
      <c r="G203" s="47"/>
      <c r="H203" s="47"/>
      <c r="I203" s="47"/>
      <c r="J203" s="47"/>
      <c r="K203" s="47">
        <v>0</v>
      </c>
      <c r="L203" s="47">
        <f>B203*10.4/100</f>
        <v>10.4</v>
      </c>
      <c r="M203" s="47">
        <f>B203*1/100</f>
        <v>1</v>
      </c>
      <c r="N203" s="47">
        <f>B203*22/100</f>
        <v>22</v>
      </c>
      <c r="O203" s="47">
        <f>B203*22/100</f>
        <v>22</v>
      </c>
      <c r="P203" s="47">
        <f>B203*0.01/100</f>
        <v>0.01</v>
      </c>
      <c r="Q203" s="47">
        <f>B203*11/100</f>
        <v>11</v>
      </c>
      <c r="R203" s="47">
        <f>B203*0.2/100</f>
        <v>0.2</v>
      </c>
      <c r="S203" s="47">
        <f>B203*2/100</f>
        <v>2</v>
      </c>
      <c r="T203" s="47">
        <f>B203*126/100</f>
        <v>126</v>
      </c>
      <c r="U203" s="47">
        <f>B203*0.02/100</f>
        <v>0.02</v>
      </c>
      <c r="V203" s="47">
        <f>B203*0.1/100</f>
        <v>0.1</v>
      </c>
      <c r="W203" s="47">
        <v>0</v>
      </c>
      <c r="X203" s="47">
        <f>B203*0.03/100</f>
        <v>0.03</v>
      </c>
      <c r="Y203" s="47">
        <f>B203*0.04/100</f>
        <v>0.04</v>
      </c>
      <c r="Z203" s="47" t="s">
        <v>455</v>
      </c>
      <c r="AA203" s="47">
        <f>B203*1.03/100</f>
        <v>1.03</v>
      </c>
      <c r="AB203" s="47">
        <f>B203*82.2/100</f>
        <v>82.2</v>
      </c>
      <c r="AC203" s="34"/>
    </row>
    <row r="204" spans="1:29" s="48" customFormat="1">
      <c r="A204" s="71" t="s">
        <v>928</v>
      </c>
      <c r="B204" s="59">
        <v>100</v>
      </c>
      <c r="C204" s="59">
        <f>B204*64/100</f>
        <v>64</v>
      </c>
      <c r="D204" s="59">
        <f>B204*0.4/100</f>
        <v>0.4</v>
      </c>
      <c r="E204" s="59">
        <f>B204*0.3/100</f>
        <v>0.3</v>
      </c>
      <c r="F204" s="59">
        <f>B204*0.1/100</f>
        <v>0.1</v>
      </c>
      <c r="G204" s="59">
        <f>B204*0.1/100</f>
        <v>0.1</v>
      </c>
      <c r="H204" s="59" t="s">
        <v>455</v>
      </c>
      <c r="I204" s="59">
        <f>B204*0.02/100</f>
        <v>0.02</v>
      </c>
      <c r="J204" s="59">
        <f>B204*0.02/100</f>
        <v>0.02</v>
      </c>
      <c r="K204" s="59">
        <v>0</v>
      </c>
      <c r="L204" s="59">
        <f>B204*16.7/100</f>
        <v>16.7</v>
      </c>
      <c r="M204" s="59">
        <f>B204*1.6/100</f>
        <v>1.6</v>
      </c>
      <c r="N204" s="59">
        <f>B204*12/100</f>
        <v>12</v>
      </c>
      <c r="O204" s="59">
        <f>B204*8/100</f>
        <v>8</v>
      </c>
      <c r="P204" s="59">
        <f>B204*0.17/100</f>
        <v>0.17</v>
      </c>
      <c r="Q204" s="59">
        <f>B204*9/100</f>
        <v>9</v>
      </c>
      <c r="R204" s="59">
        <f>B204*0.1/100</f>
        <v>0.1</v>
      </c>
      <c r="S204" s="59">
        <f>B204*1/100</f>
        <v>1</v>
      </c>
      <c r="T204" s="59">
        <f>B204*148/100</f>
        <v>148</v>
      </c>
      <c r="U204" s="59">
        <f>B204*0.1/100</f>
        <v>0.1</v>
      </c>
      <c r="V204" s="59">
        <f>B204*0.1/100</f>
        <v>0.1</v>
      </c>
      <c r="W204" s="59">
        <v>0</v>
      </c>
      <c r="X204" s="59">
        <f>B204*0.02/100</f>
        <v>0.02</v>
      </c>
      <c r="Y204" s="59">
        <f>B204*0.06/100</f>
        <v>0.06</v>
      </c>
      <c r="Z204" s="59">
        <f>B204*0.05/100</f>
        <v>0.05</v>
      </c>
      <c r="AA204" s="59" t="s">
        <v>455</v>
      </c>
      <c r="AB204" s="59">
        <f>B204*17.4/100</f>
        <v>17.399999999999999</v>
      </c>
      <c r="AC204" s="34"/>
    </row>
    <row r="205" spans="1:29" s="48" customFormat="1">
      <c r="A205" s="60" t="s">
        <v>929</v>
      </c>
      <c r="B205" s="59">
        <v>100</v>
      </c>
      <c r="C205" s="59">
        <f>B205*48/100</f>
        <v>48</v>
      </c>
      <c r="D205" s="59">
        <f>B205*0.4/100</f>
        <v>0.4</v>
      </c>
      <c r="E205" s="59">
        <f>B205*0.2/100</f>
        <v>0.2</v>
      </c>
      <c r="F205" s="59">
        <f>B205*0.1/100</f>
        <v>0.1</v>
      </c>
      <c r="G205" s="59">
        <f>B205*0.1/100</f>
        <v>0.1</v>
      </c>
      <c r="H205" s="59" t="s">
        <v>455</v>
      </c>
      <c r="I205" s="59">
        <f>B205*0.01/100</f>
        <v>0.01</v>
      </c>
      <c r="J205" s="59">
        <f>B205*0.02/100</f>
        <v>0.02</v>
      </c>
      <c r="K205" s="59">
        <v>0</v>
      </c>
      <c r="L205" s="59">
        <f>B205*12.5/100</f>
        <v>12.5</v>
      </c>
      <c r="M205" s="59">
        <f>B205*1.1/100</f>
        <v>1.1000000000000001</v>
      </c>
      <c r="N205" s="59">
        <f>B205*7/100</f>
        <v>7</v>
      </c>
      <c r="O205" s="59">
        <f>B205*9/100</f>
        <v>9</v>
      </c>
      <c r="P205" s="59">
        <f>B205*0.12/100</f>
        <v>0.12</v>
      </c>
      <c r="Q205" s="59">
        <f>B205*9/100</f>
        <v>9</v>
      </c>
      <c r="R205" s="59">
        <f>B205*0.1/100</f>
        <v>0.1</v>
      </c>
      <c r="S205" s="59">
        <f>B205*7/100</f>
        <v>7</v>
      </c>
      <c r="T205" s="59">
        <f>B205*131/100</f>
        <v>131</v>
      </c>
      <c r="U205" s="59">
        <f>B205*0.06/100</f>
        <v>0.06</v>
      </c>
      <c r="V205" s="59">
        <f>B205*0.1/100</f>
        <v>0.1</v>
      </c>
      <c r="W205" s="59">
        <v>0</v>
      </c>
      <c r="X205" s="59" t="s">
        <v>455</v>
      </c>
      <c r="Y205" s="59">
        <f>B205*0.07/100</f>
        <v>7.0000000000000007E-2</v>
      </c>
      <c r="Z205" s="59">
        <f>B205*0.03/100</f>
        <v>0.03</v>
      </c>
      <c r="AA205" s="59" t="s">
        <v>455</v>
      </c>
      <c r="AB205" s="59">
        <f>B205*24.9/100</f>
        <v>24.9</v>
      </c>
      <c r="AC205" s="34"/>
    </row>
    <row r="206" spans="1:29" s="48" customFormat="1">
      <c r="A206" s="60" t="s">
        <v>930</v>
      </c>
      <c r="B206" s="59">
        <v>100</v>
      </c>
      <c r="C206" s="59">
        <f>B206*51/100</f>
        <v>51</v>
      </c>
      <c r="D206" s="59">
        <f>B206*0.9/100</f>
        <v>0.9</v>
      </c>
      <c r="E206" s="59">
        <f>B206*0.2/100</f>
        <v>0.2</v>
      </c>
      <c r="F206" s="59">
        <f>B206*0.1/100</f>
        <v>0.1</v>
      </c>
      <c r="G206" s="59">
        <f>B206*0.1/100</f>
        <v>0.1</v>
      </c>
      <c r="H206" s="59" t="s">
        <v>455</v>
      </c>
      <c r="I206" s="59" t="s">
        <v>455</v>
      </c>
      <c r="J206" s="59">
        <f>B206*0.04/100</f>
        <v>0.04</v>
      </c>
      <c r="K206" s="59">
        <v>0</v>
      </c>
      <c r="L206" s="59">
        <f>B206*12.8/100</f>
        <v>12.8</v>
      </c>
      <c r="M206" s="59">
        <f>B206*2.1/100</f>
        <v>2.1</v>
      </c>
      <c r="N206" s="59">
        <f>B206*8/100</f>
        <v>8</v>
      </c>
      <c r="O206" s="59">
        <f>B206*7/100</f>
        <v>7</v>
      </c>
      <c r="P206" s="59">
        <f>B206*0.34/100</f>
        <v>0.34</v>
      </c>
      <c r="Q206" s="59">
        <f>B206*14/100</f>
        <v>14</v>
      </c>
      <c r="R206" s="59">
        <f>B206*0.1/100</f>
        <v>0.1</v>
      </c>
      <c r="S206" s="59" t="s">
        <v>455</v>
      </c>
      <c r="T206" s="59">
        <f>B206*138/100</f>
        <v>138</v>
      </c>
      <c r="U206" s="59">
        <f>B206*0.06/100</f>
        <v>0.06</v>
      </c>
      <c r="V206" s="59">
        <f>B206*0.1/100</f>
        <v>0.1</v>
      </c>
      <c r="W206" s="59">
        <v>0</v>
      </c>
      <c r="X206" s="59" t="s">
        <v>455</v>
      </c>
      <c r="Y206" s="59">
        <f>B206*0.04/100</f>
        <v>0.04</v>
      </c>
      <c r="Z206" s="59">
        <f>B206*0.03/100</f>
        <v>0.03</v>
      </c>
      <c r="AA206" s="59" t="s">
        <v>23</v>
      </c>
      <c r="AB206" s="59" t="s">
        <v>23</v>
      </c>
      <c r="AC206" s="34"/>
    </row>
    <row r="207" spans="1:29" s="64" customFormat="1">
      <c r="A207" s="46" t="s">
        <v>931</v>
      </c>
      <c r="B207" s="47">
        <v>100</v>
      </c>
      <c r="C207" s="47">
        <f>B207*68/100</f>
        <v>68</v>
      </c>
      <c r="D207" s="47">
        <f>B207*2/100</f>
        <v>2</v>
      </c>
      <c r="E207" s="47">
        <f>B207*2.1/100</f>
        <v>2.1</v>
      </c>
      <c r="F207" s="47"/>
      <c r="G207" s="47"/>
      <c r="H207" s="47"/>
      <c r="I207" s="47"/>
      <c r="J207" s="47"/>
      <c r="K207" s="47">
        <v>0</v>
      </c>
      <c r="L207" s="47">
        <f>B207*12.3/100</f>
        <v>12.3</v>
      </c>
      <c r="M207" s="47">
        <f>B207*1.1/100</f>
        <v>1.1000000000000001</v>
      </c>
      <c r="N207" s="47">
        <f>B207*5/100</f>
        <v>5</v>
      </c>
      <c r="O207" s="47">
        <f>B207*28/100</f>
        <v>28</v>
      </c>
      <c r="P207" s="47">
        <f>B207*0.2/100</f>
        <v>0.2</v>
      </c>
      <c r="Q207" s="47">
        <f>B207*51/100</f>
        <v>51</v>
      </c>
      <c r="R207" s="47">
        <f>B207*0.6/100</f>
        <v>0.6</v>
      </c>
      <c r="S207" s="47">
        <f>B207*2/100</f>
        <v>2</v>
      </c>
      <c r="T207" s="47">
        <f>B207*338/100</f>
        <v>338</v>
      </c>
      <c r="U207" s="47">
        <f>B207*0.19/100</f>
        <v>0.19</v>
      </c>
      <c r="V207" s="47">
        <f>B207*0.4/100</f>
        <v>0.4</v>
      </c>
      <c r="W207" s="47">
        <v>0</v>
      </c>
      <c r="X207" s="47" t="s">
        <v>455</v>
      </c>
      <c r="Y207" s="47">
        <f>B207*0.05/100</f>
        <v>0.05</v>
      </c>
      <c r="Z207" s="47">
        <f>B207*0.05/100</f>
        <v>0.05</v>
      </c>
      <c r="AA207" s="47" t="s">
        <v>23</v>
      </c>
      <c r="AB207" s="47">
        <f>B207*19.8/100</f>
        <v>19.8</v>
      </c>
      <c r="AC207" s="34"/>
    </row>
    <row r="208" spans="1:29" s="64" customFormat="1">
      <c r="A208" s="46" t="s">
        <v>932</v>
      </c>
      <c r="B208" s="47">
        <v>100</v>
      </c>
      <c r="C208" s="47">
        <f>B208*39/100</f>
        <v>39</v>
      </c>
      <c r="D208" s="47">
        <f>B208*0.8/100</f>
        <v>0.8</v>
      </c>
      <c r="E208" s="47">
        <f>B208*0.2/100</f>
        <v>0.2</v>
      </c>
      <c r="F208" s="47"/>
      <c r="G208" s="47"/>
      <c r="H208" s="47"/>
      <c r="I208" s="47"/>
      <c r="J208" s="47"/>
      <c r="K208" s="47">
        <v>0</v>
      </c>
      <c r="L208" s="47">
        <f>B208*9.6/100</f>
        <v>9.6</v>
      </c>
      <c r="M208" s="47">
        <f>B208*0.5/100</f>
        <v>0.5</v>
      </c>
      <c r="N208" s="47">
        <f>B208*5/100</f>
        <v>5</v>
      </c>
      <c r="O208" s="47">
        <f>B208*10/100</f>
        <v>10</v>
      </c>
      <c r="P208" s="47">
        <f>B208*0.07/100</f>
        <v>7.0000000000000007E-2</v>
      </c>
      <c r="Q208" s="47">
        <f>B208*15/100</f>
        <v>15</v>
      </c>
      <c r="R208" s="47">
        <f>B208*0.3/100</f>
        <v>0.3</v>
      </c>
      <c r="S208" s="47">
        <f>B208*8/100</f>
        <v>8</v>
      </c>
      <c r="T208" s="47">
        <f>B208*228/100</f>
        <v>228</v>
      </c>
      <c r="U208" s="47">
        <f>B208*0.05/100</f>
        <v>0.05</v>
      </c>
      <c r="V208" s="47">
        <f>B208*0.2/100</f>
        <v>0.2</v>
      </c>
      <c r="W208" s="47">
        <v>0</v>
      </c>
      <c r="X208" s="47" t="s">
        <v>455</v>
      </c>
      <c r="Y208" s="47">
        <f>B208*0.09/100</f>
        <v>0.09</v>
      </c>
      <c r="Z208" s="47">
        <f>B208*0.06/100</f>
        <v>0.06</v>
      </c>
      <c r="AA208" s="47" t="s">
        <v>455</v>
      </c>
      <c r="AB208" s="47">
        <f>B208*7.3/100</f>
        <v>7.3</v>
      </c>
      <c r="AC208" s="34"/>
    </row>
    <row r="209" spans="1:29" s="64" customFormat="1">
      <c r="A209" s="46" t="s">
        <v>933</v>
      </c>
      <c r="B209" s="47">
        <v>100</v>
      </c>
      <c r="C209" s="47">
        <f>B209*42/100</f>
        <v>42</v>
      </c>
      <c r="D209" s="47">
        <f>B209*0.8/100</f>
        <v>0.8</v>
      </c>
      <c r="E209" s="47">
        <f>B209*0.2/100</f>
        <v>0.2</v>
      </c>
      <c r="F209" s="47"/>
      <c r="G209" s="47"/>
      <c r="H209" s="47"/>
      <c r="I209" s="47"/>
      <c r="J209" s="47"/>
      <c r="K209" s="47">
        <v>0</v>
      </c>
      <c r="L209" s="47">
        <f>B209*9.6/100</f>
        <v>9.6</v>
      </c>
      <c r="M209" s="47">
        <f>B209*0.4/100</f>
        <v>0.4</v>
      </c>
      <c r="N209" s="47">
        <f>B209*4/100</f>
        <v>4</v>
      </c>
      <c r="O209" s="47">
        <f>B209*4/100</f>
        <v>4</v>
      </c>
      <c r="P209" s="47">
        <f>B209*0.07/100</f>
        <v>7.0000000000000007E-2</v>
      </c>
      <c r="Q209" s="47">
        <f>B209*14/100</f>
        <v>14</v>
      </c>
      <c r="R209" s="47">
        <f>B209*0.3/100</f>
        <v>0.3</v>
      </c>
      <c r="S209" s="47">
        <f>B209*22/100</f>
        <v>22</v>
      </c>
      <c r="T209" s="47">
        <f>B209*201/100</f>
        <v>201</v>
      </c>
      <c r="U209" s="47">
        <f>B209*0.05/100</f>
        <v>0.05</v>
      </c>
      <c r="V209" s="47">
        <f>B209*0.1/100</f>
        <v>0.1</v>
      </c>
      <c r="W209" s="47">
        <v>0</v>
      </c>
      <c r="X209" s="47" t="s">
        <v>455</v>
      </c>
      <c r="Y209" s="47">
        <f>B209*0.08/100</f>
        <v>0.08</v>
      </c>
      <c r="Z209" s="47">
        <f>B209*0.05/100</f>
        <v>0.05</v>
      </c>
      <c r="AA209" s="47">
        <f>B209*1.92/100</f>
        <v>1.92</v>
      </c>
      <c r="AB209" s="47">
        <f>B209*13.7/100</f>
        <v>13.7</v>
      </c>
      <c r="AC209" s="34"/>
    </row>
    <row r="210" spans="1:29" s="64" customFormat="1">
      <c r="A210" s="46" t="s">
        <v>934</v>
      </c>
      <c r="B210" s="47">
        <v>100</v>
      </c>
      <c r="C210" s="47">
        <f>B210*33/100</f>
        <v>33</v>
      </c>
      <c r="D210" s="47">
        <f>B210*0.9/100</f>
        <v>0.9</v>
      </c>
      <c r="E210" s="47" t="s">
        <v>455</v>
      </c>
      <c r="F210" s="47"/>
      <c r="G210" s="47"/>
      <c r="H210" s="47"/>
      <c r="I210" s="47"/>
      <c r="J210" s="47"/>
      <c r="K210" s="47">
        <v>0</v>
      </c>
      <c r="L210" s="47">
        <f>B210*8.1/100</f>
        <v>8.1</v>
      </c>
      <c r="M210" s="47">
        <f>B210*0.1/100</f>
        <v>0.1</v>
      </c>
      <c r="N210" s="47">
        <f>B210*8/100</f>
        <v>8</v>
      </c>
      <c r="O210" s="47">
        <f>B210*10/100</f>
        <v>10</v>
      </c>
      <c r="P210" s="47">
        <f>B210*0.14/100</f>
        <v>0.14000000000000001</v>
      </c>
      <c r="Q210" s="47">
        <f>B210*12/100</f>
        <v>12</v>
      </c>
      <c r="R210" s="47">
        <f>B210*0.2/100</f>
        <v>0.2</v>
      </c>
      <c r="S210" s="47" t="s">
        <v>455</v>
      </c>
      <c r="T210" s="47">
        <f>B210*104/100</f>
        <v>104</v>
      </c>
      <c r="U210" s="47">
        <f>B210*0.04/100</f>
        <v>0.04</v>
      </c>
      <c r="V210" s="47">
        <f>B210*0.1/100</f>
        <v>0.1</v>
      </c>
      <c r="W210" s="47">
        <v>0</v>
      </c>
      <c r="X210" s="47" t="s">
        <v>455</v>
      </c>
      <c r="Y210" s="47" t="s">
        <v>455</v>
      </c>
      <c r="Z210" s="47" t="s">
        <v>455</v>
      </c>
      <c r="AA210" s="47" t="s">
        <v>23</v>
      </c>
      <c r="AB210" s="47">
        <f>B210*6.1/100</f>
        <v>6.1</v>
      </c>
      <c r="AC210" s="34"/>
    </row>
    <row r="211" spans="1:29" s="64" customFormat="1">
      <c r="A211" s="46" t="s">
        <v>935</v>
      </c>
      <c r="B211" s="47">
        <v>100</v>
      </c>
      <c r="C211" s="47">
        <f>B211*29/100</f>
        <v>29</v>
      </c>
      <c r="D211" s="47">
        <f>B211*0.7/100</f>
        <v>0.7</v>
      </c>
      <c r="E211" s="47" t="s">
        <v>455</v>
      </c>
      <c r="F211" s="47"/>
      <c r="G211" s="47"/>
      <c r="H211" s="47"/>
      <c r="I211" s="47"/>
      <c r="J211" s="47"/>
      <c r="K211" s="47">
        <v>0</v>
      </c>
      <c r="L211" s="47">
        <f>B211*7.5/100</f>
        <v>7.5</v>
      </c>
      <c r="M211" s="47">
        <f>B211*0.3/100</f>
        <v>0.3</v>
      </c>
      <c r="N211" s="47" t="s">
        <v>23</v>
      </c>
      <c r="O211" s="47">
        <f>B211*6/100</f>
        <v>6</v>
      </c>
      <c r="P211" s="47">
        <f>B211*0.05/100</f>
        <v>0.05</v>
      </c>
      <c r="Q211" s="47">
        <f>B211*10/100</f>
        <v>10</v>
      </c>
      <c r="R211" s="47">
        <f>B211*0.2/100</f>
        <v>0.2</v>
      </c>
      <c r="S211" s="47">
        <f>B211*11/100</f>
        <v>11</v>
      </c>
      <c r="T211" s="47">
        <f>B211*216/100</f>
        <v>216</v>
      </c>
      <c r="U211" s="47">
        <f>B211*0.04/100</f>
        <v>0.04</v>
      </c>
      <c r="V211" s="47">
        <f>B211*0.1/100</f>
        <v>0.1</v>
      </c>
      <c r="W211" s="47">
        <v>0</v>
      </c>
      <c r="X211" s="47" t="s">
        <v>455</v>
      </c>
      <c r="Y211" s="47" t="s">
        <v>455</v>
      </c>
      <c r="Z211" s="47">
        <f>B211*0.02/100</f>
        <v>0.02</v>
      </c>
      <c r="AA211" s="47" t="s">
        <v>23</v>
      </c>
      <c r="AB211" s="47" t="s">
        <v>23</v>
      </c>
      <c r="AC211" s="34"/>
    </row>
    <row r="212" spans="1:29" s="64" customFormat="1">
      <c r="A212" s="46" t="s">
        <v>936</v>
      </c>
      <c r="B212" s="47">
        <v>100</v>
      </c>
      <c r="C212" s="47">
        <f>B212*58/100</f>
        <v>58</v>
      </c>
      <c r="D212" s="47">
        <f>B212*0.8/100</f>
        <v>0.8</v>
      </c>
      <c r="E212" s="47">
        <f>B212*0.1/100</f>
        <v>0.1</v>
      </c>
      <c r="F212" s="47"/>
      <c r="G212" s="47"/>
      <c r="H212" s="47"/>
      <c r="I212" s="47"/>
      <c r="J212" s="47"/>
      <c r="K212" s="47">
        <v>0</v>
      </c>
      <c r="L212" s="47">
        <f>B212*14.9/100</f>
        <v>14.9</v>
      </c>
      <c r="M212" s="47">
        <f>B212*3.1/100</f>
        <v>3.1</v>
      </c>
      <c r="N212" s="47">
        <f>B212*33/100</f>
        <v>33</v>
      </c>
      <c r="O212" s="47">
        <f>B212*12/100</f>
        <v>12</v>
      </c>
      <c r="P212" s="47">
        <f>B212*0.05/100</f>
        <v>0.05</v>
      </c>
      <c r="Q212" s="47">
        <f>B212*19/100</f>
        <v>19</v>
      </c>
      <c r="R212" s="47">
        <f>B212*0.1/100</f>
        <v>0.1</v>
      </c>
      <c r="S212" s="47">
        <f>B212*1/100</f>
        <v>1</v>
      </c>
      <c r="T212" s="47">
        <f>B212*159/100</f>
        <v>159</v>
      </c>
      <c r="U212" s="47">
        <f>B212*0.06/100</f>
        <v>0.06</v>
      </c>
      <c r="V212" s="47">
        <f>B212*0.1/100</f>
        <v>0.1</v>
      </c>
      <c r="W212" s="47">
        <v>0</v>
      </c>
      <c r="X212" s="47">
        <f>B212*0.08/100</f>
        <v>0.08</v>
      </c>
      <c r="Y212" s="47">
        <f>B212*0.07/100</f>
        <v>7.0000000000000007E-2</v>
      </c>
      <c r="Z212" s="47">
        <f>B212*0.05/100</f>
        <v>0.05</v>
      </c>
      <c r="AA212" s="47" t="s">
        <v>455</v>
      </c>
      <c r="AB212" s="47">
        <f>B212*21.8/100</f>
        <v>21.8</v>
      </c>
      <c r="AC212" s="34"/>
    </row>
    <row r="213" spans="1:29" s="64" customFormat="1">
      <c r="A213" s="46" t="s">
        <v>937</v>
      </c>
      <c r="B213" s="47">
        <v>100</v>
      </c>
      <c r="C213" s="47">
        <f>B213*37/100</f>
        <v>37</v>
      </c>
      <c r="D213" s="47">
        <f>B213*0.7/100</f>
        <v>0.7</v>
      </c>
      <c r="E213" s="47">
        <f>B213*0.1/100</f>
        <v>0.1</v>
      </c>
      <c r="F213" s="47"/>
      <c r="G213" s="47"/>
      <c r="H213" s="47"/>
      <c r="I213" s="47"/>
      <c r="J213" s="47"/>
      <c r="K213" s="47">
        <v>0</v>
      </c>
      <c r="L213" s="47">
        <f>B213*9.3/100</f>
        <v>9.3000000000000007</v>
      </c>
      <c r="M213" s="47">
        <f>B213*2.7/100</f>
        <v>2.7</v>
      </c>
      <c r="N213" s="47">
        <f>B213*17/100</f>
        <v>17</v>
      </c>
      <c r="O213" s="47">
        <f>B213*8/100</f>
        <v>8</v>
      </c>
      <c r="P213" s="47">
        <f>B213*0.05/100</f>
        <v>0.05</v>
      </c>
      <c r="Q213" s="47">
        <f>B213*14/100</f>
        <v>14</v>
      </c>
      <c r="R213" s="47">
        <f>B213*0.1/100</f>
        <v>0.1</v>
      </c>
      <c r="S213" s="47">
        <f>B213*2/100</f>
        <v>2</v>
      </c>
      <c r="T213" s="47">
        <f>B213*125/100</f>
        <v>125</v>
      </c>
      <c r="U213" s="47">
        <f>B213*0.07/100</f>
        <v>7.0000000000000007E-2</v>
      </c>
      <c r="V213" s="47">
        <f>B213*0.2/100</f>
        <v>0.2</v>
      </c>
      <c r="W213" s="47">
        <v>0</v>
      </c>
      <c r="X213" s="47">
        <f>B213*0.03/100</f>
        <v>0.03</v>
      </c>
      <c r="Y213" s="47" t="s">
        <v>455</v>
      </c>
      <c r="Z213" s="47" t="s">
        <v>455</v>
      </c>
      <c r="AA213" s="47" t="s">
        <v>455</v>
      </c>
      <c r="AB213" s="47">
        <f>B213*112/100</f>
        <v>112</v>
      </c>
      <c r="AC213" s="34"/>
    </row>
    <row r="214" spans="1:29" s="64" customFormat="1">
      <c r="A214" s="46" t="s">
        <v>938</v>
      </c>
      <c r="B214" s="47">
        <v>100</v>
      </c>
      <c r="C214" s="47">
        <f>B214*30/100</f>
        <v>30</v>
      </c>
      <c r="D214" s="47">
        <f>B214*0.9/100</f>
        <v>0.9</v>
      </c>
      <c r="E214" s="47">
        <f>B214*0.3/100</f>
        <v>0.3</v>
      </c>
      <c r="F214" s="47"/>
      <c r="G214" s="47"/>
      <c r="H214" s="47"/>
      <c r="I214" s="47"/>
      <c r="J214" s="47"/>
      <c r="K214" s="47">
        <v>0</v>
      </c>
      <c r="L214" s="47">
        <f>B214*6.8/100</f>
        <v>6.8</v>
      </c>
      <c r="M214" s="47">
        <f>B214*1.7/100</f>
        <v>1.7</v>
      </c>
      <c r="N214" s="47">
        <f>B214*11/100</f>
        <v>11</v>
      </c>
      <c r="O214" s="47">
        <f>B214*10/100</f>
        <v>10</v>
      </c>
      <c r="P214" s="47">
        <f>B214*0.33/100</f>
        <v>0.33</v>
      </c>
      <c r="Q214" s="47">
        <f>B214*22/100</f>
        <v>22</v>
      </c>
      <c r="R214" s="47">
        <f>B214*0.3/100</f>
        <v>0.3</v>
      </c>
      <c r="S214" s="47" t="s">
        <v>455</v>
      </c>
      <c r="T214" s="47">
        <f>B214*184/100</f>
        <v>184</v>
      </c>
      <c r="U214" s="47">
        <f>B214*0.06/100</f>
        <v>0.06</v>
      </c>
      <c r="V214" s="47">
        <f>B214*0.2/100</f>
        <v>0.2</v>
      </c>
      <c r="W214" s="47">
        <v>0</v>
      </c>
      <c r="X214" s="47" t="s">
        <v>455</v>
      </c>
      <c r="Y214" s="47">
        <f>B214*0.03/100</f>
        <v>0.03</v>
      </c>
      <c r="Z214" s="47">
        <f>B214*0.03/100</f>
        <v>0.03</v>
      </c>
      <c r="AA214" s="47" t="s">
        <v>23</v>
      </c>
      <c r="AB214" s="47">
        <f>B214*63.6/100</f>
        <v>63.6</v>
      </c>
      <c r="AC214" s="34"/>
    </row>
    <row r="215" spans="1:29" s="64" customFormat="1">
      <c r="A215" s="46" t="s">
        <v>620</v>
      </c>
      <c r="B215" s="47">
        <v>100</v>
      </c>
      <c r="C215" s="47">
        <f>B215*43/100</f>
        <v>43</v>
      </c>
      <c r="D215" s="47">
        <f>B215*0.3/100</f>
        <v>0.3</v>
      </c>
      <c r="E215" s="47" t="s">
        <v>455</v>
      </c>
      <c r="F215" s="47"/>
      <c r="G215" s="47"/>
      <c r="H215" s="47"/>
      <c r="I215" s="47"/>
      <c r="J215" s="47"/>
      <c r="K215" s="47" t="s">
        <v>454</v>
      </c>
      <c r="L215" s="47">
        <f>B215*11.5/100</f>
        <v>11.5</v>
      </c>
      <c r="M215" s="47">
        <f>B215*3/100</f>
        <v>3</v>
      </c>
      <c r="N215" s="47">
        <f>B215*20/100</f>
        <v>20</v>
      </c>
      <c r="O215" s="47">
        <f>B215*10/100</f>
        <v>10</v>
      </c>
      <c r="P215" s="47">
        <f>B215*0.07/100</f>
        <v>7.0000000000000007E-2</v>
      </c>
      <c r="Q215" s="47">
        <f>B215*10/100</f>
        <v>10</v>
      </c>
      <c r="R215" s="47">
        <f>B215*0.1/100</f>
        <v>0.1</v>
      </c>
      <c r="S215" s="47" t="s">
        <v>455</v>
      </c>
      <c r="T215" s="47">
        <f>B215*113/100</f>
        <v>113</v>
      </c>
      <c r="U215" s="47">
        <f>B215*0.12/100</f>
        <v>0.12</v>
      </c>
      <c r="V215" s="47">
        <f>B215*0.1/100</f>
        <v>0.1</v>
      </c>
      <c r="W215" s="47" t="s">
        <v>454</v>
      </c>
      <c r="X215" s="47" t="s">
        <v>455</v>
      </c>
      <c r="Y215" s="47" t="s">
        <v>455</v>
      </c>
      <c r="Z215" s="47" t="s">
        <v>455</v>
      </c>
      <c r="AA215" s="47" t="s">
        <v>455</v>
      </c>
      <c r="AB215" s="47">
        <f>B215*3.2/100</f>
        <v>3.2</v>
      </c>
      <c r="AC215" s="34"/>
    </row>
    <row r="216" spans="1:29" s="64" customFormat="1">
      <c r="A216" s="46" t="s">
        <v>621</v>
      </c>
      <c r="B216" s="47">
        <v>100</v>
      </c>
      <c r="C216" s="47">
        <f>B216*205/100</f>
        <v>205</v>
      </c>
      <c r="D216" s="47">
        <f>B216*2.3/100</f>
        <v>2.2999999999999998</v>
      </c>
      <c r="E216" s="47">
        <f>B216*18/100</f>
        <v>18</v>
      </c>
      <c r="F216" s="47"/>
      <c r="G216" s="47"/>
      <c r="H216" s="47"/>
      <c r="I216" s="47"/>
      <c r="J216" s="47"/>
      <c r="K216" s="47" t="s">
        <v>454</v>
      </c>
      <c r="L216" s="47">
        <f>B216*13/100</f>
        <v>13</v>
      </c>
      <c r="M216" s="47">
        <f>B216*19/100</f>
        <v>19</v>
      </c>
      <c r="N216" s="47">
        <f>B216*32/100</f>
        <v>32</v>
      </c>
      <c r="O216" s="47">
        <f>B216*30/100</f>
        <v>30</v>
      </c>
      <c r="P216" s="47">
        <f>B216*0.64/100</f>
        <v>0.64</v>
      </c>
      <c r="Q216" s="47">
        <f>B216*34/100</f>
        <v>34</v>
      </c>
      <c r="R216" s="47">
        <f>B216*0.3/100</f>
        <v>0.3</v>
      </c>
      <c r="S216" s="47" t="s">
        <v>455</v>
      </c>
      <c r="T216" s="47">
        <f>B216*298/100</f>
        <v>298</v>
      </c>
      <c r="U216" s="47">
        <f>B216*0.21/100</f>
        <v>0.21</v>
      </c>
      <c r="V216" s="47">
        <f>B216*1/100</f>
        <v>1</v>
      </c>
      <c r="W216" s="47" t="s">
        <v>454</v>
      </c>
      <c r="X216" s="47">
        <f>B216*0.17/100</f>
        <v>0.17</v>
      </c>
      <c r="Y216" s="47">
        <f>B216*0.48/100</f>
        <v>0.48</v>
      </c>
      <c r="Z216" s="47">
        <f>B216*0.06/100</f>
        <v>0.06</v>
      </c>
      <c r="AA216" s="47">
        <f>B216*2.57/100</f>
        <v>2.57</v>
      </c>
      <c r="AB216" s="47">
        <f>B216*8.3/100</f>
        <v>8.3000000000000007</v>
      </c>
      <c r="AC216" s="34"/>
    </row>
    <row r="217" spans="1:29" s="48" customFormat="1">
      <c r="A217" s="60" t="s">
        <v>622</v>
      </c>
      <c r="B217" s="59">
        <v>100</v>
      </c>
      <c r="C217" s="59">
        <f>B217*61/100</f>
        <v>61</v>
      </c>
      <c r="D217" s="59">
        <f>B217*0.2/100</f>
        <v>0.2</v>
      </c>
      <c r="E217" s="59">
        <f>B217*0.2/100</f>
        <v>0.2</v>
      </c>
      <c r="F217" s="59">
        <f>B217*0.1/100</f>
        <v>0.1</v>
      </c>
      <c r="G217" s="59" t="s">
        <v>455</v>
      </c>
      <c r="H217" s="59">
        <f>B217*0.1/100</f>
        <v>0.1</v>
      </c>
      <c r="I217" s="59">
        <f>B217*0.05/100</f>
        <v>0.05</v>
      </c>
      <c r="J217" s="59">
        <f>B217*0.01/100</f>
        <v>0.01</v>
      </c>
      <c r="K217" s="59" t="s">
        <v>454</v>
      </c>
      <c r="L217" s="59">
        <f>B217*16.1/100</f>
        <v>16.100000000000001</v>
      </c>
      <c r="M217" s="59">
        <f>B217*3/100</f>
        <v>3</v>
      </c>
      <c r="N217" s="59">
        <f>B217*9/100</f>
        <v>9</v>
      </c>
      <c r="O217" s="59">
        <f>B217*6/100</f>
        <v>6</v>
      </c>
      <c r="P217" s="59">
        <f>B217*0.04/100</f>
        <v>0.04</v>
      </c>
      <c r="Q217" s="59">
        <f>B217*12/100</f>
        <v>12</v>
      </c>
      <c r="R217" s="59">
        <f>B217*0.3/100</f>
        <v>0.3</v>
      </c>
      <c r="S217" s="59">
        <f>B217*1/100</f>
        <v>1</v>
      </c>
      <c r="T217" s="59">
        <f>B217*102/100</f>
        <v>102</v>
      </c>
      <c r="U217" s="59">
        <f>B217*0.08/100</f>
        <v>0.08</v>
      </c>
      <c r="V217" s="59">
        <f>B217*0.1/100</f>
        <v>0.1</v>
      </c>
      <c r="W217" s="59" t="s">
        <v>454</v>
      </c>
      <c r="X217" s="59">
        <f>B217*0.06/100</f>
        <v>0.06</v>
      </c>
      <c r="Y217" s="59" t="s">
        <v>455</v>
      </c>
      <c r="Z217" s="59" t="s">
        <v>455</v>
      </c>
      <c r="AA217" s="59" t="s">
        <v>455</v>
      </c>
      <c r="AB217" s="59">
        <f>B217*2.4/100</f>
        <v>2.4</v>
      </c>
      <c r="AC217" s="34"/>
    </row>
    <row r="218" spans="1:29" s="64" customFormat="1">
      <c r="A218" s="46" t="s">
        <v>939</v>
      </c>
      <c r="B218" s="47">
        <v>100</v>
      </c>
      <c r="C218" s="47">
        <f>B218*53/100</f>
        <v>53</v>
      </c>
      <c r="D218" s="47">
        <f>B218*0.6/100</f>
        <v>0.6</v>
      </c>
      <c r="E218" s="47">
        <f>B218*0.1/100</f>
        <v>0.1</v>
      </c>
      <c r="F218" s="47"/>
      <c r="G218" s="47"/>
      <c r="H218" s="47"/>
      <c r="I218" s="47"/>
      <c r="J218" s="47"/>
      <c r="K218" s="47" t="s">
        <v>454</v>
      </c>
      <c r="L218" s="47">
        <f>B218*14/100</f>
        <v>14</v>
      </c>
      <c r="M218" s="47">
        <f>B218*3/100</f>
        <v>3</v>
      </c>
      <c r="N218" s="47">
        <f>B218*8/100</f>
        <v>8</v>
      </c>
      <c r="O218" s="47">
        <f>B218*6/100</f>
        <v>6</v>
      </c>
      <c r="P218" s="47">
        <f>B218*0.04/100</f>
        <v>0.04</v>
      </c>
      <c r="Q218" s="47">
        <f>B218*12/100</f>
        <v>12</v>
      </c>
      <c r="R218" s="47">
        <f>B218*0.1/100</f>
        <v>0.1</v>
      </c>
      <c r="S218" s="47" t="s">
        <v>455</v>
      </c>
      <c r="T218" s="47">
        <f>B218*116/100</f>
        <v>116</v>
      </c>
      <c r="U218" s="47">
        <f>B218*0.07/100</f>
        <v>7.0000000000000007E-2</v>
      </c>
      <c r="V218" s="47">
        <f>B218*0.1/100</f>
        <v>0.1</v>
      </c>
      <c r="W218" s="47" t="s">
        <v>454</v>
      </c>
      <c r="X218" s="47" t="s">
        <v>455</v>
      </c>
      <c r="Y218" s="47" t="s">
        <v>455</v>
      </c>
      <c r="Z218" s="47" t="s">
        <v>455</v>
      </c>
      <c r="AA218" s="47" t="s">
        <v>23</v>
      </c>
      <c r="AB218" s="47">
        <f>B218*2.8/100</f>
        <v>2.8</v>
      </c>
      <c r="AC218" s="34"/>
    </row>
    <row r="219" spans="1:29" s="64" customFormat="1">
      <c r="A219" s="46" t="s">
        <v>623</v>
      </c>
      <c r="B219" s="47">
        <v>100</v>
      </c>
      <c r="C219" s="47">
        <f>B219*36/100</f>
        <v>36</v>
      </c>
      <c r="D219" s="47">
        <f>B219*0.8/100</f>
        <v>0.8</v>
      </c>
      <c r="E219" s="47" t="s">
        <v>455</v>
      </c>
      <c r="F219" s="47"/>
      <c r="G219" s="47"/>
      <c r="H219" s="47"/>
      <c r="I219" s="47"/>
      <c r="J219" s="47"/>
      <c r="K219" s="47" t="s">
        <v>454</v>
      </c>
      <c r="L219" s="47">
        <f>B219*9.3/100</f>
        <v>9.3000000000000007</v>
      </c>
      <c r="M219" s="47">
        <f>B219*1.4/100</f>
        <v>1.4</v>
      </c>
      <c r="N219" s="47">
        <f>B219*3/100</f>
        <v>3</v>
      </c>
      <c r="O219" s="47">
        <f>B219*4/100</f>
        <v>4</v>
      </c>
      <c r="P219" s="47">
        <f>B219*0.05/100</f>
        <v>0.05</v>
      </c>
      <c r="Q219" s="47">
        <f>B219*15/100</f>
        <v>15</v>
      </c>
      <c r="R219" s="47">
        <f>B219*0.2/100</f>
        <v>0.2</v>
      </c>
      <c r="S219" s="47" t="s">
        <v>455</v>
      </c>
      <c r="T219" s="47">
        <f>B219*124/100</f>
        <v>124</v>
      </c>
      <c r="U219" s="47">
        <f>B219*0.02/100</f>
        <v>0.02</v>
      </c>
      <c r="V219" s="47">
        <f>B219*0.1/100</f>
        <v>0.1</v>
      </c>
      <c r="W219" s="47" t="s">
        <v>454</v>
      </c>
      <c r="X219" s="47">
        <f>B219*0.05/100</f>
        <v>0.05</v>
      </c>
      <c r="Y219" s="47" t="s">
        <v>455</v>
      </c>
      <c r="Z219" s="47" t="s">
        <v>455</v>
      </c>
      <c r="AA219" s="47" t="s">
        <v>455</v>
      </c>
      <c r="AB219" s="47">
        <f>B219*3.3/100</f>
        <v>3.3</v>
      </c>
      <c r="AC219" s="34"/>
    </row>
    <row r="220" spans="1:29" s="64" customFormat="1">
      <c r="A220" s="46" t="s">
        <v>624</v>
      </c>
      <c r="B220" s="47">
        <v>100</v>
      </c>
      <c r="C220" s="47">
        <f>B220*63/100</f>
        <v>63</v>
      </c>
      <c r="D220" s="47">
        <f>B220*0.7/100</f>
        <v>0.7</v>
      </c>
      <c r="E220" s="47" t="s">
        <v>455</v>
      </c>
      <c r="F220" s="47"/>
      <c r="G220" s="47"/>
      <c r="H220" s="47"/>
      <c r="I220" s="47"/>
      <c r="J220" s="47"/>
      <c r="K220" s="47" t="s">
        <v>454</v>
      </c>
      <c r="L220" s="47">
        <f>B220*16.9/100</f>
        <v>16.899999999999999</v>
      </c>
      <c r="M220" s="47">
        <f>B220*1/100</f>
        <v>1</v>
      </c>
      <c r="N220" s="47">
        <f>B220*4/100</f>
        <v>4</v>
      </c>
      <c r="O220" s="47">
        <f>B220*4/100</f>
        <v>4</v>
      </c>
      <c r="P220" s="47"/>
      <c r="Q220" s="47">
        <f>B220*9/100</f>
        <v>9</v>
      </c>
      <c r="R220" s="47">
        <f>B220*0.6/100</f>
        <v>0.6</v>
      </c>
      <c r="S220" s="47">
        <f>B220*3/100</f>
        <v>3</v>
      </c>
      <c r="T220" s="47">
        <f>B220*95/100</f>
        <v>95</v>
      </c>
      <c r="U220" s="47">
        <f>B220*0.04/100</f>
        <v>0.04</v>
      </c>
      <c r="V220" s="47">
        <f>B220*0.1/100</f>
        <v>0.1</v>
      </c>
      <c r="W220" s="47" t="s">
        <v>454</v>
      </c>
      <c r="X220" s="47"/>
      <c r="Y220" s="47"/>
      <c r="Z220" s="47"/>
      <c r="AA220" s="47"/>
      <c r="AB220" s="47"/>
      <c r="AC220" s="34"/>
    </row>
    <row r="221" spans="1:29" s="48" customFormat="1">
      <c r="A221" s="60" t="s">
        <v>625</v>
      </c>
      <c r="B221" s="59">
        <v>100</v>
      </c>
      <c r="C221" s="59">
        <f>B221*88/100</f>
        <v>88</v>
      </c>
      <c r="D221" s="59">
        <f>B221*1.5/100</f>
        <v>1.5</v>
      </c>
      <c r="E221" s="59">
        <f>B221*0.3/100</f>
        <v>0.3</v>
      </c>
      <c r="F221" s="59">
        <f>B221*0.1/100</f>
        <v>0.1</v>
      </c>
      <c r="G221" s="59" t="s">
        <v>455</v>
      </c>
      <c r="H221" s="59">
        <f>B221*0.1/100</f>
        <v>0.1</v>
      </c>
      <c r="I221" s="59">
        <f>B221*0.08/100</f>
        <v>0.08</v>
      </c>
      <c r="J221" s="59">
        <f>B221*0.04/100</f>
        <v>0.04</v>
      </c>
      <c r="K221" s="59" t="s">
        <v>454</v>
      </c>
      <c r="L221" s="59">
        <f>B221*22.4/100</f>
        <v>22.4</v>
      </c>
      <c r="M221" s="59">
        <f>B221*3.4/100</f>
        <v>3.4</v>
      </c>
      <c r="N221" s="59">
        <f>B221*21/100</f>
        <v>21</v>
      </c>
      <c r="O221" s="59">
        <f>B221*31/100</f>
        <v>31</v>
      </c>
      <c r="P221" s="59">
        <f>B221*0.15/100</f>
        <v>0.15</v>
      </c>
      <c r="Q221" s="59">
        <f>B221*34/100</f>
        <v>34</v>
      </c>
      <c r="R221" s="59">
        <f>B221*0.2/100</f>
        <v>0.2</v>
      </c>
      <c r="S221" s="59">
        <f>B221*1/100</f>
        <v>1</v>
      </c>
      <c r="T221" s="59">
        <f>B221*283/100</f>
        <v>283</v>
      </c>
      <c r="U221" s="59">
        <f>B221*0.11/100</f>
        <v>0.11</v>
      </c>
      <c r="V221" s="59">
        <f>B221*0.2/100</f>
        <v>0.2</v>
      </c>
      <c r="W221" s="59" t="s">
        <v>454</v>
      </c>
      <c r="X221" s="59">
        <f>B221*0.12/100</f>
        <v>0.12</v>
      </c>
      <c r="Y221" s="59">
        <f>B221*0.04/100</f>
        <v>0.04</v>
      </c>
      <c r="Z221" s="59">
        <f>B221*0.09/100</f>
        <v>0.09</v>
      </c>
      <c r="AA221" s="59" t="s">
        <v>455</v>
      </c>
      <c r="AB221" s="59">
        <f>B221*35.9/100</f>
        <v>35.9</v>
      </c>
      <c r="AC221" s="34"/>
    </row>
    <row r="222" spans="1:29" s="64" customFormat="1">
      <c r="A222" s="46" t="s">
        <v>626</v>
      </c>
      <c r="B222" s="47">
        <v>100</v>
      </c>
      <c r="C222" s="47">
        <f>B222*41/100</f>
        <v>41</v>
      </c>
      <c r="D222" s="47">
        <f>B222*0.9/100</f>
        <v>0.9</v>
      </c>
      <c r="E222" s="47">
        <f>B222*0.2/100</f>
        <v>0.2</v>
      </c>
      <c r="F222" s="47"/>
      <c r="G222" s="47"/>
      <c r="H222" s="47"/>
      <c r="I222" s="47"/>
      <c r="J222" s="47"/>
      <c r="K222" s="47" t="s">
        <v>454</v>
      </c>
      <c r="L222" s="47">
        <f>B222*10.2/100</f>
        <v>10.199999999999999</v>
      </c>
      <c r="M222" s="47">
        <f>B222*3.2/100</f>
        <v>3.2</v>
      </c>
      <c r="N222" s="47">
        <f>B222*18/100</f>
        <v>18</v>
      </c>
      <c r="O222" s="47">
        <f>B222*12/100</f>
        <v>12</v>
      </c>
      <c r="P222" s="47">
        <f>B222*0.36/100</f>
        <v>0.36</v>
      </c>
      <c r="Q222" s="47">
        <f>B222*13/100</f>
        <v>13</v>
      </c>
      <c r="R222" s="47">
        <f>B222*0.4/100</f>
        <v>0.4</v>
      </c>
      <c r="S222" s="47">
        <f>B222*2/100</f>
        <v>2</v>
      </c>
      <c r="T222" s="47">
        <f>B222*113/100</f>
        <v>113</v>
      </c>
      <c r="U222" s="47">
        <f>B222*0.08/100</f>
        <v>0.08</v>
      </c>
      <c r="V222" s="47">
        <f>B222*0.4/100</f>
        <v>0.4</v>
      </c>
      <c r="W222" s="47" t="s">
        <v>454</v>
      </c>
      <c r="X222" s="47">
        <f>B222*0.03/100</f>
        <v>0.03</v>
      </c>
      <c r="Y222" s="47">
        <f>B222*0.1/100</f>
        <v>0.1</v>
      </c>
      <c r="Z222" s="47" t="s">
        <v>455</v>
      </c>
      <c r="AA222" s="47" t="s">
        <v>455</v>
      </c>
      <c r="AB222" s="47">
        <f>B222*24.9/100</f>
        <v>24.9</v>
      </c>
      <c r="AC222" s="34"/>
    </row>
    <row r="223" spans="1:29" s="64" customFormat="1">
      <c r="A223" s="46" t="s">
        <v>627</v>
      </c>
      <c r="B223" s="47">
        <v>100</v>
      </c>
      <c r="C223" s="47">
        <f>B223*56/100</f>
        <v>56</v>
      </c>
      <c r="D223" s="47">
        <f>B223*0.4/100</f>
        <v>0.4</v>
      </c>
      <c r="E223" s="47" t="s">
        <v>455</v>
      </c>
      <c r="F223" s="47"/>
      <c r="G223" s="47"/>
      <c r="H223" s="47"/>
      <c r="I223" s="47"/>
      <c r="J223" s="47"/>
      <c r="K223" s="47" t="s">
        <v>454</v>
      </c>
      <c r="L223" s="47">
        <f>B223*15.1/100</f>
        <v>15.1</v>
      </c>
      <c r="M223" s="47">
        <f>B223*0.4/100</f>
        <v>0.4</v>
      </c>
      <c r="N223" s="47">
        <f>B223*5/100</f>
        <v>5</v>
      </c>
      <c r="O223" s="47">
        <f>B223*13/100</f>
        <v>13</v>
      </c>
      <c r="P223" s="47">
        <f>B223*0.13/100</f>
        <v>0.13</v>
      </c>
      <c r="Q223" s="47">
        <f>B223*40/100</f>
        <v>40</v>
      </c>
      <c r="R223" s="47">
        <f>B223*0.3/100</f>
        <v>0.3</v>
      </c>
      <c r="S223" s="47">
        <f>B223*1/100</f>
        <v>1</v>
      </c>
      <c r="T223" s="47">
        <f>B223*485/100</f>
        <v>485</v>
      </c>
      <c r="U223" s="47">
        <f>B223*0.19/100</f>
        <v>0.19</v>
      </c>
      <c r="V223" s="47">
        <f>B223*0.7/100</f>
        <v>0.7</v>
      </c>
      <c r="W223" s="47" t="s">
        <v>454</v>
      </c>
      <c r="X223" s="47">
        <f>B223*0.12/100</f>
        <v>0.12</v>
      </c>
      <c r="Y223" s="47">
        <f>B223*0.17/100</f>
        <v>0.17</v>
      </c>
      <c r="Z223" s="47">
        <f>B223*0.05/100</f>
        <v>0.05</v>
      </c>
      <c r="AA223" s="47" t="s">
        <v>455</v>
      </c>
      <c r="AB223" s="47">
        <f>B223*8.1/100</f>
        <v>8.1</v>
      </c>
      <c r="AC223" s="34"/>
    </row>
    <row r="224" spans="1:29" s="48" customFormat="1">
      <c r="A224" s="60" t="s">
        <v>628</v>
      </c>
      <c r="B224" s="59">
        <v>100</v>
      </c>
      <c r="C224" s="59">
        <f>B224*276/100</f>
        <v>276</v>
      </c>
      <c r="D224" s="59">
        <f>B224*3.2/100</f>
        <v>3.2</v>
      </c>
      <c r="E224" s="59">
        <f>B224*0.5/100</f>
        <v>0.5</v>
      </c>
      <c r="F224" s="59">
        <f>B224*0.1/100</f>
        <v>0.1</v>
      </c>
      <c r="G224" s="59">
        <f>B224*0.2/100</f>
        <v>0.2</v>
      </c>
      <c r="H224" s="59" t="s">
        <v>455</v>
      </c>
      <c r="I224" s="59">
        <f>B224*0.02/100</f>
        <v>0.02</v>
      </c>
      <c r="J224" s="59">
        <f>B224*0.02/100</f>
        <v>0.02</v>
      </c>
      <c r="K224" s="59" t="s">
        <v>454</v>
      </c>
      <c r="L224" s="59">
        <f>B224*72.5/100</f>
        <v>72.5</v>
      </c>
      <c r="M224" s="59">
        <f>B224*6.4/100</f>
        <v>6.4</v>
      </c>
      <c r="N224" s="59">
        <f>B224*37/100</f>
        <v>37</v>
      </c>
      <c r="O224" s="59">
        <f>B224*59/100</f>
        <v>59</v>
      </c>
      <c r="P224" s="59">
        <f>B224*0.34/100</f>
        <v>0.34</v>
      </c>
      <c r="Q224" s="59">
        <f>B224*55/100</f>
        <v>55</v>
      </c>
      <c r="R224" s="59">
        <f>B224*0.6/100</f>
        <v>0.6</v>
      </c>
      <c r="S224" s="59">
        <v>0</v>
      </c>
      <c r="T224" s="59">
        <f>B224*723/100</f>
        <v>723</v>
      </c>
      <c r="U224" s="59">
        <f>B224*0.29/100</f>
        <v>0.28999999999999998</v>
      </c>
      <c r="V224" s="59">
        <f>B224*0.7/100</f>
        <v>0.7</v>
      </c>
      <c r="W224" s="59" t="s">
        <v>454</v>
      </c>
      <c r="X224" s="59">
        <f>B224*0.31/100</f>
        <v>0.31</v>
      </c>
      <c r="Y224" s="59" t="s">
        <v>455</v>
      </c>
      <c r="Z224" s="59">
        <f>B224*0.1/100</f>
        <v>0.1</v>
      </c>
      <c r="AA224" s="59" t="s">
        <v>455</v>
      </c>
      <c r="AB224" s="59">
        <f>B224*7.2/100</f>
        <v>7.2</v>
      </c>
      <c r="AC224" s="34"/>
    </row>
    <row r="225" spans="1:29" s="64" customFormat="1">
      <c r="A225" s="46" t="s">
        <v>629</v>
      </c>
      <c r="B225" s="47">
        <v>100</v>
      </c>
      <c r="C225" s="47">
        <f>B225*38/100</f>
        <v>38</v>
      </c>
      <c r="D225" s="47">
        <f>B225*0.8/100</f>
        <v>0.8</v>
      </c>
      <c r="E225" s="47">
        <f>B225*0.1/100</f>
        <v>0.1</v>
      </c>
      <c r="F225" s="47"/>
      <c r="G225" s="47"/>
      <c r="H225" s="47"/>
      <c r="I225" s="47"/>
      <c r="J225" s="47"/>
      <c r="K225" s="47" t="s">
        <v>454</v>
      </c>
      <c r="L225" s="47">
        <f>B225*9.6/100</f>
        <v>9.6</v>
      </c>
      <c r="M225" s="47">
        <f>B225*0.9/100</f>
        <v>0.9</v>
      </c>
      <c r="N225" s="47">
        <f>B225*13/100</f>
        <v>13</v>
      </c>
      <c r="O225" s="47">
        <f>B225*8/100</f>
        <v>8</v>
      </c>
      <c r="P225" s="47">
        <f>B225*0.04/100</f>
        <v>0.04</v>
      </c>
      <c r="Q225" s="47">
        <f>B225*12/100</f>
        <v>12</v>
      </c>
      <c r="R225" s="47">
        <f>B225*0.1/100</f>
        <v>0.1</v>
      </c>
      <c r="S225" s="47" t="s">
        <v>455</v>
      </c>
      <c r="T225" s="47">
        <f>B225*131/100</f>
        <v>131</v>
      </c>
      <c r="U225" s="47">
        <f>B225*0.03/100</f>
        <v>0.03</v>
      </c>
      <c r="V225" s="47" t="s">
        <v>455</v>
      </c>
      <c r="W225" s="47" t="s">
        <v>454</v>
      </c>
      <c r="X225" s="47">
        <f>B225*0.06/100</f>
        <v>0.06</v>
      </c>
      <c r="Y225" s="47">
        <f>B225*0.02/100</f>
        <v>0.02</v>
      </c>
      <c r="Z225" s="47">
        <f>B225*0.02/100</f>
        <v>0.02</v>
      </c>
      <c r="AA225" s="47"/>
      <c r="AB225" s="47">
        <f>B225*48.8/100</f>
        <v>48.8</v>
      </c>
      <c r="AC225" s="34"/>
    </row>
    <row r="226" spans="1:29" s="64" customFormat="1">
      <c r="A226" s="46" t="s">
        <v>630</v>
      </c>
      <c r="B226" s="47">
        <v>100</v>
      </c>
      <c r="C226" s="47">
        <f>B226*36/100</f>
        <v>36</v>
      </c>
      <c r="D226" s="47">
        <f>B226*0.5/100</f>
        <v>0.5</v>
      </c>
      <c r="E226" s="47" t="s">
        <v>455</v>
      </c>
      <c r="F226" s="47"/>
      <c r="G226" s="47"/>
      <c r="H226" s="47"/>
      <c r="I226" s="47"/>
      <c r="J226" s="47"/>
      <c r="K226" s="47" t="s">
        <v>454</v>
      </c>
      <c r="L226" s="47">
        <f>B226*8.8/100</f>
        <v>8.8000000000000007</v>
      </c>
      <c r="M226" s="47" t="s">
        <v>455</v>
      </c>
      <c r="N226" s="47">
        <f>B226*4/100</f>
        <v>4</v>
      </c>
      <c r="O226" s="47">
        <f>B226*6/100</f>
        <v>6</v>
      </c>
      <c r="P226" s="47">
        <f>B226*0.02/100</f>
        <v>0.02</v>
      </c>
      <c r="Q226" s="47">
        <f>B226*9/100</f>
        <v>9</v>
      </c>
      <c r="R226" s="47" t="s">
        <v>455</v>
      </c>
      <c r="S226" s="47" t="s">
        <v>455</v>
      </c>
      <c r="T226" s="47">
        <f>B226*119/100</f>
        <v>119</v>
      </c>
      <c r="U226" s="47">
        <f>B226*0.02/100</f>
        <v>0.02</v>
      </c>
      <c r="V226" s="47" t="s">
        <v>455</v>
      </c>
      <c r="W226" s="47" t="s">
        <v>454</v>
      </c>
      <c r="X226" s="47">
        <f>B226*0.06/100</f>
        <v>0.06</v>
      </c>
      <c r="Y226" s="47" t="s">
        <v>455</v>
      </c>
      <c r="Z226" s="47">
        <f>B226*0.03/100</f>
        <v>0.03</v>
      </c>
      <c r="AA226" s="47"/>
      <c r="AB226" s="47">
        <f>B226*41.8/100</f>
        <v>41.8</v>
      </c>
      <c r="AC226" s="34"/>
    </row>
    <row r="227" spans="1:29" s="64" customFormat="1">
      <c r="A227" s="46" t="s">
        <v>631</v>
      </c>
      <c r="B227" s="47">
        <v>100</v>
      </c>
      <c r="C227" s="47">
        <f>B227*37/100</f>
        <v>37</v>
      </c>
      <c r="D227" s="47">
        <f>B227*0.8/100</f>
        <v>0.8</v>
      </c>
      <c r="E227" s="47" t="s">
        <v>455</v>
      </c>
      <c r="F227" s="47"/>
      <c r="G227" s="47"/>
      <c r="H227" s="47"/>
      <c r="I227" s="47"/>
      <c r="J227" s="47"/>
      <c r="K227" s="47" t="s">
        <v>454</v>
      </c>
      <c r="L227" s="47">
        <f>B227*9.4/100</f>
        <v>9.4</v>
      </c>
      <c r="M227" s="47">
        <f>B227*2/100</f>
        <v>2</v>
      </c>
      <c r="N227" s="47">
        <f>B227*12/100</f>
        <v>12</v>
      </c>
      <c r="O227" s="47">
        <f>B227*11/100</f>
        <v>11</v>
      </c>
      <c r="P227" s="47">
        <f>B227*0.03/100</f>
        <v>0.03</v>
      </c>
      <c r="Q227" s="47">
        <f>B227*13/100</f>
        <v>13</v>
      </c>
      <c r="R227" s="47">
        <f>B227*0.1/100</f>
        <v>0.1</v>
      </c>
      <c r="S227" s="47" t="s">
        <v>455</v>
      </c>
      <c r="T227" s="47">
        <f>B227*152/100</f>
        <v>152</v>
      </c>
      <c r="U227" s="47">
        <f>B227*0.04/100</f>
        <v>0.04</v>
      </c>
      <c r="V227" s="47">
        <f>B227*0.4/100</f>
        <v>0.4</v>
      </c>
      <c r="W227" s="47" t="s">
        <v>454</v>
      </c>
      <c r="X227" s="47">
        <f>B227*0.05/100</f>
        <v>0.05</v>
      </c>
      <c r="Y227" s="47">
        <f>B227*0.06/100</f>
        <v>0.06</v>
      </c>
      <c r="Z227" s="47">
        <f>B227*0.03/100</f>
        <v>0.03</v>
      </c>
      <c r="AA227" s="47" t="s">
        <v>455</v>
      </c>
      <c r="AB227" s="47">
        <f>B227*24.1/100</f>
        <v>24.1</v>
      </c>
      <c r="AC227" s="34"/>
    </row>
    <row r="228" spans="1:29" s="64" customFormat="1">
      <c r="A228" s="46" t="s">
        <v>632</v>
      </c>
      <c r="B228" s="47">
        <v>100</v>
      </c>
      <c r="C228" s="47">
        <f>B228*34/100</f>
        <v>34</v>
      </c>
      <c r="D228" s="47">
        <f>B228*0.5/100</f>
        <v>0.5</v>
      </c>
      <c r="E228" s="47">
        <f>B228*0.1/100</f>
        <v>0.1</v>
      </c>
      <c r="F228" s="47"/>
      <c r="G228" s="47"/>
      <c r="H228" s="47"/>
      <c r="I228" s="47"/>
      <c r="J228" s="47"/>
      <c r="K228" s="47" t="s">
        <v>454</v>
      </c>
      <c r="L228" s="47">
        <f>B228*8.8/100</f>
        <v>8.8000000000000007</v>
      </c>
      <c r="M228" s="47">
        <f>B228*1.3/100</f>
        <v>1.3</v>
      </c>
      <c r="N228" s="47">
        <f>B228*11/100</f>
        <v>11</v>
      </c>
      <c r="O228" s="47">
        <f>B228*8/100</f>
        <v>8</v>
      </c>
      <c r="P228" s="47">
        <f>B228*0.05/100</f>
        <v>0.05</v>
      </c>
      <c r="Q228" s="47">
        <f>B228*13/100</f>
        <v>13</v>
      </c>
      <c r="R228" s="47">
        <f>B228*0.2/100</f>
        <v>0.2</v>
      </c>
      <c r="S228" s="47">
        <f>B228*6/100</f>
        <v>6</v>
      </c>
      <c r="T228" s="47">
        <f>B228*154/100</f>
        <v>154</v>
      </c>
      <c r="U228" s="47">
        <f>B228*0.04/100</f>
        <v>0.04</v>
      </c>
      <c r="V228" s="47">
        <f>B228*0.1/100</f>
        <v>0.1</v>
      </c>
      <c r="W228" s="47" t="s">
        <v>454</v>
      </c>
      <c r="X228" s="47" t="s">
        <v>455</v>
      </c>
      <c r="Y228" s="47">
        <f>B228*0.06/100</f>
        <v>0.06</v>
      </c>
      <c r="Z228" s="47" t="s">
        <v>455</v>
      </c>
      <c r="AA228" s="47" t="s">
        <v>455</v>
      </c>
      <c r="AB228" s="47">
        <f>B228*4/100</f>
        <v>4</v>
      </c>
      <c r="AC228" s="34"/>
    </row>
    <row r="229" spans="1:29" s="64" customFormat="1">
      <c r="A229" s="46" t="s">
        <v>633</v>
      </c>
      <c r="B229" s="47">
        <v>100</v>
      </c>
      <c r="C229" s="47">
        <f>B229*53/100</f>
        <v>53</v>
      </c>
      <c r="D229" s="47">
        <f>B229*0.7/100</f>
        <v>0.7</v>
      </c>
      <c r="E229" s="47">
        <f>B229*0.2/100</f>
        <v>0.2</v>
      </c>
      <c r="F229" s="47"/>
      <c r="G229" s="47"/>
      <c r="H229" s="47"/>
      <c r="I229" s="47"/>
      <c r="J229" s="47"/>
      <c r="K229" s="47" t="s">
        <v>454</v>
      </c>
      <c r="L229" s="47">
        <f>B229*13.6/100</f>
        <v>13.6</v>
      </c>
      <c r="M229" s="47">
        <f>B229*0.9/100</f>
        <v>0.9</v>
      </c>
      <c r="N229" s="47">
        <f>B229*7/100</f>
        <v>7</v>
      </c>
      <c r="O229" s="47">
        <f>B229*5/100</f>
        <v>5</v>
      </c>
      <c r="P229" s="47">
        <f>B229*0.13/100</f>
        <v>0.13</v>
      </c>
      <c r="Q229" s="47">
        <f>B229*12/100</f>
        <v>12</v>
      </c>
      <c r="R229" s="47">
        <f>B229*0.1/100</f>
        <v>0.1</v>
      </c>
      <c r="S229" s="47" t="s">
        <v>455</v>
      </c>
      <c r="T229" s="47">
        <f>B229*162/100</f>
        <v>162</v>
      </c>
      <c r="U229" s="47">
        <f>B229*0.11/100</f>
        <v>0.11</v>
      </c>
      <c r="V229" s="47" t="s">
        <v>455</v>
      </c>
      <c r="W229" s="47" t="s">
        <v>454</v>
      </c>
      <c r="X229" s="47" t="s">
        <v>455</v>
      </c>
      <c r="Y229" s="47" t="s">
        <v>455</v>
      </c>
      <c r="Z229" s="47">
        <f>B229*0.03/100</f>
        <v>0.03</v>
      </c>
      <c r="AA229" s="47"/>
      <c r="AB229" s="47" t="s">
        <v>23</v>
      </c>
      <c r="AC229" s="34"/>
    </row>
    <row r="230" spans="1:29" s="64" customFormat="1">
      <c r="A230" s="46" t="s">
        <v>634</v>
      </c>
      <c r="B230" s="47">
        <v>100</v>
      </c>
      <c r="C230" s="47">
        <f>B230*49/100</f>
        <v>49</v>
      </c>
      <c r="D230" s="47">
        <f>B230*0.6/100</f>
        <v>0.6</v>
      </c>
      <c r="E230" s="47">
        <f>B230*0.2/100</f>
        <v>0.2</v>
      </c>
      <c r="F230" s="47"/>
      <c r="G230" s="47"/>
      <c r="H230" s="47"/>
      <c r="I230" s="47"/>
      <c r="J230" s="47"/>
      <c r="K230" s="47" t="s">
        <v>454</v>
      </c>
      <c r="L230" s="47">
        <f>B230*12.7/100</f>
        <v>12.7</v>
      </c>
      <c r="M230" s="47">
        <f>B230*0.9/100</f>
        <v>0.9</v>
      </c>
      <c r="N230" s="47">
        <f>B230*8/100</f>
        <v>8</v>
      </c>
      <c r="O230" s="47">
        <f>B230*6/100</f>
        <v>6</v>
      </c>
      <c r="P230" s="47">
        <f>B230*0.07/100</f>
        <v>7.0000000000000007E-2</v>
      </c>
      <c r="Q230" s="47">
        <f>B230*23/100</f>
        <v>23</v>
      </c>
      <c r="R230" s="47">
        <f>B230*0.2/100</f>
        <v>0.2</v>
      </c>
      <c r="S230" s="47">
        <f>B230*8/100</f>
        <v>8</v>
      </c>
      <c r="T230" s="47">
        <f>B230*159/100</f>
        <v>159</v>
      </c>
      <c r="U230" s="47">
        <f>B230*0.05/100</f>
        <v>0.05</v>
      </c>
      <c r="V230" s="47" t="s">
        <v>455</v>
      </c>
      <c r="W230" s="47" t="s">
        <v>454</v>
      </c>
      <c r="X230" s="47">
        <f>B230*0.02/100</f>
        <v>0.02</v>
      </c>
      <c r="Y230" s="47">
        <f>B230*0.02/100</f>
        <v>0.02</v>
      </c>
      <c r="Z230" s="47" t="s">
        <v>455</v>
      </c>
      <c r="AA230" s="47" t="s">
        <v>455</v>
      </c>
      <c r="AB230" s="47">
        <f>B230*1.9/100</f>
        <v>1.9</v>
      </c>
      <c r="AC230" s="34"/>
    </row>
    <row r="231" spans="1:29" s="64" customFormat="1">
      <c r="A231" s="46" t="s">
        <v>635</v>
      </c>
      <c r="B231" s="47">
        <v>100</v>
      </c>
      <c r="C231" s="47">
        <f>B231*58/100</f>
        <v>58</v>
      </c>
      <c r="D231" s="47" t="s">
        <v>455</v>
      </c>
      <c r="E231" s="47" t="s">
        <v>455</v>
      </c>
      <c r="F231" s="47"/>
      <c r="G231" s="47"/>
      <c r="H231" s="47"/>
      <c r="I231" s="47"/>
      <c r="J231" s="47"/>
      <c r="K231" s="47" t="s">
        <v>454</v>
      </c>
      <c r="L231" s="47">
        <f>B231*14.7/100</f>
        <v>14.7</v>
      </c>
      <c r="M231" s="47">
        <f>B231*0.2/100</f>
        <v>0.2</v>
      </c>
      <c r="N231" s="47">
        <f>B231*9/100</f>
        <v>9</v>
      </c>
      <c r="O231" s="47">
        <f>B231*7/100</f>
        <v>7</v>
      </c>
      <c r="P231" s="47">
        <f>B231*0.2/100</f>
        <v>0.2</v>
      </c>
      <c r="Q231" s="47">
        <f>B231*10/100</f>
        <v>10</v>
      </c>
      <c r="R231" s="47">
        <f>B231*0.1/100</f>
        <v>0.1</v>
      </c>
      <c r="S231" s="47">
        <f>B231*10/100</f>
        <v>10</v>
      </c>
      <c r="T231" s="47">
        <f>B231*54/100</f>
        <v>54</v>
      </c>
      <c r="U231" s="47">
        <f>B231*0.13/100</f>
        <v>0.13</v>
      </c>
      <c r="V231" s="47">
        <f>B231*0.1/100</f>
        <v>0.1</v>
      </c>
      <c r="W231" s="47" t="s">
        <v>454</v>
      </c>
      <c r="X231" s="47">
        <f>B231*0.07/100</f>
        <v>7.0000000000000007E-2</v>
      </c>
      <c r="Y231" s="47">
        <f>B231*0.02/100</f>
        <v>0.02</v>
      </c>
      <c r="Z231" s="47">
        <f>B231*0.05/100</f>
        <v>0.05</v>
      </c>
      <c r="AA231" s="47" t="s">
        <v>455</v>
      </c>
      <c r="AB231" s="47">
        <f>B231*21/100</f>
        <v>21</v>
      </c>
      <c r="AC231" s="34"/>
    </row>
    <row r="232" spans="1:29">
      <c r="A232" s="15" t="s">
        <v>636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34"/>
    </row>
    <row r="233" spans="1:29" s="55" customFormat="1">
      <c r="A233" s="60" t="s">
        <v>637</v>
      </c>
      <c r="B233" s="59">
        <v>100</v>
      </c>
      <c r="C233" s="59">
        <f>B233*884/100</f>
        <v>884</v>
      </c>
      <c r="D233" s="59" t="s">
        <v>454</v>
      </c>
      <c r="E233" s="59">
        <f>B233*100/100</f>
        <v>100</v>
      </c>
      <c r="F233" s="59">
        <f>B233*43.1/100</f>
        <v>43.1</v>
      </c>
      <c r="G233" s="59">
        <f>B233*40.1/100</f>
        <v>40.1</v>
      </c>
      <c r="H233" s="59">
        <f>B233*16.6/100</f>
        <v>16.600000000000001</v>
      </c>
      <c r="I233" s="59">
        <f>B233*15.69/100</f>
        <v>15.69</v>
      </c>
      <c r="J233" s="59">
        <f>B233*0.83/100</f>
        <v>0.83</v>
      </c>
      <c r="K233" s="59" t="s">
        <v>454</v>
      </c>
      <c r="L233" s="59" t="s">
        <v>454</v>
      </c>
      <c r="M233" s="59" t="s">
        <v>454</v>
      </c>
      <c r="N233" s="59"/>
      <c r="O233" s="59"/>
      <c r="P233" s="59"/>
      <c r="Q233" s="59"/>
      <c r="R233" s="59"/>
      <c r="S233" s="59"/>
      <c r="T233" s="59"/>
      <c r="U233" s="59"/>
      <c r="V233" s="59"/>
      <c r="W233" s="59" t="s">
        <v>454</v>
      </c>
      <c r="X233" s="59"/>
      <c r="Y233" s="59"/>
      <c r="Z233" s="59"/>
      <c r="AA233" s="59"/>
      <c r="AB233" s="59"/>
      <c r="AC233" s="34"/>
    </row>
    <row r="234" spans="1:29" s="55" customFormat="1">
      <c r="A234" s="60" t="s">
        <v>638</v>
      </c>
      <c r="B234" s="59">
        <v>100</v>
      </c>
      <c r="C234" s="59">
        <f>B234*884/100</f>
        <v>884</v>
      </c>
      <c r="D234" s="59" t="s">
        <v>454</v>
      </c>
      <c r="E234" s="59">
        <f>B234*100/100</f>
        <v>100</v>
      </c>
      <c r="F234" s="59">
        <f>B234*14.9/100</f>
        <v>14.9</v>
      </c>
      <c r="G234" s="59">
        <f>B234*75.5/100</f>
        <v>75.5</v>
      </c>
      <c r="H234" s="59">
        <f>B234*9.5/100</f>
        <v>9.5</v>
      </c>
      <c r="I234" s="59">
        <f>B234*8.74/100</f>
        <v>8.74</v>
      </c>
      <c r="J234" s="59">
        <f>B234*0.75/100</f>
        <v>0.75</v>
      </c>
      <c r="K234" s="59" t="s">
        <v>454</v>
      </c>
      <c r="L234" s="59" t="s">
        <v>454</v>
      </c>
      <c r="M234" s="59" t="s">
        <v>454</v>
      </c>
      <c r="N234" s="59"/>
      <c r="O234" s="59"/>
      <c r="P234" s="59"/>
      <c r="Q234" s="59"/>
      <c r="R234" s="59"/>
      <c r="S234" s="59"/>
      <c r="T234" s="59"/>
      <c r="U234" s="59"/>
      <c r="V234" s="59"/>
      <c r="W234" s="59" t="s">
        <v>454</v>
      </c>
      <c r="X234" s="59"/>
      <c r="Y234" s="59"/>
      <c r="Z234" s="59"/>
      <c r="AA234" s="59"/>
      <c r="AB234" s="59"/>
      <c r="AC234" s="34"/>
    </row>
    <row r="235" spans="1:29" s="55" customFormat="1">
      <c r="A235" s="60" t="s">
        <v>639</v>
      </c>
      <c r="B235" s="59">
        <v>100</v>
      </c>
      <c r="C235" s="59">
        <f>B235*726/100</f>
        <v>726</v>
      </c>
      <c r="D235" s="59">
        <f>B235*0.4/100</f>
        <v>0.4</v>
      </c>
      <c r="E235" s="59">
        <f>B235*82.4/100</f>
        <v>82.4</v>
      </c>
      <c r="F235" s="59">
        <f>B235*49.2/100</f>
        <v>49.2</v>
      </c>
      <c r="G235" s="59">
        <f>B235*20.4/100</f>
        <v>20.399999999999999</v>
      </c>
      <c r="H235" s="59">
        <f>B235*1.2/100</f>
        <v>1.2</v>
      </c>
      <c r="I235" s="59">
        <f>B235*0.89/100</f>
        <v>0.89</v>
      </c>
      <c r="J235" s="59">
        <f>B235*0.27/100</f>
        <v>0.27</v>
      </c>
      <c r="K235" s="59">
        <f>B235*201/100</f>
        <v>201</v>
      </c>
      <c r="L235" s="59">
        <f>B235*0.1/100</f>
        <v>0.1</v>
      </c>
      <c r="M235" s="59" t="s">
        <v>454</v>
      </c>
      <c r="N235" s="59">
        <f>B235*9/100</f>
        <v>9</v>
      </c>
      <c r="O235" s="59">
        <f t="shared" ref="O235:O240" si="1">B235*1/100</f>
        <v>1</v>
      </c>
      <c r="P235" s="59" t="s">
        <v>455</v>
      </c>
      <c r="Q235" s="59">
        <f>B235*28/100</f>
        <v>28</v>
      </c>
      <c r="R235" s="59">
        <f>B235*0.2/100</f>
        <v>0.2</v>
      </c>
      <c r="S235" s="59">
        <f>B235*579/100</f>
        <v>579</v>
      </c>
      <c r="T235" s="59">
        <f>B235*15/100</f>
        <v>15</v>
      </c>
      <c r="U235" s="59" t="s">
        <v>455</v>
      </c>
      <c r="V235" s="59" t="s">
        <v>455</v>
      </c>
      <c r="W235" s="59">
        <f>B235*924/100</f>
        <v>924</v>
      </c>
      <c r="X235" s="59" t="s">
        <v>455</v>
      </c>
      <c r="Y235" s="59" t="s">
        <v>455</v>
      </c>
      <c r="Z235" s="59" t="s">
        <v>455</v>
      </c>
      <c r="AA235" s="59" t="s">
        <v>455</v>
      </c>
      <c r="AB235" s="59" t="s">
        <v>455</v>
      </c>
      <c r="AC235" s="34"/>
    </row>
    <row r="236" spans="1:29" s="55" customFormat="1">
      <c r="A236" s="60" t="s">
        <v>640</v>
      </c>
      <c r="B236" s="59">
        <v>100</v>
      </c>
      <c r="C236" s="59">
        <f>B236*758/100</f>
        <v>758</v>
      </c>
      <c r="D236" s="59">
        <f>B236*0.4/100</f>
        <v>0.4</v>
      </c>
      <c r="E236" s="59">
        <f>B236*86/100</f>
        <v>86</v>
      </c>
      <c r="F236" s="59">
        <f>B236*51.5/100</f>
        <v>51.5</v>
      </c>
      <c r="G236" s="59">
        <f>B236*21.9/100</f>
        <v>21.9</v>
      </c>
      <c r="H236" s="59">
        <f>B236*1.5/100</f>
        <v>1.5</v>
      </c>
      <c r="I236" s="59">
        <f>B236*1.22/100</f>
        <v>1.22</v>
      </c>
      <c r="J236" s="59">
        <f>B236*0.27/100</f>
        <v>0.27</v>
      </c>
      <c r="K236" s="59">
        <f>B236*214/100</f>
        <v>214</v>
      </c>
      <c r="L236" s="59" t="s">
        <v>455</v>
      </c>
      <c r="M236" s="59" t="s">
        <v>454</v>
      </c>
      <c r="N236" s="59">
        <f>B236*4/100</f>
        <v>4</v>
      </c>
      <c r="O236" s="59">
        <f t="shared" si="1"/>
        <v>1</v>
      </c>
      <c r="P236" s="59" t="s">
        <v>455</v>
      </c>
      <c r="Q236" s="59">
        <f>B236*7/100</f>
        <v>7</v>
      </c>
      <c r="R236" s="59" t="s">
        <v>455</v>
      </c>
      <c r="S236" s="59">
        <f>B236*4/100</f>
        <v>4</v>
      </c>
      <c r="T236" s="59">
        <f>B236*5/100</f>
        <v>5</v>
      </c>
      <c r="U236" s="59">
        <f>B236*0.04/100</f>
        <v>0.04</v>
      </c>
      <c r="V236" s="59" t="s">
        <v>455</v>
      </c>
      <c r="W236" s="59">
        <f>B236*1013/100</f>
        <v>1013</v>
      </c>
      <c r="X236" s="59" t="s">
        <v>455</v>
      </c>
      <c r="Y236" s="59" t="s">
        <v>455</v>
      </c>
      <c r="Z236" s="59" t="s">
        <v>455</v>
      </c>
      <c r="AA236" s="59" t="s">
        <v>455</v>
      </c>
      <c r="AB236" s="59" t="s">
        <v>455</v>
      </c>
      <c r="AC236" s="34"/>
    </row>
    <row r="237" spans="1:29" s="55" customFormat="1">
      <c r="A237" s="60" t="s">
        <v>642</v>
      </c>
      <c r="B237" s="59">
        <v>100</v>
      </c>
      <c r="C237" s="59">
        <f>B237*596/100</f>
        <v>596</v>
      </c>
      <c r="D237" s="59" t="s">
        <v>455</v>
      </c>
      <c r="E237" s="59">
        <f>B237*67.4/100</f>
        <v>67.400000000000006</v>
      </c>
      <c r="F237" s="59">
        <f>B237*14.9/100</f>
        <v>14.9</v>
      </c>
      <c r="G237" s="59">
        <f>B237*18.2/100</f>
        <v>18.2</v>
      </c>
      <c r="H237" s="59">
        <f>B237*21.4/100</f>
        <v>21.4</v>
      </c>
      <c r="I237" s="59">
        <f>B237*19.48/100</f>
        <v>19.48</v>
      </c>
      <c r="J237" s="59">
        <f>B237*1.74/100</f>
        <v>1.74</v>
      </c>
      <c r="K237" s="59" t="s">
        <v>454</v>
      </c>
      <c r="L237" s="59" t="s">
        <v>455</v>
      </c>
      <c r="M237" s="59" t="s">
        <v>454</v>
      </c>
      <c r="N237" s="59">
        <f>B237*6/100</f>
        <v>6</v>
      </c>
      <c r="O237" s="59">
        <f t="shared" si="1"/>
        <v>1</v>
      </c>
      <c r="P237" s="59" t="s">
        <v>455</v>
      </c>
      <c r="Q237" s="59">
        <f>B237*7/100</f>
        <v>7</v>
      </c>
      <c r="R237" s="59">
        <f>B237*0.1/100</f>
        <v>0.1</v>
      </c>
      <c r="S237" s="59">
        <f>B237*894/100</f>
        <v>894</v>
      </c>
      <c r="T237" s="59">
        <f>B237*21/100</f>
        <v>21</v>
      </c>
      <c r="U237" s="59" t="s">
        <v>455</v>
      </c>
      <c r="V237" s="59" t="s">
        <v>455</v>
      </c>
      <c r="W237" s="59">
        <f>B237*462/100</f>
        <v>462</v>
      </c>
      <c r="X237" s="59" t="s">
        <v>455</v>
      </c>
      <c r="Y237" s="59" t="s">
        <v>455</v>
      </c>
      <c r="Z237" s="59" t="s">
        <v>455</v>
      </c>
      <c r="AA237" s="59" t="s">
        <v>455</v>
      </c>
      <c r="AB237" s="59" t="s">
        <v>455</v>
      </c>
      <c r="AC237" s="34"/>
    </row>
    <row r="238" spans="1:29" s="64" customFormat="1">
      <c r="A238" s="46" t="s">
        <v>643</v>
      </c>
      <c r="B238" s="47">
        <v>100</v>
      </c>
      <c r="C238" s="47">
        <f>B238*723/100</f>
        <v>723</v>
      </c>
      <c r="D238" s="47" t="s">
        <v>455</v>
      </c>
      <c r="E238" s="47">
        <f>B238*81.7/100</f>
        <v>81.7</v>
      </c>
      <c r="F238" s="47"/>
      <c r="G238" s="47"/>
      <c r="H238" s="47"/>
      <c r="I238" s="47"/>
      <c r="J238" s="47"/>
      <c r="K238" s="47" t="s">
        <v>454</v>
      </c>
      <c r="L238" s="47" t="s">
        <v>455</v>
      </c>
      <c r="M238" s="47" t="s">
        <v>454</v>
      </c>
      <c r="N238" s="47">
        <f>B238*3/100</f>
        <v>3</v>
      </c>
      <c r="O238" s="47">
        <f t="shared" si="1"/>
        <v>1</v>
      </c>
      <c r="P238" s="47" t="s">
        <v>455</v>
      </c>
      <c r="Q238" s="47">
        <f>B238*4/100</f>
        <v>4</v>
      </c>
      <c r="R238" s="47">
        <f>B238*0.1/100</f>
        <v>0.1</v>
      </c>
      <c r="S238" s="47">
        <f>B238*78/100</f>
        <v>78</v>
      </c>
      <c r="T238" s="47">
        <f>B238*2/100</f>
        <v>2</v>
      </c>
      <c r="U238" s="47" t="s">
        <v>455</v>
      </c>
      <c r="V238" s="47" t="s">
        <v>455</v>
      </c>
      <c r="W238" s="47">
        <f>B238*534/100</f>
        <v>534</v>
      </c>
      <c r="X238" s="47" t="s">
        <v>455</v>
      </c>
      <c r="Y238" s="47" t="s">
        <v>455</v>
      </c>
      <c r="Z238" s="47" t="s">
        <v>455</v>
      </c>
      <c r="AA238" s="47" t="s">
        <v>455</v>
      </c>
      <c r="AB238" s="47" t="s">
        <v>455</v>
      </c>
      <c r="AC238" s="34"/>
    </row>
    <row r="239" spans="1:29" s="55" customFormat="1">
      <c r="A239" s="60" t="s">
        <v>641</v>
      </c>
      <c r="B239" s="59">
        <v>100</v>
      </c>
      <c r="C239" s="59">
        <f>B239*594/100</f>
        <v>594</v>
      </c>
      <c r="D239" s="59" t="s">
        <v>455</v>
      </c>
      <c r="E239" s="59">
        <f>B239*67.2/100</f>
        <v>67.2</v>
      </c>
      <c r="F239" s="80">
        <f>B239*21.9/100</f>
        <v>21.9</v>
      </c>
      <c r="G239" s="80">
        <f>B239*15/100</f>
        <v>15</v>
      </c>
      <c r="H239" s="80">
        <f>B239*27.6/100</f>
        <v>27.6</v>
      </c>
      <c r="I239" s="80">
        <f>B239*24.85/100</f>
        <v>24.85</v>
      </c>
      <c r="J239" s="80">
        <f>B239*2.64/100</f>
        <v>2.64</v>
      </c>
      <c r="K239" s="59" t="s">
        <v>454</v>
      </c>
      <c r="L239" s="59" t="s">
        <v>455</v>
      </c>
      <c r="M239" s="59" t="s">
        <v>454</v>
      </c>
      <c r="N239" s="59">
        <f>B239*5/100</f>
        <v>5</v>
      </c>
      <c r="O239" s="59">
        <f t="shared" si="1"/>
        <v>1</v>
      </c>
      <c r="P239" s="59" t="s">
        <v>455</v>
      </c>
      <c r="Q239" s="59">
        <f>B239*6/100</f>
        <v>6</v>
      </c>
      <c r="R239" s="59" t="s">
        <v>455</v>
      </c>
      <c r="S239" s="59">
        <f>B239*561/100</f>
        <v>561</v>
      </c>
      <c r="T239" s="59">
        <f>B239*15/100</f>
        <v>15</v>
      </c>
      <c r="U239" s="59" t="s">
        <v>455</v>
      </c>
      <c r="V239" s="59" t="s">
        <v>455</v>
      </c>
      <c r="W239" s="59">
        <f>B239*385/100</f>
        <v>385</v>
      </c>
      <c r="X239" s="59" t="s">
        <v>455</v>
      </c>
      <c r="Y239" s="59" t="s">
        <v>455</v>
      </c>
      <c r="Z239" s="59" t="s">
        <v>455</v>
      </c>
      <c r="AA239" s="59" t="s">
        <v>455</v>
      </c>
      <c r="AB239" s="59" t="s">
        <v>455</v>
      </c>
      <c r="AC239" s="34"/>
    </row>
    <row r="240" spans="1:29" s="55" customFormat="1">
      <c r="A240" s="60" t="s">
        <v>644</v>
      </c>
      <c r="B240" s="59">
        <v>100</v>
      </c>
      <c r="C240" s="59">
        <f>B240*593/100</f>
        <v>593</v>
      </c>
      <c r="D240" s="59" t="s">
        <v>455</v>
      </c>
      <c r="E240" s="59">
        <f>B240*67.1/100</f>
        <v>67.099999999999994</v>
      </c>
      <c r="F240" s="59">
        <f>B240*20.9/100</f>
        <v>20.9</v>
      </c>
      <c r="G240" s="59">
        <f>B240*14.4/100</f>
        <v>14.4</v>
      </c>
      <c r="H240" s="59">
        <f>B240*26.5/100</f>
        <v>26.5</v>
      </c>
      <c r="I240" s="59">
        <f>B240*23.79/100</f>
        <v>23.79</v>
      </c>
      <c r="J240" s="59">
        <f>B240*2.58/100</f>
        <v>2.58</v>
      </c>
      <c r="K240" s="59" t="s">
        <v>454</v>
      </c>
      <c r="L240" s="59" t="s">
        <v>455</v>
      </c>
      <c r="M240" s="59" t="s">
        <v>454</v>
      </c>
      <c r="N240" s="59">
        <f>B240*5/100</f>
        <v>5</v>
      </c>
      <c r="O240" s="59">
        <f t="shared" si="1"/>
        <v>1</v>
      </c>
      <c r="P240" s="59" t="s">
        <v>455</v>
      </c>
      <c r="Q240" s="59">
        <f>B240*7/100</f>
        <v>7</v>
      </c>
      <c r="R240" s="59">
        <f>B240*0.1/100</f>
        <v>0.1</v>
      </c>
      <c r="S240" s="59">
        <f>B240*33/100</f>
        <v>33</v>
      </c>
      <c r="T240" s="59">
        <f>B240*5/100</f>
        <v>5</v>
      </c>
      <c r="U240" s="59" t="s">
        <v>455</v>
      </c>
      <c r="V240" s="59" t="s">
        <v>455</v>
      </c>
      <c r="W240" s="59">
        <f>B240*245/100</f>
        <v>245</v>
      </c>
      <c r="X240" s="59" t="s">
        <v>455</v>
      </c>
      <c r="Y240" s="59" t="s">
        <v>455</v>
      </c>
      <c r="Z240" s="59" t="s">
        <v>455</v>
      </c>
      <c r="AA240" s="59" t="s">
        <v>455</v>
      </c>
      <c r="AB240" s="59" t="s">
        <v>455</v>
      </c>
      <c r="AC240" s="34"/>
    </row>
    <row r="241" spans="1:29" s="55" customFormat="1">
      <c r="A241" s="60" t="s">
        <v>645</v>
      </c>
      <c r="B241" s="59">
        <v>100</v>
      </c>
      <c r="C241" s="59">
        <f t="shared" ref="C241:C246" si="2">B241*884/100</f>
        <v>884</v>
      </c>
      <c r="D241" s="59" t="s">
        <v>454</v>
      </c>
      <c r="E241" s="59">
        <f t="shared" ref="E241:E246" si="3">B241*100/100</f>
        <v>100</v>
      </c>
      <c r="F241" s="59">
        <f>B241*50.9/100</f>
        <v>50.9</v>
      </c>
      <c r="G241" s="59">
        <f>B241*18.6/100</f>
        <v>18.600000000000001</v>
      </c>
      <c r="H241" s="59">
        <f>B241*30.2/100</f>
        <v>30.2</v>
      </c>
      <c r="I241" s="59">
        <f>B241*27.17/100</f>
        <v>27.17</v>
      </c>
      <c r="J241" s="59">
        <f>B241*2.86/100</f>
        <v>2.86</v>
      </c>
      <c r="K241" s="59" t="s">
        <v>454</v>
      </c>
      <c r="L241" s="59" t="s">
        <v>454</v>
      </c>
      <c r="M241" s="59" t="s">
        <v>454</v>
      </c>
      <c r="N241" s="59"/>
      <c r="O241" s="59"/>
      <c r="P241" s="59"/>
      <c r="Q241" s="59"/>
      <c r="R241" s="59"/>
      <c r="S241" s="59"/>
      <c r="T241" s="59"/>
      <c r="U241" s="59"/>
      <c r="V241" s="59"/>
      <c r="W241" s="59" t="s">
        <v>454</v>
      </c>
      <c r="X241" s="59"/>
      <c r="Y241" s="59"/>
      <c r="Z241" s="59"/>
      <c r="AA241" s="59"/>
      <c r="AB241" s="59"/>
      <c r="AC241" s="34"/>
    </row>
    <row r="242" spans="1:29" s="55" customFormat="1">
      <c r="A242" s="60" t="s">
        <v>646</v>
      </c>
      <c r="B242" s="59">
        <v>100</v>
      </c>
      <c r="C242" s="59">
        <f t="shared" si="2"/>
        <v>884</v>
      </c>
      <c r="D242" s="59" t="s">
        <v>454</v>
      </c>
      <c r="E242" s="59">
        <f t="shared" si="3"/>
        <v>100</v>
      </c>
      <c r="F242" s="59">
        <f>B242*7.9/100</f>
        <v>7.9</v>
      </c>
      <c r="G242" s="59">
        <f>B242*62.6/100</f>
        <v>62.6</v>
      </c>
      <c r="H242" s="59">
        <f>B242*28.4/100</f>
        <v>28.4</v>
      </c>
      <c r="I242" s="59">
        <f>B242*20.87/100</f>
        <v>20.87</v>
      </c>
      <c r="J242" s="59">
        <f>B242*6.78/100</f>
        <v>6.78</v>
      </c>
      <c r="K242" s="59" t="s">
        <v>454</v>
      </c>
      <c r="L242" s="59" t="s">
        <v>454</v>
      </c>
      <c r="M242" s="59" t="s">
        <v>454</v>
      </c>
      <c r="N242" s="59"/>
      <c r="O242" s="59"/>
      <c r="P242" s="59"/>
      <c r="Q242" s="59"/>
      <c r="R242" s="59"/>
      <c r="S242" s="59"/>
      <c r="T242" s="59"/>
      <c r="U242" s="59"/>
      <c r="V242" s="59"/>
      <c r="W242" s="59" t="s">
        <v>454</v>
      </c>
      <c r="X242" s="59"/>
      <c r="Y242" s="59"/>
      <c r="Z242" s="59"/>
      <c r="AA242" s="59"/>
      <c r="AB242" s="59"/>
      <c r="AC242" s="34"/>
    </row>
    <row r="243" spans="1:29" s="55" customFormat="1">
      <c r="A243" s="60" t="s">
        <v>647</v>
      </c>
      <c r="B243" s="59">
        <v>100</v>
      </c>
      <c r="C243" s="59">
        <f t="shared" si="2"/>
        <v>884</v>
      </c>
      <c r="D243" s="59" t="s">
        <v>454</v>
      </c>
      <c r="E243" s="59">
        <f t="shared" si="3"/>
        <v>100</v>
      </c>
      <c r="F243" s="59">
        <f>B243*10.8/100</f>
        <v>10.8</v>
      </c>
      <c r="G243" s="59">
        <f>B243*25.4/100</f>
        <v>25.4</v>
      </c>
      <c r="H243" s="59">
        <f>B243*62.6/100</f>
        <v>62.6</v>
      </c>
      <c r="I243" s="59">
        <f>B243*62.22/100</f>
        <v>62.22</v>
      </c>
      <c r="J243" s="59">
        <f>B243*0.39/100</f>
        <v>0.39</v>
      </c>
      <c r="K243" s="59" t="s">
        <v>454</v>
      </c>
      <c r="L243" s="59" t="s">
        <v>454</v>
      </c>
      <c r="M243" s="59" t="s">
        <v>454</v>
      </c>
      <c r="N243" s="59"/>
      <c r="O243" s="59"/>
      <c r="P243" s="59"/>
      <c r="Q243" s="59"/>
      <c r="R243" s="59"/>
      <c r="S243" s="59"/>
      <c r="T243" s="59"/>
      <c r="U243" s="59"/>
      <c r="V243" s="59"/>
      <c r="W243" s="59" t="s">
        <v>454</v>
      </c>
      <c r="X243" s="59"/>
      <c r="Y243" s="59"/>
      <c r="Z243" s="59"/>
      <c r="AA243" s="59"/>
      <c r="AB243" s="59"/>
      <c r="AC243" s="34"/>
    </row>
    <row r="244" spans="1:29" s="55" customFormat="1">
      <c r="A244" s="60" t="s">
        <v>648</v>
      </c>
      <c r="B244" s="59">
        <v>100</v>
      </c>
      <c r="C244" s="59">
        <f t="shared" si="2"/>
        <v>884</v>
      </c>
      <c r="D244" s="59" t="s">
        <v>454</v>
      </c>
      <c r="E244" s="59">
        <f t="shared" si="3"/>
        <v>100</v>
      </c>
      <c r="F244" s="59">
        <f>B244*15.2/100</f>
        <v>15.2</v>
      </c>
      <c r="G244" s="59">
        <f>B244*33.4/100</f>
        <v>33.4</v>
      </c>
      <c r="H244" s="59">
        <f>B244*50.9/100</f>
        <v>50.9</v>
      </c>
      <c r="I244" s="59">
        <f>B244*49.94/100</f>
        <v>49.94</v>
      </c>
      <c r="J244" s="59">
        <f>B244*0.96/100</f>
        <v>0.96</v>
      </c>
      <c r="K244" s="59" t="s">
        <v>454</v>
      </c>
      <c r="L244" s="59" t="s">
        <v>454</v>
      </c>
      <c r="M244" s="59" t="s">
        <v>454</v>
      </c>
      <c r="N244" s="59"/>
      <c r="O244" s="59"/>
      <c r="P244" s="59"/>
      <c r="Q244" s="59"/>
      <c r="R244" s="59"/>
      <c r="S244" s="59"/>
      <c r="T244" s="59"/>
      <c r="U244" s="59"/>
      <c r="V244" s="59"/>
      <c r="W244" s="59" t="s">
        <v>454</v>
      </c>
      <c r="X244" s="59"/>
      <c r="Y244" s="59"/>
      <c r="Z244" s="59"/>
      <c r="AA244" s="59"/>
      <c r="AB244" s="59"/>
      <c r="AC244" s="34"/>
    </row>
    <row r="245" spans="1:29" s="55" customFormat="1">
      <c r="A245" s="60" t="s">
        <v>649</v>
      </c>
      <c r="B245" s="59">
        <v>100</v>
      </c>
      <c r="C245" s="59">
        <f t="shared" si="2"/>
        <v>884</v>
      </c>
      <c r="D245" s="59" t="s">
        <v>454</v>
      </c>
      <c r="E245" s="59">
        <f t="shared" si="3"/>
        <v>100</v>
      </c>
      <c r="F245" s="59">
        <f>B245*39.9/100</f>
        <v>39.9</v>
      </c>
      <c r="G245" s="59">
        <f>B245*55.8/100</f>
        <v>55.8</v>
      </c>
      <c r="H245" s="59">
        <f>B245*4.2/100</f>
        <v>4.2</v>
      </c>
      <c r="I245" s="59">
        <f>B245*3.74/100</f>
        <v>3.74</v>
      </c>
      <c r="J245" s="59">
        <f>B245*0.51/100</f>
        <v>0.51</v>
      </c>
      <c r="K245" s="59" t="s">
        <v>454</v>
      </c>
      <c r="L245" s="59" t="s">
        <v>454</v>
      </c>
      <c r="M245" s="59" t="s">
        <v>454</v>
      </c>
      <c r="N245" s="59"/>
      <c r="O245" s="59"/>
      <c r="P245" s="59"/>
      <c r="Q245" s="59"/>
      <c r="R245" s="59"/>
      <c r="S245" s="59"/>
      <c r="T245" s="59"/>
      <c r="U245" s="59"/>
      <c r="V245" s="59"/>
      <c r="W245" s="59" t="s">
        <v>454</v>
      </c>
      <c r="X245" s="59"/>
      <c r="Y245" s="59"/>
      <c r="Z245" s="59"/>
      <c r="AA245" s="59"/>
      <c r="AB245" s="59"/>
      <c r="AC245" s="34"/>
    </row>
    <row r="246" spans="1:29" s="55" customFormat="1">
      <c r="A246" s="60" t="s">
        <v>650</v>
      </c>
      <c r="B246" s="59">
        <v>100</v>
      </c>
      <c r="C246" s="59">
        <f t="shared" si="2"/>
        <v>884</v>
      </c>
      <c r="D246" s="59" t="s">
        <v>454</v>
      </c>
      <c r="E246" s="59">
        <f t="shared" si="3"/>
        <v>100</v>
      </c>
      <c r="F246" s="59">
        <f>B246*15.2/100</f>
        <v>15.2</v>
      </c>
      <c r="G246" s="59">
        <f>B246*23.3/100</f>
        <v>23.3</v>
      </c>
      <c r="H246" s="59">
        <f>B246*60/100</f>
        <v>60</v>
      </c>
      <c r="I246" s="59">
        <f>B246*53.85/100</f>
        <v>53.85</v>
      </c>
      <c r="J246" s="59">
        <f>B246*5.72/100</f>
        <v>5.72</v>
      </c>
      <c r="K246" s="59" t="s">
        <v>454</v>
      </c>
      <c r="L246" s="59" t="s">
        <v>454</v>
      </c>
      <c r="M246" s="59" t="s">
        <v>454</v>
      </c>
      <c r="N246" s="59"/>
      <c r="O246" s="59"/>
      <c r="P246" s="59"/>
      <c r="Q246" s="59"/>
      <c r="R246" s="59"/>
      <c r="S246" s="59"/>
      <c r="T246" s="59"/>
      <c r="U246" s="59"/>
      <c r="V246" s="59"/>
      <c r="W246" s="59" t="s">
        <v>454</v>
      </c>
      <c r="X246" s="59"/>
      <c r="Y246" s="59"/>
      <c r="Z246" s="59"/>
      <c r="AA246" s="59"/>
      <c r="AB246" s="59"/>
      <c r="AC246" s="34"/>
    </row>
    <row r="247" spans="1:29">
      <c r="A247" s="17" t="s">
        <v>36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34"/>
    </row>
    <row r="248" spans="1:29" s="55" customFormat="1">
      <c r="A248" s="60" t="s">
        <v>651</v>
      </c>
      <c r="B248" s="59">
        <v>100</v>
      </c>
      <c r="C248" s="59">
        <f>B248*59/100</f>
        <v>59</v>
      </c>
      <c r="D248" s="59">
        <f>B248*13.1/100</f>
        <v>13.1</v>
      </c>
      <c r="E248" s="59">
        <f>B248*0.4/100</f>
        <v>0.4</v>
      </c>
      <c r="F248" s="59">
        <f>B248*0.1/100</f>
        <v>0.1</v>
      </c>
      <c r="G248" s="59" t="s">
        <v>27</v>
      </c>
      <c r="H248" s="59">
        <f>B248*0.1/100</f>
        <v>0.1</v>
      </c>
      <c r="I248" s="59" t="s">
        <v>27</v>
      </c>
      <c r="J248" s="59"/>
      <c r="K248" s="59">
        <f>B248*31/100</f>
        <v>31</v>
      </c>
      <c r="L248" s="59">
        <v>0</v>
      </c>
      <c r="M248" s="59" t="s">
        <v>454</v>
      </c>
      <c r="N248" s="59">
        <f>B248*10/100</f>
        <v>10</v>
      </c>
      <c r="O248" s="59">
        <f>B248*14/100</f>
        <v>14</v>
      </c>
      <c r="P248" s="59">
        <f>B248*0.01/100</f>
        <v>0.01</v>
      </c>
      <c r="Q248" s="59">
        <f>B248*91/100</f>
        <v>91</v>
      </c>
      <c r="R248" s="59">
        <f>B248*0.1/100</f>
        <v>0.1</v>
      </c>
      <c r="S248" s="59">
        <f>B248*79/100</f>
        <v>79</v>
      </c>
      <c r="T248" s="59">
        <f>B248*148/100</f>
        <v>148</v>
      </c>
      <c r="U248" s="59">
        <f>B248*0.14/100</f>
        <v>0.14000000000000001</v>
      </c>
      <c r="V248" s="59">
        <f>B248*0.4/100</f>
        <v>0.4</v>
      </c>
      <c r="W248" s="59" t="s">
        <v>455</v>
      </c>
      <c r="X248" s="59">
        <f>B248*0.04/100</f>
        <v>0.04</v>
      </c>
      <c r="Y248" s="59" t="s">
        <v>455</v>
      </c>
      <c r="Z248" s="59" t="s">
        <v>455</v>
      </c>
      <c r="AA248" s="59">
        <f>B248*4.6/100</f>
        <v>4.5999999999999996</v>
      </c>
      <c r="AB248" s="59"/>
      <c r="AC248" s="34"/>
    </row>
    <row r="249" spans="1:29" s="55" customFormat="1">
      <c r="A249" s="60" t="s">
        <v>652</v>
      </c>
      <c r="B249" s="59">
        <v>100</v>
      </c>
      <c r="C249" s="59">
        <f>B249*166/100</f>
        <v>166</v>
      </c>
      <c r="D249" s="59">
        <f>B249*26.2/100</f>
        <v>26.2</v>
      </c>
      <c r="E249" s="59">
        <f>B249*6/100</f>
        <v>6</v>
      </c>
      <c r="F249" s="59">
        <f>B249*1/100</f>
        <v>1</v>
      </c>
      <c r="G249" s="59">
        <f>B249*1.3/100</f>
        <v>1.3</v>
      </c>
      <c r="H249" s="59">
        <f>B249*3.2/100</f>
        <v>3.2</v>
      </c>
      <c r="I249" s="59">
        <f>B249*2.68/100</f>
        <v>2.68</v>
      </c>
      <c r="J249" s="59">
        <f>B249*0.29/100</f>
        <v>0.28999999999999998</v>
      </c>
      <c r="K249" s="59">
        <f>B249*53/100</f>
        <v>53</v>
      </c>
      <c r="L249" s="59">
        <v>0</v>
      </c>
      <c r="M249" s="59" t="s">
        <v>454</v>
      </c>
      <c r="N249" s="59">
        <f>B249*7/100</f>
        <v>7</v>
      </c>
      <c r="O249" s="59">
        <f>B249*29/100</f>
        <v>29</v>
      </c>
      <c r="P249" s="59" t="s">
        <v>455</v>
      </c>
      <c r="Q249" s="59">
        <f>B249*211/100</f>
        <v>211</v>
      </c>
      <c r="R249" s="59">
        <f>B249*1.2/100</f>
        <v>1.2</v>
      </c>
      <c r="S249" s="59">
        <f>B249*362/100</f>
        <v>362</v>
      </c>
      <c r="T249" s="59">
        <f>B249*280/100</f>
        <v>280</v>
      </c>
      <c r="U249" s="59">
        <f>B249*0.04/100</f>
        <v>0.04</v>
      </c>
      <c r="V249" s="59">
        <f>B249*0.6/100</f>
        <v>0.6</v>
      </c>
      <c r="W249" s="59">
        <f>B249*5/100</f>
        <v>5</v>
      </c>
      <c r="X249" s="59">
        <f>B249*0.15/100</f>
        <v>0.15</v>
      </c>
      <c r="Y249" s="59">
        <f>B249*0.03/100</f>
        <v>0.03</v>
      </c>
      <c r="Z249" s="59" t="s">
        <v>455</v>
      </c>
      <c r="AA249" s="59"/>
      <c r="AB249" s="59"/>
      <c r="AC249" s="34"/>
    </row>
    <row r="250" spans="1:29" s="55" customFormat="1">
      <c r="A250" s="60" t="s">
        <v>653</v>
      </c>
      <c r="B250" s="59">
        <v>100</v>
      </c>
      <c r="C250" s="59">
        <f>B250*118/100</f>
        <v>118</v>
      </c>
      <c r="D250" s="59">
        <f>B250*25.7/100</f>
        <v>25.7</v>
      </c>
      <c r="E250" s="59">
        <f>B250*0.9/100</f>
        <v>0.9</v>
      </c>
      <c r="F250" s="59">
        <f>B250*0.5/100</f>
        <v>0.5</v>
      </c>
      <c r="G250" s="59">
        <f>B250*0.2/100</f>
        <v>0.2</v>
      </c>
      <c r="H250" s="59" t="s">
        <v>455</v>
      </c>
      <c r="I250" s="59">
        <f>B250*0.01/100</f>
        <v>0.01</v>
      </c>
      <c r="J250" s="59">
        <f>B250*0.01/100</f>
        <v>0.01</v>
      </c>
      <c r="K250" s="59">
        <f>B250*48/100</f>
        <v>48</v>
      </c>
      <c r="L250" s="59">
        <v>0</v>
      </c>
      <c r="M250" s="59" t="s">
        <v>454</v>
      </c>
      <c r="N250" s="59">
        <f>B250*7/100</f>
        <v>7</v>
      </c>
      <c r="O250" s="59">
        <f>B250*32/100</f>
        <v>32</v>
      </c>
      <c r="P250" s="59" t="s">
        <v>455</v>
      </c>
      <c r="Q250" s="59">
        <f>B250*254/100</f>
        <v>254</v>
      </c>
      <c r="R250" s="59">
        <f>B250*1.3/100</f>
        <v>1.3</v>
      </c>
      <c r="S250" s="59">
        <f>B250*30/100</f>
        <v>30</v>
      </c>
      <c r="T250" s="59">
        <f>B250*308/100</f>
        <v>308</v>
      </c>
      <c r="U250" s="59">
        <f>B250*0.09/100</f>
        <v>0.09</v>
      </c>
      <c r="V250" s="59">
        <f>B250*0.4/100</f>
        <v>0.4</v>
      </c>
      <c r="W250" s="59">
        <f>B250*20/100</f>
        <v>20</v>
      </c>
      <c r="X250" s="59" t="s">
        <v>455</v>
      </c>
      <c r="Y250" s="59">
        <f>B250*0.04/100</f>
        <v>0.04</v>
      </c>
      <c r="Z250" s="59" t="s">
        <v>455</v>
      </c>
      <c r="AA250" s="59" t="s">
        <v>23</v>
      </c>
      <c r="AB250" s="59"/>
      <c r="AC250" s="34"/>
    </row>
    <row r="251" spans="1:29" s="55" customFormat="1">
      <c r="A251" s="60" t="s">
        <v>654</v>
      </c>
      <c r="B251" s="59">
        <v>100</v>
      </c>
      <c r="C251" s="59">
        <f>B251*136/100</f>
        <v>136</v>
      </c>
      <c r="D251" s="59">
        <f>B251*29/100</f>
        <v>29</v>
      </c>
      <c r="E251" s="59">
        <f>B251*1.3/100</f>
        <v>1.3</v>
      </c>
      <c r="F251" s="59">
        <f>B251*0.6/100</f>
        <v>0.6</v>
      </c>
      <c r="G251" s="59">
        <f>B251*0.3/100</f>
        <v>0.3</v>
      </c>
      <c r="H251" s="59">
        <f>B251*0.2/100</f>
        <v>0.2</v>
      </c>
      <c r="I251" s="59">
        <f>B251*0.02/100</f>
        <v>0.02</v>
      </c>
      <c r="J251" s="59">
        <f>B251*0.08/100</f>
        <v>0.08</v>
      </c>
      <c r="K251" s="59">
        <f>B251*139/100</f>
        <v>139</v>
      </c>
      <c r="L251" s="59">
        <v>0</v>
      </c>
      <c r="M251" s="59" t="s">
        <v>454</v>
      </c>
      <c r="N251" s="59">
        <f>B251*157/100</f>
        <v>157</v>
      </c>
      <c r="O251" s="59">
        <f>B251*49/100</f>
        <v>49</v>
      </c>
      <c r="P251" s="59">
        <f>B251*0.03/100</f>
        <v>0.03</v>
      </c>
      <c r="Q251" s="59">
        <f>B251*186/100</f>
        <v>186</v>
      </c>
      <c r="R251" s="59">
        <f>B251*0.9/100</f>
        <v>0.9</v>
      </c>
      <c r="S251" s="59">
        <f>B251*13585/100</f>
        <v>13585</v>
      </c>
      <c r="T251" s="59">
        <f>B251*434/100</f>
        <v>434</v>
      </c>
      <c r="U251" s="59">
        <f>B251*0.09/100</f>
        <v>0.09</v>
      </c>
      <c r="V251" s="59">
        <f>B251*0.7/100</f>
        <v>0.7</v>
      </c>
      <c r="W251" s="59" t="s">
        <v>455</v>
      </c>
      <c r="X251" s="59" t="s">
        <v>455</v>
      </c>
      <c r="Y251" s="59">
        <f>B251*0.21/100</f>
        <v>0.21</v>
      </c>
      <c r="Z251" s="59" t="s">
        <v>455</v>
      </c>
      <c r="AA251" s="59" t="s">
        <v>23</v>
      </c>
      <c r="AB251" s="59"/>
      <c r="AC251" s="34"/>
    </row>
    <row r="252" spans="1:29" s="55" customFormat="1">
      <c r="A252" s="60" t="s">
        <v>655</v>
      </c>
      <c r="B252" s="59">
        <v>100</v>
      </c>
      <c r="C252" s="59">
        <f>B252*140/100</f>
        <v>140</v>
      </c>
      <c r="D252" s="59">
        <f>B252*24/100</f>
        <v>24</v>
      </c>
      <c r="E252" s="59">
        <f>B252*3.6/100</f>
        <v>3.6</v>
      </c>
      <c r="F252" s="59">
        <f>B252*0.9/100</f>
        <v>0.9</v>
      </c>
      <c r="G252" s="59">
        <f>B252*1.1/100</f>
        <v>1.1000000000000001</v>
      </c>
      <c r="H252" s="59">
        <f>B252*1.2/100</f>
        <v>1.2</v>
      </c>
      <c r="I252" s="59">
        <f>B252*1.08/100</f>
        <v>1.08</v>
      </c>
      <c r="J252" s="59">
        <f>B252*0.07/100</f>
        <v>7.0000000000000007E-2</v>
      </c>
      <c r="K252" s="59">
        <f>B252*112/100</f>
        <v>112</v>
      </c>
      <c r="L252" s="59">
        <f>B252*1.2/100</f>
        <v>1.2</v>
      </c>
      <c r="M252" s="59">
        <f>B252*0.6/100</f>
        <v>0.6</v>
      </c>
      <c r="N252" s="59">
        <f>B252*59/100</f>
        <v>59</v>
      </c>
      <c r="O252" s="59">
        <f>B252*15/100</f>
        <v>15</v>
      </c>
      <c r="P252" s="59" t="s">
        <v>455</v>
      </c>
      <c r="Q252" s="59">
        <f>B252*51/100</f>
        <v>51</v>
      </c>
      <c r="R252" s="59">
        <f>B252*0.2/100</f>
        <v>0.2</v>
      </c>
      <c r="S252" s="59">
        <f>B252*1256/100</f>
        <v>1256</v>
      </c>
      <c r="T252" s="59">
        <f>B252*50/100</f>
        <v>50</v>
      </c>
      <c r="U252" s="59">
        <f>B252*0.04/100</f>
        <v>0.04</v>
      </c>
      <c r="V252" s="59">
        <f>B252*0.6/100</f>
        <v>0.6</v>
      </c>
      <c r="W252" s="59" t="s">
        <v>455</v>
      </c>
      <c r="X252" s="59">
        <f>B252*0.03/100</f>
        <v>0.03</v>
      </c>
      <c r="Y252" s="59">
        <f>B252*0.05/100</f>
        <v>0.05</v>
      </c>
      <c r="Z252" s="59" t="s">
        <v>455</v>
      </c>
      <c r="AA252" s="59">
        <f>B252*5.17/100</f>
        <v>5.17</v>
      </c>
      <c r="AB252" s="59" t="s">
        <v>455</v>
      </c>
      <c r="AC252" s="34"/>
    </row>
    <row r="253" spans="1:29" s="55" customFormat="1">
      <c r="A253" s="60" t="s">
        <v>656</v>
      </c>
      <c r="B253" s="59">
        <v>100</v>
      </c>
      <c r="C253" s="59">
        <f>B253*116/100</f>
        <v>116</v>
      </c>
      <c r="D253" s="59">
        <f>B253*25.6/100</f>
        <v>25.6</v>
      </c>
      <c r="E253" s="59">
        <f>B253*0.7/100</f>
        <v>0.7</v>
      </c>
      <c r="F253" s="59">
        <f>B253*0.2/100</f>
        <v>0.2</v>
      </c>
      <c r="G253" s="59">
        <f>B253*0.1/100</f>
        <v>0.1</v>
      </c>
      <c r="H253" s="59">
        <f>B253*0.2/100</f>
        <v>0.2</v>
      </c>
      <c r="I253" s="59" t="s">
        <v>455</v>
      </c>
      <c r="J253" s="59"/>
      <c r="K253" s="59">
        <f>B253*83/100</f>
        <v>83</v>
      </c>
      <c r="L253" s="59">
        <v>0</v>
      </c>
      <c r="M253" s="59" t="s">
        <v>454</v>
      </c>
      <c r="N253" s="59">
        <f>B253*10/100</f>
        <v>10</v>
      </c>
      <c r="O253" s="59">
        <f>B253*21/100</f>
        <v>21</v>
      </c>
      <c r="P253" s="59" t="s">
        <v>455</v>
      </c>
      <c r="Q253" s="59">
        <f>B253*204/100</f>
        <v>204</v>
      </c>
      <c r="R253" s="59">
        <f>B253*0.3/100</f>
        <v>0.3</v>
      </c>
      <c r="S253" s="59">
        <f>B253*115/100</f>
        <v>115</v>
      </c>
      <c r="T253" s="59">
        <f>B253*249/100</f>
        <v>249</v>
      </c>
      <c r="U253" s="59">
        <f>B253*0.03/100</f>
        <v>0.03</v>
      </c>
      <c r="V253" s="59">
        <f>B253*0.6/100</f>
        <v>0.6</v>
      </c>
      <c r="W253" s="59">
        <f>B253*12/100</f>
        <v>12</v>
      </c>
      <c r="X253" s="59" t="s">
        <v>455</v>
      </c>
      <c r="Y253" s="59">
        <f>B253*0.04/100</f>
        <v>0.04</v>
      </c>
      <c r="Z253" s="59" t="s">
        <v>455</v>
      </c>
      <c r="AA253" s="59">
        <f>B253*9.77/100</f>
        <v>9.77</v>
      </c>
      <c r="AB253" s="59"/>
      <c r="AC253" s="34"/>
    </row>
    <row r="254" spans="1:29" s="55" customFormat="1">
      <c r="A254" s="60" t="s">
        <v>657</v>
      </c>
      <c r="B254" s="59">
        <v>100</v>
      </c>
      <c r="C254" s="59">
        <f>B254*83/100</f>
        <v>83</v>
      </c>
      <c r="D254" s="59">
        <f>B254*17.9/100</f>
        <v>17.899999999999999</v>
      </c>
      <c r="E254" s="59">
        <f>B254*0.8/100</f>
        <v>0.8</v>
      </c>
      <c r="F254" s="59">
        <f>B254*0.1/100</f>
        <v>0.1</v>
      </c>
      <c r="G254" s="59">
        <f>B254*0.1/100</f>
        <v>0.1</v>
      </c>
      <c r="H254" s="59">
        <f>B254*0.2/100</f>
        <v>0.2</v>
      </c>
      <c r="I254" s="59" t="s">
        <v>455</v>
      </c>
      <c r="J254" s="59"/>
      <c r="K254" s="59">
        <f>B254*36/100</f>
        <v>36</v>
      </c>
      <c r="L254" s="59">
        <v>0</v>
      </c>
      <c r="M254" s="59" t="s">
        <v>454</v>
      </c>
      <c r="N254" s="59">
        <f>B254*9/100</f>
        <v>9</v>
      </c>
      <c r="O254" s="59">
        <f>B254*19/100</f>
        <v>19</v>
      </c>
      <c r="P254" s="59" t="s">
        <v>455</v>
      </c>
      <c r="Q254" s="59">
        <f>B254*181/100</f>
        <v>181</v>
      </c>
      <c r="R254" s="59">
        <f>B254*0.2/100</f>
        <v>0.2</v>
      </c>
      <c r="S254" s="59">
        <f>B254*124/100</f>
        <v>124</v>
      </c>
      <c r="T254" s="59">
        <f>B254*319/100</f>
        <v>319</v>
      </c>
      <c r="U254" s="59">
        <f>B254*0.02/100</f>
        <v>0.02</v>
      </c>
      <c r="V254" s="59">
        <f>B254*0.3/100</f>
        <v>0.3</v>
      </c>
      <c r="W254" s="59">
        <f>B254*6/100</f>
        <v>6</v>
      </c>
      <c r="X254" s="59">
        <f>B254*0.04/100</f>
        <v>0.04</v>
      </c>
      <c r="Y254" s="59" t="s">
        <v>455</v>
      </c>
      <c r="Z254" s="59" t="s">
        <v>455</v>
      </c>
      <c r="AA254" s="59" t="s">
        <v>23</v>
      </c>
      <c r="AB254" s="59"/>
      <c r="AC254" s="34"/>
    </row>
    <row r="255" spans="1:29" s="55" customFormat="1">
      <c r="A255" s="60" t="s">
        <v>658</v>
      </c>
      <c r="B255" s="59">
        <v>100</v>
      </c>
      <c r="C255" s="59">
        <f>B255*90/100</f>
        <v>90</v>
      </c>
      <c r="D255" s="59">
        <f>B255*19/100</f>
        <v>19</v>
      </c>
      <c r="E255" s="59">
        <f>B255*1/100</f>
        <v>1</v>
      </c>
      <c r="F255" s="59">
        <f>B255*0.4/100</f>
        <v>0.4</v>
      </c>
      <c r="G255" s="59">
        <f>B255*0.2/100</f>
        <v>0.2</v>
      </c>
      <c r="H255" s="59">
        <f>B255*0.2/100</f>
        <v>0.2</v>
      </c>
      <c r="I255" s="59">
        <f>B255*0.03/100</f>
        <v>0.03</v>
      </c>
      <c r="J255" s="59" t="s">
        <v>455</v>
      </c>
      <c r="K255" s="59">
        <f>B255*241/100</f>
        <v>241</v>
      </c>
      <c r="L255" s="59">
        <v>0</v>
      </c>
      <c r="M255" s="59" t="s">
        <v>454</v>
      </c>
      <c r="N255" s="59">
        <f>B255*90/100</f>
        <v>90</v>
      </c>
      <c r="O255" s="59">
        <f>B255*19/100</f>
        <v>19</v>
      </c>
      <c r="P255" s="59">
        <f>B255*0.06/100</f>
        <v>0.06</v>
      </c>
      <c r="Q255" s="59">
        <f>B255*266/100</f>
        <v>266</v>
      </c>
      <c r="R255" s="59">
        <f>B255*1.3/100</f>
        <v>1.3</v>
      </c>
      <c r="S255" s="59">
        <f>B255*367/100</f>
        <v>367</v>
      </c>
      <c r="T255" s="59">
        <f>B255*102/100</f>
        <v>102</v>
      </c>
      <c r="U255" s="59">
        <f>B255*0.17/100</f>
        <v>0.17</v>
      </c>
      <c r="V255" s="59">
        <f>B255*1.2/100</f>
        <v>1.2</v>
      </c>
      <c r="W255" s="59" t="s">
        <v>455</v>
      </c>
      <c r="X255" s="59" t="s">
        <v>455</v>
      </c>
      <c r="Y255" s="59" t="s">
        <v>455</v>
      </c>
      <c r="Z255" s="59" t="s">
        <v>455</v>
      </c>
      <c r="AA255" s="59">
        <f>B255*1.07/100</f>
        <v>1.07</v>
      </c>
      <c r="AB255" s="59"/>
      <c r="AC255" s="34"/>
    </row>
    <row r="256" spans="1:29" s="55" customFormat="1">
      <c r="A256" s="60" t="s">
        <v>660</v>
      </c>
      <c r="B256" s="59">
        <v>100</v>
      </c>
      <c r="C256" s="59">
        <f>B256*47/100</f>
        <v>47</v>
      </c>
      <c r="D256" s="59">
        <f>B256*10/100</f>
        <v>10</v>
      </c>
      <c r="E256" s="59">
        <f>B256*0.5/100</f>
        <v>0.5</v>
      </c>
      <c r="F256" s="59">
        <f>B256*0.1/100</f>
        <v>0.1</v>
      </c>
      <c r="G256" s="59">
        <f>B256*0.1/100</f>
        <v>0.1</v>
      </c>
      <c r="H256" s="59">
        <f>B256*0.2/100</f>
        <v>0.2</v>
      </c>
      <c r="I256" s="59">
        <f>B256*0.02/100</f>
        <v>0.02</v>
      </c>
      <c r="J256" s="59" t="s">
        <v>455</v>
      </c>
      <c r="K256" s="59">
        <f>B256*124/100</f>
        <v>124</v>
      </c>
      <c r="L256" s="59">
        <v>0</v>
      </c>
      <c r="M256" s="59" t="s">
        <v>454</v>
      </c>
      <c r="N256" s="59">
        <f>B256*51/100</f>
        <v>51</v>
      </c>
      <c r="O256" s="59">
        <f>B256*27/100</f>
        <v>27</v>
      </c>
      <c r="P256" s="59">
        <f>B256*0.04/100</f>
        <v>0.04</v>
      </c>
      <c r="Q256" s="59">
        <f>B256*234/100</f>
        <v>234</v>
      </c>
      <c r="R256" s="59">
        <f>B256*0.7/100</f>
        <v>0.7</v>
      </c>
      <c r="S256" s="59">
        <f>B256*201/100</f>
        <v>201</v>
      </c>
      <c r="T256" s="59">
        <f>B256*72/100</f>
        <v>72</v>
      </c>
      <c r="U256" s="59">
        <f>B256*0.11/100</f>
        <v>0.11</v>
      </c>
      <c r="V256" s="59">
        <f>B256*0.7/100</f>
        <v>0.7</v>
      </c>
      <c r="W256" s="59">
        <f>B256*20/100</f>
        <v>20</v>
      </c>
      <c r="X256" s="59" t="s">
        <v>455</v>
      </c>
      <c r="Y256" s="59" t="s">
        <v>455</v>
      </c>
      <c r="Z256" s="59" t="s">
        <v>455</v>
      </c>
      <c r="AA256" s="59" t="s">
        <v>455</v>
      </c>
      <c r="AB256" s="59"/>
      <c r="AC256" s="34"/>
    </row>
    <row r="257" spans="1:29" s="55" customFormat="1">
      <c r="A257" s="60" t="s">
        <v>661</v>
      </c>
      <c r="B257" s="59">
        <v>100</v>
      </c>
      <c r="C257" s="59">
        <f>B257*83/100</f>
        <v>83</v>
      </c>
      <c r="D257" s="59">
        <f>B257*18.5/100</f>
        <v>18.5</v>
      </c>
      <c r="E257" s="59">
        <f>B257*0.4/100</f>
        <v>0.4</v>
      </c>
      <c r="F257" s="59">
        <f>B257*0.2/100</f>
        <v>0.2</v>
      </c>
      <c r="G257" s="59">
        <f>B257*0.2/100</f>
        <v>0.2</v>
      </c>
      <c r="H257" s="59" t="s">
        <v>455</v>
      </c>
      <c r="I257" s="59">
        <f>B257*0.03/100</f>
        <v>0.03</v>
      </c>
      <c r="J257" s="59" t="s">
        <v>455</v>
      </c>
      <c r="K257" s="59">
        <f>B257*85/100</f>
        <v>85</v>
      </c>
      <c r="L257" s="59">
        <v>0</v>
      </c>
      <c r="M257" s="59" t="s">
        <v>454</v>
      </c>
      <c r="N257" s="59">
        <f>B257*357/100</f>
        <v>357</v>
      </c>
      <c r="O257" s="59">
        <f>B257*52/100</f>
        <v>52</v>
      </c>
      <c r="P257" s="59">
        <f>B257*0.07/100</f>
        <v>7.0000000000000007E-2</v>
      </c>
      <c r="Q257" s="59">
        <f>B257*154/100</f>
        <v>154</v>
      </c>
      <c r="R257" s="59">
        <f>B257*2.9/100</f>
        <v>2.9</v>
      </c>
      <c r="S257" s="59">
        <f>B257*360/100</f>
        <v>360</v>
      </c>
      <c r="T257" s="59">
        <f>B257*186/100</f>
        <v>186</v>
      </c>
      <c r="U257" s="59">
        <f>B257*0.72/100</f>
        <v>0.72</v>
      </c>
      <c r="V257" s="59">
        <f>B257*5.7/100</f>
        <v>5.7</v>
      </c>
      <c r="W257" s="59" t="s">
        <v>455</v>
      </c>
      <c r="X257" s="59">
        <f>B257*0.04/100</f>
        <v>0.04</v>
      </c>
      <c r="Y257" s="59">
        <f>B257*0.31/100</f>
        <v>0.31</v>
      </c>
      <c r="Z257" s="59" t="s">
        <v>455</v>
      </c>
      <c r="AA257" s="59">
        <f>B257*4.17/100</f>
        <v>4.17</v>
      </c>
      <c r="AB257" s="59" t="s">
        <v>455</v>
      </c>
      <c r="AC257" s="34"/>
    </row>
    <row r="258" spans="1:29" s="55" customFormat="1">
      <c r="A258" s="60" t="s">
        <v>659</v>
      </c>
      <c r="B258" s="59">
        <v>100</v>
      </c>
      <c r="C258" s="59">
        <f>B258*128/100</f>
        <v>128</v>
      </c>
      <c r="D258" s="59">
        <f>B258*17.4/100</f>
        <v>17.399999999999999</v>
      </c>
      <c r="E258" s="59">
        <f>B258*6/100</f>
        <v>6</v>
      </c>
      <c r="F258" s="59">
        <f>B258*2.5/100</f>
        <v>2.5</v>
      </c>
      <c r="G258" s="59">
        <f>B258*2.3/100</f>
        <v>2.2999999999999998</v>
      </c>
      <c r="H258" s="59">
        <f>B258*0.3/100</f>
        <v>0.3</v>
      </c>
      <c r="I258" s="59">
        <f>B258*0.09/100</f>
        <v>0.09</v>
      </c>
      <c r="J258" s="59">
        <f>B258*0.12/100</f>
        <v>0.12</v>
      </c>
      <c r="K258" s="59">
        <f>B258*40/100</f>
        <v>40</v>
      </c>
      <c r="L258" s="59">
        <v>0</v>
      </c>
      <c r="M258" s="59" t="s">
        <v>454</v>
      </c>
      <c r="N258" s="59">
        <f>B258*40/100</f>
        <v>40</v>
      </c>
      <c r="O258" s="59">
        <f>B258*23/100</f>
        <v>23</v>
      </c>
      <c r="P258" s="59">
        <f>B258*0.02/100</f>
        <v>0.02</v>
      </c>
      <c r="Q258" s="59">
        <f>B258*190/100</f>
        <v>190</v>
      </c>
      <c r="R258" s="59">
        <f>B258*0.5/100</f>
        <v>0.5</v>
      </c>
      <c r="S258" s="59">
        <f>B258*47/100</f>
        <v>47</v>
      </c>
      <c r="T258" s="59">
        <f>B258*317/100</f>
        <v>317</v>
      </c>
      <c r="U258" s="59">
        <f>B258*0.03/100</f>
        <v>0.03</v>
      </c>
      <c r="V258" s="59">
        <f>B258*0.4/100</f>
        <v>0.4</v>
      </c>
      <c r="W258" s="59" t="s">
        <v>455</v>
      </c>
      <c r="X258" s="59" t="s">
        <v>455</v>
      </c>
      <c r="Y258" s="59" t="s">
        <v>455</v>
      </c>
      <c r="Z258" s="59" t="s">
        <v>455</v>
      </c>
      <c r="AA258" s="59" t="s">
        <v>23</v>
      </c>
      <c r="AB258" s="59"/>
      <c r="AC258" s="34"/>
    </row>
    <row r="259" spans="1:29" s="55" customFormat="1">
      <c r="A259" s="60" t="s">
        <v>662</v>
      </c>
      <c r="B259" s="59">
        <v>100</v>
      </c>
      <c r="C259" s="59">
        <f>B259*101/100</f>
        <v>101</v>
      </c>
      <c r="D259" s="59">
        <f>B259*18.9/100</f>
        <v>18.899999999999999</v>
      </c>
      <c r="E259" s="59">
        <f>B259*2.2/100</f>
        <v>2.2000000000000002</v>
      </c>
      <c r="F259" s="59">
        <f>B259*1.2/100</f>
        <v>1.2</v>
      </c>
      <c r="G259" s="59">
        <f>B259*0.7/100</f>
        <v>0.7</v>
      </c>
      <c r="H259" s="59">
        <f>B259*0.1/100</f>
        <v>0.1</v>
      </c>
      <c r="I259" s="59">
        <f>B259*0.04/100</f>
        <v>0.04</v>
      </c>
      <c r="J259" s="59">
        <f>B259*0.03/100</f>
        <v>0.03</v>
      </c>
      <c r="K259" s="59">
        <f>B259*73/100</f>
        <v>73</v>
      </c>
      <c r="L259" s="59">
        <v>0</v>
      </c>
      <c r="M259" s="59" t="s">
        <v>454</v>
      </c>
      <c r="N259" s="59">
        <f>B259*39/100</f>
        <v>39</v>
      </c>
      <c r="O259" s="59">
        <f>B259*25/100</f>
        <v>25</v>
      </c>
      <c r="P259" s="59">
        <f>B259*0.02/100</f>
        <v>0.02</v>
      </c>
      <c r="Q259" s="59">
        <f>B259*154/100</f>
        <v>154</v>
      </c>
      <c r="R259" s="59">
        <f>B259*0.3/100</f>
        <v>0.3</v>
      </c>
      <c r="S259" s="59">
        <f>B259*45/100</f>
        <v>45</v>
      </c>
      <c r="T259" s="59">
        <f>B259*293/100</f>
        <v>293</v>
      </c>
      <c r="U259" s="59">
        <f>B259*0.02/100</f>
        <v>0.02</v>
      </c>
      <c r="V259" s="59">
        <f>B259*0.4/100</f>
        <v>0.4</v>
      </c>
      <c r="W259" s="59">
        <f>B259*8/100</f>
        <v>8</v>
      </c>
      <c r="X259" s="59" t="s">
        <v>455</v>
      </c>
      <c r="Y259" s="59">
        <f>B259*0.08/100</f>
        <v>0.08</v>
      </c>
      <c r="Z259" s="59" t="s">
        <v>455</v>
      </c>
      <c r="AA259" s="59" t="s">
        <v>23</v>
      </c>
      <c r="AB259" s="59"/>
      <c r="AC259" s="34"/>
    </row>
    <row r="260" spans="1:29" s="55" customFormat="1">
      <c r="A260" s="60" t="s">
        <v>663</v>
      </c>
      <c r="B260" s="59">
        <v>100</v>
      </c>
      <c r="C260" s="59">
        <f>B260*94/100</f>
        <v>94</v>
      </c>
      <c r="D260" s="59">
        <f>B260*18.6/100</f>
        <v>18.600000000000001</v>
      </c>
      <c r="E260" s="59">
        <f>B260*1.6/100</f>
        <v>1.6</v>
      </c>
      <c r="F260" s="59">
        <f>B260*0.7/100</f>
        <v>0.7</v>
      </c>
      <c r="G260" s="59">
        <f>B260*0.5/100</f>
        <v>0.5</v>
      </c>
      <c r="H260" s="59">
        <f>B260*0.1/100</f>
        <v>0.1</v>
      </c>
      <c r="I260" s="59">
        <f>B260*0.01/100</f>
        <v>0.01</v>
      </c>
      <c r="J260" s="59">
        <f>B260*0.02/100</f>
        <v>0.02</v>
      </c>
      <c r="K260" s="59">
        <f>B260*67/100</f>
        <v>67</v>
      </c>
      <c r="L260" s="59">
        <v>0</v>
      </c>
      <c r="M260" s="59" t="s">
        <v>454</v>
      </c>
      <c r="N260" s="59" t="s">
        <v>23</v>
      </c>
      <c r="O260" s="59">
        <f>B260*24/100</f>
        <v>24</v>
      </c>
      <c r="P260" s="59">
        <f>B260*0.01/100</f>
        <v>0.01</v>
      </c>
      <c r="Q260" s="59">
        <f>B260*183/100</f>
        <v>183</v>
      </c>
      <c r="R260" s="59">
        <f>B260*0.4/100</f>
        <v>0.4</v>
      </c>
      <c r="S260" s="59">
        <f>B260*68/100</f>
        <v>68</v>
      </c>
      <c r="T260" s="59">
        <f>B260*339/100</f>
        <v>339</v>
      </c>
      <c r="U260" s="59">
        <f>B260*0.03/100</f>
        <v>0.03</v>
      </c>
      <c r="V260" s="59">
        <f>B260*0.4/100</f>
        <v>0.4</v>
      </c>
      <c r="W260" s="59">
        <f>B260*65/100</f>
        <v>65</v>
      </c>
      <c r="X260" s="59">
        <f>B260*0.12/100</f>
        <v>0.12</v>
      </c>
      <c r="Y260" s="59">
        <f>B260*0.05/100</f>
        <v>0.05</v>
      </c>
      <c r="Z260" s="59" t="s">
        <v>455</v>
      </c>
      <c r="AA260" s="59" t="s">
        <v>23</v>
      </c>
      <c r="AB260" s="59"/>
      <c r="AC260" s="34"/>
    </row>
    <row r="261" spans="1:29" s="55" customFormat="1">
      <c r="A261" s="60" t="s">
        <v>664</v>
      </c>
      <c r="B261" s="59">
        <v>100</v>
      </c>
      <c r="C261" s="59">
        <f>B261*147/100</f>
        <v>147</v>
      </c>
      <c r="D261" s="59">
        <f>B261*26.8/100</f>
        <v>26.8</v>
      </c>
      <c r="E261" s="59">
        <f>B261*3.6/100</f>
        <v>3.6</v>
      </c>
      <c r="F261" s="59">
        <f>B261*1.5/100</f>
        <v>1.5</v>
      </c>
      <c r="G261" s="59">
        <f>B261*1.2/100</f>
        <v>1.2</v>
      </c>
      <c r="H261" s="59">
        <f>B261*0.3/100</f>
        <v>0.3</v>
      </c>
      <c r="I261" s="59">
        <f>B261*0.03/100</f>
        <v>0.03</v>
      </c>
      <c r="J261" s="59"/>
      <c r="K261" s="59">
        <f>B261*117/100</f>
        <v>117</v>
      </c>
      <c r="L261" s="59">
        <v>0</v>
      </c>
      <c r="M261" s="59" t="s">
        <v>454</v>
      </c>
      <c r="N261" s="59">
        <f>B261*60/100</f>
        <v>60</v>
      </c>
      <c r="O261" s="59">
        <f>B261*24/100</f>
        <v>24</v>
      </c>
      <c r="P261" s="59">
        <f>B261*0.03/100</f>
        <v>0.03</v>
      </c>
      <c r="Q261" s="59">
        <f>B261*176/100</f>
        <v>176</v>
      </c>
      <c r="R261" s="59">
        <f>B261*0.5/100</f>
        <v>0.5</v>
      </c>
      <c r="S261" s="59">
        <f>B261*85/100</f>
        <v>85</v>
      </c>
      <c r="T261" s="59">
        <f>B261*291/100</f>
        <v>291</v>
      </c>
      <c r="U261" s="59">
        <f>B261*0.02/100</f>
        <v>0.02</v>
      </c>
      <c r="V261" s="59">
        <f>B261*0.7/100</f>
        <v>0.7</v>
      </c>
      <c r="W261" s="59" t="s">
        <v>455</v>
      </c>
      <c r="X261" s="59">
        <f>B261*0.11/100</f>
        <v>0.11</v>
      </c>
      <c r="Y261" s="59">
        <f>B261*0.1/100</f>
        <v>0.1</v>
      </c>
      <c r="Z261" s="59" t="s">
        <v>455</v>
      </c>
      <c r="AA261" s="59">
        <f>B261*4.23/100</f>
        <v>4.2300000000000004</v>
      </c>
      <c r="AB261" s="59"/>
      <c r="AC261" s="34"/>
    </row>
    <row r="262" spans="1:29" s="55" customFormat="1">
      <c r="A262" s="60" t="s">
        <v>665</v>
      </c>
      <c r="B262" s="59">
        <v>100</v>
      </c>
      <c r="C262" s="59">
        <f>B262*131/100</f>
        <v>131</v>
      </c>
      <c r="D262" s="59">
        <f>B262*16.8/100</f>
        <v>16.8</v>
      </c>
      <c r="E262" s="59">
        <f>B262*6.5/100</f>
        <v>6.5</v>
      </c>
      <c r="F262" s="59">
        <f>B262*2/100</f>
        <v>2</v>
      </c>
      <c r="G262" s="59">
        <f>B262*2.2/100</f>
        <v>2.2000000000000002</v>
      </c>
      <c r="H262" s="59">
        <f>B262*1.2/100</f>
        <v>1.2</v>
      </c>
      <c r="I262" s="59">
        <f>B262*0.49/100</f>
        <v>0.49</v>
      </c>
      <c r="J262" s="59">
        <f>B262*0.17/100</f>
        <v>0.17</v>
      </c>
      <c r="K262" s="59">
        <f>B262*159/100</f>
        <v>159</v>
      </c>
      <c r="L262" s="59">
        <v>0</v>
      </c>
      <c r="M262" s="59" t="s">
        <v>454</v>
      </c>
      <c r="N262" s="59">
        <f>B262*1181/100</f>
        <v>1181</v>
      </c>
      <c r="O262" s="59">
        <f>B262*45/100</f>
        <v>45</v>
      </c>
      <c r="P262" s="59">
        <f>B262*0.28/100</f>
        <v>0.28000000000000003</v>
      </c>
      <c r="Q262" s="59">
        <f>B262*696/100</f>
        <v>696</v>
      </c>
      <c r="R262" s="59">
        <f>B262*0.9/100</f>
        <v>0.9</v>
      </c>
      <c r="S262" s="59">
        <f>B262*48/100</f>
        <v>48</v>
      </c>
      <c r="T262" s="59">
        <f>B262*244/100</f>
        <v>244</v>
      </c>
      <c r="U262" s="59">
        <f>B262*0.09/100</f>
        <v>0.09</v>
      </c>
      <c r="V262" s="59">
        <f>B262*3.3/100</f>
        <v>3.3</v>
      </c>
      <c r="W262" s="59">
        <f>B262*4/100</f>
        <v>4</v>
      </c>
      <c r="X262" s="59">
        <f>B262*0.05/100</f>
        <v>0.05</v>
      </c>
      <c r="Y262" s="59" t="s">
        <v>455</v>
      </c>
      <c r="Z262" s="59" t="s">
        <v>455</v>
      </c>
      <c r="AA262" s="59">
        <f>B262*3.3/100</f>
        <v>3.3</v>
      </c>
      <c r="AB262" s="59"/>
      <c r="AC262" s="34"/>
    </row>
    <row r="263" spans="1:29" s="55" customFormat="1">
      <c r="A263" s="60" t="s">
        <v>666</v>
      </c>
      <c r="B263" s="59">
        <v>100</v>
      </c>
      <c r="C263" s="59">
        <f>B263*327/100</f>
        <v>327</v>
      </c>
      <c r="D263" s="59">
        <f>B263*28.4/100</f>
        <v>28.4</v>
      </c>
      <c r="E263" s="59">
        <f>B263*22.8/100</f>
        <v>22.8</v>
      </c>
      <c r="F263" s="59">
        <f>B263*5.5/100</f>
        <v>5.5</v>
      </c>
      <c r="G263" s="59">
        <f>B263*7/100</f>
        <v>7</v>
      </c>
      <c r="H263" s="59">
        <f>B263*8.1/100</f>
        <v>8.1</v>
      </c>
      <c r="I263" s="59">
        <f>B263*6.43/100</f>
        <v>6.43</v>
      </c>
      <c r="J263" s="59">
        <f>B263*0.78/100</f>
        <v>0.78</v>
      </c>
      <c r="K263" s="59">
        <f>B263*246/100</f>
        <v>246</v>
      </c>
      <c r="L263" s="59">
        <v>0</v>
      </c>
      <c r="M263" s="59" t="s">
        <v>454</v>
      </c>
      <c r="N263" s="59">
        <f>B263*1881/100</f>
        <v>1881</v>
      </c>
      <c r="O263" s="59">
        <f>B263*66/100</f>
        <v>66</v>
      </c>
      <c r="P263" s="59">
        <f>B263*0.34/100</f>
        <v>0.34</v>
      </c>
      <c r="Q263" s="59">
        <f>B263*1067/100</f>
        <v>1067</v>
      </c>
      <c r="R263" s="59">
        <f>B263*0.8/100</f>
        <v>0.8</v>
      </c>
      <c r="S263" s="59">
        <f>B263*65/100</f>
        <v>65</v>
      </c>
      <c r="T263" s="59">
        <f>B263*331/100</f>
        <v>331</v>
      </c>
      <c r="U263" s="59">
        <f>B263*0.31/100</f>
        <v>0.31</v>
      </c>
      <c r="V263" s="59">
        <f>B263*5.6/100</f>
        <v>5.6</v>
      </c>
      <c r="W263" s="59">
        <f>B263*9/100</f>
        <v>9</v>
      </c>
      <c r="X263" s="59">
        <f>B263*0.25/100</f>
        <v>0.25</v>
      </c>
      <c r="Y263" s="59">
        <f>B263*0.03/100</f>
        <v>0.03</v>
      </c>
      <c r="Z263" s="59">
        <f>B263*0.04/100</f>
        <v>0.04</v>
      </c>
      <c r="AA263" s="59">
        <f>B263*8.93/100</f>
        <v>8.93</v>
      </c>
      <c r="AB263" s="59"/>
      <c r="AC263" s="34"/>
    </row>
    <row r="264" spans="1:29" s="55" customFormat="1">
      <c r="A264" s="60" t="s">
        <v>667</v>
      </c>
      <c r="B264" s="59">
        <v>100</v>
      </c>
      <c r="C264" s="59">
        <f>B264*349/100</f>
        <v>349</v>
      </c>
      <c r="D264" s="59">
        <f>B264*30.1/100</f>
        <v>30.1</v>
      </c>
      <c r="E264" s="59">
        <f>B264*24.5/100</f>
        <v>24.5</v>
      </c>
      <c r="F264" s="59">
        <f>B264*5.3/100</f>
        <v>5.3</v>
      </c>
      <c r="G264" s="59">
        <f>B264*6/100</f>
        <v>6</v>
      </c>
      <c r="H264" s="59">
        <f>B264*11.7/100</f>
        <v>11.7</v>
      </c>
      <c r="I264" s="59">
        <f>B264*8.92/100</f>
        <v>8.92</v>
      </c>
      <c r="J264" s="59">
        <f>B264*0.87/100</f>
        <v>0.87</v>
      </c>
      <c r="K264" s="59">
        <f>B264*270/100</f>
        <v>270</v>
      </c>
      <c r="L264" s="59">
        <v>0</v>
      </c>
      <c r="M264" s="59" t="s">
        <v>454</v>
      </c>
      <c r="N264" s="59">
        <f>B264*575/100</f>
        <v>575</v>
      </c>
      <c r="O264" s="59">
        <f>B264*32/100</f>
        <v>32</v>
      </c>
      <c r="P264" s="59">
        <f>B264*0.21/100</f>
        <v>0.21</v>
      </c>
      <c r="Q264" s="59">
        <f>B264*735/100</f>
        <v>735</v>
      </c>
      <c r="R264" s="59">
        <f>B264*0.9/100</f>
        <v>0.9</v>
      </c>
      <c r="S264" s="59">
        <f>B264*41/100</f>
        <v>41</v>
      </c>
      <c r="T264" s="59">
        <f>B264*318/100</f>
        <v>318</v>
      </c>
      <c r="U264" s="59">
        <f>B264*0.14/100</f>
        <v>0.14000000000000001</v>
      </c>
      <c r="V264" s="59">
        <f>B264*3.2/100</f>
        <v>3.2</v>
      </c>
      <c r="W264" s="59">
        <f>B264*12/100</f>
        <v>12</v>
      </c>
      <c r="X264" s="59">
        <f>B264*0.03/100</f>
        <v>0.03</v>
      </c>
      <c r="Y264" s="59">
        <f>B264*0.03/100</f>
        <v>0.03</v>
      </c>
      <c r="Z264" s="59" t="s">
        <v>455</v>
      </c>
      <c r="AA264" s="59">
        <f>B264*7.27/100</f>
        <v>7.27</v>
      </c>
      <c r="AB264" s="59"/>
      <c r="AC264" s="34"/>
    </row>
    <row r="265" spans="1:29" s="55" customFormat="1">
      <c r="A265" s="60" t="s">
        <v>668</v>
      </c>
      <c r="B265" s="59">
        <v>100</v>
      </c>
      <c r="C265" s="59">
        <f>B265*122/100</f>
        <v>122</v>
      </c>
      <c r="D265" s="59">
        <f>B265*26.6/100</f>
        <v>26.6</v>
      </c>
      <c r="E265" s="59">
        <f>B265*0.9/100</f>
        <v>0.9</v>
      </c>
      <c r="F265" s="59">
        <f>B265*0.2/100</f>
        <v>0.2</v>
      </c>
      <c r="G265" s="59">
        <f>B265*0.1/100</f>
        <v>0.1</v>
      </c>
      <c r="H265" s="59">
        <f>B265*0.3/100</f>
        <v>0.3</v>
      </c>
      <c r="I265" s="59">
        <f>B265*0.02/100</f>
        <v>0.02</v>
      </c>
      <c r="J265" s="59"/>
      <c r="K265" s="59">
        <f>B265*91/100</f>
        <v>91</v>
      </c>
      <c r="L265" s="59">
        <v>0</v>
      </c>
      <c r="M265" s="59" t="s">
        <v>454</v>
      </c>
      <c r="N265" s="59">
        <f>B265*36/100</f>
        <v>36</v>
      </c>
      <c r="O265" s="59">
        <f>B265*20/100</f>
        <v>20</v>
      </c>
      <c r="P265" s="59">
        <f>B265*0.03/100</f>
        <v>0.03</v>
      </c>
      <c r="Q265" s="59">
        <f>B265*273/100</f>
        <v>273</v>
      </c>
      <c r="R265" s="59">
        <f>B265*0.4/100</f>
        <v>0.4</v>
      </c>
      <c r="S265" s="59">
        <f>B265*120/100</f>
        <v>120</v>
      </c>
      <c r="T265" s="59">
        <f>B265*364/100</f>
        <v>364</v>
      </c>
      <c r="U265" s="59">
        <f>B265*0.03/100</f>
        <v>0.03</v>
      </c>
      <c r="V265" s="59">
        <f>B265*0.9/100</f>
        <v>0.9</v>
      </c>
      <c r="W265" s="59" t="s">
        <v>455</v>
      </c>
      <c r="X265" s="59">
        <f>B265*0.05/100</f>
        <v>0.05</v>
      </c>
      <c r="Y265" s="59" t="s">
        <v>455</v>
      </c>
      <c r="Z265" s="59" t="s">
        <v>455</v>
      </c>
      <c r="AA265" s="59">
        <f>B265*7.97/100</f>
        <v>7.97</v>
      </c>
      <c r="AB265" s="59"/>
      <c r="AC265" s="34"/>
    </row>
    <row r="266" spans="1:29" s="55" customFormat="1">
      <c r="A266" s="60" t="s">
        <v>669</v>
      </c>
      <c r="B266" s="59">
        <v>100</v>
      </c>
      <c r="C266" s="59">
        <f>B266*89/100</f>
        <v>89</v>
      </c>
      <c r="D266" s="59">
        <f>B266*16.6/100</f>
        <v>16.600000000000001</v>
      </c>
      <c r="E266" s="59">
        <f>B266*2/100</f>
        <v>2</v>
      </c>
      <c r="F266" s="59">
        <f>B266*0.9/100</f>
        <v>0.9</v>
      </c>
      <c r="G266" s="59">
        <f>B266*0.5/100</f>
        <v>0.5</v>
      </c>
      <c r="H266" s="59">
        <f>B266*0.4/100</f>
        <v>0.4</v>
      </c>
      <c r="I266" s="59">
        <f>B266*0.03/100</f>
        <v>0.03</v>
      </c>
      <c r="J266" s="59">
        <f>B266*0.05/100</f>
        <v>0.05</v>
      </c>
      <c r="K266" s="59">
        <f>B266*57/100</f>
        <v>57</v>
      </c>
      <c r="L266" s="59">
        <v>0</v>
      </c>
      <c r="M266" s="59" t="s">
        <v>454</v>
      </c>
      <c r="N266" s="59">
        <f>B266*20/100</f>
        <v>20</v>
      </c>
      <c r="O266" s="59">
        <f>B266*27/100</f>
        <v>27</v>
      </c>
      <c r="P266" s="59">
        <f>B266*0.01/100</f>
        <v>0.01</v>
      </c>
      <c r="Q266" s="59">
        <f>B266*185/100</f>
        <v>185</v>
      </c>
      <c r="R266" s="59">
        <f>B266*0.2/100</f>
        <v>0.2</v>
      </c>
      <c r="S266" s="59">
        <f>B266*80/100</f>
        <v>80</v>
      </c>
      <c r="T266" s="59">
        <f>B266*340/100</f>
        <v>340</v>
      </c>
      <c r="U266" s="59" t="s">
        <v>455</v>
      </c>
      <c r="V266" s="59">
        <f>B266*0.3/100</f>
        <v>0.3</v>
      </c>
      <c r="W266" s="59" t="s">
        <v>455</v>
      </c>
      <c r="X266" s="59" t="s">
        <v>455</v>
      </c>
      <c r="Y266" s="59" t="s">
        <v>455</v>
      </c>
      <c r="Z266" s="59" t="s">
        <v>455</v>
      </c>
      <c r="AA266" s="59" t="s">
        <v>23</v>
      </c>
      <c r="AB266" s="59"/>
      <c r="AC266" s="34"/>
    </row>
    <row r="267" spans="1:29" s="55" customFormat="1">
      <c r="A267" s="60" t="s">
        <v>670</v>
      </c>
      <c r="B267" s="59">
        <v>100</v>
      </c>
      <c r="C267" s="59">
        <f>B267*111/100</f>
        <v>111</v>
      </c>
      <c r="D267" s="59">
        <f>B267*16.3/100</f>
        <v>16.3</v>
      </c>
      <c r="E267" s="59">
        <f>B267*4.6/100</f>
        <v>4.5999999999999996</v>
      </c>
      <c r="F267" s="59">
        <f>B267*0.8/100</f>
        <v>0.8</v>
      </c>
      <c r="G267" s="59">
        <f>B267*2.4/100</f>
        <v>2.4</v>
      </c>
      <c r="H267" s="59">
        <f>B267*0.9/100</f>
        <v>0.9</v>
      </c>
      <c r="I267" s="59">
        <f>B267*0.04/100</f>
        <v>0.04</v>
      </c>
      <c r="J267" s="59">
        <f>B267*0.05/100</f>
        <v>0.05</v>
      </c>
      <c r="K267" s="59">
        <f>B267*51/100</f>
        <v>51</v>
      </c>
      <c r="L267" s="59">
        <v>0</v>
      </c>
      <c r="M267" s="59" t="s">
        <v>454</v>
      </c>
      <c r="N267" s="59">
        <f>B267*16/100</f>
        <v>16</v>
      </c>
      <c r="O267" s="59">
        <f>B267*19/100</f>
        <v>19</v>
      </c>
      <c r="P267" s="59">
        <f>B267*0.01/100</f>
        <v>0.01</v>
      </c>
      <c r="Q267" s="59">
        <f>B267*136/100</f>
        <v>136</v>
      </c>
      <c r="R267" s="59">
        <f>B267*0.2/100</f>
        <v>0.2</v>
      </c>
      <c r="S267" s="59">
        <f>B267*76/100</f>
        <v>76</v>
      </c>
      <c r="T267" s="59">
        <f>B267*261/100</f>
        <v>261</v>
      </c>
      <c r="U267" s="59" t="s">
        <v>455</v>
      </c>
      <c r="V267" s="59">
        <f>B267*0.3/100</f>
        <v>0.3</v>
      </c>
      <c r="W267" s="59">
        <f>B267*3/100</f>
        <v>3</v>
      </c>
      <c r="X267" s="59" t="s">
        <v>455</v>
      </c>
      <c r="Y267" s="59">
        <f>B267*0.04/100</f>
        <v>0.04</v>
      </c>
      <c r="Z267" s="59" t="s">
        <v>455</v>
      </c>
      <c r="AA267" s="59" t="s">
        <v>23</v>
      </c>
      <c r="AB267" s="59"/>
      <c r="AC267" s="34"/>
    </row>
    <row r="268" spans="1:29" s="55" customFormat="1">
      <c r="A268" s="60" t="s">
        <v>671</v>
      </c>
      <c r="B268" s="59">
        <v>100</v>
      </c>
      <c r="C268" s="59">
        <f>B268*223/100</f>
        <v>223</v>
      </c>
      <c r="D268" s="59">
        <f>B268*27.4/100</f>
        <v>27.4</v>
      </c>
      <c r="E268" s="59">
        <f>B268*11.8/100</f>
        <v>11.8</v>
      </c>
      <c r="F268" s="59">
        <f>B268*2.3/100</f>
        <v>2.2999999999999998</v>
      </c>
      <c r="G268" s="59">
        <f>B268*3.2/100</f>
        <v>3.2</v>
      </c>
      <c r="H268" s="59">
        <f>B268*5.2/100</f>
        <v>5.2</v>
      </c>
      <c r="I268" s="59">
        <f>B268*4.21/100</f>
        <v>4.21</v>
      </c>
      <c r="J268" s="59">
        <f>B268*0.41/100</f>
        <v>0.41</v>
      </c>
      <c r="K268" s="59">
        <f>B268*165/100</f>
        <v>165</v>
      </c>
      <c r="L268" s="59">
        <v>0</v>
      </c>
      <c r="M268" s="59" t="s">
        <v>454</v>
      </c>
      <c r="N268" s="59">
        <f>B268*378/100</f>
        <v>378</v>
      </c>
      <c r="O268" s="59">
        <f>B268*30/100</f>
        <v>30</v>
      </c>
      <c r="P268" s="59">
        <f>B268*0.06/100</f>
        <v>0.06</v>
      </c>
      <c r="Q268" s="59">
        <f>B268*504/100</f>
        <v>504</v>
      </c>
      <c r="R268" s="59">
        <f>B268*0.5/100</f>
        <v>0.5</v>
      </c>
      <c r="S268" s="59">
        <f>B268*107/100</f>
        <v>107</v>
      </c>
      <c r="T268" s="59">
        <f>B268*355/100</f>
        <v>355</v>
      </c>
      <c r="U268" s="59">
        <f>B268*0.08/100</f>
        <v>0.08</v>
      </c>
      <c r="V268" s="59">
        <f>B268*1.1/100</f>
        <v>1.1000000000000001</v>
      </c>
      <c r="W268" s="59">
        <f>B268*39/100</f>
        <v>39</v>
      </c>
      <c r="X268" s="59">
        <f>B268*0.08/100</f>
        <v>0.08</v>
      </c>
      <c r="Y268" s="59">
        <f>B268*0.11/100</f>
        <v>0.11</v>
      </c>
      <c r="Z268" s="59" t="s">
        <v>455</v>
      </c>
      <c r="AA268" s="59">
        <f>B268*8.07/100</f>
        <v>8.07</v>
      </c>
      <c r="AB268" s="59"/>
      <c r="AC268" s="34"/>
    </row>
    <row r="269" spans="1:29" s="55" customFormat="1">
      <c r="A269" s="60" t="s">
        <v>672</v>
      </c>
      <c r="B269" s="59">
        <v>100</v>
      </c>
      <c r="C269" s="59">
        <f>B269*107/100</f>
        <v>107</v>
      </c>
      <c r="D269" s="59">
        <f>B269*16.7/100</f>
        <v>16.7</v>
      </c>
      <c r="E269" s="59">
        <f>B269*4/100</f>
        <v>4</v>
      </c>
      <c r="F269" s="59">
        <f>B269*0.9/100</f>
        <v>0.9</v>
      </c>
      <c r="G269" s="59">
        <f>B269*2.3/100</f>
        <v>2.2999999999999998</v>
      </c>
      <c r="H269" s="59">
        <f>B269*0.3/100</f>
        <v>0.3</v>
      </c>
      <c r="I269" s="59">
        <f>B269*0.03/100</f>
        <v>0.03</v>
      </c>
      <c r="J269" s="59">
        <f>B269*0.04/100</f>
        <v>0.04</v>
      </c>
      <c r="K269" s="59">
        <f>B269*65/100</f>
        <v>65</v>
      </c>
      <c r="L269" s="59">
        <v>0</v>
      </c>
      <c r="M269" s="59" t="s">
        <v>454</v>
      </c>
      <c r="N269" s="59">
        <f>B269*14/100</f>
        <v>14</v>
      </c>
      <c r="O269" s="59">
        <f>B269*23/100</f>
        <v>23</v>
      </c>
      <c r="P269" s="59">
        <f>B269*0.01/100</f>
        <v>0.01</v>
      </c>
      <c r="Q269" s="59">
        <f>B269*141/100</f>
        <v>141</v>
      </c>
      <c r="R269" s="59">
        <f>B269*0.2/100</f>
        <v>0.2</v>
      </c>
      <c r="S269" s="59">
        <f>B269*77/100</f>
        <v>77</v>
      </c>
      <c r="T269" s="59">
        <f>B269*253/100</f>
        <v>253</v>
      </c>
      <c r="U269" s="59" t="s">
        <v>455</v>
      </c>
      <c r="V269" s="59">
        <f>B269*0.3/100</f>
        <v>0.3</v>
      </c>
      <c r="W269" s="59">
        <f>B269*48/100</f>
        <v>48</v>
      </c>
      <c r="X269" s="59" t="s">
        <v>455</v>
      </c>
      <c r="Y269" s="59">
        <f>B269*0.05/100</f>
        <v>0.05</v>
      </c>
      <c r="Z269" s="59" t="s">
        <v>455</v>
      </c>
      <c r="AA269" s="59" t="s">
        <v>23</v>
      </c>
      <c r="AB269" s="59"/>
      <c r="AC269" s="34"/>
    </row>
    <row r="270" spans="1:29" s="55" customFormat="1">
      <c r="A270" s="60" t="s">
        <v>673</v>
      </c>
      <c r="B270" s="59">
        <v>100</v>
      </c>
      <c r="C270" s="59">
        <f>B270*154/100</f>
        <v>154</v>
      </c>
      <c r="D270" s="59">
        <f>B270*28.6/100</f>
        <v>28.6</v>
      </c>
      <c r="E270" s="59">
        <f>B270*3.6/100</f>
        <v>3.6</v>
      </c>
      <c r="F270" s="59">
        <f>B270*1/100</f>
        <v>1</v>
      </c>
      <c r="G270" s="59">
        <f>B270*1.1/100</f>
        <v>1.1000000000000001</v>
      </c>
      <c r="H270" s="59">
        <f>B270*1.2/100</f>
        <v>1.2</v>
      </c>
      <c r="I270" s="59">
        <f>B270*0.87/100</f>
        <v>0.87</v>
      </c>
      <c r="J270" s="59">
        <f>B270*0.07/100</f>
        <v>7.0000000000000007E-2</v>
      </c>
      <c r="K270" s="59">
        <f>B270*81/100</f>
        <v>81</v>
      </c>
      <c r="L270" s="59">
        <v>0</v>
      </c>
      <c r="M270" s="59" t="s">
        <v>454</v>
      </c>
      <c r="N270" s="59">
        <f>B270*10/100</f>
        <v>10</v>
      </c>
      <c r="O270" s="59">
        <f>B270*21/100</f>
        <v>21</v>
      </c>
      <c r="P270" s="59" t="s">
        <v>455</v>
      </c>
      <c r="Q270" s="59">
        <f>B270*204/100</f>
        <v>204</v>
      </c>
      <c r="R270" s="59">
        <f>B270*0.3/100</f>
        <v>0.3</v>
      </c>
      <c r="S270" s="59">
        <f>B270*115/100</f>
        <v>115</v>
      </c>
      <c r="T270" s="59">
        <f>B270*249/100</f>
        <v>249</v>
      </c>
      <c r="U270" s="59">
        <f>B270*0.03/100</f>
        <v>0.03</v>
      </c>
      <c r="V270" s="59">
        <f>B270*0.6/100</f>
        <v>0.6</v>
      </c>
      <c r="W270" s="59">
        <f>B270*4/100</f>
        <v>4</v>
      </c>
      <c r="X270" s="59">
        <f>B270*0.14/100</f>
        <v>0.14000000000000001</v>
      </c>
      <c r="Y270" s="59" t="s">
        <v>455</v>
      </c>
      <c r="Z270" s="59" t="s">
        <v>455</v>
      </c>
      <c r="AA270" s="59">
        <f>B270*8.87/100</f>
        <v>8.8699999999999992</v>
      </c>
      <c r="AB270" s="59"/>
      <c r="AC270" s="34"/>
    </row>
    <row r="271" spans="1:29" s="55" customFormat="1">
      <c r="A271" s="60" t="s">
        <v>674</v>
      </c>
      <c r="B271" s="59">
        <v>100</v>
      </c>
      <c r="C271" s="59">
        <f>B271*76/100</f>
        <v>76</v>
      </c>
      <c r="D271" s="59">
        <f>B271*15.5/100</f>
        <v>15.5</v>
      </c>
      <c r="E271" s="59">
        <f>B271*1.1/100</f>
        <v>1.1000000000000001</v>
      </c>
      <c r="F271" s="59">
        <f>B271*0.3/100</f>
        <v>0.3</v>
      </c>
      <c r="G271" s="59">
        <f>B271*0.2/100</f>
        <v>0.2</v>
      </c>
      <c r="H271" s="59">
        <f>B271*0.4/100</f>
        <v>0.4</v>
      </c>
      <c r="I271" s="59">
        <f>B271*0.01/100</f>
        <v>0.01</v>
      </c>
      <c r="J271" s="59">
        <f>B271*0.01/100</f>
        <v>0.01</v>
      </c>
      <c r="K271" s="59">
        <f>B271*84/100</f>
        <v>84</v>
      </c>
      <c r="L271" s="59">
        <v>0</v>
      </c>
      <c r="M271" s="59" t="s">
        <v>454</v>
      </c>
      <c r="N271" s="59">
        <f>B271*332/100</f>
        <v>332</v>
      </c>
      <c r="O271" s="59">
        <f>B271*34/100</f>
        <v>34</v>
      </c>
      <c r="P271" s="59">
        <f>B271*0.07/100</f>
        <v>7.0000000000000007E-2</v>
      </c>
      <c r="Q271" s="59">
        <f>B271*327/100</f>
        <v>327</v>
      </c>
      <c r="R271" s="59">
        <f>B271*0.5/100</f>
        <v>0.5</v>
      </c>
      <c r="S271" s="59">
        <f>B271*120/100</f>
        <v>120</v>
      </c>
      <c r="T271" s="59">
        <f>B271*304/100</f>
        <v>304</v>
      </c>
      <c r="U271" s="59">
        <f>B271*0.1/100</f>
        <v>0.1</v>
      </c>
      <c r="V271" s="59">
        <f>B271*0.6/100</f>
        <v>0.6</v>
      </c>
      <c r="W271" s="59" t="s">
        <v>455</v>
      </c>
      <c r="X271" s="59">
        <f>B271*0.08/100</f>
        <v>0.08</v>
      </c>
      <c r="Y271" s="59" t="s">
        <v>455</v>
      </c>
      <c r="Z271" s="59" t="s">
        <v>455</v>
      </c>
      <c r="AA271" s="59">
        <f>B271*6.6/100</f>
        <v>6.6</v>
      </c>
      <c r="AB271" s="59"/>
      <c r="AC271" s="34"/>
    </row>
    <row r="272" spans="1:29" s="55" customFormat="1">
      <c r="A272" s="60" t="s">
        <v>675</v>
      </c>
      <c r="B272" s="59">
        <v>100</v>
      </c>
      <c r="C272" s="59">
        <f>B272*192/100</f>
        <v>192</v>
      </c>
      <c r="D272" s="59">
        <f>B272*36.5/100</f>
        <v>36.5</v>
      </c>
      <c r="E272" s="59">
        <f>B272*4/100</f>
        <v>4</v>
      </c>
      <c r="F272" s="59">
        <f>B272*1.8/100</f>
        <v>1.8</v>
      </c>
      <c r="G272" s="59">
        <f>B272*1.3/100</f>
        <v>1.3</v>
      </c>
      <c r="H272" s="59">
        <f>B272*0.3/100</f>
        <v>0.3</v>
      </c>
      <c r="I272" s="59">
        <f>B272*0.12/100</f>
        <v>0.12</v>
      </c>
      <c r="J272" s="59">
        <f>B272*0.06/100</f>
        <v>0.06</v>
      </c>
      <c r="K272" s="59">
        <f>B272*126/100</f>
        <v>126</v>
      </c>
      <c r="L272" s="59">
        <v>0</v>
      </c>
      <c r="M272" s="59" t="s">
        <v>454</v>
      </c>
      <c r="N272" s="59">
        <f>B272*114/100</f>
        <v>114</v>
      </c>
      <c r="O272" s="59">
        <f>B272*42/100</f>
        <v>42</v>
      </c>
      <c r="P272" s="59">
        <f>B272*0.08/100</f>
        <v>0.08</v>
      </c>
      <c r="Q272" s="59">
        <f>B272*332/100</f>
        <v>332</v>
      </c>
      <c r="R272" s="59">
        <f>B272*0.8/100</f>
        <v>0.8</v>
      </c>
      <c r="S272" s="59">
        <f>B272*81/100</f>
        <v>81</v>
      </c>
      <c r="T272" s="59">
        <f>B272*527/100</f>
        <v>527</v>
      </c>
      <c r="U272" s="59">
        <f>B272*0.04/100</f>
        <v>0.04</v>
      </c>
      <c r="V272" s="59">
        <f>B272*2.1/100</f>
        <v>2.1</v>
      </c>
      <c r="W272" s="59">
        <f>B272*7/100</f>
        <v>7</v>
      </c>
      <c r="X272" s="59">
        <f>B272*0.03/100</f>
        <v>0.03</v>
      </c>
      <c r="Y272" s="59" t="s">
        <v>455</v>
      </c>
      <c r="Z272" s="59" t="s">
        <v>455</v>
      </c>
      <c r="AA272" s="59">
        <f>B272*6.63/100</f>
        <v>6.63</v>
      </c>
      <c r="AB272" s="59"/>
      <c r="AC272" s="34"/>
    </row>
    <row r="273" spans="1:31" s="55" customFormat="1">
      <c r="A273" s="60" t="s">
        <v>676</v>
      </c>
      <c r="B273" s="59">
        <v>100</v>
      </c>
      <c r="C273" s="59">
        <f>B273*91/100</f>
        <v>91</v>
      </c>
      <c r="D273" s="59">
        <f>B273*18.6/100</f>
        <v>18.600000000000001</v>
      </c>
      <c r="E273" s="59">
        <f>B273*1.3/100</f>
        <v>1.3</v>
      </c>
      <c r="F273" s="59">
        <f>B273*0.6/100</f>
        <v>0.6</v>
      </c>
      <c r="G273" s="59">
        <f>B273*0.4/100</f>
        <v>0.4</v>
      </c>
      <c r="H273" s="59">
        <f>B273*0.1/100</f>
        <v>0.1</v>
      </c>
      <c r="I273" s="59">
        <f>B273*0.02/100</f>
        <v>0.02</v>
      </c>
      <c r="J273" s="59">
        <f>B273*0.02/100</f>
        <v>0.02</v>
      </c>
      <c r="K273" s="59">
        <f>B273*50/100</f>
        <v>50</v>
      </c>
      <c r="L273" s="59">
        <v>0</v>
      </c>
      <c r="M273" s="59" t="s">
        <v>454</v>
      </c>
      <c r="N273" s="59">
        <f>B273*12/100</f>
        <v>12</v>
      </c>
      <c r="O273" s="59">
        <f>B273*24/100</f>
        <v>24</v>
      </c>
      <c r="P273" s="59">
        <f>B273*0.01/100</f>
        <v>0.01</v>
      </c>
      <c r="Q273" s="59">
        <f>B273*174/100</f>
        <v>174</v>
      </c>
      <c r="R273" s="59">
        <f>B273*0.2/100</f>
        <v>0.2</v>
      </c>
      <c r="S273" s="59">
        <f>B273*43/100</f>
        <v>43</v>
      </c>
      <c r="T273" s="59">
        <f>B273*294/100</f>
        <v>294</v>
      </c>
      <c r="U273" s="59">
        <f>B273*0.03/100</f>
        <v>0.03</v>
      </c>
      <c r="V273" s="59">
        <f>B273*0.4/100</f>
        <v>0.4</v>
      </c>
      <c r="W273" s="59" t="s">
        <v>455</v>
      </c>
      <c r="X273" s="59" t="s">
        <v>455</v>
      </c>
      <c r="Y273" s="59" t="s">
        <v>455</v>
      </c>
      <c r="Z273" s="59" t="s">
        <v>455</v>
      </c>
      <c r="AA273" s="59" t="s">
        <v>23</v>
      </c>
      <c r="AB273" s="59"/>
      <c r="AC273" s="34"/>
    </row>
    <row r="274" spans="1:31" s="55" customFormat="1">
      <c r="A274" s="60" t="s">
        <v>677</v>
      </c>
      <c r="B274" s="59">
        <v>100</v>
      </c>
      <c r="C274" s="59">
        <f>B274*152/100</f>
        <v>152</v>
      </c>
      <c r="D274" s="59">
        <f>B274*30.8/100</f>
        <v>30.8</v>
      </c>
      <c r="E274" s="59">
        <f>B274*2.3/100</f>
        <v>2.2999999999999998</v>
      </c>
      <c r="F274" s="59">
        <f>B274*1.1/100</f>
        <v>1.1000000000000001</v>
      </c>
      <c r="G274" s="59">
        <f>B274*0.7/100</f>
        <v>0.7</v>
      </c>
      <c r="H274" s="59">
        <f>B274*0.2/100</f>
        <v>0.2</v>
      </c>
      <c r="I274" s="59">
        <f>B274*0.09/100</f>
        <v>0.09</v>
      </c>
      <c r="J274" s="59">
        <f>B274*0.02/100</f>
        <v>0.02</v>
      </c>
      <c r="K274" s="59">
        <f>B274*99/100</f>
        <v>99</v>
      </c>
      <c r="L274" s="59">
        <v>0</v>
      </c>
      <c r="M274" s="59" t="s">
        <v>454</v>
      </c>
      <c r="N274" s="59">
        <f>B274*69/100</f>
        <v>69</v>
      </c>
      <c r="O274" s="59">
        <f>B274*27/100</f>
        <v>27</v>
      </c>
      <c r="P274" s="59">
        <f>B274*0.03/100</f>
        <v>0.03</v>
      </c>
      <c r="Q274" s="59">
        <f>B274*237/100</f>
        <v>237</v>
      </c>
      <c r="R274" s="59">
        <f>B274*0.5/100</f>
        <v>0.5</v>
      </c>
      <c r="S274" s="59">
        <f>B274*53/100</f>
        <v>53</v>
      </c>
      <c r="T274" s="59">
        <f>B274*360/100</f>
        <v>360</v>
      </c>
      <c r="U274" s="59">
        <f>B274*0.04/100</f>
        <v>0.04</v>
      </c>
      <c r="V274" s="59">
        <f>B274*0.8/100</f>
        <v>0.8</v>
      </c>
      <c r="W274" s="59">
        <f>B274*5/100</f>
        <v>5</v>
      </c>
      <c r="X274" s="59">
        <f>B274*0.03/100</f>
        <v>0.03</v>
      </c>
      <c r="Y274" s="59" t="s">
        <v>455</v>
      </c>
      <c r="Z274" s="59" t="s">
        <v>455</v>
      </c>
      <c r="AA274" s="59">
        <f>B274*2.87/100</f>
        <v>2.87</v>
      </c>
      <c r="AB274" s="59"/>
      <c r="AC274" s="34"/>
    </row>
    <row r="275" spans="1:31" s="55" customFormat="1">
      <c r="A275" s="60" t="s">
        <v>678</v>
      </c>
      <c r="B275" s="59">
        <v>100</v>
      </c>
      <c r="C275" s="59">
        <f>B275*93/100</f>
        <v>93</v>
      </c>
      <c r="D275" s="59">
        <f>B275*20.5/100</f>
        <v>20.5</v>
      </c>
      <c r="E275" s="59">
        <f>B275*0.6/100</f>
        <v>0.6</v>
      </c>
      <c r="F275" s="59">
        <f>B275*0.4/100</f>
        <v>0.4</v>
      </c>
      <c r="G275" s="59">
        <f>B275*0.1/100</f>
        <v>0.1</v>
      </c>
      <c r="H275" s="59" t="s">
        <v>455</v>
      </c>
      <c r="I275" s="59">
        <f>B275*0.02/100</f>
        <v>0.02</v>
      </c>
      <c r="J275" s="59" t="s">
        <v>455</v>
      </c>
      <c r="K275" s="59">
        <f>B275*49/100</f>
        <v>49</v>
      </c>
      <c r="L275" s="59">
        <v>0</v>
      </c>
      <c r="M275" s="59" t="s">
        <v>454</v>
      </c>
      <c r="N275" s="59">
        <f>B275*26/100</f>
        <v>26</v>
      </c>
      <c r="O275" s="59">
        <f>B275*24/100</f>
        <v>24</v>
      </c>
      <c r="P275" s="59">
        <f>B275*0.05/100</f>
        <v>0.05</v>
      </c>
      <c r="Q275" s="59">
        <f>B275*207/100</f>
        <v>207</v>
      </c>
      <c r="R275" s="59">
        <f>B275*0.4/100</f>
        <v>0.4</v>
      </c>
      <c r="S275" s="59">
        <f>B275*67/100</f>
        <v>67</v>
      </c>
      <c r="T275" s="59">
        <f>B275*313/100</f>
        <v>313</v>
      </c>
      <c r="U275" s="59">
        <f>B275*0.04/100</f>
        <v>0.04</v>
      </c>
      <c r="V275" s="59">
        <f>B275*0.7/100</f>
        <v>0.7</v>
      </c>
      <c r="W275" s="59">
        <f>B275*5/100</f>
        <v>5</v>
      </c>
      <c r="X275" s="59" t="s">
        <v>455</v>
      </c>
      <c r="Y275" s="59" t="s">
        <v>455</v>
      </c>
      <c r="Z275" s="59" t="s">
        <v>455</v>
      </c>
      <c r="AA275" s="59" t="s">
        <v>23</v>
      </c>
      <c r="AB275" s="59"/>
      <c r="AC275" s="34"/>
    </row>
    <row r="276" spans="1:31" s="55" customFormat="1">
      <c r="A276" s="60" t="s">
        <v>679</v>
      </c>
      <c r="B276" s="59">
        <v>100</v>
      </c>
      <c r="C276" s="59">
        <f>B276*164/100</f>
        <v>164</v>
      </c>
      <c r="D276" s="59">
        <f>B276*32.2/100</f>
        <v>32.200000000000003</v>
      </c>
      <c r="E276" s="59">
        <f>B276*3/100</f>
        <v>3</v>
      </c>
      <c r="F276" s="59">
        <f>B276*1.7/100</f>
        <v>1.7</v>
      </c>
      <c r="G276" s="59">
        <f>B276*0.5/100</f>
        <v>0.5</v>
      </c>
      <c r="H276" s="59">
        <f>B276*0.3/100</f>
        <v>0.3</v>
      </c>
      <c r="I276" s="59">
        <f>B276*0.04/100</f>
        <v>0.04</v>
      </c>
      <c r="J276" s="59">
        <f>B276*0.02/100</f>
        <v>0.02</v>
      </c>
      <c r="K276" s="59">
        <f>B276*109/100</f>
        <v>109</v>
      </c>
      <c r="L276" s="59">
        <v>0</v>
      </c>
      <c r="M276" s="59" t="s">
        <v>454</v>
      </c>
      <c r="N276" s="59">
        <f>B276*438/100</f>
        <v>438</v>
      </c>
      <c r="O276" s="59">
        <f>B276*51/100</f>
        <v>51</v>
      </c>
      <c r="P276" s="59">
        <f>B276*0.24/100</f>
        <v>0.24</v>
      </c>
      <c r="Q276" s="59">
        <f>B276*578/100</f>
        <v>578</v>
      </c>
      <c r="R276" s="59">
        <f>B276*1.3/100</f>
        <v>1.3</v>
      </c>
      <c r="S276" s="59">
        <f>B276*74/100</f>
        <v>74</v>
      </c>
      <c r="T276" s="59">
        <f>B276*574/100</f>
        <v>574</v>
      </c>
      <c r="U276" s="59">
        <f>B276*0.14/100</f>
        <v>0.14000000000000001</v>
      </c>
      <c r="V276" s="59">
        <f>B276*1.8/100</f>
        <v>1.8</v>
      </c>
      <c r="W276" s="59" t="s">
        <v>455</v>
      </c>
      <c r="X276" s="59">
        <f>B276*0.06/100</f>
        <v>0.06</v>
      </c>
      <c r="Y276" s="59" t="s">
        <v>455</v>
      </c>
      <c r="Z276" s="59" t="s">
        <v>455</v>
      </c>
      <c r="AA276" s="59">
        <f>B276*5.83/100</f>
        <v>5.83</v>
      </c>
      <c r="AB276" s="59"/>
      <c r="AC276" s="34"/>
    </row>
    <row r="277" spans="1:31" s="55" customFormat="1">
      <c r="A277" s="60" t="s">
        <v>680</v>
      </c>
      <c r="B277" s="59">
        <v>100</v>
      </c>
      <c r="C277" s="59">
        <f>B277*285/100</f>
        <v>285</v>
      </c>
      <c r="D277" s="59">
        <f>B277*15.9/100</f>
        <v>15.9</v>
      </c>
      <c r="E277" s="59">
        <f>B277*24/100</f>
        <v>24</v>
      </c>
      <c r="F277" s="59">
        <f>B277*4.1/100</f>
        <v>4.0999999999999996</v>
      </c>
      <c r="G277" s="59">
        <f>B277*5.5/100</f>
        <v>5.5</v>
      </c>
      <c r="H277" s="59">
        <f>B277*11.9/100</f>
        <v>11.9</v>
      </c>
      <c r="I277" s="59">
        <f>B277*9.78/100</f>
        <v>9.7799999999999994</v>
      </c>
      <c r="J277" s="59">
        <f>B277*0.99/100</f>
        <v>0.99</v>
      </c>
      <c r="K277" s="59">
        <f>B277*73/100</f>
        <v>73</v>
      </c>
      <c r="L277" s="59">
        <v>0</v>
      </c>
      <c r="M277" s="59" t="s">
        <v>454</v>
      </c>
      <c r="N277" s="59">
        <f>B277*550/100</f>
        <v>550</v>
      </c>
      <c r="O277" s="59">
        <f>B277*35/100</f>
        <v>35</v>
      </c>
      <c r="P277" s="59">
        <f>B277*0.11/100</f>
        <v>0.11</v>
      </c>
      <c r="Q277" s="59">
        <f>B277*496/100</f>
        <v>496</v>
      </c>
      <c r="R277" s="59">
        <f>B277*3.5/100</f>
        <v>3.5</v>
      </c>
      <c r="S277" s="59">
        <f>B277*666/100</f>
        <v>666</v>
      </c>
      <c r="T277" s="59">
        <f>B277*367/100</f>
        <v>367</v>
      </c>
      <c r="U277" s="59">
        <f>B277*0.03/100</f>
        <v>0.03</v>
      </c>
      <c r="V277" s="59">
        <f>B277*1.6/100</f>
        <v>1.6</v>
      </c>
      <c r="W277" s="59" t="s">
        <v>455</v>
      </c>
      <c r="X277" s="59">
        <f>B277*0.42/100</f>
        <v>0.42</v>
      </c>
      <c r="Y277" s="59">
        <f>B277*0.04/100</f>
        <v>0.04</v>
      </c>
      <c r="Z277" s="59" t="s">
        <v>455</v>
      </c>
      <c r="AA277" s="59" t="s">
        <v>23</v>
      </c>
      <c r="AB277" s="59"/>
      <c r="AC277" s="34"/>
    </row>
    <row r="278" spans="1:31" s="55" customFormat="1">
      <c r="A278" s="60" t="s">
        <v>681</v>
      </c>
      <c r="B278" s="59">
        <v>100</v>
      </c>
      <c r="C278" s="59">
        <f>B278*257/100</f>
        <v>257</v>
      </c>
      <c r="D278" s="59">
        <f>B278*33.4/100</f>
        <v>33.4</v>
      </c>
      <c r="E278" s="59">
        <f>B278*12.7/100</f>
        <v>12.7</v>
      </c>
      <c r="F278" s="59">
        <f>B278*2.6/100</f>
        <v>2.6</v>
      </c>
      <c r="G278" s="59">
        <f>B278*3.1/100</f>
        <v>3.1</v>
      </c>
      <c r="H278" s="59">
        <f>B278*6.1/100</f>
        <v>6.1</v>
      </c>
      <c r="I278" s="59">
        <f>B278*5.13/100</f>
        <v>5.13</v>
      </c>
      <c r="J278" s="59">
        <f>B278*0.43/100</f>
        <v>0.43</v>
      </c>
      <c r="K278" s="59">
        <f>B278*103/100</f>
        <v>103</v>
      </c>
      <c r="L278" s="59">
        <v>0</v>
      </c>
      <c r="M278" s="59" t="s">
        <v>454</v>
      </c>
      <c r="N278" s="59">
        <f>B278*482/100</f>
        <v>482</v>
      </c>
      <c r="O278" s="59">
        <f>B278*39/100</f>
        <v>39</v>
      </c>
      <c r="P278" s="59">
        <f>B278*0.25/100</f>
        <v>0.25</v>
      </c>
      <c r="Q278" s="59">
        <f>B278*629/100</f>
        <v>629</v>
      </c>
      <c r="R278" s="59">
        <f>B278*1.1/100</f>
        <v>1.1000000000000001</v>
      </c>
      <c r="S278" s="59">
        <f>B278*60/100</f>
        <v>60</v>
      </c>
      <c r="T278" s="59">
        <f>B278*460/100</f>
        <v>460</v>
      </c>
      <c r="U278" s="59">
        <f>B278*0.14/100</f>
        <v>0.14000000000000001</v>
      </c>
      <c r="V278" s="59">
        <f>B278*1.6/100</f>
        <v>1.6</v>
      </c>
      <c r="W278" s="59" t="s">
        <v>455</v>
      </c>
      <c r="X278" s="59">
        <f>B278*0.06/100</f>
        <v>0.06</v>
      </c>
      <c r="Y278" s="59" t="s">
        <v>455</v>
      </c>
      <c r="Z278" s="59" t="s">
        <v>455</v>
      </c>
      <c r="AA278" s="59">
        <f>B278*7.1/100</f>
        <v>7.1</v>
      </c>
      <c r="AB278" s="59"/>
      <c r="AC278" s="34"/>
    </row>
    <row r="279" spans="1:31" s="55" customFormat="1">
      <c r="A279" s="60" t="s">
        <v>682</v>
      </c>
      <c r="B279" s="59">
        <v>100</v>
      </c>
      <c r="C279" s="59">
        <f>B279*114/100</f>
        <v>114</v>
      </c>
      <c r="D279" s="59">
        <f>B279*21.1/100</f>
        <v>21.1</v>
      </c>
      <c r="E279" s="59">
        <f>B279*2.7/100</f>
        <v>2.7</v>
      </c>
      <c r="F279" s="59">
        <f>B279*1.7/100</f>
        <v>1.7</v>
      </c>
      <c r="G279" s="59">
        <f>B279*0.5/100</f>
        <v>0.5</v>
      </c>
      <c r="H279" s="59">
        <f>B279*0.2/100</f>
        <v>0.2</v>
      </c>
      <c r="I279" s="59">
        <f>B279*0.03/100</f>
        <v>0.03</v>
      </c>
      <c r="J279" s="59">
        <f>B279*0.02/100</f>
        <v>0.02</v>
      </c>
      <c r="K279" s="59">
        <f>B279*61/100</f>
        <v>61</v>
      </c>
      <c r="L279" s="59">
        <v>0</v>
      </c>
      <c r="M279" s="59" t="s">
        <v>454</v>
      </c>
      <c r="N279" s="59">
        <f>B279*167/100</f>
        <v>167</v>
      </c>
      <c r="O279" s="59">
        <f>B279*29/100</f>
        <v>29</v>
      </c>
      <c r="P279" s="59">
        <f>B279*0.1/100</f>
        <v>0.1</v>
      </c>
      <c r="Q279" s="59">
        <f>B279*294/100</f>
        <v>294</v>
      </c>
      <c r="R279" s="59">
        <f>B279*1.3/100</f>
        <v>1.3</v>
      </c>
      <c r="S279" s="59">
        <f>B279*60/100</f>
        <v>60</v>
      </c>
      <c r="T279" s="59">
        <f>B279*312/100</f>
        <v>312</v>
      </c>
      <c r="U279" s="59">
        <f>B279*0.13/100</f>
        <v>0.13</v>
      </c>
      <c r="V279" s="59">
        <f>B279*1.3/100</f>
        <v>1.3</v>
      </c>
      <c r="W279" s="59" t="s">
        <v>455</v>
      </c>
      <c r="X279" s="59" t="s">
        <v>455</v>
      </c>
      <c r="Y279" s="59">
        <f>B279*0.07/100</f>
        <v>7.0000000000000007E-2</v>
      </c>
      <c r="Z279" s="59" t="s">
        <v>455</v>
      </c>
      <c r="AA279" s="59" t="s">
        <v>23</v>
      </c>
      <c r="AB279" s="59"/>
      <c r="AC279" s="34"/>
    </row>
    <row r="280" spans="1:31" s="55" customFormat="1">
      <c r="A280" s="60" t="s">
        <v>683</v>
      </c>
      <c r="B280" s="59">
        <v>100</v>
      </c>
      <c r="C280" s="59">
        <f>B280*88/100</f>
        <v>88</v>
      </c>
      <c r="D280" s="59">
        <f>B280*18/100</f>
        <v>18</v>
      </c>
      <c r="E280" s="59">
        <f>B280*1.2/100</f>
        <v>1.2</v>
      </c>
      <c r="F280" s="59">
        <f>B280*0.6/100</f>
        <v>0.6</v>
      </c>
      <c r="G280" s="59">
        <f>B280*0.4/100</f>
        <v>0.4</v>
      </c>
      <c r="H280" s="59">
        <f>B280*0.4/100</f>
        <v>0.4</v>
      </c>
      <c r="I280" s="59">
        <f>B280*0.09/100</f>
        <v>0.09</v>
      </c>
      <c r="J280" s="59">
        <f>B280*0.02/100</f>
        <v>0.02</v>
      </c>
      <c r="K280" s="59">
        <f>B280*47/100</f>
        <v>47</v>
      </c>
      <c r="L280" s="59">
        <v>0</v>
      </c>
      <c r="M280" s="59" t="s">
        <v>454</v>
      </c>
      <c r="N280" s="59">
        <f>B280*19/100</f>
        <v>19</v>
      </c>
      <c r="O280" s="59">
        <f>B280*26/100</f>
        <v>26</v>
      </c>
      <c r="P280" s="59">
        <f>B280*0.01/100</f>
        <v>0.01</v>
      </c>
      <c r="Q280" s="59">
        <f>B280*168/100</f>
        <v>168</v>
      </c>
      <c r="R280" s="59">
        <f>B280*0.3/100</f>
        <v>0.3</v>
      </c>
      <c r="S280" s="59">
        <f>B280*57/100</f>
        <v>57</v>
      </c>
      <c r="T280" s="59">
        <f>B280*288/100</f>
        <v>288</v>
      </c>
      <c r="U280" s="59">
        <f>B280*0.1/100</f>
        <v>0.1</v>
      </c>
      <c r="V280" s="59">
        <f>B280*0.4/100</f>
        <v>0.4</v>
      </c>
      <c r="W280" s="59" t="s">
        <v>455</v>
      </c>
      <c r="X280" s="59" t="s">
        <v>455</v>
      </c>
      <c r="Y280" s="59">
        <f>B280*0.05/100</f>
        <v>0.05</v>
      </c>
      <c r="Z280" s="59" t="s">
        <v>455</v>
      </c>
      <c r="AA280" s="59">
        <f>B280*0.9/100</f>
        <v>0.9</v>
      </c>
      <c r="AB280" s="59"/>
      <c r="AC280" s="34"/>
    </row>
    <row r="281" spans="1:31">
      <c r="A281" s="19" t="s">
        <v>37</v>
      </c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34"/>
      <c r="AD281" s="64"/>
      <c r="AE281" s="64"/>
    </row>
    <row r="282" spans="1:31" s="55" customFormat="1">
      <c r="A282" s="60" t="s">
        <v>684</v>
      </c>
      <c r="B282" s="59">
        <v>100</v>
      </c>
      <c r="C282" s="59">
        <f>B282*241/100</f>
        <v>241</v>
      </c>
      <c r="D282" s="59">
        <f>B282*7.8/100</f>
        <v>7.8</v>
      </c>
      <c r="E282" s="59">
        <f>B282*16.6/100</f>
        <v>16.600000000000001</v>
      </c>
      <c r="F282" s="59">
        <f>B282*7.8/100</f>
        <v>7.8</v>
      </c>
      <c r="G282" s="59">
        <f>B282*2.5/100</f>
        <v>2.5</v>
      </c>
      <c r="H282" s="59">
        <f>B282*0.1/100</f>
        <v>0.1</v>
      </c>
      <c r="I282" s="59">
        <f>B282*0.13/100</f>
        <v>0.13</v>
      </c>
      <c r="J282" s="59"/>
      <c r="K282" s="59"/>
      <c r="L282" s="59">
        <f>B282*15.1/100</f>
        <v>15.1</v>
      </c>
      <c r="M282" s="59"/>
      <c r="N282" s="59">
        <f>B282*129/100</f>
        <v>129</v>
      </c>
      <c r="O282" s="59">
        <f>B282*22/100</f>
        <v>22</v>
      </c>
      <c r="P282" s="59"/>
      <c r="Q282" s="59">
        <f>B282*123/100</f>
        <v>123</v>
      </c>
      <c r="R282" s="59" t="s">
        <v>455</v>
      </c>
      <c r="S282" s="59">
        <f>B282*22180/100</f>
        <v>22180</v>
      </c>
      <c r="T282" s="59">
        <f>B282*218/100</f>
        <v>218</v>
      </c>
      <c r="U282" s="59" t="s">
        <v>455</v>
      </c>
      <c r="V282" s="59" t="s">
        <v>455</v>
      </c>
      <c r="W282" s="59" t="s">
        <v>455</v>
      </c>
      <c r="X282" s="59">
        <f>B282*0.7/100</f>
        <v>0.7</v>
      </c>
      <c r="Y282" s="59">
        <f>B282*0.07/100</f>
        <v>7.0000000000000007E-2</v>
      </c>
      <c r="Z282" s="59">
        <f>B282*0.27/100</f>
        <v>0.27</v>
      </c>
      <c r="AA282" s="59"/>
      <c r="AB282" s="59"/>
      <c r="AC282" s="34"/>
      <c r="AD282" s="64"/>
      <c r="AE282" s="64"/>
    </row>
    <row r="283" spans="1:31" s="55" customFormat="1">
      <c r="A283" s="60" t="s">
        <v>685</v>
      </c>
      <c r="B283" s="59">
        <v>100</v>
      </c>
      <c r="C283" s="59">
        <f>B283*251/100</f>
        <v>251</v>
      </c>
      <c r="D283" s="59">
        <f>B283*6.3/100</f>
        <v>6.3</v>
      </c>
      <c r="E283" s="59">
        <f>B283*20.4/100</f>
        <v>20.399999999999999</v>
      </c>
      <c r="F283" s="59">
        <f>B283*9.4/100</f>
        <v>9.4</v>
      </c>
      <c r="G283" s="59">
        <f>B283*3.2/100</f>
        <v>3.2</v>
      </c>
      <c r="H283" s="59">
        <f>B283*0.2/100</f>
        <v>0.2</v>
      </c>
      <c r="I283" s="59">
        <f>B283*0.25/100</f>
        <v>0.25</v>
      </c>
      <c r="J283" s="59"/>
      <c r="K283" s="59">
        <f>B283*2/100</f>
        <v>2</v>
      </c>
      <c r="L283" s="59">
        <f>B283*10.6/100</f>
        <v>10.6</v>
      </c>
      <c r="M283" s="59">
        <f>B283*11.8/100</f>
        <v>11.8</v>
      </c>
      <c r="N283" s="59">
        <f>B283*16/100</f>
        <v>16</v>
      </c>
      <c r="O283" s="59">
        <f>B283*13/100</f>
        <v>13</v>
      </c>
      <c r="P283" s="59">
        <f>B283*0.13/100</f>
        <v>0.13</v>
      </c>
      <c r="Q283" s="59">
        <f>B283*48/100</f>
        <v>48</v>
      </c>
      <c r="R283" s="59">
        <f>B283*0.7/100</f>
        <v>0.7</v>
      </c>
      <c r="S283" s="59">
        <f>B283*22300/100</f>
        <v>22300</v>
      </c>
      <c r="T283" s="59">
        <f>B283*68/100</f>
        <v>68</v>
      </c>
      <c r="U283" s="59" t="s">
        <v>455</v>
      </c>
      <c r="V283" s="59">
        <f>B283*0.3/100</f>
        <v>0.3</v>
      </c>
      <c r="W283" s="59" t="s">
        <v>455</v>
      </c>
      <c r="X283" s="59">
        <f>B283*0.05/100</f>
        <v>0.05</v>
      </c>
      <c r="Y283" s="59">
        <f>B283*0.04/100</f>
        <v>0.04</v>
      </c>
      <c r="Z283" s="59" t="s">
        <v>455</v>
      </c>
      <c r="AA283" s="59">
        <f>B283*21.7/100</f>
        <v>21.7</v>
      </c>
      <c r="AB283" s="59"/>
      <c r="AC283" s="34"/>
      <c r="AD283" s="64"/>
      <c r="AE283" s="64"/>
    </row>
    <row r="284" spans="1:31" s="55" customFormat="1">
      <c r="A284" s="60" t="s">
        <v>687</v>
      </c>
      <c r="B284" s="59">
        <v>100</v>
      </c>
      <c r="C284" s="59">
        <f>B284*212/100</f>
        <v>212</v>
      </c>
      <c r="D284" s="59">
        <f>B284*26.7/100</f>
        <v>26.7</v>
      </c>
      <c r="E284" s="59">
        <f>B284*10.9/100</f>
        <v>10.9</v>
      </c>
      <c r="F284" s="59">
        <f>B284*4.8/100</f>
        <v>4.8</v>
      </c>
      <c r="G284" s="59">
        <f>B284*4.6/100</f>
        <v>4.5999999999999996</v>
      </c>
      <c r="H284" s="59">
        <f>B284*0.3/100</f>
        <v>0.3</v>
      </c>
      <c r="I284" s="59">
        <f>B284*0.22/100</f>
        <v>0.22</v>
      </c>
      <c r="J284" s="59">
        <f>B284*0.02/100</f>
        <v>0.02</v>
      </c>
      <c r="K284" s="59">
        <f>B284*103/100</f>
        <v>103</v>
      </c>
      <c r="L284" s="59">
        <v>0</v>
      </c>
      <c r="M284" s="59" t="s">
        <v>454</v>
      </c>
      <c r="N284" s="59">
        <f>B284*4/100</f>
        <v>4</v>
      </c>
      <c r="O284" s="59">
        <f>B284*17/100</f>
        <v>17</v>
      </c>
      <c r="P284" s="59">
        <f>B284*0.01/100</f>
        <v>0.01</v>
      </c>
      <c r="Q284" s="59">
        <f>B284*164/100</f>
        <v>164</v>
      </c>
      <c r="R284" s="59">
        <f>B284*2.7/100</f>
        <v>2.7</v>
      </c>
      <c r="S284" s="59">
        <f>B284*52/100</f>
        <v>52</v>
      </c>
      <c r="T284" s="59">
        <f>B284*256/100</f>
        <v>256</v>
      </c>
      <c r="U284" s="59">
        <f>B284*0.06/100</f>
        <v>0.06</v>
      </c>
      <c r="V284" s="59">
        <f>B284*8.1/100</f>
        <v>8.1</v>
      </c>
      <c r="W284" s="59" t="s">
        <v>455</v>
      </c>
      <c r="X284" s="59" t="s">
        <v>455</v>
      </c>
      <c r="Y284" s="59">
        <f>B284*0.32/100</f>
        <v>0.32</v>
      </c>
      <c r="Z284" s="59" t="s">
        <v>455</v>
      </c>
      <c r="AA284" s="59">
        <f>B284*1.76/100</f>
        <v>1.76</v>
      </c>
      <c r="AB284" s="59"/>
      <c r="AC284" s="34"/>
      <c r="AD284" s="64"/>
      <c r="AE284" s="64"/>
    </row>
    <row r="285" spans="1:31" s="55" customFormat="1">
      <c r="A285" s="60" t="s">
        <v>688</v>
      </c>
      <c r="B285" s="59">
        <v>100</v>
      </c>
      <c r="C285" s="59">
        <f>B285*137/100</f>
        <v>137</v>
      </c>
      <c r="D285" s="59">
        <f>B285*19.4/100</f>
        <v>19.399999999999999</v>
      </c>
      <c r="E285" s="59">
        <f>B285*5.9/100</f>
        <v>5.9</v>
      </c>
      <c r="F285" s="59">
        <f>B285*2.7/100</f>
        <v>2.7</v>
      </c>
      <c r="G285" s="59">
        <f>B285*2.4/100</f>
        <v>2.4</v>
      </c>
      <c r="H285" s="59">
        <f>B285*0.1/100</f>
        <v>0.1</v>
      </c>
      <c r="I285" s="59">
        <f>B285*0.12/100</f>
        <v>0.12</v>
      </c>
      <c r="J285" s="59">
        <f>B285*0.01/100</f>
        <v>0.01</v>
      </c>
      <c r="K285" s="59">
        <f>B285*58/100</f>
        <v>58</v>
      </c>
      <c r="L285" s="59">
        <v>0</v>
      </c>
      <c r="M285" s="59" t="s">
        <v>454</v>
      </c>
      <c r="N285" s="59">
        <f>B285*3/100</f>
        <v>3</v>
      </c>
      <c r="O285" s="59">
        <f>B285*14/100</f>
        <v>14</v>
      </c>
      <c r="P285" s="59" t="s">
        <v>455</v>
      </c>
      <c r="Q285" s="59">
        <f>B285*158/100</f>
        <v>158</v>
      </c>
      <c r="R285" s="59">
        <f>B285*1.8/100</f>
        <v>1.8</v>
      </c>
      <c r="S285" s="59">
        <f>B285*49/100</f>
        <v>49</v>
      </c>
      <c r="T285" s="59">
        <f>B285*237/100</f>
        <v>237</v>
      </c>
      <c r="U285" s="59">
        <f>B285*0.08/100</f>
        <v>0.08</v>
      </c>
      <c r="V285" s="59">
        <f>B285*6.3/100</f>
        <v>6.3</v>
      </c>
      <c r="W285" s="59">
        <f>B285*2/100</f>
        <v>2</v>
      </c>
      <c r="X285" s="59">
        <f>B285*0.15/100</f>
        <v>0.15</v>
      </c>
      <c r="Y285" s="59">
        <f>B285*0.21/100</f>
        <v>0.21</v>
      </c>
      <c r="Z285" s="59">
        <f>B285*0.03/100</f>
        <v>0.03</v>
      </c>
      <c r="AA285" s="59">
        <f>B285*4.33/100</f>
        <v>4.33</v>
      </c>
      <c r="AB285" s="59"/>
      <c r="AC285" s="34"/>
      <c r="AD285" s="64"/>
      <c r="AE285" s="64"/>
    </row>
    <row r="286" spans="1:31" s="55" customFormat="1">
      <c r="A286" s="60" t="s">
        <v>689</v>
      </c>
      <c r="B286" s="59">
        <v>100</v>
      </c>
      <c r="C286" s="59">
        <f>B286*215/100</f>
        <v>215</v>
      </c>
      <c r="D286" s="59">
        <f>B286*27.3/100</f>
        <v>27.3</v>
      </c>
      <c r="E286" s="59">
        <f>B286*10.9/100</f>
        <v>10.9</v>
      </c>
      <c r="F286" s="59">
        <f>B286*5.5/100</f>
        <v>5.5</v>
      </c>
      <c r="G286" s="59">
        <f>B286*3.7/100</f>
        <v>3.7</v>
      </c>
      <c r="H286" s="59">
        <f>B286*0.3/100</f>
        <v>0.3</v>
      </c>
      <c r="I286" s="59">
        <f>B286*0.22/100</f>
        <v>0.22</v>
      </c>
      <c r="J286" s="59">
        <f>B286*0.03/100</f>
        <v>0.03</v>
      </c>
      <c r="K286" s="59">
        <f>B286*107/100</f>
        <v>107</v>
      </c>
      <c r="L286" s="59">
        <v>0</v>
      </c>
      <c r="M286" s="59" t="s">
        <v>454</v>
      </c>
      <c r="N286" s="59">
        <f>B286*7/100</f>
        <v>7</v>
      </c>
      <c r="O286" s="59">
        <f>B286*14/100</f>
        <v>14</v>
      </c>
      <c r="P286" s="59" t="s">
        <v>455</v>
      </c>
      <c r="Q286" s="59">
        <f>B286*164/100</f>
        <v>164</v>
      </c>
      <c r="R286" s="59">
        <f>B286*2.4/100</f>
        <v>2.4</v>
      </c>
      <c r="S286" s="59">
        <f>B286*56/100</f>
        <v>56</v>
      </c>
      <c r="T286" s="59">
        <f>B286*254/100</f>
        <v>254</v>
      </c>
      <c r="U286" s="59">
        <f>B286*0.07/100</f>
        <v>7.0000000000000007E-2</v>
      </c>
      <c r="V286" s="59">
        <f>B286*8/100</f>
        <v>8</v>
      </c>
      <c r="W286" s="59" t="s">
        <v>455</v>
      </c>
      <c r="X286" s="59" t="s">
        <v>455</v>
      </c>
      <c r="Y286" s="59">
        <f>B286*0.04/100</f>
        <v>0.04</v>
      </c>
      <c r="Z286" s="59">
        <f>B286*0.07/100</f>
        <v>7.0000000000000007E-2</v>
      </c>
      <c r="AA286" s="59">
        <f>B286*1.63/100</f>
        <v>1.63</v>
      </c>
      <c r="AB286" s="59"/>
      <c r="AC286" s="34"/>
      <c r="AD286" s="64"/>
      <c r="AE286" s="64"/>
    </row>
    <row r="287" spans="1:31" s="55" customFormat="1">
      <c r="A287" s="60" t="s">
        <v>690</v>
      </c>
      <c r="B287" s="59">
        <v>100</v>
      </c>
      <c r="C287" s="59">
        <f>B287*144/100</f>
        <v>144</v>
      </c>
      <c r="D287" s="59">
        <f>B287*20.8/100</f>
        <v>20.8</v>
      </c>
      <c r="E287" s="59">
        <f>B287*6.1/100</f>
        <v>6.1</v>
      </c>
      <c r="F287" s="59">
        <f>B287*2.8/100</f>
        <v>2.8</v>
      </c>
      <c r="G287" s="59">
        <f>B287*2.3/100</f>
        <v>2.2999999999999998</v>
      </c>
      <c r="H287" s="59">
        <f>B287*0.2/100</f>
        <v>0.2</v>
      </c>
      <c r="I287" s="59">
        <f>B287*0.14/100</f>
        <v>0.14000000000000001</v>
      </c>
      <c r="J287" s="59">
        <f>B287*0.02/100</f>
        <v>0.02</v>
      </c>
      <c r="K287" s="59">
        <f>B287*53/100</f>
        <v>53</v>
      </c>
      <c r="L287" s="59">
        <v>0</v>
      </c>
      <c r="M287" s="59" t="s">
        <v>454</v>
      </c>
      <c r="N287" s="59">
        <f>B287*5/100</f>
        <v>5</v>
      </c>
      <c r="O287" s="59">
        <f>B287*13/100</f>
        <v>13</v>
      </c>
      <c r="P287" s="59" t="s">
        <v>455</v>
      </c>
      <c r="Q287" s="59">
        <f>B287*144/100</f>
        <v>144</v>
      </c>
      <c r="R287" s="59">
        <f>B287*1.5/100</f>
        <v>1.5</v>
      </c>
      <c r="S287" s="59">
        <f>B287*50/100</f>
        <v>50</v>
      </c>
      <c r="T287" s="59">
        <f>B287*234/100</f>
        <v>234</v>
      </c>
      <c r="U287" s="59">
        <f>B287*0.04/100</f>
        <v>0.04</v>
      </c>
      <c r="V287" s="59">
        <f>B287*5.2/100</f>
        <v>5.2</v>
      </c>
      <c r="W287" s="59">
        <f>B287*2/100</f>
        <v>2</v>
      </c>
      <c r="X287" s="59">
        <f>B287*0.12/100</f>
        <v>0.12</v>
      </c>
      <c r="Y287" s="59">
        <f>B287*0.12/100</f>
        <v>0.12</v>
      </c>
      <c r="Z287" s="59" t="s">
        <v>455</v>
      </c>
      <c r="AA287" s="59">
        <f>B287*2.33/100</f>
        <v>2.33</v>
      </c>
      <c r="AB287" s="59"/>
      <c r="AC287" s="34"/>
      <c r="AD287" s="64"/>
      <c r="AE287" s="64"/>
    </row>
    <row r="288" spans="1:31" s="55" customFormat="1">
      <c r="A288" s="60" t="s">
        <v>686</v>
      </c>
      <c r="B288" s="59">
        <v>100</v>
      </c>
      <c r="C288" s="59">
        <f>B288*189/100</f>
        <v>189</v>
      </c>
      <c r="D288" s="59">
        <f>B288*12.3/100</f>
        <v>12.3</v>
      </c>
      <c r="E288" s="59">
        <f>B288*11.2/100</f>
        <v>11.2</v>
      </c>
      <c r="F288" s="59">
        <f>B288*3.9/100</f>
        <v>3.9</v>
      </c>
      <c r="G288" s="59">
        <f>B288*3.5/100</f>
        <v>3.5</v>
      </c>
      <c r="H288" s="59">
        <f>B288*0.9/100</f>
        <v>0.9</v>
      </c>
      <c r="I288" s="59">
        <f>B288*0.81/100</f>
        <v>0.81</v>
      </c>
      <c r="J288" s="59">
        <f>B288*0.09/100</f>
        <v>0.09</v>
      </c>
      <c r="K288" s="59">
        <f>B288*34/100</f>
        <v>34</v>
      </c>
      <c r="L288" s="59">
        <f>B288*9.8/100</f>
        <v>9.8000000000000007</v>
      </c>
      <c r="M288" s="59" t="s">
        <v>23</v>
      </c>
      <c r="N288" s="59">
        <f>B288*22/100</f>
        <v>22</v>
      </c>
      <c r="O288" s="59">
        <f>B288*24/100</f>
        <v>24</v>
      </c>
      <c r="P288" s="59">
        <f>B288*0.17/100</f>
        <v>0.17</v>
      </c>
      <c r="Q288" s="59">
        <f>B288*145/100</f>
        <v>145</v>
      </c>
      <c r="R288" s="59">
        <f>B288*1.6/100</f>
        <v>1.6</v>
      </c>
      <c r="S288" s="59">
        <f>B288*621/100</f>
        <v>621</v>
      </c>
      <c r="T288" s="59">
        <f>B288*328/100</f>
        <v>328</v>
      </c>
      <c r="U288" s="59">
        <f>B288*0.15/100</f>
        <v>0.15</v>
      </c>
      <c r="V288" s="59">
        <f>B288*2.3/100</f>
        <v>2.2999999999999998</v>
      </c>
      <c r="W288" s="59" t="s">
        <v>455</v>
      </c>
      <c r="X288" s="59">
        <f>B288*0.11/100</f>
        <v>0.11</v>
      </c>
      <c r="Y288" s="59">
        <f>B288*0.04/100</f>
        <v>0.04</v>
      </c>
      <c r="Z288" s="59" t="s">
        <v>455</v>
      </c>
      <c r="AA288" s="59">
        <f>B288*2.2/100</f>
        <v>2.2000000000000002</v>
      </c>
      <c r="AB288" s="59"/>
      <c r="AC288" s="34"/>
      <c r="AD288" s="64"/>
      <c r="AE288" s="64"/>
    </row>
    <row r="289" spans="1:31" s="55" customFormat="1">
      <c r="A289" s="60" t="s">
        <v>691</v>
      </c>
      <c r="B289" s="59">
        <v>100</v>
      </c>
      <c r="C289" s="59">
        <f>B289*272/100</f>
        <v>272</v>
      </c>
      <c r="D289" s="59">
        <f>B289*18.2/100</f>
        <v>18.2</v>
      </c>
      <c r="E289" s="59">
        <f>B289*15.8/100</f>
        <v>15.8</v>
      </c>
      <c r="F289" s="59">
        <f>B289*4.2/100</f>
        <v>4.2</v>
      </c>
      <c r="G289" s="59">
        <f>B289*5/100</f>
        <v>5</v>
      </c>
      <c r="H289" s="59">
        <f>B289*5.5/100</f>
        <v>5.5</v>
      </c>
      <c r="I289" s="59">
        <f>B289*4.89/100</f>
        <v>4.8899999999999997</v>
      </c>
      <c r="J289" s="59">
        <f>B289*0.52/100</f>
        <v>0.52</v>
      </c>
      <c r="K289" s="59">
        <f>B289*36/100</f>
        <v>36</v>
      </c>
      <c r="L289" s="59">
        <f>B289*14.3/100</f>
        <v>14.3</v>
      </c>
      <c r="M289" s="59">
        <f>B289*3.6/100</f>
        <v>3.6</v>
      </c>
      <c r="N289" s="59">
        <f>B289*27/100</f>
        <v>27</v>
      </c>
      <c r="O289" s="59">
        <f>B289*48/100</f>
        <v>48</v>
      </c>
      <c r="P289" s="59">
        <f>B289*0.41/100</f>
        <v>0.41</v>
      </c>
      <c r="Q289" s="59">
        <f>B289*244/100</f>
        <v>244</v>
      </c>
      <c r="R289" s="59">
        <f>B289*1.9/100</f>
        <v>1.9</v>
      </c>
      <c r="S289" s="59">
        <f>B289*1030/100</f>
        <v>1030</v>
      </c>
      <c r="T289" s="59">
        <f>B289*536/100</f>
        <v>536</v>
      </c>
      <c r="U289" s="59">
        <f>B289*0.19/100</f>
        <v>0.19</v>
      </c>
      <c r="V289" s="59">
        <f>B289*2.6/100</f>
        <v>2.6</v>
      </c>
      <c r="W289" s="59" t="s">
        <v>455</v>
      </c>
      <c r="X289" s="59">
        <f>B289*0.13/100</f>
        <v>0.13</v>
      </c>
      <c r="Y289" s="59">
        <f>B289*0.07/100</f>
        <v>7.0000000000000007E-2</v>
      </c>
      <c r="Z289" s="59" t="s">
        <v>455</v>
      </c>
      <c r="AA289" s="59">
        <f>B289*6.6/100</f>
        <v>6.6</v>
      </c>
      <c r="AB289" s="59"/>
      <c r="AC289" s="34"/>
      <c r="AD289" s="64"/>
      <c r="AE289" s="64"/>
    </row>
    <row r="290" spans="1:31" s="55" customFormat="1">
      <c r="A290" s="60" t="s">
        <v>692</v>
      </c>
      <c r="B290" s="59">
        <v>100</v>
      </c>
      <c r="C290" s="59">
        <f>B290*133/100</f>
        <v>133</v>
      </c>
      <c r="D290" s="59">
        <f>B290*21.6/100</f>
        <v>21.6</v>
      </c>
      <c r="E290" s="59">
        <f>B290*4.5/100</f>
        <v>4.5</v>
      </c>
      <c r="F290" s="59">
        <f>B290*2.4/100</f>
        <v>2.4</v>
      </c>
      <c r="G290" s="59">
        <f>B290*1.4/100</f>
        <v>1.4</v>
      </c>
      <c r="H290" s="59">
        <f>B290*0.1/100</f>
        <v>0.1</v>
      </c>
      <c r="I290" s="59">
        <f>B290*0.07/100</f>
        <v>7.0000000000000007E-2</v>
      </c>
      <c r="J290" s="59">
        <f>B290*0.01/100</f>
        <v>0.01</v>
      </c>
      <c r="K290" s="59">
        <f>B290*245/100</f>
        <v>245</v>
      </c>
      <c r="L290" s="59">
        <v>0</v>
      </c>
      <c r="M290" s="59" t="s">
        <v>454</v>
      </c>
      <c r="N290" s="59">
        <f>B290*13/100</f>
        <v>13</v>
      </c>
      <c r="O290" s="59">
        <f>B290*7/100</f>
        <v>7</v>
      </c>
      <c r="P290" s="59">
        <f>B290*0.01/100</f>
        <v>0.01</v>
      </c>
      <c r="Q290" s="59">
        <f>B290*63/100</f>
        <v>63</v>
      </c>
      <c r="R290" s="59">
        <f>B290*0.6/100</f>
        <v>0.6</v>
      </c>
      <c r="S290" s="59">
        <f>B290*38/100</f>
        <v>38</v>
      </c>
      <c r="T290" s="59">
        <f>B290*70/100</f>
        <v>70</v>
      </c>
      <c r="U290" s="59">
        <f>B290*0.05/100</f>
        <v>0.05</v>
      </c>
      <c r="V290" s="59">
        <f>B290*2.5/100</f>
        <v>2.5</v>
      </c>
      <c r="W290" s="59"/>
      <c r="X290" s="59" t="s">
        <v>455</v>
      </c>
      <c r="Y290" s="59" t="s">
        <v>455</v>
      </c>
      <c r="Z290" s="59" t="s">
        <v>455</v>
      </c>
      <c r="AA290" s="59">
        <f>B290*2.18/100</f>
        <v>2.1800000000000002</v>
      </c>
      <c r="AB290" s="59"/>
      <c r="AC290" s="34"/>
      <c r="AD290" s="64"/>
      <c r="AE290" s="64"/>
    </row>
    <row r="291" spans="1:31" s="55" customFormat="1">
      <c r="A291" s="60" t="s">
        <v>693</v>
      </c>
      <c r="B291" s="59">
        <v>100</v>
      </c>
      <c r="C291" s="59">
        <f>B291*137/100</f>
        <v>137</v>
      </c>
      <c r="D291" s="59">
        <f>B291*20.5/100</f>
        <v>20.5</v>
      </c>
      <c r="E291" s="59">
        <f>B291*5.5/100</f>
        <v>5.5</v>
      </c>
      <c r="F291" s="59">
        <f>B291*3.3/100</f>
        <v>3.3</v>
      </c>
      <c r="G291" s="59">
        <f>B291*1.4/100</f>
        <v>1.4</v>
      </c>
      <c r="H291" s="59">
        <f>B291*0.1/100</f>
        <v>0.1</v>
      </c>
      <c r="I291" s="59">
        <f>B291*0.09/100</f>
        <v>0.09</v>
      </c>
      <c r="J291" s="59">
        <f>B291*0.01/100</f>
        <v>0.01</v>
      </c>
      <c r="K291" s="59">
        <f>B291*145/100</f>
        <v>145</v>
      </c>
      <c r="L291" s="59">
        <v>0</v>
      </c>
      <c r="M291" s="72" t="s">
        <v>454</v>
      </c>
      <c r="N291" s="59">
        <f>B291*9/100</f>
        <v>9</v>
      </c>
      <c r="O291" s="59">
        <f>B291*6/100</f>
        <v>6</v>
      </c>
      <c r="P291" s="59">
        <f>B291*0.01/100</f>
        <v>0.01</v>
      </c>
      <c r="Q291" s="59">
        <f>B291*61/100</f>
        <v>61</v>
      </c>
      <c r="R291" s="59">
        <f>B291*0.5/100</f>
        <v>0.5</v>
      </c>
      <c r="S291" s="59">
        <f>B291*45/100</f>
        <v>45</v>
      </c>
      <c r="T291" s="59">
        <f>B291*85/100</f>
        <v>85</v>
      </c>
      <c r="U291" s="59">
        <f>B291*0.06/100</f>
        <v>0.06</v>
      </c>
      <c r="V291" s="59">
        <f>B291*2.1/100</f>
        <v>2.1</v>
      </c>
      <c r="W291" s="72" t="s">
        <v>455</v>
      </c>
      <c r="X291" s="72" t="s">
        <v>455</v>
      </c>
      <c r="Y291" s="72" t="s">
        <v>455</v>
      </c>
      <c r="Z291" s="72" t="s">
        <v>455</v>
      </c>
      <c r="AA291" s="59">
        <f>B291*2.13/100</f>
        <v>2.13</v>
      </c>
      <c r="AB291" s="59"/>
      <c r="AC291" s="34"/>
    </row>
    <row r="292" spans="1:31" s="55" customFormat="1">
      <c r="A292" s="60" t="s">
        <v>694</v>
      </c>
      <c r="B292" s="59">
        <v>100</v>
      </c>
      <c r="C292" s="59">
        <f>B292*217/100</f>
        <v>217</v>
      </c>
      <c r="D292" s="59">
        <f>B292*19.2/100</f>
        <v>19.2</v>
      </c>
      <c r="E292" s="59">
        <f>B292*15/100</f>
        <v>15</v>
      </c>
      <c r="F292" s="59">
        <f>B292*6.9/100</f>
        <v>6.9</v>
      </c>
      <c r="G292" s="59">
        <f>B292*6.2/100</f>
        <v>6.2</v>
      </c>
      <c r="H292" s="59">
        <f>B292*0.1/100</f>
        <v>0.1</v>
      </c>
      <c r="I292" s="59">
        <f>B292*0.14/100</f>
        <v>0.14000000000000001</v>
      </c>
      <c r="J292" s="59"/>
      <c r="K292" s="59">
        <f>B292*63/100</f>
        <v>63</v>
      </c>
      <c r="L292" s="59">
        <v>0</v>
      </c>
      <c r="M292" s="72" t="s">
        <v>454</v>
      </c>
      <c r="N292" s="59">
        <f>B292*6/100</f>
        <v>6</v>
      </c>
      <c r="O292" s="59">
        <f>B292*17/100</f>
        <v>17</v>
      </c>
      <c r="P292" s="59">
        <f>B292*0.01/100</f>
        <v>0.01</v>
      </c>
      <c r="Q292" s="59">
        <f>B292*144/100</f>
        <v>144</v>
      </c>
      <c r="R292" s="59">
        <f>B292*1.5/100</f>
        <v>1.5</v>
      </c>
      <c r="S292" s="59">
        <f>B292*58/100</f>
        <v>58</v>
      </c>
      <c r="T292" s="59">
        <f>B292*267/100</f>
        <v>267</v>
      </c>
      <c r="U292" s="59">
        <f>B292*0.06/100</f>
        <v>0.06</v>
      </c>
      <c r="V292" s="59">
        <f>B292*3.5/100</f>
        <v>3.5</v>
      </c>
      <c r="W292" s="59">
        <f>B292*4/100</f>
        <v>4</v>
      </c>
      <c r="X292" s="59">
        <f>B292*0.09/100</f>
        <v>0.09</v>
      </c>
      <c r="Y292" s="59">
        <f>B292*0.09/100</f>
        <v>0.09</v>
      </c>
      <c r="Z292" s="59">
        <f>B292*0.12/100</f>
        <v>0.12</v>
      </c>
      <c r="AA292" s="59">
        <f>B292*1.55/100</f>
        <v>1.55</v>
      </c>
      <c r="AB292" s="59"/>
      <c r="AC292" s="34"/>
    </row>
    <row r="293" spans="1:31" s="55" customFormat="1">
      <c r="A293" s="60" t="s">
        <v>695</v>
      </c>
      <c r="B293" s="59">
        <v>100</v>
      </c>
      <c r="C293" s="59">
        <f>B293*312/100</f>
        <v>312</v>
      </c>
      <c r="D293" s="59">
        <f>B293*30.7/100</f>
        <v>30.7</v>
      </c>
      <c r="E293" s="59">
        <f>B293*20/100</f>
        <v>20</v>
      </c>
      <c r="F293" s="59">
        <f>B293*8.8/100</f>
        <v>8.8000000000000007</v>
      </c>
      <c r="G293" s="59">
        <f>B293*8.7/100</f>
        <v>8.6999999999999993</v>
      </c>
      <c r="H293" s="59">
        <f>B293*0.3/100</f>
        <v>0.3</v>
      </c>
      <c r="I293" s="59">
        <f>B293*0.22/100</f>
        <v>0.22</v>
      </c>
      <c r="J293" s="59"/>
      <c r="K293" s="59">
        <f>B293*120/100</f>
        <v>120</v>
      </c>
      <c r="L293" s="59">
        <v>0</v>
      </c>
      <c r="M293" s="72" t="s">
        <v>454</v>
      </c>
      <c r="N293" s="59">
        <f>B293*7/100</f>
        <v>7</v>
      </c>
      <c r="O293" s="59">
        <f>B293*18/100</f>
        <v>18</v>
      </c>
      <c r="P293" s="72" t="s">
        <v>455</v>
      </c>
      <c r="Q293" s="59">
        <f>B293*214/100</f>
        <v>214</v>
      </c>
      <c r="R293" s="59">
        <f>B293*2.6/100</f>
        <v>2.6</v>
      </c>
      <c r="S293" s="59">
        <f>B293*81/100</f>
        <v>81</v>
      </c>
      <c r="T293" s="59">
        <f>B293*323/100</f>
        <v>323</v>
      </c>
      <c r="U293" s="59">
        <f>B293*0.13/100</f>
        <v>0.13</v>
      </c>
      <c r="V293" s="59">
        <f>B293*6.2/100</f>
        <v>6.2</v>
      </c>
      <c r="W293" s="72" t="s">
        <v>455</v>
      </c>
      <c r="X293" s="72" t="s">
        <v>455</v>
      </c>
      <c r="Y293" s="59">
        <f>B293*0.06/100</f>
        <v>0.06</v>
      </c>
      <c r="Z293" s="72" t="s">
        <v>455</v>
      </c>
      <c r="AA293" s="59">
        <f>B293*1.74/100</f>
        <v>1.74</v>
      </c>
      <c r="AB293" s="59"/>
      <c r="AC293" s="34"/>
    </row>
    <row r="294" spans="1:31" s="55" customFormat="1">
      <c r="A294" s="60" t="s">
        <v>696</v>
      </c>
      <c r="B294" s="59">
        <v>100</v>
      </c>
      <c r="C294" s="59">
        <f>B294*131/100</f>
        <v>131</v>
      </c>
      <c r="D294" s="59">
        <v>21.5</v>
      </c>
      <c r="E294" s="59">
        <f>B294*4.3/100</f>
        <v>4.3</v>
      </c>
      <c r="F294" s="59">
        <f>B294*1.9/100</f>
        <v>1.9</v>
      </c>
      <c r="G294" s="59">
        <f>B294*1.9/100</f>
        <v>1.9</v>
      </c>
      <c r="H294" s="59">
        <f>B294*0.1/100</f>
        <v>0.1</v>
      </c>
      <c r="I294" s="59">
        <f>B294*0.07/100</f>
        <v>7.0000000000000007E-2</v>
      </c>
      <c r="J294" s="59" t="s">
        <v>455</v>
      </c>
      <c r="K294" s="59">
        <f>B294*58/100</f>
        <v>58</v>
      </c>
      <c r="L294" s="59">
        <v>0</v>
      </c>
      <c r="M294" s="72" t="s">
        <v>454</v>
      </c>
      <c r="N294" s="59">
        <f>B294*6/100</f>
        <v>6</v>
      </c>
      <c r="O294" s="59">
        <f>B294*20/100</f>
        <v>20</v>
      </c>
      <c r="P294" s="72" t="s">
        <v>455</v>
      </c>
      <c r="Q294" s="59">
        <f>B294*178/100</f>
        <v>178</v>
      </c>
      <c r="R294" s="59">
        <f>B294*2/100</f>
        <v>2</v>
      </c>
      <c r="S294" s="59">
        <f>B294*79/100</f>
        <v>79</v>
      </c>
      <c r="T294" s="59">
        <f>B294*325/100</f>
        <v>325</v>
      </c>
      <c r="U294" s="59">
        <f>B294*0.06/100</f>
        <v>0.06</v>
      </c>
      <c r="V294" s="59">
        <f>B294*4.6/100</f>
        <v>4.5999999999999996</v>
      </c>
      <c r="W294" s="72" t="s">
        <v>455</v>
      </c>
      <c r="X294" s="72" t="s">
        <v>455</v>
      </c>
      <c r="Y294" s="59">
        <f>B294*0.04/100</f>
        <v>0.04</v>
      </c>
      <c r="Z294" s="72" t="s">
        <v>455</v>
      </c>
      <c r="AA294" s="59">
        <f>B294*1.81/100</f>
        <v>1.81</v>
      </c>
      <c r="AB294" s="59"/>
      <c r="AC294" s="34"/>
    </row>
    <row r="295" spans="1:31" s="55" customFormat="1">
      <c r="A295" s="60" t="s">
        <v>697</v>
      </c>
      <c r="B295" s="59">
        <v>100</v>
      </c>
      <c r="C295" s="59">
        <f>B295*239/100</f>
        <v>239</v>
      </c>
      <c r="D295" s="59">
        <f>B295*35.1/100</f>
        <v>35.1</v>
      </c>
      <c r="E295" s="59">
        <f>B295*10/100</f>
        <v>10</v>
      </c>
      <c r="F295" s="59">
        <f>B295*4.3/100</f>
        <v>4.3</v>
      </c>
      <c r="G295" s="59">
        <f>B295*4.3/100</f>
        <v>4.3</v>
      </c>
      <c r="H295" s="59">
        <f>B295*0.2/100</f>
        <v>0.2</v>
      </c>
      <c r="I295" s="59">
        <f>B295*0.16/100</f>
        <v>0.16</v>
      </c>
      <c r="J295" s="59">
        <f>B295*0.04/100</f>
        <v>0.04</v>
      </c>
      <c r="K295" s="59">
        <f>B295*80/100</f>
        <v>80</v>
      </c>
      <c r="L295" s="59">
        <v>0</v>
      </c>
      <c r="M295" s="72" t="s">
        <v>454</v>
      </c>
      <c r="N295" s="59">
        <f>B295*9/100</f>
        <v>9</v>
      </c>
      <c r="O295" s="59">
        <f>B295*26/100</f>
        <v>26</v>
      </c>
      <c r="P295" s="72">
        <f>B295*0.01/100</f>
        <v>0.01</v>
      </c>
      <c r="Q295" s="59">
        <f>B295*287/100</f>
        <v>287</v>
      </c>
      <c r="R295" s="59">
        <f>B295*2.8/100</f>
        <v>2.8</v>
      </c>
      <c r="S295" s="59">
        <f>B295*83/100</f>
        <v>83</v>
      </c>
      <c r="T295" s="59">
        <f>B295*385/100</f>
        <v>385</v>
      </c>
      <c r="U295" s="59">
        <f>B295*0.12/100</f>
        <v>0.12</v>
      </c>
      <c r="V295" s="59">
        <f>B295*7.6/100</f>
        <v>7.6</v>
      </c>
      <c r="W295" s="72" t="s">
        <v>455</v>
      </c>
      <c r="X295" s="59">
        <f>B295*0.03/100</f>
        <v>0.03</v>
      </c>
      <c r="Y295" s="59">
        <f>B295*0.08/100</f>
        <v>0.08</v>
      </c>
      <c r="Z295" s="72" t="s">
        <v>455</v>
      </c>
      <c r="AA295" s="59">
        <f>B295*1.86/100</f>
        <v>1.86</v>
      </c>
      <c r="AB295" s="59"/>
      <c r="AC295" s="34"/>
    </row>
    <row r="296" spans="1:31" s="55" customFormat="1">
      <c r="A296" s="60" t="s">
        <v>698</v>
      </c>
      <c r="B296" s="59">
        <v>100</v>
      </c>
      <c r="C296" s="59">
        <f>B296*263/100</f>
        <v>263</v>
      </c>
      <c r="D296" s="59">
        <f>B296*36.4/100</f>
        <v>36.4</v>
      </c>
      <c r="E296" s="59">
        <f>B296*11.9/100</f>
        <v>11.9</v>
      </c>
      <c r="F296" s="59">
        <f>B296*4.8/100</f>
        <v>4.8</v>
      </c>
      <c r="G296" s="59">
        <f>B296*5.4/100</f>
        <v>5.4</v>
      </c>
      <c r="H296" s="59">
        <f>B296*0.4/100</f>
        <v>0.4</v>
      </c>
      <c r="I296" s="59">
        <f>B296*0.19/100</f>
        <v>0.19</v>
      </c>
      <c r="J296" s="59">
        <f>B296*0.05/100</f>
        <v>0.05</v>
      </c>
      <c r="K296" s="59">
        <f>B296*113/100</f>
        <v>113</v>
      </c>
      <c r="L296" s="59">
        <v>0</v>
      </c>
      <c r="M296" s="72" t="s">
        <v>454</v>
      </c>
      <c r="N296" s="59">
        <f>B296*15/100</f>
        <v>15</v>
      </c>
      <c r="O296" s="59">
        <f>B296*13/100</f>
        <v>13</v>
      </c>
      <c r="P296" s="59">
        <f>B296*0.02/100</f>
        <v>0.02</v>
      </c>
      <c r="Q296" s="59">
        <f>B296*101/100</f>
        <v>101</v>
      </c>
      <c r="R296" s="59">
        <f>B296*3.5/100</f>
        <v>3.5</v>
      </c>
      <c r="S296" s="59">
        <f>B296*1443/100</f>
        <v>1443</v>
      </c>
      <c r="T296" s="59">
        <f>B296*90/100</f>
        <v>90</v>
      </c>
      <c r="U296" s="59">
        <f>B296*0.07/100</f>
        <v>7.0000000000000007E-2</v>
      </c>
      <c r="V296" s="59">
        <f>B296*6.1/100</f>
        <v>6.1</v>
      </c>
      <c r="W296" s="72" t="s">
        <v>455</v>
      </c>
      <c r="X296" s="59">
        <f>B296*0.05/100</f>
        <v>0.05</v>
      </c>
      <c r="Y296" s="59">
        <f>B296*0.07/100</f>
        <v>7.0000000000000007E-2</v>
      </c>
      <c r="Z296" s="72" t="s">
        <v>455</v>
      </c>
      <c r="AA296" s="59">
        <f>B296*1.5/100</f>
        <v>1.5</v>
      </c>
      <c r="AB296" s="59"/>
      <c r="AC296" s="34"/>
    </row>
    <row r="297" spans="1:31" s="55" customFormat="1">
      <c r="A297" s="60" t="s">
        <v>699</v>
      </c>
      <c r="B297" s="59">
        <v>100</v>
      </c>
      <c r="C297" s="59">
        <f>B297*249/100</f>
        <v>249</v>
      </c>
      <c r="D297" s="59">
        <f>B297*22.7/100</f>
        <v>22.7</v>
      </c>
      <c r="E297" s="59">
        <f>B297*16.8/100</f>
        <v>16.8</v>
      </c>
      <c r="F297" s="59">
        <f>B297*8.7/100</f>
        <v>8.6999999999999993</v>
      </c>
      <c r="G297" s="59">
        <f>B297*6.6/100</f>
        <v>6.6</v>
      </c>
      <c r="H297" s="59">
        <f>B297*0.2/100</f>
        <v>0.2</v>
      </c>
      <c r="I297" s="59">
        <f>B297*0.16/100</f>
        <v>0.16</v>
      </c>
      <c r="J297" s="59"/>
      <c r="K297" s="59">
        <f>B297*81/100</f>
        <v>81</v>
      </c>
      <c r="L297" s="59">
        <v>0</v>
      </c>
      <c r="M297" s="72" t="s">
        <v>454</v>
      </c>
      <c r="N297" s="59">
        <f>B297*15/100</f>
        <v>15</v>
      </c>
      <c r="O297" s="59">
        <f>B297*13/100</f>
        <v>13</v>
      </c>
      <c r="P297" s="72" t="s">
        <v>455</v>
      </c>
      <c r="Q297" s="59">
        <f>B297*122/100</f>
        <v>122</v>
      </c>
      <c r="R297" s="59">
        <f>B297*1.5/100</f>
        <v>1.5</v>
      </c>
      <c r="S297" s="59">
        <f>B297*5875/100</f>
        <v>5875</v>
      </c>
      <c r="T297" s="59">
        <f>B297*236/100</f>
        <v>236</v>
      </c>
      <c r="U297" s="59">
        <f>B297*0.03/100</f>
        <v>0.03</v>
      </c>
      <c r="V297" s="59">
        <f>B297*3.9/100</f>
        <v>3.9</v>
      </c>
      <c r="W297" s="72" t="s">
        <v>455</v>
      </c>
      <c r="X297" s="59">
        <f>B297*0.12/100</f>
        <v>0.12</v>
      </c>
      <c r="Y297" s="59">
        <f>B297*0.07/100</f>
        <v>7.0000000000000007E-2</v>
      </c>
      <c r="Z297" s="72" t="s">
        <v>455</v>
      </c>
      <c r="AA297" s="59">
        <f>B297*1.63/100</f>
        <v>1.63</v>
      </c>
      <c r="AB297" s="59"/>
      <c r="AC297" s="34"/>
    </row>
    <row r="298" spans="1:31" s="55" customFormat="1">
      <c r="A298" s="60" t="s">
        <v>700</v>
      </c>
      <c r="B298" s="59">
        <v>100</v>
      </c>
      <c r="C298" s="59">
        <f>B298*202/100</f>
        <v>202</v>
      </c>
      <c r="D298" s="59">
        <f>B298*19.8/100</f>
        <v>19.8</v>
      </c>
      <c r="E298" s="59">
        <f>B298*13.1/100</f>
        <v>13.1</v>
      </c>
      <c r="F298" s="59">
        <f>B298*6.7/100</f>
        <v>6.7</v>
      </c>
      <c r="G298" s="59">
        <f>B298*4.6/100</f>
        <v>4.5999999999999996</v>
      </c>
      <c r="H298" s="59">
        <f>B298*0.1/100</f>
        <v>0.1</v>
      </c>
      <c r="I298" s="59">
        <f>B298*0.13/100</f>
        <v>0.13</v>
      </c>
      <c r="J298" s="59"/>
      <c r="K298" s="59">
        <f>B298*52/100</f>
        <v>52</v>
      </c>
      <c r="L298" s="59">
        <v>0</v>
      </c>
      <c r="M298" s="72" t="s">
        <v>454</v>
      </c>
      <c r="N298" s="59">
        <f>B298*3/100</f>
        <v>3</v>
      </c>
      <c r="O298" s="59">
        <f>B298*14/100</f>
        <v>14</v>
      </c>
      <c r="P298" s="72" t="s">
        <v>455</v>
      </c>
      <c r="Q298" s="59">
        <f>B298*164/100</f>
        <v>164</v>
      </c>
      <c r="R298" s="59">
        <f>B298*1.6/100</f>
        <v>1.6</v>
      </c>
      <c r="S298" s="59">
        <f>B298*39/100</f>
        <v>39</v>
      </c>
      <c r="T298" s="59">
        <f>B298*245/100</f>
        <v>245</v>
      </c>
      <c r="U298" s="59">
        <f>B298*0.04/100</f>
        <v>0.04</v>
      </c>
      <c r="V298" s="59">
        <f>B298*4.4/100</f>
        <v>4.4000000000000004</v>
      </c>
      <c r="W298" s="59">
        <f>B298*3/100</f>
        <v>3</v>
      </c>
      <c r="X298" s="59">
        <f>B298*0.14/100</f>
        <v>0.14000000000000001</v>
      </c>
      <c r="Y298" s="59">
        <f>B298*0.08/100</f>
        <v>0.08</v>
      </c>
      <c r="Z298" s="72" t="s">
        <v>455</v>
      </c>
      <c r="AA298" s="59">
        <f>B298*2.68/100</f>
        <v>2.68</v>
      </c>
      <c r="AB298" s="59"/>
      <c r="AC298" s="34"/>
    </row>
    <row r="299" spans="1:31" s="55" customFormat="1">
      <c r="A299" s="60" t="s">
        <v>701</v>
      </c>
      <c r="B299" s="59">
        <v>100</v>
      </c>
      <c r="C299" s="59">
        <f>B299*275/100</f>
        <v>275</v>
      </c>
      <c r="D299" s="59">
        <f>B299*29.9/100</f>
        <v>29.9</v>
      </c>
      <c r="E299" s="59">
        <f>B299*16.3/100</f>
        <v>16.3</v>
      </c>
      <c r="F299" s="59">
        <f>B299*8.8/100</f>
        <v>8.8000000000000007</v>
      </c>
      <c r="G299" s="59">
        <f>B299*5.6/100</f>
        <v>5.6</v>
      </c>
      <c r="H299" s="59">
        <f>B299*0.2/100</f>
        <v>0.2</v>
      </c>
      <c r="I299" s="59">
        <f>B299*0.17/100</f>
        <v>0.17</v>
      </c>
      <c r="J299" s="59">
        <f>B299*0.03/100</f>
        <v>0.03</v>
      </c>
      <c r="K299" s="59">
        <f>B299*98/100</f>
        <v>98</v>
      </c>
      <c r="L299" s="59">
        <v>0</v>
      </c>
      <c r="M299" s="72" t="s">
        <v>454</v>
      </c>
      <c r="N299" s="59">
        <f>B299*4/100</f>
        <v>4</v>
      </c>
      <c r="O299" s="59">
        <f>B299*24/100</f>
        <v>24</v>
      </c>
      <c r="P299" s="72">
        <f>B299*0.01/100</f>
        <v>0.01</v>
      </c>
      <c r="Q299" s="59">
        <f>B299*252/100</f>
        <v>252</v>
      </c>
      <c r="R299" s="59">
        <f>B299*2.8/100</f>
        <v>2.8</v>
      </c>
      <c r="S299" s="59">
        <f>B299*51/100</f>
        <v>51</v>
      </c>
      <c r="T299" s="59">
        <f>B299*383/100</f>
        <v>383</v>
      </c>
      <c r="U299" s="59">
        <f>B299*0.08/100</f>
        <v>0.08</v>
      </c>
      <c r="V299" s="59">
        <f>B299*6.7/100</f>
        <v>6.7</v>
      </c>
      <c r="W299" s="72" t="s">
        <v>455</v>
      </c>
      <c r="X299" s="72" t="s">
        <v>455</v>
      </c>
      <c r="Y299" s="59">
        <f>B299*0.19/100</f>
        <v>0.19</v>
      </c>
      <c r="Z299" s="59">
        <f>B299*0.17/100</f>
        <v>0.17</v>
      </c>
      <c r="AA299" s="59">
        <f>B299*2.75/100</f>
        <v>2.75</v>
      </c>
      <c r="AB299" s="59"/>
      <c r="AC299" s="34"/>
    </row>
    <row r="300" spans="1:31" s="55" customFormat="1">
      <c r="A300" s="60" t="s">
        <v>702</v>
      </c>
      <c r="B300" s="59">
        <v>100</v>
      </c>
      <c r="C300" s="59">
        <f>B300*206/100</f>
        <v>206</v>
      </c>
      <c r="D300" s="59">
        <f>B300*21.2/100</f>
        <v>21.2</v>
      </c>
      <c r="E300" s="59">
        <f>B300*12.8/100</f>
        <v>12.8</v>
      </c>
      <c r="F300" s="59">
        <f>B300*5.6/100</f>
        <v>5.6</v>
      </c>
      <c r="G300" s="59">
        <f>B300*5.5/100</f>
        <v>5.5</v>
      </c>
      <c r="H300" s="59">
        <f>B300*0.2/100</f>
        <v>0.2</v>
      </c>
      <c r="I300" s="59">
        <f>B300*0.15/100</f>
        <v>0.15</v>
      </c>
      <c r="J300" s="59">
        <f>B300*0.05/100</f>
        <v>0.05</v>
      </c>
      <c r="K300" s="59">
        <f>B300*73/100</f>
        <v>73</v>
      </c>
      <c r="L300" s="59">
        <v>0</v>
      </c>
      <c r="M300" s="72" t="s">
        <v>454</v>
      </c>
      <c r="N300" s="59">
        <f>B300*4/100</f>
        <v>4</v>
      </c>
      <c r="O300" s="59">
        <f>B300*18/100</f>
        <v>18</v>
      </c>
      <c r="P300" s="72">
        <f>B300*0.01/100</f>
        <v>0.01</v>
      </c>
      <c r="Q300" s="59">
        <f>B300*164/100</f>
        <v>164</v>
      </c>
      <c r="R300" s="59">
        <f>B300*1.3/100</f>
        <v>1.3</v>
      </c>
      <c r="S300" s="59">
        <f>B300*44/100</f>
        <v>44</v>
      </c>
      <c r="T300" s="59">
        <f>B300*285/100</f>
        <v>285</v>
      </c>
      <c r="U300" s="59">
        <f>B300*0.04/100</f>
        <v>0.04</v>
      </c>
      <c r="V300" s="59">
        <f>B300*2.8/100</f>
        <v>2.8</v>
      </c>
      <c r="W300" s="59">
        <f>B300*4/100</f>
        <v>4</v>
      </c>
      <c r="X300" s="59">
        <f>B300*0.11/100</f>
        <v>0.11</v>
      </c>
      <c r="Y300" s="59">
        <f>B300*0.08/100</f>
        <v>0.08</v>
      </c>
      <c r="Z300" s="59">
        <f>B300*0.03/100</f>
        <v>0.03</v>
      </c>
      <c r="AA300" s="59">
        <f>B300*3.79/100</f>
        <v>3.79</v>
      </c>
      <c r="AB300" s="59"/>
      <c r="AC300" s="34"/>
    </row>
    <row r="301" spans="1:31" s="55" customFormat="1">
      <c r="A301" s="60" t="s">
        <v>703</v>
      </c>
      <c r="B301" s="59">
        <v>100</v>
      </c>
      <c r="C301" s="59">
        <f>B301*278/100</f>
        <v>278</v>
      </c>
      <c r="D301" s="59">
        <f>B301*32.4/100</f>
        <v>32.4</v>
      </c>
      <c r="E301" s="59">
        <f>B301*15.5/100</f>
        <v>15.5</v>
      </c>
      <c r="F301" s="59">
        <f>B301*7.4/100</f>
        <v>7.4</v>
      </c>
      <c r="G301" s="59">
        <f>B301*6.3/100</f>
        <v>6.3</v>
      </c>
      <c r="H301" s="59">
        <f>B301*0.2/100</f>
        <v>0.2</v>
      </c>
      <c r="I301" s="59">
        <f>B301*0.14/100</f>
        <v>0.14000000000000001</v>
      </c>
      <c r="J301" s="59">
        <f>B301*0.03/100</f>
        <v>0.03</v>
      </c>
      <c r="K301" s="59">
        <f>B301*144/100</f>
        <v>144</v>
      </c>
      <c r="L301" s="59">
        <v>0</v>
      </c>
      <c r="M301" s="72" t="s">
        <v>454</v>
      </c>
      <c r="N301" s="59">
        <f>B301*4/100</f>
        <v>4</v>
      </c>
      <c r="O301" s="59">
        <f>B301*19/100</f>
        <v>19</v>
      </c>
      <c r="P301" s="72" t="s">
        <v>455</v>
      </c>
      <c r="Q301" s="59">
        <f>B301*219/100</f>
        <v>219</v>
      </c>
      <c r="R301" s="59">
        <f>B301*2.4/100</f>
        <v>2.4</v>
      </c>
      <c r="S301" s="59">
        <f>B301*57/100</f>
        <v>57</v>
      </c>
      <c r="T301" s="59">
        <f>B301*352/100</f>
        <v>352</v>
      </c>
      <c r="U301" s="59">
        <f>B301*0.09/100</f>
        <v>0.09</v>
      </c>
      <c r="V301" s="59">
        <f>B301*4.8/100</f>
        <v>4.8</v>
      </c>
      <c r="W301" s="72" t="s">
        <v>455</v>
      </c>
      <c r="X301" s="72" t="s">
        <v>455</v>
      </c>
      <c r="Y301" s="59">
        <f>B301*0.18/100</f>
        <v>0.18</v>
      </c>
      <c r="Z301" s="59">
        <f>B301*0.13/100</f>
        <v>0.13</v>
      </c>
      <c r="AA301" s="59">
        <f>B301*4.91/100</f>
        <v>4.91</v>
      </c>
      <c r="AB301" s="59"/>
      <c r="AC301" s="34"/>
    </row>
    <row r="302" spans="1:31" s="55" customFormat="1">
      <c r="A302" s="60" t="s">
        <v>704</v>
      </c>
      <c r="B302" s="59">
        <v>100</v>
      </c>
      <c r="C302" s="59">
        <f>B302*157/100</f>
        <v>157</v>
      </c>
      <c r="D302" s="59">
        <f>B302*24/100</f>
        <v>24</v>
      </c>
      <c r="E302" s="59">
        <f>B302*6/100</f>
        <v>6</v>
      </c>
      <c r="F302" s="59">
        <f>B302*2.7/100</f>
        <v>2.7</v>
      </c>
      <c r="G302" s="59">
        <f>B302*2.6/100</f>
        <v>2.6</v>
      </c>
      <c r="H302" s="59">
        <f>B302*0.1/100</f>
        <v>0.1</v>
      </c>
      <c r="I302" s="59">
        <f>B302*0.09/100</f>
        <v>0.09</v>
      </c>
      <c r="J302" s="59"/>
      <c r="K302" s="59">
        <f>B302*59/100</f>
        <v>59</v>
      </c>
      <c r="L302" s="59">
        <v>0</v>
      </c>
      <c r="M302" s="72" t="s">
        <v>454</v>
      </c>
      <c r="N302" s="59">
        <f>B302*4/100</f>
        <v>4</v>
      </c>
      <c r="O302" s="59">
        <f>B302*21/100</f>
        <v>21</v>
      </c>
      <c r="P302" s="72" t="s">
        <v>455</v>
      </c>
      <c r="Q302" s="59">
        <f>B302*184/100</f>
        <v>184</v>
      </c>
      <c r="R302" s="59">
        <f>B302*1.7/100</f>
        <v>1.7</v>
      </c>
      <c r="S302" s="59">
        <f>B302*53/100</f>
        <v>53</v>
      </c>
      <c r="T302" s="59">
        <f>B302*335/100</f>
        <v>335</v>
      </c>
      <c r="U302" s="59">
        <f>B302*0.05/100</f>
        <v>0.05</v>
      </c>
      <c r="V302" s="59">
        <f>B302*3.2/100</f>
        <v>3.2</v>
      </c>
      <c r="W302" s="72" t="s">
        <v>455</v>
      </c>
      <c r="X302" s="72" t="s">
        <v>455</v>
      </c>
      <c r="Y302" s="59">
        <f>B302*0.2/100</f>
        <v>0.2</v>
      </c>
      <c r="Z302" s="72" t="s">
        <v>455</v>
      </c>
      <c r="AA302" s="59">
        <f>B302*4.64/100</f>
        <v>4.6399999999999997</v>
      </c>
      <c r="AB302" s="59"/>
      <c r="AC302" s="34"/>
    </row>
    <row r="303" spans="1:31" s="55" customFormat="1">
      <c r="A303" s="60" t="s">
        <v>705</v>
      </c>
      <c r="B303" s="59">
        <v>100</v>
      </c>
      <c r="C303" s="59">
        <f>B303*194/100</f>
        <v>194</v>
      </c>
      <c r="D303" s="59">
        <f>B303*35.9/100</f>
        <v>35.9</v>
      </c>
      <c r="E303" s="59">
        <f>B303*4.5/100</f>
        <v>4.5</v>
      </c>
      <c r="F303" s="59">
        <f>B303*2/100</f>
        <v>2</v>
      </c>
      <c r="G303" s="59">
        <f>B303*1.9/100</f>
        <v>1.9</v>
      </c>
      <c r="H303" s="59">
        <f>B303*0.1/100</f>
        <v>0.1</v>
      </c>
      <c r="I303" s="59">
        <f>B303*0.07/100</f>
        <v>7.0000000000000007E-2</v>
      </c>
      <c r="J303" s="59">
        <f>B303*0.01/100</f>
        <v>0.01</v>
      </c>
      <c r="K303" s="59">
        <f>B303*102/100</f>
        <v>102</v>
      </c>
      <c r="L303" s="59">
        <v>0</v>
      </c>
      <c r="M303" s="72" t="s">
        <v>454</v>
      </c>
      <c r="N303" s="59">
        <f>B303*5/100</f>
        <v>5</v>
      </c>
      <c r="O303" s="59">
        <f>B303*21/100</f>
        <v>21</v>
      </c>
      <c r="P303" s="72" t="s">
        <v>455</v>
      </c>
      <c r="Q303" s="59">
        <f>B303*241/100</f>
        <v>241</v>
      </c>
      <c r="R303" s="59">
        <f>B303*2.4/100</f>
        <v>2.4</v>
      </c>
      <c r="S303" s="59">
        <f>B303*58/100</f>
        <v>58</v>
      </c>
      <c r="T303" s="59">
        <f>B303*386/100</f>
        <v>386</v>
      </c>
      <c r="U303" s="59">
        <f>B303*0.09/100</f>
        <v>0.09</v>
      </c>
      <c r="V303" s="59">
        <f>B303*5.1/100</f>
        <v>5.0999999999999996</v>
      </c>
      <c r="W303" s="72" t="s">
        <v>455</v>
      </c>
      <c r="X303" s="72" t="s">
        <v>455</v>
      </c>
      <c r="Y303" s="59">
        <f>B303*0.17/100</f>
        <v>0.17</v>
      </c>
      <c r="Z303" s="59">
        <f>B303*0.16/100</f>
        <v>0.16</v>
      </c>
      <c r="AA303" s="59">
        <f>B303*4.93/100</f>
        <v>4.93</v>
      </c>
      <c r="AB303" s="59"/>
      <c r="AC303" s="34"/>
    </row>
    <row r="304" spans="1:31" s="55" customFormat="1">
      <c r="A304" s="60" t="s">
        <v>706</v>
      </c>
      <c r="B304" s="59">
        <v>100</v>
      </c>
      <c r="C304" s="59">
        <f>B304*373/100</f>
        <v>373</v>
      </c>
      <c r="D304" s="59">
        <f>B304*28.8/100</f>
        <v>28.8</v>
      </c>
      <c r="E304" s="59">
        <f>B304*27.7/100</f>
        <v>27.7</v>
      </c>
      <c r="F304" s="59">
        <f>B304*11.8/100</f>
        <v>11.8</v>
      </c>
      <c r="G304" s="59">
        <f>B304*12.1/100</f>
        <v>12.1</v>
      </c>
      <c r="H304" s="59">
        <f>B304*0.3/100</f>
        <v>0.3</v>
      </c>
      <c r="I304" s="59">
        <f>B304*0.13/100</f>
        <v>0.13</v>
      </c>
      <c r="J304" s="59">
        <f>B304*0.15/100</f>
        <v>0.15</v>
      </c>
      <c r="K304" s="59">
        <f>B304*95/100</f>
        <v>95</v>
      </c>
      <c r="L304" s="59">
        <v>0</v>
      </c>
      <c r="M304" s="72" t="s">
        <v>454</v>
      </c>
      <c r="N304" s="59" t="s">
        <v>23</v>
      </c>
      <c r="O304" s="59">
        <f>B304*20/100</f>
        <v>20</v>
      </c>
      <c r="P304" s="72" t="s">
        <v>455</v>
      </c>
      <c r="Q304" s="59">
        <f>B304*179/100</f>
        <v>179</v>
      </c>
      <c r="R304" s="59">
        <f>B304*2.2/100</f>
        <v>2.2000000000000002</v>
      </c>
      <c r="S304" s="59">
        <f>B304*92/100</f>
        <v>92</v>
      </c>
      <c r="T304" s="59">
        <f>B304*270/100</f>
        <v>270</v>
      </c>
      <c r="U304" s="59">
        <f>B304*0.08/100</f>
        <v>0.08</v>
      </c>
      <c r="V304" s="59">
        <f>B304*5.5/100</f>
        <v>5.5</v>
      </c>
      <c r="W304" s="72" t="s">
        <v>455</v>
      </c>
      <c r="X304" s="72" t="s">
        <v>455</v>
      </c>
      <c r="Y304" s="59">
        <f>B304*0.08/100</f>
        <v>0.08</v>
      </c>
      <c r="Z304" s="59">
        <f>B304*0.35/100</f>
        <v>0.35</v>
      </c>
      <c r="AA304" s="59">
        <f>B304*0.56/100</f>
        <v>0.56000000000000005</v>
      </c>
      <c r="AB304" s="59"/>
      <c r="AC304" s="34"/>
    </row>
    <row r="305" spans="1:29" s="55" customFormat="1">
      <c r="A305" s="60" t="s">
        <v>944</v>
      </c>
      <c r="B305" s="59">
        <v>100</v>
      </c>
      <c r="C305" s="59">
        <f>B305*358/100</f>
        <v>358</v>
      </c>
      <c r="D305" s="59">
        <f>B305*16.7/100</f>
        <v>16.7</v>
      </c>
      <c r="E305" s="59">
        <f>B305*31.8/100</f>
        <v>31.8</v>
      </c>
      <c r="F305" s="59">
        <f>B305*14.9/100</f>
        <v>14.9</v>
      </c>
      <c r="G305" s="59">
        <f>B305*12.7/100</f>
        <v>12.7</v>
      </c>
      <c r="H305" s="59">
        <f>B305*0.3/100</f>
        <v>0.3</v>
      </c>
      <c r="I305" s="59">
        <f>B305*0.15/100</f>
        <v>0.15</v>
      </c>
      <c r="J305" s="59">
        <f>B305*0.12/100</f>
        <v>0.12</v>
      </c>
      <c r="K305" s="59">
        <f>B305*44/100</f>
        <v>44</v>
      </c>
      <c r="L305" s="59">
        <v>0</v>
      </c>
      <c r="M305" s="72" t="s">
        <v>454</v>
      </c>
      <c r="N305" s="59" t="s">
        <v>23</v>
      </c>
      <c r="O305" s="59">
        <f>B305*12/100</f>
        <v>12</v>
      </c>
      <c r="P305" s="72" t="s">
        <v>455</v>
      </c>
      <c r="Q305" s="59">
        <f>B305*130/100</f>
        <v>130</v>
      </c>
      <c r="R305" s="59">
        <f>B305*1.2/100</f>
        <v>1.2</v>
      </c>
      <c r="S305" s="59">
        <f>B305*70/100</f>
        <v>70</v>
      </c>
      <c r="T305" s="59">
        <f>B305*151/100</f>
        <v>151</v>
      </c>
      <c r="U305" s="72" t="s">
        <v>455</v>
      </c>
      <c r="V305" s="59">
        <f>B305*2.7/100</f>
        <v>2.7</v>
      </c>
      <c r="W305" s="59">
        <f>B305*5/100</f>
        <v>5</v>
      </c>
      <c r="X305" s="59">
        <f>B305*0.12/100</f>
        <v>0.12</v>
      </c>
      <c r="Y305" s="59">
        <f>B305*0.11/100</f>
        <v>0.11</v>
      </c>
      <c r="Z305" s="72" t="s">
        <v>455</v>
      </c>
      <c r="AA305" s="59">
        <f>B305*5.99/100</f>
        <v>5.99</v>
      </c>
      <c r="AB305" s="59"/>
      <c r="AC305" s="34"/>
    </row>
    <row r="306" spans="1:29" s="55" customFormat="1">
      <c r="A306" s="60" t="s">
        <v>707</v>
      </c>
      <c r="B306" s="59">
        <v>100</v>
      </c>
      <c r="C306" s="59">
        <f>B306*217/100</f>
        <v>217</v>
      </c>
      <c r="D306" s="59">
        <f>B306*31.9/100</f>
        <v>31.9</v>
      </c>
      <c r="E306" s="59">
        <f>B306*8.9/100</f>
        <v>8.9</v>
      </c>
      <c r="F306" s="59">
        <f>B306*3.5/100</f>
        <v>3.5</v>
      </c>
      <c r="G306" s="59">
        <f>B306*4.1/100</f>
        <v>4.0999999999999996</v>
      </c>
      <c r="H306" s="59">
        <f>B306*0.2/100</f>
        <v>0.2</v>
      </c>
      <c r="I306" s="59">
        <f>B306*0.11/100</f>
        <v>0.11</v>
      </c>
      <c r="J306" s="59">
        <f>B306*0.02/100</f>
        <v>0.02</v>
      </c>
      <c r="K306" s="59">
        <f>B306*71/100</f>
        <v>71</v>
      </c>
      <c r="L306" s="59">
        <v>0</v>
      </c>
      <c r="M306" s="72" t="s">
        <v>454</v>
      </c>
      <c r="N306" s="59">
        <f>B306*4/100</f>
        <v>4</v>
      </c>
      <c r="O306" s="59">
        <f>B306*14/100</f>
        <v>14</v>
      </c>
      <c r="P306" s="72" t="s">
        <v>455</v>
      </c>
      <c r="Q306" s="59">
        <f>B306*189/100</f>
        <v>189</v>
      </c>
      <c r="R306" s="59">
        <f>B306*1.7/100</f>
        <v>1.7</v>
      </c>
      <c r="S306" s="59">
        <f>B306*41/100</f>
        <v>41</v>
      </c>
      <c r="T306" s="59">
        <f>B306*252/100</f>
        <v>252</v>
      </c>
      <c r="U306" s="59">
        <f>B306*0.07/100</f>
        <v>7.0000000000000007E-2</v>
      </c>
      <c r="V306" s="59">
        <f>B306*5/100</f>
        <v>5</v>
      </c>
      <c r="W306" s="59">
        <f>B306*2/100</f>
        <v>2</v>
      </c>
      <c r="X306" s="72" t="s">
        <v>455</v>
      </c>
      <c r="Y306" s="72" t="s">
        <v>455</v>
      </c>
      <c r="Z306" s="72" t="s">
        <v>455</v>
      </c>
      <c r="AA306" s="59" t="s">
        <v>23</v>
      </c>
      <c r="AB306" s="59"/>
      <c r="AC306" s="34"/>
    </row>
    <row r="307" spans="1:29" s="55" customFormat="1">
      <c r="A307" s="60" t="s">
        <v>708</v>
      </c>
      <c r="B307" s="59">
        <v>100</v>
      </c>
      <c r="C307" s="59">
        <f>B307*148/100</f>
        <v>148</v>
      </c>
      <c r="D307" s="59">
        <f>B307*21.5/100</f>
        <v>21.5</v>
      </c>
      <c r="E307" s="59">
        <f>B307*6.2/100</f>
        <v>6.2</v>
      </c>
      <c r="F307" s="59">
        <f>B307*3/100</f>
        <v>3</v>
      </c>
      <c r="G307" s="59">
        <f>B307*2.4/100</f>
        <v>2.4</v>
      </c>
      <c r="H307" s="59">
        <f>B307*0.1/100</f>
        <v>0.1</v>
      </c>
      <c r="I307" s="59">
        <f>B307*0.05/100</f>
        <v>0.05</v>
      </c>
      <c r="J307" s="59">
        <f>B307*0.01/100</f>
        <v>0.01</v>
      </c>
      <c r="K307" s="59">
        <f>B307*60/100</f>
        <v>60</v>
      </c>
      <c r="L307" s="59">
        <v>0</v>
      </c>
      <c r="M307" s="72" t="s">
        <v>454</v>
      </c>
      <c r="N307" s="59">
        <f>B307*3/100</f>
        <v>3</v>
      </c>
      <c r="O307" s="59">
        <f>B307*21/100</f>
        <v>21</v>
      </c>
      <c r="P307" s="72" t="s">
        <v>455</v>
      </c>
      <c r="Q307" s="59">
        <f>B307*189/100</f>
        <v>189</v>
      </c>
      <c r="R307" s="59">
        <f>B307*1.9/100</f>
        <v>1.9</v>
      </c>
      <c r="S307" s="59">
        <f>B307*49/100</f>
        <v>49</v>
      </c>
      <c r="T307" s="59">
        <f>B307*358/100</f>
        <v>358</v>
      </c>
      <c r="U307" s="59">
        <f>B307*0.05/100</f>
        <v>0.05</v>
      </c>
      <c r="V307" s="59">
        <f>B307*2.8/100</f>
        <v>2.8</v>
      </c>
      <c r="W307" s="59">
        <f>B307*2/100</f>
        <v>2</v>
      </c>
      <c r="X307" s="59">
        <f>B307*0.12/100</f>
        <v>0.12</v>
      </c>
      <c r="Y307" s="59">
        <f>B307*0.2/100</f>
        <v>0.2</v>
      </c>
      <c r="Z307" s="72" t="s">
        <v>455</v>
      </c>
      <c r="AA307" s="72" t="s">
        <v>23</v>
      </c>
      <c r="AB307" s="59"/>
      <c r="AC307" s="34"/>
    </row>
    <row r="308" spans="1:29" s="55" customFormat="1">
      <c r="A308" s="60" t="s">
        <v>709</v>
      </c>
      <c r="B308" s="59">
        <v>100</v>
      </c>
      <c r="C308" s="59">
        <f>B308*219/100</f>
        <v>219</v>
      </c>
      <c r="D308" s="59">
        <f>B308*32.4/100</f>
        <v>32.4</v>
      </c>
      <c r="E308" s="59">
        <f>B308*8.9/100</f>
        <v>8.9</v>
      </c>
      <c r="F308" s="59">
        <f>B308*4.3/100</f>
        <v>4.3</v>
      </c>
      <c r="G308" s="59">
        <f>B308*3.4/100</f>
        <v>3.4</v>
      </c>
      <c r="H308" s="59">
        <f>B308*0.2/100</f>
        <v>0.2</v>
      </c>
      <c r="I308" s="59">
        <f>B308*0.14/100</f>
        <v>0.14000000000000001</v>
      </c>
      <c r="J308" s="59">
        <f>B308*0.01/100</f>
        <v>0.01</v>
      </c>
      <c r="K308" s="59">
        <f>B308*84/100</f>
        <v>84</v>
      </c>
      <c r="L308" s="59">
        <v>0</v>
      </c>
      <c r="M308" s="72" t="s">
        <v>454</v>
      </c>
      <c r="N308" s="59">
        <f>B308*4/100</f>
        <v>4</v>
      </c>
      <c r="O308" s="59">
        <f>B308*13/100</f>
        <v>13</v>
      </c>
      <c r="P308" s="72" t="s">
        <v>455</v>
      </c>
      <c r="Q308" s="59">
        <f>B308*183/100</f>
        <v>183</v>
      </c>
      <c r="R308" s="59">
        <f>B308*2.6/100</f>
        <v>2.6</v>
      </c>
      <c r="S308" s="59">
        <f>B308*44/100</f>
        <v>44</v>
      </c>
      <c r="T308" s="59">
        <f>B308*239/100</f>
        <v>239</v>
      </c>
      <c r="U308" s="59">
        <f>B308*0.11/100</f>
        <v>0.11</v>
      </c>
      <c r="V308" s="59">
        <f>B308*4.7/100</f>
        <v>4.7</v>
      </c>
      <c r="W308" s="59">
        <f>B308*2/100</f>
        <v>2</v>
      </c>
      <c r="X308" s="72" t="s">
        <v>455</v>
      </c>
      <c r="Y308" s="72" t="s">
        <v>455</v>
      </c>
      <c r="Z308" s="72" t="s">
        <v>455</v>
      </c>
      <c r="AA308" s="59" t="s">
        <v>23</v>
      </c>
      <c r="AB308" s="59"/>
      <c r="AC308" s="34"/>
    </row>
    <row r="309" spans="1:29" s="55" customFormat="1">
      <c r="A309" s="60" t="s">
        <v>710</v>
      </c>
      <c r="B309" s="59">
        <v>100</v>
      </c>
      <c r="C309" s="59">
        <f>B309*169/100</f>
        <v>169</v>
      </c>
      <c r="D309" s="59">
        <f>B309*21.2/100</f>
        <v>21.2</v>
      </c>
      <c r="E309" s="59">
        <f>B309*8.7/100</f>
        <v>8.6999999999999993</v>
      </c>
      <c r="F309" s="59">
        <f>B309*3.9/100</f>
        <v>3.9</v>
      </c>
      <c r="G309" s="59">
        <f>B309*3.7/100</f>
        <v>3.7</v>
      </c>
      <c r="H309" s="59">
        <f>B309*0.1/100</f>
        <v>0.1</v>
      </c>
      <c r="I309" s="59">
        <f>B309*0.08/100</f>
        <v>0.08</v>
      </c>
      <c r="J309" s="59">
        <f>B309*0.01/100</f>
        <v>0.01</v>
      </c>
      <c r="K309" s="59">
        <f>B309*84/100</f>
        <v>84</v>
      </c>
      <c r="L309" s="59">
        <v>0</v>
      </c>
      <c r="M309" s="72" t="s">
        <v>454</v>
      </c>
      <c r="N309" s="59">
        <f>B309*3/100</f>
        <v>3</v>
      </c>
      <c r="O309" s="59">
        <f>B309*21/100</f>
        <v>21</v>
      </c>
      <c r="P309" s="72" t="s">
        <v>455</v>
      </c>
      <c r="Q309" s="59">
        <f>B309*175/100</f>
        <v>175</v>
      </c>
      <c r="R309" s="59">
        <f>B309*1.9/100</f>
        <v>1.9</v>
      </c>
      <c r="S309" s="59">
        <f>B309*61/100</f>
        <v>61</v>
      </c>
      <c r="T309" s="59">
        <f>B309*335/100</f>
        <v>335</v>
      </c>
      <c r="U309" s="59">
        <f>B309*0.05/100</f>
        <v>0.05</v>
      </c>
      <c r="V309" s="59">
        <f>B309*2.6/100</f>
        <v>2.6</v>
      </c>
      <c r="W309" s="59">
        <f>B309*3/100</f>
        <v>3</v>
      </c>
      <c r="X309" s="59">
        <f>B309*0.12/100</f>
        <v>0.12</v>
      </c>
      <c r="Y309" s="59">
        <f>B309*0.19/100</f>
        <v>0.19</v>
      </c>
      <c r="Z309" s="72" t="s">
        <v>455</v>
      </c>
      <c r="AA309" s="72" t="s">
        <v>23</v>
      </c>
      <c r="AB309" s="59"/>
      <c r="AC309" s="34"/>
    </row>
    <row r="310" spans="1:29" s="55" customFormat="1">
      <c r="A310" s="60" t="s">
        <v>711</v>
      </c>
      <c r="B310" s="59">
        <v>100</v>
      </c>
      <c r="C310" s="59" t="s">
        <v>23</v>
      </c>
      <c r="D310" s="59" t="s">
        <v>23</v>
      </c>
      <c r="E310" s="72" t="s">
        <v>23</v>
      </c>
      <c r="F310" s="59">
        <f>B310*5.5/100</f>
        <v>5.5</v>
      </c>
      <c r="G310" s="59">
        <f>B310*5.4/100</f>
        <v>5.4</v>
      </c>
      <c r="H310" s="59">
        <f>B310*0.2/100</f>
        <v>0.2</v>
      </c>
      <c r="I310" s="59">
        <f>B310*0.16/100</f>
        <v>0.16</v>
      </c>
      <c r="J310" s="59">
        <f>B310*0.03/100</f>
        <v>0.03</v>
      </c>
      <c r="K310" s="59">
        <f>B310*91/100</f>
        <v>91</v>
      </c>
      <c r="L310" s="59" t="s">
        <v>23</v>
      </c>
      <c r="M310" s="72" t="s">
        <v>454</v>
      </c>
      <c r="N310" s="59">
        <f>B310*8/100</f>
        <v>8</v>
      </c>
      <c r="O310" s="59">
        <f>B310*18/100</f>
        <v>18</v>
      </c>
      <c r="P310" s="72" t="s">
        <v>455</v>
      </c>
      <c r="Q310" s="59">
        <f>B310*212/100</f>
        <v>212</v>
      </c>
      <c r="R310" s="59">
        <f>B310*2.7/100</f>
        <v>2.7</v>
      </c>
      <c r="S310" s="59">
        <f>B310*72/100</f>
        <v>72</v>
      </c>
      <c r="T310" s="59">
        <f>B310*321/100</f>
        <v>321</v>
      </c>
      <c r="U310" s="59">
        <f>B310*0.08/100</f>
        <v>0.08</v>
      </c>
      <c r="V310" s="59">
        <f>B310*5.3/100</f>
        <v>5.3</v>
      </c>
      <c r="W310" s="72" t="s">
        <v>455</v>
      </c>
      <c r="X310" s="72" t="s">
        <v>455</v>
      </c>
      <c r="Y310" s="59">
        <f>B310*0.08/100</f>
        <v>0.08</v>
      </c>
      <c r="Z310" s="59">
        <f>B310*0.14/100</f>
        <v>0.14000000000000001</v>
      </c>
      <c r="AA310" s="59">
        <f>B310*2.16/100</f>
        <v>2.16</v>
      </c>
      <c r="AB310" s="59"/>
      <c r="AC310" s="34"/>
    </row>
    <row r="311" spans="1:29" s="55" customFormat="1">
      <c r="A311" s="60" t="s">
        <v>712</v>
      </c>
      <c r="B311" s="59">
        <v>100</v>
      </c>
      <c r="C311" s="59">
        <f>B311*221/100</f>
        <v>221</v>
      </c>
      <c r="D311" s="59">
        <f>B311*19.5/100</f>
        <v>19.5</v>
      </c>
      <c r="E311" s="59">
        <f>B311*15.3/100</f>
        <v>15.3</v>
      </c>
      <c r="F311" s="59">
        <f>B311*6.8/100</f>
        <v>6.8</v>
      </c>
      <c r="G311" s="59">
        <f>B311*6.4/100</f>
        <v>6.4</v>
      </c>
      <c r="H311" s="59">
        <f>B311*0.2/100</f>
        <v>0.2</v>
      </c>
      <c r="I311" s="59">
        <f>B311*0.15/100</f>
        <v>0.15</v>
      </c>
      <c r="J311" s="59">
        <f>B311*0.06/100</f>
        <v>0.06</v>
      </c>
      <c r="K311" s="59">
        <f>B311*51/100</f>
        <v>51</v>
      </c>
      <c r="L311" s="59">
        <v>0</v>
      </c>
      <c r="M311" s="59" t="s">
        <v>454</v>
      </c>
      <c r="N311" s="59">
        <f>B311*4/100</f>
        <v>4</v>
      </c>
      <c r="O311" s="59">
        <f>B311*13/100</f>
        <v>13</v>
      </c>
      <c r="P311" s="59" t="s">
        <v>455</v>
      </c>
      <c r="Q311" s="59">
        <f>B311*220/100</f>
        <v>220</v>
      </c>
      <c r="R311" s="59">
        <f>B311*1.1/100</f>
        <v>1.1000000000000001</v>
      </c>
      <c r="S311" s="59">
        <f>B311*47/100</f>
        <v>47</v>
      </c>
      <c r="T311" s="59">
        <f>B311*151/100</f>
        <v>151</v>
      </c>
      <c r="U311" s="59">
        <f>B311*0.03/100</f>
        <v>0.03</v>
      </c>
      <c r="V311" s="59">
        <f>B311*2.4/100</f>
        <v>2.4</v>
      </c>
      <c r="W311" s="59">
        <f>B311*3/100</f>
        <v>3</v>
      </c>
      <c r="X311" s="59">
        <f>B311*0.11/100</f>
        <v>0.11</v>
      </c>
      <c r="Y311" s="59">
        <f>B311*0.05/100</f>
        <v>0.05</v>
      </c>
      <c r="Z311" s="59">
        <f>B311*0.03/100</f>
        <v>0.03</v>
      </c>
      <c r="AA311" s="59">
        <f>B311*3.33/100</f>
        <v>3.33</v>
      </c>
      <c r="AB311" s="59"/>
      <c r="AC311" s="34"/>
    </row>
    <row r="312" spans="1:29" s="55" customFormat="1">
      <c r="A312" s="60" t="s">
        <v>713</v>
      </c>
      <c r="B312" s="59">
        <v>100</v>
      </c>
      <c r="C312" s="59">
        <f>B312*141/100</f>
        <v>141</v>
      </c>
      <c r="D312" s="59">
        <f>B312*20.7/100</f>
        <v>20.7</v>
      </c>
      <c r="E312" s="59">
        <f>B312*5.4/100</f>
        <v>5.4</v>
      </c>
      <c r="F312" s="59">
        <f>B312*3/100</f>
        <v>3</v>
      </c>
      <c r="G312" s="59">
        <f>B312*1.5/100</f>
        <v>1.5</v>
      </c>
      <c r="H312" s="59">
        <f>B312*0.1/100</f>
        <v>0.1</v>
      </c>
      <c r="I312" s="59">
        <f>B312*0.05/100</f>
        <v>0.05</v>
      </c>
      <c r="J312" s="59" t="s">
        <v>455</v>
      </c>
      <c r="K312" s="59">
        <f>B312*393/100</f>
        <v>393</v>
      </c>
      <c r="L312" s="59">
        <f>B312*1.1/100</f>
        <v>1.1000000000000001</v>
      </c>
      <c r="M312" s="59" t="s">
        <v>454</v>
      </c>
      <c r="N312" s="59">
        <f>B312*4/100</f>
        <v>4</v>
      </c>
      <c r="O312" s="59">
        <f>B312*12/100</f>
        <v>12</v>
      </c>
      <c r="P312" s="59">
        <f>B312*0.26/100</f>
        <v>0.26</v>
      </c>
      <c r="Q312" s="59">
        <f>B312*334/100</f>
        <v>334</v>
      </c>
      <c r="R312" s="59">
        <f>B312*5.6/100</f>
        <v>5.6</v>
      </c>
      <c r="S312" s="59">
        <f>B312*76/100</f>
        <v>76</v>
      </c>
      <c r="T312" s="59">
        <f>B312*265/100</f>
        <v>265</v>
      </c>
      <c r="U312" s="59">
        <f>B312*9.01/100</f>
        <v>9.01</v>
      </c>
      <c r="V312" s="59">
        <f>B312*3.5/100</f>
        <v>3.5</v>
      </c>
      <c r="W312" s="59">
        <f>B312*7937/100</f>
        <v>7937</v>
      </c>
      <c r="X312" s="59">
        <f>B312*0.14/100</f>
        <v>0.14000000000000001</v>
      </c>
      <c r="Y312" s="59">
        <f>B312*0.9/100</f>
        <v>0.9</v>
      </c>
      <c r="Z312" s="59" t="s">
        <v>455</v>
      </c>
      <c r="AA312" s="59" t="s">
        <v>23</v>
      </c>
      <c r="AB312" s="59"/>
      <c r="AC312" s="34"/>
    </row>
    <row r="313" spans="1:29" s="55" customFormat="1">
      <c r="A313" s="60" t="s">
        <v>812</v>
      </c>
      <c r="B313" s="59">
        <v>100</v>
      </c>
      <c r="C313" s="59">
        <f>B313*225/100</f>
        <v>225</v>
      </c>
      <c r="D313" s="59">
        <f>B313*29.9/100</f>
        <v>29.9</v>
      </c>
      <c r="E313" s="59">
        <f>B313*9/100</f>
        <v>9</v>
      </c>
      <c r="F313" s="59">
        <f>B313*4.7/100</f>
        <v>4.7</v>
      </c>
      <c r="G313" s="59">
        <f>B313*2.2/100</f>
        <v>2.2000000000000002</v>
      </c>
      <c r="H313" s="59">
        <f>B313*1.1/100</f>
        <v>1.1000000000000001</v>
      </c>
      <c r="I313" s="59">
        <f>B313*0.37/100</f>
        <v>0.37</v>
      </c>
      <c r="J313" s="59">
        <f>B313*0.1/100</f>
        <v>0.1</v>
      </c>
      <c r="K313" s="59">
        <f>B313*601/100</f>
        <v>601</v>
      </c>
      <c r="L313" s="59">
        <f>B313*4.2/100</f>
        <v>4.2</v>
      </c>
      <c r="M313" s="59" t="s">
        <v>454</v>
      </c>
      <c r="N313" s="59">
        <f>B313*6/100</f>
        <v>6</v>
      </c>
      <c r="O313" s="59">
        <f>B313*10/100</f>
        <v>10</v>
      </c>
      <c r="P313" s="59">
        <f>B313*0.22/100</f>
        <v>0.22</v>
      </c>
      <c r="Q313" s="59">
        <f>B313*420/100</f>
        <v>420</v>
      </c>
      <c r="R313" s="59">
        <f>B313*5.8/100</f>
        <v>5.8</v>
      </c>
      <c r="S313" s="59">
        <f>B313*82/100</f>
        <v>82</v>
      </c>
      <c r="T313" s="59">
        <f>B313*309/100</f>
        <v>309</v>
      </c>
      <c r="U313" s="59">
        <f>B313*12.58/100</f>
        <v>12.58</v>
      </c>
      <c r="V313" s="59">
        <f>B313*4/100</f>
        <v>4</v>
      </c>
      <c r="W313" s="59">
        <f>B313*14574/100</f>
        <v>14574</v>
      </c>
      <c r="X313" s="59">
        <f>B313*0.21/100</f>
        <v>0.21</v>
      </c>
      <c r="Y313" s="59">
        <f>B313*2.69/100</f>
        <v>2.69</v>
      </c>
      <c r="Z313" s="59" t="s">
        <v>455</v>
      </c>
      <c r="AA313" s="59" t="s">
        <v>23</v>
      </c>
      <c r="AB313" s="59"/>
      <c r="AC313" s="34"/>
    </row>
    <row r="314" spans="1:29" s="55" customFormat="1">
      <c r="A314" s="60" t="s">
        <v>714</v>
      </c>
      <c r="B314" s="59">
        <v>100</v>
      </c>
      <c r="C314" s="59">
        <f>B314*143/100</f>
        <v>143</v>
      </c>
      <c r="D314" s="59">
        <f>B314*21.6/100</f>
        <v>21.6</v>
      </c>
      <c r="E314" s="59">
        <f>B314*5.6/100</f>
        <v>5.6</v>
      </c>
      <c r="F314" s="59">
        <f>B314*2.9/100</f>
        <v>2.9</v>
      </c>
      <c r="G314" s="59">
        <f>B314*1.9/100</f>
        <v>1.9</v>
      </c>
      <c r="H314" s="59">
        <f>B314*0.2/100</f>
        <v>0.2</v>
      </c>
      <c r="I314" s="59">
        <f>B314*0.11/100</f>
        <v>0.11</v>
      </c>
      <c r="J314" s="59">
        <f>B314*0.02/100</f>
        <v>0.02</v>
      </c>
      <c r="K314" s="59">
        <f>B314*55/100</f>
        <v>55</v>
      </c>
      <c r="L314" s="59">
        <v>0</v>
      </c>
      <c r="M314" s="59" t="s">
        <v>454</v>
      </c>
      <c r="N314" s="59">
        <f>B314*3/100</f>
        <v>3</v>
      </c>
      <c r="O314" s="59">
        <f>B314*21/100</f>
        <v>21</v>
      </c>
      <c r="P314" s="59">
        <f>B314*0.01/100</f>
        <v>0.01</v>
      </c>
      <c r="Q314" s="59">
        <f>B314*193/100</f>
        <v>193</v>
      </c>
      <c r="R314" s="59">
        <f>B314*1.9/100</f>
        <v>1.9</v>
      </c>
      <c r="S314" s="59">
        <f>B314*49/100</f>
        <v>49</v>
      </c>
      <c r="T314" s="59">
        <f>B314*322/100</f>
        <v>322</v>
      </c>
      <c r="U314" s="59">
        <f>B314*0.08/100</f>
        <v>0.08</v>
      </c>
      <c r="V314" s="59">
        <f>B314*2.8/100</f>
        <v>2.8</v>
      </c>
      <c r="W314" s="59">
        <f>B314*4/100</f>
        <v>4</v>
      </c>
      <c r="X314" s="59">
        <f>B314*0.12/100</f>
        <v>0.12</v>
      </c>
      <c r="Y314" s="59">
        <f>B314*0.1/100</f>
        <v>0.1</v>
      </c>
      <c r="Z314" s="59">
        <f>B314*0.04/100</f>
        <v>0.04</v>
      </c>
      <c r="AA314" s="59">
        <f>B314*1.78/100</f>
        <v>1.78</v>
      </c>
      <c r="AB314" s="59"/>
      <c r="AC314" s="34"/>
    </row>
    <row r="315" spans="1:29" s="55" customFormat="1">
      <c r="A315" s="60" t="s">
        <v>715</v>
      </c>
      <c r="B315" s="59">
        <v>100</v>
      </c>
      <c r="C315" s="59">
        <f>B315*220/100</f>
        <v>220</v>
      </c>
      <c r="D315" s="59">
        <f>B315*32.8/100</f>
        <v>32.799999999999997</v>
      </c>
      <c r="E315" s="59">
        <f>B315*8.8/100</f>
        <v>8.8000000000000007</v>
      </c>
      <c r="F315" s="59">
        <f>B315*4.5/100</f>
        <v>4.5</v>
      </c>
      <c r="G315" s="59">
        <f>B315*3.1/100</f>
        <v>3.1</v>
      </c>
      <c r="H315" s="59">
        <f>B315*0.2/100</f>
        <v>0.2</v>
      </c>
      <c r="I315" s="59">
        <f>B315*0.16/100</f>
        <v>0.16</v>
      </c>
      <c r="J315" s="59">
        <f>B315*0.02/100</f>
        <v>0.02</v>
      </c>
      <c r="K315" s="59">
        <f>B315*103/100</f>
        <v>103</v>
      </c>
      <c r="L315" s="59">
        <v>0</v>
      </c>
      <c r="M315" s="59" t="s">
        <v>454</v>
      </c>
      <c r="N315" s="59">
        <f>B315*4/100</f>
        <v>4</v>
      </c>
      <c r="O315" s="59">
        <f>B315*28/100</f>
        <v>28</v>
      </c>
      <c r="P315" s="59">
        <f>B315*0.02/100</f>
        <v>0.02</v>
      </c>
      <c r="Q315" s="59">
        <f>B315*308/100</f>
        <v>308</v>
      </c>
      <c r="R315" s="59">
        <f>B315*2.9/100</f>
        <v>2.9</v>
      </c>
      <c r="S315" s="59">
        <f>B315*58/100</f>
        <v>58</v>
      </c>
      <c r="T315" s="59">
        <f>B315*326/100</f>
        <v>326</v>
      </c>
      <c r="U315" s="59">
        <f>B315*0.14/100</f>
        <v>0.14000000000000001</v>
      </c>
      <c r="V315" s="59">
        <f>B315*4.1/100</f>
        <v>4.0999999999999996</v>
      </c>
      <c r="W315" s="59" t="s">
        <v>455</v>
      </c>
      <c r="X315" s="59">
        <f>B315*0.03/100</f>
        <v>0.03</v>
      </c>
      <c r="Y315" s="59">
        <f>B315*0.08/100</f>
        <v>0.08</v>
      </c>
      <c r="Z315" s="59">
        <f>B315*0.05/100</f>
        <v>0.05</v>
      </c>
      <c r="AA315" s="59">
        <f>B315*4.27/100</f>
        <v>4.2699999999999996</v>
      </c>
      <c r="AB315" s="59"/>
      <c r="AC315" s="34"/>
    </row>
    <row r="316" spans="1:29" s="55" customFormat="1">
      <c r="A316" s="60" t="s">
        <v>716</v>
      </c>
      <c r="B316" s="59">
        <v>100</v>
      </c>
      <c r="C316" s="59">
        <f>B316*196/100</f>
        <v>196</v>
      </c>
      <c r="D316" s="59">
        <f>B316*29.4/100</f>
        <v>29.4</v>
      </c>
      <c r="E316" s="59">
        <f>B316*7.8/100</f>
        <v>7.8</v>
      </c>
      <c r="F316" s="59">
        <f>B316*3.9/100</f>
        <v>3.9</v>
      </c>
      <c r="G316" s="59">
        <f>B316*2.8/100</f>
        <v>2.8</v>
      </c>
      <c r="H316" s="59">
        <f>B316*0.1/100</f>
        <v>0.1</v>
      </c>
      <c r="I316" s="59">
        <f>B316*0.08/100</f>
        <v>0.08</v>
      </c>
      <c r="J316" s="59">
        <f>B316*0.01/100</f>
        <v>0.01</v>
      </c>
      <c r="K316" s="59" t="s">
        <v>23</v>
      </c>
      <c r="L316" s="59">
        <v>0</v>
      </c>
      <c r="M316" s="59" t="s">
        <v>454</v>
      </c>
      <c r="N316" s="59">
        <f>B316*4/100</f>
        <v>4</v>
      </c>
      <c r="O316" s="59">
        <f>B316*14/100</f>
        <v>14</v>
      </c>
      <c r="P316" s="59" t="s">
        <v>455</v>
      </c>
      <c r="Q316" s="59">
        <f>B316*181/100</f>
        <v>181</v>
      </c>
      <c r="R316" s="59">
        <f>B316*2.8/100</f>
        <v>2.8</v>
      </c>
      <c r="S316" s="59">
        <f>B316*42/100</f>
        <v>42</v>
      </c>
      <c r="T316" s="59">
        <f>B316*249/100</f>
        <v>249</v>
      </c>
      <c r="U316" s="59">
        <f>B316*0.07/100</f>
        <v>7.0000000000000007E-2</v>
      </c>
      <c r="V316" s="59">
        <f>B316*5.6/100</f>
        <v>5.6</v>
      </c>
      <c r="W316" s="59">
        <f>B316*2/100</f>
        <v>2</v>
      </c>
      <c r="X316" s="59" t="s">
        <v>455</v>
      </c>
      <c r="Y316" s="59" t="s">
        <v>455</v>
      </c>
      <c r="Z316" s="59" t="s">
        <v>455</v>
      </c>
      <c r="AA316" s="59" t="s">
        <v>23</v>
      </c>
      <c r="AB316" s="59"/>
      <c r="AC316" s="34"/>
    </row>
    <row r="317" spans="1:29" s="55" customFormat="1">
      <c r="A317" s="60" t="s">
        <v>717</v>
      </c>
      <c r="B317" s="59">
        <v>100</v>
      </c>
      <c r="C317" s="59">
        <f>B317*141/100</f>
        <v>141</v>
      </c>
      <c r="D317" s="59">
        <f>B317*20/100</f>
        <v>20</v>
      </c>
      <c r="E317" s="72">
        <f>B317*6.2/100</f>
        <v>6.2</v>
      </c>
      <c r="F317" s="59">
        <f>B317*3.1/100</f>
        <v>3.1</v>
      </c>
      <c r="G317" s="59">
        <f>B317*2.3/100</f>
        <v>2.2999999999999998</v>
      </c>
      <c r="H317" s="59">
        <f>B317*0.1/100</f>
        <v>0.1</v>
      </c>
      <c r="I317" s="59">
        <f>B317*0.07/100</f>
        <v>7.0000000000000007E-2</v>
      </c>
      <c r="J317" s="59">
        <f>B317*0.01/100</f>
        <v>0.01</v>
      </c>
      <c r="K317" s="59">
        <f>B317*50/100</f>
        <v>50</v>
      </c>
      <c r="L317" s="59">
        <v>0</v>
      </c>
      <c r="M317" s="72" t="s">
        <v>454</v>
      </c>
      <c r="N317" s="59">
        <f>B317*3/100</f>
        <v>3</v>
      </c>
      <c r="O317" s="59">
        <f>B317*18/100</f>
        <v>18</v>
      </c>
      <c r="P317" s="72" t="s">
        <v>455</v>
      </c>
      <c r="Q317" s="59">
        <f>B317*167/100</f>
        <v>167</v>
      </c>
      <c r="R317" s="59">
        <f>B317*1.6/100</f>
        <v>1.6</v>
      </c>
      <c r="S317" s="59">
        <f>B317*54/100</f>
        <v>54</v>
      </c>
      <c r="T317" s="59">
        <f>B317*324/100</f>
        <v>324</v>
      </c>
      <c r="U317" s="59">
        <f>B317*0.05/100</f>
        <v>0.05</v>
      </c>
      <c r="V317" s="59">
        <f>B317*4.5/100</f>
        <v>4.5</v>
      </c>
      <c r="W317" s="59">
        <f>B317*2/100</f>
        <v>2</v>
      </c>
      <c r="X317" s="59">
        <f>B317*0.11/100</f>
        <v>0.11</v>
      </c>
      <c r="Y317" s="59">
        <f>B317*0.16/100</f>
        <v>0.16</v>
      </c>
      <c r="Z317" s="72" t="s">
        <v>455</v>
      </c>
      <c r="AA317" s="72" t="s">
        <v>23</v>
      </c>
      <c r="AB317" s="59"/>
      <c r="AC317" s="34"/>
    </row>
    <row r="318" spans="1:29" s="55" customFormat="1">
      <c r="A318" s="60" t="s">
        <v>718</v>
      </c>
      <c r="B318" s="59">
        <v>100</v>
      </c>
      <c r="C318" s="59">
        <f>B318*338/100</f>
        <v>338</v>
      </c>
      <c r="D318" s="59">
        <f>B318*24.2/100</f>
        <v>24.2</v>
      </c>
      <c r="E318" s="59">
        <f>B318*26/100</f>
        <v>26</v>
      </c>
      <c r="F318" s="59">
        <f>B318*12.1/100</f>
        <v>12.1</v>
      </c>
      <c r="G318" s="59">
        <f>B318*10.4/100</f>
        <v>10.4</v>
      </c>
      <c r="H318" s="59">
        <f>B318*0.5/100</f>
        <v>0.5</v>
      </c>
      <c r="I318" s="59">
        <f>B318*0.29/100</f>
        <v>0.28999999999999998</v>
      </c>
      <c r="J318" s="59">
        <f>B318*0.12/100</f>
        <v>0.12</v>
      </c>
      <c r="K318" s="59">
        <f>B318*65/100</f>
        <v>65</v>
      </c>
      <c r="L318" s="59">
        <v>0</v>
      </c>
      <c r="M318" s="72" t="s">
        <v>454</v>
      </c>
      <c r="N318" s="59">
        <f>B318*3/100</f>
        <v>3</v>
      </c>
      <c r="O318" s="59">
        <f>B318*14/100</f>
        <v>14</v>
      </c>
      <c r="P318" s="72" t="s">
        <v>455</v>
      </c>
      <c r="Q318" s="59">
        <f>B318*161/100</f>
        <v>161</v>
      </c>
      <c r="R318" s="59">
        <f>B318*2/100</f>
        <v>2</v>
      </c>
      <c r="S318" s="59">
        <f>B318*39/100</f>
        <v>39</v>
      </c>
      <c r="T318" s="59">
        <f>B318*207/100</f>
        <v>207</v>
      </c>
      <c r="U318" s="59">
        <f>B318*0.07/100</f>
        <v>7.0000000000000007E-2</v>
      </c>
      <c r="V318" s="59">
        <f>B318*6.5/100</f>
        <v>6.5</v>
      </c>
      <c r="W318" s="72" t="s">
        <v>455</v>
      </c>
      <c r="X318" s="72" t="s">
        <v>455</v>
      </c>
      <c r="Y318" s="59">
        <f>B318*0.05/100</f>
        <v>0.05</v>
      </c>
      <c r="Z318" s="59">
        <f>B318*0.07/100</f>
        <v>7.0000000000000007E-2</v>
      </c>
      <c r="AA318" s="59">
        <f>B318*1.61/100</f>
        <v>1.61</v>
      </c>
      <c r="AB318" s="59"/>
      <c r="AC318" s="34"/>
    </row>
    <row r="319" spans="1:29" s="55" customFormat="1">
      <c r="A319" s="60" t="s">
        <v>719</v>
      </c>
      <c r="B319" s="59">
        <v>100</v>
      </c>
      <c r="C319" s="59">
        <f>B319*221/100</f>
        <v>221</v>
      </c>
      <c r="D319" s="59">
        <f>B319*17.6/100</f>
        <v>17.600000000000001</v>
      </c>
      <c r="E319" s="59">
        <f>B319*16.1/100</f>
        <v>16.100000000000001</v>
      </c>
      <c r="F319" s="59">
        <f>B319*7.3/100</f>
        <v>7.3</v>
      </c>
      <c r="G319" s="59">
        <f>B319*6.5/100</f>
        <v>6.5</v>
      </c>
      <c r="H319" s="59">
        <f>B319*0.3/100</f>
        <v>0.3</v>
      </c>
      <c r="I319" s="59">
        <f>B319*0.16/100</f>
        <v>0.16</v>
      </c>
      <c r="J319" s="59">
        <f>B319*0.09/100</f>
        <v>0.09</v>
      </c>
      <c r="K319" s="59">
        <f>B319*54/100</f>
        <v>54</v>
      </c>
      <c r="L319" s="59">
        <v>0</v>
      </c>
      <c r="M319" s="72" t="s">
        <v>454</v>
      </c>
      <c r="N319" s="59">
        <f>B319*3/100</f>
        <v>3</v>
      </c>
      <c r="O319" s="59">
        <f>B319*16/100</f>
        <v>16</v>
      </c>
      <c r="P319" s="72" t="s">
        <v>455</v>
      </c>
      <c r="Q319" s="59">
        <f>B319*131/100</f>
        <v>131</v>
      </c>
      <c r="R319" s="59">
        <f>B319*1.5/100</f>
        <v>1.5</v>
      </c>
      <c r="S319" s="59">
        <f>B319*51/100</f>
        <v>51</v>
      </c>
      <c r="T319" s="59">
        <f>B319*274/100</f>
        <v>274</v>
      </c>
      <c r="U319" s="59">
        <f>B319*0.04/100</f>
        <v>0.04</v>
      </c>
      <c r="V319" s="59">
        <f>B319*4.2/100</f>
        <v>4.2</v>
      </c>
      <c r="W319" s="59">
        <f>B319*5/100</f>
        <v>5</v>
      </c>
      <c r="X319" s="59">
        <f>B319*0.08/100</f>
        <v>0.08</v>
      </c>
      <c r="Y319" s="59">
        <f>B319*0.07/100</f>
        <v>7.0000000000000007E-2</v>
      </c>
      <c r="Z319" s="59">
        <f>B319*0.03/100</f>
        <v>0.03</v>
      </c>
      <c r="AA319" s="59">
        <f>B319*3.56/100</f>
        <v>3.56</v>
      </c>
      <c r="AB319" s="59"/>
      <c r="AC319" s="34"/>
    </row>
    <row r="320" spans="1:29" s="55" customFormat="1">
      <c r="A320" s="60" t="s">
        <v>720</v>
      </c>
      <c r="B320" s="59">
        <v>100</v>
      </c>
      <c r="C320" s="59">
        <f>B320*222/100</f>
        <v>222</v>
      </c>
      <c r="D320" s="59">
        <f>B320*32.9/100</f>
        <v>32.9</v>
      </c>
      <c r="E320" s="59">
        <f>B320*9.1/100</f>
        <v>9.1</v>
      </c>
      <c r="F320" s="59">
        <f>B320*3.9/100</f>
        <v>3.9</v>
      </c>
      <c r="G320" s="59">
        <f>B320*4/100</f>
        <v>4</v>
      </c>
      <c r="H320" s="59">
        <f>B320*0.2/100</f>
        <v>0.2</v>
      </c>
      <c r="I320" s="59">
        <f>B320*0.12/100</f>
        <v>0.12</v>
      </c>
      <c r="J320" s="59">
        <f>B320*0.02/100</f>
        <v>0.02</v>
      </c>
      <c r="K320" s="59">
        <f>B320*56/100</f>
        <v>56</v>
      </c>
      <c r="L320" s="59">
        <v>0</v>
      </c>
      <c r="M320" s="72" t="s">
        <v>454</v>
      </c>
      <c r="N320" s="59">
        <f>B320*4/100</f>
        <v>4</v>
      </c>
      <c r="O320" s="59">
        <f>B320*13/100</f>
        <v>13</v>
      </c>
      <c r="P320" s="72" t="s">
        <v>455</v>
      </c>
      <c r="Q320" s="59">
        <f>B320*167/100</f>
        <v>167</v>
      </c>
      <c r="R320" s="59">
        <f>B320*1.9/100</f>
        <v>1.9</v>
      </c>
      <c r="S320" s="59">
        <f>B320*48/100</f>
        <v>48</v>
      </c>
      <c r="T320" s="59">
        <f>B320*254/100</f>
        <v>254</v>
      </c>
      <c r="U320" s="59">
        <f>B320*0.05/100</f>
        <v>0.05</v>
      </c>
      <c r="V320" s="59">
        <f>B320*7/100</f>
        <v>7</v>
      </c>
      <c r="W320" s="59">
        <f>B320*3/100</f>
        <v>3</v>
      </c>
      <c r="X320" s="72" t="s">
        <v>455</v>
      </c>
      <c r="Y320" s="72" t="s">
        <v>455</v>
      </c>
      <c r="Z320" s="72" t="s">
        <v>455</v>
      </c>
      <c r="AA320" s="59" t="s">
        <v>23</v>
      </c>
      <c r="AB320" s="59"/>
      <c r="AC320" s="34"/>
    </row>
    <row r="321" spans="1:29" s="55" customFormat="1">
      <c r="A321" s="60" t="s">
        <v>721</v>
      </c>
      <c r="B321" s="59">
        <v>100</v>
      </c>
      <c r="C321" s="59">
        <f>B321*135/100</f>
        <v>135</v>
      </c>
      <c r="D321" s="59">
        <f>B321*20.5/100</f>
        <v>20.5</v>
      </c>
      <c r="E321" s="59">
        <f>B321*5.2/100</f>
        <v>5.2</v>
      </c>
      <c r="F321" s="59">
        <f>B321*2.3/100</f>
        <v>2.2999999999999998</v>
      </c>
      <c r="G321" s="59">
        <f>B321*2.3/100</f>
        <v>2.2999999999999998</v>
      </c>
      <c r="H321" s="59">
        <f>B321*0.1/100</f>
        <v>0.1</v>
      </c>
      <c r="I321" s="59">
        <f>B321*0.06/100</f>
        <v>0.06</v>
      </c>
      <c r="J321" s="59">
        <f>B321*0.01/100</f>
        <v>0.01</v>
      </c>
      <c r="K321" s="59">
        <f>B321*56/100</f>
        <v>56</v>
      </c>
      <c r="L321" s="59">
        <v>0</v>
      </c>
      <c r="M321" s="59" t="s">
        <v>454</v>
      </c>
      <c r="N321" s="59">
        <f>B321*3/100</f>
        <v>3</v>
      </c>
      <c r="O321" s="59">
        <f>B321*20/100</f>
        <v>20</v>
      </c>
      <c r="P321" s="59" t="s">
        <v>455</v>
      </c>
      <c r="Q321" s="59">
        <f>B321*185/100</f>
        <v>185</v>
      </c>
      <c r="R321" s="59">
        <f>B321*1.3/100</f>
        <v>1.3</v>
      </c>
      <c r="S321" s="59">
        <f>B321*54/100</f>
        <v>54</v>
      </c>
      <c r="T321" s="59">
        <f>B321*362/100</f>
        <v>362</v>
      </c>
      <c r="U321" s="59">
        <f>B321*0.05/100</f>
        <v>0.05</v>
      </c>
      <c r="V321" s="59">
        <f>B321*2.4/100</f>
        <v>2.4</v>
      </c>
      <c r="W321" s="59">
        <f>B321*2/100</f>
        <v>2</v>
      </c>
      <c r="X321" s="59">
        <f>B321*0.1/100</f>
        <v>0.1</v>
      </c>
      <c r="Y321" s="59">
        <f>B321*0.14/100</f>
        <v>0.14000000000000001</v>
      </c>
      <c r="Z321" s="59">
        <f>B321*0.03/100</f>
        <v>0.03</v>
      </c>
      <c r="AA321" s="59" t="s">
        <v>23</v>
      </c>
      <c r="AB321" s="59"/>
      <c r="AC321" s="34"/>
    </row>
    <row r="322" spans="1:29" s="55" customFormat="1">
      <c r="A322" s="60" t="s">
        <v>722</v>
      </c>
      <c r="B322" s="59">
        <v>100</v>
      </c>
      <c r="C322" s="59">
        <f>B322*315/100</f>
        <v>315</v>
      </c>
      <c r="D322" s="59">
        <f>B322*21.4/100</f>
        <v>21.4</v>
      </c>
      <c r="E322" s="59">
        <f>B322*24.8/100</f>
        <v>24.8</v>
      </c>
      <c r="F322" s="59">
        <f>B322*11.2/100</f>
        <v>11.2</v>
      </c>
      <c r="G322" s="59">
        <f>B322*10.3/100</f>
        <v>10.3</v>
      </c>
      <c r="H322" s="59">
        <f>B322*0.5/100</f>
        <v>0.5</v>
      </c>
      <c r="I322" s="59">
        <f>B322*0.43/100</f>
        <v>0.43</v>
      </c>
      <c r="J322" s="59">
        <f>B322*0.09/100</f>
        <v>0.09</v>
      </c>
      <c r="K322" s="59">
        <f>B322*105/100</f>
        <v>105</v>
      </c>
      <c r="L322" s="59">
        <v>0</v>
      </c>
      <c r="M322" s="59" t="s">
        <v>454</v>
      </c>
      <c r="N322" s="59">
        <f>B322*6/100</f>
        <v>6</v>
      </c>
      <c r="O322" s="59">
        <f>B322*12/100</f>
        <v>12</v>
      </c>
      <c r="P322" s="59">
        <f>B322*0.01/100</f>
        <v>0.01</v>
      </c>
      <c r="Q322" s="59">
        <f>B322*136/100</f>
        <v>136</v>
      </c>
      <c r="R322" s="59">
        <f>B322*2.1/100</f>
        <v>2.1</v>
      </c>
      <c r="S322" s="59">
        <f>B322*59/100</f>
        <v>59</v>
      </c>
      <c r="T322" s="59">
        <f>B322*175/100</f>
        <v>175</v>
      </c>
      <c r="U322" s="59">
        <f>B322*0.08/100</f>
        <v>0.08</v>
      </c>
      <c r="V322" s="59">
        <f>B322*4.1/100</f>
        <v>4.0999999999999996</v>
      </c>
      <c r="W322" s="59" t="s">
        <v>455</v>
      </c>
      <c r="X322" s="59" t="s">
        <v>455</v>
      </c>
      <c r="Y322" s="59">
        <f>B322*0.08/100</f>
        <v>0.08</v>
      </c>
      <c r="Z322" s="59" t="s">
        <v>455</v>
      </c>
      <c r="AA322" s="59">
        <f>B322*1.83/100</f>
        <v>1.83</v>
      </c>
      <c r="AB322" s="59"/>
      <c r="AC322" s="34"/>
    </row>
    <row r="323" spans="1:29" s="55" customFormat="1">
      <c r="A323" s="60" t="s">
        <v>723</v>
      </c>
      <c r="B323" s="59">
        <v>100</v>
      </c>
      <c r="C323" s="59">
        <f>B323*215/100</f>
        <v>215</v>
      </c>
      <c r="D323" s="59">
        <f>B323*17.1/100</f>
        <v>17.100000000000001</v>
      </c>
      <c r="E323" s="59">
        <f>B323*15.8/100</f>
        <v>15.8</v>
      </c>
      <c r="F323" s="59">
        <f>B323*6.8/100</f>
        <v>6.8</v>
      </c>
      <c r="G323" s="59">
        <f>B323*6.8/100</f>
        <v>6.8</v>
      </c>
      <c r="H323" s="59">
        <f>B323*0.3/100</f>
        <v>0.3</v>
      </c>
      <c r="I323" s="59">
        <f>B323*0.26/100</f>
        <v>0.26</v>
      </c>
      <c r="J323" s="59">
        <f>B323*0.04/100</f>
        <v>0.04</v>
      </c>
      <c r="K323" s="59">
        <f>B323*118/100</f>
        <v>118</v>
      </c>
      <c r="L323" s="59">
        <v>0</v>
      </c>
      <c r="M323" s="59" t="s">
        <v>454</v>
      </c>
      <c r="N323" s="59">
        <f>B323*5/100</f>
        <v>5</v>
      </c>
      <c r="O323" s="59">
        <f>B323*15/100</f>
        <v>15</v>
      </c>
      <c r="P323" s="59">
        <f>B323*0.02/100</f>
        <v>0.02</v>
      </c>
      <c r="Q323" s="59">
        <f>B323*164/100</f>
        <v>164</v>
      </c>
      <c r="R323" s="59">
        <f>B323*1.7/100</f>
        <v>1.7</v>
      </c>
      <c r="S323" s="59">
        <f>B323*73/100</f>
        <v>73</v>
      </c>
      <c r="T323" s="59">
        <f>B323*251/100</f>
        <v>251</v>
      </c>
      <c r="U323" s="59">
        <f>B323*0.09/100</f>
        <v>0.09</v>
      </c>
      <c r="V323" s="59">
        <f>B323*2.9/100</f>
        <v>2.9</v>
      </c>
      <c r="W323" s="59" t="s">
        <v>455</v>
      </c>
      <c r="X323" s="59">
        <f>B323*0.05/100</f>
        <v>0.05</v>
      </c>
      <c r="Y323" s="59">
        <f>B323*0.04/100</f>
        <v>0.04</v>
      </c>
      <c r="Z323" s="59" t="s">
        <v>455</v>
      </c>
      <c r="AA323" s="59">
        <f>B323*1.18/100</f>
        <v>1.18</v>
      </c>
      <c r="AB323" s="59"/>
      <c r="AC323" s="34"/>
    </row>
    <row r="324" spans="1:29" s="55" customFormat="1">
      <c r="A324" s="60" t="s">
        <v>724</v>
      </c>
      <c r="B324" s="59">
        <v>100</v>
      </c>
      <c r="C324" s="59">
        <f>B324*153/100</f>
        <v>153</v>
      </c>
      <c r="D324" s="59">
        <f>B324*20.9/100</f>
        <v>20.9</v>
      </c>
      <c r="E324" s="59">
        <f>B324*7/100</f>
        <v>7</v>
      </c>
      <c r="F324" s="59">
        <f>B324*3.1/100</f>
        <v>3.1</v>
      </c>
      <c r="G324" s="59">
        <f>B324*3.1/100</f>
        <v>3.1</v>
      </c>
      <c r="H324" s="59">
        <f>B324*0.1/100</f>
        <v>0.1</v>
      </c>
      <c r="I324" s="59">
        <f>B324*0.09/100</f>
        <v>0.09</v>
      </c>
      <c r="J324" s="59">
        <f>B324*0.01/100</f>
        <v>0.01</v>
      </c>
      <c r="K324" s="59">
        <f>B324*51/100</f>
        <v>51</v>
      </c>
      <c r="L324" s="59">
        <v>0</v>
      </c>
      <c r="M324" s="59" t="s">
        <v>454</v>
      </c>
      <c r="N324" s="59">
        <f>B324*3/100</f>
        <v>3</v>
      </c>
      <c r="O324" s="59">
        <f>B324*16/100</f>
        <v>16</v>
      </c>
      <c r="P324" s="59" t="s">
        <v>455</v>
      </c>
      <c r="Q324" s="59">
        <f>B324*181/100</f>
        <v>181</v>
      </c>
      <c r="R324" s="59">
        <f>B324*1.1/100</f>
        <v>1.1000000000000001</v>
      </c>
      <c r="S324" s="59">
        <f>B324*37/100</f>
        <v>37</v>
      </c>
      <c r="T324" s="59">
        <f>B324*274/100</f>
        <v>274</v>
      </c>
      <c r="U324" s="59">
        <f>B324*0.03/100</f>
        <v>0.03</v>
      </c>
      <c r="V324" s="59">
        <f>B324*3.5/100</f>
        <v>3.5</v>
      </c>
      <c r="W324" s="59">
        <f>B324*3/100</f>
        <v>3</v>
      </c>
      <c r="X324" s="59">
        <f>B324*0.12/100</f>
        <v>0.12</v>
      </c>
      <c r="Y324" s="59">
        <f>B324*0.08/100</f>
        <v>0.08</v>
      </c>
      <c r="Z324" s="59">
        <f>B324*0.03/100</f>
        <v>0.03</v>
      </c>
      <c r="AA324" s="59">
        <f>B324*4.27/100</f>
        <v>4.2699999999999996</v>
      </c>
      <c r="AB324" s="59"/>
      <c r="AC324" s="34"/>
    </row>
    <row r="325" spans="1:29" s="55" customFormat="1">
      <c r="A325" s="60" t="s">
        <v>725</v>
      </c>
      <c r="B325" s="59">
        <v>100</v>
      </c>
      <c r="C325" s="59" t="s">
        <v>23</v>
      </c>
      <c r="D325" s="59" t="s">
        <v>23</v>
      </c>
      <c r="E325" s="59" t="s">
        <v>23</v>
      </c>
      <c r="F325" s="59">
        <f>B325*9.7/100</f>
        <v>9.6999999999999993</v>
      </c>
      <c r="G325" s="59">
        <f>B325*7.7/100</f>
        <v>7.7</v>
      </c>
      <c r="H325" s="59">
        <f>B325*0.2/100</f>
        <v>0.2</v>
      </c>
      <c r="I325" s="59">
        <f>B325*0.19/100</f>
        <v>0.19</v>
      </c>
      <c r="J325" s="59">
        <f>B325*0.04/100</f>
        <v>0.04</v>
      </c>
      <c r="K325" s="59">
        <f>B325*88/100</f>
        <v>88</v>
      </c>
      <c r="L325" s="59" t="s">
        <v>23</v>
      </c>
      <c r="M325" s="59" t="s">
        <v>454</v>
      </c>
      <c r="N325" s="59">
        <f>B325*4/100</f>
        <v>4</v>
      </c>
      <c r="O325" s="59">
        <f>B325*21/100</f>
        <v>21</v>
      </c>
      <c r="P325" s="59" t="s">
        <v>455</v>
      </c>
      <c r="Q325" s="59">
        <f>B325*237/100</f>
        <v>237</v>
      </c>
      <c r="R325" s="59">
        <f>B325*2.4/100</f>
        <v>2.4</v>
      </c>
      <c r="S325" s="59">
        <f>B325*58/100</f>
        <v>58</v>
      </c>
      <c r="T325" s="59">
        <f>B325*386/100</f>
        <v>386</v>
      </c>
      <c r="U325" s="59">
        <f>B325*0.08/100</f>
        <v>0.08</v>
      </c>
      <c r="V325" s="59">
        <f>B325*5.6/100</f>
        <v>5.6</v>
      </c>
      <c r="W325" s="59" t="s">
        <v>455</v>
      </c>
      <c r="X325" s="59" t="s">
        <v>455</v>
      </c>
      <c r="Y325" s="59">
        <f>B325*0.04/100</f>
        <v>0.04</v>
      </c>
      <c r="Z325" s="59">
        <f>B325*0.13/100</f>
        <v>0.13</v>
      </c>
      <c r="AA325" s="59">
        <f>B325*1.46/100</f>
        <v>1.46</v>
      </c>
      <c r="AB325" s="59"/>
      <c r="AC325" s="34"/>
    </row>
    <row r="326" spans="1:29" s="55" customFormat="1">
      <c r="A326" s="60" t="s">
        <v>726</v>
      </c>
      <c r="B326" s="59">
        <v>100</v>
      </c>
      <c r="C326" s="59">
        <f>B326*163/100</f>
        <v>163</v>
      </c>
      <c r="D326" s="59">
        <f>B326*21.6/100</f>
        <v>21.6</v>
      </c>
      <c r="E326" s="59">
        <f>B326*7.8/100</f>
        <v>7.8</v>
      </c>
      <c r="F326" s="59">
        <f>B326*3.4/100</f>
        <v>3.4</v>
      </c>
      <c r="G326" s="59">
        <f>B326*3.3/100</f>
        <v>3.3</v>
      </c>
      <c r="H326" s="59">
        <f>B326*0.1/100</f>
        <v>0.1</v>
      </c>
      <c r="I326" s="59"/>
      <c r="J326" s="59">
        <f>B326*0.04/100</f>
        <v>0.04</v>
      </c>
      <c r="K326" s="59">
        <f>B326*60/100</f>
        <v>60</v>
      </c>
      <c r="L326" s="59">
        <v>0</v>
      </c>
      <c r="M326" s="59" t="s">
        <v>454</v>
      </c>
      <c r="N326" s="59">
        <f>B326*3/100</f>
        <v>3</v>
      </c>
      <c r="O326" s="59">
        <f>B326*20/100</f>
        <v>20</v>
      </c>
      <c r="P326" s="59">
        <f>B326*0.01/100</f>
        <v>0.01</v>
      </c>
      <c r="Q326" s="59">
        <f>B326*165/100</f>
        <v>165</v>
      </c>
      <c r="R326" s="59">
        <f>B326*2/100</f>
        <v>2</v>
      </c>
      <c r="S326" s="59">
        <f>B326*43/100</f>
        <v>43</v>
      </c>
      <c r="T326" s="59">
        <f>B326*299/100</f>
        <v>299</v>
      </c>
      <c r="U326" s="59">
        <f>B326*0.06/100</f>
        <v>0.06</v>
      </c>
      <c r="V326" s="59">
        <f>B326*3/100</f>
        <v>3</v>
      </c>
      <c r="W326" s="59">
        <f>B326*4/100</f>
        <v>4</v>
      </c>
      <c r="X326" s="59">
        <f>B326*0.12/100</f>
        <v>0.12</v>
      </c>
      <c r="Y326" s="59">
        <f>B326*0.07/100</f>
        <v>7.0000000000000007E-2</v>
      </c>
      <c r="Z326" s="59" t="s">
        <v>455</v>
      </c>
      <c r="AA326" s="59">
        <f>B326*3.59/100</f>
        <v>3.59</v>
      </c>
      <c r="AB326" s="59"/>
      <c r="AC326" s="34"/>
    </row>
    <row r="327" spans="1:29" s="55" customFormat="1">
      <c r="A327" s="60" t="s">
        <v>727</v>
      </c>
      <c r="B327" s="59">
        <v>100</v>
      </c>
      <c r="C327" s="59">
        <f>B327*241/100</f>
        <v>241</v>
      </c>
      <c r="D327" s="59">
        <f>B327*31.9/100</f>
        <v>31.9</v>
      </c>
      <c r="E327" s="59">
        <f>B327*11.6/100</f>
        <v>11.6</v>
      </c>
      <c r="F327" s="59">
        <f>B327*5.1/100</f>
        <v>5.0999999999999996</v>
      </c>
      <c r="G327" s="59">
        <f>B327*4.9/100</f>
        <v>4.9000000000000004</v>
      </c>
      <c r="H327" s="59">
        <f>B327*0.3/100</f>
        <v>0.3</v>
      </c>
      <c r="I327" s="59">
        <f>B327*0.16/100</f>
        <v>0.16</v>
      </c>
      <c r="J327" s="59">
        <f>B327*0.04/100</f>
        <v>0.04</v>
      </c>
      <c r="K327" s="59">
        <f>B327*92/100</f>
        <v>92</v>
      </c>
      <c r="L327" s="59">
        <v>0</v>
      </c>
      <c r="M327" s="59" t="s">
        <v>454</v>
      </c>
      <c r="N327" s="59">
        <f>B327*5/100</f>
        <v>5</v>
      </c>
      <c r="O327" s="59">
        <f>B327*26/100</f>
        <v>26</v>
      </c>
      <c r="P327" s="59">
        <f>B327*0.02/100</f>
        <v>0.02</v>
      </c>
      <c r="Q327" s="59">
        <f>B327*279/100</f>
        <v>279</v>
      </c>
      <c r="R327" s="59">
        <f>B327*3.2/100</f>
        <v>3.2</v>
      </c>
      <c r="S327" s="59">
        <f>B327*52/100</f>
        <v>52</v>
      </c>
      <c r="T327" s="59">
        <f>B327*385/100</f>
        <v>385</v>
      </c>
      <c r="U327" s="59">
        <f>B327*0.11/100</f>
        <v>0.11</v>
      </c>
      <c r="V327" s="59">
        <f>B327*4.8/100</f>
        <v>4.8</v>
      </c>
      <c r="W327" s="59" t="s">
        <v>455</v>
      </c>
      <c r="X327" s="59">
        <f>B327*0.03/100</f>
        <v>0.03</v>
      </c>
      <c r="Y327" s="59">
        <f>B327*0.05/100</f>
        <v>0.05</v>
      </c>
      <c r="Z327" s="59">
        <f>B327*0.05/100</f>
        <v>0.05</v>
      </c>
      <c r="AA327" s="59" t="s">
        <v>23</v>
      </c>
      <c r="AB327" s="59"/>
      <c r="AC327" s="34"/>
    </row>
    <row r="328" spans="1:29" s="55" customFormat="1">
      <c r="A328" s="60" t="s">
        <v>728</v>
      </c>
      <c r="B328" s="59">
        <v>100</v>
      </c>
      <c r="C328" s="59">
        <f>B328*194/100</f>
        <v>194</v>
      </c>
      <c r="D328" s="59">
        <f>B328*31.2/100</f>
        <v>31.2</v>
      </c>
      <c r="E328" s="59">
        <f>B328*6.7/100</f>
        <v>6.7</v>
      </c>
      <c r="F328" s="59">
        <f>B328*2.9/100</f>
        <v>2.9</v>
      </c>
      <c r="G328" s="59">
        <f>B328*2.8/100</f>
        <v>2.8</v>
      </c>
      <c r="H328" s="59">
        <f>B328*0.1/100</f>
        <v>0.1</v>
      </c>
      <c r="I328" s="59">
        <f>B328*0.09/100</f>
        <v>0.09</v>
      </c>
      <c r="J328" s="59">
        <f>B328*0.03/100</f>
        <v>0.03</v>
      </c>
      <c r="K328" s="59">
        <f>B328*56/100</f>
        <v>56</v>
      </c>
      <c r="L328" s="59">
        <v>0</v>
      </c>
      <c r="M328" s="59" t="s">
        <v>454</v>
      </c>
      <c r="N328" s="59">
        <f>B328*5/100</f>
        <v>5</v>
      </c>
      <c r="O328" s="59">
        <f>B328*13/100</f>
        <v>13</v>
      </c>
      <c r="P328" s="59" t="s">
        <v>455</v>
      </c>
      <c r="Q328" s="59">
        <f>B328*176/100</f>
        <v>176</v>
      </c>
      <c r="R328" s="59">
        <f>B328*2.4/100</f>
        <v>2.4</v>
      </c>
      <c r="S328" s="59">
        <f>B328*62/100</f>
        <v>62</v>
      </c>
      <c r="T328" s="59">
        <f>B328*253/100</f>
        <v>253</v>
      </c>
      <c r="U328" s="59">
        <f>B328*0.08/100</f>
        <v>0.08</v>
      </c>
      <c r="V328" s="59">
        <f>B328*6.4/100</f>
        <v>6.4</v>
      </c>
      <c r="W328" s="59">
        <f>B328*2/100</f>
        <v>2</v>
      </c>
      <c r="X328" s="59" t="s">
        <v>455</v>
      </c>
      <c r="Y328" s="59" t="s">
        <v>455</v>
      </c>
      <c r="Z328" s="59" t="s">
        <v>455</v>
      </c>
      <c r="AA328" s="59" t="s">
        <v>23</v>
      </c>
      <c r="AB328" s="59"/>
      <c r="AC328" s="34"/>
    </row>
    <row r="329" spans="1:29" s="55" customFormat="1">
      <c r="A329" s="60" t="s">
        <v>729</v>
      </c>
      <c r="B329" s="59">
        <v>100</v>
      </c>
      <c r="C329" s="59">
        <f>B329*142/100</f>
        <v>142</v>
      </c>
      <c r="D329" s="59">
        <f>B329*21.6/100</f>
        <v>21.6</v>
      </c>
      <c r="E329" s="59">
        <f>B329*5.5/100</f>
        <v>5.5</v>
      </c>
      <c r="F329" s="59">
        <f>B329*2.2/100</f>
        <v>2.2000000000000002</v>
      </c>
      <c r="G329" s="59">
        <f>B329*2.6/100</f>
        <v>2.6</v>
      </c>
      <c r="H329" s="59">
        <f>B329*0.1/100</f>
        <v>0.1</v>
      </c>
      <c r="I329" s="59">
        <f>B329*0.07/100</f>
        <v>7.0000000000000007E-2</v>
      </c>
      <c r="J329" s="59">
        <f>B329*0.01/100</f>
        <v>0.01</v>
      </c>
      <c r="K329" s="59">
        <f>B329*51/100</f>
        <v>51</v>
      </c>
      <c r="L329" s="59">
        <v>0</v>
      </c>
      <c r="M329" s="59" t="s">
        <v>454</v>
      </c>
      <c r="N329" s="59">
        <f>B329*4/100</f>
        <v>4</v>
      </c>
      <c r="O329" s="59">
        <f>B329*17/100</f>
        <v>17</v>
      </c>
      <c r="P329" s="59" t="s">
        <v>455</v>
      </c>
      <c r="Q329" s="59">
        <f>B329*162/100</f>
        <v>162</v>
      </c>
      <c r="R329" s="59">
        <f>B329*1.9/100</f>
        <v>1.9</v>
      </c>
      <c r="S329" s="59">
        <f>B329*66/100</f>
        <v>66</v>
      </c>
      <c r="T329" s="59">
        <f>B329*296/100</f>
        <v>296</v>
      </c>
      <c r="U329" s="59">
        <f>B329*0.05/100</f>
        <v>0.05</v>
      </c>
      <c r="V329" s="59">
        <f>B329*3.7/100</f>
        <v>3.7</v>
      </c>
      <c r="W329" s="59">
        <f>B329*2/100</f>
        <v>2</v>
      </c>
      <c r="X329" s="59">
        <f>B329*0.09/100</f>
        <v>0.09</v>
      </c>
      <c r="Y329" s="59">
        <f>B329*0.19/100</f>
        <v>0.19</v>
      </c>
      <c r="Z329" s="59">
        <f>B329*0.04/100</f>
        <v>0.04</v>
      </c>
      <c r="AA329" s="59" t="s">
        <v>23</v>
      </c>
      <c r="AB329" s="59"/>
      <c r="AC329" s="34"/>
    </row>
    <row r="330" spans="1:29" s="55" customFormat="1">
      <c r="A330" s="60" t="s">
        <v>730</v>
      </c>
      <c r="B330" s="59">
        <v>100</v>
      </c>
      <c r="C330" s="59">
        <f>B330*159/100</f>
        <v>159</v>
      </c>
      <c r="D330" s="59">
        <f>B330*21.4/100</f>
        <v>21.4</v>
      </c>
      <c r="E330" s="59">
        <f>B330*7.5/100</f>
        <v>7.5</v>
      </c>
      <c r="F330" s="59">
        <f>B330*3.5/100</f>
        <v>3.5</v>
      </c>
      <c r="G330" s="59">
        <f>B330*2.9/100</f>
        <v>2.9</v>
      </c>
      <c r="H330" s="59">
        <f>B330*0.2/100</f>
        <v>0.2</v>
      </c>
      <c r="I330" s="59">
        <f>B330*0.12/100</f>
        <v>0.12</v>
      </c>
      <c r="J330" s="59">
        <f>B330*0.01/100</f>
        <v>0.01</v>
      </c>
      <c r="K330" s="59" t="s">
        <v>23</v>
      </c>
      <c r="L330" s="59">
        <v>0</v>
      </c>
      <c r="M330" s="59" t="s">
        <v>454</v>
      </c>
      <c r="N330" s="59">
        <f>B330*4/100</f>
        <v>4</v>
      </c>
      <c r="O330" s="59">
        <f>B330*14/100</f>
        <v>14</v>
      </c>
      <c r="P330" s="59" t="s">
        <v>455</v>
      </c>
      <c r="Q330" s="59">
        <f>B330*158/100</f>
        <v>158</v>
      </c>
      <c r="R330" s="59">
        <f>B330*1.8/100</f>
        <v>1.8</v>
      </c>
      <c r="S330" s="59">
        <f>B330*65/100</f>
        <v>65</v>
      </c>
      <c r="T330" s="59">
        <f>B330*250/100</f>
        <v>250</v>
      </c>
      <c r="U330" s="59">
        <f>B330*0.08/100</f>
        <v>0.08</v>
      </c>
      <c r="V330" s="59">
        <f>B330*3.7/100</f>
        <v>3.7</v>
      </c>
      <c r="W330" s="59" t="s">
        <v>455</v>
      </c>
      <c r="X330" s="59" t="s">
        <v>455</v>
      </c>
      <c r="Y330" s="59">
        <f>B330*0.04/100</f>
        <v>0.04</v>
      </c>
      <c r="Z330" s="59">
        <f>B330*0.02/100</f>
        <v>0.02</v>
      </c>
      <c r="AA330" s="59">
        <f>B330*0.91/100</f>
        <v>0.91</v>
      </c>
      <c r="AB330" s="59"/>
      <c r="AC330" s="34"/>
    </row>
    <row r="331" spans="1:29" s="55" customFormat="1">
      <c r="A331" s="60" t="s">
        <v>731</v>
      </c>
      <c r="B331" s="59">
        <v>100</v>
      </c>
      <c r="C331" s="59">
        <f>B331*194/100</f>
        <v>194</v>
      </c>
      <c r="D331" s="59">
        <f>B331*29.7/100</f>
        <v>29.7</v>
      </c>
      <c r="E331" s="59">
        <f>B331*7.4/100</f>
        <v>7.4</v>
      </c>
      <c r="F331" s="59">
        <f>B331*3.4/100</f>
        <v>3.4</v>
      </c>
      <c r="G331" s="59">
        <f>B331*3/100</f>
        <v>3</v>
      </c>
      <c r="H331" s="59">
        <f>B331*0.2/100</f>
        <v>0.2</v>
      </c>
      <c r="I331" s="59">
        <f>B331*0.16/100</f>
        <v>0.16</v>
      </c>
      <c r="J331" s="59">
        <f>B331*0.01/100</f>
        <v>0.01</v>
      </c>
      <c r="K331" s="59">
        <f>B331*56/100</f>
        <v>56</v>
      </c>
      <c r="L331" s="59">
        <v>0</v>
      </c>
      <c r="M331" s="59" t="s">
        <v>454</v>
      </c>
      <c r="N331" s="59">
        <f>B331*6/100</f>
        <v>6</v>
      </c>
      <c r="O331" s="59">
        <f>B331*18/100</f>
        <v>18</v>
      </c>
      <c r="P331" s="59" t="s">
        <v>455</v>
      </c>
      <c r="Q331" s="59">
        <f>B331*197/100</f>
        <v>197</v>
      </c>
      <c r="R331" s="59">
        <f>B331*2.2/100</f>
        <v>2.2000000000000002</v>
      </c>
      <c r="S331" s="59">
        <f>B331*58/100</f>
        <v>58</v>
      </c>
      <c r="T331" s="59">
        <f>B331*250/100</f>
        <v>250</v>
      </c>
      <c r="U331" s="59">
        <f>B331*0.1/100</f>
        <v>0.1</v>
      </c>
      <c r="V331" s="59">
        <f>B331*6.8/100</f>
        <v>6.8</v>
      </c>
      <c r="W331" s="59" t="s">
        <v>455</v>
      </c>
      <c r="X331" s="59">
        <f>B331*0.03/100</f>
        <v>0.03</v>
      </c>
      <c r="Y331" s="59">
        <f>B331*0.04/100</f>
        <v>0.04</v>
      </c>
      <c r="Z331" s="59" t="s">
        <v>455</v>
      </c>
      <c r="AA331" s="59">
        <f>B331*2.16/100</f>
        <v>2.16</v>
      </c>
      <c r="AB331" s="59"/>
      <c r="AC331" s="34"/>
    </row>
    <row r="332" spans="1:29" s="55" customFormat="1">
      <c r="A332" s="60" t="s">
        <v>732</v>
      </c>
      <c r="B332" s="59">
        <v>100</v>
      </c>
      <c r="C332" s="59">
        <f>B332*141/100</f>
        <v>141</v>
      </c>
      <c r="D332" s="59">
        <f>B332*21/100</f>
        <v>21</v>
      </c>
      <c r="E332" s="59">
        <f>B332*5.7/100</f>
        <v>5.7</v>
      </c>
      <c r="F332" s="59">
        <f>B332*2.7/100</f>
        <v>2.7</v>
      </c>
      <c r="G332" s="59">
        <f>B332*2.1/100</f>
        <v>2.1</v>
      </c>
      <c r="H332" s="59">
        <f>B332*0.1/100</f>
        <v>0.1</v>
      </c>
      <c r="I332" s="59">
        <f>B332*0.11/100</f>
        <v>0.11</v>
      </c>
      <c r="J332" s="59"/>
      <c r="K332" s="59">
        <f>B332*42/100</f>
        <v>42</v>
      </c>
      <c r="L332" s="59">
        <v>0</v>
      </c>
      <c r="M332" s="59" t="s">
        <v>454</v>
      </c>
      <c r="N332" s="59">
        <f>B332*4/100</f>
        <v>4</v>
      </c>
      <c r="O332" s="59">
        <f>B332*18/100</f>
        <v>18</v>
      </c>
      <c r="P332" s="59" t="s">
        <v>455</v>
      </c>
      <c r="Q332" s="59">
        <f>B332*163/100</f>
        <v>163</v>
      </c>
      <c r="R332" s="59">
        <f>B332*1.9/100</f>
        <v>1.9</v>
      </c>
      <c r="S332" s="59">
        <f>B332*66/100</f>
        <v>66</v>
      </c>
      <c r="T332" s="59">
        <f>B332*319/100</f>
        <v>319</v>
      </c>
      <c r="U332" s="59">
        <f>B332*0.05/100</f>
        <v>0.05</v>
      </c>
      <c r="V332" s="59">
        <f>B332*3.3/100</f>
        <v>3.3</v>
      </c>
      <c r="W332" s="59">
        <f>B332*3/100</f>
        <v>3</v>
      </c>
      <c r="X332" s="59">
        <f>B332*0.13/100</f>
        <v>0.13</v>
      </c>
      <c r="Y332" s="59">
        <f>B332*0.21/100</f>
        <v>0.21</v>
      </c>
      <c r="Z332" s="59" t="s">
        <v>455</v>
      </c>
      <c r="AA332" s="59" t="s">
        <v>23</v>
      </c>
      <c r="AB332" s="59"/>
      <c r="AC332" s="34"/>
    </row>
    <row r="333" spans="1:29" s="55" customFormat="1">
      <c r="A333" s="60" t="s">
        <v>733</v>
      </c>
      <c r="B333" s="59">
        <v>100</v>
      </c>
      <c r="C333" s="59">
        <f>B333*133/100</f>
        <v>133</v>
      </c>
      <c r="D333" s="59">
        <f>B333*21.7/100</f>
        <v>21.7</v>
      </c>
      <c r="E333" s="59">
        <f>B333*4.5/100</f>
        <v>4.5</v>
      </c>
      <c r="F333" s="59">
        <f>B333*2/100</f>
        <v>2</v>
      </c>
      <c r="G333" s="59">
        <f>B333*1.9/100</f>
        <v>1.9</v>
      </c>
      <c r="H333" s="59">
        <f>B333*0.2/100</f>
        <v>0.2</v>
      </c>
      <c r="I333" s="59">
        <f>B333*0.1/100</f>
        <v>0.1</v>
      </c>
      <c r="J333" s="59">
        <f>B333*0.02/100</f>
        <v>0.02</v>
      </c>
      <c r="K333" s="59">
        <f>B333*56/100</f>
        <v>56</v>
      </c>
      <c r="L333" s="59">
        <v>0</v>
      </c>
      <c r="M333" s="59" t="s">
        <v>454</v>
      </c>
      <c r="N333" s="59">
        <f>B333*3/100</f>
        <v>3</v>
      </c>
      <c r="O333" s="59">
        <f>B333*20/100</f>
        <v>20</v>
      </c>
      <c r="P333" s="59">
        <f>B333*0.01/100</f>
        <v>0.01</v>
      </c>
      <c r="Q333" s="59">
        <f>B333*170/100</f>
        <v>170</v>
      </c>
      <c r="R333" s="59">
        <f>B333*1.8/100</f>
        <v>1.8</v>
      </c>
      <c r="S333" s="59">
        <f>B333*49/100</f>
        <v>49</v>
      </c>
      <c r="T333" s="59">
        <f>B333*318/100</f>
        <v>318</v>
      </c>
      <c r="U333" s="59">
        <f>B333*0.05/100</f>
        <v>0.05</v>
      </c>
      <c r="V333" s="59">
        <f>B333*4.5/100</f>
        <v>4.5</v>
      </c>
      <c r="W333" s="59">
        <f>B333*2/100</f>
        <v>2</v>
      </c>
      <c r="X333" s="59">
        <f>B333*0.11/100</f>
        <v>0.11</v>
      </c>
      <c r="Y333" s="59">
        <f>B333*0.08/100</f>
        <v>0.08</v>
      </c>
      <c r="Z333" s="59" t="s">
        <v>455</v>
      </c>
      <c r="AA333" s="59">
        <f>B333*3.61/100</f>
        <v>3.61</v>
      </c>
      <c r="AB333" s="59"/>
      <c r="AC333" s="34"/>
    </row>
    <row r="334" spans="1:29" s="55" customFormat="1">
      <c r="A334" s="60" t="s">
        <v>734</v>
      </c>
      <c r="B334" s="59">
        <v>100</v>
      </c>
      <c r="C334" s="59">
        <f>B334*219/100</f>
        <v>219</v>
      </c>
      <c r="D334" s="59">
        <f>B334*35.9/100</f>
        <v>35.9</v>
      </c>
      <c r="E334" s="59">
        <f>B334*7.3/100</f>
        <v>7.3</v>
      </c>
      <c r="F334" s="59">
        <f>B334*3.1/100</f>
        <v>3.1</v>
      </c>
      <c r="G334" s="59">
        <f>B334*3.1/100</f>
        <v>3.1</v>
      </c>
      <c r="H334" s="59">
        <f>B334*0.3/100</f>
        <v>0.3</v>
      </c>
      <c r="I334" s="59">
        <f>B334*0.17/100</f>
        <v>0.17</v>
      </c>
      <c r="J334" s="59">
        <f>B334*0.03/100</f>
        <v>0.03</v>
      </c>
      <c r="K334" s="59">
        <f>B334*126/100</f>
        <v>126</v>
      </c>
      <c r="L334" s="59">
        <v>0</v>
      </c>
      <c r="M334" s="59" t="s">
        <v>454</v>
      </c>
      <c r="N334" s="59">
        <f>B334*5/100</f>
        <v>5</v>
      </c>
      <c r="O334" s="59">
        <f>B334*27/100</f>
        <v>27</v>
      </c>
      <c r="P334" s="59">
        <f>B334*0.02/100</f>
        <v>0.02</v>
      </c>
      <c r="Q334" s="59">
        <f>B334*289/100</f>
        <v>289</v>
      </c>
      <c r="R334" s="59">
        <f>B334*3/100</f>
        <v>3</v>
      </c>
      <c r="S334" s="59">
        <f>B334*60/100</f>
        <v>60</v>
      </c>
      <c r="T334" s="59">
        <f>B334*421/100</f>
        <v>421</v>
      </c>
      <c r="U334" s="59">
        <f>B334*0.12/100</f>
        <v>0.12</v>
      </c>
      <c r="V334" s="59">
        <f>B334*8.1/100</f>
        <v>8.1</v>
      </c>
      <c r="W334" s="59" t="s">
        <v>455</v>
      </c>
      <c r="X334" s="59">
        <f>B334*0.04/100</f>
        <v>0.04</v>
      </c>
      <c r="Y334" s="59">
        <f>B334*0.03/100</f>
        <v>0.03</v>
      </c>
      <c r="Z334" s="59" t="s">
        <v>455</v>
      </c>
      <c r="AA334" s="59">
        <f>B334*3.01/100</f>
        <v>3.01</v>
      </c>
      <c r="AB334" s="59"/>
      <c r="AC334" s="34"/>
    </row>
    <row r="335" spans="1:29" s="55" customFormat="1">
      <c r="A335" s="60" t="s">
        <v>735</v>
      </c>
      <c r="B335" s="59">
        <v>100</v>
      </c>
      <c r="C335" s="59">
        <f>B335*338/100</f>
        <v>338</v>
      </c>
      <c r="D335" s="59">
        <f>B335*22.2/100</f>
        <v>22.2</v>
      </c>
      <c r="E335" s="59">
        <f>B335*27/100</f>
        <v>27</v>
      </c>
      <c r="F335" s="59">
        <f>B335*11.7/100</f>
        <v>11.7</v>
      </c>
      <c r="G335" s="59">
        <f>B335*11.5/100</f>
        <v>11.5</v>
      </c>
      <c r="H335" s="59">
        <f>B335*0.4/100</f>
        <v>0.4</v>
      </c>
      <c r="I335" s="59">
        <f>B335*0.32/100</f>
        <v>0.32</v>
      </c>
      <c r="J335" s="59">
        <f>B335*0.1/100</f>
        <v>0.1</v>
      </c>
      <c r="K335" s="59">
        <f>B335*100/100</f>
        <v>100</v>
      </c>
      <c r="L335" s="59">
        <v>0</v>
      </c>
      <c r="M335" s="59" t="s">
        <v>454</v>
      </c>
      <c r="N335" s="59">
        <f>B335*4/100</f>
        <v>4</v>
      </c>
      <c r="O335" s="59">
        <f>B335*14/100</f>
        <v>14</v>
      </c>
      <c r="P335" s="59" t="s">
        <v>455</v>
      </c>
      <c r="Q335" s="59">
        <f>B335*136/100</f>
        <v>136</v>
      </c>
      <c r="R335" s="59">
        <f>B335*1.6/100</f>
        <v>1.6</v>
      </c>
      <c r="S335" s="59">
        <f>B335*56/100</f>
        <v>56</v>
      </c>
      <c r="T335" s="59">
        <f>B335*204/100</f>
        <v>204</v>
      </c>
      <c r="U335" s="59">
        <f>B335*0.05/100</f>
        <v>0.05</v>
      </c>
      <c r="V335" s="59">
        <f>B335*3.9/100</f>
        <v>3.9</v>
      </c>
      <c r="W335" s="59" t="s">
        <v>455</v>
      </c>
      <c r="X335" s="59" t="s">
        <v>455</v>
      </c>
      <c r="Y335" s="59">
        <f>B335*0.3/100</f>
        <v>0.3</v>
      </c>
      <c r="Z335" s="59" t="s">
        <v>455</v>
      </c>
      <c r="AA335" s="59">
        <f>B335*4.54/100</f>
        <v>4.54</v>
      </c>
      <c r="AB335" s="59"/>
      <c r="AC335" s="34"/>
    </row>
    <row r="336" spans="1:29" s="55" customFormat="1">
      <c r="A336" s="60" t="s">
        <v>736</v>
      </c>
      <c r="B336" s="59">
        <v>100</v>
      </c>
      <c r="C336" s="59">
        <f>B336*259/100</f>
        <v>259</v>
      </c>
      <c r="D336" s="59">
        <f>B336*17.6/100</f>
        <v>17.600000000000001</v>
      </c>
      <c r="E336" s="59">
        <f>B336*20.4/100</f>
        <v>20.399999999999999</v>
      </c>
      <c r="F336" s="59">
        <f>B336*8.2/100</f>
        <v>8.1999999999999993</v>
      </c>
      <c r="G336" s="59">
        <f>B336*9.2/100</f>
        <v>9.1999999999999993</v>
      </c>
      <c r="H336" s="59">
        <f>B336*0.5/100</f>
        <v>0.5</v>
      </c>
      <c r="I336" s="59">
        <f>B336*0.26/100</f>
        <v>0.26</v>
      </c>
      <c r="J336" s="59">
        <f>B336*0.15/100</f>
        <v>0.15</v>
      </c>
      <c r="K336" s="59">
        <f>B336*59/100</f>
        <v>59</v>
      </c>
      <c r="L336" s="59">
        <v>0</v>
      </c>
      <c r="M336" s="59" t="s">
        <v>454</v>
      </c>
      <c r="N336" s="59">
        <f>B336*4/100</f>
        <v>4</v>
      </c>
      <c r="O336" s="59">
        <f>B336*15/100</f>
        <v>15</v>
      </c>
      <c r="P336" s="59" t="s">
        <v>455</v>
      </c>
      <c r="Q336" s="59">
        <f>B336*124/100</f>
        <v>124</v>
      </c>
      <c r="R336" s="59">
        <f>B336*1.3/100</f>
        <v>1.3</v>
      </c>
      <c r="S336" s="59">
        <f>B336*64/100</f>
        <v>64</v>
      </c>
      <c r="T336" s="59">
        <f>B336*241/100</f>
        <v>241</v>
      </c>
      <c r="U336" s="59">
        <f>B336*0.06/100</f>
        <v>0.06</v>
      </c>
      <c r="V336" s="59">
        <f>B336*2.6/100</f>
        <v>2.6</v>
      </c>
      <c r="W336" s="59">
        <f>B336*4/100</f>
        <v>4</v>
      </c>
      <c r="X336" s="59">
        <f>B336*0.11/100</f>
        <v>0.11</v>
      </c>
      <c r="Y336" s="59">
        <f>B336*0.07/100</f>
        <v>7.0000000000000007E-2</v>
      </c>
      <c r="Z336" s="59">
        <f>B336*0.03/100</f>
        <v>0.03</v>
      </c>
      <c r="AA336" s="59">
        <f>B336*3.91/100</f>
        <v>3.91</v>
      </c>
      <c r="AB336" s="59"/>
      <c r="AC336" s="34"/>
    </row>
    <row r="337" spans="1:29" s="55" customFormat="1">
      <c r="A337" s="60" t="s">
        <v>737</v>
      </c>
      <c r="B337" s="59">
        <v>100</v>
      </c>
      <c r="C337" s="59">
        <f>B337*213/100</f>
        <v>213</v>
      </c>
      <c r="D337" s="59">
        <f>B337*18.8/100</f>
        <v>18.8</v>
      </c>
      <c r="E337" s="59">
        <f>B337*14.7/100</f>
        <v>14.7</v>
      </c>
      <c r="F337" s="59">
        <f>B337*6.1/100</f>
        <v>6.1</v>
      </c>
      <c r="G337" s="59">
        <f>B337*6.7/100</f>
        <v>6.7</v>
      </c>
      <c r="H337" s="59">
        <f>B337*0.3/100</f>
        <v>0.3</v>
      </c>
      <c r="I337" s="59">
        <f>B337*0.22/100</f>
        <v>0.22</v>
      </c>
      <c r="J337" s="59">
        <f>B337*0.05/100</f>
        <v>0.05</v>
      </c>
      <c r="K337" s="59" t="s">
        <v>23</v>
      </c>
      <c r="L337" s="59">
        <v>0</v>
      </c>
      <c r="M337" s="59" t="s">
        <v>454</v>
      </c>
      <c r="N337" s="59">
        <f>B337*2/100</f>
        <v>2</v>
      </c>
      <c r="O337" s="59">
        <f>B337*14/100</f>
        <v>14</v>
      </c>
      <c r="P337" s="59" t="s">
        <v>455</v>
      </c>
      <c r="Q337" s="59">
        <f>B337*165/100</f>
        <v>165</v>
      </c>
      <c r="R337" s="59">
        <f>B337*1.7/100</f>
        <v>1.7</v>
      </c>
      <c r="S337" s="59">
        <f>B337*38/100</f>
        <v>38</v>
      </c>
      <c r="T337" s="59">
        <f>B337*232/100</f>
        <v>232</v>
      </c>
      <c r="U337" s="59">
        <f>B337*0.06/100</f>
        <v>0.06</v>
      </c>
      <c r="V337" s="59">
        <f>B337*3.8/100</f>
        <v>3.8</v>
      </c>
      <c r="W337" s="59">
        <f>B337*3/100</f>
        <v>3</v>
      </c>
      <c r="X337" s="59">
        <f>B337*0.13/100</f>
        <v>0.13</v>
      </c>
      <c r="Y337" s="59">
        <f>B337*0.16/100</f>
        <v>0.16</v>
      </c>
      <c r="Z337" s="59" t="s">
        <v>455</v>
      </c>
      <c r="AA337" s="59">
        <f>B337*4.77/100</f>
        <v>4.7699999999999996</v>
      </c>
      <c r="AB337" s="59"/>
      <c r="AC337" s="34"/>
    </row>
    <row r="338" spans="1:29" s="55" customFormat="1">
      <c r="A338" s="60" t="s">
        <v>738</v>
      </c>
      <c r="B338" s="59">
        <v>100</v>
      </c>
      <c r="C338" s="59" t="s">
        <v>23</v>
      </c>
      <c r="D338" s="59" t="s">
        <v>23</v>
      </c>
      <c r="E338" s="59" t="s">
        <v>23</v>
      </c>
      <c r="F338" s="59">
        <f>B338*7.9/100</f>
        <v>7.9</v>
      </c>
      <c r="G338" s="59">
        <f>B338*9.2/100</f>
        <v>9.1999999999999993</v>
      </c>
      <c r="H338" s="59">
        <f>B338*0.4/100</f>
        <v>0.4</v>
      </c>
      <c r="I338" s="59">
        <f>B338*0.25/100</f>
        <v>0.25</v>
      </c>
      <c r="J338" s="59">
        <f>B338*0.07/100</f>
        <v>7.0000000000000007E-2</v>
      </c>
      <c r="K338" s="59" t="s">
        <v>23</v>
      </c>
      <c r="L338" s="59" t="s">
        <v>23</v>
      </c>
      <c r="M338" s="59" t="s">
        <v>454</v>
      </c>
      <c r="N338" s="59">
        <f>B338*4/100</f>
        <v>4</v>
      </c>
      <c r="O338" s="59">
        <f>B338*24/100</f>
        <v>24</v>
      </c>
      <c r="P338" s="59" t="s">
        <v>455</v>
      </c>
      <c r="Q338" s="59">
        <f>B338*246/100</f>
        <v>246</v>
      </c>
      <c r="R338" s="59">
        <f>B338*3.2/100</f>
        <v>3.2</v>
      </c>
      <c r="S338" s="59">
        <f>B338*60/100</f>
        <v>60</v>
      </c>
      <c r="T338" s="59">
        <f>B338*355/100</f>
        <v>355</v>
      </c>
      <c r="U338" s="59">
        <f>B338*0.14/100</f>
        <v>0.14000000000000001</v>
      </c>
      <c r="V338" s="59">
        <f>B338*5.5/100</f>
        <v>5.5</v>
      </c>
      <c r="W338" s="59" t="s">
        <v>455</v>
      </c>
      <c r="X338" s="59">
        <f>B338*0.03/100</f>
        <v>0.03</v>
      </c>
      <c r="Y338" s="59">
        <f>B338*0.06/100</f>
        <v>0.06</v>
      </c>
      <c r="Z338" s="59">
        <f>B338*0.13/100</f>
        <v>0.13</v>
      </c>
      <c r="AA338" s="59">
        <f>B338*1.6/100</f>
        <v>1.6</v>
      </c>
      <c r="AB338" s="59"/>
      <c r="AC338" s="34"/>
    </row>
    <row r="339" spans="1:29" s="55" customFormat="1">
      <c r="A339" s="60" t="s">
        <v>739</v>
      </c>
      <c r="B339" s="59">
        <v>100</v>
      </c>
      <c r="C339" s="59">
        <f>B339*238/100</f>
        <v>238</v>
      </c>
      <c r="D339" s="59">
        <f>B339*31.9/100</f>
        <v>31.9</v>
      </c>
      <c r="E339" s="59">
        <f>B339*11.3/100</f>
        <v>11.3</v>
      </c>
      <c r="F339" s="59">
        <f>B339*4.5/100</f>
        <v>4.5</v>
      </c>
      <c r="G339" s="59">
        <f>B339*5.2/100</f>
        <v>5.2</v>
      </c>
      <c r="H339" s="59">
        <f>B339*0.3/100</f>
        <v>0.3</v>
      </c>
      <c r="I339" s="59">
        <f>B339*0.22/100</f>
        <v>0.22</v>
      </c>
      <c r="J339" s="59"/>
      <c r="K339" s="59">
        <f>B339*100/100</f>
        <v>100</v>
      </c>
      <c r="L339" s="59">
        <v>0</v>
      </c>
      <c r="M339" s="59" t="s">
        <v>454</v>
      </c>
      <c r="N339" s="59">
        <f>B339*4/100</f>
        <v>4</v>
      </c>
      <c r="O339" s="59">
        <f>B339*25/100</f>
        <v>25</v>
      </c>
      <c r="P339" s="59">
        <f>B339*0.02/100</f>
        <v>0.02</v>
      </c>
      <c r="Q339" s="59">
        <f>B339*282/100</f>
        <v>282</v>
      </c>
      <c r="R339" s="59">
        <f>B339*3.6/100</f>
        <v>3.6</v>
      </c>
      <c r="S339" s="59">
        <f>B339*61/100</f>
        <v>61</v>
      </c>
      <c r="T339" s="59">
        <f>B339*377/100</f>
        <v>377</v>
      </c>
      <c r="U339" s="59">
        <f>B339*0.17/100</f>
        <v>0.17</v>
      </c>
      <c r="V339" s="59">
        <f>B339*6.7/100</f>
        <v>6.7</v>
      </c>
      <c r="W339" s="59" t="s">
        <v>455</v>
      </c>
      <c r="X339" s="59" t="s">
        <v>455</v>
      </c>
      <c r="Y339" s="59">
        <f>B339*0.08/100</f>
        <v>0.08</v>
      </c>
      <c r="Z339" s="59">
        <f>B339*0.03/100</f>
        <v>0.03</v>
      </c>
      <c r="AA339" s="59">
        <f>B339*1.82/100</f>
        <v>1.82</v>
      </c>
      <c r="AB339" s="59"/>
      <c r="AC339" s="34"/>
    </row>
    <row r="340" spans="1:29" s="55" customFormat="1">
      <c r="A340" s="60" t="s">
        <v>740</v>
      </c>
      <c r="B340" s="59">
        <v>100</v>
      </c>
      <c r="C340" s="59">
        <f>B340*134/100</f>
        <v>134</v>
      </c>
      <c r="D340" s="59">
        <f>B340*21.3/100</f>
        <v>21.3</v>
      </c>
      <c r="E340" s="59">
        <f>B340*4.7/100</f>
        <v>4.7</v>
      </c>
      <c r="F340" s="59">
        <f>B340*2/100</f>
        <v>2</v>
      </c>
      <c r="G340" s="59">
        <f>B340*2.1/100</f>
        <v>2.1</v>
      </c>
      <c r="H340" s="59">
        <f>B340*0.1/100</f>
        <v>0.1</v>
      </c>
      <c r="I340" s="59">
        <f>B340*0.08/100</f>
        <v>0.08</v>
      </c>
      <c r="J340" s="59" t="s">
        <v>455</v>
      </c>
      <c r="K340" s="59">
        <f>B340*75/100</f>
        <v>75</v>
      </c>
      <c r="L340" s="59">
        <v>0</v>
      </c>
      <c r="M340" s="59" t="s">
        <v>454</v>
      </c>
      <c r="N340" s="59">
        <f>B340*3/100</f>
        <v>3</v>
      </c>
      <c r="O340" s="59">
        <f>B340*20/100</f>
        <v>20</v>
      </c>
      <c r="P340" s="59" t="s">
        <v>455</v>
      </c>
      <c r="Q340" s="59">
        <f>B340*183/100</f>
        <v>183</v>
      </c>
      <c r="R340" s="59">
        <f>B340*2.1/100</f>
        <v>2.1</v>
      </c>
      <c r="S340" s="59">
        <f>B340*61/100</f>
        <v>61</v>
      </c>
      <c r="T340" s="59">
        <f>B340*322/100</f>
        <v>322</v>
      </c>
      <c r="U340" s="59">
        <f>B340*0.08/100</f>
        <v>0.08</v>
      </c>
      <c r="V340" s="59">
        <f>B340*4.2/100</f>
        <v>4.2</v>
      </c>
      <c r="W340" s="59" t="s">
        <v>455</v>
      </c>
      <c r="X340" s="59" t="s">
        <v>455</v>
      </c>
      <c r="Y340" s="59">
        <f>B340*0.05/100</f>
        <v>0.05</v>
      </c>
      <c r="Z340" s="59" t="s">
        <v>455</v>
      </c>
      <c r="AA340" s="59">
        <f>B340*1.89/100</f>
        <v>1.89</v>
      </c>
      <c r="AB340" s="59"/>
      <c r="AC340" s="34"/>
    </row>
    <row r="341" spans="1:29" s="55" customFormat="1">
      <c r="A341" s="60" t="s">
        <v>741</v>
      </c>
      <c r="B341" s="59">
        <v>100</v>
      </c>
      <c r="C341" s="59">
        <f>B341*313/100</f>
        <v>313</v>
      </c>
      <c r="D341" s="59">
        <f>B341*26.9/100</f>
        <v>26.9</v>
      </c>
      <c r="E341" s="59">
        <f>B341*21.9/100</f>
        <v>21.9</v>
      </c>
      <c r="F341" s="59">
        <f>B341*10.5/100</f>
        <v>10.5</v>
      </c>
      <c r="G341" s="59">
        <f>B341*8.3/100</f>
        <v>8.3000000000000007</v>
      </c>
      <c r="H341" s="59">
        <f>B341*0.4/100</f>
        <v>0.4</v>
      </c>
      <c r="I341" s="59">
        <f>B341*0.24/100</f>
        <v>0.24</v>
      </c>
      <c r="J341" s="59">
        <f>B341*0.08/100</f>
        <v>0.08</v>
      </c>
      <c r="K341" s="59">
        <f>B341*100/100</f>
        <v>100</v>
      </c>
      <c r="L341" s="59">
        <v>0</v>
      </c>
      <c r="M341" s="59" t="s">
        <v>454</v>
      </c>
      <c r="N341" s="59">
        <f>B341*13/100</f>
        <v>13</v>
      </c>
      <c r="O341" s="59">
        <f>B341*12/100</f>
        <v>12</v>
      </c>
      <c r="P341" s="59">
        <f>B341*0.02/100</f>
        <v>0.02</v>
      </c>
      <c r="Q341" s="59">
        <f>B341*82/100</f>
        <v>82</v>
      </c>
      <c r="R341" s="59">
        <f>B341*1.9/100</f>
        <v>1.9</v>
      </c>
      <c r="S341" s="59">
        <f>B341*1943/100</f>
        <v>1943</v>
      </c>
      <c r="T341" s="59">
        <f>B341*86/100</f>
        <v>86</v>
      </c>
      <c r="U341" s="59">
        <f>B341*0.03/100</f>
        <v>0.03</v>
      </c>
      <c r="V341" s="59">
        <f>B341*7.7/100</f>
        <v>7.7</v>
      </c>
      <c r="W341" s="59" t="s">
        <v>455</v>
      </c>
      <c r="X341" s="59" t="s">
        <v>455</v>
      </c>
      <c r="Y341" s="59">
        <f>B341*0.06/100</f>
        <v>0.06</v>
      </c>
      <c r="Z341" s="59" t="s">
        <v>455</v>
      </c>
      <c r="AA341" s="59" t="s">
        <v>23</v>
      </c>
      <c r="AB341" s="59"/>
      <c r="AC341" s="34"/>
    </row>
    <row r="342" spans="1:29" s="55" customFormat="1">
      <c r="A342" s="60" t="s">
        <v>742</v>
      </c>
      <c r="B342" s="59">
        <v>100</v>
      </c>
      <c r="C342" s="59">
        <f>B342*313/100</f>
        <v>313</v>
      </c>
      <c r="D342" s="59">
        <f>B342*19.7/100</f>
        <v>19.7</v>
      </c>
      <c r="E342" s="59">
        <f>B342*25.4/100</f>
        <v>25.4</v>
      </c>
      <c r="F342" s="59">
        <f>B342*8.7/100</f>
        <v>8.6999999999999993</v>
      </c>
      <c r="G342" s="59">
        <f>B342*7.5/100</f>
        <v>7.5</v>
      </c>
      <c r="H342" s="59">
        <f>B342*0.3/100</f>
        <v>0.3</v>
      </c>
      <c r="I342" s="59">
        <f>B342*0.18/100</f>
        <v>0.18</v>
      </c>
      <c r="J342" s="59">
        <f>B342*0.1/100</f>
        <v>0.1</v>
      </c>
      <c r="K342" s="59">
        <f>B342*92/100</f>
        <v>92</v>
      </c>
      <c r="L342" s="59">
        <v>0</v>
      </c>
      <c r="M342" s="59" t="s">
        <v>454</v>
      </c>
      <c r="N342" s="59">
        <f>B342*14/100</f>
        <v>14</v>
      </c>
      <c r="O342" s="59">
        <f>B342*12/100</f>
        <v>12</v>
      </c>
      <c r="P342" s="59">
        <f>B342*0.01/100</f>
        <v>0.01</v>
      </c>
      <c r="Q342" s="59">
        <f>B342*100/100</f>
        <v>100</v>
      </c>
      <c r="R342" s="59">
        <f>B342*1.3/100</f>
        <v>1.3</v>
      </c>
      <c r="S342" s="59">
        <f>B342*4440/100</f>
        <v>4440</v>
      </c>
      <c r="T342" s="59">
        <f>B342*190/100</f>
        <v>190</v>
      </c>
      <c r="U342" s="59" t="s">
        <v>455</v>
      </c>
      <c r="V342" s="59">
        <f>B342*3.7/100</f>
        <v>3.7</v>
      </c>
      <c r="W342" s="59" t="s">
        <v>455</v>
      </c>
      <c r="X342" s="59" t="s">
        <v>455</v>
      </c>
      <c r="Y342" s="59">
        <f>B342*0.07/100</f>
        <v>7.0000000000000007E-2</v>
      </c>
      <c r="Z342" s="59" t="s">
        <v>455</v>
      </c>
      <c r="AA342" s="59">
        <f>B342*2.83/100</f>
        <v>2.83</v>
      </c>
      <c r="AB342" s="59"/>
      <c r="AC342" s="34"/>
    </row>
    <row r="343" spans="1:29" s="55" customFormat="1">
      <c r="A343" s="60" t="s">
        <v>743</v>
      </c>
      <c r="B343" s="59">
        <v>100</v>
      </c>
      <c r="C343" s="59">
        <f>B343*283/100</f>
        <v>283</v>
      </c>
      <c r="D343" s="59">
        <f>B343*9.6/100</f>
        <v>9.6</v>
      </c>
      <c r="E343" s="59">
        <f>B343*11.8/100</f>
        <v>11.8</v>
      </c>
      <c r="F343" s="59">
        <f>B343*2.6/100</f>
        <v>2.6</v>
      </c>
      <c r="G343" s="59">
        <f>B343*3.4/100</f>
        <v>3.4</v>
      </c>
      <c r="H343" s="59">
        <f>B343*4.7/100</f>
        <v>4.7</v>
      </c>
      <c r="I343" s="59">
        <f>B343*4.33/100</f>
        <v>4.33</v>
      </c>
      <c r="J343" s="59">
        <f>B343*0.32/100</f>
        <v>0.32</v>
      </c>
      <c r="K343" s="59">
        <f>B343*15/100</f>
        <v>15</v>
      </c>
      <c r="L343" s="59">
        <f>B343*34.5/100</f>
        <v>34.5</v>
      </c>
      <c r="M343" s="59">
        <f>B343*5/100</f>
        <v>5</v>
      </c>
      <c r="N343" s="59">
        <f>B343*18/100</f>
        <v>18</v>
      </c>
      <c r="O343" s="59">
        <f>B343*17/100</f>
        <v>17</v>
      </c>
      <c r="P343" s="59">
        <f>B343*0.28/100</f>
        <v>0.28000000000000003</v>
      </c>
      <c r="Q343" s="59">
        <f>B343*93/100</f>
        <v>93</v>
      </c>
      <c r="R343" s="59">
        <f>B343*1.3/100</f>
        <v>1.3</v>
      </c>
      <c r="S343" s="59">
        <f>B343*532/100</f>
        <v>532</v>
      </c>
      <c r="T343" s="59">
        <f>B343*166/100</f>
        <v>166</v>
      </c>
      <c r="U343" s="59">
        <f>B343*0.09/100</f>
        <v>0.09</v>
      </c>
      <c r="V343" s="59">
        <f>B343*0.5/100</f>
        <v>0.5</v>
      </c>
      <c r="W343" s="59" t="s">
        <v>455</v>
      </c>
      <c r="X343" s="59">
        <f>B343*0.09/100</f>
        <v>0.09</v>
      </c>
      <c r="Y343" s="59" t="s">
        <v>455</v>
      </c>
      <c r="Z343" s="59" t="s">
        <v>455</v>
      </c>
      <c r="AA343" s="59">
        <f>B343*2.6/100</f>
        <v>2.6</v>
      </c>
      <c r="AB343" s="59" t="s">
        <v>455</v>
      </c>
      <c r="AC343" s="34"/>
    </row>
    <row r="344" spans="1:29" s="64" customFormat="1">
      <c r="A344" s="46" t="s">
        <v>744</v>
      </c>
      <c r="B344" s="47">
        <v>100</v>
      </c>
      <c r="C344" s="47">
        <f>B344*358/100</f>
        <v>358</v>
      </c>
      <c r="D344" s="47">
        <f>B344*6.9/100</f>
        <v>6.9</v>
      </c>
      <c r="E344" s="47">
        <f>B344*15.6/100</f>
        <v>15.6</v>
      </c>
      <c r="F344" s="47"/>
      <c r="G344" s="47"/>
      <c r="H344" s="47"/>
      <c r="I344" s="47"/>
      <c r="J344" s="47"/>
      <c r="K344" s="47">
        <f>B344*23/100</f>
        <v>23</v>
      </c>
      <c r="L344" s="47">
        <f>B344*47.6/100</f>
        <v>47.6</v>
      </c>
      <c r="M344" s="47">
        <f>B344*2.2/100</f>
        <v>2.2000000000000002</v>
      </c>
      <c r="N344" s="47">
        <f>B344*16/100</f>
        <v>16</v>
      </c>
      <c r="O344" s="47">
        <f>B344*18/100</f>
        <v>18</v>
      </c>
      <c r="P344" s="47">
        <f>B344*0.32/100</f>
        <v>0.32</v>
      </c>
      <c r="Q344" s="47">
        <f>B344*78/100</f>
        <v>78</v>
      </c>
      <c r="R344" s="47">
        <f>B344*1.2/100</f>
        <v>1.2</v>
      </c>
      <c r="S344" s="47">
        <f>B344*525/100</f>
        <v>525</v>
      </c>
      <c r="T344" s="47">
        <f>B344*138/100</f>
        <v>138</v>
      </c>
      <c r="U344" s="47">
        <f>B344*0.07/100</f>
        <v>7.0000000000000007E-2</v>
      </c>
      <c r="V344" s="47">
        <f>B344*0.6/100</f>
        <v>0.6</v>
      </c>
      <c r="W344" s="47" t="s">
        <v>455</v>
      </c>
      <c r="X344" s="47">
        <f>B344*0.12/100</f>
        <v>0.12</v>
      </c>
      <c r="Y344" s="47" t="s">
        <v>455</v>
      </c>
      <c r="Z344" s="47" t="s">
        <v>455</v>
      </c>
      <c r="AA344" s="47" t="s">
        <v>455</v>
      </c>
      <c r="AB344" s="47"/>
      <c r="AC344" s="34"/>
    </row>
    <row r="345" spans="1:29" s="55" customFormat="1">
      <c r="A345" s="60" t="s">
        <v>811</v>
      </c>
      <c r="B345" s="59">
        <v>100</v>
      </c>
      <c r="C345" s="59">
        <f>B345*377/100</f>
        <v>377</v>
      </c>
      <c r="D345" s="59">
        <f>B345*7.3/100</f>
        <v>7.3</v>
      </c>
      <c r="E345" s="59">
        <f>B345*22.9/100</f>
        <v>22.9</v>
      </c>
      <c r="F345" s="59">
        <f>B345*5.4/100</f>
        <v>5.4</v>
      </c>
      <c r="G345" s="59">
        <f>B345*5.2/100</f>
        <v>5.2</v>
      </c>
      <c r="H345" s="59">
        <f>B345*1.4/100</f>
        <v>1.4</v>
      </c>
      <c r="I345" s="59">
        <f>B345*1.22/100</f>
        <v>1.22</v>
      </c>
      <c r="J345" s="59">
        <f>B345*0.07/100</f>
        <v>7.0000000000000007E-2</v>
      </c>
      <c r="K345" s="59">
        <f>B345*23/100</f>
        <v>23</v>
      </c>
      <c r="L345" s="59">
        <f>B345*35.5/100</f>
        <v>35.5</v>
      </c>
      <c r="M345" s="59">
        <f>B345*2.2/100</f>
        <v>2.2000000000000002</v>
      </c>
      <c r="N345" s="59">
        <f>B345*14/100</f>
        <v>14</v>
      </c>
      <c r="O345" s="59">
        <f>B345*17/100</f>
        <v>17</v>
      </c>
      <c r="P345" s="59">
        <f>B345*0.25/100</f>
        <v>0.25</v>
      </c>
      <c r="Q345" s="59">
        <f>B345*78/100</f>
        <v>78</v>
      </c>
      <c r="R345" s="59">
        <f>B345*0.7/100</f>
        <v>0.7</v>
      </c>
      <c r="S345" s="59">
        <f>B345*771/100</f>
        <v>771</v>
      </c>
      <c r="T345" s="59">
        <f>B345*156/100</f>
        <v>156</v>
      </c>
      <c r="U345" s="59">
        <f>B345*0.09/100</f>
        <v>0.09</v>
      </c>
      <c r="V345" s="59">
        <f>B345*0.5/100</f>
        <v>0.5</v>
      </c>
      <c r="W345" s="59" t="s">
        <v>455</v>
      </c>
      <c r="X345" s="59">
        <f>B345*0.11/100</f>
        <v>0.11</v>
      </c>
      <c r="Y345" s="59" t="s">
        <v>455</v>
      </c>
      <c r="Z345" s="59">
        <f>B345*0.03/100</f>
        <v>0.03</v>
      </c>
      <c r="AA345" s="59" t="s">
        <v>455</v>
      </c>
      <c r="AB345" s="59"/>
      <c r="AC345" s="34"/>
    </row>
    <row r="346" spans="1:29" s="55" customFormat="1">
      <c r="A346" s="60" t="s">
        <v>745</v>
      </c>
      <c r="B346" s="59">
        <v>100</v>
      </c>
      <c r="C346" s="59">
        <f>B346*213/100</f>
        <v>213</v>
      </c>
      <c r="D346" s="59">
        <f>B346*18.1/100</f>
        <v>18.100000000000001</v>
      </c>
      <c r="E346" s="59">
        <f>B346*15.1/100</f>
        <v>15.1</v>
      </c>
      <c r="F346" s="59">
        <f>B346*4.4/100</f>
        <v>4.4000000000000004</v>
      </c>
      <c r="G346" s="59">
        <f>B346*6.6/100</f>
        <v>6.6</v>
      </c>
      <c r="H346" s="59">
        <f>B346*3/100</f>
        <v>3</v>
      </c>
      <c r="I346" s="59">
        <f>B346*2.96/100</f>
        <v>2.96</v>
      </c>
      <c r="J346" s="59">
        <f>B346*0.01/100</f>
        <v>0.01</v>
      </c>
      <c r="K346" s="59">
        <f>B346*113/100</f>
        <v>113</v>
      </c>
      <c r="L346" s="59">
        <v>0</v>
      </c>
      <c r="M346" s="59" t="s">
        <v>454</v>
      </c>
      <c r="N346" s="59">
        <f>B346*11/100</f>
        <v>11</v>
      </c>
      <c r="O346" s="59">
        <f>B346*23/100</f>
        <v>23</v>
      </c>
      <c r="P346" s="59">
        <f>B346*0.01/100</f>
        <v>0.01</v>
      </c>
      <c r="Q346" s="59">
        <f>B346*155/100</f>
        <v>155</v>
      </c>
      <c r="R346" s="59">
        <f>B346*0.6/100</f>
        <v>0.6</v>
      </c>
      <c r="S346" s="59">
        <f>B346*96/100</f>
        <v>96</v>
      </c>
      <c r="T346" s="59">
        <f>B346*211/100</f>
        <v>211</v>
      </c>
      <c r="U346" s="59">
        <f>B346*0.02/100</f>
        <v>0.02</v>
      </c>
      <c r="V346" s="59">
        <f>B346*1.2/100</f>
        <v>1.2</v>
      </c>
      <c r="W346" s="59">
        <f>B346*10/100</f>
        <v>10</v>
      </c>
      <c r="X346" s="59">
        <f>B346*0.11/100</f>
        <v>0.11</v>
      </c>
      <c r="Y346" s="59">
        <f>B346*0.04/100</f>
        <v>0.04</v>
      </c>
      <c r="Z346" s="59" t="s">
        <v>455</v>
      </c>
      <c r="AA346" s="59" t="s">
        <v>23</v>
      </c>
      <c r="AB346" s="59"/>
      <c r="AC346" s="34"/>
    </row>
    <row r="347" spans="1:29" s="55" customFormat="1">
      <c r="A347" s="60" t="s">
        <v>746</v>
      </c>
      <c r="B347" s="59">
        <v>100</v>
      </c>
      <c r="C347" s="59">
        <f>B347*243/100</f>
        <v>243</v>
      </c>
      <c r="D347" s="59">
        <f>B347*23.9/100</f>
        <v>23.9</v>
      </c>
      <c r="E347" s="59">
        <f>B347*15.6/100</f>
        <v>15.6</v>
      </c>
      <c r="F347" s="59">
        <f>B347*4.4/100</f>
        <v>4.4000000000000004</v>
      </c>
      <c r="G347" s="59">
        <f>B347*7.5/100</f>
        <v>7.5</v>
      </c>
      <c r="H347" s="59">
        <f>B347*2.3/100</f>
        <v>2.2999999999999998</v>
      </c>
      <c r="I347" s="59">
        <f>B347*2.18/100</f>
        <v>2.1800000000000002</v>
      </c>
      <c r="J347" s="59">
        <f>B347*0.09/100</f>
        <v>0.09</v>
      </c>
      <c r="K347" s="59">
        <f>B347*110/100</f>
        <v>110</v>
      </c>
      <c r="L347" s="59">
        <v>0</v>
      </c>
      <c r="M347" s="59" t="s">
        <v>454</v>
      </c>
      <c r="N347" s="59">
        <f>B347*17/100</f>
        <v>17</v>
      </c>
      <c r="O347" s="59">
        <f>B347*18/100</f>
        <v>18</v>
      </c>
      <c r="P347" s="59">
        <f>B347*0.01/100</f>
        <v>0.01</v>
      </c>
      <c r="Q347" s="59">
        <f>B347*162/100</f>
        <v>162</v>
      </c>
      <c r="R347" s="59">
        <f>B347*1.7/100</f>
        <v>1.7</v>
      </c>
      <c r="S347" s="59">
        <f>B347*56/100</f>
        <v>56</v>
      </c>
      <c r="T347" s="59">
        <f>B347*210/100</f>
        <v>210</v>
      </c>
      <c r="U347" s="59">
        <f>B347*0.08/100</f>
        <v>0.08</v>
      </c>
      <c r="V347" s="59">
        <f>B347*1.7/100</f>
        <v>1.7</v>
      </c>
      <c r="W347" s="59">
        <f>B347*16/100</f>
        <v>16</v>
      </c>
      <c r="X347" s="59">
        <f>B347*0.03/100</f>
        <v>0.03</v>
      </c>
      <c r="Y347" s="59" t="s">
        <v>455</v>
      </c>
      <c r="Z347" s="59" t="s">
        <v>455</v>
      </c>
      <c r="AA347" s="59">
        <f>B347*6.33/100</f>
        <v>6.33</v>
      </c>
      <c r="AB347" s="59"/>
      <c r="AC347" s="34"/>
    </row>
    <row r="348" spans="1:29" s="55" customFormat="1">
      <c r="A348" s="60" t="s">
        <v>747</v>
      </c>
      <c r="B348" s="59">
        <v>100</v>
      </c>
      <c r="C348" s="59">
        <f>B348*196/100</f>
        <v>196</v>
      </c>
      <c r="D348" s="59">
        <f>B348*29.6/100</f>
        <v>29.6</v>
      </c>
      <c r="E348" s="59">
        <f>B348*7.7/100</f>
        <v>7.7</v>
      </c>
      <c r="F348" s="59">
        <f>B348*2.2/100</f>
        <v>2.2000000000000002</v>
      </c>
      <c r="G348" s="59">
        <f>B348*3.4/100</f>
        <v>3.4</v>
      </c>
      <c r="H348" s="59">
        <f>B348*1.2/100</f>
        <v>1.2</v>
      </c>
      <c r="I348" s="59">
        <f>B348*1.16/100</f>
        <v>1.1599999999999999</v>
      </c>
      <c r="J348" s="59">
        <f>B348*0.04/100</f>
        <v>0.04</v>
      </c>
      <c r="K348" s="59">
        <f>B348*106/100</f>
        <v>106</v>
      </c>
      <c r="L348" s="59">
        <v>0</v>
      </c>
      <c r="M348" s="59" t="s">
        <v>454</v>
      </c>
      <c r="N348" s="59">
        <f>B348*66/100</f>
        <v>66</v>
      </c>
      <c r="O348" s="59">
        <f>B348*23/100</f>
        <v>23</v>
      </c>
      <c r="P348" s="59">
        <f>B348*0.02/100</f>
        <v>0.02</v>
      </c>
      <c r="Q348" s="59">
        <f>B348*210/100</f>
        <v>210</v>
      </c>
      <c r="R348" s="59">
        <f>B348*2.1/100</f>
        <v>2.1</v>
      </c>
      <c r="S348" s="59">
        <f>B348*53/100</f>
        <v>53</v>
      </c>
      <c r="T348" s="59">
        <f>B348*224/100</f>
        <v>224</v>
      </c>
      <c r="U348" s="59">
        <f>B348*0.15/100</f>
        <v>0.15</v>
      </c>
      <c r="V348" s="59">
        <f>B348*2.7/100</f>
        <v>2.7</v>
      </c>
      <c r="W348" s="59">
        <f>B348*6/100</f>
        <v>6</v>
      </c>
      <c r="X348" s="59">
        <f>B348*0.03/100</f>
        <v>0.03</v>
      </c>
      <c r="Y348" s="59">
        <f>B348*0.03/100</f>
        <v>0.03</v>
      </c>
      <c r="Z348" s="59" t="s">
        <v>455</v>
      </c>
      <c r="AA348" s="59">
        <f>B348*9.2/100</f>
        <v>9.1999999999999993</v>
      </c>
      <c r="AB348" s="59"/>
      <c r="AC348" s="34"/>
    </row>
    <row r="349" spans="1:29" s="55" customFormat="1">
      <c r="A349" s="60" t="s">
        <v>748</v>
      </c>
      <c r="B349" s="59">
        <v>100</v>
      </c>
      <c r="C349" s="59">
        <f>B349*222/100</f>
        <v>222</v>
      </c>
      <c r="D349" s="59">
        <f>B349*12.6/100</f>
        <v>12.6</v>
      </c>
      <c r="E349" s="59">
        <f>B349*18.6/100</f>
        <v>18.600000000000001</v>
      </c>
      <c r="F349" s="59">
        <f>B349*4.9/100</f>
        <v>4.9000000000000004</v>
      </c>
      <c r="G349" s="59">
        <f>B349*6.3/100</f>
        <v>6.3</v>
      </c>
      <c r="H349" s="59">
        <f>B349*3.4/100</f>
        <v>3.4</v>
      </c>
      <c r="I349" s="59">
        <f>B349*3.15/100</f>
        <v>3.15</v>
      </c>
      <c r="J349" s="59">
        <f>B349*0.13/100</f>
        <v>0.13</v>
      </c>
      <c r="K349" s="59">
        <f>B349*159/100</f>
        <v>159</v>
      </c>
      <c r="L349" s="59">
        <v>0</v>
      </c>
      <c r="M349" s="59" t="s">
        <v>454</v>
      </c>
      <c r="N349" s="59">
        <f>B349*6/100</f>
        <v>6</v>
      </c>
      <c r="O349" s="59">
        <f>B349*20/100</f>
        <v>20</v>
      </c>
      <c r="P349" s="59">
        <f>B349*0.05/100</f>
        <v>0.05</v>
      </c>
      <c r="Q349" s="59">
        <f>B349*193/100</f>
        <v>193</v>
      </c>
      <c r="R349" s="59">
        <f>B349*4.1/100</f>
        <v>4.0999999999999996</v>
      </c>
      <c r="S349" s="59">
        <f>B349*95/100</f>
        <v>95</v>
      </c>
      <c r="T349" s="59">
        <f>B349*220/100</f>
        <v>220</v>
      </c>
      <c r="U349" s="59">
        <f>B349*0.2/100</f>
        <v>0.2</v>
      </c>
      <c r="V349" s="59">
        <f>B349*2/100</f>
        <v>2</v>
      </c>
      <c r="W349" s="59">
        <f>B349*9/100</f>
        <v>9</v>
      </c>
      <c r="X349" s="59">
        <f>B349*0.23/100</f>
        <v>0.23</v>
      </c>
      <c r="Y349" s="59">
        <f>B349*0.35/100</f>
        <v>0.35</v>
      </c>
      <c r="Z349" s="59" t="s">
        <v>455</v>
      </c>
      <c r="AA349" s="59" t="s">
        <v>23</v>
      </c>
      <c r="AB349" s="59"/>
      <c r="AC349" s="34"/>
    </row>
    <row r="350" spans="1:29" s="55" customFormat="1">
      <c r="A350" s="60" t="s">
        <v>749</v>
      </c>
      <c r="B350" s="59">
        <v>100</v>
      </c>
      <c r="C350" s="59">
        <f>B350*207/100</f>
        <v>207</v>
      </c>
      <c r="D350" s="59">
        <f>B350*22.4/100</f>
        <v>22.4</v>
      </c>
      <c r="E350" s="59">
        <f>B350*12.1/100</f>
        <v>12.1</v>
      </c>
      <c r="F350" s="59">
        <f>B350*3.5/100</f>
        <v>3.5</v>
      </c>
      <c r="G350" s="59">
        <f>B350*4.3/100</f>
        <v>4.3</v>
      </c>
      <c r="H350" s="59">
        <f>B350*1.6/100</f>
        <v>1.6</v>
      </c>
      <c r="I350" s="59">
        <f>B350*1.41/100</f>
        <v>1.41</v>
      </c>
      <c r="J350" s="59">
        <f>B350*0.04/100</f>
        <v>0.04</v>
      </c>
      <c r="K350" s="59">
        <f>B350*280/100</f>
        <v>280</v>
      </c>
      <c r="L350" s="59">
        <f>B350*0.6/100</f>
        <v>0.6</v>
      </c>
      <c r="M350" s="59" t="s">
        <v>454</v>
      </c>
      <c r="N350" s="59">
        <f>B350*8/100</f>
        <v>8</v>
      </c>
      <c r="O350" s="59">
        <f>B350*20/100</f>
        <v>20</v>
      </c>
      <c r="P350" s="59">
        <f>B350*0.06/100</f>
        <v>0.06</v>
      </c>
      <c r="Q350" s="59">
        <f>B350*276/100</f>
        <v>276</v>
      </c>
      <c r="R350" s="59">
        <f>B350*6.5/100</f>
        <v>6.5</v>
      </c>
      <c r="S350" s="59">
        <f>B350*128/100</f>
        <v>128</v>
      </c>
      <c r="T350" s="59">
        <f>B350*243/100</f>
        <v>243</v>
      </c>
      <c r="U350" s="59">
        <f>B350*0.3/100</f>
        <v>0.3</v>
      </c>
      <c r="V350" s="59">
        <f>B350*3.4/100</f>
        <v>3.4</v>
      </c>
      <c r="W350" s="59" t="s">
        <v>455</v>
      </c>
      <c r="X350" s="59">
        <f>B350*0.2/100</f>
        <v>0.2</v>
      </c>
      <c r="Y350" s="59">
        <f>B350*0.19/100</f>
        <v>0.19</v>
      </c>
      <c r="Z350" s="59" t="s">
        <v>455</v>
      </c>
      <c r="AA350" s="59">
        <f>B350*9.7/100</f>
        <v>9.6999999999999993</v>
      </c>
      <c r="AB350" s="59"/>
      <c r="AC350" s="34"/>
    </row>
    <row r="351" spans="1:29" s="55" customFormat="1">
      <c r="A351" s="60" t="s">
        <v>751</v>
      </c>
      <c r="B351" s="59">
        <v>100</v>
      </c>
      <c r="C351" s="59">
        <f>B351*215/100</f>
        <v>215</v>
      </c>
      <c r="D351" s="59">
        <f>B351*28.5/100</f>
        <v>28.5</v>
      </c>
      <c r="E351" s="59">
        <f>B351*10.4/100</f>
        <v>10.4</v>
      </c>
      <c r="F351" s="59">
        <f>B351*3.1/100</f>
        <v>3.1</v>
      </c>
      <c r="G351" s="59">
        <f>B351*3.8/100</f>
        <v>3.8</v>
      </c>
      <c r="H351" s="59">
        <f>B351*2.2/100</f>
        <v>2.2000000000000002</v>
      </c>
      <c r="I351" s="59">
        <f>B351*2.11/100</f>
        <v>2.11</v>
      </c>
      <c r="J351" s="59">
        <f>B351*0.09/100</f>
        <v>0.09</v>
      </c>
      <c r="K351" s="59">
        <f>B351*145/100</f>
        <v>145</v>
      </c>
      <c r="L351" s="59">
        <f>B351*0.1/100</f>
        <v>0.1</v>
      </c>
      <c r="M351" s="59" t="s">
        <v>454</v>
      </c>
      <c r="N351" s="59">
        <f>B351*8/100</f>
        <v>8</v>
      </c>
      <c r="O351" s="59">
        <f>B351*14/100</f>
        <v>14</v>
      </c>
      <c r="P351" s="59" t="s">
        <v>455</v>
      </c>
      <c r="Q351" s="59">
        <f>B351*251/100</f>
        <v>251</v>
      </c>
      <c r="R351" s="59">
        <f>B351*1.2/100</f>
        <v>1.2</v>
      </c>
      <c r="S351" s="59">
        <f>B351*95/100</f>
        <v>95</v>
      </c>
      <c r="T351" s="59">
        <f>B351*318/100</f>
        <v>318</v>
      </c>
      <c r="U351" s="59">
        <f>B351*0.05/100</f>
        <v>0.05</v>
      </c>
      <c r="V351" s="59">
        <f>B351*2.6/100</f>
        <v>2.6</v>
      </c>
      <c r="W351" s="59">
        <f>B351*6/100</f>
        <v>6</v>
      </c>
      <c r="X351" s="59">
        <f>B351*0.05/100</f>
        <v>0.05</v>
      </c>
      <c r="Y351" s="59">
        <f>B351*0.05/100</f>
        <v>0.05</v>
      </c>
      <c r="Z351" s="59" t="s">
        <v>455</v>
      </c>
      <c r="AA351" s="59">
        <f>B351*10.4/100</f>
        <v>10.4</v>
      </c>
      <c r="AB351" s="59"/>
      <c r="AC351" s="34"/>
    </row>
    <row r="352" spans="1:29" s="55" customFormat="1">
      <c r="A352" s="60" t="s">
        <v>750</v>
      </c>
      <c r="B352" s="59">
        <v>100</v>
      </c>
      <c r="C352" s="59">
        <f>B352*161/100</f>
        <v>161</v>
      </c>
      <c r="D352" s="59">
        <f>B352*17.1/100</f>
        <v>17.100000000000001</v>
      </c>
      <c r="E352" s="59">
        <f>B352*9.8/100</f>
        <v>9.8000000000000007</v>
      </c>
      <c r="F352" s="59">
        <f>B352*3/100</f>
        <v>3</v>
      </c>
      <c r="G352" s="59">
        <f>B352*4.1/100</f>
        <v>4.0999999999999996</v>
      </c>
      <c r="H352" s="59">
        <f>B352*2.2/100</f>
        <v>2.2000000000000002</v>
      </c>
      <c r="I352" s="59">
        <f>B352*2/100</f>
        <v>2</v>
      </c>
      <c r="J352" s="59">
        <f>B352*0.09/100</f>
        <v>0.09</v>
      </c>
      <c r="K352" s="59">
        <f>B352*97/100</f>
        <v>97</v>
      </c>
      <c r="L352" s="59">
        <v>0</v>
      </c>
      <c r="M352" s="59" t="s">
        <v>454</v>
      </c>
      <c r="N352" s="59">
        <f>B352*8/100</f>
        <v>8</v>
      </c>
      <c r="O352" s="59">
        <f>B352*26/100</f>
        <v>26</v>
      </c>
      <c r="P352" s="59">
        <f>B352*0.02/100</f>
        <v>0.02</v>
      </c>
      <c r="Q352" s="59">
        <f>B352*185/100</f>
        <v>185</v>
      </c>
      <c r="R352" s="59">
        <f>B352*0.7/100</f>
        <v>0.7</v>
      </c>
      <c r="S352" s="59">
        <f>B352*95/100</f>
        <v>95</v>
      </c>
      <c r="T352" s="59">
        <f>B352*275/100</f>
        <v>275</v>
      </c>
      <c r="U352" s="59">
        <f>B352*0.03/100</f>
        <v>0.03</v>
      </c>
      <c r="V352" s="59">
        <f>B352*2/100</f>
        <v>2</v>
      </c>
      <c r="W352" s="59">
        <f>B352*10/100</f>
        <v>10</v>
      </c>
      <c r="X352" s="59">
        <f>B352*0.16/100</f>
        <v>0.16</v>
      </c>
      <c r="Y352" s="59">
        <f>B352*0.05/100</f>
        <v>0.05</v>
      </c>
      <c r="Z352" s="59" t="s">
        <v>455</v>
      </c>
      <c r="AA352" s="59" t="s">
        <v>23</v>
      </c>
      <c r="AB352" s="59"/>
      <c r="AC352" s="34"/>
    </row>
    <row r="353" spans="1:29" s="55" customFormat="1">
      <c r="A353" s="60" t="s">
        <v>753</v>
      </c>
      <c r="B353" s="59">
        <v>100</v>
      </c>
      <c r="C353" s="59">
        <f>B353*167/100</f>
        <v>167</v>
      </c>
      <c r="D353" s="59">
        <f>B353*26.9/100</f>
        <v>26.9</v>
      </c>
      <c r="E353" s="59">
        <f>B353*5.8/100</f>
        <v>5.8</v>
      </c>
      <c r="F353" s="59">
        <f>B353*2/100</f>
        <v>2</v>
      </c>
      <c r="G353" s="59">
        <f>B353*2.1/100</f>
        <v>2.1</v>
      </c>
      <c r="H353" s="59">
        <f>B353*1.1/100</f>
        <v>1.1000000000000001</v>
      </c>
      <c r="I353" s="59">
        <f>B353*1.1/100</f>
        <v>1.1000000000000001</v>
      </c>
      <c r="J353" s="59">
        <f>B353*0.05/100</f>
        <v>0.05</v>
      </c>
      <c r="K353" s="59">
        <f>B353*133/100</f>
        <v>133</v>
      </c>
      <c r="L353" s="59">
        <v>0</v>
      </c>
      <c r="M353" s="59" t="s">
        <v>454</v>
      </c>
      <c r="N353" s="59">
        <f>B353*12/100</f>
        <v>12</v>
      </c>
      <c r="O353" s="59">
        <f>B353*11/100</f>
        <v>11</v>
      </c>
      <c r="P353" s="59" t="s">
        <v>455</v>
      </c>
      <c r="Q353" s="59">
        <f>B353*187/100</f>
        <v>187</v>
      </c>
      <c r="R353" s="59">
        <f>B353*0.8/100</f>
        <v>0.8</v>
      </c>
      <c r="S353" s="59">
        <f>B353*64/100</f>
        <v>64</v>
      </c>
      <c r="T353" s="59">
        <f>B353*191/100</f>
        <v>191</v>
      </c>
      <c r="U353" s="59">
        <f>B353*0.03/100</f>
        <v>0.03</v>
      </c>
      <c r="V353" s="59">
        <f>B353*2.8/100</f>
        <v>2.8</v>
      </c>
      <c r="W353" s="59" t="s">
        <v>455</v>
      </c>
      <c r="X353" s="59">
        <f>B353*0.07/100</f>
        <v>7.0000000000000007E-2</v>
      </c>
      <c r="Y353" s="59" t="s">
        <v>455</v>
      </c>
      <c r="Z353" s="59" t="s">
        <v>455</v>
      </c>
      <c r="AA353" s="59">
        <f>B353*8.2/100</f>
        <v>8.1999999999999993</v>
      </c>
      <c r="AB353" s="59"/>
      <c r="AC353" s="34"/>
    </row>
    <row r="354" spans="1:29" s="55" customFormat="1">
      <c r="A354" s="60" t="s">
        <v>752</v>
      </c>
      <c r="B354" s="59">
        <v>100</v>
      </c>
      <c r="C354" s="59">
        <f>B354*120/100</f>
        <v>120</v>
      </c>
      <c r="D354" s="59">
        <f>B354*17.8/100</f>
        <v>17.8</v>
      </c>
      <c r="E354" s="59">
        <f>B354*4.9/100</f>
        <v>4.9000000000000004</v>
      </c>
      <c r="F354" s="59">
        <f>B354*1.6/100</f>
        <v>1.6</v>
      </c>
      <c r="G354" s="59">
        <f>B354*2.1/100</f>
        <v>2.1</v>
      </c>
      <c r="H354" s="59">
        <f>B354*0.8/100</f>
        <v>0.8</v>
      </c>
      <c r="I354" s="59">
        <f>B354*0.8/100</f>
        <v>0.8</v>
      </c>
      <c r="J354" s="59">
        <f>B354*0.02/100</f>
        <v>0.02</v>
      </c>
      <c r="K354" s="59">
        <f>B354*91/100</f>
        <v>91</v>
      </c>
      <c r="L354" s="59">
        <v>0</v>
      </c>
      <c r="M354" s="59" t="s">
        <v>454</v>
      </c>
      <c r="N354" s="59">
        <f>B354*8/100</f>
        <v>8</v>
      </c>
      <c r="O354" s="59">
        <f>B354*27/100</f>
        <v>27</v>
      </c>
      <c r="P354" s="59">
        <f>B354*0.02/100</f>
        <v>0.02</v>
      </c>
      <c r="Q354" s="59">
        <f>B354*196/100</f>
        <v>196</v>
      </c>
      <c r="R354" s="59">
        <f>B354*0.8/100</f>
        <v>0.8</v>
      </c>
      <c r="S354" s="59">
        <f>B354*98/100</f>
        <v>98</v>
      </c>
      <c r="T354" s="59">
        <f>B354*291/100</f>
        <v>291</v>
      </c>
      <c r="U354" s="59">
        <f>B354*0.03/100</f>
        <v>0.03</v>
      </c>
      <c r="V354" s="59">
        <f>B354*2.2/100</f>
        <v>2.2000000000000002</v>
      </c>
      <c r="W354" s="59">
        <f>B354*12/100</f>
        <v>12</v>
      </c>
      <c r="X354" s="59">
        <f>B354*0.17/100</f>
        <v>0.17</v>
      </c>
      <c r="Y354" s="59">
        <f>B354*0.05/100</f>
        <v>0.05</v>
      </c>
      <c r="Z354" s="59" t="s">
        <v>455</v>
      </c>
      <c r="AA354" s="59" t="s">
        <v>23</v>
      </c>
      <c r="AB354" s="59"/>
      <c r="AC354" s="34"/>
    </row>
    <row r="355" spans="1:29" s="55" customFormat="1">
      <c r="A355" s="60" t="s">
        <v>754</v>
      </c>
      <c r="B355" s="59">
        <v>100</v>
      </c>
      <c r="C355" s="59">
        <f>B355*106/100</f>
        <v>106</v>
      </c>
      <c r="D355" s="59">
        <f>B355*17.6/100</f>
        <v>17.600000000000001</v>
      </c>
      <c r="E355" s="59">
        <f>B355*3.5/100</f>
        <v>3.5</v>
      </c>
      <c r="F355" s="59">
        <f>B355*1.3/100</f>
        <v>1.3</v>
      </c>
      <c r="G355" s="59">
        <f>B355*0.7/100</f>
        <v>0.7</v>
      </c>
      <c r="H355" s="59">
        <f>B355*0.6/100</f>
        <v>0.6</v>
      </c>
      <c r="I355" s="59">
        <f>B355*0.38/100</f>
        <v>0.38</v>
      </c>
      <c r="J355" s="59">
        <f>B355*0.01/100</f>
        <v>0.01</v>
      </c>
      <c r="K355" s="59">
        <f>B355*341/100</f>
        <v>341</v>
      </c>
      <c r="L355" s="59">
        <v>0</v>
      </c>
      <c r="M355" s="59" t="s">
        <v>454</v>
      </c>
      <c r="N355" s="59">
        <f>B355*6/100</f>
        <v>6</v>
      </c>
      <c r="O355" s="59">
        <f>B355*28/100</f>
        <v>28</v>
      </c>
      <c r="P355" s="59">
        <f>B355*0.35/100</f>
        <v>0.35</v>
      </c>
      <c r="Q355" s="59">
        <f>B355*344/100</f>
        <v>344</v>
      </c>
      <c r="R355" s="59">
        <f>B355*9.5/100</f>
        <v>9.5</v>
      </c>
      <c r="S355" s="59">
        <f>B355*82/100</f>
        <v>82</v>
      </c>
      <c r="T355" s="59">
        <f>B355*281/100</f>
        <v>281</v>
      </c>
      <c r="U355" s="59">
        <f>B355*0.26/100</f>
        <v>0.26</v>
      </c>
      <c r="V355" s="59">
        <f>B355*3.7/100</f>
        <v>3.7</v>
      </c>
      <c r="W355" s="59">
        <f>B355*3863/100</f>
        <v>3863</v>
      </c>
      <c r="X355" s="59">
        <f>B355*0.62/100</f>
        <v>0.62</v>
      </c>
      <c r="Y355" s="59">
        <f>B355*0.56/100</f>
        <v>0.56000000000000005</v>
      </c>
      <c r="Z355" s="59" t="s">
        <v>455</v>
      </c>
      <c r="AA355" s="59" t="s">
        <v>23</v>
      </c>
      <c r="AB355" s="59"/>
      <c r="AC355" s="34"/>
    </row>
    <row r="356" spans="1:29" s="55" customFormat="1">
      <c r="A356" s="60" t="s">
        <v>755</v>
      </c>
      <c r="B356" s="59">
        <v>100</v>
      </c>
      <c r="C356" s="59">
        <f>B356*221/100</f>
        <v>221</v>
      </c>
      <c r="D356" s="59">
        <f>B356*28.5/100</f>
        <v>28.5</v>
      </c>
      <c r="E356" s="59">
        <f>B356*7.8/100</f>
        <v>7.8</v>
      </c>
      <c r="F356" s="59">
        <f>B356*1.6/100</f>
        <v>1.6</v>
      </c>
      <c r="G356" s="59">
        <f>B356*2.4/100</f>
        <v>2.4</v>
      </c>
      <c r="H356" s="59">
        <f>B356*3.3/100</f>
        <v>3.3</v>
      </c>
      <c r="I356" s="59">
        <f>B356*3.01/100</f>
        <v>3.01</v>
      </c>
      <c r="J356" s="59">
        <f>B356*0.23/100</f>
        <v>0.23</v>
      </c>
      <c r="K356" s="59">
        <f>B356*84/100</f>
        <v>84</v>
      </c>
      <c r="L356" s="59">
        <f>B356*7.5/100</f>
        <v>7.5</v>
      </c>
      <c r="M356" s="59">
        <f>B356*1.1/100</f>
        <v>1.1000000000000001</v>
      </c>
      <c r="N356" s="59">
        <f>B356*9/100</f>
        <v>9</v>
      </c>
      <c r="O356" s="59">
        <f>B356*35/100</f>
        <v>35</v>
      </c>
      <c r="P356" s="59">
        <f>B356*0.06/100</f>
        <v>0.06</v>
      </c>
      <c r="Q356" s="59">
        <f>B356*249/100</f>
        <v>249</v>
      </c>
      <c r="R356" s="59">
        <f>B356*1.1/100</f>
        <v>1.1000000000000001</v>
      </c>
      <c r="S356" s="59">
        <f>B356*122/100</f>
        <v>122</v>
      </c>
      <c r="T356" s="59">
        <f>B356*408/100</f>
        <v>408</v>
      </c>
      <c r="U356" s="59">
        <f>B356*0.05/100</f>
        <v>0.05</v>
      </c>
      <c r="V356" s="59">
        <f>B356*0.8/100</f>
        <v>0.8</v>
      </c>
      <c r="W356" s="59">
        <f>B356*7/100</f>
        <v>7</v>
      </c>
      <c r="X356" s="59">
        <f>B356*0.05/100</f>
        <v>0.05</v>
      </c>
      <c r="Y356" s="59">
        <f>B356*0.04/100</f>
        <v>0.04</v>
      </c>
      <c r="Z356" s="59">
        <f>B356*0.52/100</f>
        <v>0.52</v>
      </c>
      <c r="AA356" s="59">
        <f>B356*11.07/100</f>
        <v>11.07</v>
      </c>
      <c r="AB356" s="59"/>
      <c r="AC356" s="34"/>
    </row>
    <row r="357" spans="1:29" s="55" customFormat="1">
      <c r="A357" s="60" t="s">
        <v>756</v>
      </c>
      <c r="B357" s="59">
        <v>100</v>
      </c>
      <c r="C357" s="59">
        <f>B357*226/100</f>
        <v>226</v>
      </c>
      <c r="D357" s="59">
        <f>B357*16.4/100</f>
        <v>16.399999999999999</v>
      </c>
      <c r="E357" s="59">
        <f>B357*17.3/100</f>
        <v>17.3</v>
      </c>
      <c r="F357" s="59">
        <f>B357*5.2/100</f>
        <v>5.2</v>
      </c>
      <c r="G357" s="59">
        <f>B357*7.2/100</f>
        <v>7.2</v>
      </c>
      <c r="H357" s="59">
        <f>B357*3.9/100</f>
        <v>3.9</v>
      </c>
      <c r="I357" s="59">
        <f>B357*3.57/100</f>
        <v>3.57</v>
      </c>
      <c r="J357" s="59">
        <f>B357*0.2/100</f>
        <v>0.2</v>
      </c>
      <c r="K357" s="59">
        <f>B357*85/100</f>
        <v>85</v>
      </c>
      <c r="L357" s="59">
        <v>0</v>
      </c>
      <c r="M357" s="59" t="s">
        <v>454</v>
      </c>
      <c r="N357" s="59">
        <f>B357*6/100</f>
        <v>6</v>
      </c>
      <c r="O357" s="59">
        <f>B357*24/100</f>
        <v>24</v>
      </c>
      <c r="P357" s="59">
        <f>B357*0.01/100</f>
        <v>0.01</v>
      </c>
      <c r="Q357" s="59">
        <f>B357*174/100</f>
        <v>174</v>
      </c>
      <c r="R357" s="59">
        <f>B357*0.6/100</f>
        <v>0.6</v>
      </c>
      <c r="S357" s="59">
        <f>B357*63/100</f>
        <v>63</v>
      </c>
      <c r="T357" s="59">
        <f>B357*217/100</f>
        <v>217</v>
      </c>
      <c r="U357" s="59">
        <f>B357*0.04/100</f>
        <v>0.04</v>
      </c>
      <c r="V357" s="59">
        <f>B357*1.1/100</f>
        <v>1.1000000000000001</v>
      </c>
      <c r="W357" s="59">
        <f>B357*7/100</f>
        <v>7</v>
      </c>
      <c r="X357" s="59">
        <f>B357*0.08/100</f>
        <v>0.08</v>
      </c>
      <c r="Y357" s="59">
        <f>B357*0.03/100</f>
        <v>0.03</v>
      </c>
      <c r="Z357" s="59" t="s">
        <v>455</v>
      </c>
      <c r="AA357" s="59" t="s">
        <v>23</v>
      </c>
      <c r="AB357" s="59"/>
      <c r="AC357" s="34"/>
    </row>
    <row r="358" spans="1:29" s="55" customFormat="1">
      <c r="A358" s="60" t="s">
        <v>757</v>
      </c>
      <c r="B358" s="59">
        <v>100</v>
      </c>
      <c r="C358" s="59">
        <f>B358*187/100</f>
        <v>187</v>
      </c>
      <c r="D358" s="59">
        <f>B358*28/100</f>
        <v>28</v>
      </c>
      <c r="E358" s="59">
        <f>B358*7.5/100</f>
        <v>7.5</v>
      </c>
      <c r="F358" s="59">
        <f>B358*2.1/100</f>
        <v>2.1</v>
      </c>
      <c r="G358" s="59">
        <f>B358*2.6/100</f>
        <v>2.6</v>
      </c>
      <c r="H358" s="59">
        <f>B358*1.8/100</f>
        <v>1.8</v>
      </c>
      <c r="I358" s="59">
        <f>B358*1.73/100</f>
        <v>1.73</v>
      </c>
      <c r="J358" s="59">
        <f>B358*0.09/100</f>
        <v>0.09</v>
      </c>
      <c r="K358" s="59">
        <f>B358*111/100</f>
        <v>111</v>
      </c>
      <c r="L358" s="59">
        <v>0</v>
      </c>
      <c r="M358" s="59" t="s">
        <v>454</v>
      </c>
      <c r="N358" s="59">
        <f>B358*9/100</f>
        <v>9</v>
      </c>
      <c r="O358" s="59">
        <f>B358*14/100</f>
        <v>14</v>
      </c>
      <c r="P358" s="59" t="s">
        <v>455</v>
      </c>
      <c r="Q358" s="59">
        <f>B358*233/100</f>
        <v>233</v>
      </c>
      <c r="R358" s="59">
        <f>B358*0.6/100</f>
        <v>0.6</v>
      </c>
      <c r="S358" s="59">
        <f>B358*70/100</f>
        <v>70</v>
      </c>
      <c r="T358" s="59">
        <f>B358*283/100</f>
        <v>283</v>
      </c>
      <c r="U358" s="59">
        <f>B358*0.03/100</f>
        <v>0.03</v>
      </c>
      <c r="V358" s="59">
        <f>B358*1.6/100</f>
        <v>1.6</v>
      </c>
      <c r="W358" s="59" t="s">
        <v>455</v>
      </c>
      <c r="X358" s="59">
        <f>B358*0.09/100</f>
        <v>0.09</v>
      </c>
      <c r="Y358" s="59" t="s">
        <v>455</v>
      </c>
      <c r="Z358" s="59" t="s">
        <v>455</v>
      </c>
      <c r="AA358" s="59">
        <f>B358*11.2/100</f>
        <v>11.2</v>
      </c>
      <c r="AB358" s="59"/>
      <c r="AC358" s="34"/>
    </row>
    <row r="359" spans="1:29" s="55" customFormat="1">
      <c r="A359" s="60" t="s">
        <v>758</v>
      </c>
      <c r="B359" s="59">
        <v>100</v>
      </c>
      <c r="C359" s="59">
        <f>B359*170/100</f>
        <v>170</v>
      </c>
      <c r="D359" s="59">
        <f>B359*25/100</f>
        <v>25</v>
      </c>
      <c r="E359" s="59">
        <f>B359*7.1/100</f>
        <v>7.1</v>
      </c>
      <c r="F359" s="59">
        <f>B359*2.2/100</f>
        <v>2.2000000000000002</v>
      </c>
      <c r="G359" s="59">
        <f>B359*2.5/100</f>
        <v>2.5</v>
      </c>
      <c r="H359" s="59">
        <f>B359*1.5/100</f>
        <v>1.5</v>
      </c>
      <c r="I359" s="59">
        <f>B359*1.42/100</f>
        <v>1.42</v>
      </c>
      <c r="J359" s="59">
        <f>B359*0.07/100</f>
        <v>7.0000000000000007E-2</v>
      </c>
      <c r="K359" s="59">
        <f>B359*99/100</f>
        <v>99</v>
      </c>
      <c r="L359" s="59">
        <v>0</v>
      </c>
      <c r="M359" s="59" t="s">
        <v>454</v>
      </c>
      <c r="N359" s="59">
        <f>B359*8/100</f>
        <v>8</v>
      </c>
      <c r="O359" s="59">
        <f>B359*12/100</f>
        <v>12</v>
      </c>
      <c r="P359" s="59" t="s">
        <v>455</v>
      </c>
      <c r="Q359" s="59">
        <f>B359*194/100</f>
        <v>194</v>
      </c>
      <c r="R359" s="59">
        <f>B359*0.5/100</f>
        <v>0.5</v>
      </c>
      <c r="S359" s="59">
        <f>B359*51/100</f>
        <v>51</v>
      </c>
      <c r="T359" s="59">
        <f>B359*217/100</f>
        <v>217</v>
      </c>
      <c r="U359" s="59">
        <f>B359*0.04/100</f>
        <v>0.04</v>
      </c>
      <c r="V359" s="59">
        <f>B359*1.2/100</f>
        <v>1.2</v>
      </c>
      <c r="W359" s="59" t="s">
        <v>455</v>
      </c>
      <c r="X359" s="59">
        <f>B359*0.1/100</f>
        <v>0.1</v>
      </c>
      <c r="Y359" s="59" t="s">
        <v>455</v>
      </c>
      <c r="Z359" s="59" t="s">
        <v>455</v>
      </c>
      <c r="AA359" s="59">
        <f>B359*12.83/100</f>
        <v>12.83</v>
      </c>
      <c r="AB359" s="59"/>
      <c r="AC359" s="34"/>
    </row>
    <row r="360" spans="1:29" s="55" customFormat="1">
      <c r="A360" s="60" t="s">
        <v>759</v>
      </c>
      <c r="B360" s="59">
        <v>100</v>
      </c>
      <c r="C360" s="59">
        <f>B360*129/100</f>
        <v>129</v>
      </c>
      <c r="D360" s="59">
        <f>B360*20.6/100</f>
        <v>20.6</v>
      </c>
      <c r="E360" s="59">
        <f>B360*4.6/100</f>
        <v>4.5999999999999996</v>
      </c>
      <c r="F360" s="59">
        <f>B360*1.4/100</f>
        <v>1.4</v>
      </c>
      <c r="G360" s="59">
        <f>B360*1.9/100</f>
        <v>1.9</v>
      </c>
      <c r="H360" s="59">
        <f>B360*1/100</f>
        <v>1</v>
      </c>
      <c r="I360" s="59">
        <f>B360*0.92/100</f>
        <v>0.92</v>
      </c>
      <c r="J360" s="59">
        <f>B360*0.04/100</f>
        <v>0.04</v>
      </c>
      <c r="K360" s="59">
        <f>B360*78/100</f>
        <v>78</v>
      </c>
      <c r="L360" s="59">
        <v>0</v>
      </c>
      <c r="M360" s="59" t="s">
        <v>454</v>
      </c>
      <c r="N360" s="59">
        <f>B360*7/100</f>
        <v>7</v>
      </c>
      <c r="O360" s="59">
        <f>B360*27/100</f>
        <v>27</v>
      </c>
      <c r="P360" s="59">
        <f>B360*0.01/100</f>
        <v>0.01</v>
      </c>
      <c r="Q360" s="59">
        <f>B360*190/100</f>
        <v>190</v>
      </c>
      <c r="R360" s="59">
        <f>B360*0.5/100</f>
        <v>0.5</v>
      </c>
      <c r="S360" s="59">
        <f>B360*73/100</f>
        <v>73</v>
      </c>
      <c r="T360" s="59">
        <f>B360*238/100</f>
        <v>238</v>
      </c>
      <c r="U360" s="59">
        <f>B360*0.03/100</f>
        <v>0.03</v>
      </c>
      <c r="V360" s="59">
        <f>B360*1.2/100</f>
        <v>1.2</v>
      </c>
      <c r="W360" s="59">
        <f>B360*4/100</f>
        <v>4</v>
      </c>
      <c r="X360" s="59">
        <f>B360*0.12/100</f>
        <v>0.12</v>
      </c>
      <c r="Y360" s="59">
        <f>B360*0.03/100</f>
        <v>0.03</v>
      </c>
      <c r="Z360" s="59" t="s">
        <v>455</v>
      </c>
      <c r="AA360" s="59" t="s">
        <v>23</v>
      </c>
      <c r="AB360" s="59"/>
      <c r="AC360" s="34"/>
    </row>
    <row r="361" spans="1:29" s="55" customFormat="1">
      <c r="A361" s="60" t="s">
        <v>761</v>
      </c>
      <c r="B361" s="59">
        <v>100</v>
      </c>
      <c r="C361" s="59">
        <f>B361*212/100</f>
        <v>212</v>
      </c>
      <c r="D361" s="59">
        <f>B361*33.4/100</f>
        <v>33.4</v>
      </c>
      <c r="E361" s="59">
        <f>B361*7.6/100</f>
        <v>7.6</v>
      </c>
      <c r="F361" s="59">
        <f>B361*2.2/100</f>
        <v>2.2000000000000002</v>
      </c>
      <c r="G361" s="59">
        <f>B361*2.7/100</f>
        <v>2.7</v>
      </c>
      <c r="H361" s="59">
        <f>B361*1.8/100</f>
        <v>1.8</v>
      </c>
      <c r="I361" s="59">
        <f>B361*1.7/100</f>
        <v>1.7</v>
      </c>
      <c r="J361" s="59">
        <f>B361*0.1/100</f>
        <v>0.1</v>
      </c>
      <c r="K361" s="59">
        <f>B361*109/100</f>
        <v>109</v>
      </c>
      <c r="L361" s="59">
        <v>0</v>
      </c>
      <c r="M361" s="59" t="s">
        <v>454</v>
      </c>
      <c r="N361" s="59">
        <f>B361*8/100</f>
        <v>8</v>
      </c>
      <c r="O361" s="59">
        <f>B361*18/100</f>
        <v>18</v>
      </c>
      <c r="P361" s="59">
        <f>B361*0.01/100</f>
        <v>0.01</v>
      </c>
      <c r="Q361" s="59">
        <f>B361*297/100</f>
        <v>297</v>
      </c>
      <c r="R361" s="59">
        <f>B361*0.5/100</f>
        <v>0.5</v>
      </c>
      <c r="S361" s="59">
        <f>B361*56/100</f>
        <v>56</v>
      </c>
      <c r="T361" s="59">
        <f>B361*380/100</f>
        <v>380</v>
      </c>
      <c r="U361" s="59">
        <f>B361*0.01/100</f>
        <v>0.01</v>
      </c>
      <c r="V361" s="59">
        <f>B361*1/100</f>
        <v>1</v>
      </c>
      <c r="W361" s="59">
        <f>B361*6/100</f>
        <v>6</v>
      </c>
      <c r="X361" s="59">
        <f>B361*0.12/100</f>
        <v>0.12</v>
      </c>
      <c r="Y361" s="59" t="s">
        <v>455</v>
      </c>
      <c r="Z361" s="59" t="s">
        <v>455</v>
      </c>
      <c r="AA361" s="59">
        <f>B361*15.8/100</f>
        <v>15.8</v>
      </c>
      <c r="AB361" s="59"/>
      <c r="AC361" s="34"/>
    </row>
    <row r="362" spans="1:29" s="55" customFormat="1">
      <c r="A362" s="60" t="s">
        <v>760</v>
      </c>
      <c r="B362" s="59">
        <v>100</v>
      </c>
      <c r="C362" s="59">
        <f>B362*149/100</f>
        <v>149</v>
      </c>
      <c r="D362" s="59">
        <f>B362*20.8/100</f>
        <v>20.8</v>
      </c>
      <c r="E362" s="59">
        <f>B362*6.7/100</f>
        <v>6.7</v>
      </c>
      <c r="F362" s="59">
        <f>B362*2.2/100</f>
        <v>2.2000000000000002</v>
      </c>
      <c r="G362" s="59">
        <f>B362*3.2/100</f>
        <v>3.2</v>
      </c>
      <c r="H362" s="59">
        <f>B362*0.9/100</f>
        <v>0.9</v>
      </c>
      <c r="I362" s="59">
        <f>B362*0.8/100</f>
        <v>0.8</v>
      </c>
      <c r="J362" s="59">
        <f>B362*0.03/100</f>
        <v>0.03</v>
      </c>
      <c r="K362" s="59">
        <f>B362*80/100</f>
        <v>80</v>
      </c>
      <c r="L362" s="59">
        <v>0</v>
      </c>
      <c r="M362" s="59" t="s">
        <v>454</v>
      </c>
      <c r="N362" s="59">
        <f>B362*8/100</f>
        <v>8</v>
      </c>
      <c r="O362" s="59">
        <f>B362*28/100</f>
        <v>28</v>
      </c>
      <c r="P362" s="59">
        <f>B362*0.01/100</f>
        <v>0.01</v>
      </c>
      <c r="Q362" s="59">
        <f>B362*213/100</f>
        <v>213</v>
      </c>
      <c r="R362" s="59">
        <f>B362*0.4/100</f>
        <v>0.4</v>
      </c>
      <c r="S362" s="59">
        <f>B362*62/100</f>
        <v>62</v>
      </c>
      <c r="T362" s="59">
        <f>B362*252/100</f>
        <v>252</v>
      </c>
      <c r="U362" s="59">
        <f>B362*0.05/100</f>
        <v>0.05</v>
      </c>
      <c r="V362" s="59">
        <f>B362*0.6/100</f>
        <v>0.6</v>
      </c>
      <c r="W362" s="59">
        <f>B362*4/100</f>
        <v>4</v>
      </c>
      <c r="X362" s="59">
        <f>B362*0.09/100</f>
        <v>0.09</v>
      </c>
      <c r="Y362" s="59" t="s">
        <v>455</v>
      </c>
      <c r="Z362" s="59" t="s">
        <v>456</v>
      </c>
      <c r="AA362" s="59" t="s">
        <v>23</v>
      </c>
      <c r="AB362" s="59"/>
      <c r="AC362" s="34"/>
    </row>
    <row r="363" spans="1:29" s="55" customFormat="1">
      <c r="A363" s="60" t="s">
        <v>762</v>
      </c>
      <c r="B363" s="59">
        <v>100</v>
      </c>
      <c r="C363" s="59">
        <f>B363*163/100</f>
        <v>163</v>
      </c>
      <c r="D363" s="59">
        <f>B363*31.5/100</f>
        <v>31.5</v>
      </c>
      <c r="E363" s="59">
        <f>B363*3.2/100</f>
        <v>3.2</v>
      </c>
      <c r="F363" s="59">
        <f>B363*1.1/100</f>
        <v>1.1000000000000001</v>
      </c>
      <c r="G363" s="59">
        <f>B363*1.1/100</f>
        <v>1.1000000000000001</v>
      </c>
      <c r="H363" s="59">
        <f>B363*0.6/100</f>
        <v>0.6</v>
      </c>
      <c r="I363" s="59">
        <f>B363*0.53/100</f>
        <v>0.53</v>
      </c>
      <c r="J363" s="59">
        <f>B363*0.02/100</f>
        <v>0.02</v>
      </c>
      <c r="K363" s="59">
        <f>B363*89/100</f>
        <v>89</v>
      </c>
      <c r="L363" s="59">
        <v>0</v>
      </c>
      <c r="M363" s="59" t="s">
        <v>454</v>
      </c>
      <c r="N363" s="59">
        <f>B363*6/100</f>
        <v>6</v>
      </c>
      <c r="O363" s="59">
        <f>B363*14/100</f>
        <v>14</v>
      </c>
      <c r="P363" s="59" t="s">
        <v>455</v>
      </c>
      <c r="Q363" s="59">
        <f>B363*224/100</f>
        <v>224</v>
      </c>
      <c r="R363" s="59">
        <f>B363*0.3/100</f>
        <v>0.3</v>
      </c>
      <c r="S363" s="59">
        <f>B363*36/100</f>
        <v>36</v>
      </c>
      <c r="T363" s="59">
        <f>B363*231/100</f>
        <v>231</v>
      </c>
      <c r="U363" s="59">
        <f>B363*0.02/100</f>
        <v>0.02</v>
      </c>
      <c r="V363" s="59">
        <f>B363*0.9/100</f>
        <v>0.9</v>
      </c>
      <c r="W363" s="59" t="s">
        <v>455</v>
      </c>
      <c r="X363" s="59">
        <f>B363*0.1/100</f>
        <v>0.1</v>
      </c>
      <c r="Y363" s="59" t="s">
        <v>455</v>
      </c>
      <c r="Z363" s="59" t="s">
        <v>455</v>
      </c>
      <c r="AA363" s="59">
        <f>B363*7.6/100</f>
        <v>7.6</v>
      </c>
      <c r="AB363" s="59"/>
      <c r="AC363" s="34"/>
    </row>
    <row r="364" spans="1:29" s="55" customFormat="1">
      <c r="A364" s="60" t="s">
        <v>948</v>
      </c>
      <c r="B364" s="59">
        <v>100</v>
      </c>
      <c r="C364" s="59">
        <f>B364*119/100</f>
        <v>119</v>
      </c>
      <c r="D364" s="59">
        <f>B364*21.5/100</f>
        <v>21.5</v>
      </c>
      <c r="E364" s="59">
        <f>B364*3/100</f>
        <v>3</v>
      </c>
      <c r="F364" s="59">
        <f>B364*1.1/100</f>
        <v>1.1000000000000001</v>
      </c>
      <c r="G364" s="59">
        <f>B364*1.3/100</f>
        <v>1.3</v>
      </c>
      <c r="H364" s="59" t="s">
        <v>455</v>
      </c>
      <c r="I364" s="59" t="s">
        <v>455</v>
      </c>
      <c r="J364" s="59">
        <f>B364*0.01/100</f>
        <v>0.01</v>
      </c>
      <c r="K364" s="59">
        <f>B364*59/100</f>
        <v>59</v>
      </c>
      <c r="L364" s="59">
        <v>0</v>
      </c>
      <c r="M364" s="59" t="s">
        <v>454</v>
      </c>
      <c r="N364" s="59">
        <f>B364*7/100</f>
        <v>7</v>
      </c>
      <c r="O364" s="59">
        <f>B364*31/100</f>
        <v>31</v>
      </c>
      <c r="P364" s="59">
        <f>B364*0.01/100</f>
        <v>0.01</v>
      </c>
      <c r="Q364" s="59">
        <f>B364*222/100</f>
        <v>222</v>
      </c>
      <c r="R364" s="59">
        <f>B364*0.4/100</f>
        <v>0.4</v>
      </c>
      <c r="S364" s="59">
        <f>B364*56/100</f>
        <v>56</v>
      </c>
      <c r="T364" s="59">
        <f>B364*267/100</f>
        <v>267</v>
      </c>
      <c r="U364" s="59">
        <f>B364*0.03/100</f>
        <v>0.03</v>
      </c>
      <c r="V364" s="59">
        <f>B364*0.7/100</f>
        <v>0.7</v>
      </c>
      <c r="W364" s="59">
        <f>B364*2/100</f>
        <v>2</v>
      </c>
      <c r="X364" s="59">
        <f>B364*0.1/100</f>
        <v>0.1</v>
      </c>
      <c r="Y364" s="59" t="s">
        <v>455</v>
      </c>
      <c r="Z364" s="59" t="s">
        <v>455</v>
      </c>
      <c r="AA364" s="59" t="s">
        <v>23</v>
      </c>
      <c r="AB364" s="59"/>
      <c r="AC364" s="34"/>
    </row>
    <row r="365" spans="1:29" s="55" customFormat="1">
      <c r="A365" s="60" t="s">
        <v>763</v>
      </c>
      <c r="B365" s="59">
        <v>100</v>
      </c>
      <c r="C365" s="59">
        <f>B365*159/100</f>
        <v>159</v>
      </c>
      <c r="D365" s="59">
        <f>B365*32/100</f>
        <v>32</v>
      </c>
      <c r="E365" s="59">
        <f>B365*2.5/100</f>
        <v>2.5</v>
      </c>
      <c r="F365" s="59">
        <f>B365*0.9/100</f>
        <v>0.9</v>
      </c>
      <c r="G365" s="59">
        <f>B365*0.9/100</f>
        <v>0.9</v>
      </c>
      <c r="H365" s="59">
        <f>B365*0.3/100</f>
        <v>0.3</v>
      </c>
      <c r="I365" s="59">
        <f>B365*0.31/100</f>
        <v>0.31</v>
      </c>
      <c r="J365" s="59">
        <f>B365*0.01/100</f>
        <v>0.01</v>
      </c>
      <c r="K365" s="59">
        <f>B365*89/100</f>
        <v>89</v>
      </c>
      <c r="L365" s="59">
        <v>0</v>
      </c>
      <c r="M365" s="59" t="s">
        <v>454</v>
      </c>
      <c r="N365" s="59">
        <f>B365*5/100</f>
        <v>5</v>
      </c>
      <c r="O365" s="59">
        <f>B365*18/100</f>
        <v>18</v>
      </c>
      <c r="P365" s="59" t="s">
        <v>455</v>
      </c>
      <c r="Q365" s="59">
        <f>B365*295/100</f>
        <v>295</v>
      </c>
      <c r="R365" s="59">
        <f>B365*0.3/100</f>
        <v>0.3</v>
      </c>
      <c r="S365" s="59">
        <f>B365*50/100</f>
        <v>50</v>
      </c>
      <c r="T365" s="59">
        <f>B365*387/100</f>
        <v>387</v>
      </c>
      <c r="U365" s="59">
        <f>B365*0.02/100</f>
        <v>0.02</v>
      </c>
      <c r="V365" s="59">
        <f>B365*0.8/100</f>
        <v>0.8</v>
      </c>
      <c r="W365" s="59" t="s">
        <v>455</v>
      </c>
      <c r="X365" s="59">
        <f>B365*0.11/100</f>
        <v>0.11</v>
      </c>
      <c r="Y365" s="59" t="s">
        <v>455</v>
      </c>
      <c r="Z365" s="59" t="s">
        <v>455</v>
      </c>
      <c r="AA365" s="59">
        <f>B365*24.83/100</f>
        <v>24.83</v>
      </c>
      <c r="AB365" s="59"/>
      <c r="AC365" s="34"/>
    </row>
    <row r="366" spans="1:29" s="55" customFormat="1">
      <c r="A366" s="60" t="s">
        <v>764</v>
      </c>
      <c r="B366" s="59">
        <v>100</v>
      </c>
      <c r="C366" s="59">
        <f>B366*260/100</f>
        <v>260</v>
      </c>
      <c r="D366" s="59">
        <f>B366*28.7/100</f>
        <v>28.7</v>
      </c>
      <c r="E366" s="59">
        <f>B366*15.2/100</f>
        <v>15.2</v>
      </c>
      <c r="F366" s="59">
        <f>B366*4.2/100</f>
        <v>4.2</v>
      </c>
      <c r="G366" s="59">
        <f>B366*5.4/100</f>
        <v>5.4</v>
      </c>
      <c r="H366" s="59">
        <f>B366*3.9/100</f>
        <v>3.9</v>
      </c>
      <c r="I366" s="59">
        <f>B366*3.64/100</f>
        <v>3.64</v>
      </c>
      <c r="J366" s="59">
        <f>B366*0.21/100</f>
        <v>0.21</v>
      </c>
      <c r="K366" s="59">
        <f>B366*158/100</f>
        <v>158</v>
      </c>
      <c r="L366" s="59">
        <v>0</v>
      </c>
      <c r="M366" s="59" t="s">
        <v>454</v>
      </c>
      <c r="N366" s="59">
        <f>B366*11/100</f>
        <v>11</v>
      </c>
      <c r="O366" s="59">
        <f>B366*15/100</f>
        <v>15</v>
      </c>
      <c r="P366" s="59" t="s">
        <v>455</v>
      </c>
      <c r="Q366" s="59">
        <f>B366*252/100</f>
        <v>252</v>
      </c>
      <c r="R366" s="59">
        <f>B366*1.2/100</f>
        <v>1.2</v>
      </c>
      <c r="S366" s="59">
        <f>B366*96/100</f>
        <v>96</v>
      </c>
      <c r="T366" s="59">
        <f>B366*323/100</f>
        <v>323</v>
      </c>
      <c r="U366" s="59">
        <f>B366*0.06/100</f>
        <v>0.06</v>
      </c>
      <c r="V366" s="59">
        <f>B366*2.2/100</f>
        <v>2.2000000000000002</v>
      </c>
      <c r="W366" s="59">
        <f>B366*8/100</f>
        <v>8</v>
      </c>
      <c r="X366" s="59">
        <f>B366*0.1/100</f>
        <v>0.1</v>
      </c>
      <c r="Y366" s="59">
        <f>B366*0.05/100</f>
        <v>0.05</v>
      </c>
      <c r="Z366" s="59" t="s">
        <v>455</v>
      </c>
      <c r="AA366" s="59">
        <f>B366*11.2/100</f>
        <v>11.2</v>
      </c>
      <c r="AB366" s="59"/>
      <c r="AC366" s="34"/>
    </row>
    <row r="367" spans="1:29" s="55" customFormat="1">
      <c r="A367" s="60" t="s">
        <v>765</v>
      </c>
      <c r="B367" s="59">
        <v>100</v>
      </c>
      <c r="C367" s="59">
        <f>B367*255/100</f>
        <v>255</v>
      </c>
      <c r="D367" s="59">
        <f>B367*15.5/100</f>
        <v>15.5</v>
      </c>
      <c r="E367" s="59">
        <f>B367*20.9/100</f>
        <v>20.9</v>
      </c>
      <c r="F367" s="59">
        <f>B367*6.5/100</f>
        <v>6.5</v>
      </c>
      <c r="G367" s="59">
        <f>B367*9.6/100</f>
        <v>9.6</v>
      </c>
      <c r="H367" s="59">
        <f>B367*3.6/100</f>
        <v>3.6</v>
      </c>
      <c r="I367" s="59">
        <f>B367*3.41/100</f>
        <v>3.41</v>
      </c>
      <c r="J367" s="59">
        <f>B367*0.12/100</f>
        <v>0.12</v>
      </c>
      <c r="K367" s="59">
        <f>B367*88/100</f>
        <v>88</v>
      </c>
      <c r="L367" s="59">
        <v>0</v>
      </c>
      <c r="M367" s="59" t="s">
        <v>454</v>
      </c>
      <c r="N367" s="59">
        <f>B367*7/100</f>
        <v>7</v>
      </c>
      <c r="O367" s="59">
        <f>B367*22/100</f>
        <v>22</v>
      </c>
      <c r="P367" s="59">
        <f>B367*0.01/100</f>
        <v>0.01</v>
      </c>
      <c r="Q367" s="59">
        <f>B367*154/100</f>
        <v>154</v>
      </c>
      <c r="R367" s="59">
        <f>B367*0.7/100</f>
        <v>0.7</v>
      </c>
      <c r="S367" s="59">
        <f>B367*68/100</f>
        <v>68</v>
      </c>
      <c r="T367" s="59">
        <f>B367*190/100</f>
        <v>190</v>
      </c>
      <c r="U367" s="59">
        <f>B367*0.05/100</f>
        <v>0.05</v>
      </c>
      <c r="V367" s="59">
        <f>B367*1.3/100</f>
        <v>1.3</v>
      </c>
      <c r="W367" s="59">
        <f>B367*7/100</f>
        <v>7</v>
      </c>
      <c r="X367" s="59">
        <f>B367*0.09/100</f>
        <v>0.09</v>
      </c>
      <c r="Y367" s="59">
        <f>B367*0.06/100</f>
        <v>0.06</v>
      </c>
      <c r="Z367" s="59" t="s">
        <v>455</v>
      </c>
      <c r="AA367" s="59" t="s">
        <v>23</v>
      </c>
      <c r="AB367" s="59"/>
      <c r="AC367" s="34"/>
    </row>
    <row r="368" spans="1:29" s="55" customFormat="1">
      <c r="A368" s="60" t="s">
        <v>766</v>
      </c>
      <c r="B368" s="59">
        <v>100</v>
      </c>
      <c r="C368" s="59">
        <f>B368*233/100</f>
        <v>233</v>
      </c>
      <c r="D368" s="59">
        <f>B368*29.2/100</f>
        <v>29.2</v>
      </c>
      <c r="E368" s="59">
        <f>B368*12/100</f>
        <v>12</v>
      </c>
      <c r="F368" s="59">
        <f>B368*3.3/100</f>
        <v>3.3</v>
      </c>
      <c r="G368" s="59">
        <f>B368*4.2/100</f>
        <v>4.2</v>
      </c>
      <c r="H368" s="59">
        <f>B368*3.1/100</f>
        <v>3.1</v>
      </c>
      <c r="I368" s="59">
        <f>B368*2.86/100</f>
        <v>2.86</v>
      </c>
      <c r="J368" s="59">
        <f>B368*0.17/100</f>
        <v>0.17</v>
      </c>
      <c r="K368" s="59">
        <f>B368*145/100</f>
        <v>145</v>
      </c>
      <c r="L368" s="59">
        <v>0</v>
      </c>
      <c r="M368" s="59" t="s">
        <v>454</v>
      </c>
      <c r="N368" s="59">
        <f>B368*12/100</f>
        <v>12</v>
      </c>
      <c r="O368" s="59">
        <f>B368*17/100</f>
        <v>17</v>
      </c>
      <c r="P368" s="59" t="s">
        <v>455</v>
      </c>
      <c r="Q368" s="59">
        <f>B368*281/100</f>
        <v>281</v>
      </c>
      <c r="R368" s="59">
        <f>B368*1.2/100</f>
        <v>1.2</v>
      </c>
      <c r="S368" s="59">
        <f>B368*106/100</f>
        <v>106</v>
      </c>
      <c r="T368" s="59">
        <f>B368*382/100</f>
        <v>382</v>
      </c>
      <c r="U368" s="59">
        <f>B368*0.07/100</f>
        <v>7.0000000000000007E-2</v>
      </c>
      <c r="V368" s="59">
        <f>B368*2.2/100</f>
        <v>2.2000000000000002</v>
      </c>
      <c r="W368" s="59">
        <f>B368*11/100</f>
        <v>11</v>
      </c>
      <c r="X368" s="59">
        <f>B368*0.1/100</f>
        <v>0.1</v>
      </c>
      <c r="Y368" s="59">
        <f>B368*0.05/100</f>
        <v>0.05</v>
      </c>
      <c r="Z368" s="59" t="s">
        <v>455</v>
      </c>
      <c r="AA368" s="59">
        <f>B368*10.2/100</f>
        <v>10.199999999999999</v>
      </c>
      <c r="AB368" s="59"/>
      <c r="AC368" s="34"/>
    </row>
    <row r="369" spans="1:29" s="55" customFormat="1">
      <c r="A369" s="60" t="s">
        <v>767</v>
      </c>
      <c r="B369" s="59">
        <v>100</v>
      </c>
      <c r="C369" s="59">
        <f>B369*162/100</f>
        <v>162</v>
      </c>
      <c r="D369" s="59">
        <f>B369*17.6/100</f>
        <v>17.600000000000001</v>
      </c>
      <c r="E369" s="59">
        <f>B369*9.6/100</f>
        <v>9.6</v>
      </c>
      <c r="F369" s="59">
        <f>B369*3/100</f>
        <v>3</v>
      </c>
      <c r="G369" s="59">
        <f>B369*4.5/100</f>
        <v>4.5</v>
      </c>
      <c r="H369" s="59">
        <f>B369*1.6/100</f>
        <v>1.6</v>
      </c>
      <c r="I369" s="59">
        <f>B369*1.45/100</f>
        <v>1.45</v>
      </c>
      <c r="J369" s="59">
        <f>B369*0.04/100</f>
        <v>0.04</v>
      </c>
      <c r="K369" s="59">
        <f>B369*84/100</f>
        <v>84</v>
      </c>
      <c r="L369" s="59">
        <v>0</v>
      </c>
      <c r="M369" s="59" t="s">
        <v>454</v>
      </c>
      <c r="N369" s="59">
        <f>B369*6/100</f>
        <v>6</v>
      </c>
      <c r="O369" s="59">
        <f>B369*26/100</f>
        <v>26</v>
      </c>
      <c r="P369" s="59">
        <f>B369*0.02/100</f>
        <v>0.02</v>
      </c>
      <c r="Q369" s="59">
        <f>B369*187/100</f>
        <v>187</v>
      </c>
      <c r="R369" s="59">
        <f>B369*0.9/100</f>
        <v>0.9</v>
      </c>
      <c r="S369" s="59">
        <f>B369*80/100</f>
        <v>80</v>
      </c>
      <c r="T369" s="59">
        <f>B369*241/100</f>
        <v>241</v>
      </c>
      <c r="U369" s="59">
        <f>B369*0.06/100</f>
        <v>0.06</v>
      </c>
      <c r="V369" s="59">
        <f>B369*1.7/100</f>
        <v>1.7</v>
      </c>
      <c r="W369" s="59">
        <f>B369*4/100</f>
        <v>4</v>
      </c>
      <c r="X369" s="59">
        <f>B369*0.12/100</f>
        <v>0.12</v>
      </c>
      <c r="Y369" s="59">
        <f>B369*0.06/100</f>
        <v>0.06</v>
      </c>
      <c r="Z369" s="59" t="s">
        <v>455</v>
      </c>
      <c r="AA369" s="59" t="s">
        <v>23</v>
      </c>
      <c r="AB369" s="59"/>
      <c r="AC369" s="34"/>
    </row>
    <row r="370" spans="1:29" s="55" customFormat="1">
      <c r="A370" s="71" t="s">
        <v>768</v>
      </c>
      <c r="B370" s="72">
        <v>100</v>
      </c>
      <c r="C370" s="72">
        <f>B370*215/100</f>
        <v>215</v>
      </c>
      <c r="D370" s="72">
        <f>B370*13.2/100</f>
        <v>13.2</v>
      </c>
      <c r="E370" s="72">
        <f>B370*16.2/100</f>
        <v>16.2</v>
      </c>
      <c r="F370" s="72">
        <f>B370*5.7/100</f>
        <v>5.7</v>
      </c>
      <c r="G370" s="72">
        <f>B370*5.8/100</f>
        <v>5.8</v>
      </c>
      <c r="H370" s="72">
        <f>B370*0.8/100</f>
        <v>0.8</v>
      </c>
      <c r="I370" s="72">
        <f>B370*0.68/100</f>
        <v>0.68</v>
      </c>
      <c r="J370" s="72">
        <f>B370*0.08/100</f>
        <v>0.08</v>
      </c>
      <c r="K370" s="72">
        <f>B370*70/100</f>
        <v>70</v>
      </c>
      <c r="L370" s="72">
        <v>4.2</v>
      </c>
      <c r="M370" s="72">
        <f>B370*2.3/100</f>
        <v>2.2999999999999998</v>
      </c>
      <c r="N370" s="72">
        <f>B370*34/100</f>
        <v>34</v>
      </c>
      <c r="O370" s="72">
        <f>B370*25/100</f>
        <v>25</v>
      </c>
      <c r="P370" s="72">
        <f>B370*0.05/100</f>
        <v>0.05</v>
      </c>
      <c r="Q370" s="72">
        <f>B370*141/100</f>
        <v>141</v>
      </c>
      <c r="R370" s="72">
        <f>B370*1.9/100</f>
        <v>1.9</v>
      </c>
      <c r="S370" s="72">
        <f>B370*869/100</f>
        <v>869</v>
      </c>
      <c r="T370" s="72">
        <f>B370*383/100</f>
        <v>383</v>
      </c>
      <c r="U370" s="72">
        <f>B370*0.016/100</f>
        <v>1.6E-2</v>
      </c>
      <c r="V370" s="72">
        <f>B370*1.7/100</f>
        <v>1.7</v>
      </c>
      <c r="W370" s="72" t="s">
        <v>455</v>
      </c>
      <c r="X370" s="72">
        <f>B370*0.06/100</f>
        <v>0.06</v>
      </c>
      <c r="Y370" s="72">
        <f>B370*0.08/100</f>
        <v>0.08</v>
      </c>
      <c r="Z370" s="72">
        <f>B370*0.04/100</f>
        <v>0.04</v>
      </c>
      <c r="AA370" s="72">
        <f>B370*3.53/100</f>
        <v>3.53</v>
      </c>
      <c r="AB370" s="72"/>
      <c r="AC370" s="34"/>
    </row>
    <row r="371" spans="1:29" s="55" customFormat="1">
      <c r="A371" s="71" t="s">
        <v>769</v>
      </c>
      <c r="B371" s="72">
        <v>100</v>
      </c>
      <c r="C371" s="72">
        <f>B371*258/100</f>
        <v>258</v>
      </c>
      <c r="D371" s="72">
        <f>B371*20/100</f>
        <v>20</v>
      </c>
      <c r="E371" s="72">
        <f>B371*17/100</f>
        <v>17</v>
      </c>
      <c r="F371" s="72">
        <f>B371*5.9/100</f>
        <v>5.9</v>
      </c>
      <c r="G371" s="72">
        <f>B371*6/100</f>
        <v>6</v>
      </c>
      <c r="H371" s="72">
        <f>B371*3.7/100</f>
        <v>3.7</v>
      </c>
      <c r="I371" s="72">
        <f>B371*3.28/100</f>
        <v>3.28</v>
      </c>
      <c r="J371" s="72">
        <f>B371*0.29/100</f>
        <v>0.28999999999999998</v>
      </c>
      <c r="K371" s="59">
        <f>B371*49/100</f>
        <v>49</v>
      </c>
      <c r="L371" s="59">
        <f>B371*6.3/100</f>
        <v>6.3</v>
      </c>
      <c r="M371" s="72">
        <f>B371*3/100</f>
        <v>3</v>
      </c>
      <c r="N371" s="72">
        <f>B371*62/100</f>
        <v>62</v>
      </c>
      <c r="O371" s="59">
        <f>B371*60/100</f>
        <v>60</v>
      </c>
      <c r="P371" s="59">
        <f>B371*0.52/100</f>
        <v>0.52</v>
      </c>
      <c r="Q371" s="59">
        <f>B371*324/100</f>
        <v>324</v>
      </c>
      <c r="R371" s="59">
        <f>B371*3/100</f>
        <v>3</v>
      </c>
      <c r="S371" s="59">
        <f>B371*1252/100</f>
        <v>1252</v>
      </c>
      <c r="T371" s="59">
        <f>B371*660/100</f>
        <v>660</v>
      </c>
      <c r="U371" s="59">
        <f>B371*0.17/100</f>
        <v>0.17</v>
      </c>
      <c r="V371" s="59">
        <f>B371*3.2/100</f>
        <v>3.2</v>
      </c>
      <c r="W371" s="72" t="s">
        <v>455</v>
      </c>
      <c r="X371" s="59">
        <f>B371*0.13/100</f>
        <v>0.13</v>
      </c>
      <c r="Y371" s="59">
        <f>B371*0.06/100</f>
        <v>0.06</v>
      </c>
      <c r="Z371" s="72" t="s">
        <v>455</v>
      </c>
      <c r="AA371" s="59">
        <f>B371*2.73/100</f>
        <v>2.73</v>
      </c>
      <c r="AB371" s="72"/>
      <c r="AC371" s="34"/>
    </row>
    <row r="372" spans="1:29" s="55" customFormat="1">
      <c r="A372" s="71" t="s">
        <v>770</v>
      </c>
      <c r="B372" s="72">
        <v>100</v>
      </c>
      <c r="C372" s="72">
        <f>B372*210/100</f>
        <v>210</v>
      </c>
      <c r="D372" s="72">
        <f>B372*13.2/100</f>
        <v>13.2</v>
      </c>
      <c r="E372" s="72">
        <f>B372*12.4/100</f>
        <v>12.4</v>
      </c>
      <c r="F372" s="72">
        <f>B372*5.1/100</f>
        <v>5.0999999999999996</v>
      </c>
      <c r="G372" s="72">
        <f>B372*4.8/100</f>
        <v>4.8</v>
      </c>
      <c r="H372" s="72">
        <f>B372*1.2/100</f>
        <v>1.2</v>
      </c>
      <c r="I372" s="72">
        <f>B372*1.08/100</f>
        <v>1.08</v>
      </c>
      <c r="J372" s="72">
        <f>B372*0.1/100</f>
        <v>0.1</v>
      </c>
      <c r="K372" s="59">
        <f>B372*59/100</f>
        <v>59</v>
      </c>
      <c r="L372" s="59">
        <f>B372*11.3/100</f>
        <v>11.3</v>
      </c>
      <c r="M372" s="72">
        <f>B372*2.9/100</f>
        <v>2.9</v>
      </c>
      <c r="N372" s="72">
        <f>B372*56/100</f>
        <v>56</v>
      </c>
      <c r="O372" s="59">
        <f>B372*48/100</f>
        <v>48</v>
      </c>
      <c r="P372" s="59">
        <f>B372*0.4/100</f>
        <v>0.4</v>
      </c>
      <c r="Q372" s="59">
        <f>B372*263/100</f>
        <v>263</v>
      </c>
      <c r="R372" s="59">
        <f>B372*2.6/100</f>
        <v>2.6</v>
      </c>
      <c r="S372" s="59">
        <f>B372*1090/100</f>
        <v>1090</v>
      </c>
      <c r="T372" s="59">
        <f>B372*538/100</f>
        <v>538</v>
      </c>
      <c r="U372" s="59">
        <f>B372*0.18/100</f>
        <v>0.18</v>
      </c>
      <c r="V372" s="59">
        <f>B372*3/100</f>
        <v>3</v>
      </c>
      <c r="W372" s="72" t="s">
        <v>455</v>
      </c>
      <c r="X372" s="59">
        <f>B372*0.18/100</f>
        <v>0.18</v>
      </c>
      <c r="Y372" s="59">
        <f>B372*0.06/100</f>
        <v>0.06</v>
      </c>
      <c r="Z372" s="72" t="s">
        <v>455</v>
      </c>
      <c r="AA372" s="59">
        <f>B372*5.77/100</f>
        <v>5.77</v>
      </c>
      <c r="AB372" s="72"/>
      <c r="AC372" s="34"/>
    </row>
    <row r="373" spans="1:29" s="55" customFormat="1">
      <c r="A373" s="60" t="s">
        <v>771</v>
      </c>
      <c r="B373" s="59">
        <v>100</v>
      </c>
      <c r="C373" s="72">
        <f>B373*218/100</f>
        <v>218</v>
      </c>
      <c r="D373" s="59">
        <f>B373*14.2/100</f>
        <v>14.2</v>
      </c>
      <c r="E373" s="59">
        <f>B373*17.4/100</f>
        <v>17.399999999999999</v>
      </c>
      <c r="F373" s="59">
        <f>B373*5.2/100</f>
        <v>5.2</v>
      </c>
      <c r="G373" s="59">
        <f>B373*7.3/100</f>
        <v>7.3</v>
      </c>
      <c r="H373" s="59">
        <f>B373*3.5/100</f>
        <v>3.5</v>
      </c>
      <c r="I373" s="59">
        <f>B373*3.08/100</f>
        <v>3.08</v>
      </c>
      <c r="J373" s="59">
        <f>B373*0.17/100</f>
        <v>0.17</v>
      </c>
      <c r="K373" s="59">
        <f>B373*64/100</f>
        <v>64</v>
      </c>
      <c r="L373" s="59">
        <v>0</v>
      </c>
      <c r="M373" s="59">
        <v>0</v>
      </c>
      <c r="N373" s="59">
        <f>B373*11/100</f>
        <v>11</v>
      </c>
      <c r="O373" s="59">
        <f>B373*19/100</f>
        <v>19</v>
      </c>
      <c r="P373" s="59">
        <f>B373*0.05/100</f>
        <v>0.05</v>
      </c>
      <c r="Q373" s="59">
        <f>B373*182/100</f>
        <v>182</v>
      </c>
      <c r="R373" s="59">
        <f>B373*0.5/100</f>
        <v>0.5</v>
      </c>
      <c r="S373" s="59">
        <f>B373*1126/100</f>
        <v>1126</v>
      </c>
      <c r="T373" s="59">
        <f>B373*280/100</f>
        <v>280</v>
      </c>
      <c r="U373" s="59">
        <f>B373*0.05/100</f>
        <v>0.05</v>
      </c>
      <c r="V373" s="59">
        <f>B373*0.7/100</f>
        <v>0.7</v>
      </c>
      <c r="W373" s="59" t="s">
        <v>455</v>
      </c>
      <c r="X373" s="59">
        <f>B373*0.11/100</f>
        <v>0.11</v>
      </c>
      <c r="Y373" s="59">
        <f>B373*0.05/100</f>
        <v>0.05</v>
      </c>
      <c r="Z373" s="59" t="s">
        <v>455</v>
      </c>
      <c r="AA373" s="59">
        <f>B373*4.6/100</f>
        <v>4.5999999999999996</v>
      </c>
      <c r="AB373" s="59"/>
      <c r="AC373" s="34"/>
    </row>
    <row r="374" spans="1:29" s="55" customFormat="1">
      <c r="A374" s="60" t="s">
        <v>772</v>
      </c>
      <c r="B374" s="59">
        <v>100</v>
      </c>
      <c r="C374" s="59">
        <f>B374*245/100</f>
        <v>245</v>
      </c>
      <c r="D374" s="59">
        <f>B374*18.3/100</f>
        <v>18.3</v>
      </c>
      <c r="E374" s="59">
        <f>B374*18.5/100</f>
        <v>18.5</v>
      </c>
      <c r="F374" s="59">
        <f>B374*5/100</f>
        <v>5</v>
      </c>
      <c r="G374" s="59">
        <f>B374*7.2/100</f>
        <v>7.2</v>
      </c>
      <c r="H374" s="59">
        <f>B374*4.3/100</f>
        <v>4.3</v>
      </c>
      <c r="I374" s="59">
        <f>B374*3.85/100</f>
        <v>3.85</v>
      </c>
      <c r="J374" s="59">
        <f>B374*0.25/100</f>
        <v>0.25</v>
      </c>
      <c r="K374" s="59">
        <f>B374*76/100</f>
        <v>76</v>
      </c>
      <c r="L374" s="59">
        <v>0</v>
      </c>
      <c r="M374" s="59" t="s">
        <v>454</v>
      </c>
      <c r="N374" s="59">
        <f>B374*15/100</f>
        <v>15</v>
      </c>
      <c r="O374" s="59">
        <f>B374*29/100</f>
        <v>29</v>
      </c>
      <c r="P374" s="59">
        <f>B374*0.1/100</f>
        <v>0.1</v>
      </c>
      <c r="Q374" s="59">
        <f>B374*262/100</f>
        <v>262</v>
      </c>
      <c r="R374" s="59">
        <f>B374*0.8/100</f>
        <v>0.8</v>
      </c>
      <c r="S374" s="59">
        <f>B374*1374/100</f>
        <v>1374</v>
      </c>
      <c r="T374" s="59">
        <f>B374*364/100</f>
        <v>364</v>
      </c>
      <c r="U374" s="59">
        <f>B374*0.04/100</f>
        <v>0.04</v>
      </c>
      <c r="V374" s="59">
        <f>B374*1.2/100</f>
        <v>1.2</v>
      </c>
      <c r="W374" s="59" t="s">
        <v>455</v>
      </c>
      <c r="X374" s="59">
        <f>B374*0.11/100</f>
        <v>0.11</v>
      </c>
      <c r="Y374" s="59">
        <f>B374*0.05/100</f>
        <v>0.05</v>
      </c>
      <c r="Z374" s="59" t="s">
        <v>455</v>
      </c>
      <c r="AA374" s="59">
        <f>B374*5.67/100</f>
        <v>5.67</v>
      </c>
      <c r="AB374" s="59"/>
      <c r="AC374" s="34"/>
    </row>
    <row r="375" spans="1:29" s="55" customFormat="1">
      <c r="A375" s="60" t="s">
        <v>773</v>
      </c>
      <c r="B375" s="59">
        <v>100</v>
      </c>
      <c r="C375" s="59">
        <f>B375*244/100</f>
        <v>244</v>
      </c>
      <c r="D375" s="59">
        <f>B375*18.2/100</f>
        <v>18.2</v>
      </c>
      <c r="E375" s="59">
        <f>B375*18.4/100</f>
        <v>18.399999999999999</v>
      </c>
      <c r="F375" s="59">
        <f>B375*4.7/100</f>
        <v>4.7</v>
      </c>
      <c r="G375" s="59">
        <f>B375*6.8/100</f>
        <v>6.8</v>
      </c>
      <c r="H375" s="59">
        <f>B375*3.4/100</f>
        <v>3.4</v>
      </c>
      <c r="I375" s="59">
        <f>B375*3/100</f>
        <v>3</v>
      </c>
      <c r="J375" s="59">
        <f>B375*0.17/100</f>
        <v>0.17</v>
      </c>
      <c r="K375" s="59">
        <f>B375*80/100</f>
        <v>80</v>
      </c>
      <c r="L375" s="59">
        <v>0</v>
      </c>
      <c r="M375" s="59" t="s">
        <v>454</v>
      </c>
      <c r="N375" s="59">
        <f>B375*14/100</f>
        <v>14</v>
      </c>
      <c r="O375" s="59">
        <f>B375*21/100</f>
        <v>21</v>
      </c>
      <c r="P375" s="59">
        <f>B375*0.1/100</f>
        <v>0.1</v>
      </c>
      <c r="Q375" s="59">
        <f>B375*228/100</f>
        <v>228</v>
      </c>
      <c r="R375" s="59">
        <f>B375*0.7/100</f>
        <v>0.7</v>
      </c>
      <c r="S375" s="59">
        <f>B375*1351/100</f>
        <v>1351</v>
      </c>
      <c r="T375" s="59">
        <f>B375*356/100</f>
        <v>356</v>
      </c>
      <c r="U375" s="59">
        <f>B375*0.09/100</f>
        <v>0.09</v>
      </c>
      <c r="V375" s="59">
        <f>B375*1/100</f>
        <v>1</v>
      </c>
      <c r="W375" s="59" t="s">
        <v>455</v>
      </c>
      <c r="X375" s="59">
        <f>B375*0.12/100</f>
        <v>0.12</v>
      </c>
      <c r="Y375" s="59">
        <f>B375*0.04/100</f>
        <v>0.04</v>
      </c>
      <c r="Z375" s="59" t="s">
        <v>455</v>
      </c>
      <c r="AA375" s="59">
        <f>B375*5.97/100</f>
        <v>5.97</v>
      </c>
      <c r="AB375" s="59"/>
      <c r="AC375" s="34"/>
    </row>
    <row r="376" spans="1:29" s="55" customFormat="1">
      <c r="A376" s="60" t="s">
        <v>774</v>
      </c>
      <c r="B376" s="59">
        <v>100</v>
      </c>
      <c r="C376" s="59">
        <f>B376*227/100</f>
        <v>227</v>
      </c>
      <c r="D376" s="59">
        <f>B376*16.1/100</f>
        <v>16.100000000000001</v>
      </c>
      <c r="E376" s="59">
        <f>B376*17.6/100</f>
        <v>17.600000000000001</v>
      </c>
      <c r="F376" s="59">
        <f>B376*4/100</f>
        <v>4</v>
      </c>
      <c r="G376" s="59">
        <f>B376*5/100</f>
        <v>5</v>
      </c>
      <c r="H376" s="59">
        <f>B376*1.7/100</f>
        <v>1.7</v>
      </c>
      <c r="I376" s="59">
        <f>B376*1.48/100</f>
        <v>1.48</v>
      </c>
      <c r="J376" s="59">
        <f>B376*0.05/100</f>
        <v>0.05</v>
      </c>
      <c r="K376" s="59">
        <f>B376*53/100</f>
        <v>53</v>
      </c>
      <c r="L376" s="59">
        <v>0</v>
      </c>
      <c r="M376" s="59" t="s">
        <v>454</v>
      </c>
      <c r="N376" s="59">
        <f>B376*6/100</f>
        <v>6</v>
      </c>
      <c r="O376" s="59">
        <f>B376*14/100</f>
        <v>14</v>
      </c>
      <c r="P376" s="59">
        <f>B376*0.01/100</f>
        <v>0.01</v>
      </c>
      <c r="Q376" s="59">
        <f>B376*157/100</f>
        <v>157</v>
      </c>
      <c r="R376" s="59">
        <f>B376*0.4/100</f>
        <v>0.4</v>
      </c>
      <c r="S376" s="59">
        <f>B376*1176/100</f>
        <v>1176</v>
      </c>
      <c r="T376" s="59">
        <f>B376*316/100</f>
        <v>316</v>
      </c>
      <c r="U376" s="59">
        <f>B376*0.04/100</f>
        <v>0.04</v>
      </c>
      <c r="V376" s="59">
        <f>B376*1.4/100</f>
        <v>1.4</v>
      </c>
      <c r="W376" s="59" t="s">
        <v>455</v>
      </c>
      <c r="X376" s="59">
        <f>B376*0.49/100</f>
        <v>0.49</v>
      </c>
      <c r="Y376" s="59">
        <f>B376*0.05/100</f>
        <v>0.05</v>
      </c>
      <c r="Z376" s="59" t="s">
        <v>455</v>
      </c>
      <c r="AA376" s="59">
        <f>B376*2.6/100</f>
        <v>2.6</v>
      </c>
      <c r="AB376" s="59"/>
      <c r="AC376" s="34"/>
    </row>
    <row r="377" spans="1:29" s="55" customFormat="1">
      <c r="A377" s="60" t="s">
        <v>775</v>
      </c>
      <c r="B377" s="59">
        <v>100</v>
      </c>
      <c r="C377" s="59">
        <f>B377*280/100</f>
        <v>280</v>
      </c>
      <c r="D377" s="59">
        <f>B377*20.5/100</f>
        <v>20.5</v>
      </c>
      <c r="E377" s="59">
        <f>B377*21.3/100</f>
        <v>21.3</v>
      </c>
      <c r="F377" s="59">
        <f>B377*6.5/100</f>
        <v>6.5</v>
      </c>
      <c r="G377" s="59">
        <f>B377*8.2/100</f>
        <v>8.1999999999999993</v>
      </c>
      <c r="H377" s="59">
        <f>B377*2.7/100</f>
        <v>2.7</v>
      </c>
      <c r="I377" s="59">
        <f>B377*2.43/100</f>
        <v>2.4300000000000002</v>
      </c>
      <c r="J377" s="59">
        <f>B377*0.11/100</f>
        <v>0.11</v>
      </c>
      <c r="K377" s="59">
        <f>B377*75/100</f>
        <v>75</v>
      </c>
      <c r="L377" s="59">
        <v>0</v>
      </c>
      <c r="M377" s="59" t="s">
        <v>454</v>
      </c>
      <c r="N377" s="59">
        <f>B377*8/100</f>
        <v>8</v>
      </c>
      <c r="O377" s="59">
        <f>B377*18/100</f>
        <v>18</v>
      </c>
      <c r="P377" s="59">
        <f>B377*0.01/100</f>
        <v>0.01</v>
      </c>
      <c r="Q377" s="59">
        <f>B377*211/100</f>
        <v>211</v>
      </c>
      <c r="R377" s="59">
        <f>B377*0.9/100</f>
        <v>0.9</v>
      </c>
      <c r="S377" s="59">
        <f>B377*1432/100</f>
        <v>1432</v>
      </c>
      <c r="T377" s="59">
        <f>B377*409/100</f>
        <v>409</v>
      </c>
      <c r="U377" s="59">
        <f>B377*0.06/100</f>
        <v>0.06</v>
      </c>
      <c r="V377" s="59">
        <f>B377*3.1/100</f>
        <v>3.1</v>
      </c>
      <c r="W377" s="59" t="s">
        <v>455</v>
      </c>
      <c r="X377" s="59">
        <f>B377*0.41/100</f>
        <v>0.41</v>
      </c>
      <c r="Y377" s="59">
        <f>B377*0.07/100</f>
        <v>7.0000000000000007E-2</v>
      </c>
      <c r="Z377" s="59" t="s">
        <v>455</v>
      </c>
      <c r="AA377" s="59">
        <f>B377*5.83/100</f>
        <v>5.83</v>
      </c>
      <c r="AB377" s="59"/>
      <c r="AC377" s="34"/>
    </row>
    <row r="378" spans="1:29" s="55" customFormat="1">
      <c r="A378" s="60" t="s">
        <v>776</v>
      </c>
      <c r="B378" s="59">
        <v>100</v>
      </c>
      <c r="C378" s="59">
        <f>B378*296/100</f>
        <v>296</v>
      </c>
      <c r="D378" s="59">
        <f>B378*23.2/100</f>
        <v>23.2</v>
      </c>
      <c r="E378" s="59">
        <f>B378*21.9/100</f>
        <v>21.9</v>
      </c>
      <c r="F378" s="59">
        <f>B378*7/100</f>
        <v>7</v>
      </c>
      <c r="G378" s="59">
        <f>B378*8.7/100</f>
        <v>8.6999999999999993</v>
      </c>
      <c r="H378" s="59">
        <f>B378*2.6/100</f>
        <v>2.6</v>
      </c>
      <c r="I378" s="59">
        <f>B378*2.35/100</f>
        <v>2.35</v>
      </c>
      <c r="J378" s="59">
        <f>B378*0.1/100</f>
        <v>0.1</v>
      </c>
      <c r="K378" s="59">
        <f>B378*82/100</f>
        <v>82</v>
      </c>
      <c r="L378" s="59">
        <v>0</v>
      </c>
      <c r="M378" s="59" t="s">
        <v>454</v>
      </c>
      <c r="N378" s="59">
        <f>B378*8/100</f>
        <v>8</v>
      </c>
      <c r="O378" s="59">
        <f>B378*19/100</f>
        <v>19</v>
      </c>
      <c r="P378" s="59">
        <f>B378*0.01/100</f>
        <v>0.01</v>
      </c>
      <c r="Q378" s="59">
        <f>B378*210/100</f>
        <v>210</v>
      </c>
      <c r="R378" s="59">
        <f>B378*1/100</f>
        <v>1</v>
      </c>
      <c r="S378" s="59">
        <f>B378*1456/100</f>
        <v>1456</v>
      </c>
      <c r="T378" s="59">
        <f>B378*427/100</f>
        <v>427</v>
      </c>
      <c r="U378" s="59">
        <f>B378*0.07/100</f>
        <v>7.0000000000000007E-2</v>
      </c>
      <c r="V378" s="59">
        <f>B378*3.5/100</f>
        <v>3.5</v>
      </c>
      <c r="W378" s="59" t="s">
        <v>455</v>
      </c>
      <c r="X378" s="59">
        <f>B378*0.4/100</f>
        <v>0.4</v>
      </c>
      <c r="Y378" s="59">
        <f>B378*0.07/100</f>
        <v>7.0000000000000007E-2</v>
      </c>
      <c r="Z378" s="59" t="s">
        <v>455</v>
      </c>
      <c r="AA378" s="59">
        <f>B378*6.6/100</f>
        <v>6.6</v>
      </c>
      <c r="AB378" s="59"/>
      <c r="AC378" s="34"/>
    </row>
    <row r="379" spans="1:29" s="55" customFormat="1">
      <c r="A379" s="60" t="s">
        <v>777</v>
      </c>
      <c r="B379" s="59">
        <v>100</v>
      </c>
      <c r="C379" s="59">
        <f>B379*163/100</f>
        <v>163</v>
      </c>
      <c r="D379" s="59">
        <f>B379*26.2/100</f>
        <v>26.2</v>
      </c>
      <c r="E379" s="59">
        <f>B379*5.7/100</f>
        <v>5.7</v>
      </c>
      <c r="F379" s="59">
        <f>B379*1.6/100</f>
        <v>1.6</v>
      </c>
      <c r="G379" s="59">
        <f>B379*1.2/100</f>
        <v>1.2</v>
      </c>
      <c r="H379" s="59">
        <f>B379*1.4/100</f>
        <v>1.4</v>
      </c>
      <c r="I379" s="59">
        <f>B379*1.41/100</f>
        <v>1.41</v>
      </c>
      <c r="J379" s="59">
        <f>B379*0.03/100</f>
        <v>0.03</v>
      </c>
      <c r="K379" s="59">
        <f>B379*91/100</f>
        <v>91</v>
      </c>
      <c r="L379" s="59">
        <v>0</v>
      </c>
      <c r="M379" s="59" t="s">
        <v>454</v>
      </c>
      <c r="N379" s="59">
        <f>B379*14/100</f>
        <v>14</v>
      </c>
      <c r="O379" s="59">
        <f>B379*12/100</f>
        <v>12</v>
      </c>
      <c r="P379" s="59">
        <f>B379*0.02/100</f>
        <v>0.02</v>
      </c>
      <c r="Q379" s="59">
        <f>B379*197/100</f>
        <v>197</v>
      </c>
      <c r="R379" s="59">
        <f>B379*0.6/100</f>
        <v>0.6</v>
      </c>
      <c r="S379" s="59">
        <f>B379*628/100</f>
        <v>628</v>
      </c>
      <c r="T379" s="59">
        <f>B379*175/100</f>
        <v>175</v>
      </c>
      <c r="U379" s="59">
        <f>B379*0.03/100</f>
        <v>0.03</v>
      </c>
      <c r="V379" s="59">
        <f>B379*1.2/100</f>
        <v>1.2</v>
      </c>
      <c r="W379" s="59" t="s">
        <v>455</v>
      </c>
      <c r="X379" s="59">
        <f>B379*0.06/100</f>
        <v>0.06</v>
      </c>
      <c r="Y379" s="59" t="s">
        <v>455</v>
      </c>
      <c r="Z379" s="59" t="s">
        <v>455</v>
      </c>
      <c r="AA379" s="59">
        <f>B379*6.23/100</f>
        <v>6.23</v>
      </c>
      <c r="AB379" s="59"/>
      <c r="AC379" s="34"/>
    </row>
    <row r="380" spans="1:29" s="55" customFormat="1">
      <c r="A380" s="60" t="s">
        <v>778</v>
      </c>
      <c r="B380" s="59">
        <v>100</v>
      </c>
      <c r="C380" s="59">
        <f>B380*94/100</f>
        <v>94</v>
      </c>
      <c r="D380" s="59">
        <f>B380*18.1/100</f>
        <v>18.100000000000001</v>
      </c>
      <c r="E380" s="59">
        <f>B380*1.8/100</f>
        <v>1.8</v>
      </c>
      <c r="F380" s="59">
        <f>B380*0.4/100</f>
        <v>0.4</v>
      </c>
      <c r="G380" s="59">
        <f>B380*0.4/100</f>
        <v>0.4</v>
      </c>
      <c r="H380" s="59">
        <f>B380*0.7/100</f>
        <v>0.7</v>
      </c>
      <c r="I380" s="59">
        <f>B380*0.63/100</f>
        <v>0.63</v>
      </c>
      <c r="J380" s="59">
        <f>B380*0.03/100</f>
        <v>0.03</v>
      </c>
      <c r="K380" s="59">
        <f>B380*68/100</f>
        <v>68</v>
      </c>
      <c r="L380" s="59">
        <v>0</v>
      </c>
      <c r="M380" s="59" t="s">
        <v>454</v>
      </c>
      <c r="N380" s="59">
        <f>B380*10/100</f>
        <v>10</v>
      </c>
      <c r="O380" s="59">
        <f>B380*19/100</f>
        <v>19</v>
      </c>
      <c r="P380" s="59" t="s">
        <v>455</v>
      </c>
      <c r="Q380" s="59">
        <f>B380*217/100</f>
        <v>217</v>
      </c>
      <c r="R380" s="59">
        <f>B380*0.9/100</f>
        <v>0.9</v>
      </c>
      <c r="S380" s="59">
        <f>B380*711/100</f>
        <v>711</v>
      </c>
      <c r="T380" s="59">
        <f>B380*281/100</f>
        <v>281</v>
      </c>
      <c r="U380" s="59">
        <f>B380*0.36/100</f>
        <v>0.36</v>
      </c>
      <c r="V380" s="59">
        <f>B380*1.4/100</f>
        <v>1.4</v>
      </c>
      <c r="W380" s="59" t="s">
        <v>455</v>
      </c>
      <c r="X380" s="59">
        <f>B380*0.06/100</f>
        <v>0.06</v>
      </c>
      <c r="Y380" s="59" t="s">
        <v>455</v>
      </c>
      <c r="Z380" s="59" t="s">
        <v>455</v>
      </c>
      <c r="AA380" s="59">
        <f>B380*4.23/100</f>
        <v>4.2300000000000004</v>
      </c>
      <c r="AB380" s="59"/>
      <c r="AC380" s="34"/>
    </row>
    <row r="381" spans="1:29" s="55" customFormat="1">
      <c r="A381" s="60" t="s">
        <v>779</v>
      </c>
      <c r="B381" s="59">
        <v>100</v>
      </c>
      <c r="C381" s="59">
        <f>B381*164/100</f>
        <v>164</v>
      </c>
      <c r="D381" s="59">
        <f>B381*21.5/100</f>
        <v>21.5</v>
      </c>
      <c r="E381" s="59">
        <f>B381*8/100</f>
        <v>8</v>
      </c>
      <c r="F381" s="59">
        <f>B381*3.5/100</f>
        <v>3.5</v>
      </c>
      <c r="G381" s="59">
        <f>B381*3.9/100</f>
        <v>3.9</v>
      </c>
      <c r="H381" s="59">
        <f>B381*1.2/100</f>
        <v>1.2</v>
      </c>
      <c r="I381" s="59">
        <f>B381*1.12/100</f>
        <v>1.1200000000000001</v>
      </c>
      <c r="J381" s="59">
        <f>B381*0.05/100</f>
        <v>0.05</v>
      </c>
      <c r="K381" s="59">
        <f>B381*56/100</f>
        <v>56</v>
      </c>
      <c r="L381" s="59">
        <v>0</v>
      </c>
      <c r="M381" s="59" t="s">
        <v>454</v>
      </c>
      <c r="N381" s="59">
        <f>B381*6/100</f>
        <v>6</v>
      </c>
      <c r="O381" s="59">
        <f>B381*24/100</f>
        <v>24</v>
      </c>
      <c r="P381" s="59" t="s">
        <v>455</v>
      </c>
      <c r="Q381" s="59">
        <f>B381*195/100</f>
        <v>195</v>
      </c>
      <c r="R381" s="59">
        <f>B381*0.5/100</f>
        <v>0.5</v>
      </c>
      <c r="S381" s="59">
        <f>B381*54/100</f>
        <v>54</v>
      </c>
      <c r="T381" s="59">
        <f>B381*335/100</f>
        <v>335</v>
      </c>
      <c r="U381" s="59">
        <f>B381*0.07/100</f>
        <v>7.0000000000000007E-2</v>
      </c>
      <c r="V381" s="59">
        <f>B381*1.4/100</f>
        <v>1.4</v>
      </c>
      <c r="W381" s="59" t="s">
        <v>455</v>
      </c>
      <c r="X381" s="59">
        <f>B381*0.9/100</f>
        <v>0.9</v>
      </c>
      <c r="Y381" s="59" t="s">
        <v>455</v>
      </c>
      <c r="Z381" s="59" t="s">
        <v>455</v>
      </c>
      <c r="AA381" s="59" t="s">
        <v>23</v>
      </c>
      <c r="AB381" s="59"/>
      <c r="AC381" s="34"/>
    </row>
    <row r="382" spans="1:29" s="55" customFormat="1">
      <c r="A382" s="60" t="s">
        <v>780</v>
      </c>
      <c r="B382" s="59">
        <v>100</v>
      </c>
      <c r="C382" s="59">
        <f>B382*280/100</f>
        <v>280</v>
      </c>
      <c r="D382" s="59">
        <f>B382*28.9/100</f>
        <v>28.9</v>
      </c>
      <c r="E382" s="59">
        <f>B382*17.4/100</f>
        <v>17.399999999999999</v>
      </c>
      <c r="F382" s="59">
        <f>B382*7.5/100</f>
        <v>7.5</v>
      </c>
      <c r="G382" s="59">
        <f>B382*7.7/100</f>
        <v>7.7</v>
      </c>
      <c r="H382" s="59">
        <f>B382*1.2/100</f>
        <v>1.2</v>
      </c>
      <c r="I382" s="59">
        <f>B382*1.03/100</f>
        <v>1.03</v>
      </c>
      <c r="J382" s="59">
        <f>B382*0.03/100</f>
        <v>0.03</v>
      </c>
      <c r="K382" s="59">
        <f>B382*82/100</f>
        <v>82</v>
      </c>
      <c r="L382" s="59">
        <v>0</v>
      </c>
      <c r="M382" s="59" t="s">
        <v>454</v>
      </c>
      <c r="N382" s="59">
        <f>B382*34/100</f>
        <v>34</v>
      </c>
      <c r="O382" s="59">
        <f>B382*25/100</f>
        <v>25</v>
      </c>
      <c r="P382" s="59" t="s">
        <v>455</v>
      </c>
      <c r="Q382" s="59">
        <f>B382*229/100</f>
        <v>229</v>
      </c>
      <c r="R382" s="59">
        <f>B382*0.9/100</f>
        <v>0.9</v>
      </c>
      <c r="S382" s="59">
        <f>B382*51/100</f>
        <v>51</v>
      </c>
      <c r="T382" s="59">
        <f>B382*366/100</f>
        <v>366</v>
      </c>
      <c r="U382" s="59">
        <f>B382*0.06/100</f>
        <v>0.06</v>
      </c>
      <c r="V382" s="59">
        <f>B382*2.3/100</f>
        <v>2.2999999999999998</v>
      </c>
      <c r="W382" s="59" t="s">
        <v>455</v>
      </c>
      <c r="X382" s="59">
        <f>B382*0.77/100</f>
        <v>0.77</v>
      </c>
      <c r="Y382" s="59">
        <f>B382*0.14/100</f>
        <v>0.14000000000000001</v>
      </c>
      <c r="Z382" s="59">
        <f>B382*0.03/100</f>
        <v>0.03</v>
      </c>
      <c r="AA382" s="59" t="s">
        <v>23</v>
      </c>
      <c r="AB382" s="59"/>
      <c r="AC382" s="34"/>
    </row>
    <row r="383" spans="1:29" s="55" customFormat="1">
      <c r="A383" s="60" t="s">
        <v>781</v>
      </c>
      <c r="B383" s="59">
        <v>100</v>
      </c>
      <c r="C383" s="59">
        <f>B383*402/100</f>
        <v>402</v>
      </c>
      <c r="D383" s="59">
        <f>B383*30.2/100</f>
        <v>30.2</v>
      </c>
      <c r="E383" s="59">
        <f>B383*30.3/100</f>
        <v>30.3</v>
      </c>
      <c r="F383" s="59">
        <f>B383*11.8/100</f>
        <v>11.8</v>
      </c>
      <c r="G383" s="59">
        <f>B383*13.9/100</f>
        <v>13.9</v>
      </c>
      <c r="H383" s="59">
        <f>B383*3.1/100</f>
        <v>3.1</v>
      </c>
      <c r="I383" s="59">
        <f>B383*2.75/100</f>
        <v>2.75</v>
      </c>
      <c r="J383" s="59">
        <f>B383*0.12/100</f>
        <v>0.12</v>
      </c>
      <c r="K383" s="59">
        <f>B383*113/100</f>
        <v>113</v>
      </c>
      <c r="L383" s="59">
        <v>0</v>
      </c>
      <c r="M383" s="59" t="s">
        <v>454</v>
      </c>
      <c r="N383" s="59">
        <f>B383*17/100</f>
        <v>17</v>
      </c>
      <c r="O383" s="59">
        <f>B383*14/100</f>
        <v>14</v>
      </c>
      <c r="P383" s="59" t="s">
        <v>455</v>
      </c>
      <c r="Q383" s="59">
        <f>B383*201/100</f>
        <v>201</v>
      </c>
      <c r="R383" s="59">
        <f>B383*1/100</f>
        <v>1</v>
      </c>
      <c r="S383" s="59">
        <f>B383*63/100</f>
        <v>63</v>
      </c>
      <c r="T383" s="59">
        <f>B383*246/100</f>
        <v>246</v>
      </c>
      <c r="U383" s="59">
        <f>B383*0.07/100</f>
        <v>7.0000000000000007E-2</v>
      </c>
      <c r="V383" s="59">
        <f>B383*3.1/100</f>
        <v>3.1</v>
      </c>
      <c r="W383" s="59" t="s">
        <v>455</v>
      </c>
      <c r="X383" s="59">
        <f>B383*0.71/100</f>
        <v>0.71</v>
      </c>
      <c r="Y383" s="59">
        <f>B383*0.05/100</f>
        <v>0.05</v>
      </c>
      <c r="Z383" s="59" t="s">
        <v>455</v>
      </c>
      <c r="AA383" s="59">
        <f>B383*10.63/100</f>
        <v>10.63</v>
      </c>
      <c r="AB383" s="59"/>
      <c r="AC383" s="34"/>
    </row>
    <row r="384" spans="1:29" s="55" customFormat="1">
      <c r="A384" s="60" t="s">
        <v>782</v>
      </c>
      <c r="B384" s="59">
        <v>100</v>
      </c>
      <c r="C384" s="59">
        <f>B384*256/100</f>
        <v>256</v>
      </c>
      <c r="D384" s="59">
        <f>B384*18/100</f>
        <v>18</v>
      </c>
      <c r="E384" s="59">
        <f>B384*19.8/100</f>
        <v>19.8</v>
      </c>
      <c r="F384" s="59">
        <f>B384*7.4/100</f>
        <v>7.4</v>
      </c>
      <c r="G384" s="59">
        <f>B384*8.3/100</f>
        <v>8.3000000000000007</v>
      </c>
      <c r="H384" s="59">
        <f>B384*2.3/100</f>
        <v>2.2999999999999998</v>
      </c>
      <c r="I384" s="59">
        <f>B384*2.11/100</f>
        <v>2.11</v>
      </c>
      <c r="J384" s="59">
        <f>B384*0.09/100</f>
        <v>0.09</v>
      </c>
      <c r="K384" s="59">
        <f>B384*69/100</f>
        <v>69</v>
      </c>
      <c r="L384" s="59">
        <v>0</v>
      </c>
      <c r="M384" s="59" t="s">
        <v>454</v>
      </c>
      <c r="N384" s="59">
        <f>B384*15/100</f>
        <v>15</v>
      </c>
      <c r="O384" s="59">
        <f>B384*18/100</f>
        <v>18</v>
      </c>
      <c r="P384" s="59" t="s">
        <v>455</v>
      </c>
      <c r="Q384" s="59">
        <f>B384*159/100</f>
        <v>159</v>
      </c>
      <c r="R384" s="59">
        <f>B384*0.9/100</f>
        <v>0.9</v>
      </c>
      <c r="S384" s="59">
        <f>B384*38/100</f>
        <v>38</v>
      </c>
      <c r="T384" s="59">
        <f>B384*248/100</f>
        <v>248</v>
      </c>
      <c r="U384" s="59">
        <f>B384*0.05/100</f>
        <v>0.05</v>
      </c>
      <c r="V384" s="59">
        <f>B384*2.3/100</f>
        <v>2.2999999999999998</v>
      </c>
      <c r="W384" s="59" t="s">
        <v>455</v>
      </c>
      <c r="X384" s="59">
        <f>B384*0.62/100</f>
        <v>0.62</v>
      </c>
      <c r="Y384" s="59" t="s">
        <v>455</v>
      </c>
      <c r="Z384" s="59" t="s">
        <v>455</v>
      </c>
      <c r="AA384" s="59">
        <f>B384*8.27/100</f>
        <v>8.27</v>
      </c>
      <c r="AB384" s="59"/>
      <c r="AC384" s="34"/>
    </row>
    <row r="385" spans="1:29" s="55" customFormat="1">
      <c r="A385" s="60" t="s">
        <v>783</v>
      </c>
      <c r="B385" s="59">
        <v>100</v>
      </c>
      <c r="C385" s="59">
        <f>B385*210/100</f>
        <v>210</v>
      </c>
      <c r="D385" s="59">
        <f>B385*35.7/100</f>
        <v>35.700000000000003</v>
      </c>
      <c r="E385" s="59">
        <f>B385*6.4/100</f>
        <v>6.4</v>
      </c>
      <c r="F385" s="59">
        <f>B385*2.6/100</f>
        <v>2.6</v>
      </c>
      <c r="G385" s="59">
        <f>B385*2.9/100</f>
        <v>2.9</v>
      </c>
      <c r="H385" s="59">
        <f>B385*0.7/100</f>
        <v>0.7</v>
      </c>
      <c r="I385" s="59">
        <f>B385*0.05/100</f>
        <v>0.05</v>
      </c>
      <c r="J385" s="59">
        <f>B385*0.07/100</f>
        <v>7.0000000000000007E-2</v>
      </c>
      <c r="K385" s="59">
        <f>B385*103/100</f>
        <v>103</v>
      </c>
      <c r="L385" s="59">
        <v>0</v>
      </c>
      <c r="M385" s="59" t="s">
        <v>454</v>
      </c>
      <c r="N385" s="59">
        <f>B385*20/100</f>
        <v>20</v>
      </c>
      <c r="O385" s="59">
        <f>B385*18/100</f>
        <v>18</v>
      </c>
      <c r="P385" s="59" t="s">
        <v>455</v>
      </c>
      <c r="Q385" s="59">
        <f>B385*238/100</f>
        <v>238</v>
      </c>
      <c r="R385" s="59">
        <f>B385*0.5/100</f>
        <v>0.5</v>
      </c>
      <c r="S385" s="59">
        <f>B385*39/100</f>
        <v>39</v>
      </c>
      <c r="T385" s="59">
        <f>B385*311/100</f>
        <v>311</v>
      </c>
      <c r="U385" s="59">
        <f>B385*0.03/100</f>
        <v>0.03</v>
      </c>
      <c r="V385" s="59">
        <f>B385*1.8/100</f>
        <v>1.8</v>
      </c>
      <c r="W385" s="59" t="s">
        <v>455</v>
      </c>
      <c r="X385" s="59">
        <f>B385*0.75/100</f>
        <v>0.75</v>
      </c>
      <c r="Y385" s="59">
        <f>B385*0.07/100</f>
        <v>7.0000000000000007E-2</v>
      </c>
      <c r="Z385" s="59">
        <f>B385*0.11/100</f>
        <v>0.11</v>
      </c>
      <c r="AA385" s="59">
        <f>B385*12.43/100</f>
        <v>12.43</v>
      </c>
      <c r="AB385" s="59"/>
      <c r="AC385" s="34"/>
    </row>
    <row r="386" spans="1:29" s="55" customFormat="1">
      <c r="A386" s="60" t="s">
        <v>784</v>
      </c>
      <c r="B386" s="59">
        <v>100</v>
      </c>
      <c r="C386" s="59">
        <f>B386*176/100</f>
        <v>176</v>
      </c>
      <c r="D386" s="59">
        <f>B386*22.6/100</f>
        <v>22.6</v>
      </c>
      <c r="E386" s="59">
        <f>B386*8.8/100</f>
        <v>8.8000000000000007</v>
      </c>
      <c r="F386" s="59">
        <f>B386*3.3/100</f>
        <v>3.3</v>
      </c>
      <c r="G386" s="59">
        <f>B386*3.7/100</f>
        <v>3.7</v>
      </c>
      <c r="H386" s="59">
        <f>B386*1/100</f>
        <v>1</v>
      </c>
      <c r="I386" s="59">
        <f>B386*0.88/100</f>
        <v>0.88</v>
      </c>
      <c r="J386" s="59">
        <f>B386*0.04/100</f>
        <v>0.04</v>
      </c>
      <c r="K386" s="59">
        <f>B386*55/100</f>
        <v>55</v>
      </c>
      <c r="L386" s="59">
        <v>0</v>
      </c>
      <c r="M386" s="59" t="s">
        <v>454</v>
      </c>
      <c r="N386" s="59">
        <f>B386*4/100</f>
        <v>4</v>
      </c>
      <c r="O386" s="59">
        <f>B386*24/100</f>
        <v>24</v>
      </c>
      <c r="P386" s="59" t="s">
        <v>455</v>
      </c>
      <c r="Q386" s="59">
        <f>B386*195/100</f>
        <v>195</v>
      </c>
      <c r="R386" s="59">
        <f>B386*0.5/100</f>
        <v>0.5</v>
      </c>
      <c r="S386" s="59">
        <f>B386*53/100</f>
        <v>53</v>
      </c>
      <c r="T386" s="59">
        <f>B386*334/100</f>
        <v>334</v>
      </c>
      <c r="U386" s="59">
        <f>B386*0.01/100</f>
        <v>0.01</v>
      </c>
      <c r="V386" s="59">
        <f>B386*0.9/100</f>
        <v>0.9</v>
      </c>
      <c r="W386" s="59" t="s">
        <v>455</v>
      </c>
      <c r="X386" s="59">
        <f>B386*0.95/100</f>
        <v>0.95</v>
      </c>
      <c r="Y386" s="59" t="s">
        <v>455</v>
      </c>
      <c r="Z386" s="59" t="s">
        <v>455</v>
      </c>
      <c r="AA386" s="59">
        <f>B386*13.83/100</f>
        <v>13.83</v>
      </c>
      <c r="AB386" s="59"/>
      <c r="AC386" s="34"/>
    </row>
    <row r="387" spans="1:29" s="55" customFormat="1">
      <c r="A387" s="60" t="s">
        <v>785</v>
      </c>
      <c r="B387" s="59">
        <v>100</v>
      </c>
      <c r="C387" s="59">
        <f>B387*258/100</f>
        <v>258</v>
      </c>
      <c r="D387" s="59">
        <f>B387*18.5/100</f>
        <v>18.5</v>
      </c>
      <c r="E387" s="59">
        <f>B387*19.9/100</f>
        <v>19.899999999999999</v>
      </c>
      <c r="F387" s="59">
        <f>B387*7.3/100</f>
        <v>7.3</v>
      </c>
      <c r="G387" s="59">
        <f>B387*11.2/100</f>
        <v>11.2</v>
      </c>
      <c r="H387" s="59">
        <f>B387*2.8/100</f>
        <v>2.8</v>
      </c>
      <c r="I387" s="59">
        <f>B387*2.58/100</f>
        <v>2.58</v>
      </c>
      <c r="J387" s="59">
        <f>B387*0.11/100</f>
        <v>0.11</v>
      </c>
      <c r="K387" s="59">
        <f>B387*83/100</f>
        <v>83</v>
      </c>
      <c r="L387" s="59">
        <v>0</v>
      </c>
      <c r="M387" s="59" t="s">
        <v>454</v>
      </c>
      <c r="N387" s="59">
        <f>B387*5/100</f>
        <v>5</v>
      </c>
      <c r="O387" s="59">
        <f>B387*2/100</f>
        <v>2</v>
      </c>
      <c r="P387" s="59">
        <f>B387*0.01/100</f>
        <v>0.01</v>
      </c>
      <c r="Q387" s="59">
        <f>B387*31/100</f>
        <v>31</v>
      </c>
      <c r="R387" s="59">
        <f>B387*1.4/100</f>
        <v>1.4</v>
      </c>
      <c r="S387" s="59">
        <f>B387*616/100</f>
        <v>616</v>
      </c>
      <c r="T387" s="59">
        <f>B387*228/100</f>
        <v>228</v>
      </c>
      <c r="U387" s="59">
        <f>B387*0.23/100</f>
        <v>0.23</v>
      </c>
      <c r="V387" s="59">
        <f>B387*0.6/100</f>
        <v>0.6</v>
      </c>
      <c r="W387" s="59" t="s">
        <v>455</v>
      </c>
      <c r="X387" s="59">
        <f>B387*0.07/100</f>
        <v>7.0000000000000007E-2</v>
      </c>
      <c r="Y387" s="59">
        <f>B387*0.03/100</f>
        <v>0.03</v>
      </c>
      <c r="Z387" s="59" t="s">
        <v>455</v>
      </c>
      <c r="AA387" s="59" t="s">
        <v>455</v>
      </c>
      <c r="AB387" s="59"/>
      <c r="AC387" s="34"/>
    </row>
    <row r="388" spans="1:29" s="55" customFormat="1">
      <c r="A388" s="60" t="s">
        <v>786</v>
      </c>
      <c r="B388" s="59">
        <v>100</v>
      </c>
      <c r="C388" s="59">
        <f>B388*262/100</f>
        <v>262</v>
      </c>
      <c r="D388" s="59">
        <f>B388*32.1/100</f>
        <v>32.1</v>
      </c>
      <c r="E388" s="59">
        <f>B388*13.9/100</f>
        <v>13.9</v>
      </c>
      <c r="F388" s="59">
        <f>B388*4.8/100</f>
        <v>4.8</v>
      </c>
      <c r="G388" s="59">
        <f>B388*6.4/100</f>
        <v>6.4</v>
      </c>
      <c r="H388" s="59">
        <f>B388*1.9/100</f>
        <v>1.9</v>
      </c>
      <c r="I388" s="59">
        <f>B388*1.66/100</f>
        <v>1.66</v>
      </c>
      <c r="J388" s="59">
        <f>B388*0.05/100</f>
        <v>0.05</v>
      </c>
      <c r="K388" s="59">
        <f>B388*110/100</f>
        <v>110</v>
      </c>
      <c r="L388" s="59">
        <v>0</v>
      </c>
      <c r="M388" s="59" t="s">
        <v>454</v>
      </c>
      <c r="N388" s="59">
        <f>B388*18/100</f>
        <v>18</v>
      </c>
      <c r="O388" s="59">
        <f>B388*27/100</f>
        <v>27</v>
      </c>
      <c r="P388" s="59">
        <f>B388*0.01/100</f>
        <v>0.01</v>
      </c>
      <c r="Q388" s="59">
        <f>B388*247/100</f>
        <v>247</v>
      </c>
      <c r="R388" s="59">
        <f>B388*1.3/100</f>
        <v>1.3</v>
      </c>
      <c r="S388" s="59">
        <f>B388*62/100</f>
        <v>62</v>
      </c>
      <c r="T388" s="59">
        <f>B388*395/100</f>
        <v>395</v>
      </c>
      <c r="U388" s="59">
        <f>B388*0.09/100</f>
        <v>0.09</v>
      </c>
      <c r="V388" s="59">
        <f>B388*3.3/100</f>
        <v>3.3</v>
      </c>
      <c r="W388" s="59" t="s">
        <v>455</v>
      </c>
      <c r="X388" s="59">
        <f>B388*0.77/100</f>
        <v>0.77</v>
      </c>
      <c r="Y388" s="59">
        <f>B388*0.09/100</f>
        <v>0.09</v>
      </c>
      <c r="Z388" s="59" t="s">
        <v>455</v>
      </c>
      <c r="AA388" s="59">
        <f>B388*6.57/100</f>
        <v>6.57</v>
      </c>
      <c r="AB388" s="59"/>
      <c r="AC388" s="34"/>
    </row>
    <row r="389" spans="1:29" s="55" customFormat="1">
      <c r="A389" s="60" t="s">
        <v>787</v>
      </c>
      <c r="B389" s="59">
        <v>100</v>
      </c>
      <c r="C389" s="59">
        <f>B389*186/100</f>
        <v>186</v>
      </c>
      <c r="D389" s="59">
        <f>B389*20.1/100</f>
        <v>20.100000000000001</v>
      </c>
      <c r="E389" s="59">
        <f>B389*11.1/100</f>
        <v>11.1</v>
      </c>
      <c r="F389" s="59">
        <f>B389*4.2/100</f>
        <v>4.2</v>
      </c>
      <c r="G389" s="59">
        <f>B389*5/100</f>
        <v>5</v>
      </c>
      <c r="H389" s="59">
        <f>B389*1.7/100</f>
        <v>1.7</v>
      </c>
      <c r="I389" s="59">
        <f>B389*1.51/100</f>
        <v>1.51</v>
      </c>
      <c r="J389" s="59">
        <f>B389*0.06/100</f>
        <v>0.06</v>
      </c>
      <c r="K389" s="59">
        <f>B389*59/100</f>
        <v>59</v>
      </c>
      <c r="L389" s="59">
        <v>0</v>
      </c>
      <c r="M389" s="59" t="s">
        <v>454</v>
      </c>
      <c r="N389" s="59">
        <f>B389*13/100</f>
        <v>13</v>
      </c>
      <c r="O389" s="59">
        <f>B389*23/100</f>
        <v>23</v>
      </c>
      <c r="P389" s="59" t="s">
        <v>455</v>
      </c>
      <c r="Q389" s="59">
        <f>B389*192/100</f>
        <v>192</v>
      </c>
      <c r="R389" s="59">
        <f>B389*0.9/100</f>
        <v>0.9</v>
      </c>
      <c r="S389" s="59">
        <f>B389*102/100</f>
        <v>102</v>
      </c>
      <c r="T389" s="59">
        <f>B389*256/100</f>
        <v>256</v>
      </c>
      <c r="U389" s="59">
        <f>B389*0.16/100</f>
        <v>0.16</v>
      </c>
      <c r="V389" s="59">
        <f>B389*1.7/100</f>
        <v>1.7</v>
      </c>
      <c r="W389" s="59" t="s">
        <v>455</v>
      </c>
      <c r="X389" s="59">
        <f>B389*1.06/100</f>
        <v>1.06</v>
      </c>
      <c r="Y389" s="59">
        <f>B389*0.06/100</f>
        <v>0.06</v>
      </c>
      <c r="Z389" s="59" t="s">
        <v>455</v>
      </c>
      <c r="AA389" s="59">
        <f>B389*5.67/100</f>
        <v>5.67</v>
      </c>
      <c r="AB389" s="59"/>
      <c r="AC389" s="34"/>
    </row>
    <row r="390" spans="1:29" s="55" customFormat="1">
      <c r="A390" s="60" t="s">
        <v>788</v>
      </c>
      <c r="B390" s="59">
        <v>100</v>
      </c>
      <c r="C390" s="59">
        <f>B390*377/100</f>
        <v>377</v>
      </c>
      <c r="D390" s="59">
        <f>B390*15.6/100</f>
        <v>15.6</v>
      </c>
      <c r="E390" s="59">
        <f>B390*34.5/100</f>
        <v>34.5</v>
      </c>
      <c r="F390" s="59">
        <f>B390*11.6/100</f>
        <v>11.6</v>
      </c>
      <c r="G390" s="59">
        <f>B390*16.7/100</f>
        <v>16.7</v>
      </c>
      <c r="H390" s="59">
        <f>B390*4.3/100</f>
        <v>4.3</v>
      </c>
      <c r="I390" s="59">
        <f>B390*3.85/100</f>
        <v>3.85</v>
      </c>
      <c r="J390" s="59">
        <f>B390*0.16/100</f>
        <v>0.16</v>
      </c>
      <c r="K390" s="59">
        <f>B390*89/100</f>
        <v>89</v>
      </c>
      <c r="L390" s="59">
        <v>0</v>
      </c>
      <c r="M390" s="59" t="s">
        <v>454</v>
      </c>
      <c r="N390" s="59">
        <f>B390*22/100</f>
        <v>22</v>
      </c>
      <c r="O390" s="59">
        <f>B390*4/100</f>
        <v>4</v>
      </c>
      <c r="P390" s="59">
        <f>B390*0.01/100</f>
        <v>0.01</v>
      </c>
      <c r="Q390" s="59">
        <f>B390*42/100</f>
        <v>42</v>
      </c>
      <c r="R390" s="59">
        <f>B390*0.6/100</f>
        <v>0.6</v>
      </c>
      <c r="S390" s="59">
        <f>B390*1158/100</f>
        <v>1158</v>
      </c>
      <c r="T390" s="59">
        <f>B390*24/100</f>
        <v>24</v>
      </c>
      <c r="U390" s="59">
        <f>B390*0.05/100</f>
        <v>0.05</v>
      </c>
      <c r="V390" s="59">
        <f>B390*1.4/100</f>
        <v>1.4</v>
      </c>
      <c r="W390" s="59" t="s">
        <v>455</v>
      </c>
      <c r="X390" s="59">
        <f>B390*0.2/100</f>
        <v>0.2</v>
      </c>
      <c r="Y390" s="59">
        <f>B390*0.06/100</f>
        <v>0.06</v>
      </c>
      <c r="Z390" s="59" t="s">
        <v>455</v>
      </c>
      <c r="AA390" s="59">
        <f>B390*1.43/100</f>
        <v>1.43</v>
      </c>
      <c r="AB390" s="59"/>
      <c r="AC390" s="34"/>
    </row>
    <row r="391" spans="1:29" s="55" customFormat="1">
      <c r="A391" s="60" t="s">
        <v>789</v>
      </c>
      <c r="B391" s="59">
        <v>100</v>
      </c>
      <c r="C391" s="59">
        <f>B391*593/100</f>
        <v>593</v>
      </c>
      <c r="D391" s="59">
        <f>B391*11.5/100</f>
        <v>11.5</v>
      </c>
      <c r="E391" s="59">
        <f>B391*60.3/100</f>
        <v>60.3</v>
      </c>
      <c r="F391" s="59">
        <f>B391*17.7/100</f>
        <v>17.7</v>
      </c>
      <c r="G391" s="59">
        <f>B391*20.1/100</f>
        <v>20.100000000000001</v>
      </c>
      <c r="H391" s="59">
        <f>B391*10.1/100</f>
        <v>10.1</v>
      </c>
      <c r="I391" s="59">
        <f>B391*9.32/100</f>
        <v>9.32</v>
      </c>
      <c r="J391" s="59">
        <f>B391*0.68/100</f>
        <v>0.68</v>
      </c>
      <c r="K391" s="59">
        <f>B391*73/100</f>
        <v>73</v>
      </c>
      <c r="L391" s="59">
        <v>0</v>
      </c>
      <c r="M391" s="59" t="s">
        <v>454</v>
      </c>
      <c r="N391" s="59">
        <f>B391*2/100</f>
        <v>2</v>
      </c>
      <c r="O391" s="59">
        <f>B391*4/100</f>
        <v>4</v>
      </c>
      <c r="P391" s="59" t="s">
        <v>455</v>
      </c>
      <c r="Q391" s="59">
        <f>B391*35/100</f>
        <v>35</v>
      </c>
      <c r="R391" s="59">
        <f>B391*0.4/100</f>
        <v>0.4</v>
      </c>
      <c r="S391" s="59">
        <f>B391*50/100</f>
        <v>50</v>
      </c>
      <c r="T391" s="59">
        <f>B391*58/100</f>
        <v>58</v>
      </c>
      <c r="U391" s="59">
        <f>B391*0.11/100</f>
        <v>0.11</v>
      </c>
      <c r="V391" s="59">
        <f>B391*0.2/100</f>
        <v>0.2</v>
      </c>
      <c r="W391" s="59" t="s">
        <v>455</v>
      </c>
      <c r="X391" s="59" t="s">
        <v>455</v>
      </c>
      <c r="Y391" s="59" t="s">
        <v>455</v>
      </c>
      <c r="Z391" s="59" t="s">
        <v>455</v>
      </c>
      <c r="AA391" s="59">
        <f>B391*5.1/100</f>
        <v>5.0999999999999996</v>
      </c>
      <c r="AB391" s="59"/>
      <c r="AC391" s="34"/>
    </row>
    <row r="392" spans="1:29" s="55" customFormat="1">
      <c r="A392" s="60" t="s">
        <v>790</v>
      </c>
      <c r="B392" s="59">
        <v>100</v>
      </c>
      <c r="C392" s="59">
        <f>B392*697/100</f>
        <v>697</v>
      </c>
      <c r="D392" s="59">
        <f>B392*27.3/100</f>
        <v>27.3</v>
      </c>
      <c r="E392" s="59">
        <f>B392*64.3/100</f>
        <v>64.3</v>
      </c>
      <c r="F392" s="59">
        <f>B392*20/100</f>
        <v>20</v>
      </c>
      <c r="G392" s="59">
        <f>B392*26.2/100</f>
        <v>26.2</v>
      </c>
      <c r="H392" s="59">
        <f>B392*14.6/100</f>
        <v>14.6</v>
      </c>
      <c r="I392" s="59">
        <f>B392*12.93/100</f>
        <v>12.93</v>
      </c>
      <c r="J392" s="59">
        <f>B392*0.86/100</f>
        <v>0.86</v>
      </c>
      <c r="K392" s="59">
        <f>B392*89/100</f>
        <v>89</v>
      </c>
      <c r="L392" s="59">
        <v>0</v>
      </c>
      <c r="M392" s="59" t="s">
        <v>454</v>
      </c>
      <c r="N392" s="59">
        <f>B392*9/100</f>
        <v>9</v>
      </c>
      <c r="O392" s="59">
        <f>B392*9/100</f>
        <v>9</v>
      </c>
      <c r="P392" s="59">
        <f>B392*0.01/100</f>
        <v>0.01</v>
      </c>
      <c r="Q392" s="59">
        <f>B392*95/100</f>
        <v>95</v>
      </c>
      <c r="R392" s="59">
        <f>B392*0.9/100</f>
        <v>0.9</v>
      </c>
      <c r="S392" s="59">
        <f>B392*125/100</f>
        <v>125</v>
      </c>
      <c r="T392" s="59">
        <f>B392*171/100</f>
        <v>171</v>
      </c>
      <c r="U392" s="59">
        <f>B392*0.1/100</f>
        <v>0.1</v>
      </c>
      <c r="V392" s="59">
        <f>B392*0.8/100</f>
        <v>0.8</v>
      </c>
      <c r="W392" s="59" t="s">
        <v>455</v>
      </c>
      <c r="X392" s="59" t="s">
        <v>455</v>
      </c>
      <c r="Y392" s="59" t="s">
        <v>455</v>
      </c>
      <c r="Z392" s="59" t="s">
        <v>455</v>
      </c>
      <c r="AA392" s="59">
        <f>B392*5.03/100</f>
        <v>5.03</v>
      </c>
      <c r="AB392" s="59"/>
      <c r="AC392" s="34"/>
    </row>
    <row r="393" spans="1:29" s="58" customFormat="1">
      <c r="A393" s="56" t="s">
        <v>38</v>
      </c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34"/>
    </row>
    <row r="394" spans="1:29" s="55" customFormat="1">
      <c r="A394" s="60" t="s">
        <v>791</v>
      </c>
      <c r="B394" s="59">
        <v>100</v>
      </c>
      <c r="C394" s="59">
        <f>B394*55/100</f>
        <v>55</v>
      </c>
      <c r="D394" s="59">
        <f>B394*2.1/100</f>
        <v>2.1</v>
      </c>
      <c r="E394" s="59">
        <f>B394*1.9/100</f>
        <v>1.9</v>
      </c>
      <c r="F394" s="59">
        <f>B394*1.1/100</f>
        <v>1.1000000000000001</v>
      </c>
      <c r="G394" s="59">
        <f>B394*0.6/100</f>
        <v>0.6</v>
      </c>
      <c r="H394" s="59" t="s">
        <v>455</v>
      </c>
      <c r="I394" s="59">
        <f>B394*0.03/100</f>
        <v>0.03</v>
      </c>
      <c r="J394" s="59">
        <f>B394*0.02/100</f>
        <v>0.02</v>
      </c>
      <c r="K394" s="59">
        <f>B394*5/100</f>
        <v>5</v>
      </c>
      <c r="L394" s="59">
        <f>B394*7.6/100</f>
        <v>7.6</v>
      </c>
      <c r="M394" s="59">
        <f>B394*0.3/100</f>
        <v>0.3</v>
      </c>
      <c r="N394" s="59">
        <f>B394*89/100</f>
        <v>89</v>
      </c>
      <c r="O394" s="59">
        <f>B394*9/100</f>
        <v>9</v>
      </c>
      <c r="P394" s="59"/>
      <c r="Q394" s="59">
        <f>B394*63/100</f>
        <v>63</v>
      </c>
      <c r="R394" s="59" t="s">
        <v>455</v>
      </c>
      <c r="S394" s="59">
        <f>B394*46/100</f>
        <v>46</v>
      </c>
      <c r="T394" s="59">
        <f>B394*62/100</f>
        <v>62</v>
      </c>
      <c r="U394" s="59">
        <f>B394*0.02/100</f>
        <v>0.02</v>
      </c>
      <c r="V394" s="59">
        <f>B394*0.2/100</f>
        <v>0.2</v>
      </c>
      <c r="W394" s="59" t="s">
        <v>455</v>
      </c>
      <c r="X394" s="59">
        <f>B394*0.03/100</f>
        <v>0.03</v>
      </c>
      <c r="Y394" s="59">
        <f>B394*0.14/100</f>
        <v>0.14000000000000001</v>
      </c>
      <c r="Z394" s="59" t="s">
        <v>455</v>
      </c>
      <c r="AA394" s="59">
        <f>B394*0.33/100</f>
        <v>0.33</v>
      </c>
      <c r="AB394" s="59"/>
      <c r="AC394" s="34"/>
    </row>
    <row r="395" spans="1:29" s="55" customFormat="1">
      <c r="A395" s="60" t="s">
        <v>810</v>
      </c>
      <c r="B395" s="59">
        <v>100</v>
      </c>
      <c r="C395" s="59">
        <f>B395*51/100</f>
        <v>51</v>
      </c>
      <c r="D395" s="59">
        <f>B395*4.1/100</f>
        <v>4.0999999999999996</v>
      </c>
      <c r="E395" s="59">
        <f>B395*3/100</f>
        <v>3</v>
      </c>
      <c r="F395" s="59">
        <f>B395*1.8/100</f>
        <v>1.8</v>
      </c>
      <c r="G395" s="59">
        <f>B395*0.9/100</f>
        <v>0.9</v>
      </c>
      <c r="H395" s="59">
        <f>B395*0.1/100</f>
        <v>0.1</v>
      </c>
      <c r="I395" s="59">
        <f>B395*0.06/100</f>
        <v>0.06</v>
      </c>
      <c r="J395" s="59">
        <f>B395*0.03/100</f>
        <v>0.03</v>
      </c>
      <c r="K395" s="59">
        <f>B395*14/100</f>
        <v>14</v>
      </c>
      <c r="L395" s="59">
        <f>B395*1.9/100</f>
        <v>1.9</v>
      </c>
      <c r="M395" s="59" t="s">
        <v>454</v>
      </c>
      <c r="N395" s="59">
        <f>B395*143/100</f>
        <v>143</v>
      </c>
      <c r="O395" s="59">
        <f>B395*11/100</f>
        <v>11</v>
      </c>
      <c r="P395" s="59"/>
      <c r="Q395" s="59">
        <f>B395*119/100</f>
        <v>119</v>
      </c>
      <c r="R395" s="59" t="s">
        <v>455</v>
      </c>
      <c r="S395" s="59">
        <f>B395*52/100</f>
        <v>52</v>
      </c>
      <c r="T395" s="59">
        <f>B395*71/100</f>
        <v>71</v>
      </c>
      <c r="U395" s="59">
        <f>B395*0.02/100</f>
        <v>0.02</v>
      </c>
      <c r="V395" s="59">
        <f>B395*0.4/100</f>
        <v>0.4</v>
      </c>
      <c r="W395" s="59">
        <f>B395*23/100</f>
        <v>23</v>
      </c>
      <c r="X395" s="59">
        <f>B395*0.04/100</f>
        <v>0.04</v>
      </c>
      <c r="Y395" s="59">
        <f>B395*0.22/100</f>
        <v>0.22</v>
      </c>
      <c r="Z395" s="59" t="s">
        <v>455</v>
      </c>
      <c r="AA395" s="59" t="s">
        <v>455</v>
      </c>
      <c r="AB395" s="59"/>
      <c r="AC395" s="34"/>
    </row>
    <row r="396" spans="1:29" s="55" customFormat="1">
      <c r="A396" s="60" t="s">
        <v>792</v>
      </c>
      <c r="B396" s="59">
        <v>100</v>
      </c>
      <c r="C396" s="59">
        <f>B396*41/100</f>
        <v>41</v>
      </c>
      <c r="D396" s="59">
        <f>B396*3.8/100</f>
        <v>3.8</v>
      </c>
      <c r="E396" s="59">
        <f>B396*0.3/100</f>
        <v>0.3</v>
      </c>
      <c r="F396" s="59">
        <f>B396*0.2/100</f>
        <v>0.2</v>
      </c>
      <c r="G396" s="59">
        <f>B396*0.1/100</f>
        <v>0.1</v>
      </c>
      <c r="H396" s="59"/>
      <c r="I396" s="59" t="s">
        <v>455</v>
      </c>
      <c r="J396" s="59"/>
      <c r="K396" s="59">
        <f>B396*3/100</f>
        <v>3</v>
      </c>
      <c r="L396" s="59">
        <f>B396*5.8/100</f>
        <v>5.8</v>
      </c>
      <c r="M396" s="59" t="s">
        <v>454</v>
      </c>
      <c r="N396" s="59">
        <f>B396*157/100</f>
        <v>157</v>
      </c>
      <c r="O396" s="59">
        <f>B396*12/100</f>
        <v>12</v>
      </c>
      <c r="P396" s="59" t="s">
        <v>455</v>
      </c>
      <c r="Q396" s="59">
        <f>B396*110/100</f>
        <v>110</v>
      </c>
      <c r="R396" s="59" t="s">
        <v>455</v>
      </c>
      <c r="S396" s="59">
        <f>B396*60/100</f>
        <v>60</v>
      </c>
      <c r="T396" s="59" t="s">
        <v>23</v>
      </c>
      <c r="U396" s="59" t="s">
        <v>455</v>
      </c>
      <c r="V396" s="59">
        <f>B396*0.5/100</f>
        <v>0.5</v>
      </c>
      <c r="W396" s="59" t="s">
        <v>455</v>
      </c>
      <c r="X396" s="59" t="s">
        <v>455</v>
      </c>
      <c r="Y396" s="59">
        <f>B396*0.22/100</f>
        <v>0.22</v>
      </c>
      <c r="Z396" s="59" t="s">
        <v>455</v>
      </c>
      <c r="AA396" s="59" t="s">
        <v>455</v>
      </c>
      <c r="AB396" s="59">
        <f>B396*0.3/100</f>
        <v>0.3</v>
      </c>
      <c r="AC396" s="34"/>
    </row>
    <row r="397" spans="1:29" s="64" customFormat="1">
      <c r="A397" s="46" t="s">
        <v>793</v>
      </c>
      <c r="B397" s="47">
        <v>100</v>
      </c>
      <c r="C397" s="47" t="s">
        <v>23</v>
      </c>
      <c r="D397" s="47" t="s">
        <v>23</v>
      </c>
      <c r="E397" s="47" t="s">
        <v>23</v>
      </c>
      <c r="F397" s="47"/>
      <c r="G397" s="47"/>
      <c r="H397" s="47"/>
      <c r="I397" s="47"/>
      <c r="J397" s="47"/>
      <c r="K397" s="47">
        <f>B397*6/100</f>
        <v>6</v>
      </c>
      <c r="L397" s="47" t="s">
        <v>23</v>
      </c>
      <c r="M397" s="47" t="s">
        <v>23</v>
      </c>
      <c r="N397" s="47" t="s">
        <v>23</v>
      </c>
      <c r="O397" s="47" t="s">
        <v>23</v>
      </c>
      <c r="P397" s="47" t="s">
        <v>23</v>
      </c>
      <c r="Q397" s="47" t="s">
        <v>23</v>
      </c>
      <c r="R397" s="47" t="s">
        <v>23</v>
      </c>
      <c r="S397" s="47" t="s">
        <v>23</v>
      </c>
      <c r="T397" s="47" t="s">
        <v>23</v>
      </c>
      <c r="U397" s="47" t="s">
        <v>23</v>
      </c>
      <c r="V397" s="47" t="s">
        <v>23</v>
      </c>
      <c r="W397" s="47" t="s">
        <v>23</v>
      </c>
      <c r="X397" s="47" t="s">
        <v>23</v>
      </c>
      <c r="Y397" s="47" t="s">
        <v>23</v>
      </c>
      <c r="Z397" s="47" t="s">
        <v>23</v>
      </c>
      <c r="AA397" s="47" t="s">
        <v>23</v>
      </c>
      <c r="AB397" s="47"/>
      <c r="AC397" s="34"/>
    </row>
    <row r="398" spans="1:29" s="55" customFormat="1">
      <c r="A398" s="60" t="s">
        <v>794</v>
      </c>
      <c r="B398" s="59">
        <v>100</v>
      </c>
      <c r="C398" s="59">
        <f>B398*70/100</f>
        <v>70</v>
      </c>
      <c r="D398" s="59">
        <f>B398*2.7/100</f>
        <v>2.7</v>
      </c>
      <c r="E398" s="59">
        <f>B398*2.3/100</f>
        <v>2.2999999999999998</v>
      </c>
      <c r="F398" s="59">
        <f>B398*1.4/100</f>
        <v>1.4</v>
      </c>
      <c r="G398" s="59">
        <f>B398*0.7/100</f>
        <v>0.7</v>
      </c>
      <c r="H398" s="59">
        <f>B398*0.1/100</f>
        <v>0.1</v>
      </c>
      <c r="I398" s="59">
        <f>B398*0.05/100</f>
        <v>0.05</v>
      </c>
      <c r="J398" s="59">
        <f>B398*0.02/100</f>
        <v>0.02</v>
      </c>
      <c r="K398" s="59">
        <f>B398*7/100</f>
        <v>7</v>
      </c>
      <c r="L398" s="59">
        <f>B398*9.7/100</f>
        <v>9.6999999999999993</v>
      </c>
      <c r="M398" s="59">
        <f>B398*0.2/100</f>
        <v>0.2</v>
      </c>
      <c r="N398" s="59">
        <f>B398*101/100</f>
        <v>101</v>
      </c>
      <c r="O398" s="59">
        <f>B398*8/100</f>
        <v>8</v>
      </c>
      <c r="P398" s="59"/>
      <c r="Q398" s="59">
        <f>B398*73/100</f>
        <v>73</v>
      </c>
      <c r="R398" s="59" t="s">
        <v>455</v>
      </c>
      <c r="S398" s="59">
        <f>B398*38/100</f>
        <v>38</v>
      </c>
      <c r="T398" s="59">
        <f>B398*52/100</f>
        <v>52</v>
      </c>
      <c r="U398" s="59">
        <f>B398*0.02/100</f>
        <v>0.02</v>
      </c>
      <c r="V398" s="59">
        <f>B398*0.3/100</f>
        <v>0.3</v>
      </c>
      <c r="W398" s="59">
        <f>B398*27/100</f>
        <v>27</v>
      </c>
      <c r="X398" s="59">
        <f>B398*0.03/100</f>
        <v>0.03</v>
      </c>
      <c r="Y398" s="59">
        <f>B398*0.12/100</f>
        <v>0.12</v>
      </c>
      <c r="Z398" s="59">
        <f>B398*0.02/100</f>
        <v>0.02</v>
      </c>
      <c r="AA398" s="59" t="s">
        <v>455</v>
      </c>
      <c r="AB398" s="59"/>
      <c r="AC398" s="34"/>
    </row>
    <row r="399" spans="1:29" s="55" customFormat="1">
      <c r="A399" s="60" t="s">
        <v>795</v>
      </c>
      <c r="B399" s="59">
        <v>100</v>
      </c>
      <c r="C399" s="59">
        <f>B399*68/100</f>
        <v>68</v>
      </c>
      <c r="D399" s="59">
        <f>B399*2.5/100</f>
        <v>2.5</v>
      </c>
      <c r="E399" s="59">
        <f>B399*2.3/100</f>
        <v>2.2999999999999998</v>
      </c>
      <c r="F399" s="59">
        <f>B399*1.4/100</f>
        <v>1.4</v>
      </c>
      <c r="G399" s="59">
        <f>B399*0.6/100</f>
        <v>0.6</v>
      </c>
      <c r="H399" s="59">
        <f>B399*0.1/100</f>
        <v>0.1</v>
      </c>
      <c r="I399" s="59">
        <f>B399*0.04/100</f>
        <v>0.04</v>
      </c>
      <c r="J399" s="59">
        <f>B399*0.02/100</f>
        <v>0.02</v>
      </c>
      <c r="K399" s="59">
        <f>B399*8/100</f>
        <v>8</v>
      </c>
      <c r="L399" s="59">
        <f>B399*9.4/100</f>
        <v>9.4</v>
      </c>
      <c r="M399" s="59">
        <f>B399*0.7/100</f>
        <v>0.7</v>
      </c>
      <c r="N399" s="59">
        <f>B399*95/100</f>
        <v>95</v>
      </c>
      <c r="O399" s="59">
        <f>B399*8/100</f>
        <v>8</v>
      </c>
      <c r="P399" s="59"/>
      <c r="Q399" s="59">
        <f>B399*66/100</f>
        <v>66</v>
      </c>
      <c r="R399" s="59">
        <f>B399*0/100</f>
        <v>0</v>
      </c>
      <c r="S399" s="59">
        <f>B399*37/100</f>
        <v>37</v>
      </c>
      <c r="T399" s="59">
        <f>B399*52/100</f>
        <v>52</v>
      </c>
      <c r="U399" s="59">
        <f>B399*0.02/100</f>
        <v>0.02</v>
      </c>
      <c r="V399" s="59">
        <f>B399*0.3/100</f>
        <v>0.3</v>
      </c>
      <c r="W399" s="59">
        <f>B399*21/100</f>
        <v>21</v>
      </c>
      <c r="X399" s="59">
        <f>B399*0.02/100</f>
        <v>0.02</v>
      </c>
      <c r="Y399" s="59">
        <f>B399*0.1/100</f>
        <v>0.1</v>
      </c>
      <c r="Z399" s="59" t="s">
        <v>455</v>
      </c>
      <c r="AA399" s="59">
        <f>B399*0.38/100</f>
        <v>0.38</v>
      </c>
      <c r="AB399" s="59"/>
      <c r="AC399" s="34"/>
    </row>
    <row r="400" spans="1:29" s="64" customFormat="1">
      <c r="A400" s="46" t="s">
        <v>796</v>
      </c>
      <c r="B400" s="47">
        <v>100</v>
      </c>
      <c r="C400" s="47">
        <f>B400*70/100</f>
        <v>70</v>
      </c>
      <c r="D400" s="47">
        <f>B400*1.9/100</f>
        <v>1.9</v>
      </c>
      <c r="E400" s="47">
        <f>B400*0.1/100</f>
        <v>0.1</v>
      </c>
      <c r="F400" s="47"/>
      <c r="G400" s="47"/>
      <c r="H400" s="47"/>
      <c r="I400" s="47"/>
      <c r="J400" s="47"/>
      <c r="K400" s="47">
        <f>B400*2/100</f>
        <v>2</v>
      </c>
      <c r="L400" s="47">
        <f>B400*15.7/100</f>
        <v>15.7</v>
      </c>
      <c r="M400" s="47" t="s">
        <v>454</v>
      </c>
      <c r="N400" s="47">
        <f>B400*72/100</f>
        <v>72</v>
      </c>
      <c r="O400" s="47">
        <f>B400*6/100</f>
        <v>6</v>
      </c>
      <c r="P400" s="47">
        <f>B400*0.02/100</f>
        <v>0.02</v>
      </c>
      <c r="Q400" s="47">
        <f>B400*63/100</f>
        <v>63</v>
      </c>
      <c r="R400" s="47">
        <v>0</v>
      </c>
      <c r="S400" s="47">
        <f>B400*33/100</f>
        <v>33</v>
      </c>
      <c r="T400" s="47">
        <f>B400*94/100</f>
        <v>94</v>
      </c>
      <c r="U400" s="47">
        <f>B400*0.01/100</f>
        <v>0.01</v>
      </c>
      <c r="V400" s="47">
        <f>B400*0.3/100</f>
        <v>0.3</v>
      </c>
      <c r="W400" s="47" t="s">
        <v>455</v>
      </c>
      <c r="X400" s="47">
        <f>B400*0.08/100</f>
        <v>0.08</v>
      </c>
      <c r="Y400" s="47">
        <f>B400*0.11/100</f>
        <v>0.11</v>
      </c>
      <c r="Z400" s="47" t="s">
        <v>455</v>
      </c>
      <c r="AA400" s="47" t="s">
        <v>455</v>
      </c>
      <c r="AB400" s="47">
        <f>B400*0.5/100</f>
        <v>0.5</v>
      </c>
      <c r="AC400" s="34"/>
    </row>
    <row r="401" spans="1:29" s="55" customFormat="1">
      <c r="A401" s="60" t="s">
        <v>797</v>
      </c>
      <c r="B401" s="59">
        <v>100</v>
      </c>
      <c r="C401" s="59">
        <f>B401*313/100</f>
        <v>313</v>
      </c>
      <c r="D401" s="59">
        <f>B401*7.7/100</f>
        <v>7.7</v>
      </c>
      <c r="E401" s="59">
        <f>B401*6.7/100</f>
        <v>6.7</v>
      </c>
      <c r="F401" s="59">
        <f>B401*4.2/100</f>
        <v>4.2</v>
      </c>
      <c r="G401" s="59">
        <f>B401*1.7/100</f>
        <v>1.7</v>
      </c>
      <c r="H401" s="59">
        <f>B401*0.2/100</f>
        <v>0.2</v>
      </c>
      <c r="I401" s="59">
        <f>B401*0.1/100</f>
        <v>0.1</v>
      </c>
      <c r="J401" s="59">
        <f>B401*0.04/100</f>
        <v>0.04</v>
      </c>
      <c r="K401" s="59">
        <f>B401*28/100</f>
        <v>28</v>
      </c>
      <c r="L401" s="59">
        <f>B401*57/100</f>
        <v>57</v>
      </c>
      <c r="M401" s="59" t="s">
        <v>454</v>
      </c>
      <c r="N401" s="59">
        <f>B401*246/100</f>
        <v>246</v>
      </c>
      <c r="O401" s="59">
        <f>B401*22/100</f>
        <v>22</v>
      </c>
      <c r="P401" s="59"/>
      <c r="Q401" s="59">
        <f>B401*187/100</f>
        <v>187</v>
      </c>
      <c r="R401" s="59">
        <f>B401*0/100</f>
        <v>0</v>
      </c>
      <c r="S401" s="59">
        <f>B401*94/100</f>
        <v>94</v>
      </c>
      <c r="T401" s="59">
        <f>B401*329/100</f>
        <v>329</v>
      </c>
      <c r="U401" s="59">
        <f>B401*0.03/100</f>
        <v>0.03</v>
      </c>
      <c r="V401" s="59">
        <f>B401*0.9/100</f>
        <v>0.9</v>
      </c>
      <c r="W401" s="59">
        <f>B401*53/100</f>
        <v>53</v>
      </c>
      <c r="X401" s="59">
        <f>B401*0.06/100</f>
        <v>0.06</v>
      </c>
      <c r="Y401" s="59">
        <f>B401*0.33/100</f>
        <v>0.33</v>
      </c>
      <c r="Z401" s="59">
        <f>B401*0.57/100</f>
        <v>0.56999999999999995</v>
      </c>
      <c r="AA401" s="59" t="s">
        <v>455</v>
      </c>
      <c r="AB401" s="59"/>
      <c r="AC401" s="34"/>
    </row>
    <row r="402" spans="1:29" s="55" customFormat="1">
      <c r="A402" s="60" t="s">
        <v>798</v>
      </c>
      <c r="B402" s="59">
        <v>100</v>
      </c>
      <c r="C402" s="59">
        <f>B402*66/100</f>
        <v>66</v>
      </c>
      <c r="D402" s="59">
        <f>B402*3.1/100</f>
        <v>3.1</v>
      </c>
      <c r="E402" s="59">
        <f>B402*3.8/100</f>
        <v>3.8</v>
      </c>
      <c r="F402" s="59">
        <f>B402*2.4/100</f>
        <v>2.4</v>
      </c>
      <c r="G402" s="59">
        <f>B402*0.8/100</f>
        <v>0.8</v>
      </c>
      <c r="H402" s="59">
        <f>B402*0.1/100</f>
        <v>0.1</v>
      </c>
      <c r="I402" s="59">
        <f>B402*0.11/100</f>
        <v>0.11</v>
      </c>
      <c r="J402" s="59">
        <f>B402*0.01/100</f>
        <v>0.01</v>
      </c>
      <c r="K402" s="59">
        <f>B402*14/100</f>
        <v>14</v>
      </c>
      <c r="L402" s="59">
        <f>B402*5.2/100</f>
        <v>5.2</v>
      </c>
      <c r="M402" s="59" t="s">
        <v>454</v>
      </c>
      <c r="N402" s="59">
        <f>B402*112/100</f>
        <v>112</v>
      </c>
      <c r="O402" s="59">
        <f>B402*10/100</f>
        <v>10</v>
      </c>
      <c r="P402" s="59" t="s">
        <v>455</v>
      </c>
      <c r="Q402" s="59">
        <f>B402*113/100</f>
        <v>113</v>
      </c>
      <c r="R402" s="59">
        <f>B402*0.1/100</f>
        <v>0.1</v>
      </c>
      <c r="S402" s="59">
        <f>B402*74/100</f>
        <v>74</v>
      </c>
      <c r="T402" s="59">
        <f>B402*140/100</f>
        <v>140</v>
      </c>
      <c r="U402" s="59">
        <f>B402*0.04/100</f>
        <v>0.04</v>
      </c>
      <c r="V402" s="59">
        <f>B402*0.4/100</f>
        <v>0.4</v>
      </c>
      <c r="W402" s="59">
        <f>B402*35/100</f>
        <v>35</v>
      </c>
      <c r="X402" s="59" t="s">
        <v>455</v>
      </c>
      <c r="Y402" s="59">
        <f>B402*0.14/100</f>
        <v>0.14000000000000001</v>
      </c>
      <c r="Z402" s="59" t="s">
        <v>455</v>
      </c>
      <c r="AA402" s="59" t="s">
        <v>455</v>
      </c>
      <c r="AB402" s="59" t="s">
        <v>455</v>
      </c>
      <c r="AC402" s="34"/>
    </row>
    <row r="403" spans="1:29" s="55" customFormat="1">
      <c r="A403" s="60" t="s">
        <v>799</v>
      </c>
      <c r="B403" s="59">
        <v>100</v>
      </c>
      <c r="C403" s="59">
        <f>B403*83/100</f>
        <v>83</v>
      </c>
      <c r="D403" s="59">
        <f>B403*2.1/100</f>
        <v>2.1</v>
      </c>
      <c r="E403" s="59">
        <f>B403*2.2/100</f>
        <v>2.2000000000000002</v>
      </c>
      <c r="F403" s="59">
        <f>B403*1.1/100</f>
        <v>1.1000000000000001</v>
      </c>
      <c r="G403" s="59">
        <f>B403*0.6/100</f>
        <v>0.6</v>
      </c>
      <c r="H403" s="59">
        <f>B403*0.1/100</f>
        <v>0.1</v>
      </c>
      <c r="I403" s="59">
        <f>B403*0.11/100</f>
        <v>0.11</v>
      </c>
      <c r="J403" s="59">
        <f>B403*0.01/100</f>
        <v>0.01</v>
      </c>
      <c r="K403" s="59">
        <f>B403*6/100</f>
        <v>6</v>
      </c>
      <c r="L403" s="59">
        <f>B403*14.2/100</f>
        <v>14.2</v>
      </c>
      <c r="M403" s="59">
        <f>B403*0.6/100</f>
        <v>0.6</v>
      </c>
      <c r="N403" s="59">
        <f>B403*70/100</f>
        <v>70</v>
      </c>
      <c r="O403" s="59">
        <f>B403*13/100</f>
        <v>13</v>
      </c>
      <c r="P403" s="59">
        <f>B403*0.05/100</f>
        <v>0.05</v>
      </c>
      <c r="Q403" s="59">
        <f>B403*71/100</f>
        <v>71</v>
      </c>
      <c r="R403" s="59">
        <f>B403*0.5/100</f>
        <v>0.5</v>
      </c>
      <c r="S403" s="59">
        <f>B403*72/100</f>
        <v>72</v>
      </c>
      <c r="T403" s="59">
        <f>B403*155/100</f>
        <v>155</v>
      </c>
      <c r="U403" s="59">
        <f>B403*0.04/100</f>
        <v>0.04</v>
      </c>
      <c r="V403" s="59">
        <f>B403*0.3/100</f>
        <v>0.3</v>
      </c>
      <c r="W403" s="59">
        <f>B403*39/100</f>
        <v>39</v>
      </c>
      <c r="X403" s="59">
        <f>B403*0.07/100</f>
        <v>7.0000000000000007E-2</v>
      </c>
      <c r="Y403" s="59">
        <f>B403*0.29/100</f>
        <v>0.28999999999999998</v>
      </c>
      <c r="Z403" s="59">
        <f>B403*0.14/100</f>
        <v>0.14000000000000001</v>
      </c>
      <c r="AA403" s="59">
        <f>B403*1.23/100</f>
        <v>1.23</v>
      </c>
      <c r="AB403" s="59">
        <f>B403*3.3/100</f>
        <v>3.3</v>
      </c>
      <c r="AC403" s="34"/>
    </row>
    <row r="404" spans="1:29" s="55" customFormat="1">
      <c r="A404" s="60" t="s">
        <v>800</v>
      </c>
      <c r="B404" s="59">
        <v>100</v>
      </c>
      <c r="C404" s="59">
        <f>B404*362/100</f>
        <v>362</v>
      </c>
      <c r="D404" s="59">
        <f>B404*34.7/100</f>
        <v>34.700000000000003</v>
      </c>
      <c r="E404" s="59">
        <f>B404*0.9/100</f>
        <v>0.9</v>
      </c>
      <c r="F404" s="59">
        <f>B404*0.6/100</f>
        <v>0.6</v>
      </c>
      <c r="G404" s="59">
        <f>B404*0.2/100</f>
        <v>0.2</v>
      </c>
      <c r="H404" s="59" t="s">
        <v>455</v>
      </c>
      <c r="I404" s="59">
        <f>B404*0.03/100</f>
        <v>0.03</v>
      </c>
      <c r="J404" s="59" t="s">
        <v>455</v>
      </c>
      <c r="K404" s="59">
        <f>B404*25/100</f>
        <v>25</v>
      </c>
      <c r="L404" s="59">
        <f>B404*53/100</f>
        <v>53</v>
      </c>
      <c r="M404" s="59" t="s">
        <v>454</v>
      </c>
      <c r="N404" s="59">
        <f>B404*1363/100</f>
        <v>1363</v>
      </c>
      <c r="O404" s="59">
        <f>B404*109/100</f>
        <v>109</v>
      </c>
      <c r="P404" s="59" t="s">
        <v>455</v>
      </c>
      <c r="Q404" s="59">
        <f>B404*1673/100</f>
        <v>1673</v>
      </c>
      <c r="R404" s="59">
        <f>B404*0.9/100</f>
        <v>0.9</v>
      </c>
      <c r="S404" s="59">
        <f>B404*432/100</f>
        <v>432</v>
      </c>
      <c r="T404" s="59">
        <f>B404*1556/100</f>
        <v>1556</v>
      </c>
      <c r="U404" s="59">
        <f>B404*0.16/100</f>
        <v>0.16</v>
      </c>
      <c r="V404" s="59">
        <f>B404*3.8/100</f>
        <v>3.8</v>
      </c>
      <c r="W404" s="59">
        <f>B404*299/100</f>
        <v>299</v>
      </c>
      <c r="X404" s="59">
        <f>B404*0.32/100</f>
        <v>0.32</v>
      </c>
      <c r="Y404" s="59">
        <f>B404*1.2/100</f>
        <v>1.2</v>
      </c>
      <c r="Z404" s="59" t="s">
        <v>455</v>
      </c>
      <c r="AA404" s="59">
        <f>B404*0.81/100</f>
        <v>0.81</v>
      </c>
      <c r="AB404" s="59"/>
      <c r="AC404" s="34"/>
    </row>
    <row r="405" spans="1:29" s="64" customFormat="1">
      <c r="A405" s="46" t="s">
        <v>809</v>
      </c>
      <c r="B405" s="47">
        <v>100</v>
      </c>
      <c r="C405" s="47" t="s">
        <v>23</v>
      </c>
      <c r="D405" s="47" t="s">
        <v>23</v>
      </c>
      <c r="E405" s="47" t="s">
        <v>23</v>
      </c>
      <c r="F405" s="47"/>
      <c r="G405" s="47"/>
      <c r="H405" s="47"/>
      <c r="I405" s="47"/>
      <c r="J405" s="47"/>
      <c r="K405" s="47" t="s">
        <v>23</v>
      </c>
      <c r="L405" s="47" t="s">
        <v>23</v>
      </c>
      <c r="M405" s="47" t="s">
        <v>454</v>
      </c>
      <c r="N405" s="47">
        <f>B405*134/100</f>
        <v>134</v>
      </c>
      <c r="O405" s="47">
        <f>B405*10/100</f>
        <v>10</v>
      </c>
      <c r="P405" s="47" t="s">
        <v>455</v>
      </c>
      <c r="Q405" s="47">
        <f>B405*85/100</f>
        <v>85</v>
      </c>
      <c r="R405" s="47" t="s">
        <v>455</v>
      </c>
      <c r="S405" s="47">
        <f>B405*51/100</f>
        <v>51</v>
      </c>
      <c r="T405" s="47">
        <f>B405*140/100</f>
        <v>140</v>
      </c>
      <c r="U405" s="47">
        <f>B405*0.02/100</f>
        <v>0.02</v>
      </c>
      <c r="V405" s="47">
        <f>B405*0.4/100</f>
        <v>0.4</v>
      </c>
      <c r="W405" s="47" t="s">
        <v>455</v>
      </c>
      <c r="X405" s="47">
        <f>B405*0.04/100</f>
        <v>0.04</v>
      </c>
      <c r="Y405" s="47">
        <f>B405*0.26/100</f>
        <v>0.26</v>
      </c>
      <c r="Z405" s="47" t="s">
        <v>455</v>
      </c>
      <c r="AA405" s="47">
        <f>B405*1.49/100</f>
        <v>1.49</v>
      </c>
      <c r="AB405" s="47"/>
      <c r="AC405" s="34"/>
    </row>
    <row r="406" spans="1:29" s="55" customFormat="1">
      <c r="A406" s="60" t="s">
        <v>801</v>
      </c>
      <c r="B406" s="59">
        <v>100</v>
      </c>
      <c r="C406" s="59" t="s">
        <v>23</v>
      </c>
      <c r="D406" s="59" t="s">
        <v>23</v>
      </c>
      <c r="E406" s="59" t="s">
        <v>23</v>
      </c>
      <c r="F406" s="59">
        <f>B406*1.4/100</f>
        <v>1.4</v>
      </c>
      <c r="G406" s="59">
        <f>B406*0.7/100</f>
        <v>0.7</v>
      </c>
      <c r="H406" s="59">
        <f>B406*0.1/100</f>
        <v>0.1</v>
      </c>
      <c r="I406" s="59">
        <f>B406*0.04/100</f>
        <v>0.04</v>
      </c>
      <c r="J406" s="59">
        <f>B406*0.02/100</f>
        <v>0.02</v>
      </c>
      <c r="K406" s="59">
        <f>B406*10/100</f>
        <v>10</v>
      </c>
      <c r="L406" s="59" t="s">
        <v>23</v>
      </c>
      <c r="M406" s="59" t="s">
        <v>454</v>
      </c>
      <c r="N406" s="59">
        <f>B406*123/100</f>
        <v>123</v>
      </c>
      <c r="O406" s="59">
        <f>B406*10/100</f>
        <v>10</v>
      </c>
      <c r="P406" s="59" t="s">
        <v>455</v>
      </c>
      <c r="Q406" s="59">
        <f>B406*82/100</f>
        <v>82</v>
      </c>
      <c r="R406" s="59" t="s">
        <v>455</v>
      </c>
      <c r="S406" s="59">
        <f>B406*64/100</f>
        <v>64</v>
      </c>
      <c r="T406" s="59">
        <f>B406*133/100</f>
        <v>133</v>
      </c>
      <c r="U406" s="59">
        <f>B406*0.02/100</f>
        <v>0.02</v>
      </c>
      <c r="V406" s="59">
        <f>B406*0.4/100</f>
        <v>0.4</v>
      </c>
      <c r="W406" s="59">
        <f>B406*21/100</f>
        <v>21</v>
      </c>
      <c r="X406" s="59">
        <f>B406*0.04/100</f>
        <v>0.04</v>
      </c>
      <c r="Y406" s="59">
        <f>B406*0.24/100</f>
        <v>0.24</v>
      </c>
      <c r="Z406" s="59" t="s">
        <v>455</v>
      </c>
      <c r="AA406" s="59">
        <f>B406*1.52/100</f>
        <v>1.52</v>
      </c>
      <c r="AB406" s="59"/>
      <c r="AC406" s="34"/>
    </row>
    <row r="407" spans="1:29" s="55" customFormat="1">
      <c r="A407" s="60" t="s">
        <v>802</v>
      </c>
      <c r="B407" s="59">
        <v>100</v>
      </c>
      <c r="C407" s="59">
        <f>B407*497/100</f>
        <v>497</v>
      </c>
      <c r="D407" s="59">
        <f>B407*25.4/100</f>
        <v>25.4</v>
      </c>
      <c r="E407" s="59">
        <f>B407*26.9/100</f>
        <v>26.9</v>
      </c>
      <c r="F407" s="59">
        <f>B407*16.3/100</f>
        <v>16.3</v>
      </c>
      <c r="G407" s="59">
        <f>B407*7.1/100</f>
        <v>7.1</v>
      </c>
      <c r="H407" s="59">
        <f>B407*0.5/100</f>
        <v>0.5</v>
      </c>
      <c r="I407" s="59">
        <f>B407*0.41/100</f>
        <v>0.41</v>
      </c>
      <c r="J407" s="59">
        <f>B407*0.1/100</f>
        <v>0.1</v>
      </c>
      <c r="K407" s="59">
        <f>B407*85/100</f>
        <v>85</v>
      </c>
      <c r="L407" s="59">
        <f>B407*39.2/100</f>
        <v>39.200000000000003</v>
      </c>
      <c r="M407" s="59" t="s">
        <v>454</v>
      </c>
      <c r="N407" s="59">
        <f>B407*890/100</f>
        <v>890</v>
      </c>
      <c r="O407" s="59">
        <f>B407*77/100</f>
        <v>77</v>
      </c>
      <c r="P407" s="59" t="s">
        <v>455</v>
      </c>
      <c r="Q407" s="59">
        <f>B407*1242/100</f>
        <v>1242</v>
      </c>
      <c r="R407" s="59">
        <f>B407*0.5/100</f>
        <v>0.5</v>
      </c>
      <c r="S407" s="59">
        <f>B407*323/100</f>
        <v>323</v>
      </c>
      <c r="T407" s="59">
        <f>B407*1132/100</f>
        <v>1132</v>
      </c>
      <c r="U407" s="59">
        <f>B407*0.11/100</f>
        <v>0.11</v>
      </c>
      <c r="V407" s="59">
        <f>B407*2.7/100</f>
        <v>2.7</v>
      </c>
      <c r="W407" s="59">
        <f>B407*361/100</f>
        <v>361</v>
      </c>
      <c r="X407" s="59">
        <f>B407*0.24/100</f>
        <v>0.24</v>
      </c>
      <c r="Y407" s="59">
        <f>B407*1.03/100</f>
        <v>1.03</v>
      </c>
      <c r="Z407" s="59" t="s">
        <v>455</v>
      </c>
      <c r="AA407" s="59" t="s">
        <v>23</v>
      </c>
      <c r="AB407" s="59"/>
      <c r="AC407" s="34"/>
    </row>
    <row r="408" spans="1:29" s="55" customFormat="1">
      <c r="A408" s="60" t="s">
        <v>803</v>
      </c>
      <c r="B408" s="59">
        <v>100</v>
      </c>
      <c r="C408" s="59">
        <f>B408*264/100</f>
        <v>264</v>
      </c>
      <c r="D408" s="59">
        <f>B408*17.4/100</f>
        <v>17.399999999999999</v>
      </c>
      <c r="E408" s="59">
        <f>B408*20.2/100</f>
        <v>20.2</v>
      </c>
      <c r="F408" s="59">
        <f>B408*11.4/100</f>
        <v>11.4</v>
      </c>
      <c r="G408" s="59">
        <f>B408*5.8/100</f>
        <v>5.8</v>
      </c>
      <c r="H408" s="59">
        <f>B408*0.4/100</f>
        <v>0.4</v>
      </c>
      <c r="I408" s="59">
        <f>B408*0.28/100</f>
        <v>0.28000000000000003</v>
      </c>
      <c r="J408" s="59">
        <f>B408*0.06/100</f>
        <v>0.06</v>
      </c>
      <c r="K408" s="59">
        <f>B408*62/100</f>
        <v>62</v>
      </c>
      <c r="L408" s="59">
        <f>B408*3.2/100</f>
        <v>3.2</v>
      </c>
      <c r="M408" s="59" t="s">
        <v>454</v>
      </c>
      <c r="N408" s="59">
        <f>B408*579/100</f>
        <v>579</v>
      </c>
      <c r="O408" s="59">
        <f>B408*7/100</f>
        <v>7</v>
      </c>
      <c r="P408" s="59">
        <f>B408*0.02/100</f>
        <v>0.02</v>
      </c>
      <c r="Q408" s="59">
        <f>B408*123/100</f>
        <v>123</v>
      </c>
      <c r="R408" s="59">
        <f>B408*0.9/100</f>
        <v>0.9</v>
      </c>
      <c r="S408" s="59">
        <f>B408*31/100</f>
        <v>31</v>
      </c>
      <c r="T408" s="59">
        <f>B408*105/100</f>
        <v>105</v>
      </c>
      <c r="U408" s="59" t="s">
        <v>455</v>
      </c>
      <c r="V408" s="59">
        <f>B408*0.3/100</f>
        <v>0.3</v>
      </c>
      <c r="W408" s="59">
        <f>B408*161/100</f>
        <v>161</v>
      </c>
      <c r="X408" s="59" t="s">
        <v>455</v>
      </c>
      <c r="Y408" s="59">
        <f>B408*0.25/100</f>
        <v>0.25</v>
      </c>
      <c r="Z408" s="59" t="s">
        <v>455</v>
      </c>
      <c r="AA408" s="59" t="s">
        <v>455</v>
      </c>
      <c r="AB408" s="59" t="s">
        <v>455</v>
      </c>
      <c r="AC408" s="34"/>
    </row>
    <row r="409" spans="1:29" s="55" customFormat="1">
      <c r="A409" s="60" t="s">
        <v>804</v>
      </c>
      <c r="B409" s="59">
        <v>100</v>
      </c>
      <c r="C409" s="59">
        <f>B409*453/100</f>
        <v>453</v>
      </c>
      <c r="D409" s="59">
        <f>B409*35.6/100</f>
        <v>35.6</v>
      </c>
      <c r="E409" s="59">
        <f>B409*33.5/100</f>
        <v>33.5</v>
      </c>
      <c r="F409" s="59">
        <f>B409*19.7/100</f>
        <v>19.7</v>
      </c>
      <c r="G409" s="59">
        <f>B409*8.7/100</f>
        <v>8.6999999999999993</v>
      </c>
      <c r="H409" s="59">
        <f>B409*0.4/100</f>
        <v>0.4</v>
      </c>
      <c r="I409" s="59">
        <f>B409*0.29/100</f>
        <v>0.28999999999999998</v>
      </c>
      <c r="J409" s="59">
        <f>B409*0.11/100</f>
        <v>0.11</v>
      </c>
      <c r="K409" s="59">
        <f>B409*106/100</f>
        <v>106</v>
      </c>
      <c r="L409" s="59">
        <f>B409*1.7/100</f>
        <v>1.7</v>
      </c>
      <c r="M409" s="59" t="s">
        <v>454</v>
      </c>
      <c r="N409" s="59">
        <f>B409*992/100</f>
        <v>992</v>
      </c>
      <c r="O409" s="59">
        <f>B409*33/100</f>
        <v>33</v>
      </c>
      <c r="P409" s="59">
        <f>B409*0.05/100</f>
        <v>0.05</v>
      </c>
      <c r="Q409" s="59">
        <f>B409*745/100</f>
        <v>745</v>
      </c>
      <c r="R409" s="59">
        <f>B409*0.5/100</f>
        <v>0.5</v>
      </c>
      <c r="S409" s="59">
        <f>B409*1844/100</f>
        <v>1844</v>
      </c>
      <c r="T409" s="59">
        <f>B409*96/100</f>
        <v>96</v>
      </c>
      <c r="U409" s="59">
        <f>B409*0.17/100</f>
        <v>0.17</v>
      </c>
      <c r="V409" s="59">
        <f>B409*4.4/100</f>
        <v>4.4000000000000004</v>
      </c>
      <c r="W409" s="59">
        <f>B409*66/100</f>
        <v>66</v>
      </c>
      <c r="X409" s="59" t="s">
        <v>455</v>
      </c>
      <c r="Y409" s="59">
        <f>B409*0.44/100</f>
        <v>0.44</v>
      </c>
      <c r="Z409" s="59">
        <f>B409*0.23/100</f>
        <v>0.23</v>
      </c>
      <c r="AA409" s="59" t="s">
        <v>455</v>
      </c>
      <c r="AB409" s="59" t="s">
        <v>455</v>
      </c>
      <c r="AC409" s="34"/>
    </row>
    <row r="410" spans="1:29" s="55" customFormat="1">
      <c r="A410" s="60" t="s">
        <v>805</v>
      </c>
      <c r="B410" s="59">
        <v>100</v>
      </c>
      <c r="C410" s="59">
        <f>B410*303/100</f>
        <v>303</v>
      </c>
      <c r="D410" s="59">
        <f>B410*9.4/100</f>
        <v>9.4</v>
      </c>
      <c r="E410" s="59">
        <f>B410*27.4/100</f>
        <v>27.4</v>
      </c>
      <c r="F410" s="59">
        <f>B410*15.9/100</f>
        <v>15.9</v>
      </c>
      <c r="G410" s="59">
        <f>B410*7.3/100</f>
        <v>7.3</v>
      </c>
      <c r="H410" s="59">
        <f>B410*0.4/100</f>
        <v>0.4</v>
      </c>
      <c r="I410" s="59">
        <f>B410*0.33/100</f>
        <v>0.33</v>
      </c>
      <c r="J410" s="59">
        <f>B410*0.08/100</f>
        <v>0.08</v>
      </c>
      <c r="K410" s="59">
        <f>B410*82/100</f>
        <v>82</v>
      </c>
      <c r="L410" s="59">
        <f>B410*5.7/100</f>
        <v>5.7</v>
      </c>
      <c r="M410" s="59" t="s">
        <v>454</v>
      </c>
      <c r="N410" s="59">
        <f>B410*323/100</f>
        <v>323</v>
      </c>
      <c r="O410" s="59">
        <f>B410*16/100</f>
        <v>16</v>
      </c>
      <c r="P410" s="59">
        <f>B410*0.01/100</f>
        <v>0.01</v>
      </c>
      <c r="Q410" s="59">
        <f>B410*578/100</f>
        <v>578</v>
      </c>
      <c r="R410" s="59">
        <f>B410*0.3/100</f>
        <v>0.3</v>
      </c>
      <c r="S410" s="59">
        <f>B410*780/100</f>
        <v>780</v>
      </c>
      <c r="T410" s="59">
        <f>B410*194/100</f>
        <v>194</v>
      </c>
      <c r="U410" s="59">
        <f>B410*0.05/100</f>
        <v>0.05</v>
      </c>
      <c r="V410" s="59">
        <f>B410*1.3/100</f>
        <v>1.3</v>
      </c>
      <c r="W410" s="59">
        <f>B410*57/100</f>
        <v>57</v>
      </c>
      <c r="X410" s="59" t="s">
        <v>455</v>
      </c>
      <c r="Y410" s="59">
        <f>B410*0.2/100</f>
        <v>0.2</v>
      </c>
      <c r="Z410" s="59" t="s">
        <v>455</v>
      </c>
      <c r="AA410" s="59" t="s">
        <v>455</v>
      </c>
      <c r="AB410" s="59" t="s">
        <v>455</v>
      </c>
      <c r="AC410" s="34"/>
    </row>
    <row r="411" spans="1:29" s="55" customFormat="1">
      <c r="A411" s="60" t="s">
        <v>807</v>
      </c>
      <c r="B411" s="59">
        <v>100</v>
      </c>
      <c r="C411" s="59">
        <f>B411*121/100</f>
        <v>121</v>
      </c>
      <c r="D411" s="59">
        <f>B411*5.8/100</f>
        <v>5.8</v>
      </c>
      <c r="E411" s="59">
        <f>B411*2.8/100</f>
        <v>2.8</v>
      </c>
      <c r="F411" s="59">
        <f>B411*1.6/100</f>
        <v>1.6</v>
      </c>
      <c r="G411" s="59">
        <f>B411*0.8/100</f>
        <v>0.8</v>
      </c>
      <c r="H411" s="59" t="s">
        <v>455</v>
      </c>
      <c r="I411" s="59">
        <f>B411*0.04/100</f>
        <v>0.04</v>
      </c>
      <c r="J411" s="59">
        <f>B411*0.01/100</f>
        <v>0.01</v>
      </c>
      <c r="K411" s="59">
        <f>B411*12/100</f>
        <v>12</v>
      </c>
      <c r="L411" s="59">
        <f>B411*18.5/100</f>
        <v>18.5</v>
      </c>
      <c r="M411" s="59" t="s">
        <v>454</v>
      </c>
      <c r="N411" s="59">
        <f>B411*731/100</f>
        <v>731</v>
      </c>
      <c r="O411" s="59">
        <f>B411*27/100</f>
        <v>27</v>
      </c>
      <c r="P411" s="59">
        <f>B411*0.02/100</f>
        <v>0.02</v>
      </c>
      <c r="Q411" s="59">
        <f>B411*448/100</f>
        <v>448</v>
      </c>
      <c r="R411" s="59">
        <f>B411*0.1/100</f>
        <v>0.1</v>
      </c>
      <c r="S411" s="59">
        <f>B411*412/100</f>
        <v>412</v>
      </c>
      <c r="T411" s="59">
        <f>B411*121/100</f>
        <v>121</v>
      </c>
      <c r="U411" s="59">
        <f>B411*0.01/100</f>
        <v>0.01</v>
      </c>
      <c r="V411" s="59">
        <f>B411*2.7/100</f>
        <v>2.7</v>
      </c>
      <c r="W411" s="59">
        <f>B411*273/100</f>
        <v>273</v>
      </c>
      <c r="X411" s="59">
        <f>B411*0.22/100</f>
        <v>0.22</v>
      </c>
      <c r="Y411" s="59">
        <f>B411*0.27/100</f>
        <v>0.27</v>
      </c>
      <c r="Z411" s="59">
        <f>B411*0.21/100</f>
        <v>0.21</v>
      </c>
      <c r="AA411" s="59">
        <f>B411*2.68/100</f>
        <v>2.68</v>
      </c>
      <c r="AB411" s="59" t="s">
        <v>455</v>
      </c>
      <c r="AC411" s="34"/>
    </row>
    <row r="412" spans="1:29" s="55" customFormat="1">
      <c r="A412" s="60" t="s">
        <v>806</v>
      </c>
      <c r="B412" s="59">
        <v>100</v>
      </c>
      <c r="C412" s="59">
        <f>B412*257/100</f>
        <v>257</v>
      </c>
      <c r="D412" s="59">
        <f>B412*9.6/100</f>
        <v>9.6</v>
      </c>
      <c r="E412" s="59">
        <f>B412*23.4/100</f>
        <v>23.4</v>
      </c>
      <c r="F412" s="59">
        <f>B412*13.7/100</f>
        <v>13.7</v>
      </c>
      <c r="G412" s="59">
        <f>B412*6.4/100</f>
        <v>6.4</v>
      </c>
      <c r="H412" s="59">
        <f>B412*0.3/100</f>
        <v>0.3</v>
      </c>
      <c r="I412" s="59">
        <f>B412*0.24/100</f>
        <v>0.24</v>
      </c>
      <c r="J412" s="59">
        <f>B412*0.07/100</f>
        <v>7.0000000000000007E-2</v>
      </c>
      <c r="K412" s="59">
        <f>B412*74/100</f>
        <v>74</v>
      </c>
      <c r="L412" s="59">
        <f>B412*2.4/100</f>
        <v>2.4</v>
      </c>
      <c r="M412" s="59" t="s">
        <v>454</v>
      </c>
      <c r="N412" s="59">
        <f>B412*259/100</f>
        <v>259</v>
      </c>
      <c r="O412" s="59">
        <f>B412*12/100</f>
        <v>12</v>
      </c>
      <c r="P412" s="59">
        <f>B412*0.02/100</f>
        <v>0.02</v>
      </c>
      <c r="Q412" s="59">
        <f>B412*448/100</f>
        <v>448</v>
      </c>
      <c r="R412" s="59">
        <f>B412*0.1/100</f>
        <v>0.1</v>
      </c>
      <c r="S412" s="59">
        <f>B412*558/100</f>
        <v>558</v>
      </c>
      <c r="T412" s="59">
        <f>B412*93/100</f>
        <v>93</v>
      </c>
      <c r="U412" s="59">
        <f>B412*0.05/100</f>
        <v>0.05</v>
      </c>
      <c r="V412" s="59">
        <f>B412*1.3/100</f>
        <v>1.3</v>
      </c>
      <c r="W412" s="59">
        <f>B412*195/100</f>
        <v>195</v>
      </c>
      <c r="X412" s="59" t="s">
        <v>455</v>
      </c>
      <c r="Y412" s="59">
        <f>B412*0.19/100</f>
        <v>0.19</v>
      </c>
      <c r="Z412" s="59" t="s">
        <v>455</v>
      </c>
      <c r="AA412" s="59" t="s">
        <v>455</v>
      </c>
      <c r="AB412" s="59" t="s">
        <v>455</v>
      </c>
      <c r="AC412" s="34"/>
    </row>
    <row r="413" spans="1:29" s="55" customFormat="1">
      <c r="A413" s="60" t="s">
        <v>808</v>
      </c>
      <c r="B413" s="59">
        <v>100</v>
      </c>
      <c r="C413" s="59">
        <f>B413*140/100</f>
        <v>140</v>
      </c>
      <c r="D413" s="59">
        <f>B413*12.6/100</f>
        <v>12.6</v>
      </c>
      <c r="E413" s="59">
        <f>B413*8.1/100</f>
        <v>8.1</v>
      </c>
      <c r="F413" s="59">
        <f>B413*4.5/100</f>
        <v>4.5</v>
      </c>
      <c r="G413" s="59">
        <f>B413*2.4/100</f>
        <v>2.4</v>
      </c>
      <c r="H413" s="59">
        <f>B413*0.2/100</f>
        <v>0.2</v>
      </c>
      <c r="I413" s="59">
        <f>B413*0.14/100</f>
        <v>0.14000000000000001</v>
      </c>
      <c r="J413" s="59">
        <f>B413*0.02/100</f>
        <v>0.02</v>
      </c>
      <c r="K413" s="59">
        <f>B413*49/100</f>
        <v>49</v>
      </c>
      <c r="L413" s="59">
        <f>B413*3.8/100</f>
        <v>3.8</v>
      </c>
      <c r="M413" s="59" t="s">
        <v>454</v>
      </c>
      <c r="N413" s="59">
        <f>B413*253/100</f>
        <v>253</v>
      </c>
      <c r="O413" s="59">
        <f>B413*12/100</f>
        <v>12</v>
      </c>
      <c r="P413" s="59" t="s">
        <v>455</v>
      </c>
      <c r="Q413" s="59">
        <f>B413*162/100</f>
        <v>162</v>
      </c>
      <c r="R413" s="59">
        <f>B413*0.1/100</f>
        <v>0.1</v>
      </c>
      <c r="S413" s="59">
        <f>B413*283/100</f>
        <v>283</v>
      </c>
      <c r="T413" s="59">
        <f>B413*112/100</f>
        <v>112</v>
      </c>
      <c r="U413" s="59" t="s">
        <v>455</v>
      </c>
      <c r="V413" s="59">
        <f>B413*0.5/100</f>
        <v>0.5</v>
      </c>
      <c r="W413" s="59">
        <f>B413*53/100</f>
        <v>53</v>
      </c>
      <c r="X413" s="59" t="s">
        <v>455</v>
      </c>
      <c r="Y413" s="59">
        <f>B413*0.15/100</f>
        <v>0.15</v>
      </c>
      <c r="Z413" s="59" t="s">
        <v>455</v>
      </c>
      <c r="AA413" s="59" t="s">
        <v>455</v>
      </c>
      <c r="AB413" s="59" t="s">
        <v>455</v>
      </c>
      <c r="AC413" s="34"/>
    </row>
    <row r="414" spans="1:29">
      <c r="A414" s="21" t="s">
        <v>813</v>
      </c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34"/>
    </row>
    <row r="415" spans="1:29" s="73" customFormat="1">
      <c r="A415" s="49" t="s">
        <v>815</v>
      </c>
      <c r="B415" s="50">
        <v>100</v>
      </c>
      <c r="C415" s="50">
        <f>B415*26/100</f>
        <v>26</v>
      </c>
      <c r="D415" s="50">
        <v>0</v>
      </c>
      <c r="E415" s="50">
        <v>0</v>
      </c>
      <c r="F415" s="50"/>
      <c r="G415" s="50"/>
      <c r="H415" s="50"/>
      <c r="I415" s="50"/>
      <c r="J415" s="50"/>
      <c r="K415" s="50" t="s">
        <v>454</v>
      </c>
      <c r="L415" s="50">
        <f>B415*6.4/100</f>
        <v>6.4</v>
      </c>
      <c r="M415" s="50" t="s">
        <v>454</v>
      </c>
      <c r="N415" s="50">
        <f>B415*1/100</f>
        <v>1</v>
      </c>
      <c r="O415" s="50" t="s">
        <v>455</v>
      </c>
      <c r="P415" s="50" t="s">
        <v>455</v>
      </c>
      <c r="Q415" s="50">
        <f>B415*9/100</f>
        <v>9</v>
      </c>
      <c r="R415" s="50">
        <f>B415*0.7/100</f>
        <v>0.7</v>
      </c>
      <c r="S415" s="50">
        <f>B415*44/100</f>
        <v>44</v>
      </c>
      <c r="T415" s="50">
        <f>B415*13/100</f>
        <v>13</v>
      </c>
      <c r="U415" s="50" t="s">
        <v>455</v>
      </c>
      <c r="V415" s="50" t="s">
        <v>455</v>
      </c>
      <c r="W415" s="50" t="s">
        <v>454</v>
      </c>
      <c r="X415" s="50"/>
      <c r="Y415" s="50"/>
      <c r="Z415" s="50"/>
      <c r="AA415" s="50"/>
      <c r="AB415" s="50"/>
      <c r="AC415" s="6"/>
    </row>
    <row r="416" spans="1:29" s="73" customFormat="1">
      <c r="A416" s="49" t="s">
        <v>816</v>
      </c>
      <c r="B416" s="50">
        <v>100</v>
      </c>
      <c r="C416" s="50">
        <f>B416*9/100</f>
        <v>9</v>
      </c>
      <c r="D416" s="50">
        <f>B416*0.7/100</f>
        <v>0.7</v>
      </c>
      <c r="E416" s="50">
        <f>B416*0.1/100</f>
        <v>0.1</v>
      </c>
      <c r="F416" s="50"/>
      <c r="G416" s="50"/>
      <c r="H416" s="50"/>
      <c r="I416" s="50"/>
      <c r="J416" s="50"/>
      <c r="K416" s="50" t="s">
        <v>454</v>
      </c>
      <c r="L416" s="50">
        <f>B416*1.5/100</f>
        <v>1.5</v>
      </c>
      <c r="M416" s="50" t="s">
        <v>454</v>
      </c>
      <c r="N416" s="50">
        <f>B416*3/100</f>
        <v>3</v>
      </c>
      <c r="O416" s="50">
        <f>B416*10/100</f>
        <v>10</v>
      </c>
      <c r="P416" s="50">
        <f>B416*0.04/100</f>
        <v>0.04</v>
      </c>
      <c r="Q416" s="50">
        <f>B416*9/100</f>
        <v>9</v>
      </c>
      <c r="R416" s="50" t="s">
        <v>455</v>
      </c>
      <c r="S416" s="50">
        <f>B416*1/100</f>
        <v>1</v>
      </c>
      <c r="T416" s="50">
        <f>B416*156/100</f>
        <v>156</v>
      </c>
      <c r="U416" s="50">
        <f>B416*0.01/100</f>
        <v>0.01</v>
      </c>
      <c r="V416" s="50" t="s">
        <v>455</v>
      </c>
      <c r="W416" s="50" t="s">
        <v>454</v>
      </c>
      <c r="X416" s="50"/>
      <c r="Y416" s="50"/>
      <c r="Z416" s="50"/>
      <c r="AA416" s="50"/>
      <c r="AB416" s="50"/>
      <c r="AC416" s="6"/>
    </row>
    <row r="417" spans="1:29" s="64" customFormat="1" ht="15">
      <c r="A417" s="49" t="s">
        <v>951</v>
      </c>
      <c r="B417" s="47">
        <v>100</v>
      </c>
      <c r="C417" s="47">
        <f>B417*216/100</f>
        <v>216</v>
      </c>
      <c r="D417" s="47"/>
      <c r="E417" s="47"/>
      <c r="F417" s="47"/>
      <c r="G417" s="47"/>
      <c r="H417" s="47"/>
      <c r="I417" s="47"/>
      <c r="J417" s="47"/>
      <c r="K417" s="50" t="s">
        <v>454</v>
      </c>
      <c r="L417" s="47"/>
      <c r="M417" s="47" t="s">
        <v>454</v>
      </c>
      <c r="N417" s="47" t="s">
        <v>455</v>
      </c>
      <c r="O417" s="47" t="s">
        <v>455</v>
      </c>
      <c r="P417" s="47" t="s">
        <v>455</v>
      </c>
      <c r="Q417" s="47" t="s">
        <v>455</v>
      </c>
      <c r="R417" s="47" t="s">
        <v>455</v>
      </c>
      <c r="S417" s="47">
        <f>B417*3/100</f>
        <v>3</v>
      </c>
      <c r="T417" s="47" t="s">
        <v>455</v>
      </c>
      <c r="U417" s="47">
        <f>B417*0.06/100</f>
        <v>0.06</v>
      </c>
      <c r="V417" s="47" t="s">
        <v>455</v>
      </c>
      <c r="W417" s="47" t="s">
        <v>454</v>
      </c>
      <c r="X417" s="47" t="s">
        <v>455</v>
      </c>
      <c r="Y417" s="47" t="s">
        <v>455</v>
      </c>
      <c r="Z417" s="47" t="s">
        <v>455</v>
      </c>
      <c r="AA417" s="47" t="s">
        <v>455</v>
      </c>
      <c r="AB417" s="47"/>
      <c r="AC417" s="34"/>
    </row>
    <row r="418" spans="1:29" s="64" customFormat="1">
      <c r="A418" s="49" t="s">
        <v>817</v>
      </c>
      <c r="B418" s="47">
        <v>100</v>
      </c>
      <c r="C418" s="47">
        <f>B418*65/100</f>
        <v>65</v>
      </c>
      <c r="D418" s="47" t="s">
        <v>455</v>
      </c>
      <c r="E418" s="47" t="s">
        <v>455</v>
      </c>
      <c r="F418" s="47"/>
      <c r="G418" s="47"/>
      <c r="H418" s="47"/>
      <c r="I418" s="47"/>
      <c r="J418" s="47"/>
      <c r="K418" s="47" t="s">
        <v>454</v>
      </c>
      <c r="L418" s="47">
        <f>B418*18.2/100</f>
        <v>18.2</v>
      </c>
      <c r="M418" s="47">
        <f>B418*0.1/100</f>
        <v>0.1</v>
      </c>
      <c r="N418" s="47">
        <f>B418*9/100</f>
        <v>9</v>
      </c>
      <c r="O418" s="47">
        <f>B418*12/100</f>
        <v>12</v>
      </c>
      <c r="P418" s="47">
        <f>B418*0.21/100</f>
        <v>0.21</v>
      </c>
      <c r="Q418" s="47">
        <f>B418*5/100</f>
        <v>5</v>
      </c>
      <c r="R418" s="47">
        <f>B418*0.8/100</f>
        <v>0.8</v>
      </c>
      <c r="S418" s="47" t="s">
        <v>455</v>
      </c>
      <c r="T418" s="47">
        <f>B418*18/100</f>
        <v>18</v>
      </c>
      <c r="U418" s="47">
        <f>B418*0.01/100</f>
        <v>0.01</v>
      </c>
      <c r="V418" s="47">
        <f>B418*0.1/100</f>
        <v>0.1</v>
      </c>
      <c r="W418" s="47" t="s">
        <v>454</v>
      </c>
      <c r="X418" s="47" t="s">
        <v>455</v>
      </c>
      <c r="Y418" s="47" t="s">
        <v>455</v>
      </c>
      <c r="Z418" s="47">
        <f>B418*0.03/100</f>
        <v>0.03</v>
      </c>
      <c r="AA418" s="47" t="s">
        <v>455</v>
      </c>
      <c r="AB418" s="47">
        <f>B418*2.8/100</f>
        <v>2.8</v>
      </c>
      <c r="AC418" s="34"/>
    </row>
    <row r="419" spans="1:29" s="64" customFormat="1" ht="15">
      <c r="A419" s="49" t="s">
        <v>952</v>
      </c>
      <c r="B419" s="47">
        <v>100</v>
      </c>
      <c r="C419" s="47">
        <f>B419*41/100</f>
        <v>41</v>
      </c>
      <c r="D419" s="47">
        <f>B419*0.6/100</f>
        <v>0.6</v>
      </c>
      <c r="E419" s="47" t="s">
        <v>455</v>
      </c>
      <c r="F419" s="47"/>
      <c r="G419" s="47"/>
      <c r="H419" s="47"/>
      <c r="I419" s="47"/>
      <c r="J419" s="47"/>
      <c r="K419" s="47" t="s">
        <v>454</v>
      </c>
      <c r="L419" s="47">
        <f>B419*3.3/100</f>
        <v>3.3</v>
      </c>
      <c r="M419" s="47" t="s">
        <v>454</v>
      </c>
      <c r="N419" s="47">
        <f>B419*5/100</f>
        <v>5</v>
      </c>
      <c r="O419" s="47">
        <f>B419*7/100</f>
        <v>7</v>
      </c>
      <c r="P419" s="47">
        <f>B419*0.01/100</f>
        <v>0.01</v>
      </c>
      <c r="Q419" s="47">
        <f>B419*19/100</f>
        <v>19</v>
      </c>
      <c r="R419" s="47" t="s">
        <v>455</v>
      </c>
      <c r="S419" s="47">
        <f>B419*4/100</f>
        <v>4</v>
      </c>
      <c r="T419" s="47">
        <f>B419*29/100</f>
        <v>29</v>
      </c>
      <c r="U419" s="47" t="s">
        <v>455</v>
      </c>
      <c r="V419" s="47" t="s">
        <v>455</v>
      </c>
      <c r="W419" s="47" t="s">
        <v>454</v>
      </c>
      <c r="X419" s="47" t="s">
        <v>455</v>
      </c>
      <c r="Y419" s="47" t="s">
        <v>455</v>
      </c>
      <c r="Z419" s="47">
        <f>B419*0.14/100</f>
        <v>0.14000000000000001</v>
      </c>
      <c r="AA419" s="47">
        <f>B419*2.92/100</f>
        <v>2.92</v>
      </c>
      <c r="AB419" s="47" t="s">
        <v>455</v>
      </c>
      <c r="AC419" s="34"/>
    </row>
    <row r="420" spans="1:29" s="64" customFormat="1">
      <c r="A420" s="49" t="s">
        <v>818</v>
      </c>
      <c r="B420" s="47">
        <v>100</v>
      </c>
      <c r="C420" s="47">
        <f>B420*1/100</f>
        <v>1</v>
      </c>
      <c r="D420" s="47" t="s">
        <v>455</v>
      </c>
      <c r="E420" s="47" t="s">
        <v>455</v>
      </c>
      <c r="F420" s="47"/>
      <c r="G420" s="47"/>
      <c r="H420" s="47"/>
      <c r="I420" s="47"/>
      <c r="J420" s="47"/>
      <c r="K420" s="47" t="s">
        <v>454</v>
      </c>
      <c r="L420" s="47">
        <f>B420*0.4/100</f>
        <v>0.4</v>
      </c>
      <c r="M420" s="47" t="s">
        <v>454</v>
      </c>
      <c r="N420" s="47">
        <f>B420*2/100</f>
        <v>2</v>
      </c>
      <c r="O420" s="47">
        <f>B420*1/100</f>
        <v>1</v>
      </c>
      <c r="P420" s="47">
        <f>B420*0.01/100</f>
        <v>0.01</v>
      </c>
      <c r="Q420" s="47">
        <f>B420*1/100</f>
        <v>1</v>
      </c>
      <c r="R420" s="47" t="s">
        <v>455</v>
      </c>
      <c r="S420" s="47">
        <f>B420*1/100</f>
        <v>1</v>
      </c>
      <c r="T420" s="47">
        <f>B420*10/100</f>
        <v>10</v>
      </c>
      <c r="U420" s="47">
        <f>B420*0.01/100</f>
        <v>0.01</v>
      </c>
      <c r="V420" s="47" t="s">
        <v>455</v>
      </c>
      <c r="W420" s="47" t="s">
        <v>454</v>
      </c>
      <c r="X420" s="47">
        <f>B420*1.23/100</f>
        <v>1.23</v>
      </c>
      <c r="Y420" s="47">
        <f>B420*0.23/100</f>
        <v>0.23</v>
      </c>
      <c r="Z420" s="47"/>
      <c r="AA420" s="47"/>
      <c r="AB420" s="47"/>
      <c r="AC420" s="34"/>
    </row>
    <row r="421" spans="1:29" s="64" customFormat="1">
      <c r="A421" s="49" t="s">
        <v>819</v>
      </c>
      <c r="B421" s="47">
        <v>100</v>
      </c>
      <c r="C421" s="47">
        <f>B421*3/100</f>
        <v>3</v>
      </c>
      <c r="D421" s="47" t="s">
        <v>455</v>
      </c>
      <c r="E421" s="47">
        <f>B421*0.1/100</f>
        <v>0.1</v>
      </c>
      <c r="F421" s="47"/>
      <c r="G421" s="47"/>
      <c r="H421" s="47"/>
      <c r="I421" s="47"/>
      <c r="J421" s="47"/>
      <c r="K421" s="47" t="s">
        <v>454</v>
      </c>
      <c r="L421" s="47">
        <f>B421*0.6/100</f>
        <v>0.6</v>
      </c>
      <c r="M421" s="47" t="s">
        <v>454</v>
      </c>
      <c r="N421" s="47">
        <f>B421*1/100</f>
        <v>1</v>
      </c>
      <c r="O421" s="47">
        <f>B421*2/100</f>
        <v>2</v>
      </c>
      <c r="P421" s="47">
        <f>B421*0.27/100</f>
        <v>0.27</v>
      </c>
      <c r="Q421" s="47" t="s">
        <v>455</v>
      </c>
      <c r="R421" s="47" t="s">
        <v>455</v>
      </c>
      <c r="S421" s="47" t="s">
        <v>455</v>
      </c>
      <c r="T421" s="47">
        <f>B421*5/100</f>
        <v>5</v>
      </c>
      <c r="U421" s="47" t="s">
        <v>455</v>
      </c>
      <c r="V421" s="47" t="s">
        <v>455</v>
      </c>
      <c r="W421" s="47" t="s">
        <v>454</v>
      </c>
      <c r="X421" s="47">
        <f>B421*0.89/100</f>
        <v>0.89</v>
      </c>
      <c r="Y421" s="47" t="s">
        <v>455</v>
      </c>
      <c r="Z421" s="47"/>
      <c r="AA421" s="47"/>
      <c r="AB421" s="47"/>
      <c r="AC421" s="34"/>
    </row>
    <row r="422" spans="1:29" s="64" customFormat="1">
      <c r="A422" s="49" t="s">
        <v>820</v>
      </c>
      <c r="B422" s="47">
        <v>100</v>
      </c>
      <c r="C422" s="47">
        <f>B422*2/100</f>
        <v>2</v>
      </c>
      <c r="D422" s="50" t="s">
        <v>455</v>
      </c>
      <c r="E422" s="47" t="s">
        <v>455</v>
      </c>
      <c r="F422" s="47"/>
      <c r="G422" s="47"/>
      <c r="H422" s="47"/>
      <c r="I422" s="47"/>
      <c r="J422" s="47"/>
      <c r="K422" s="47" t="s">
        <v>454</v>
      </c>
      <c r="L422" s="47">
        <f>B422*0.6/100</f>
        <v>0.6</v>
      </c>
      <c r="M422" s="47" t="s">
        <v>454</v>
      </c>
      <c r="N422" s="47">
        <v>0</v>
      </c>
      <c r="O422" s="47">
        <f>B422*1/100</f>
        <v>1</v>
      </c>
      <c r="P422" s="47">
        <f>B422*0.09/100</f>
        <v>0.09</v>
      </c>
      <c r="Q422" s="47">
        <f>B422*2/100</f>
        <v>2</v>
      </c>
      <c r="R422" s="47" t="s">
        <v>455</v>
      </c>
      <c r="S422" s="47" t="s">
        <v>455</v>
      </c>
      <c r="T422" s="47">
        <f>B422*13/100</f>
        <v>13</v>
      </c>
      <c r="U422" s="47" t="s">
        <v>455</v>
      </c>
      <c r="V422" s="47" t="s">
        <v>455</v>
      </c>
      <c r="W422" s="47" t="s">
        <v>454</v>
      </c>
      <c r="X422" s="47">
        <f>B422*3.11/100</f>
        <v>3.11</v>
      </c>
      <c r="Y422" s="47">
        <f>B422*0.48/100</f>
        <v>0.48</v>
      </c>
      <c r="Z422" s="47"/>
      <c r="AA422" s="47"/>
      <c r="AB422" s="47"/>
      <c r="AC422" s="34"/>
    </row>
    <row r="423" spans="1:29" s="64" customFormat="1">
      <c r="A423" s="46" t="s">
        <v>814</v>
      </c>
      <c r="B423" s="47">
        <v>100</v>
      </c>
      <c r="C423" s="47">
        <f>B423*22/100</f>
        <v>22</v>
      </c>
      <c r="D423" s="47" t="s">
        <v>455</v>
      </c>
      <c r="E423" s="47" t="s">
        <v>455</v>
      </c>
      <c r="F423" s="47"/>
      <c r="G423" s="47"/>
      <c r="H423" s="47"/>
      <c r="I423" s="47"/>
      <c r="J423" s="47"/>
      <c r="K423" s="47" t="s">
        <v>454</v>
      </c>
      <c r="L423" s="47">
        <f>B423*5.3/100</f>
        <v>5.3</v>
      </c>
      <c r="M423" s="47">
        <f>B423*0.1/100</f>
        <v>0.1</v>
      </c>
      <c r="N423" s="47">
        <f>B423*19/100</f>
        <v>19</v>
      </c>
      <c r="O423" s="47">
        <f>B423*5/100</f>
        <v>5</v>
      </c>
      <c r="P423" s="47">
        <f>B423*0.25/100</f>
        <v>0.25</v>
      </c>
      <c r="Q423" s="47">
        <f>B423*4/100</f>
        <v>4</v>
      </c>
      <c r="R423" s="47" t="s">
        <v>455</v>
      </c>
      <c r="S423" s="47">
        <f>B423*2/100</f>
        <v>2</v>
      </c>
      <c r="T423" s="47">
        <f>B423*162/100</f>
        <v>162</v>
      </c>
      <c r="U423" s="47" t="s">
        <v>455</v>
      </c>
      <c r="V423" s="47" t="s">
        <v>455</v>
      </c>
      <c r="W423" s="47" t="s">
        <v>454</v>
      </c>
      <c r="X423" s="47">
        <f>B423*0.01/100</f>
        <v>0.01</v>
      </c>
      <c r="Y423" s="47" t="s">
        <v>455</v>
      </c>
      <c r="Z423" s="47" t="s">
        <v>455</v>
      </c>
      <c r="AA423" s="47" t="s">
        <v>455</v>
      </c>
      <c r="AB423" s="47">
        <f>B423*2.4/100</f>
        <v>2.4</v>
      </c>
      <c r="AC423" s="34"/>
    </row>
    <row r="424" spans="1:29" s="64" customFormat="1">
      <c r="A424" s="49" t="s">
        <v>821</v>
      </c>
      <c r="B424" s="47">
        <v>100</v>
      </c>
      <c r="C424" s="47">
        <f>B424*31/100</f>
        <v>31</v>
      </c>
      <c r="D424" s="47">
        <v>0</v>
      </c>
      <c r="E424" s="47">
        <v>0</v>
      </c>
      <c r="F424" s="47"/>
      <c r="G424" s="47"/>
      <c r="H424" s="47"/>
      <c r="I424" s="47"/>
      <c r="J424" s="47"/>
      <c r="K424" s="50" t="s">
        <v>454</v>
      </c>
      <c r="L424" s="47">
        <f>B424*8/100</f>
        <v>8</v>
      </c>
      <c r="M424" s="50" t="s">
        <v>454</v>
      </c>
      <c r="N424" s="47">
        <f>B424*1/100</f>
        <v>1</v>
      </c>
      <c r="O424" s="50" t="s">
        <v>455</v>
      </c>
      <c r="P424" s="50" t="s">
        <v>455</v>
      </c>
      <c r="Q424" s="47">
        <v>0</v>
      </c>
      <c r="R424" s="50" t="s">
        <v>455</v>
      </c>
      <c r="S424" s="47">
        <f>B424*8/100</f>
        <v>8</v>
      </c>
      <c r="T424" s="47">
        <f>B424*2/100</f>
        <v>2</v>
      </c>
      <c r="U424" s="50" t="s">
        <v>455</v>
      </c>
      <c r="V424" s="50" t="s">
        <v>455</v>
      </c>
      <c r="W424" s="50" t="s">
        <v>454</v>
      </c>
      <c r="X424" s="47"/>
      <c r="Y424" s="47"/>
      <c r="Z424" s="47"/>
      <c r="AA424" s="47"/>
      <c r="AB424" s="47"/>
      <c r="AC424" s="34"/>
    </row>
    <row r="425" spans="1:29" s="64" customFormat="1">
      <c r="A425" s="49" t="s">
        <v>822</v>
      </c>
      <c r="B425" s="47">
        <v>100</v>
      </c>
      <c r="C425" s="47">
        <f>B425*34/100</f>
        <v>34</v>
      </c>
      <c r="D425" s="47">
        <v>0</v>
      </c>
      <c r="E425" s="47">
        <v>0</v>
      </c>
      <c r="F425" s="47"/>
      <c r="G425" s="47"/>
      <c r="H425" s="47"/>
      <c r="I425" s="47"/>
      <c r="J425" s="47"/>
      <c r="K425" s="50" t="s">
        <v>454</v>
      </c>
      <c r="L425" s="47">
        <f>B425*8.7/100</f>
        <v>8.6999999999999993</v>
      </c>
      <c r="M425" s="50" t="s">
        <v>454</v>
      </c>
      <c r="N425" s="47">
        <f>B425*1/100</f>
        <v>1</v>
      </c>
      <c r="O425" s="50" t="s">
        <v>455</v>
      </c>
      <c r="P425" s="50" t="s">
        <v>455</v>
      </c>
      <c r="Q425" s="47">
        <f>B425*17/100</f>
        <v>17</v>
      </c>
      <c r="R425" s="50" t="s">
        <v>455</v>
      </c>
      <c r="S425" s="47">
        <f>B425*7/100</f>
        <v>7</v>
      </c>
      <c r="T425" s="47">
        <f>B425*1/100</f>
        <v>1</v>
      </c>
      <c r="U425" s="50" t="s">
        <v>455</v>
      </c>
      <c r="V425" s="50" t="s">
        <v>455</v>
      </c>
      <c r="W425" s="50" t="s">
        <v>454</v>
      </c>
      <c r="X425" s="47"/>
      <c r="Y425" s="47"/>
      <c r="Z425" s="47"/>
      <c r="AA425" s="47"/>
      <c r="AB425" s="47"/>
      <c r="AC425" s="34"/>
    </row>
    <row r="426" spans="1:29" s="64" customFormat="1">
      <c r="A426" s="49" t="s">
        <v>823</v>
      </c>
      <c r="B426" s="47">
        <v>100</v>
      </c>
      <c r="C426" s="47">
        <f>B426*39/100</f>
        <v>39</v>
      </c>
      <c r="D426" s="47">
        <v>0</v>
      </c>
      <c r="E426" s="47">
        <v>0</v>
      </c>
      <c r="F426" s="47"/>
      <c r="G426" s="47"/>
      <c r="H426" s="47"/>
      <c r="I426" s="47"/>
      <c r="J426" s="47"/>
      <c r="K426" s="50" t="s">
        <v>454</v>
      </c>
      <c r="L426" s="47">
        <f>B426*10/100</f>
        <v>10</v>
      </c>
      <c r="M426" s="50" t="s">
        <v>454</v>
      </c>
      <c r="N426" s="47">
        <f>B426*1/100</f>
        <v>1</v>
      </c>
      <c r="O426" s="50" t="s">
        <v>455</v>
      </c>
      <c r="P426" s="50" t="s">
        <v>455</v>
      </c>
      <c r="Q426" s="47" t="s">
        <v>455</v>
      </c>
      <c r="R426" s="50" t="s">
        <v>455</v>
      </c>
      <c r="S426" s="47">
        <f>B426*9/100</f>
        <v>9</v>
      </c>
      <c r="T426" s="47">
        <f>B426*1/100</f>
        <v>1</v>
      </c>
      <c r="U426" s="50" t="s">
        <v>455</v>
      </c>
      <c r="V426" s="50" t="s">
        <v>455</v>
      </c>
      <c r="W426" s="50" t="s">
        <v>454</v>
      </c>
      <c r="X426" s="47"/>
      <c r="Y426" s="47"/>
      <c r="Z426" s="47"/>
      <c r="AA426" s="47"/>
      <c r="AB426" s="47"/>
      <c r="AC426" s="34"/>
    </row>
    <row r="427" spans="1:29" s="64" customFormat="1">
      <c r="A427" s="49" t="s">
        <v>824</v>
      </c>
      <c r="B427" s="47">
        <v>100</v>
      </c>
      <c r="C427" s="47">
        <f>B427*46/100</f>
        <v>46</v>
      </c>
      <c r="D427" s="47">
        <v>0</v>
      </c>
      <c r="E427" s="47">
        <v>0</v>
      </c>
      <c r="F427" s="47"/>
      <c r="G427" s="47"/>
      <c r="H427" s="47"/>
      <c r="I427" s="47"/>
      <c r="J427" s="47"/>
      <c r="K427" s="50" t="s">
        <v>454</v>
      </c>
      <c r="L427" s="47">
        <f>B427*11.8/100</f>
        <v>11.8</v>
      </c>
      <c r="M427" s="50" t="s">
        <v>454</v>
      </c>
      <c r="N427" s="47">
        <f>B427*2/100</f>
        <v>2</v>
      </c>
      <c r="O427" s="50">
        <f>B427*1/100</f>
        <v>1</v>
      </c>
      <c r="P427" s="50" t="s">
        <v>455</v>
      </c>
      <c r="Q427" s="47">
        <f>B427*1/100</f>
        <v>1</v>
      </c>
      <c r="R427" s="50" t="s">
        <v>455</v>
      </c>
      <c r="S427" s="47">
        <f>B427*9/100</f>
        <v>9</v>
      </c>
      <c r="T427" s="47">
        <f>B427*16/100</f>
        <v>16</v>
      </c>
      <c r="U427" s="50" t="s">
        <v>455</v>
      </c>
      <c r="V427" s="50" t="s">
        <v>455</v>
      </c>
      <c r="W427" s="50" t="s">
        <v>454</v>
      </c>
      <c r="X427" s="47"/>
      <c r="Y427" s="47"/>
      <c r="Z427" s="47"/>
      <c r="AA427" s="47"/>
      <c r="AB427" s="47"/>
      <c r="AC427" s="34"/>
    </row>
    <row r="428" spans="1:29" s="64" customFormat="1">
      <c r="A428" s="49" t="s">
        <v>825</v>
      </c>
      <c r="B428" s="47">
        <v>100</v>
      </c>
      <c r="C428" s="47">
        <f>B428*40/100</f>
        <v>40</v>
      </c>
      <c r="D428" s="47">
        <v>0</v>
      </c>
      <c r="E428" s="47">
        <v>0</v>
      </c>
      <c r="F428" s="47"/>
      <c r="G428" s="47"/>
      <c r="H428" s="47"/>
      <c r="I428" s="47"/>
      <c r="J428" s="47"/>
      <c r="K428" s="50" t="s">
        <v>454</v>
      </c>
      <c r="L428" s="47">
        <f>B428*10.3/100</f>
        <v>10.3</v>
      </c>
      <c r="M428" s="50" t="s">
        <v>454</v>
      </c>
      <c r="N428" s="47">
        <f>B428*2/100</f>
        <v>2</v>
      </c>
      <c r="O428" s="50">
        <f>B428*1/100</f>
        <v>1</v>
      </c>
      <c r="P428" s="50" t="s">
        <v>455</v>
      </c>
      <c r="Q428" s="47" t="s">
        <v>455</v>
      </c>
      <c r="R428" s="50" t="s">
        <v>455</v>
      </c>
      <c r="S428" s="47">
        <f>B428*9/100</f>
        <v>9</v>
      </c>
      <c r="T428" s="47">
        <f>B428*4/100</f>
        <v>4</v>
      </c>
      <c r="U428" s="50" t="s">
        <v>455</v>
      </c>
      <c r="V428" s="50" t="s">
        <v>455</v>
      </c>
      <c r="W428" s="50" t="s">
        <v>454</v>
      </c>
      <c r="X428" s="47"/>
      <c r="Y428" s="47"/>
      <c r="Z428" s="47"/>
      <c r="AA428" s="47"/>
      <c r="AB428" s="47"/>
      <c r="AC428" s="34"/>
    </row>
    <row r="429" spans="1:29">
      <c r="A429" s="23" t="s">
        <v>831</v>
      </c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34"/>
    </row>
    <row r="430" spans="1:29" s="48" customFormat="1">
      <c r="A430" s="71" t="s">
        <v>826</v>
      </c>
      <c r="B430" s="59">
        <v>100</v>
      </c>
      <c r="C430" s="59">
        <f>B430*177/100</f>
        <v>177</v>
      </c>
      <c r="D430" s="59">
        <f>B430*13.7/100</f>
        <v>13.7</v>
      </c>
      <c r="E430" s="59">
        <f>B430*12.7/100</f>
        <v>12.7</v>
      </c>
      <c r="F430" s="59">
        <f>B430*8.9/100</f>
        <v>8.9</v>
      </c>
      <c r="G430" s="59">
        <f>B430*12.1/100</f>
        <v>12.1</v>
      </c>
      <c r="H430" s="59">
        <f>B430*2.7/100</f>
        <v>2.7</v>
      </c>
      <c r="I430" s="59">
        <f>B430*2.2/100</f>
        <v>2.2000000000000002</v>
      </c>
      <c r="J430" s="59">
        <f>B430*0.1/100</f>
        <v>0.1</v>
      </c>
      <c r="K430" s="59">
        <f>B430*305/100</f>
        <v>305</v>
      </c>
      <c r="L430" s="59">
        <f>B430*0.8/100</f>
        <v>0.8</v>
      </c>
      <c r="M430" s="72" t="s">
        <v>454</v>
      </c>
      <c r="N430" s="59">
        <f>B430*79/100</f>
        <v>79</v>
      </c>
      <c r="O430" s="59">
        <f>B430*11/100</f>
        <v>11</v>
      </c>
      <c r="P430" s="72" t="s">
        <v>455</v>
      </c>
      <c r="Q430" s="59">
        <f>B430*279/100</f>
        <v>279</v>
      </c>
      <c r="R430" s="59">
        <f>B430*3.3/100</f>
        <v>3.3</v>
      </c>
      <c r="S430" s="59">
        <f>B430*129/100</f>
        <v>129</v>
      </c>
      <c r="T430" s="59">
        <f>B430*79/100</f>
        <v>79</v>
      </c>
      <c r="U430" s="59">
        <f>B430*0.04/100</f>
        <v>0.04</v>
      </c>
      <c r="V430" s="59">
        <f>B430*2.1/100</f>
        <v>2.1</v>
      </c>
      <c r="W430" s="59">
        <f>B430*305/100</f>
        <v>305</v>
      </c>
      <c r="X430" s="59">
        <f>B430*0.11/100</f>
        <v>0.11</v>
      </c>
      <c r="Y430" s="59">
        <f>B430*0.12/100</f>
        <v>0.12</v>
      </c>
      <c r="Z430" s="72" t="s">
        <v>455</v>
      </c>
      <c r="AA430" s="59">
        <f>B430*0.97/100</f>
        <v>0.97</v>
      </c>
      <c r="AB430" s="59"/>
      <c r="AC430" s="34"/>
    </row>
    <row r="431" spans="1:29" s="64" customFormat="1">
      <c r="A431" s="49" t="s">
        <v>827</v>
      </c>
      <c r="B431" s="47">
        <v>100</v>
      </c>
      <c r="C431" s="47">
        <f>B431*59/100</f>
        <v>59</v>
      </c>
      <c r="D431" s="47">
        <f>B431*13.4/100</f>
        <v>13.4</v>
      </c>
      <c r="E431" s="47">
        <f>B431*0.1/100</f>
        <v>0.1</v>
      </c>
      <c r="F431" s="47"/>
      <c r="G431" s="47"/>
      <c r="H431" s="47"/>
      <c r="I431" s="47"/>
      <c r="J431" s="47"/>
      <c r="K431" s="47" t="s">
        <v>454</v>
      </c>
      <c r="L431" s="47">
        <v>0</v>
      </c>
      <c r="M431" s="47" t="s">
        <v>454</v>
      </c>
      <c r="N431" s="47">
        <f>B431*6/100</f>
        <v>6</v>
      </c>
      <c r="O431" s="47">
        <f>B431*11/100</f>
        <v>11</v>
      </c>
      <c r="P431" s="47" t="s">
        <v>455</v>
      </c>
      <c r="Q431" s="47">
        <f>B431*15/100</f>
        <v>15</v>
      </c>
      <c r="R431" s="47">
        <f>B431*0.1/100</f>
        <v>0.1</v>
      </c>
      <c r="S431" s="47">
        <f>B431*181/100</f>
        <v>181</v>
      </c>
      <c r="T431" s="47">
        <f>B431*146/100</f>
        <v>146</v>
      </c>
      <c r="U431" s="47">
        <f>B431*0.03/100</f>
        <v>0.03</v>
      </c>
      <c r="V431" s="47" t="s">
        <v>455</v>
      </c>
      <c r="W431" s="47" t="s">
        <v>454</v>
      </c>
      <c r="X431" s="47" t="s">
        <v>455</v>
      </c>
      <c r="Y431" s="47">
        <f>B431*0.08/100</f>
        <v>0.08</v>
      </c>
      <c r="Z431" s="47" t="s">
        <v>455</v>
      </c>
      <c r="AA431" s="47" t="s">
        <v>455</v>
      </c>
      <c r="AB431" s="47"/>
      <c r="AC431" s="34"/>
    </row>
    <row r="432" spans="1:29" s="48" customFormat="1">
      <c r="A432" s="71" t="s">
        <v>828</v>
      </c>
      <c r="B432" s="59">
        <v>100</v>
      </c>
      <c r="C432" s="59">
        <f>B432*353/100</f>
        <v>353</v>
      </c>
      <c r="D432" s="59">
        <f>B432*15.9/100</f>
        <v>15.9</v>
      </c>
      <c r="E432" s="59">
        <f>B432*30.8/100</f>
        <v>30.8</v>
      </c>
      <c r="F432" s="59">
        <f>B432*9.2/100</f>
        <v>9.1999999999999993</v>
      </c>
      <c r="G432" s="59">
        <f>B432*12.1/100</f>
        <v>12.1</v>
      </c>
      <c r="H432" s="59">
        <f>B432*4/100</f>
        <v>4</v>
      </c>
      <c r="I432" s="59">
        <f>B432*3.25/100</f>
        <v>3.25</v>
      </c>
      <c r="J432" s="59">
        <f>B432*0.05/100</f>
        <v>0.05</v>
      </c>
      <c r="K432" s="59">
        <f>B432*1272/100</f>
        <v>1272</v>
      </c>
      <c r="L432" s="59">
        <f>B432*1.6/100</f>
        <v>1.6</v>
      </c>
      <c r="M432" s="59" t="s">
        <v>454</v>
      </c>
      <c r="N432" s="59">
        <f>B432*114/100</f>
        <v>114</v>
      </c>
      <c r="O432" s="59">
        <f>B432*9/100</f>
        <v>9</v>
      </c>
      <c r="P432" s="59">
        <f>B432*0.06/100</f>
        <v>0.06</v>
      </c>
      <c r="Q432" s="59">
        <f>B432*386/100</f>
        <v>386</v>
      </c>
      <c r="R432" s="59">
        <f>B432*2.9/100</f>
        <v>2.9</v>
      </c>
      <c r="S432" s="59">
        <f>B432*45/100</f>
        <v>45</v>
      </c>
      <c r="T432" s="59">
        <f>B432*87/100</f>
        <v>87</v>
      </c>
      <c r="U432" s="59" t="s">
        <v>455</v>
      </c>
      <c r="V432" s="59">
        <f>B432*2.9/100</f>
        <v>2.9</v>
      </c>
      <c r="W432" s="59">
        <f>B432*148/100</f>
        <v>148</v>
      </c>
      <c r="X432" s="59">
        <f>B432*0.18/100</f>
        <v>0.18</v>
      </c>
      <c r="Y432" s="59">
        <f>B432*0.22/100</f>
        <v>0.22</v>
      </c>
      <c r="Z432" s="59" t="s">
        <v>455</v>
      </c>
      <c r="AA432" s="59" t="s">
        <v>455</v>
      </c>
      <c r="AB432" s="59"/>
      <c r="AC432" s="34"/>
    </row>
    <row r="433" spans="1:29" s="48" customFormat="1">
      <c r="A433" s="71" t="s">
        <v>829</v>
      </c>
      <c r="B433" s="59">
        <v>100</v>
      </c>
      <c r="C433" s="59">
        <f>B433*146/100</f>
        <v>146</v>
      </c>
      <c r="D433" s="59">
        <f>B433*13.3/100</f>
        <v>13.3</v>
      </c>
      <c r="E433" s="59">
        <f>B433*9.5/100</f>
        <v>9.5</v>
      </c>
      <c r="F433" s="59">
        <f>B433*2.9/100</f>
        <v>2.9</v>
      </c>
      <c r="G433" s="59">
        <f>B433*3.8/100</f>
        <v>3.8</v>
      </c>
      <c r="H433" s="59">
        <f>B433*1.1/100</f>
        <v>1.1000000000000001</v>
      </c>
      <c r="I433" s="59">
        <f>B433*0.94/100</f>
        <v>0.94</v>
      </c>
      <c r="J433" s="59">
        <f>B433*0.02/100</f>
        <v>0.02</v>
      </c>
      <c r="K433" s="59">
        <f>B433*397/100</f>
        <v>397</v>
      </c>
      <c r="L433" s="59">
        <f>B433*0.6/100</f>
        <v>0.6</v>
      </c>
      <c r="M433" s="59" t="s">
        <v>454</v>
      </c>
      <c r="N433" s="59">
        <f>B433*49/100</f>
        <v>49</v>
      </c>
      <c r="O433" s="59">
        <f>B433*11/100</f>
        <v>11</v>
      </c>
      <c r="P433" s="59">
        <f>B433*0.02/100</f>
        <v>0.02</v>
      </c>
      <c r="Q433" s="59">
        <f>B433*184/100</f>
        <v>184</v>
      </c>
      <c r="R433" s="59">
        <f>B433*1.5/100</f>
        <v>1.5</v>
      </c>
      <c r="S433" s="59">
        <f>B433*146/100</f>
        <v>146</v>
      </c>
      <c r="T433" s="59">
        <f>B433*139/100</f>
        <v>139</v>
      </c>
      <c r="U433" s="59">
        <f>B433*0.04/100</f>
        <v>0.04</v>
      </c>
      <c r="V433" s="59">
        <f>B433*1.2/100</f>
        <v>1.2</v>
      </c>
      <c r="W433" s="59">
        <f>B433*32/100</f>
        <v>32</v>
      </c>
      <c r="X433" s="59">
        <f>B433*0.08/100</f>
        <v>0.08</v>
      </c>
      <c r="Y433" s="59">
        <f>B433*0.3/100</f>
        <v>0.3</v>
      </c>
      <c r="Z433" s="59" t="s">
        <v>455</v>
      </c>
      <c r="AA433" s="59" t="s">
        <v>455</v>
      </c>
      <c r="AB433" s="59"/>
      <c r="AC433" s="34"/>
    </row>
    <row r="434" spans="1:29" s="48" customFormat="1">
      <c r="A434" s="71" t="s">
        <v>830</v>
      </c>
      <c r="B434" s="59">
        <v>100</v>
      </c>
      <c r="C434" s="59">
        <f>B434*143/100</f>
        <v>143</v>
      </c>
      <c r="D434" s="59">
        <f>B434*13/100</f>
        <v>13</v>
      </c>
      <c r="E434" s="59">
        <f>B434*8.9/100</f>
        <v>8.9</v>
      </c>
      <c r="F434" s="59">
        <f>B434*2.6/100</f>
        <v>2.6</v>
      </c>
      <c r="G434" s="59">
        <f>B434*3.6/100</f>
        <v>3.6</v>
      </c>
      <c r="H434" s="59">
        <f>B434*1.2/100</f>
        <v>1.2</v>
      </c>
      <c r="I434" s="59">
        <f>B434*0.88/100</f>
        <v>0.88</v>
      </c>
      <c r="J434" s="59">
        <f>B434*0.02/100</f>
        <v>0.02</v>
      </c>
      <c r="K434" s="59">
        <f>B434*356/100</f>
        <v>356</v>
      </c>
      <c r="L434" s="59">
        <f>B434*1.6/100</f>
        <v>1.6</v>
      </c>
      <c r="M434" s="59" t="s">
        <v>454</v>
      </c>
      <c r="N434" s="59">
        <f>B434*42/100</f>
        <v>42</v>
      </c>
      <c r="O434" s="59">
        <f>B434*13/100</f>
        <v>13</v>
      </c>
      <c r="P434" s="59" t="s">
        <v>455</v>
      </c>
      <c r="Q434" s="59">
        <f>B434*164/100</f>
        <v>164</v>
      </c>
      <c r="R434" s="59">
        <f>B434*1.6/100</f>
        <v>1.6</v>
      </c>
      <c r="S434" s="59">
        <f>B434*168/100</f>
        <v>168</v>
      </c>
      <c r="T434" s="59">
        <f>B434*150/100</f>
        <v>150</v>
      </c>
      <c r="U434" s="59">
        <f>B434*0.06/100</f>
        <v>0.06</v>
      </c>
      <c r="V434" s="59">
        <f>B434*1.1/100</f>
        <v>1.1000000000000001</v>
      </c>
      <c r="W434" s="59">
        <f>B434*79/100</f>
        <v>79</v>
      </c>
      <c r="X434" s="59">
        <f>B434*0.07/100</f>
        <v>7.0000000000000007E-2</v>
      </c>
      <c r="Y434" s="59">
        <f>B434*0.58/100</f>
        <v>0.57999999999999996</v>
      </c>
      <c r="Z434" s="59" t="s">
        <v>455</v>
      </c>
      <c r="AA434" s="59">
        <f>B434*0.75/100</f>
        <v>0.75</v>
      </c>
      <c r="AB434" s="59"/>
      <c r="AC434" s="34"/>
    </row>
    <row r="435" spans="1:29">
      <c r="A435" s="19" t="s">
        <v>832</v>
      </c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34"/>
    </row>
    <row r="436" spans="1:29" s="48" customFormat="1">
      <c r="A436" s="60" t="s">
        <v>833</v>
      </c>
      <c r="B436" s="59">
        <v>100</v>
      </c>
      <c r="C436" s="59">
        <f>B436*401/100</f>
        <v>401</v>
      </c>
      <c r="D436" s="59">
        <f>B436*4.2/100</f>
        <v>4.2</v>
      </c>
      <c r="E436" s="59">
        <f>B436*2.2/100</f>
        <v>2.2000000000000002</v>
      </c>
      <c r="F436" s="59">
        <f>B436*1.1/100</f>
        <v>1.1000000000000001</v>
      </c>
      <c r="G436" s="59">
        <f>B436*0.6/100</f>
        <v>0.6</v>
      </c>
      <c r="H436" s="59">
        <f>B436*0.3/100</f>
        <v>0.3</v>
      </c>
      <c r="I436" s="59">
        <f>B436*0.29/100</f>
        <v>0.28999999999999998</v>
      </c>
      <c r="J436" s="59">
        <f>B436*0.03/100</f>
        <v>0.03</v>
      </c>
      <c r="K436" s="59" t="s">
        <v>455</v>
      </c>
      <c r="L436" s="59">
        <f>B436*91.2/100</f>
        <v>91.2</v>
      </c>
      <c r="M436" s="59">
        <f>B436*3.9/100</f>
        <v>3.9</v>
      </c>
      <c r="N436" s="59">
        <f>B436*44/100</f>
        <v>44</v>
      </c>
      <c r="O436" s="59">
        <f>B436*77/100</f>
        <v>77</v>
      </c>
      <c r="P436" s="59"/>
      <c r="Q436" s="59">
        <f>B436*200/100</f>
        <v>200</v>
      </c>
      <c r="R436" s="59">
        <f>B436*5.4/100</f>
        <v>5.4</v>
      </c>
      <c r="S436" s="59">
        <f>B436*65/100</f>
        <v>65</v>
      </c>
      <c r="T436" s="59">
        <f>B436*496/100</f>
        <v>496</v>
      </c>
      <c r="U436" s="59">
        <f>B436*0.56/100</f>
        <v>0.56000000000000005</v>
      </c>
      <c r="V436" s="59">
        <f>B436*1/100</f>
        <v>1</v>
      </c>
      <c r="W436" s="59">
        <f>B436*796/100</f>
        <v>796</v>
      </c>
      <c r="X436" s="59">
        <f>B436*1.38/100</f>
        <v>1.38</v>
      </c>
      <c r="Y436" s="59">
        <f>B436*1.02/100</f>
        <v>1.02</v>
      </c>
      <c r="Z436" s="59">
        <f>B436*1.52/100</f>
        <v>1.52</v>
      </c>
      <c r="AA436" s="59">
        <f>B436*4.99/100</f>
        <v>4.99</v>
      </c>
      <c r="AB436" s="59" t="s">
        <v>455</v>
      </c>
      <c r="AC436" s="34"/>
    </row>
    <row r="437" spans="1:29" s="64" customFormat="1">
      <c r="A437" s="46" t="s">
        <v>834</v>
      </c>
      <c r="B437" s="47">
        <v>100</v>
      </c>
      <c r="C437" s="47">
        <f>B437*387/100</f>
        <v>387</v>
      </c>
      <c r="D437" s="47" t="s">
        <v>455</v>
      </c>
      <c r="E437" s="47" t="s">
        <v>455</v>
      </c>
      <c r="F437" s="47"/>
      <c r="G437" s="47"/>
      <c r="H437" s="47"/>
      <c r="I437" s="47"/>
      <c r="J437" s="47"/>
      <c r="K437" s="47" t="s">
        <v>454</v>
      </c>
      <c r="L437" s="47">
        <f>B437*99.6/100</f>
        <v>99.6</v>
      </c>
      <c r="M437" s="47" t="s">
        <v>454</v>
      </c>
      <c r="N437" s="47">
        <f>B437*8/100</f>
        <v>8</v>
      </c>
      <c r="O437" s="47">
        <f>B437*1/100</f>
        <v>1</v>
      </c>
      <c r="P437" s="47"/>
      <c r="Q437" s="47" t="s">
        <v>455</v>
      </c>
      <c r="R437" s="47">
        <f>B437*0.2/100</f>
        <v>0.2</v>
      </c>
      <c r="S437" s="47" t="s">
        <v>455</v>
      </c>
      <c r="T437" s="47">
        <f>B437*3/100</f>
        <v>3</v>
      </c>
      <c r="U437" s="47" t="s">
        <v>455</v>
      </c>
      <c r="V437" s="47" t="s">
        <v>455</v>
      </c>
      <c r="W437" s="47" t="s">
        <v>454</v>
      </c>
      <c r="X437" s="47"/>
      <c r="Y437" s="47"/>
      <c r="Z437" s="47"/>
      <c r="AA437" s="47"/>
      <c r="AB437" s="47"/>
      <c r="AC437" s="34"/>
    </row>
    <row r="438" spans="1:29" s="64" customFormat="1">
      <c r="A438" s="46" t="s">
        <v>835</v>
      </c>
      <c r="B438" s="47">
        <v>100</v>
      </c>
      <c r="C438" s="47">
        <f>B438*387/100</f>
        <v>387</v>
      </c>
      <c r="D438" s="47" t="s">
        <v>455</v>
      </c>
      <c r="E438" s="47" t="s">
        <v>455</v>
      </c>
      <c r="F438" s="47"/>
      <c r="G438" s="47"/>
      <c r="H438" s="47"/>
      <c r="I438" s="47"/>
      <c r="J438" s="47"/>
      <c r="K438" s="47" t="s">
        <v>454</v>
      </c>
      <c r="L438" s="47">
        <f>B438*99.5/100</f>
        <v>99.5</v>
      </c>
      <c r="M438" s="47" t="s">
        <v>454</v>
      </c>
      <c r="N438" s="47">
        <f>B438*4/100</f>
        <v>4</v>
      </c>
      <c r="O438" s="47">
        <f>B438*1/100</f>
        <v>1</v>
      </c>
      <c r="P438" s="47"/>
      <c r="Q438" s="47" t="s">
        <v>455</v>
      </c>
      <c r="R438" s="47">
        <f>B438*0.1/100</f>
        <v>0.1</v>
      </c>
      <c r="S438" s="47">
        <f>B438*12/100</f>
        <v>12</v>
      </c>
      <c r="T438" s="47">
        <f>B438*6/100</f>
        <v>6</v>
      </c>
      <c r="U438" s="47" t="s">
        <v>455</v>
      </c>
      <c r="V438" s="47" t="s">
        <v>455</v>
      </c>
      <c r="W438" s="47" t="s">
        <v>454</v>
      </c>
      <c r="X438" s="47"/>
      <c r="Y438" s="47"/>
      <c r="Z438" s="47"/>
      <c r="AA438" s="47"/>
      <c r="AB438" s="47"/>
      <c r="AC438" s="34"/>
    </row>
    <row r="439" spans="1:29" s="48" customFormat="1">
      <c r="A439" s="60" t="s">
        <v>836</v>
      </c>
      <c r="B439" s="59">
        <v>100</v>
      </c>
      <c r="C439" s="59">
        <f>B439*540/100</f>
        <v>540</v>
      </c>
      <c r="D439" s="59">
        <f>B439*7.2/100</f>
        <v>7.2</v>
      </c>
      <c r="E439" s="59">
        <f>B439*30.3/100</f>
        <v>30.3</v>
      </c>
      <c r="F439" s="59">
        <f>B439*17.5/100</f>
        <v>17.5</v>
      </c>
      <c r="G439" s="59">
        <f>B439*10/100</f>
        <v>10</v>
      </c>
      <c r="H439" s="59">
        <f>B439*0.9/100</f>
        <v>0.9</v>
      </c>
      <c r="I439" s="59">
        <f>B439*0.91/100</f>
        <v>0.91</v>
      </c>
      <c r="J439" s="59">
        <f>B439*0.03/100</f>
        <v>0.03</v>
      </c>
      <c r="K439" s="59">
        <f>B439*17/100</f>
        <v>17</v>
      </c>
      <c r="L439" s="59">
        <f>B439*59.6/100</f>
        <v>59.6</v>
      </c>
      <c r="M439" s="59">
        <f>B439*2.2/100</f>
        <v>2.2000000000000002</v>
      </c>
      <c r="N439" s="59">
        <f>B439*191/100</f>
        <v>191</v>
      </c>
      <c r="O439" s="59">
        <f>B439*57/100</f>
        <v>57</v>
      </c>
      <c r="P439" s="59"/>
      <c r="Q439" s="59">
        <f>B439*212/100</f>
        <v>212</v>
      </c>
      <c r="R439" s="59">
        <f>B439*1.6/100</f>
        <v>1.6</v>
      </c>
      <c r="S439" s="59">
        <f>B439*77/100</f>
        <v>77</v>
      </c>
      <c r="T439" s="59">
        <f>B439*355/100</f>
        <v>355</v>
      </c>
      <c r="U439" s="59">
        <f>B439*0.31/100</f>
        <v>0.31</v>
      </c>
      <c r="V439" s="59">
        <f>B439*1.1/100</f>
        <v>1.1000000000000001</v>
      </c>
      <c r="W439" s="59" t="s">
        <v>455</v>
      </c>
      <c r="X439" s="59">
        <f>B439*0.05/100</f>
        <v>0.05</v>
      </c>
      <c r="Y439" s="59">
        <f>B439*0.22/100</f>
        <v>0.22</v>
      </c>
      <c r="Z439" s="59">
        <f>B439*0.59/100</f>
        <v>0.59</v>
      </c>
      <c r="AA439" s="59">
        <f>B439*0.63/100</f>
        <v>0.63</v>
      </c>
      <c r="AB439" s="59" t="s">
        <v>455</v>
      </c>
      <c r="AC439" s="34"/>
    </row>
    <row r="440" spans="1:29" s="48" customFormat="1">
      <c r="A440" s="60" t="s">
        <v>940</v>
      </c>
      <c r="B440" s="59">
        <v>100</v>
      </c>
      <c r="C440" s="59">
        <f>B440*559/100</f>
        <v>559</v>
      </c>
      <c r="D440" s="59">
        <f>B440*7.4/100</f>
        <v>7.4</v>
      </c>
      <c r="E440" s="59">
        <f>B440*34.2/100</f>
        <v>34.200000000000003</v>
      </c>
      <c r="F440" s="59">
        <f>B440*14.1/100</f>
        <v>14.1</v>
      </c>
      <c r="G440" s="59">
        <f>B440*9.3/100</f>
        <v>9.3000000000000007</v>
      </c>
      <c r="H440" s="59">
        <f>B440*3.2/100</f>
        <v>3.2</v>
      </c>
      <c r="I440" s="59">
        <f>B440*3.09/100</f>
        <v>3.09</v>
      </c>
      <c r="J440" s="59">
        <f>B440*0.07/100</f>
        <v>7.0000000000000007E-2</v>
      </c>
      <c r="K440" s="59">
        <f>B440*16/100</f>
        <v>16</v>
      </c>
      <c r="L440" s="59">
        <f>B440*55.4/100</f>
        <v>55.4</v>
      </c>
      <c r="M440" s="59">
        <f>B440*2.5/100</f>
        <v>2.5</v>
      </c>
      <c r="N440" s="59">
        <f>B440*171/100</f>
        <v>171</v>
      </c>
      <c r="O440" s="59">
        <f>B440*80/100</f>
        <v>80</v>
      </c>
      <c r="P440" s="59">
        <f>B440*0.36/100</f>
        <v>0.36</v>
      </c>
      <c r="Q440" s="59">
        <f>B440*303/100</f>
        <v>303</v>
      </c>
      <c r="R440" s="59">
        <f>B440*1.5/100</f>
        <v>1.5</v>
      </c>
      <c r="S440" s="59">
        <f>B440*64/100</f>
        <v>64</v>
      </c>
      <c r="T440" s="59">
        <f>B440*431/100</f>
        <v>431</v>
      </c>
      <c r="U440" s="59">
        <f>B440*0.45/100</f>
        <v>0.45</v>
      </c>
      <c r="V440" s="59">
        <f>B440*1.3/100</f>
        <v>1.3</v>
      </c>
      <c r="W440" s="59">
        <f>B440*36/100</f>
        <v>36</v>
      </c>
      <c r="X440" s="59">
        <f>B440*0.04/100</f>
        <v>0.04</v>
      </c>
      <c r="Y440" s="59">
        <f>B440*0.24/100</f>
        <v>0.24</v>
      </c>
      <c r="Z440" s="59" t="s">
        <v>455</v>
      </c>
      <c r="AA440" s="59">
        <f>B440*1.37/100</f>
        <v>1.37</v>
      </c>
      <c r="AB440" s="59">
        <f>B440*1.4/100</f>
        <v>1.4</v>
      </c>
      <c r="AC440" s="34"/>
    </row>
    <row r="441" spans="1:29" s="48" customFormat="1">
      <c r="A441" s="60" t="s">
        <v>837</v>
      </c>
      <c r="B441" s="59">
        <v>100</v>
      </c>
      <c r="C441" s="59">
        <f>B441*557/100</f>
        <v>557</v>
      </c>
      <c r="D441" s="59">
        <f>B441*6.9/100</f>
        <v>6.9</v>
      </c>
      <c r="E441" s="59">
        <f>B441*33.8/100</f>
        <v>33.799999999999997</v>
      </c>
      <c r="F441" s="59">
        <f>B441*19.2/100</f>
        <v>19.2</v>
      </c>
      <c r="G441" s="59">
        <f>B441*11.4/100</f>
        <v>11.4</v>
      </c>
      <c r="H441" s="59">
        <f>B441*1.5/100</f>
        <v>1.5</v>
      </c>
      <c r="I441" s="59">
        <f>B441*1.41/100</f>
        <v>1.41</v>
      </c>
      <c r="J441" s="59">
        <f>B441*0.1/100</f>
        <v>0.1</v>
      </c>
      <c r="K441" s="59">
        <f>B441*13/100</f>
        <v>13</v>
      </c>
      <c r="L441" s="59">
        <f>B441*56.3/100</f>
        <v>56.3</v>
      </c>
      <c r="M441" s="59">
        <f>B441*2.8/100</f>
        <v>2.8</v>
      </c>
      <c r="N441" s="59">
        <f>B441*188/100</f>
        <v>188</v>
      </c>
      <c r="O441" s="59">
        <f>B441*67/100</f>
        <v>67</v>
      </c>
      <c r="P441" s="59">
        <f>B441*0.41/100</f>
        <v>0.41</v>
      </c>
      <c r="Q441" s="59">
        <f>B441*276/100</f>
        <v>276</v>
      </c>
      <c r="R441" s="59">
        <f>B441*3.3/100</f>
        <v>3.3</v>
      </c>
      <c r="S441" s="59">
        <f>B441*85/100</f>
        <v>85</v>
      </c>
      <c r="T441" s="59">
        <f>B441*458/100</f>
        <v>458</v>
      </c>
      <c r="U441" s="59">
        <f>B441*0.43/100</f>
        <v>0.43</v>
      </c>
      <c r="V441" s="59">
        <f>B441*1.1/100</f>
        <v>1.1000000000000001</v>
      </c>
      <c r="W441" s="59">
        <f>B441*7/100</f>
        <v>7</v>
      </c>
      <c r="X441" s="59">
        <f>B441*0.31/100</f>
        <v>0.31</v>
      </c>
      <c r="Y441" s="59">
        <f>B441*0.25/100</f>
        <v>0.25</v>
      </c>
      <c r="Z441" s="59" t="s">
        <v>455</v>
      </c>
      <c r="AA441" s="59">
        <f>B441*0.79/100</f>
        <v>0.79</v>
      </c>
      <c r="AB441" s="59">
        <f>B441*2/100</f>
        <v>2</v>
      </c>
      <c r="AC441" s="34"/>
    </row>
    <row r="442" spans="1:29" s="48" customFormat="1">
      <c r="A442" s="60" t="s">
        <v>838</v>
      </c>
      <c r="B442" s="59">
        <v>100</v>
      </c>
      <c r="C442" s="59">
        <f>B442*475/100</f>
        <v>475</v>
      </c>
      <c r="D442" s="59">
        <f>B442*4.9/100</f>
        <v>4.9000000000000004</v>
      </c>
      <c r="E442" s="59">
        <f>B442*29.9/100</f>
        <v>29.9</v>
      </c>
      <c r="F442" s="59">
        <f>B442*13.1/100</f>
        <v>13.1</v>
      </c>
      <c r="G442" s="59">
        <f>B442*8.1/100</f>
        <v>8.1</v>
      </c>
      <c r="H442" s="59">
        <f>B442*1/100</f>
        <v>1</v>
      </c>
      <c r="I442" s="59">
        <f>B442*0.94/100</f>
        <v>0.94</v>
      </c>
      <c r="J442" s="59">
        <f>B442*0.06/100</f>
        <v>0.06</v>
      </c>
      <c r="K442" s="59">
        <f>B442*2/100</f>
        <v>2</v>
      </c>
      <c r="L442" s="59">
        <f>B442*62.4/100</f>
        <v>62.4</v>
      </c>
      <c r="M442" s="59">
        <f>B442*4.9/100</f>
        <v>4.9000000000000004</v>
      </c>
      <c r="N442" s="59">
        <f>B442*45/100</f>
        <v>45</v>
      </c>
      <c r="O442" s="59">
        <f>B442*107/100</f>
        <v>107</v>
      </c>
      <c r="P442" s="59">
        <f>B442*0.83/100</f>
        <v>0.83</v>
      </c>
      <c r="Q442" s="59">
        <f>B442*220/100</f>
        <v>220</v>
      </c>
      <c r="R442" s="59">
        <f>B442*3.6/100</f>
        <v>3.6</v>
      </c>
      <c r="S442" s="59">
        <f>B442*9/100</f>
        <v>9</v>
      </c>
      <c r="T442" s="59">
        <f>B442*432/100</f>
        <v>432</v>
      </c>
      <c r="U442" s="59">
        <f>B442*0.77/100</f>
        <v>0.77</v>
      </c>
      <c r="V442" s="59">
        <f>B442*1.5/100</f>
        <v>1.5</v>
      </c>
      <c r="W442" s="59" t="s">
        <v>455</v>
      </c>
      <c r="X442" s="59">
        <f>B442*0.2/100</f>
        <v>0.2</v>
      </c>
      <c r="Y442" s="59">
        <f>B442*0.04/100</f>
        <v>0.04</v>
      </c>
      <c r="Z442" s="59" t="s">
        <v>455</v>
      </c>
      <c r="AA442" s="59">
        <f>B442*1.06/100</f>
        <v>1.06</v>
      </c>
      <c r="AB442" s="59">
        <f>B442*2.1/100</f>
        <v>2.1</v>
      </c>
      <c r="AC442" s="34"/>
    </row>
    <row r="443" spans="1:29" s="48" customFormat="1">
      <c r="A443" s="60" t="s">
        <v>839</v>
      </c>
      <c r="B443" s="59">
        <v>100</v>
      </c>
      <c r="C443" s="59">
        <f>B443*449/100</f>
        <v>449</v>
      </c>
      <c r="D443" s="59">
        <f>B443*1.1/100</f>
        <v>1.1000000000000001</v>
      </c>
      <c r="E443" s="59">
        <f>B443*13.6/100</f>
        <v>13.6</v>
      </c>
      <c r="F443" s="59">
        <f>B443*8.4/100</f>
        <v>8.4</v>
      </c>
      <c r="G443" s="59">
        <f>B443*0.4/100</f>
        <v>0.4</v>
      </c>
      <c r="H443" s="59">
        <f>B443*0.1/100</f>
        <v>0.1</v>
      </c>
      <c r="I443" s="59">
        <f>B443*0.07/100</f>
        <v>7.0000000000000007E-2</v>
      </c>
      <c r="J443" s="59"/>
      <c r="K443" s="59" t="s">
        <v>454</v>
      </c>
      <c r="L443" s="59">
        <f>B443*81.4/100</f>
        <v>81.400000000000006</v>
      </c>
      <c r="M443" s="59">
        <f>B443*3.6/100</f>
        <v>3.6</v>
      </c>
      <c r="N443" s="59">
        <f>B443*7/100</f>
        <v>7</v>
      </c>
      <c r="O443" s="59">
        <f>B443*17/100</f>
        <v>17</v>
      </c>
      <c r="P443" s="59">
        <f>B443*0.36/100</f>
        <v>0.36</v>
      </c>
      <c r="Q443" s="59">
        <f>B443*396/100</f>
        <v>396</v>
      </c>
      <c r="R443" s="59">
        <f>B443*1.2/100</f>
        <v>1.2</v>
      </c>
      <c r="S443" s="59">
        <f>B443*29/100</f>
        <v>29</v>
      </c>
      <c r="T443" s="59">
        <f>B443*183/100</f>
        <v>183</v>
      </c>
      <c r="U443" s="59">
        <f>B443*0.2/100</f>
        <v>0.2</v>
      </c>
      <c r="V443" s="59">
        <f>B443*0.4/100</f>
        <v>0.4</v>
      </c>
      <c r="W443" s="59" t="s">
        <v>454</v>
      </c>
      <c r="X443" s="59" t="s">
        <v>455</v>
      </c>
      <c r="Y443" s="59" t="s">
        <v>455</v>
      </c>
      <c r="Z443" s="59">
        <f>B443*0.16/100</f>
        <v>0.16</v>
      </c>
      <c r="AA443" s="59">
        <f>B443*47/100</f>
        <v>47</v>
      </c>
      <c r="AB443" s="59" t="s">
        <v>455</v>
      </c>
      <c r="AC443" s="34"/>
    </row>
    <row r="444" spans="1:29" s="48" customFormat="1">
      <c r="A444" s="60" t="s">
        <v>840</v>
      </c>
      <c r="B444" s="59">
        <v>100</v>
      </c>
      <c r="C444" s="59">
        <f>B444*199/100</f>
        <v>199</v>
      </c>
      <c r="D444" s="59">
        <f>B444*0.9/100</f>
        <v>0.9</v>
      </c>
      <c r="E444" s="59">
        <f>B444*0.2/100</f>
        <v>0.2</v>
      </c>
      <c r="F444" s="59" t="s">
        <v>455</v>
      </c>
      <c r="G444" s="59" t="s">
        <v>455</v>
      </c>
      <c r="H444" s="59" t="s">
        <v>455</v>
      </c>
      <c r="I444" s="59">
        <f>B444*0.01/100</f>
        <v>0.01</v>
      </c>
      <c r="J444" s="59">
        <f>B444*0.01/100</f>
        <v>0.01</v>
      </c>
      <c r="K444" s="59" t="s">
        <v>454</v>
      </c>
      <c r="L444" s="59">
        <f>B444*54.6/100</f>
        <v>54.6</v>
      </c>
      <c r="M444" s="59">
        <f>B444*2.3/100</f>
        <v>2.2999999999999998</v>
      </c>
      <c r="N444" s="59">
        <f>B444*13/100</f>
        <v>13</v>
      </c>
      <c r="O444" s="59">
        <f>B444*6/100</f>
        <v>6</v>
      </c>
      <c r="P444" s="59">
        <f>B444*0.1/100</f>
        <v>0.1</v>
      </c>
      <c r="Q444" s="59">
        <f>B444*14/100</f>
        <v>14</v>
      </c>
      <c r="R444" s="59">
        <f>B444*0.9/100</f>
        <v>0.9</v>
      </c>
      <c r="S444" s="59" t="s">
        <v>455</v>
      </c>
      <c r="T444" s="59">
        <f>B444*137/100</f>
        <v>137</v>
      </c>
      <c r="U444" s="59" t="s">
        <v>455</v>
      </c>
      <c r="V444" s="59" t="s">
        <v>455</v>
      </c>
      <c r="W444" s="59" t="s">
        <v>454</v>
      </c>
      <c r="X444" s="59">
        <f>B444*0.08/100</f>
        <v>0.08</v>
      </c>
      <c r="Y444" s="59" t="s">
        <v>455</v>
      </c>
      <c r="Z444" s="59">
        <f>B444*0.04/100</f>
        <v>0.04</v>
      </c>
      <c r="AA444" s="59" t="s">
        <v>455</v>
      </c>
      <c r="AB444" s="59">
        <f>B444*0.1/100</f>
        <v>0.1</v>
      </c>
      <c r="AC444" s="34"/>
    </row>
    <row r="445" spans="1:29" s="48" customFormat="1">
      <c r="A445" s="60" t="s">
        <v>841</v>
      </c>
      <c r="B445" s="59">
        <v>100</v>
      </c>
      <c r="C445" s="59">
        <f>B445*106/100</f>
        <v>106</v>
      </c>
      <c r="D445" s="59">
        <f>B445*2.1/100</f>
        <v>2.1</v>
      </c>
      <c r="E445" s="59">
        <f>B445*0.1/100</f>
        <v>0.1</v>
      </c>
      <c r="F445" s="59" t="s">
        <v>455</v>
      </c>
      <c r="G445" s="59" t="s">
        <v>455</v>
      </c>
      <c r="H445" s="59" t="s">
        <v>455</v>
      </c>
      <c r="I445" s="59" t="s">
        <v>455</v>
      </c>
      <c r="J445" s="59"/>
      <c r="K445" s="59" t="s">
        <v>455</v>
      </c>
      <c r="L445" s="59">
        <f>B445*24.2/100</f>
        <v>24.2</v>
      </c>
      <c r="M445" s="59" t="s">
        <v>454</v>
      </c>
      <c r="N445" s="59">
        <f>B445*4/100</f>
        <v>4</v>
      </c>
      <c r="O445" s="59">
        <f>B445*1/100</f>
        <v>1</v>
      </c>
      <c r="P445" s="59" t="s">
        <v>455</v>
      </c>
      <c r="Q445" s="59" t="s">
        <v>455</v>
      </c>
      <c r="R445" s="59">
        <f>B445*0.1/100</f>
        <v>0.1</v>
      </c>
      <c r="S445" s="59">
        <f>B445*43/100</f>
        <v>43</v>
      </c>
      <c r="T445" s="59">
        <f>B445*2/100</f>
        <v>2</v>
      </c>
      <c r="U445" s="59" t="s">
        <v>455</v>
      </c>
      <c r="V445" s="59" t="s">
        <v>455</v>
      </c>
      <c r="W445" s="59" t="s">
        <v>455</v>
      </c>
      <c r="X445" s="59">
        <f>B445*0.19/100</f>
        <v>0.19</v>
      </c>
      <c r="Y445" s="59" t="s">
        <v>455</v>
      </c>
      <c r="Z445" s="59">
        <f>B445*0.22/100</f>
        <v>0.22</v>
      </c>
      <c r="AA445" s="59" t="s">
        <v>455</v>
      </c>
      <c r="AB445" s="59" t="s">
        <v>455</v>
      </c>
      <c r="AC445" s="34"/>
    </row>
    <row r="446" spans="1:29" s="64" customFormat="1">
      <c r="A446" s="46" t="s">
        <v>40</v>
      </c>
      <c r="B446" s="47">
        <v>100</v>
      </c>
      <c r="C446" s="47">
        <f>B446*292/100</f>
        <v>292</v>
      </c>
      <c r="D446" s="47">
        <v>0</v>
      </c>
      <c r="E446" s="47">
        <v>0</v>
      </c>
      <c r="F446" s="47"/>
      <c r="G446" s="47"/>
      <c r="H446" s="47"/>
      <c r="I446" s="47"/>
      <c r="J446" s="47"/>
      <c r="K446" s="47" t="s">
        <v>454</v>
      </c>
      <c r="L446" s="47">
        <f>B446*79.4/100</f>
        <v>79.400000000000006</v>
      </c>
      <c r="M446" s="47" t="s">
        <v>454</v>
      </c>
      <c r="N446" s="47">
        <f>B446*6/100</f>
        <v>6</v>
      </c>
      <c r="O446" s="47">
        <f>B446*2/100</f>
        <v>2</v>
      </c>
      <c r="P446" s="47" t="s">
        <v>455</v>
      </c>
      <c r="Q446" s="47">
        <f>B446*5/100</f>
        <v>5</v>
      </c>
      <c r="R446" s="47">
        <f>B446*0.1/100</f>
        <v>0.1</v>
      </c>
      <c r="S446" s="47">
        <f>B446*59/100</f>
        <v>59</v>
      </c>
      <c r="T446" s="47">
        <f>B446*5/100</f>
        <v>5</v>
      </c>
      <c r="U446" s="47" t="s">
        <v>455</v>
      </c>
      <c r="V446" s="47" t="s">
        <v>455</v>
      </c>
      <c r="W446" s="47" t="s">
        <v>454</v>
      </c>
      <c r="X446" s="47"/>
      <c r="Y446" s="47"/>
      <c r="Z446" s="47"/>
      <c r="AA446" s="47"/>
      <c r="AB446" s="47"/>
      <c r="AC446" s="34"/>
    </row>
    <row r="447" spans="1:29" s="64" customFormat="1">
      <c r="A447" s="46" t="s">
        <v>842</v>
      </c>
      <c r="B447" s="47">
        <v>100</v>
      </c>
      <c r="C447" s="47">
        <f>B447*309/100</f>
        <v>309</v>
      </c>
      <c r="D447" s="47">
        <v>0</v>
      </c>
      <c r="E447" s="47">
        <v>0</v>
      </c>
      <c r="F447" s="47"/>
      <c r="G447" s="47"/>
      <c r="H447" s="47"/>
      <c r="I447" s="47"/>
      <c r="J447" s="47"/>
      <c r="K447" s="47" t="s">
        <v>454</v>
      </c>
      <c r="L447" s="47">
        <f>B447*84/100</f>
        <v>84</v>
      </c>
      <c r="M447" s="47" t="s">
        <v>454</v>
      </c>
      <c r="N447" s="47">
        <f>B447*10/100</f>
        <v>10</v>
      </c>
      <c r="O447" s="47">
        <f>B447*6/100</f>
        <v>6</v>
      </c>
      <c r="P447" s="47">
        <f>B447*0.38/100</f>
        <v>0.38</v>
      </c>
      <c r="Q447" s="47">
        <f>B447*4/100</f>
        <v>4</v>
      </c>
      <c r="R447" s="47">
        <f>B447*0.3/100</f>
        <v>0.3</v>
      </c>
      <c r="S447" s="47">
        <f>B447*6/100</f>
        <v>6</v>
      </c>
      <c r="T447" s="47">
        <f>B447*99/100</f>
        <v>99</v>
      </c>
      <c r="U447" s="47" t="s">
        <v>455</v>
      </c>
      <c r="V447" s="47">
        <f>B447*0.2/100</f>
        <v>0.2</v>
      </c>
      <c r="W447" s="47" t="s">
        <v>454</v>
      </c>
      <c r="X447" s="47">
        <f>B447*0.11/100</f>
        <v>0.11</v>
      </c>
      <c r="Y447" s="47" t="s">
        <v>455</v>
      </c>
      <c r="Z447" s="47" t="s">
        <v>455</v>
      </c>
      <c r="AA447" s="47" t="s">
        <v>455</v>
      </c>
      <c r="AB447" s="47">
        <f>B447*0.7/100</f>
        <v>0.7</v>
      </c>
      <c r="AC447" s="34"/>
    </row>
    <row r="448" spans="1:29" s="64" customFormat="1">
      <c r="A448" s="46" t="s">
        <v>41</v>
      </c>
      <c r="B448" s="47">
        <v>100</v>
      </c>
      <c r="C448" s="47">
        <f>B448*296/100</f>
        <v>296</v>
      </c>
      <c r="D448" s="47">
        <v>0</v>
      </c>
      <c r="E448" s="47">
        <v>0</v>
      </c>
      <c r="F448" s="47"/>
      <c r="G448" s="47"/>
      <c r="H448" s="47"/>
      <c r="I448" s="47"/>
      <c r="J448" s="47"/>
      <c r="K448" s="47" t="s">
        <v>454</v>
      </c>
      <c r="L448" s="47">
        <f>B448*76.6/100</f>
        <v>76.599999999999994</v>
      </c>
      <c r="M448" s="47" t="s">
        <v>454</v>
      </c>
      <c r="N448" s="47">
        <f>B448*102/100</f>
        <v>102</v>
      </c>
      <c r="O448" s="47">
        <f>B448*115/100</f>
        <v>115</v>
      </c>
      <c r="P448" s="47">
        <f>B448*2.62/100</f>
        <v>2.62</v>
      </c>
      <c r="Q448" s="47">
        <f>B448*74/100</f>
        <v>74</v>
      </c>
      <c r="R448" s="47">
        <f>B448*5.4/100</f>
        <v>5.4</v>
      </c>
      <c r="S448" s="47">
        <f>B448*4/100</f>
        <v>4</v>
      </c>
      <c r="T448" s="47">
        <f>B448*395/100</f>
        <v>395</v>
      </c>
      <c r="U448" s="47">
        <f>B448*0.84/100</f>
        <v>0.84</v>
      </c>
      <c r="V448" s="47">
        <f>B448*0.3/100</f>
        <v>0.3</v>
      </c>
      <c r="W448" s="47" t="s">
        <v>454</v>
      </c>
      <c r="X448" s="47" t="s">
        <v>455</v>
      </c>
      <c r="Y448" s="47">
        <f>B448*0.05/100</f>
        <v>0.05</v>
      </c>
      <c r="Z448" s="47">
        <f>B448*0.2/100</f>
        <v>0.2</v>
      </c>
      <c r="AA448" s="47" t="s">
        <v>455</v>
      </c>
      <c r="AB448" s="47" t="s">
        <v>455</v>
      </c>
      <c r="AC448" s="34"/>
    </row>
    <row r="449" spans="1:36">
      <c r="A449" s="25" t="s">
        <v>44</v>
      </c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34"/>
    </row>
    <row r="450" spans="1:36" s="48" customFormat="1">
      <c r="A450" s="60" t="s">
        <v>843</v>
      </c>
      <c r="B450" s="59">
        <v>100</v>
      </c>
      <c r="C450" s="59">
        <f>B450*419/100</f>
        <v>419</v>
      </c>
      <c r="D450" s="59">
        <f>B450*14.7/100</f>
        <v>14.7</v>
      </c>
      <c r="E450" s="59">
        <f>B450*11.9/100</f>
        <v>11.9</v>
      </c>
      <c r="F450" s="59">
        <f>B450*5.3/100</f>
        <v>5.3</v>
      </c>
      <c r="G450" s="59">
        <f>B450*1.1/100</f>
        <v>1.1000000000000001</v>
      </c>
      <c r="H450" s="59">
        <f>B450*4.9/100</f>
        <v>4.9000000000000004</v>
      </c>
      <c r="I450" s="59">
        <f>B450*4.82/100</f>
        <v>4.82</v>
      </c>
      <c r="J450" s="59">
        <f>B450*0.11/100</f>
        <v>0.11</v>
      </c>
      <c r="K450" s="59" t="s">
        <v>454</v>
      </c>
      <c r="L450" s="59">
        <f>B450*65.8/100</f>
        <v>65.8</v>
      </c>
      <c r="M450" s="59">
        <f>B450*51.2/100</f>
        <v>51.2</v>
      </c>
      <c r="N450" s="59">
        <f>B450*107/100</f>
        <v>107</v>
      </c>
      <c r="O450" s="59">
        <f>B450*165/100</f>
        <v>165</v>
      </c>
      <c r="P450" s="59"/>
      <c r="Q450" s="59">
        <f>B450*169/100</f>
        <v>169</v>
      </c>
      <c r="R450" s="59">
        <f>B450*8.1/100</f>
        <v>8.1</v>
      </c>
      <c r="S450" s="59">
        <f>B450*1/100</f>
        <v>1</v>
      </c>
      <c r="T450" s="59">
        <f>B450*1609/100</f>
        <v>1609</v>
      </c>
      <c r="U450" s="59">
        <f>B450*1.3/100</f>
        <v>1.3</v>
      </c>
      <c r="V450" s="59">
        <f>B450*0.5/100</f>
        <v>0.5</v>
      </c>
      <c r="W450" s="59" t="s">
        <v>454</v>
      </c>
      <c r="X450" s="59"/>
      <c r="Y450" s="59"/>
      <c r="Z450" s="59"/>
      <c r="AA450" s="59"/>
      <c r="AB450" s="59"/>
      <c r="AC450" s="34"/>
    </row>
    <row r="451" spans="1:36" s="48" customFormat="1">
      <c r="A451" s="60" t="s">
        <v>844</v>
      </c>
      <c r="B451" s="59">
        <v>100</v>
      </c>
      <c r="C451" s="59">
        <f>B451*417/100</f>
        <v>417</v>
      </c>
      <c r="D451" s="59">
        <f>B451*11.3/100</f>
        <v>11.3</v>
      </c>
      <c r="E451" s="59">
        <f>B451*8.6/100</f>
        <v>8.6</v>
      </c>
      <c r="F451" s="59">
        <f>B451*4/100</f>
        <v>4</v>
      </c>
      <c r="G451" s="59">
        <f>B451*1.6/100</f>
        <v>1.6</v>
      </c>
      <c r="H451" s="59">
        <f>B451*0.1/100</f>
        <v>0.1</v>
      </c>
      <c r="I451" s="59">
        <f>B451*0.11/100</f>
        <v>0.11</v>
      </c>
      <c r="J451" s="59">
        <f>B451*0.04/100</f>
        <v>0.04</v>
      </c>
      <c r="K451" s="59">
        <f>B451*29/100</f>
        <v>29</v>
      </c>
      <c r="L451" s="59">
        <f>B451*73.6/100</f>
        <v>73.599999999999994</v>
      </c>
      <c r="M451" s="59">
        <f>B451*2.4/100</f>
        <v>2.4</v>
      </c>
      <c r="N451" s="59">
        <f>B451*467/100</f>
        <v>467</v>
      </c>
      <c r="O451" s="59">
        <f>B451*71/100</f>
        <v>71</v>
      </c>
      <c r="P451" s="59">
        <f>B451*0.17/100</f>
        <v>0.17</v>
      </c>
      <c r="Q451" s="59">
        <f>B451*358/100</f>
        <v>358</v>
      </c>
      <c r="R451" s="59">
        <f>B451*2.3/100</f>
        <v>2.2999999999999998</v>
      </c>
      <c r="S451" s="59">
        <f>B451*382/100</f>
        <v>382</v>
      </c>
      <c r="T451" s="59">
        <f>B451*886/100</f>
        <v>886</v>
      </c>
      <c r="U451" s="59" t="s">
        <v>455</v>
      </c>
      <c r="V451" s="59">
        <f>B451*1.1/100</f>
        <v>1.1000000000000001</v>
      </c>
      <c r="W451" s="59">
        <f>B451*52/100</f>
        <v>52</v>
      </c>
      <c r="X451" s="59" t="s">
        <v>455</v>
      </c>
      <c r="Y451" s="59">
        <f>B451*1.41/100</f>
        <v>1.41</v>
      </c>
      <c r="Z451" s="59" t="s">
        <v>455</v>
      </c>
      <c r="AA451" s="59" t="s">
        <v>455</v>
      </c>
      <c r="AB451" s="59" t="s">
        <v>455</v>
      </c>
      <c r="AC451" s="34"/>
    </row>
    <row r="452" spans="1:36" s="54" customFormat="1">
      <c r="A452" s="52" t="s">
        <v>101</v>
      </c>
      <c r="B452" s="53">
        <v>100</v>
      </c>
      <c r="C452" s="53">
        <f>B452*334/100</f>
        <v>334</v>
      </c>
      <c r="D452" s="53">
        <f>B452*6.6/100</f>
        <v>6.6</v>
      </c>
      <c r="E452" s="53">
        <f>B452*4.6/100</f>
        <v>4.5999999999999996</v>
      </c>
      <c r="F452" s="53">
        <v>0</v>
      </c>
      <c r="G452" s="53"/>
      <c r="H452" s="53"/>
      <c r="I452" s="53"/>
      <c r="J452" s="53"/>
      <c r="K452" s="53">
        <v>0</v>
      </c>
      <c r="L452" s="53">
        <f>B452*78.2/100</f>
        <v>78.2</v>
      </c>
      <c r="M452" s="53">
        <f>B452*14.5/100</f>
        <v>14.5</v>
      </c>
      <c r="N452" s="53">
        <f>B452*120/100</f>
        <v>120</v>
      </c>
      <c r="O452" s="53"/>
      <c r="P452" s="53"/>
      <c r="Q452" s="53"/>
      <c r="R452" s="53">
        <f>B452*5.6/100</f>
        <v>5.6</v>
      </c>
      <c r="S452" s="53"/>
      <c r="T452" s="53"/>
      <c r="U452" s="53"/>
      <c r="V452" s="53"/>
      <c r="W452" s="53"/>
      <c r="X452" s="53">
        <f>B452*0.1/100</f>
        <v>0.1</v>
      </c>
      <c r="Y452" s="53"/>
      <c r="Z452" s="53"/>
      <c r="AA452" s="53">
        <f>B452*1.7/100</f>
        <v>1.7</v>
      </c>
      <c r="AB452" s="53">
        <v>0</v>
      </c>
      <c r="AC452" s="77"/>
    </row>
    <row r="453" spans="1:36" s="64" customFormat="1">
      <c r="A453" s="46" t="s">
        <v>845</v>
      </c>
      <c r="B453" s="47">
        <v>100</v>
      </c>
      <c r="C453" s="47">
        <f>B453*90/100</f>
        <v>90</v>
      </c>
      <c r="D453" s="47">
        <f>B453*0.5/100</f>
        <v>0.5</v>
      </c>
      <c r="E453" s="47">
        <f>B453*0.1/100</f>
        <v>0.1</v>
      </c>
      <c r="F453" s="47"/>
      <c r="G453" s="47"/>
      <c r="H453" s="47"/>
      <c r="I453" s="47"/>
      <c r="J453" s="47"/>
      <c r="K453" s="47" t="s">
        <v>454</v>
      </c>
      <c r="L453" s="47">
        <f>B453*43.9/100</f>
        <v>43.9</v>
      </c>
      <c r="M453" s="47" t="s">
        <v>454</v>
      </c>
      <c r="N453" s="47"/>
      <c r="O453" s="47"/>
      <c r="P453" s="47"/>
      <c r="Q453" s="47"/>
      <c r="R453" s="47"/>
      <c r="S453" s="47">
        <f>B453*10052/100</f>
        <v>10052</v>
      </c>
      <c r="T453" s="47"/>
      <c r="U453" s="47"/>
      <c r="V453" s="47"/>
      <c r="W453" s="47" t="s">
        <v>454</v>
      </c>
      <c r="X453" s="47"/>
      <c r="Y453" s="47"/>
      <c r="Z453" s="47"/>
      <c r="AA453" s="47"/>
      <c r="AB453" s="47"/>
      <c r="AC453" s="34"/>
    </row>
    <row r="454" spans="1:36" s="64" customFormat="1">
      <c r="A454" s="46" t="s">
        <v>846</v>
      </c>
      <c r="B454" s="47">
        <v>100</v>
      </c>
      <c r="C454" s="47">
        <f>B454*90/100</f>
        <v>90</v>
      </c>
      <c r="D454" s="47">
        <f>B454*17/100</f>
        <v>17</v>
      </c>
      <c r="E454" s="47">
        <f>B454*1.5/100</f>
        <v>1.5</v>
      </c>
      <c r="F454" s="47"/>
      <c r="G454" s="47"/>
      <c r="H454" s="47"/>
      <c r="I454" s="47"/>
      <c r="J454" s="47"/>
      <c r="K454" s="47" t="s">
        <v>454</v>
      </c>
      <c r="L454" s="47">
        <f>B454*7.7/100</f>
        <v>7.7</v>
      </c>
      <c r="M454" s="47">
        <f>B454*4.2/100</f>
        <v>4.2</v>
      </c>
      <c r="N454" s="47">
        <f>B454*18/100</f>
        <v>18</v>
      </c>
      <c r="O454" s="47">
        <f>B454*38/100</f>
        <v>38</v>
      </c>
      <c r="P454" s="47">
        <f>B454*0.2/100</f>
        <v>0.2</v>
      </c>
      <c r="Q454" s="47">
        <f>B454*419/100</f>
        <v>419</v>
      </c>
      <c r="R454" s="47">
        <f>B454*2.6/100</f>
        <v>2.6</v>
      </c>
      <c r="S454" s="47">
        <f>B454*40/100</f>
        <v>40</v>
      </c>
      <c r="T454" s="47">
        <f>B454*576/100</f>
        <v>576</v>
      </c>
      <c r="U454" s="47">
        <f>B454*0.29/100</f>
        <v>0.28999999999999998</v>
      </c>
      <c r="V454" s="47">
        <f>B454*11/100</f>
        <v>11</v>
      </c>
      <c r="W454" s="47" t="s">
        <v>454</v>
      </c>
      <c r="X454" s="47">
        <f>B454*0.3/100</f>
        <v>0.3</v>
      </c>
      <c r="Y454" s="47">
        <f>B454*0.36/100</f>
        <v>0.36</v>
      </c>
      <c r="Z454" s="47" t="s">
        <v>455</v>
      </c>
      <c r="AA454" s="47">
        <f>B454*39.61/100</f>
        <v>39.61</v>
      </c>
      <c r="AB454" s="47" t="s">
        <v>455</v>
      </c>
      <c r="AC454" s="34"/>
    </row>
    <row r="455" spans="1:36" s="64" customFormat="1">
      <c r="A455" s="46" t="s">
        <v>847</v>
      </c>
      <c r="B455" s="47">
        <v>100</v>
      </c>
      <c r="C455" s="47">
        <f>B455*380/100</f>
        <v>380</v>
      </c>
      <c r="D455" s="47">
        <f>B455*8.9/100</f>
        <v>8.9</v>
      </c>
      <c r="E455" s="47" t="s">
        <v>27</v>
      </c>
      <c r="F455" s="47"/>
      <c r="G455" s="47"/>
      <c r="H455" s="47"/>
      <c r="I455" s="47"/>
      <c r="J455" s="47"/>
      <c r="K455" s="47" t="s">
        <v>454</v>
      </c>
      <c r="L455" s="47">
        <f>B455*89.2/100</f>
        <v>89.2</v>
      </c>
      <c r="M455" s="47" t="s">
        <v>454</v>
      </c>
      <c r="N455" s="47">
        <f>B455*27/100</f>
        <v>27</v>
      </c>
      <c r="O455" s="47">
        <f>B455*2/100</f>
        <v>2</v>
      </c>
      <c r="P455" s="47"/>
      <c r="Q455" s="47">
        <f>B455*2/100</f>
        <v>2</v>
      </c>
      <c r="R455" s="47">
        <f>B455*0.3/100</f>
        <v>0.3</v>
      </c>
      <c r="S455" s="47">
        <f>B455*235/100</f>
        <v>235</v>
      </c>
      <c r="T455" s="47">
        <f>B455*7/100</f>
        <v>7</v>
      </c>
      <c r="U455" s="47" t="s">
        <v>455</v>
      </c>
      <c r="V455" s="47" t="s">
        <v>455</v>
      </c>
      <c r="W455" s="47" t="s">
        <v>454</v>
      </c>
      <c r="X455" s="47"/>
      <c r="Y455" s="47"/>
      <c r="Z455" s="47"/>
      <c r="AA455" s="47"/>
      <c r="AB455" s="47"/>
      <c r="AC455" s="34"/>
    </row>
    <row r="456" spans="1:36" s="64" customFormat="1">
      <c r="A456" s="46" t="s">
        <v>848</v>
      </c>
      <c r="B456" s="47">
        <v>100</v>
      </c>
      <c r="C456" s="47" t="s">
        <v>454</v>
      </c>
      <c r="D456" s="47" t="s">
        <v>454</v>
      </c>
      <c r="E456" s="47" t="s">
        <v>454</v>
      </c>
      <c r="F456" s="47"/>
      <c r="G456" s="47"/>
      <c r="H456" s="47"/>
      <c r="I456" s="47"/>
      <c r="J456" s="47"/>
      <c r="K456" s="47" t="s">
        <v>454</v>
      </c>
      <c r="L456" s="47" t="s">
        <v>454</v>
      </c>
      <c r="M456" s="47" t="s">
        <v>454</v>
      </c>
      <c r="N456" s="47"/>
      <c r="O456" s="47"/>
      <c r="P456" s="47"/>
      <c r="Q456" s="47"/>
      <c r="R456" s="47"/>
      <c r="S456" s="47">
        <f>B456*23432/100</f>
        <v>23432</v>
      </c>
      <c r="T456" s="47">
        <f>B456*20468/100</f>
        <v>20468</v>
      </c>
      <c r="U456" s="47"/>
      <c r="V456" s="47"/>
      <c r="W456" s="47" t="s">
        <v>454</v>
      </c>
      <c r="X456" s="47"/>
      <c r="Y456" s="47"/>
      <c r="Z456" s="47"/>
      <c r="AA456" s="47"/>
      <c r="AB456" s="47"/>
      <c r="AC456" s="34"/>
    </row>
    <row r="457" spans="1:36" s="64" customFormat="1">
      <c r="A457" s="46" t="s">
        <v>941</v>
      </c>
      <c r="B457" s="47">
        <v>100</v>
      </c>
      <c r="C457" s="47" t="s">
        <v>454</v>
      </c>
      <c r="D457" s="47" t="s">
        <v>454</v>
      </c>
      <c r="E457" s="47" t="s">
        <v>454</v>
      </c>
      <c r="F457" s="47"/>
      <c r="G457" s="47"/>
      <c r="H457" s="47"/>
      <c r="I457" s="47"/>
      <c r="J457" s="47"/>
      <c r="K457" s="47" t="s">
        <v>454</v>
      </c>
      <c r="L457" s="47" t="s">
        <v>454</v>
      </c>
      <c r="M457" s="47" t="s">
        <v>454</v>
      </c>
      <c r="N457" s="47"/>
      <c r="O457" s="47"/>
      <c r="P457" s="47"/>
      <c r="Q457" s="47"/>
      <c r="R457" s="47"/>
      <c r="S457" s="47">
        <f>B457*39943/100</f>
        <v>39943</v>
      </c>
      <c r="T457" s="47"/>
      <c r="U457" s="47"/>
      <c r="V457" s="47"/>
      <c r="W457" s="47" t="s">
        <v>454</v>
      </c>
      <c r="X457" s="47"/>
      <c r="Y457" s="47"/>
      <c r="Z457" s="47"/>
      <c r="AA457" s="47"/>
      <c r="AB457" s="47"/>
      <c r="AC457" s="34"/>
    </row>
    <row r="458" spans="1:36" s="48" customFormat="1">
      <c r="A458" s="60" t="s">
        <v>45</v>
      </c>
      <c r="B458" s="59">
        <v>100</v>
      </c>
      <c r="C458" s="59">
        <f>B458*61/100</f>
        <v>61</v>
      </c>
      <c r="D458" s="59">
        <f>B458*3.3/100</f>
        <v>3.3</v>
      </c>
      <c r="E458" s="59">
        <f>B458*0.3/100</f>
        <v>0.3</v>
      </c>
      <c r="F458" s="59" t="s">
        <v>455</v>
      </c>
      <c r="G458" s="59" t="s">
        <v>455</v>
      </c>
      <c r="H458" s="59" t="s">
        <v>455</v>
      </c>
      <c r="I458" s="59">
        <f>B458*0.01/100</f>
        <v>0.01</v>
      </c>
      <c r="J458" s="59" t="s">
        <v>455</v>
      </c>
      <c r="K458" s="59" t="s">
        <v>454</v>
      </c>
      <c r="L458" s="59">
        <f>B458*11.6/100</f>
        <v>11.6</v>
      </c>
      <c r="M458" s="59" t="s">
        <v>454</v>
      </c>
      <c r="N458" s="59">
        <f>B458*15/100</f>
        <v>15</v>
      </c>
      <c r="O458" s="59">
        <f>B458*24/100</f>
        <v>24</v>
      </c>
      <c r="P458" s="59">
        <f>B458*0.07/100</f>
        <v>7.0000000000000007E-2</v>
      </c>
      <c r="Q458" s="59">
        <f>B458*47/100</f>
        <v>47</v>
      </c>
      <c r="R458" s="59">
        <f>B458*0.5/100</f>
        <v>0.5</v>
      </c>
      <c r="S458" s="59">
        <f>B458*5024/100</f>
        <v>5024</v>
      </c>
      <c r="T458" s="59">
        <f>B458*165/100</f>
        <v>165</v>
      </c>
      <c r="U458" s="59" t="s">
        <v>455</v>
      </c>
      <c r="V458" s="59">
        <f>B458*0.2/100</f>
        <v>0.2</v>
      </c>
      <c r="W458" s="59" t="s">
        <v>454</v>
      </c>
      <c r="X458" s="59">
        <f>B458*0.83/100</f>
        <v>0.83</v>
      </c>
      <c r="Y458" s="59">
        <f>B458*0.06/100</f>
        <v>0.06</v>
      </c>
      <c r="Z458" s="59">
        <f>B458*0.15/100</f>
        <v>0.15</v>
      </c>
      <c r="AA458" s="59">
        <f>B458*2.1/100</f>
        <v>2.1</v>
      </c>
      <c r="AB458" s="59" t="s">
        <v>455</v>
      </c>
      <c r="AC458" s="34"/>
    </row>
    <row r="459" spans="1:36" s="64" customFormat="1">
      <c r="A459" s="46" t="s">
        <v>43</v>
      </c>
      <c r="B459" s="47">
        <v>100</v>
      </c>
      <c r="C459" s="47">
        <f>B459*21/100</f>
        <v>21</v>
      </c>
      <c r="D459" s="47">
        <f>B459*2.7/100</f>
        <v>2.7</v>
      </c>
      <c r="E459" s="47">
        <f>B459*0.3/100</f>
        <v>0.3</v>
      </c>
      <c r="F459" s="47"/>
      <c r="G459" s="47"/>
      <c r="H459" s="47"/>
      <c r="I459" s="47"/>
      <c r="J459" s="47"/>
      <c r="K459" s="47" t="s">
        <v>454</v>
      </c>
      <c r="L459" s="47">
        <f>B459*2.1/100</f>
        <v>2.1</v>
      </c>
      <c r="M459" s="47">
        <f>B459*0.6/100</f>
        <v>0.6</v>
      </c>
      <c r="N459" s="47"/>
      <c r="O459" s="47"/>
      <c r="P459" s="47"/>
      <c r="Q459" s="47"/>
      <c r="R459" s="47"/>
      <c r="S459" s="47">
        <f>B459*32560/100</f>
        <v>32560</v>
      </c>
      <c r="T459" s="47"/>
      <c r="U459" s="47"/>
      <c r="V459" s="47"/>
      <c r="W459" s="47" t="s">
        <v>454</v>
      </c>
      <c r="X459" s="47"/>
      <c r="Y459" s="47"/>
      <c r="Z459" s="47"/>
      <c r="AA459" s="47"/>
      <c r="AB459" s="47"/>
      <c r="AC459" s="34"/>
    </row>
    <row r="460" spans="1:36" s="37" customFormat="1">
      <c r="A460" s="35" t="s">
        <v>100</v>
      </c>
      <c r="B460" s="36">
        <v>100</v>
      </c>
      <c r="C460" s="36" t="s">
        <v>23</v>
      </c>
      <c r="D460" s="36" t="s">
        <v>23</v>
      </c>
      <c r="E460" s="36" t="s">
        <v>23</v>
      </c>
      <c r="F460" s="36" t="s">
        <v>23</v>
      </c>
      <c r="G460" s="36" t="s">
        <v>23</v>
      </c>
      <c r="H460" s="36" t="s">
        <v>23</v>
      </c>
      <c r="I460" s="36" t="s">
        <v>23</v>
      </c>
      <c r="J460" s="36" t="s">
        <v>23</v>
      </c>
      <c r="K460" s="36" t="s">
        <v>23</v>
      </c>
      <c r="L460" s="36" t="s">
        <v>23</v>
      </c>
      <c r="M460" s="36" t="s">
        <v>23</v>
      </c>
      <c r="N460" s="36">
        <f>B460*24/100</f>
        <v>24</v>
      </c>
      <c r="O460" s="36" t="s">
        <v>23</v>
      </c>
      <c r="P460" s="36" t="s">
        <v>23</v>
      </c>
      <c r="Q460" s="36" t="s">
        <v>23</v>
      </c>
      <c r="R460" s="36" t="s">
        <v>23</v>
      </c>
      <c r="S460" s="36">
        <f>B460*38758/100</f>
        <v>38758</v>
      </c>
      <c r="T460" s="36">
        <f>B460*8/100</f>
        <v>8</v>
      </c>
      <c r="U460" s="36" t="s">
        <v>23</v>
      </c>
      <c r="V460" s="36" t="s">
        <v>23</v>
      </c>
      <c r="W460" s="36" t="s">
        <v>23</v>
      </c>
      <c r="X460" s="36" t="s">
        <v>23</v>
      </c>
      <c r="Y460" s="36" t="s">
        <v>23</v>
      </c>
      <c r="Z460" s="36" t="s">
        <v>23</v>
      </c>
      <c r="AA460" s="36" t="s">
        <v>23</v>
      </c>
      <c r="AB460" s="36" t="s">
        <v>23</v>
      </c>
      <c r="AC460" s="77"/>
    </row>
    <row r="461" spans="1:36">
      <c r="A461" s="27" t="s">
        <v>849</v>
      </c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34"/>
      <c r="AD461" s="64"/>
      <c r="AE461" s="64"/>
      <c r="AF461" s="64"/>
      <c r="AG461" s="64"/>
      <c r="AH461" s="64"/>
      <c r="AI461" s="64"/>
      <c r="AJ461" s="64"/>
    </row>
    <row r="462" spans="1:36" s="51" customFormat="1">
      <c r="A462" s="71" t="s">
        <v>850</v>
      </c>
      <c r="B462" s="72">
        <v>100</v>
      </c>
      <c r="C462" s="72">
        <f>B462*194/100</f>
        <v>194</v>
      </c>
      <c r="D462" s="72">
        <f>B462*1.2/100</f>
        <v>1.2</v>
      </c>
      <c r="E462" s="72">
        <f>B462*20.3/100</f>
        <v>20.3</v>
      </c>
      <c r="F462" s="59">
        <f>B462*3.5/100</f>
        <v>3.5</v>
      </c>
      <c r="G462" s="72">
        <f>B462*11/100</f>
        <v>11</v>
      </c>
      <c r="H462" s="72">
        <f>B462*3/100</f>
        <v>3</v>
      </c>
      <c r="I462" s="72">
        <f>B462*2.77/100</f>
        <v>2.77</v>
      </c>
      <c r="J462" s="72">
        <f>B462*0.19/100</f>
        <v>0.19</v>
      </c>
      <c r="K462" s="72" t="s">
        <v>454</v>
      </c>
      <c r="L462" s="72">
        <f>B462*5.5/100</f>
        <v>5.5</v>
      </c>
      <c r="M462" s="72">
        <f>B462*4.6/100</f>
        <v>4.5999999999999996</v>
      </c>
      <c r="N462" s="72">
        <f>B462*59/100</f>
        <v>59</v>
      </c>
      <c r="O462" s="72">
        <f>B462*5/100</f>
        <v>5</v>
      </c>
      <c r="P462" s="72">
        <f>B462*0.06/100</f>
        <v>0.06</v>
      </c>
      <c r="Q462" s="72">
        <f>B462*16/100</f>
        <v>16</v>
      </c>
      <c r="R462" s="72">
        <f>B462*5.5/100</f>
        <v>5.5</v>
      </c>
      <c r="S462" s="72">
        <f>B462*1567/100</f>
        <v>1567</v>
      </c>
      <c r="T462" s="72">
        <f>B462*79/100</f>
        <v>79</v>
      </c>
      <c r="U462" s="72">
        <f>B462*0.25/100</f>
        <v>0.25</v>
      </c>
      <c r="V462" s="72">
        <f>B462*0.3/100</f>
        <v>0.3</v>
      </c>
      <c r="W462" s="72" t="s">
        <v>454</v>
      </c>
      <c r="X462" s="72" t="s">
        <v>455</v>
      </c>
      <c r="Y462" s="72" t="s">
        <v>455</v>
      </c>
      <c r="Z462" s="72">
        <f>B462*0.04/100</f>
        <v>0.04</v>
      </c>
      <c r="AA462" s="72" t="s">
        <v>455</v>
      </c>
      <c r="AB462" s="72" t="s">
        <v>455</v>
      </c>
      <c r="AC462" s="6"/>
      <c r="AD462" s="73"/>
      <c r="AE462" s="73"/>
      <c r="AF462" s="73"/>
      <c r="AG462" s="73"/>
      <c r="AH462" s="73"/>
      <c r="AI462" s="73"/>
      <c r="AJ462" s="73"/>
    </row>
    <row r="463" spans="1:36" s="51" customFormat="1">
      <c r="A463" s="71" t="s">
        <v>851</v>
      </c>
      <c r="B463" s="72">
        <v>100</v>
      </c>
      <c r="C463" s="72">
        <f>B463*137/100</f>
        <v>137</v>
      </c>
      <c r="D463" s="72">
        <f>B463*0.9/100</f>
        <v>0.9</v>
      </c>
      <c r="E463" s="72">
        <f>B463*14.2/100</f>
        <v>14.2</v>
      </c>
      <c r="F463" s="72">
        <f>B463*2.3/100</f>
        <v>2.2999999999999998</v>
      </c>
      <c r="G463" s="72">
        <f>B463*8.3/100</f>
        <v>8.3000000000000007</v>
      </c>
      <c r="H463" s="72">
        <f>B463*1/100</f>
        <v>1</v>
      </c>
      <c r="I463" s="72">
        <f>B463*0.91/100</f>
        <v>0.91</v>
      </c>
      <c r="J463" s="72">
        <f>B463*0.13/100</f>
        <v>0.13</v>
      </c>
      <c r="K463" s="72" t="s">
        <v>454</v>
      </c>
      <c r="L463" s="72">
        <f>B463*4.1/100</f>
        <v>4.0999999999999996</v>
      </c>
      <c r="M463" s="72">
        <f>B463*3.8/100</f>
        <v>3.8</v>
      </c>
      <c r="N463" s="72">
        <f>B463*46/100</f>
        <v>46</v>
      </c>
      <c r="O463" s="72">
        <f>B463*4/100</f>
        <v>4</v>
      </c>
      <c r="P463" s="72">
        <f>B463*0.03/100</f>
        <v>0.03</v>
      </c>
      <c r="Q463" s="72">
        <f>B463*5/100</f>
        <v>5</v>
      </c>
      <c r="R463" s="72">
        <f>B463*0.2/100</f>
        <v>0.2</v>
      </c>
      <c r="S463" s="72">
        <f>B463*1347/100</f>
        <v>1347</v>
      </c>
      <c r="T463" s="72">
        <f>B463*20/100</f>
        <v>20</v>
      </c>
      <c r="U463" s="72">
        <f>B463*0.14/100</f>
        <v>0.14000000000000001</v>
      </c>
      <c r="V463" s="72">
        <f>B463*0.1/100</f>
        <v>0.1</v>
      </c>
      <c r="W463" s="72" t="s">
        <v>454</v>
      </c>
      <c r="X463" s="72" t="s">
        <v>455</v>
      </c>
      <c r="Y463" s="72" t="s">
        <v>455</v>
      </c>
      <c r="Z463" s="72" t="s">
        <v>455</v>
      </c>
      <c r="AA463" s="72" t="s">
        <v>455</v>
      </c>
      <c r="AB463" s="72" t="s">
        <v>455</v>
      </c>
      <c r="AC463" s="6"/>
      <c r="AD463" s="73"/>
      <c r="AE463" s="73"/>
      <c r="AF463" s="73"/>
      <c r="AG463" s="73"/>
      <c r="AH463" s="73"/>
      <c r="AI463" s="73"/>
      <c r="AJ463" s="73"/>
    </row>
    <row r="464" spans="1:36" s="48" customFormat="1">
      <c r="A464" s="60" t="s">
        <v>852</v>
      </c>
      <c r="B464" s="59">
        <v>100</v>
      </c>
      <c r="C464" s="59">
        <f>B464*315/100</f>
        <v>315</v>
      </c>
      <c r="D464" s="59">
        <f>B464*0.5/100</f>
        <v>0.5</v>
      </c>
      <c r="E464" s="59">
        <f>B464*27.3/100</f>
        <v>27.3</v>
      </c>
      <c r="F464" s="59">
        <f>B464*25.9/100</f>
        <v>25.9</v>
      </c>
      <c r="G464" s="59">
        <f>B464*0.1/100</f>
        <v>0.1</v>
      </c>
      <c r="H464" s="59">
        <f>B464*0.1/100</f>
        <v>0.1</v>
      </c>
      <c r="I464" s="59">
        <f>B464*0.08/100</f>
        <v>0.08</v>
      </c>
      <c r="J464" s="59"/>
      <c r="K464" s="59" t="s">
        <v>455</v>
      </c>
      <c r="L464" s="59">
        <f>B464*16.9/100</f>
        <v>16.899999999999999</v>
      </c>
      <c r="M464" s="59" t="s">
        <v>454</v>
      </c>
      <c r="N464" s="59">
        <f>B464*2/100</f>
        <v>2</v>
      </c>
      <c r="O464" s="59">
        <f>B464*1/100</f>
        <v>1</v>
      </c>
      <c r="P464" s="59" t="s">
        <v>455</v>
      </c>
      <c r="Q464" s="59">
        <f>B464*16/100</f>
        <v>16</v>
      </c>
      <c r="R464" s="59" t="s">
        <v>455</v>
      </c>
      <c r="S464" s="59">
        <f>B464*110/100</f>
        <v>110</v>
      </c>
      <c r="T464" s="59">
        <f>B464*5/100</f>
        <v>5</v>
      </c>
      <c r="U464" s="59">
        <f>B464*0.01/100</f>
        <v>0.01</v>
      </c>
      <c r="V464" s="59">
        <f>B464*0.1/100</f>
        <v>0.1</v>
      </c>
      <c r="W464" s="59" t="s">
        <v>455</v>
      </c>
      <c r="X464" s="59">
        <f>B464*0.07/100</f>
        <v>7.0000000000000007E-2</v>
      </c>
      <c r="Y464" s="59" t="s">
        <v>455</v>
      </c>
      <c r="Z464" s="59" t="s">
        <v>455</v>
      </c>
      <c r="AA464" s="59" t="s">
        <v>455</v>
      </c>
      <c r="AB464" s="59"/>
      <c r="AC464" s="34"/>
      <c r="AD464" s="64"/>
      <c r="AE464" s="64"/>
      <c r="AF464" s="64"/>
      <c r="AG464" s="64"/>
      <c r="AH464" s="64"/>
      <c r="AI464" s="64"/>
      <c r="AJ464" s="64"/>
    </row>
    <row r="465" spans="1:36" s="48" customFormat="1">
      <c r="A465" s="60" t="s">
        <v>855</v>
      </c>
      <c r="B465" s="59">
        <v>100</v>
      </c>
      <c r="C465" s="59">
        <f>B465*166/100</f>
        <v>166</v>
      </c>
      <c r="D465" s="59">
        <f>B465*1/100</f>
        <v>1</v>
      </c>
      <c r="E465" s="59">
        <f>B465*18.4/100</f>
        <v>18.399999999999999</v>
      </c>
      <c r="F465" s="59">
        <f>B465*15.6/100</f>
        <v>15.6</v>
      </c>
      <c r="G465" s="59">
        <f>B465*0.9/100</f>
        <v>0.9</v>
      </c>
      <c r="H465" s="59">
        <f>B465*0.2/100</f>
        <v>0.2</v>
      </c>
      <c r="I465" s="59">
        <f>B465*0.17/100</f>
        <v>0.17</v>
      </c>
      <c r="J465" s="59"/>
      <c r="K465" s="59" t="s">
        <v>454</v>
      </c>
      <c r="L465" s="59">
        <f>B465*2.2/100</f>
        <v>2.2000000000000002</v>
      </c>
      <c r="M465" s="59">
        <f>B465*0.7/100</f>
        <v>0.7</v>
      </c>
      <c r="N465" s="59">
        <f>B465*6/100</f>
        <v>6</v>
      </c>
      <c r="O465" s="59">
        <f>B465*17/100</f>
        <v>17</v>
      </c>
      <c r="P465" s="59">
        <f>B465*0.24/100</f>
        <v>0.24</v>
      </c>
      <c r="Q465" s="59">
        <f>B465*26/100</f>
        <v>26</v>
      </c>
      <c r="R465" s="59">
        <f>B465*0.5/100</f>
        <v>0.5</v>
      </c>
      <c r="S465" s="59">
        <f>B465*44/100</f>
        <v>44</v>
      </c>
      <c r="T465" s="59">
        <f>B465*144/100</f>
        <v>144</v>
      </c>
      <c r="U465" s="59">
        <f>B465*0.16/100</f>
        <v>0.16</v>
      </c>
      <c r="V465" s="59">
        <f>B465*0.3/100</f>
        <v>0.3</v>
      </c>
      <c r="W465" s="59" t="s">
        <v>454</v>
      </c>
      <c r="X465" s="59" t="s">
        <v>455</v>
      </c>
      <c r="Y465" s="59" t="s">
        <v>455</v>
      </c>
      <c r="Z465" s="59" t="s">
        <v>455</v>
      </c>
      <c r="AA465" s="59" t="s">
        <v>455</v>
      </c>
      <c r="AB465" s="59" t="s">
        <v>455</v>
      </c>
      <c r="AC465" s="34"/>
      <c r="AD465" s="64"/>
      <c r="AE465" s="64"/>
      <c r="AF465" s="64"/>
      <c r="AG465" s="64"/>
      <c r="AH465" s="64"/>
      <c r="AI465" s="64"/>
      <c r="AJ465" s="64"/>
    </row>
    <row r="466" spans="1:36" s="48" customFormat="1">
      <c r="A466" s="60" t="s">
        <v>854</v>
      </c>
      <c r="B466" s="59">
        <v>100</v>
      </c>
      <c r="C466" s="59">
        <f>B466*302/100</f>
        <v>302</v>
      </c>
      <c r="D466" s="59">
        <f>B466*0.6/100</f>
        <v>0.6</v>
      </c>
      <c r="E466" s="59">
        <f>B466*30.5/100</f>
        <v>30.5</v>
      </c>
      <c r="F466" s="59">
        <f>B466*4.1/100</f>
        <v>4.0999999999999996</v>
      </c>
      <c r="G466" s="59">
        <f>B466*6.4/100</f>
        <v>6.4</v>
      </c>
      <c r="H466" s="59">
        <f>B466*15.4/100</f>
        <v>15.4</v>
      </c>
      <c r="I466" s="59">
        <f>B466*13.86/100</f>
        <v>13.86</v>
      </c>
      <c r="J466" s="59">
        <f>B466*1.43/100</f>
        <v>1.43</v>
      </c>
      <c r="K466" s="59">
        <f>B466*42/100</f>
        <v>42</v>
      </c>
      <c r="L466" s="59">
        <f>B466*7.9/100</f>
        <v>7.9</v>
      </c>
      <c r="M466" s="59" t="s">
        <v>454</v>
      </c>
      <c r="N466" s="59">
        <f>B466*3/100</f>
        <v>3</v>
      </c>
      <c r="O466" s="59">
        <f>B466*1/100</f>
        <v>1</v>
      </c>
      <c r="P466" s="59" t="s">
        <v>455</v>
      </c>
      <c r="Q466" s="59">
        <f>B466*14/100</f>
        <v>14</v>
      </c>
      <c r="R466" s="59">
        <f>B466*0.1/100</f>
        <v>0.1</v>
      </c>
      <c r="S466" s="59">
        <f>B466*787/100</f>
        <v>787</v>
      </c>
      <c r="T466" s="59">
        <f>B466*16/100</f>
        <v>16</v>
      </c>
      <c r="U466" s="59" t="s">
        <v>455</v>
      </c>
      <c r="V466" s="59">
        <f>B466*0.1/100</f>
        <v>0.1</v>
      </c>
      <c r="W466" s="59">
        <f>B466*8/100</f>
        <v>8</v>
      </c>
      <c r="X466" s="59" t="s">
        <v>455</v>
      </c>
      <c r="Y466" s="59">
        <f>B466*0.05/100</f>
        <v>0.05</v>
      </c>
      <c r="Z466" s="59" t="s">
        <v>455</v>
      </c>
      <c r="AA466" s="59" t="s">
        <v>455</v>
      </c>
      <c r="AB466" s="59" t="s">
        <v>455</v>
      </c>
      <c r="AC466" s="34"/>
      <c r="AD466" s="64"/>
      <c r="AE466" s="64"/>
      <c r="AF466" s="64"/>
      <c r="AG466" s="64"/>
      <c r="AH466" s="64"/>
      <c r="AI466" s="64"/>
      <c r="AJ466" s="64"/>
    </row>
    <row r="467" spans="1:36">
      <c r="A467" s="29" t="s">
        <v>46</v>
      </c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4"/>
    </row>
    <row r="468" spans="1:36" s="48" customFormat="1">
      <c r="A468" s="60" t="s">
        <v>47</v>
      </c>
      <c r="B468" s="59">
        <v>100</v>
      </c>
      <c r="C468" s="59">
        <f>B468*289/100</f>
        <v>289</v>
      </c>
      <c r="D468" s="59">
        <f>B468*8.3/100</f>
        <v>8.3000000000000007</v>
      </c>
      <c r="E468" s="59">
        <f>B468*19.9/100</f>
        <v>19.899999999999999</v>
      </c>
      <c r="F468" s="59">
        <f>B468*9.1/100</f>
        <v>9.1</v>
      </c>
      <c r="G468" s="59">
        <f>B468*7.8/100</f>
        <v>7.8</v>
      </c>
      <c r="H468" s="59">
        <f>B468*2.1/100</f>
        <v>2.1</v>
      </c>
      <c r="I468" s="59">
        <f>B468*2.01/100</f>
        <v>2.0099999999999998</v>
      </c>
      <c r="J468" s="59">
        <f>B468*0.12/100</f>
        <v>0.12</v>
      </c>
      <c r="K468" s="59">
        <f>B468*25/100</f>
        <v>25</v>
      </c>
      <c r="L468" s="59">
        <f>B468*19.1/100</f>
        <v>19.100000000000001</v>
      </c>
      <c r="M468" s="59">
        <f>B468*9.4/100</f>
        <v>9.4</v>
      </c>
      <c r="N468" s="59">
        <f>B468*124/100</f>
        <v>124</v>
      </c>
      <c r="O468" s="59">
        <f>B468*51/100</f>
        <v>51</v>
      </c>
      <c r="P468" s="59">
        <f>B468*0.59/100</f>
        <v>0.59</v>
      </c>
      <c r="Q468" s="59">
        <f>B468*142/100</f>
        <v>142</v>
      </c>
      <c r="R468" s="59">
        <f>B468*1.9/100</f>
        <v>1.9</v>
      </c>
      <c r="S468" s="59">
        <f>B468*305/100</f>
        <v>305</v>
      </c>
      <c r="T468" s="59">
        <f>B468*354/100</f>
        <v>354</v>
      </c>
      <c r="U468" s="59">
        <f>B468*0.23/100</f>
        <v>0.23</v>
      </c>
      <c r="V468" s="59">
        <f>B468*1.2/100</f>
        <v>1.2</v>
      </c>
      <c r="W468" s="59" t="s">
        <v>455</v>
      </c>
      <c r="X468" s="59">
        <f>B468*0.06/100</f>
        <v>0.06</v>
      </c>
      <c r="Y468" s="59" t="s">
        <v>455</v>
      </c>
      <c r="Z468" s="59" t="s">
        <v>455</v>
      </c>
      <c r="AA468" s="59" t="s">
        <v>455</v>
      </c>
      <c r="AB468" s="59"/>
      <c r="AC468" s="34"/>
    </row>
    <row r="469" spans="1:36" s="48" customFormat="1">
      <c r="A469" s="60" t="s">
        <v>856</v>
      </c>
      <c r="B469" s="59">
        <v>100</v>
      </c>
      <c r="C469" s="59">
        <f>B469*274/100</f>
        <v>274</v>
      </c>
      <c r="D469" s="59">
        <f>B469*8/100</f>
        <v>8</v>
      </c>
      <c r="E469" s="59">
        <f>B469*8.3/100</f>
        <v>8.3000000000000007</v>
      </c>
      <c r="F469" s="59">
        <f>B469*1.8/100</f>
        <v>1.8</v>
      </c>
      <c r="G469" s="59">
        <f>B469*2.5/100</f>
        <v>2.5</v>
      </c>
      <c r="H469" s="59">
        <f>B469*3.5/100</f>
        <v>3.5</v>
      </c>
      <c r="I469" s="59">
        <f>B469*3.22/100</f>
        <v>3.22</v>
      </c>
      <c r="J469" s="59">
        <f>B469*0.24/100</f>
        <v>0.24</v>
      </c>
      <c r="K469" s="59">
        <f>B469*70/100</f>
        <v>70</v>
      </c>
      <c r="L469" s="59">
        <f>B469*41.7/100</f>
        <v>41.7</v>
      </c>
      <c r="M469" s="59">
        <f>B469*2.7/100</f>
        <v>2.7</v>
      </c>
      <c r="N469" s="59">
        <f>B469*24/100</f>
        <v>24</v>
      </c>
      <c r="O469" s="59">
        <f>B469*13/100</f>
        <v>13</v>
      </c>
      <c r="P469" s="59">
        <f>B469*0.42/100</f>
        <v>0.42</v>
      </c>
      <c r="Q469" s="59">
        <f>B469*87/100</f>
        <v>87</v>
      </c>
      <c r="R469" s="59">
        <f>B469*2.1/100</f>
        <v>2.1</v>
      </c>
      <c r="S469" s="59">
        <f>B469*59/100</f>
        <v>59</v>
      </c>
      <c r="T469" s="59">
        <f>B469*96/100</f>
        <v>96</v>
      </c>
      <c r="U469" s="59">
        <f>B469*0.13/100</f>
        <v>0.13</v>
      </c>
      <c r="V469" s="59">
        <f>B469*0.9/100</f>
        <v>0.9</v>
      </c>
      <c r="W469" s="59" t="s">
        <v>455</v>
      </c>
      <c r="X469" s="59">
        <f>B469*0.08/100</f>
        <v>0.08</v>
      </c>
      <c r="Y469" s="59">
        <f>B469*0.05/100</f>
        <v>0.05</v>
      </c>
      <c r="Z469" s="59" t="s">
        <v>455</v>
      </c>
      <c r="AA469" s="59" t="s">
        <v>455</v>
      </c>
      <c r="AB469" s="59" t="s">
        <v>455</v>
      </c>
      <c r="AC469" s="34"/>
    </row>
    <row r="470" spans="1:36" s="48" customFormat="1">
      <c r="A470" s="60" t="s">
        <v>857</v>
      </c>
      <c r="B470" s="59">
        <v>100</v>
      </c>
      <c r="C470" s="59">
        <f>B470*154/100</f>
        <v>154</v>
      </c>
      <c r="D470" s="59">
        <f>B470*10.8/100</f>
        <v>10.8</v>
      </c>
      <c r="E470" s="59">
        <f>B470*7.1/100</f>
        <v>7.1</v>
      </c>
      <c r="F470" s="59">
        <f>B470*3.2/100</f>
        <v>3.2</v>
      </c>
      <c r="G470" s="59">
        <f>B470*3/100</f>
        <v>3</v>
      </c>
      <c r="H470" s="59">
        <f>B470*0.2/100</f>
        <v>0.2</v>
      </c>
      <c r="I470" s="59">
        <f>B470*0.16/100</f>
        <v>0.16</v>
      </c>
      <c r="J470" s="59">
        <f>B470*0.03/100</f>
        <v>0.03</v>
      </c>
      <c r="K470" s="59">
        <f>B470*36/100</f>
        <v>36</v>
      </c>
      <c r="L470" s="59">
        <f>B470*11.6/100</f>
        <v>11.6</v>
      </c>
      <c r="M470" s="59">
        <f>B470*1.5/100</f>
        <v>1.5</v>
      </c>
      <c r="N470" s="59">
        <f>B470*13/100</f>
        <v>13</v>
      </c>
      <c r="O470" s="59">
        <f>B470*9/100</f>
        <v>9</v>
      </c>
      <c r="P470" s="59">
        <f>B470*0.18/100</f>
        <v>0.18</v>
      </c>
      <c r="Q470" s="59">
        <f>B470*48/100</f>
        <v>48</v>
      </c>
      <c r="R470" s="59">
        <f>B470*1/100</f>
        <v>1</v>
      </c>
      <c r="S470" s="59">
        <f>B470*1622/100</f>
        <v>1622</v>
      </c>
      <c r="T470" s="59">
        <f>B470*87/100</f>
        <v>87</v>
      </c>
      <c r="U470" s="59">
        <f>B470*0.08/100</f>
        <v>0.08</v>
      </c>
      <c r="V470" s="59">
        <f>B470*2.7/100</f>
        <v>2.7</v>
      </c>
      <c r="W470" s="59" t="s">
        <v>455</v>
      </c>
      <c r="X470" s="59">
        <f>B470*0.03/100</f>
        <v>0.03</v>
      </c>
      <c r="Y470" s="59" t="s">
        <v>455</v>
      </c>
      <c r="Z470" s="59">
        <f>B470*0.07/100</f>
        <v>7.0000000000000007E-2</v>
      </c>
      <c r="AA470" s="59" t="s">
        <v>23</v>
      </c>
      <c r="AB470" s="59"/>
      <c r="AC470" s="34"/>
    </row>
    <row r="471" spans="1:36" s="48" customFormat="1">
      <c r="A471" s="60" t="s">
        <v>858</v>
      </c>
      <c r="B471" s="59">
        <v>100</v>
      </c>
      <c r="C471" s="59">
        <f>B471*136/100</f>
        <v>136</v>
      </c>
      <c r="D471" s="59">
        <f>B471*6.2/100</f>
        <v>6.2</v>
      </c>
      <c r="E471" s="59">
        <f>B471*3.2/100</f>
        <v>3.2</v>
      </c>
      <c r="F471" s="59">
        <f>B471*0.6/100</f>
        <v>0.6</v>
      </c>
      <c r="G471" s="59">
        <f>B471*1/100</f>
        <v>1</v>
      </c>
      <c r="H471" s="59">
        <f>B471*1.5/100</f>
        <v>1.5</v>
      </c>
      <c r="I471" s="59">
        <f>B471*1.36/100</f>
        <v>1.36</v>
      </c>
      <c r="J471" s="59">
        <f>B471*0.13/100</f>
        <v>0.13</v>
      </c>
      <c r="K471" s="59">
        <f>B471*4/100</f>
        <v>4</v>
      </c>
      <c r="L471" s="59">
        <f>B471*20.4/100</f>
        <v>20.399999999999999</v>
      </c>
      <c r="M471" s="59">
        <f>B471*5.1/100</f>
        <v>5.0999999999999996</v>
      </c>
      <c r="N471" s="59">
        <f>B471*33/100</f>
        <v>33</v>
      </c>
      <c r="O471" s="59">
        <f>B471*19/100</f>
        <v>19</v>
      </c>
      <c r="P471" s="59">
        <f>B471*0.27/100</f>
        <v>0.27</v>
      </c>
      <c r="Q471" s="59">
        <f>B471*72/100</f>
        <v>72</v>
      </c>
      <c r="R471" s="59">
        <f>B471*0.6/100</f>
        <v>0.6</v>
      </c>
      <c r="S471" s="59">
        <f>B471*93/100</f>
        <v>93</v>
      </c>
      <c r="T471" s="59">
        <f>B471*157/100</f>
        <v>157</v>
      </c>
      <c r="U471" s="59">
        <f>B471*0.08/100</f>
        <v>0.08</v>
      </c>
      <c r="V471" s="59">
        <f>B471*0.6/100</f>
        <v>0.6</v>
      </c>
      <c r="W471" s="59" t="s">
        <v>455</v>
      </c>
      <c r="X471" s="59">
        <f>B471*0.04/100</f>
        <v>0.04</v>
      </c>
      <c r="Y471" s="59" t="s">
        <v>455</v>
      </c>
      <c r="Z471" s="59">
        <f>B471*0.04/100</f>
        <v>0.04</v>
      </c>
      <c r="AA471" s="59" t="s">
        <v>455</v>
      </c>
      <c r="AB471" s="59" t="s">
        <v>455</v>
      </c>
      <c r="AC471" s="34"/>
    </row>
    <row r="472" spans="1:36" s="48" customFormat="1">
      <c r="A472" s="69" t="s">
        <v>853</v>
      </c>
      <c r="B472" s="70">
        <v>100</v>
      </c>
      <c r="C472" s="70">
        <f>B472*438/100</f>
        <v>438</v>
      </c>
      <c r="D472" s="70">
        <f>B472*1.3/100</f>
        <v>1.3</v>
      </c>
      <c r="E472" s="70">
        <f>B472*12.2/100</f>
        <v>12.2</v>
      </c>
      <c r="F472" s="70">
        <f>B472*2.4/100</f>
        <v>2.4</v>
      </c>
      <c r="G472" s="70">
        <f>B472*4.3/100</f>
        <v>4.3</v>
      </c>
      <c r="H472" s="70">
        <f>B472*0.6/100</f>
        <v>0.6</v>
      </c>
      <c r="I472" s="70">
        <f>B472*0.56/100</f>
        <v>0.56000000000000005</v>
      </c>
      <c r="J472" s="70"/>
      <c r="K472" s="70">
        <f>B472*9/100</f>
        <v>9</v>
      </c>
      <c r="L472" s="70">
        <f>B472*80.5/100</f>
        <v>80.5</v>
      </c>
      <c r="M472" s="70">
        <f>B472*1.2/100</f>
        <v>1.2</v>
      </c>
      <c r="N472" s="70">
        <f>B472*30/100</f>
        <v>30</v>
      </c>
      <c r="O472" s="70">
        <f>B472*6/100</f>
        <v>6</v>
      </c>
      <c r="P472" s="70">
        <f>B472*0.08/100</f>
        <v>0.08</v>
      </c>
      <c r="Q472" s="70">
        <f>B472*23/100</f>
        <v>23</v>
      </c>
      <c r="R472" s="70">
        <f>B472*1.8/100</f>
        <v>1.8</v>
      </c>
      <c r="S472" s="70">
        <f>B472*98/100</f>
        <v>98</v>
      </c>
      <c r="T472" s="70">
        <f>B472*54/100</f>
        <v>54</v>
      </c>
      <c r="U472" s="70">
        <f>B472*0.04/100</f>
        <v>0.04</v>
      </c>
      <c r="V472" s="70">
        <f>B472*0.1/100</f>
        <v>0.1</v>
      </c>
      <c r="W472" s="70" t="s">
        <v>455</v>
      </c>
      <c r="X472" s="70" t="s">
        <v>455</v>
      </c>
      <c r="Y472" s="70">
        <f>B472*0.03/100</f>
        <v>0.03</v>
      </c>
      <c r="Z472" s="70">
        <f>B472*0.07/100</f>
        <v>7.0000000000000007E-2</v>
      </c>
      <c r="AA472" s="70" t="s">
        <v>455</v>
      </c>
      <c r="AB472" s="70" t="s">
        <v>455</v>
      </c>
      <c r="AC472" s="34"/>
    </row>
    <row r="473" spans="1:36" s="48" customFormat="1">
      <c r="A473" s="60" t="s">
        <v>859</v>
      </c>
      <c r="B473" s="59">
        <v>100</v>
      </c>
      <c r="C473" s="59">
        <f>B473*113/100</f>
        <v>113</v>
      </c>
      <c r="D473" s="59">
        <f>B473*2.2/100</f>
        <v>2.2000000000000002</v>
      </c>
      <c r="E473" s="59">
        <f>B473*0.7/100</f>
        <v>0.7</v>
      </c>
      <c r="F473" s="59">
        <f>B473*0.2/100</f>
        <v>0.2</v>
      </c>
      <c r="G473" s="59">
        <f>B473*0.2/100</f>
        <v>0.2</v>
      </c>
      <c r="H473" s="59">
        <f>B473*0.3/100</f>
        <v>0.3</v>
      </c>
      <c r="I473" s="59">
        <f>B473*0.26/100</f>
        <v>0.26</v>
      </c>
      <c r="J473" s="59" t="s">
        <v>455</v>
      </c>
      <c r="K473" s="59" t="s">
        <v>454</v>
      </c>
      <c r="L473" s="59">
        <f>B473*25.3/100</f>
        <v>25.3</v>
      </c>
      <c r="M473" s="59">
        <f>B473*2.1/100</f>
        <v>2.1</v>
      </c>
      <c r="N473" s="59">
        <f>B473*2/100</f>
        <v>2</v>
      </c>
      <c r="O473" s="59">
        <f>B473*3/100</f>
        <v>3</v>
      </c>
      <c r="P473" s="59">
        <f>B473*0.02/100</f>
        <v>0.02</v>
      </c>
      <c r="Q473" s="59">
        <f>B473*23/100</f>
        <v>23</v>
      </c>
      <c r="R473" s="59">
        <f>B473*0.2/100</f>
        <v>0.2</v>
      </c>
      <c r="S473" s="59">
        <f>B473*248/100</f>
        <v>248</v>
      </c>
      <c r="T473" s="59">
        <f>B473*11/100</f>
        <v>11</v>
      </c>
      <c r="U473" s="59" t="s">
        <v>455</v>
      </c>
      <c r="V473" s="59">
        <f>B473*0.2/100</f>
        <v>0.2</v>
      </c>
      <c r="W473" s="59" t="s">
        <v>455</v>
      </c>
      <c r="X473" s="59" t="s">
        <v>455</v>
      </c>
      <c r="Y473" s="59" t="s">
        <v>455</v>
      </c>
      <c r="Z473" s="59">
        <f>B473*0.06/100</f>
        <v>0.06</v>
      </c>
      <c r="AA473" s="59" t="s">
        <v>455</v>
      </c>
      <c r="AB473" s="59" t="s">
        <v>455</v>
      </c>
      <c r="AC473" s="34"/>
    </row>
    <row r="474" spans="1:36" s="48" customFormat="1">
      <c r="A474" s="60" t="s">
        <v>860</v>
      </c>
      <c r="B474" s="59">
        <v>100</v>
      </c>
      <c r="C474" s="59">
        <f>B474*142/100</f>
        <v>142</v>
      </c>
      <c r="D474" s="59">
        <f>B474*2.6/100</f>
        <v>2.6</v>
      </c>
      <c r="E474" s="59">
        <f>B474*4.6/100</f>
        <v>4.5999999999999996</v>
      </c>
      <c r="F474" s="59">
        <f>B474*1.8/100</f>
        <v>1.8</v>
      </c>
      <c r="G474" s="59">
        <f>B474*1.8/100</f>
        <v>1.8</v>
      </c>
      <c r="H474" s="59">
        <f>B474*0.8/100</f>
        <v>0.8</v>
      </c>
      <c r="I474" s="59">
        <f>B474*0.69/100</f>
        <v>0.69</v>
      </c>
      <c r="J474" s="59">
        <f>B474*0.1/100</f>
        <v>0.1</v>
      </c>
      <c r="K474" s="59">
        <f>B474*15/100</f>
        <v>15</v>
      </c>
      <c r="L474" s="59">
        <f>B474*22.5/100</f>
        <v>22.5</v>
      </c>
      <c r="M474" s="59">
        <f>B474*2.4/100</f>
        <v>2.4</v>
      </c>
      <c r="N474" s="59">
        <f>B474*14/100</f>
        <v>14</v>
      </c>
      <c r="O474" s="59">
        <f>B474*5/100</f>
        <v>5</v>
      </c>
      <c r="P474" s="59">
        <f>B474*0.06/100</f>
        <v>0.06</v>
      </c>
      <c r="Q474" s="59">
        <f>B474*26/100</f>
        <v>26</v>
      </c>
      <c r="R474" s="59">
        <f>B474*0.3/100</f>
        <v>0.3</v>
      </c>
      <c r="S474" s="59">
        <f>B474*236/100</f>
        <v>236</v>
      </c>
      <c r="T474" s="59">
        <f>B474*53/100</f>
        <v>53</v>
      </c>
      <c r="U474" s="59">
        <f>B474*0.05/100</f>
        <v>0.05</v>
      </c>
      <c r="V474" s="59">
        <f>B474*0.2/100</f>
        <v>0.2</v>
      </c>
      <c r="W474" s="59" t="s">
        <v>455</v>
      </c>
      <c r="X474" s="59" t="s">
        <v>455</v>
      </c>
      <c r="Y474" s="59" t="s">
        <v>455</v>
      </c>
      <c r="Z474" s="59" t="s">
        <v>455</v>
      </c>
      <c r="AA474" s="59">
        <f>B474*0.93/100</f>
        <v>0.93</v>
      </c>
      <c r="AB474" s="59" t="s">
        <v>455</v>
      </c>
      <c r="AC474" s="34"/>
    </row>
    <row r="475" spans="1:36" s="48" customFormat="1">
      <c r="A475" s="60" t="s">
        <v>48</v>
      </c>
      <c r="B475" s="59">
        <v>100</v>
      </c>
      <c r="C475" s="59">
        <f>B475*125/100</f>
        <v>125</v>
      </c>
      <c r="D475" s="59">
        <f>B475*19.8/100</f>
        <v>19.8</v>
      </c>
      <c r="E475" s="59">
        <f>B475*4.4/100</f>
        <v>4.4000000000000004</v>
      </c>
      <c r="F475" s="59">
        <f>B475*2.5/100</f>
        <v>2.5</v>
      </c>
      <c r="G475" s="59">
        <f>B475*1.2/100</f>
        <v>1.2</v>
      </c>
      <c r="H475" s="59">
        <f>B475*0.1/100</f>
        <v>0.1</v>
      </c>
      <c r="I475" s="59">
        <f>B475*0.07/100</f>
        <v>7.0000000000000007E-2</v>
      </c>
      <c r="J475" s="59">
        <f>B475*0.01/100</f>
        <v>0.01</v>
      </c>
      <c r="K475" s="59">
        <f>B475*144/100</f>
        <v>144</v>
      </c>
      <c r="L475" s="59">
        <v>0</v>
      </c>
      <c r="M475" s="59">
        <f>B475*3.9/100</f>
        <v>3.9</v>
      </c>
      <c r="N475" s="59">
        <f>B475*11/100</f>
        <v>11</v>
      </c>
      <c r="O475" s="59">
        <f>B475*8/100</f>
        <v>8</v>
      </c>
      <c r="P475" s="59">
        <f>B475*0.11/100</f>
        <v>0.11</v>
      </c>
      <c r="Q475" s="59">
        <f>B475*57/100</f>
        <v>57</v>
      </c>
      <c r="R475" s="59">
        <f>B475*1/100</f>
        <v>1</v>
      </c>
      <c r="S475" s="59">
        <f>B475*29/100</f>
        <v>29</v>
      </c>
      <c r="T475" s="59">
        <f>B475*58/100</f>
        <v>58</v>
      </c>
      <c r="U475" s="59">
        <f>B475*0.06/100</f>
        <v>0.06</v>
      </c>
      <c r="V475" s="59">
        <f>B475*2.7/100</f>
        <v>2.7</v>
      </c>
      <c r="W475" s="59" t="s">
        <v>455</v>
      </c>
      <c r="X475" s="59" t="s">
        <v>455</v>
      </c>
      <c r="Y475" s="59" t="s">
        <v>455</v>
      </c>
      <c r="Z475" s="59" t="s">
        <v>455</v>
      </c>
      <c r="AA475" s="59">
        <f>B475*4.27/100</f>
        <v>4.2699999999999996</v>
      </c>
      <c r="AB475" s="59"/>
      <c r="AC475" s="34"/>
    </row>
    <row r="476" spans="1:36" s="55" customFormat="1">
      <c r="A476" s="69" t="s">
        <v>572</v>
      </c>
      <c r="B476" s="70">
        <v>100</v>
      </c>
      <c r="C476" s="70">
        <f>B476*363/100</f>
        <v>363</v>
      </c>
      <c r="D476" s="70">
        <f>B476*5.1/100</f>
        <v>5.0999999999999996</v>
      </c>
      <c r="E476" s="70">
        <f>B476*24.6/100</f>
        <v>24.6</v>
      </c>
      <c r="F476" s="47"/>
      <c r="G476" s="47"/>
      <c r="H476" s="47"/>
      <c r="I476" s="47"/>
      <c r="J476" s="47"/>
      <c r="K476" s="70">
        <f>B476*68/100</f>
        <v>68</v>
      </c>
      <c r="L476" s="70">
        <f>B476*34.2/100</f>
        <v>34.200000000000003</v>
      </c>
      <c r="M476" s="70">
        <f>B476*0.6/100</f>
        <v>0.6</v>
      </c>
      <c r="N476" s="70">
        <f>B476*102/100</f>
        <v>102</v>
      </c>
      <c r="O476" s="70">
        <f>B476*8/100</f>
        <v>8</v>
      </c>
      <c r="P476" s="70">
        <f>B476*0.03/100</f>
        <v>0.03</v>
      </c>
      <c r="Q476" s="70">
        <f>B476*94/100</f>
        <v>94</v>
      </c>
      <c r="R476" s="70">
        <f>B476*0.3/100</f>
        <v>0.3</v>
      </c>
      <c r="S476" s="70">
        <f>B476*773/100</f>
        <v>773</v>
      </c>
      <c r="T476" s="70">
        <f>B476*93/100</f>
        <v>93</v>
      </c>
      <c r="U476" s="70">
        <f>B476*0.01/100</f>
        <v>0.01</v>
      </c>
      <c r="V476" s="70">
        <f>B476*0.6/100</f>
        <v>0.6</v>
      </c>
      <c r="W476" s="70">
        <f>B476*61/100</f>
        <v>61</v>
      </c>
      <c r="X476" s="70">
        <f>B476*0.04/100</f>
        <v>0.04</v>
      </c>
      <c r="Y476" s="70">
        <f>B476*0.1/100</f>
        <v>0.1</v>
      </c>
      <c r="Z476" s="70">
        <f>B476*0.04/100</f>
        <v>0.04</v>
      </c>
      <c r="AA476" s="70" t="s">
        <v>455</v>
      </c>
      <c r="AB476" s="70"/>
      <c r="AC476" s="34"/>
    </row>
    <row r="477" spans="1:36" s="55" customFormat="1">
      <c r="A477" s="69" t="s">
        <v>573</v>
      </c>
      <c r="B477" s="70">
        <v>100</v>
      </c>
      <c r="C477" s="70">
        <f>B477*295/100</f>
        <v>295</v>
      </c>
      <c r="D477" s="70">
        <f>B477*3.6/100</f>
        <v>3.6</v>
      </c>
      <c r="E477" s="70">
        <f>B477*14/100</f>
        <v>14</v>
      </c>
      <c r="F477" s="70">
        <f>B477*3.4/100</f>
        <v>3.4</v>
      </c>
      <c r="G477" s="70">
        <f>B477*3/100</f>
        <v>3</v>
      </c>
      <c r="H477" s="70">
        <f>B477*4.1/100</f>
        <v>4.0999999999999996</v>
      </c>
      <c r="I477" s="70">
        <f>B477*3.67/100</f>
        <v>3.67</v>
      </c>
      <c r="J477" s="70">
        <f>B477*0.36/100</f>
        <v>0.36</v>
      </c>
      <c r="K477" s="70">
        <f>B477*63/100</f>
        <v>63</v>
      </c>
      <c r="L477" s="70">
        <f>B477*38.5/100</f>
        <v>38.5</v>
      </c>
      <c r="M477" s="70">
        <f>B477*1/100</f>
        <v>1</v>
      </c>
      <c r="N477" s="70">
        <f>B477*88/100</f>
        <v>88</v>
      </c>
      <c r="O477" s="70">
        <f>B477*7/100</f>
        <v>7</v>
      </c>
      <c r="P477" s="70" t="s">
        <v>455</v>
      </c>
      <c r="Q477" s="70">
        <f>B477*79/100</f>
        <v>79</v>
      </c>
      <c r="R477" s="70">
        <f>B477*0.3/100</f>
        <v>0.3</v>
      </c>
      <c r="S477" s="70">
        <f>B477*405/100</f>
        <v>405</v>
      </c>
      <c r="T477" s="70">
        <f>B477*58/100</f>
        <v>58</v>
      </c>
      <c r="U477" s="70" t="s">
        <v>455</v>
      </c>
      <c r="V477" s="70">
        <f>B477*0.4/100</f>
        <v>0.4</v>
      </c>
      <c r="W477" s="70">
        <f>B477*48/100</f>
        <v>48</v>
      </c>
      <c r="X477" s="70" t="s">
        <v>455</v>
      </c>
      <c r="Y477" s="70">
        <f>B477*0.08/100</f>
        <v>0.08</v>
      </c>
      <c r="Z477" s="70" t="s">
        <v>455</v>
      </c>
      <c r="AA477" s="70" t="s">
        <v>455</v>
      </c>
      <c r="AB477" s="70"/>
      <c r="AC477" s="34"/>
    </row>
    <row r="478" spans="1:36">
      <c r="A478" s="31" t="s">
        <v>861</v>
      </c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4"/>
    </row>
    <row r="479" spans="1:36" s="48" customFormat="1">
      <c r="A479" s="71" t="s">
        <v>862</v>
      </c>
      <c r="B479" s="72">
        <v>100</v>
      </c>
      <c r="C479" s="72">
        <f>B479*544/100</f>
        <v>544</v>
      </c>
      <c r="D479" s="72">
        <f>B479*27.2/100</f>
        <v>27.2</v>
      </c>
      <c r="E479" s="72">
        <f>B479*43.9/100</f>
        <v>43.9</v>
      </c>
      <c r="F479" s="72">
        <f>B479*8.7/100</f>
        <v>8.6999999999999993</v>
      </c>
      <c r="G479" s="72">
        <f>B479*17.2/100</f>
        <v>17.2</v>
      </c>
      <c r="H479" s="72">
        <f>B479*16.2/100</f>
        <v>16.2</v>
      </c>
      <c r="I479" s="72">
        <f>B479*16.17/100</f>
        <v>16.170000000000002</v>
      </c>
      <c r="J479" s="72">
        <f>B479*0.04/100</f>
        <v>0.04</v>
      </c>
      <c r="K479" s="72" t="s">
        <v>454</v>
      </c>
      <c r="L479" s="72">
        <f>B479*20.3/100</f>
        <v>20.3</v>
      </c>
      <c r="M479" s="72">
        <f>B479*8/100</f>
        <v>8</v>
      </c>
      <c r="N479" s="72" t="s">
        <v>455</v>
      </c>
      <c r="O479" s="72">
        <f>B479*171/100</f>
        <v>171</v>
      </c>
      <c r="P479" s="72">
        <f>B479*1.96/100</f>
        <v>1.96</v>
      </c>
      <c r="Q479" s="72">
        <f>B479*407/100</f>
        <v>407</v>
      </c>
      <c r="R479" s="72">
        <f>B479*2.5/100</f>
        <v>2.5</v>
      </c>
      <c r="S479" s="72" t="s">
        <v>455</v>
      </c>
      <c r="T479" s="72">
        <f>B479*580/100</f>
        <v>580</v>
      </c>
      <c r="U479" s="72">
        <f>B479*0.78/100</f>
        <v>0.78</v>
      </c>
      <c r="V479" s="72">
        <f>B479*3.2/100</f>
        <v>3.2</v>
      </c>
      <c r="W479" s="72" t="s">
        <v>454</v>
      </c>
      <c r="X479" s="72">
        <f>B479*0.1/100</f>
        <v>0.1</v>
      </c>
      <c r="Y479" s="72">
        <f>B479*0.03/100</f>
        <v>0.03</v>
      </c>
      <c r="Z479" s="72">
        <f>B479*0.76/100</f>
        <v>0.76</v>
      </c>
      <c r="AA479" s="72">
        <f>B479*10.18/100</f>
        <v>10.18</v>
      </c>
      <c r="AB479" s="72" t="s">
        <v>455</v>
      </c>
      <c r="AC479" s="34"/>
    </row>
    <row r="480" spans="1:36" s="48" customFormat="1">
      <c r="A480" s="71" t="s">
        <v>863</v>
      </c>
      <c r="B480" s="72">
        <v>100</v>
      </c>
      <c r="C480" s="72">
        <f>B480*88/100</f>
        <v>88</v>
      </c>
      <c r="D480" s="72">
        <f>B480*7.5/100</f>
        <v>7.5</v>
      </c>
      <c r="E480" s="72">
        <f>B480*0.5/100</f>
        <v>0.5</v>
      </c>
      <c r="F480" s="72" t="s">
        <v>455</v>
      </c>
      <c r="G480" s="72">
        <f>B480*0.1/100</f>
        <v>0.1</v>
      </c>
      <c r="H480" s="72">
        <f>B480*0.3/100</f>
        <v>0.3</v>
      </c>
      <c r="I480" s="72">
        <f>B480*0.27/100</f>
        <v>0.27</v>
      </c>
      <c r="J480" s="72">
        <f>B480*0.04/100</f>
        <v>0.04</v>
      </c>
      <c r="K480" s="72" t="s">
        <v>454</v>
      </c>
      <c r="L480" s="72">
        <f>B480*14.2/100</f>
        <v>14.2</v>
      </c>
      <c r="M480" s="72">
        <f>B480*9.7/100</f>
        <v>9.6999999999999993</v>
      </c>
      <c r="N480" s="72">
        <f>B480*24/100</f>
        <v>24</v>
      </c>
      <c r="O480" s="72">
        <f>B480*42/100</f>
        <v>42</v>
      </c>
      <c r="P480" s="72">
        <f>B480*0.4/100</f>
        <v>0.4</v>
      </c>
      <c r="Q480" s="72">
        <f>B480*152/100</f>
        <v>152</v>
      </c>
      <c r="R480" s="72">
        <f>B480*1.4/100</f>
        <v>1.4</v>
      </c>
      <c r="S480" s="72" t="s">
        <v>455</v>
      </c>
      <c r="T480" s="72">
        <f>B480*311/100</f>
        <v>311</v>
      </c>
      <c r="U480" s="72">
        <f>B480*0.2/100</f>
        <v>0.2</v>
      </c>
      <c r="V480" s="72">
        <f>B480*1.2/100</f>
        <v>1.2</v>
      </c>
      <c r="W480" s="72" t="s">
        <v>454</v>
      </c>
      <c r="X480" s="72">
        <f>B480*0.27/100</f>
        <v>0.27</v>
      </c>
      <c r="Y480" s="72">
        <f>B480*0.07/100</f>
        <v>7.0000000000000007E-2</v>
      </c>
      <c r="Z480" s="72">
        <f>B480*0.06/100</f>
        <v>0.06</v>
      </c>
      <c r="AA480" s="72">
        <f>B480*1.16/100</f>
        <v>1.1599999999999999</v>
      </c>
      <c r="AB480" s="72">
        <f>B480*12.4/100</f>
        <v>12.4</v>
      </c>
      <c r="AC480" s="34"/>
    </row>
    <row r="481" spans="1:29" s="48" customFormat="1">
      <c r="A481" s="71" t="s">
        <v>864</v>
      </c>
      <c r="B481" s="72">
        <v>100</v>
      </c>
      <c r="C481" s="72">
        <f>B481*74/100</f>
        <v>74</v>
      </c>
      <c r="D481" s="72">
        <f>B481*4.6/100</f>
        <v>4.5999999999999996</v>
      </c>
      <c r="E481" s="72">
        <f>B481*0.4/100</f>
        <v>0.4</v>
      </c>
      <c r="F481" s="72">
        <f>B481*0.1/100</f>
        <v>0.1</v>
      </c>
      <c r="G481" s="72">
        <f>B481*0.1/100</f>
        <v>0.1</v>
      </c>
      <c r="H481" s="72">
        <f>B481*0.2/100</f>
        <v>0.2</v>
      </c>
      <c r="I481" s="72">
        <f>B481*0.15/100</f>
        <v>0.15</v>
      </c>
      <c r="J481" s="72">
        <f>B481*0.02/100</f>
        <v>0.02</v>
      </c>
      <c r="K481" s="72" t="s">
        <v>454</v>
      </c>
      <c r="L481" s="72">
        <f>B481*13.4/100</f>
        <v>13.4</v>
      </c>
      <c r="M481" s="72">
        <f>B481*5.1/100</f>
        <v>5.0999999999999996</v>
      </c>
      <c r="N481" s="72">
        <f>B481*22/100</f>
        <v>22</v>
      </c>
      <c r="O481" s="72">
        <f>B481*23/100</f>
        <v>23</v>
      </c>
      <c r="P481" s="72"/>
      <c r="Q481" s="72">
        <f>B481*79/100</f>
        <v>79</v>
      </c>
      <c r="R481" s="72">
        <f>B481*1.4/100</f>
        <v>1.4</v>
      </c>
      <c r="S481" s="72">
        <f>B481*372/100</f>
        <v>372</v>
      </c>
      <c r="T481" s="72">
        <f>B481*147/100</f>
        <v>147</v>
      </c>
      <c r="U481" s="72">
        <f>B481*0.14/100</f>
        <v>0.14000000000000001</v>
      </c>
      <c r="V481" s="72">
        <f>B481*0.9/100</f>
        <v>0.9</v>
      </c>
      <c r="W481" s="72" t="s">
        <v>454</v>
      </c>
      <c r="X481" s="72">
        <f>B481*0.07/100</f>
        <v>7.0000000000000007E-2</v>
      </c>
      <c r="Y481" s="72">
        <f>B481*0.03/100</f>
        <v>0.03</v>
      </c>
      <c r="Z481" s="72" t="s">
        <v>455</v>
      </c>
      <c r="AA481" s="72" t="s">
        <v>455</v>
      </c>
      <c r="AB481" s="72"/>
      <c r="AC481" s="34"/>
    </row>
    <row r="482" spans="1:29" s="48" customFormat="1">
      <c r="A482" s="71" t="s">
        <v>865</v>
      </c>
      <c r="B482" s="72">
        <v>100</v>
      </c>
      <c r="C482" s="72">
        <f>B482*76/100</f>
        <v>76</v>
      </c>
      <c r="D482" s="72">
        <f>B482*4.8/100</f>
        <v>4.8</v>
      </c>
      <c r="E482" s="72">
        <f>B482*0.5/100</f>
        <v>0.5</v>
      </c>
      <c r="F482" s="72">
        <f>B482*0.1/100</f>
        <v>0.1</v>
      </c>
      <c r="G482" s="72">
        <f>B482*0.1/100</f>
        <v>0.1</v>
      </c>
      <c r="H482" s="72">
        <f>B482*0.3/100</f>
        <v>0.3</v>
      </c>
      <c r="I482" s="72">
        <f>B482*0.16/100</f>
        <v>0.16</v>
      </c>
      <c r="J482" s="72">
        <f>B482*0.14/100</f>
        <v>0.14000000000000001</v>
      </c>
      <c r="K482" s="72" t="s">
        <v>454</v>
      </c>
      <c r="L482" s="72">
        <f>B482*13.6/100</f>
        <v>13.6</v>
      </c>
      <c r="M482" s="72">
        <f>B482*8.5/100</f>
        <v>8.5</v>
      </c>
      <c r="N482" s="72">
        <f>B482*27/100</f>
        <v>27</v>
      </c>
      <c r="O482" s="72">
        <f>B482*42/100</f>
        <v>42</v>
      </c>
      <c r="P482" s="72">
        <f>B482*0.28/100</f>
        <v>0.28000000000000003</v>
      </c>
      <c r="Q482" s="72">
        <f>B482*87/100</f>
        <v>87</v>
      </c>
      <c r="R482" s="72">
        <f>B482*1.3/100</f>
        <v>1.3</v>
      </c>
      <c r="S482" s="72">
        <f>B482*2/100</f>
        <v>2</v>
      </c>
      <c r="T482" s="72">
        <f>B482*255/100</f>
        <v>255</v>
      </c>
      <c r="U482" s="72">
        <f>B482*0.19/100</f>
        <v>0.19</v>
      </c>
      <c r="V482" s="72">
        <f>B482*0.7/100</f>
        <v>0.7</v>
      </c>
      <c r="W482" s="72" t="s">
        <v>454</v>
      </c>
      <c r="X482" s="72">
        <f>B482*0.04/100</f>
        <v>0.04</v>
      </c>
      <c r="Y482" s="72" t="s">
        <v>455</v>
      </c>
      <c r="Z482" s="72" t="s">
        <v>455</v>
      </c>
      <c r="AA482" s="72" t="s">
        <v>455</v>
      </c>
      <c r="AB482" s="72" t="s">
        <v>455</v>
      </c>
      <c r="AC482" s="34"/>
    </row>
    <row r="483" spans="1:29" s="48" customFormat="1">
      <c r="A483" s="71" t="s">
        <v>866</v>
      </c>
      <c r="B483" s="72">
        <v>100</v>
      </c>
      <c r="C483" s="72">
        <f>B483*329/100</f>
        <v>329</v>
      </c>
      <c r="D483" s="72">
        <f>B483*20/100</f>
        <v>20</v>
      </c>
      <c r="E483" s="72">
        <f>B483*1.3/100</f>
        <v>1.3</v>
      </c>
      <c r="F483" s="72">
        <f>B483*0.2/100</f>
        <v>0.2</v>
      </c>
      <c r="G483" s="72">
        <f>B483*0.1/100</f>
        <v>0.1</v>
      </c>
      <c r="H483" s="72">
        <f>B483*0.9/100</f>
        <v>0.9</v>
      </c>
      <c r="I483" s="72">
        <f>B483*0.4/100</f>
        <v>0.4</v>
      </c>
      <c r="J483" s="72">
        <f>B483*0.49/100</f>
        <v>0.49</v>
      </c>
      <c r="K483" s="72" t="s">
        <v>454</v>
      </c>
      <c r="L483" s="72">
        <f>B483*61.2/100</f>
        <v>61.2</v>
      </c>
      <c r="M483" s="72">
        <f>B483*18.4/100</f>
        <v>18.399999999999999</v>
      </c>
      <c r="N483" s="72">
        <f>B483*123/100</f>
        <v>123</v>
      </c>
      <c r="O483" s="72">
        <f>B483*210/100</f>
        <v>210</v>
      </c>
      <c r="P483" s="72"/>
      <c r="Q483" s="72">
        <f>B483*385/100</f>
        <v>385</v>
      </c>
      <c r="R483" s="72">
        <f>B483*8/100</f>
        <v>8</v>
      </c>
      <c r="S483" s="72" t="s">
        <v>455</v>
      </c>
      <c r="T483" s="72">
        <f>B483*1352/100</f>
        <v>1352</v>
      </c>
      <c r="U483" s="72">
        <f>B483*0.79/100</f>
        <v>0.79</v>
      </c>
      <c r="V483" s="72">
        <f>B483*2.9/100</f>
        <v>2.9</v>
      </c>
      <c r="W483" s="72" t="s">
        <v>454</v>
      </c>
      <c r="X483" s="72">
        <f>B483*0.17/100</f>
        <v>0.17</v>
      </c>
      <c r="Y483" s="72" t="s">
        <v>455</v>
      </c>
      <c r="Z483" s="72">
        <f>B483*0.65/100</f>
        <v>0.65</v>
      </c>
      <c r="AA483" s="72">
        <f>B483*4.02/100</f>
        <v>4.0199999999999996</v>
      </c>
      <c r="AB483" s="72"/>
      <c r="AC483" s="34"/>
    </row>
    <row r="484" spans="1:29" s="48" customFormat="1">
      <c r="A484" s="71" t="s">
        <v>867</v>
      </c>
      <c r="B484" s="72">
        <v>100</v>
      </c>
      <c r="C484" s="72">
        <f>B484*78/100</f>
        <v>78</v>
      </c>
      <c r="D484" s="72">
        <f>B484*5.1/100</f>
        <v>5.0999999999999996</v>
      </c>
      <c r="E484" s="72">
        <f>B484*0.6/100</f>
        <v>0.6</v>
      </c>
      <c r="F484" s="72">
        <f>B484*0.2/100</f>
        <v>0.2</v>
      </c>
      <c r="G484" s="72">
        <f>B484*0.1/100</f>
        <v>0.1</v>
      </c>
      <c r="H484" s="72">
        <f>B484*0.3/100</f>
        <v>0.3</v>
      </c>
      <c r="I484" s="72">
        <f>B484*0.21/100</f>
        <v>0.21</v>
      </c>
      <c r="J484" s="72">
        <f>B484*0.1/100</f>
        <v>0.1</v>
      </c>
      <c r="K484" s="72" t="s">
        <v>454</v>
      </c>
      <c r="L484" s="72">
        <f>B484*13.5/100</f>
        <v>13.5</v>
      </c>
      <c r="M484" s="72">
        <f>B484*7.5/100</f>
        <v>7.5</v>
      </c>
      <c r="N484" s="72">
        <f>B484*17/100</f>
        <v>17</v>
      </c>
      <c r="O484" s="72">
        <f>B484*38/100</f>
        <v>38</v>
      </c>
      <c r="P484" s="72">
        <f>B484*0.53/100</f>
        <v>0.53</v>
      </c>
      <c r="Q484" s="72">
        <f>B484*85/100</f>
        <v>85</v>
      </c>
      <c r="R484" s="72">
        <f>B484*1.1/100</f>
        <v>1.1000000000000001</v>
      </c>
      <c r="S484" s="72">
        <f>B484*1/100</f>
        <v>1</v>
      </c>
      <c r="T484" s="72">
        <f>B484*253/100</f>
        <v>253</v>
      </c>
      <c r="U484" s="72">
        <f>B484*0.1/100</f>
        <v>0.1</v>
      </c>
      <c r="V484" s="72">
        <f>B484*1.1/100</f>
        <v>1.1000000000000001</v>
      </c>
      <c r="W484" s="72" t="s">
        <v>454</v>
      </c>
      <c r="X484" s="72">
        <f>B484*0.12/100</f>
        <v>0.12</v>
      </c>
      <c r="Y484" s="72" t="s">
        <v>455</v>
      </c>
      <c r="Z484" s="72" t="s">
        <v>455</v>
      </c>
      <c r="AA484" s="72" t="s">
        <v>455</v>
      </c>
      <c r="AB484" s="72" t="s">
        <v>455</v>
      </c>
      <c r="AC484" s="34"/>
    </row>
    <row r="485" spans="1:29" s="48" customFormat="1">
      <c r="A485" s="71" t="s">
        <v>868</v>
      </c>
      <c r="B485" s="72">
        <v>100</v>
      </c>
      <c r="C485" s="72">
        <f>B485*339/100</f>
        <v>339</v>
      </c>
      <c r="D485" s="72">
        <f>B485*20.2/100</f>
        <v>20.2</v>
      </c>
      <c r="E485" s="72">
        <f>B485*2.4/100</f>
        <v>2.4</v>
      </c>
      <c r="F485" s="72">
        <f>B485*0.7/100</f>
        <v>0.7</v>
      </c>
      <c r="G485" s="72">
        <f>B485*0.2/100</f>
        <v>0.2</v>
      </c>
      <c r="H485" s="72">
        <f>B485*0.9/100</f>
        <v>0.9</v>
      </c>
      <c r="I485" s="72">
        <f>B485*0.58/100</f>
        <v>0.57999999999999996</v>
      </c>
      <c r="J485" s="72">
        <f>B485*0.28/100</f>
        <v>0.28000000000000003</v>
      </c>
      <c r="K485" s="72" t="s">
        <v>454</v>
      </c>
      <c r="L485" s="72">
        <f>B485*61.2/100</f>
        <v>61.2</v>
      </c>
      <c r="M485" s="72">
        <f>B485*23.6/100</f>
        <v>23.6</v>
      </c>
      <c r="N485" s="72">
        <f>B485*78/100</f>
        <v>78</v>
      </c>
      <c r="O485" s="72">
        <f>B485*178/100</f>
        <v>178</v>
      </c>
      <c r="P485" s="72">
        <f>B485*1.43/100</f>
        <v>1.43</v>
      </c>
      <c r="Q485" s="72">
        <f>B485*355/100</f>
        <v>355</v>
      </c>
      <c r="R485" s="72">
        <f>B485*5.1/100</f>
        <v>5.0999999999999996</v>
      </c>
      <c r="S485" s="72">
        <f>B485*10/100</f>
        <v>10</v>
      </c>
      <c r="T485" s="72">
        <f>B485*1083/100</f>
        <v>1083</v>
      </c>
      <c r="U485" s="72">
        <f>B485*0.7/100</f>
        <v>0.7</v>
      </c>
      <c r="V485" s="72">
        <f>B485*3.9/100</f>
        <v>3.9</v>
      </c>
      <c r="W485" s="72"/>
      <c r="X485" s="72">
        <f>B485*0.14/100</f>
        <v>0.14000000000000001</v>
      </c>
      <c r="Y485" s="72">
        <f>B485*0.03/100</f>
        <v>0.03</v>
      </c>
      <c r="Z485" s="72">
        <f>B485*0.26/100</f>
        <v>0.26</v>
      </c>
      <c r="AA485" s="72" t="s">
        <v>455</v>
      </c>
      <c r="AB485" s="72" t="s">
        <v>455</v>
      </c>
      <c r="AC485" s="34"/>
    </row>
    <row r="486" spans="1:29" s="48" customFormat="1">
      <c r="A486" s="71" t="s">
        <v>869</v>
      </c>
      <c r="B486" s="72">
        <v>100</v>
      </c>
      <c r="C486" s="72">
        <f>B486*93/100</f>
        <v>93</v>
      </c>
      <c r="D486" s="72">
        <f>B486*6.1/100</f>
        <v>6.1</v>
      </c>
      <c r="E486" s="72">
        <f>B486*0.5/100</f>
        <v>0.5</v>
      </c>
      <c r="F486" s="72">
        <f>B486*0.1/100</f>
        <v>0.1</v>
      </c>
      <c r="G486" s="72">
        <f>B486*0.1/100</f>
        <v>0.1</v>
      </c>
      <c r="H486" s="72">
        <f>B486*0.3/100</f>
        <v>0.3</v>
      </c>
      <c r="I486" s="72">
        <f>B486*0.11/100</f>
        <v>0.11</v>
      </c>
      <c r="J486" s="72">
        <f>B486*0.2/100</f>
        <v>0.2</v>
      </c>
      <c r="K486" s="72" t="s">
        <v>454</v>
      </c>
      <c r="L486" s="72">
        <f>B486*16.5/100</f>
        <v>16.5</v>
      </c>
      <c r="M486" s="72">
        <f>B486*13.9/100</f>
        <v>13.9</v>
      </c>
      <c r="N486" s="72">
        <f>B486*29/100</f>
        <v>29</v>
      </c>
      <c r="O486" s="72">
        <f>B486*44/100</f>
        <v>44</v>
      </c>
      <c r="P486" s="72">
        <f>B486*0.32/100</f>
        <v>0.32</v>
      </c>
      <c r="Q486" s="72">
        <f>B486*121/100</f>
        <v>121</v>
      </c>
      <c r="R486" s="72">
        <f>B486*1.9/100</f>
        <v>1.9</v>
      </c>
      <c r="S486" s="72">
        <f>B486*1/100</f>
        <v>1</v>
      </c>
      <c r="T486" s="72">
        <f>B486*348/100</f>
        <v>348</v>
      </c>
      <c r="U486" s="72">
        <f>B486*0.24/100</f>
        <v>0.24</v>
      </c>
      <c r="V486" s="72">
        <f>B486*1/100</f>
        <v>1</v>
      </c>
      <c r="W486" s="72" t="s">
        <v>454</v>
      </c>
      <c r="X486" s="72">
        <f>B486*0.13/100</f>
        <v>0.13</v>
      </c>
      <c r="Y486" s="72" t="s">
        <v>455</v>
      </c>
      <c r="Z486" s="72">
        <f>B486*0.04/100</f>
        <v>0.04</v>
      </c>
      <c r="AA486" s="72" t="s">
        <v>455</v>
      </c>
      <c r="AB486" s="72" t="s">
        <v>455</v>
      </c>
      <c r="AC486" s="34"/>
    </row>
    <row r="487" spans="1:29" s="48" customFormat="1">
      <c r="A487" s="71" t="s">
        <v>870</v>
      </c>
      <c r="B487" s="72">
        <v>100</v>
      </c>
      <c r="C487" s="72">
        <f>B487*328/100</f>
        <v>328</v>
      </c>
      <c r="D487" s="72">
        <f>B487*20.1/100</f>
        <v>20.100000000000001</v>
      </c>
      <c r="E487" s="72">
        <f>B487*0.9/100</f>
        <v>0.9</v>
      </c>
      <c r="F487" s="72">
        <f>B487*0.3/100</f>
        <v>0.3</v>
      </c>
      <c r="G487" s="72">
        <f>B487*0.2/100</f>
        <v>0.2</v>
      </c>
      <c r="H487" s="72">
        <f>B487*0.6/100</f>
        <v>0.6</v>
      </c>
      <c r="I487" s="72">
        <f>B487*0.23/100</f>
        <v>0.23</v>
      </c>
      <c r="J487" s="72">
        <f>B487*0.41/100</f>
        <v>0.41</v>
      </c>
      <c r="K487" s="72" t="s">
        <v>454</v>
      </c>
      <c r="L487" s="72">
        <f>B487*61.5/100</f>
        <v>61.5</v>
      </c>
      <c r="M487" s="72">
        <f>B487*30.3/100</f>
        <v>30.3</v>
      </c>
      <c r="N487" s="72">
        <f>B487*98/100</f>
        <v>98</v>
      </c>
      <c r="O487" s="72">
        <f>B487*170/100</f>
        <v>170</v>
      </c>
      <c r="P487" s="72">
        <f>B487*0.99/100</f>
        <v>0.99</v>
      </c>
      <c r="Q487" s="72">
        <f>B487*427/100</f>
        <v>427</v>
      </c>
      <c r="R487" s="72">
        <f>B487*7/100</f>
        <v>7</v>
      </c>
      <c r="S487" s="72">
        <f>B487*25/100</f>
        <v>25</v>
      </c>
      <c r="T487" s="72">
        <f>B487*1276/100</f>
        <v>1276</v>
      </c>
      <c r="U487" s="72">
        <f>B487*0.95/100</f>
        <v>0.95</v>
      </c>
      <c r="V487" s="72">
        <f>B487*3/100</f>
        <v>3</v>
      </c>
      <c r="W487" s="72"/>
      <c r="X487" s="72">
        <f>B487*0.1/100</f>
        <v>0.1</v>
      </c>
      <c r="Y487" s="72" t="s">
        <v>455</v>
      </c>
      <c r="Z487" s="72">
        <f>B487*0.12/100</f>
        <v>0.12</v>
      </c>
      <c r="AA487" s="72" t="s">
        <v>455</v>
      </c>
      <c r="AB487" s="72" t="s">
        <v>455</v>
      </c>
      <c r="AC487" s="34"/>
    </row>
    <row r="488" spans="1:29" s="48" customFormat="1">
      <c r="A488" s="71" t="s">
        <v>871</v>
      </c>
      <c r="B488" s="72">
        <v>100</v>
      </c>
      <c r="C488" s="72">
        <f>B488*77/100</f>
        <v>77</v>
      </c>
      <c r="D488" s="72">
        <f>B488*4.5/100</f>
        <v>4.5</v>
      </c>
      <c r="E488" s="72">
        <f>B488*0.5/100</f>
        <v>0.5</v>
      </c>
      <c r="F488" s="72">
        <f>B488*0.1/100</f>
        <v>0.1</v>
      </c>
      <c r="G488" s="72">
        <f>B488*0.1/100</f>
        <v>0.1</v>
      </c>
      <c r="H488" s="72">
        <f>B488*0.3/100</f>
        <v>0.3</v>
      </c>
      <c r="I488" s="72">
        <f>B488*0.16/100</f>
        <v>0.16</v>
      </c>
      <c r="J488" s="72">
        <f>B488*0.11/100</f>
        <v>0.11</v>
      </c>
      <c r="K488" s="72" t="s">
        <v>454</v>
      </c>
      <c r="L488" s="72">
        <f>B488*14/100</f>
        <v>14</v>
      </c>
      <c r="M488" s="72">
        <f>B488*8.4/100</f>
        <v>8.4</v>
      </c>
      <c r="N488" s="72">
        <f>B488*29/100</f>
        <v>29</v>
      </c>
      <c r="O488" s="72">
        <f>B488*40/100</f>
        <v>40</v>
      </c>
      <c r="P488" s="72">
        <f>B488*0.37/100</f>
        <v>0.37</v>
      </c>
      <c r="Q488" s="72">
        <f>B488*88/100</f>
        <v>88</v>
      </c>
      <c r="R488" s="72">
        <f>B488*1.5/100</f>
        <v>1.5</v>
      </c>
      <c r="S488" s="72">
        <f>B488*2/100</f>
        <v>2</v>
      </c>
      <c r="T488" s="72">
        <f>B488*256/100</f>
        <v>256</v>
      </c>
      <c r="U488" s="72">
        <f>B488*0.2/100</f>
        <v>0.2</v>
      </c>
      <c r="V488" s="72">
        <f>B488*0.7/100</f>
        <v>0.7</v>
      </c>
      <c r="W488" s="72" t="s">
        <v>454</v>
      </c>
      <c r="X488" s="72">
        <f>B488*0.06/100</f>
        <v>0.06</v>
      </c>
      <c r="Y488" s="72" t="s">
        <v>455</v>
      </c>
      <c r="Z488" s="72">
        <f>B488*0.03/100</f>
        <v>0.03</v>
      </c>
      <c r="AA488" s="72" t="s">
        <v>455</v>
      </c>
      <c r="AB488" s="72" t="s">
        <v>455</v>
      </c>
      <c r="AC488" s="34"/>
    </row>
    <row r="489" spans="1:29" s="48" customFormat="1">
      <c r="A489" s="71" t="s">
        <v>883</v>
      </c>
      <c r="B489" s="72">
        <v>100</v>
      </c>
      <c r="C489" s="72">
        <f>B489*324/100</f>
        <v>324</v>
      </c>
      <c r="D489" s="72">
        <f>B489*21.3/100</f>
        <v>21.3</v>
      </c>
      <c r="E489" s="72">
        <f>B489*1.2/100</f>
        <v>1.2</v>
      </c>
      <c r="F489" s="72">
        <f>B489*0.2/100</f>
        <v>0.2</v>
      </c>
      <c r="G489" s="72">
        <f>B489*0.1/100</f>
        <v>0.1</v>
      </c>
      <c r="H489" s="72">
        <f>B489*0.8/100</f>
        <v>0.8</v>
      </c>
      <c r="I489" s="72">
        <f>B489*0.38/100</f>
        <v>0.38</v>
      </c>
      <c r="J489" s="72">
        <f>B489*0.47/100</f>
        <v>0.47</v>
      </c>
      <c r="K489" s="72" t="s">
        <v>454</v>
      </c>
      <c r="L489" s="72">
        <f>B489*58.8/100</f>
        <v>58.8</v>
      </c>
      <c r="M489" s="72">
        <f>B489*21.8/100</f>
        <v>21.8</v>
      </c>
      <c r="N489" s="72">
        <f>B489*111/100</f>
        <v>111</v>
      </c>
      <c r="O489" s="72">
        <f>B489*188/100</f>
        <v>188</v>
      </c>
      <c r="P489" s="72"/>
      <c r="Q489" s="72">
        <f>B489*471/100</f>
        <v>471</v>
      </c>
      <c r="R489" s="72">
        <f>B489*6.5/100</f>
        <v>6.5</v>
      </c>
      <c r="S489" s="72" t="s">
        <v>455</v>
      </c>
      <c r="T489" s="72">
        <f>B489*1416/100</f>
        <v>1416</v>
      </c>
      <c r="U489" s="72">
        <f>B489*0.83/100</f>
        <v>0.83</v>
      </c>
      <c r="V489" s="72">
        <f>B489*2.9/100</f>
        <v>2.9</v>
      </c>
      <c r="W489" s="72" t="s">
        <v>454</v>
      </c>
      <c r="X489" s="72">
        <f>B489*0.12/100</f>
        <v>0.12</v>
      </c>
      <c r="Y489" s="72" t="s">
        <v>455</v>
      </c>
      <c r="Z489" s="72">
        <f>B489*0.59/100</f>
        <v>0.59</v>
      </c>
      <c r="AA489" s="72">
        <f>B489*4.6/100</f>
        <v>4.5999999999999996</v>
      </c>
      <c r="AB489" s="72"/>
      <c r="AC489" s="34"/>
    </row>
    <row r="490" spans="1:29" s="48" customFormat="1">
      <c r="A490" s="71" t="s">
        <v>872</v>
      </c>
      <c r="B490" s="72">
        <v>100</v>
      </c>
      <c r="C490" s="72">
        <f>B490*85/100</f>
        <v>85</v>
      </c>
      <c r="D490" s="72">
        <f>B490*5.5/100</f>
        <v>5.5</v>
      </c>
      <c r="E490" s="72">
        <f>B490*0.4/100</f>
        <v>0.4</v>
      </c>
      <c r="F490" s="72">
        <f>B490*0.1/100</f>
        <v>0.1</v>
      </c>
      <c r="G490" s="72" t="s">
        <v>455</v>
      </c>
      <c r="H490" s="72">
        <f>B490*0.2/100</f>
        <v>0.2</v>
      </c>
      <c r="I490" s="72">
        <f>B490*0.09/100</f>
        <v>0.09</v>
      </c>
      <c r="J490" s="72">
        <f>B490*0.13/100</f>
        <v>0.13</v>
      </c>
      <c r="K490" s="72" t="s">
        <v>454</v>
      </c>
      <c r="L490" s="72">
        <f>B490*15.3/100</f>
        <v>15.3</v>
      </c>
      <c r="M490" s="72">
        <f>B490*9.3/100</f>
        <v>9.3000000000000007</v>
      </c>
      <c r="N490" s="72">
        <f>B490*29/100</f>
        <v>29</v>
      </c>
      <c r="O490" s="72">
        <f>B490*42/100</f>
        <v>42</v>
      </c>
      <c r="P490" s="72">
        <f>B490*0.29/100</f>
        <v>0.28999999999999998</v>
      </c>
      <c r="Q490" s="72">
        <f>B490*113/100</f>
        <v>113</v>
      </c>
      <c r="R490" s="72">
        <f>B490*1.4/100</f>
        <v>1.4</v>
      </c>
      <c r="S490" s="72">
        <f>B490*1/100</f>
        <v>1</v>
      </c>
      <c r="T490" s="72">
        <f>B490*315/100</f>
        <v>315</v>
      </c>
      <c r="U490" s="72">
        <f>B490*0.23/100</f>
        <v>0.23</v>
      </c>
      <c r="V490" s="72">
        <f>B490*0.9/100</f>
        <v>0.9</v>
      </c>
      <c r="W490" s="72" t="s">
        <v>454</v>
      </c>
      <c r="X490" s="72">
        <f>B490*0.09/100</f>
        <v>0.09</v>
      </c>
      <c r="Y490" s="72" t="s">
        <v>455</v>
      </c>
      <c r="Z490" s="72">
        <f>B490*0.04/100</f>
        <v>0.04</v>
      </c>
      <c r="AA490" s="72" t="s">
        <v>455</v>
      </c>
      <c r="AB490" s="72" t="s">
        <v>455</v>
      </c>
      <c r="AC490" s="34"/>
    </row>
    <row r="491" spans="1:29" s="48" customFormat="1">
      <c r="A491" s="71" t="s">
        <v>873</v>
      </c>
      <c r="B491" s="72">
        <v>100</v>
      </c>
      <c r="C491" s="72">
        <f>B491*326/100</f>
        <v>326</v>
      </c>
      <c r="D491" s="72">
        <f>B491*17.3/100</f>
        <v>17.3</v>
      </c>
      <c r="E491" s="72">
        <f>B491*1.2/100</f>
        <v>1.2</v>
      </c>
      <c r="F491" s="72">
        <f>B491*0.4/100</f>
        <v>0.4</v>
      </c>
      <c r="G491" s="72">
        <f>B491*0.1/100</f>
        <v>0.1</v>
      </c>
      <c r="H491" s="72">
        <f>B491*0.8/100</f>
        <v>0.8</v>
      </c>
      <c r="I491" s="72">
        <f>B491*0.29/100</f>
        <v>0.28999999999999998</v>
      </c>
      <c r="J491" s="72">
        <f>B491*0.46/100</f>
        <v>0.46</v>
      </c>
      <c r="K491" s="72" t="s">
        <v>454</v>
      </c>
      <c r="L491" s="72">
        <f>B491*62.9/100</f>
        <v>62.9</v>
      </c>
      <c r="M491" s="72">
        <f>B491*24/100</f>
        <v>24</v>
      </c>
      <c r="N491" s="72">
        <f>B491*111/100</f>
        <v>111</v>
      </c>
      <c r="O491" s="72">
        <f>B491*170/100</f>
        <v>170</v>
      </c>
      <c r="P491" s="72">
        <f>B491*1.17/100</f>
        <v>1.17</v>
      </c>
      <c r="Q491" s="72">
        <f>B491*335/100</f>
        <v>335</v>
      </c>
      <c r="R491" s="72">
        <f>B491*18.6/100</f>
        <v>18.600000000000001</v>
      </c>
      <c r="S491" s="72">
        <f>B491*14/100</f>
        <v>14</v>
      </c>
      <c r="T491" s="72">
        <f>B491*1135/100</f>
        <v>1135</v>
      </c>
      <c r="U491" s="72">
        <f>B491*0.84/100</f>
        <v>0.84</v>
      </c>
      <c r="V491" s="72">
        <f>B491*2.6/100</f>
        <v>2.6</v>
      </c>
      <c r="W491" s="72" t="s">
        <v>454</v>
      </c>
      <c r="X491" s="72">
        <f>B491*0.07/100</f>
        <v>7.0000000000000007E-2</v>
      </c>
      <c r="Y491" s="72">
        <f>B491*0.03/100</f>
        <v>0.03</v>
      </c>
      <c r="Z491" s="72">
        <f>B491*0.07/100</f>
        <v>7.0000000000000007E-2</v>
      </c>
      <c r="AA491" s="72" t="s">
        <v>455</v>
      </c>
      <c r="AB491" s="72" t="s">
        <v>455</v>
      </c>
      <c r="AC491" s="34"/>
    </row>
    <row r="492" spans="1:29" s="48" customFormat="1">
      <c r="A492" s="71" t="s">
        <v>874</v>
      </c>
      <c r="B492" s="72">
        <v>100</v>
      </c>
      <c r="C492" s="72">
        <f>B492*68/100</f>
        <v>68</v>
      </c>
      <c r="D492" s="72">
        <f>B492*4.5/100</f>
        <v>4.5</v>
      </c>
      <c r="E492" s="72">
        <f>B492*0.5/100</f>
        <v>0.5</v>
      </c>
      <c r="F492" s="72">
        <f>B492*0.2/100</f>
        <v>0.2</v>
      </c>
      <c r="G492" s="72" t="s">
        <v>455</v>
      </c>
      <c r="H492" s="72">
        <f>B492*0.2/100</f>
        <v>0.2</v>
      </c>
      <c r="I492" s="72">
        <f>B492*0.16/100</f>
        <v>0.16</v>
      </c>
      <c r="J492" s="72">
        <f>B492*0.07/100</f>
        <v>7.0000000000000007E-2</v>
      </c>
      <c r="K492" s="72" t="s">
        <v>454</v>
      </c>
      <c r="L492" s="72">
        <f>B492*11.8/100</f>
        <v>11.8</v>
      </c>
      <c r="M492" s="72">
        <f>B492*4.8/100</f>
        <v>4.8</v>
      </c>
      <c r="N492" s="72">
        <f>B492*19/100</f>
        <v>19</v>
      </c>
      <c r="O492" s="72">
        <f>B492*43/100</f>
        <v>43</v>
      </c>
      <c r="P492" s="72">
        <f>B492*0.46/100</f>
        <v>0.46</v>
      </c>
      <c r="Q492" s="72">
        <f>B492*90/100</f>
        <v>90</v>
      </c>
      <c r="R492" s="72">
        <f>B492*1.2/100</f>
        <v>1.2</v>
      </c>
      <c r="S492" s="72">
        <f>B492*2/100</f>
        <v>2</v>
      </c>
      <c r="T492" s="72">
        <f>B492*241/100</f>
        <v>241</v>
      </c>
      <c r="U492" s="72">
        <f>B492*0.09/100</f>
        <v>0.09</v>
      </c>
      <c r="V492" s="72">
        <f>B492*1.3/100</f>
        <v>1.3</v>
      </c>
      <c r="W492" s="72" t="s">
        <v>454</v>
      </c>
      <c r="X492" s="72" t="s">
        <v>455</v>
      </c>
      <c r="Y492" s="72" t="s">
        <v>455</v>
      </c>
      <c r="Z492" s="72" t="s">
        <v>455</v>
      </c>
      <c r="AA492" s="72">
        <f>B492*3.69/100</f>
        <v>3.69</v>
      </c>
      <c r="AB492" s="72" t="s">
        <v>455</v>
      </c>
      <c r="AC492" s="34"/>
    </row>
    <row r="493" spans="1:29" s="48" customFormat="1">
      <c r="A493" s="71" t="s">
        <v>875</v>
      </c>
      <c r="B493" s="72">
        <v>100</v>
      </c>
      <c r="C493" s="72">
        <f>B493*337/100</f>
        <v>337</v>
      </c>
      <c r="D493" s="72">
        <f>B493*20.9/100</f>
        <v>20.9</v>
      </c>
      <c r="E493" s="72">
        <f>B493*1.3/100</f>
        <v>1.3</v>
      </c>
      <c r="F493" s="72">
        <f>B493*0.6/100</f>
        <v>0.6</v>
      </c>
      <c r="G493" s="72">
        <f>B493*0.1/100</f>
        <v>0.1</v>
      </c>
      <c r="H493" s="72">
        <f>B493*0.7/100</f>
        <v>0.7</v>
      </c>
      <c r="I493" s="72">
        <f>B493*0.5/100</f>
        <v>0.5</v>
      </c>
      <c r="J493" s="72">
        <f>B493*0.21/100</f>
        <v>0.21</v>
      </c>
      <c r="K493" s="72" t="s">
        <v>454</v>
      </c>
      <c r="L493" s="72">
        <f>B493*62.2/100</f>
        <v>62.2</v>
      </c>
      <c r="M493" s="72">
        <f>B493*20.6/100</f>
        <v>20.6</v>
      </c>
      <c r="N493" s="72">
        <f>B493*68/100</f>
        <v>68</v>
      </c>
      <c r="O493" s="72">
        <f>B493*184/100</f>
        <v>184</v>
      </c>
      <c r="P493" s="72">
        <f>B493*1.08/100</f>
        <v>1.08</v>
      </c>
      <c r="Q493" s="72">
        <f>B493*394/100</f>
        <v>394</v>
      </c>
      <c r="R493" s="72">
        <f>B493*5.3/100</f>
        <v>5.3</v>
      </c>
      <c r="S493" s="72">
        <f>B493*24/100</f>
        <v>24</v>
      </c>
      <c r="T493" s="72">
        <f>B493*1109/100</f>
        <v>1109</v>
      </c>
      <c r="U493" s="72">
        <f>B493*0.6/100</f>
        <v>0.6</v>
      </c>
      <c r="V493" s="72">
        <f>B493*4/100</f>
        <v>4</v>
      </c>
      <c r="W493" s="72" t="s">
        <v>454</v>
      </c>
      <c r="X493" s="72">
        <f>B493*0.16/100</f>
        <v>0.16</v>
      </c>
      <c r="Y493" s="72">
        <f>B493*0.03/100</f>
        <v>0.03</v>
      </c>
      <c r="Z493" s="72" t="s">
        <v>455</v>
      </c>
      <c r="AA493" s="72">
        <f>B493*3.92/100</f>
        <v>3.92</v>
      </c>
      <c r="AB493" s="72" t="s">
        <v>455</v>
      </c>
      <c r="AC493" s="34"/>
    </row>
    <row r="494" spans="1:29" s="48" customFormat="1">
      <c r="A494" s="71" t="s">
        <v>876</v>
      </c>
      <c r="B494" s="72">
        <v>100</v>
      </c>
      <c r="C494" s="72">
        <f>B494*77/100</f>
        <v>77</v>
      </c>
      <c r="D494" s="72">
        <f>B494*5.7/100</f>
        <v>5.7</v>
      </c>
      <c r="E494" s="72">
        <f>B494*0.5/100</f>
        <v>0.5</v>
      </c>
      <c r="F494" s="72">
        <f>B494*0.1/100</f>
        <v>0.1</v>
      </c>
      <c r="G494" s="72">
        <f>B494*0.1/100</f>
        <v>0.1</v>
      </c>
      <c r="H494" s="72">
        <f>B494*0.3/100</f>
        <v>0.3</v>
      </c>
      <c r="I494" s="72">
        <f>B494*0.14/100</f>
        <v>0.14000000000000001</v>
      </c>
      <c r="J494" s="72">
        <f>B494*0.19/100</f>
        <v>0.19</v>
      </c>
      <c r="K494" s="72" t="s">
        <v>454</v>
      </c>
      <c r="L494" s="72">
        <f>B494*12.9/100</f>
        <v>12.9</v>
      </c>
      <c r="M494" s="72">
        <f>B494*11.5/100</f>
        <v>11.5</v>
      </c>
      <c r="N494" s="72">
        <f>B494*23/100</f>
        <v>23</v>
      </c>
      <c r="O494" s="72">
        <f>B494*34/100</f>
        <v>34</v>
      </c>
      <c r="P494" s="72">
        <f>B494*0.32/100</f>
        <v>0.32</v>
      </c>
      <c r="Q494" s="72">
        <f>B494*106/100</f>
        <v>106</v>
      </c>
      <c r="R494" s="72">
        <f>B494*1.4/100</f>
        <v>1.4</v>
      </c>
      <c r="S494" s="72">
        <f>B494*1/100</f>
        <v>1</v>
      </c>
      <c r="T494" s="72">
        <f>B494*268/100</f>
        <v>268</v>
      </c>
      <c r="U494" s="72">
        <f>B494*0.22/100</f>
        <v>0.22</v>
      </c>
      <c r="V494" s="72">
        <f>B494*1/100</f>
        <v>1</v>
      </c>
      <c r="W494" s="72" t="s">
        <v>454</v>
      </c>
      <c r="X494" s="72">
        <f>B494*0.15/100</f>
        <v>0.15</v>
      </c>
      <c r="Y494" s="72" t="s">
        <v>455</v>
      </c>
      <c r="Z494" s="72">
        <f>B494*0.03/100</f>
        <v>0.03</v>
      </c>
      <c r="AA494" s="72" t="s">
        <v>455</v>
      </c>
      <c r="AB494" s="72" t="s">
        <v>455</v>
      </c>
      <c r="AC494" s="34"/>
    </row>
    <row r="495" spans="1:29" s="48" customFormat="1">
      <c r="A495" s="71" t="s">
        <v>877</v>
      </c>
      <c r="B495" s="72">
        <v>100</v>
      </c>
      <c r="C495" s="72">
        <f>B495*331/100</f>
        <v>331</v>
      </c>
      <c r="D495" s="72">
        <f>B495*22.2/100</f>
        <v>22.2</v>
      </c>
      <c r="E495" s="72">
        <f>B495*1.2/100</f>
        <v>1.2</v>
      </c>
      <c r="F495" s="72">
        <f>B495*0.3/100</f>
        <v>0.3</v>
      </c>
      <c r="G495" s="72">
        <f>B495*0.2/100</f>
        <v>0.2</v>
      </c>
      <c r="H495" s="72">
        <f>B495*0.8/100</f>
        <v>0.8</v>
      </c>
      <c r="I495" s="72">
        <f>B495*0.34/100</f>
        <v>0.34</v>
      </c>
      <c r="J495" s="72">
        <f>B495*0.46/100</f>
        <v>0.46</v>
      </c>
      <c r="K495" s="72" t="s">
        <v>454</v>
      </c>
      <c r="L495" s="72">
        <f>B495*60/100</f>
        <v>60</v>
      </c>
      <c r="M495" s="72">
        <f>B495*33.8/100</f>
        <v>33.799999999999997</v>
      </c>
      <c r="N495" s="72">
        <f>B495*120/100</f>
        <v>120</v>
      </c>
      <c r="O495" s="72">
        <f>B495*162/100</f>
        <v>162</v>
      </c>
      <c r="P495" s="72">
        <f>B495*1.34/100</f>
        <v>1.34</v>
      </c>
      <c r="Q495" s="72">
        <f>B495*394/100</f>
        <v>394</v>
      </c>
      <c r="R495" s="72">
        <f>B495*6.9/100</f>
        <v>6.9</v>
      </c>
      <c r="S495" s="72">
        <f>B495*10/100</f>
        <v>10</v>
      </c>
      <c r="T495" s="72">
        <f>B495*1221/100</f>
        <v>1221</v>
      </c>
      <c r="U495" s="72">
        <f>B495*1.04/100</f>
        <v>1.04</v>
      </c>
      <c r="V495" s="72">
        <f>B495*3.3/100</f>
        <v>3.3</v>
      </c>
      <c r="W495" s="72" t="s">
        <v>454</v>
      </c>
      <c r="X495" s="72">
        <f>B495*0.26/100</f>
        <v>0.26</v>
      </c>
      <c r="Y495" s="72" t="s">
        <v>455</v>
      </c>
      <c r="Z495" s="72">
        <f>B495*0.08/100</f>
        <v>0.08</v>
      </c>
      <c r="AA495" s="72" t="s">
        <v>455</v>
      </c>
      <c r="AB495" s="72" t="s">
        <v>455</v>
      </c>
      <c r="AC495" s="34"/>
    </row>
    <row r="496" spans="1:29" s="48" customFormat="1">
      <c r="A496" s="71" t="s">
        <v>878</v>
      </c>
      <c r="B496" s="72">
        <v>100</v>
      </c>
      <c r="C496" s="72">
        <f>B496*355/100</f>
        <v>355</v>
      </c>
      <c r="D496" s="72">
        <f>B496*21.2/100</f>
        <v>21.2</v>
      </c>
      <c r="E496" s="72">
        <f>B496*5.4/100</f>
        <v>5.4</v>
      </c>
      <c r="F496" s="72">
        <f>B496*0.9/100</f>
        <v>0.9</v>
      </c>
      <c r="G496" s="72">
        <f>B496*1.4/100</f>
        <v>1.4</v>
      </c>
      <c r="H496" s="72">
        <f>B496*2.8/100</f>
        <v>2.8</v>
      </c>
      <c r="I496" s="72">
        <f>B496*2.71/100</f>
        <v>2.71</v>
      </c>
      <c r="J496" s="72">
        <f>B496*0.13/100</f>
        <v>0.13</v>
      </c>
      <c r="K496" s="72" t="s">
        <v>454</v>
      </c>
      <c r="L496" s="72">
        <f>B496*57.9/100</f>
        <v>57.9</v>
      </c>
      <c r="M496" s="72">
        <f>B496*12.4/100</f>
        <v>12.4</v>
      </c>
      <c r="N496" s="72">
        <f>B496*114/100</f>
        <v>114</v>
      </c>
      <c r="O496" s="72">
        <f>B496*146/100</f>
        <v>146</v>
      </c>
      <c r="P496" s="72">
        <f>B496*3.16/100</f>
        <v>3.16</v>
      </c>
      <c r="Q496" s="72">
        <f>B496*342/100</f>
        <v>342</v>
      </c>
      <c r="R496" s="72">
        <f>B496*5.4/100</f>
        <v>5.4</v>
      </c>
      <c r="S496" s="72">
        <f>B496*5/100</f>
        <v>5</v>
      </c>
      <c r="T496" s="72">
        <f>B496*1116/100</f>
        <v>1116</v>
      </c>
      <c r="U496" s="72">
        <f>B496*0.67/100</f>
        <v>0.67</v>
      </c>
      <c r="V496" s="72">
        <f>B496*3.2/100</f>
        <v>3.2</v>
      </c>
      <c r="W496" s="72" t="s">
        <v>454</v>
      </c>
      <c r="X496" s="72">
        <f>B496*0.52/100</f>
        <v>0.52</v>
      </c>
      <c r="Y496" s="72" t="s">
        <v>455</v>
      </c>
      <c r="Z496" s="72">
        <f>B496*0.75/100</f>
        <v>0.75</v>
      </c>
      <c r="AA496" s="72" t="s">
        <v>455</v>
      </c>
      <c r="AB496" s="72" t="s">
        <v>455</v>
      </c>
      <c r="AC496" s="34"/>
    </row>
    <row r="497" spans="1:29" s="48" customFormat="1">
      <c r="A497" s="71" t="s">
        <v>879</v>
      </c>
      <c r="B497" s="72">
        <v>100</v>
      </c>
      <c r="C497" s="72">
        <f>B497*344/100</f>
        <v>344</v>
      </c>
      <c r="D497" s="72">
        <f>B497*19/100</f>
        <v>19</v>
      </c>
      <c r="E497" s="72">
        <f>B497*2.1/100</f>
        <v>2.1</v>
      </c>
      <c r="F497" s="72">
        <f>B497*0.6/100</f>
        <v>0.6</v>
      </c>
      <c r="G497" s="72">
        <f>B497*0.2/100</f>
        <v>0.2</v>
      </c>
      <c r="H497" s="72">
        <f>B497*0.9/100</f>
        <v>0.9</v>
      </c>
      <c r="I497" s="72">
        <f>B497*0.86/100</f>
        <v>0.86</v>
      </c>
      <c r="J497" s="72">
        <f>B497*0.06/100</f>
        <v>0.06</v>
      </c>
      <c r="K497" s="72" t="s">
        <v>454</v>
      </c>
      <c r="L497" s="72">
        <f>B497*64/100</f>
        <v>64</v>
      </c>
      <c r="M497" s="72">
        <f>B497*21.3/100</f>
        <v>21.3</v>
      </c>
      <c r="N497" s="72">
        <f>B497*129/100</f>
        <v>129</v>
      </c>
      <c r="O497" s="72">
        <f>B497*166/100</f>
        <v>166</v>
      </c>
      <c r="P497" s="72">
        <f>B497*1.02/100</f>
        <v>1.02</v>
      </c>
      <c r="Q497" s="72">
        <f>B497*269/100</f>
        <v>269</v>
      </c>
      <c r="R497" s="72">
        <f>B497*1.9/100</f>
        <v>1.9</v>
      </c>
      <c r="S497" s="72">
        <f>B497*2/100</f>
        <v>2</v>
      </c>
      <c r="T497" s="72">
        <f>B497*1215/100</f>
        <v>1215</v>
      </c>
      <c r="U497" s="72">
        <f>B497*0.57/100</f>
        <v>0.56999999999999995</v>
      </c>
      <c r="V497" s="72">
        <f>B497*2/100</f>
        <v>2</v>
      </c>
      <c r="W497" s="72" t="s">
        <v>454</v>
      </c>
      <c r="X497" s="72">
        <f>B497*1.06/100</f>
        <v>1.06</v>
      </c>
      <c r="Y497" s="72" t="s">
        <v>455</v>
      </c>
      <c r="Z497" s="72">
        <f>B497*0.07/100</f>
        <v>7.0000000000000007E-2</v>
      </c>
      <c r="AA497" s="72">
        <f>B497*2.69/100</f>
        <v>2.69</v>
      </c>
      <c r="AB497" s="72">
        <f>B497*1.5/100</f>
        <v>1.5</v>
      </c>
      <c r="AC497" s="34"/>
    </row>
    <row r="498" spans="1:29" s="48" customFormat="1">
      <c r="A498" s="71" t="s">
        <v>880</v>
      </c>
      <c r="B498" s="72">
        <v>100</v>
      </c>
      <c r="C498" s="72">
        <f>B498*93/100</f>
        <v>93</v>
      </c>
      <c r="D498" s="72">
        <f>B498*6.3/100</f>
        <v>6.3</v>
      </c>
      <c r="E498" s="72">
        <f>B498*0.5/100</f>
        <v>0.5</v>
      </c>
      <c r="F498" s="72">
        <f>B498*0.1/100</f>
        <v>0.1</v>
      </c>
      <c r="G498" s="72">
        <f>B498*0.1/100</f>
        <v>0.1</v>
      </c>
      <c r="H498" s="72">
        <f>B498*0.3/100</f>
        <v>0.3</v>
      </c>
      <c r="I498" s="72">
        <f>B498*0.21/100</f>
        <v>0.21</v>
      </c>
      <c r="J498" s="72">
        <f>B498*0.04/100</f>
        <v>0.04</v>
      </c>
      <c r="K498" s="72" t="s">
        <v>454</v>
      </c>
      <c r="L498" s="72">
        <f>B498*16.3/100</f>
        <v>16.3</v>
      </c>
      <c r="M498" s="72">
        <f>B498*7.9/100</f>
        <v>7.9</v>
      </c>
      <c r="N498" s="72">
        <f>B498*16/100</f>
        <v>16</v>
      </c>
      <c r="O498" s="72">
        <f>B498*22/100</f>
        <v>22</v>
      </c>
      <c r="P498" s="72">
        <f>B498*0.29/100</f>
        <v>0.28999999999999998</v>
      </c>
      <c r="Q498" s="72">
        <f>B498*104/100</f>
        <v>104</v>
      </c>
      <c r="R498" s="72">
        <f>B498*1.5/100</f>
        <v>1.5</v>
      </c>
      <c r="S498" s="72">
        <f>B498*1/100</f>
        <v>1</v>
      </c>
      <c r="T498" s="72">
        <f>B498*220/100</f>
        <v>220</v>
      </c>
      <c r="U498" s="72">
        <f>B498*0.17/100</f>
        <v>0.17</v>
      </c>
      <c r="V498" s="72">
        <f>B498*1.1/100</f>
        <v>1.1000000000000001</v>
      </c>
      <c r="W498" s="72" t="s">
        <v>454</v>
      </c>
      <c r="X498" s="72">
        <f>B498*0.03/100</f>
        <v>0.03</v>
      </c>
      <c r="Y498" s="72" t="s">
        <v>455</v>
      </c>
      <c r="Z498" s="72" t="s">
        <v>455</v>
      </c>
      <c r="AA498" s="72" t="s">
        <v>455</v>
      </c>
      <c r="AB498" s="72" t="s">
        <v>455</v>
      </c>
      <c r="AC498" s="34"/>
    </row>
    <row r="499" spans="1:29" s="48" customFormat="1">
      <c r="A499" s="71" t="s">
        <v>881</v>
      </c>
      <c r="B499" s="72">
        <v>100</v>
      </c>
      <c r="C499" s="72">
        <f>B499*339/100</f>
        <v>339</v>
      </c>
      <c r="D499" s="72">
        <f>B499*23.2/100</f>
        <v>23.2</v>
      </c>
      <c r="E499" s="72">
        <f>B499*0.8/100</f>
        <v>0.8</v>
      </c>
      <c r="F499" s="72">
        <f>B499*0.1/100</f>
        <v>0.1</v>
      </c>
      <c r="G499" s="72">
        <f>B499*0.2/100</f>
        <v>0.2</v>
      </c>
      <c r="H499" s="72">
        <f>B499*0.4/100</f>
        <v>0.4</v>
      </c>
      <c r="I499" s="72">
        <f>B499*0.33/100</f>
        <v>0.33</v>
      </c>
      <c r="J499" s="72">
        <f>B499*0.09/100</f>
        <v>0.09</v>
      </c>
      <c r="K499" s="72" t="s">
        <v>454</v>
      </c>
      <c r="L499" s="72">
        <f>B499*62/100</f>
        <v>62</v>
      </c>
      <c r="M499" s="72">
        <f>B499*16.9/100</f>
        <v>16.899999999999999</v>
      </c>
      <c r="N499" s="72">
        <f>B499*54/100</f>
        <v>54</v>
      </c>
      <c r="O499" s="72">
        <f>B499*94/100</f>
        <v>94</v>
      </c>
      <c r="P499" s="72"/>
      <c r="Q499" s="72">
        <f>B499*368/100</f>
        <v>368</v>
      </c>
      <c r="R499" s="72">
        <f>B499*7/100</f>
        <v>7</v>
      </c>
      <c r="S499" s="72" t="s">
        <v>455</v>
      </c>
      <c r="T499" s="72">
        <f>B499*887/100</f>
        <v>887</v>
      </c>
      <c r="U499" s="72">
        <f>B499*0.83/100</f>
        <v>0.83</v>
      </c>
      <c r="V499" s="72">
        <f>B499*3.5/100</f>
        <v>3.5</v>
      </c>
      <c r="W499" s="72" t="s">
        <v>454</v>
      </c>
      <c r="X499" s="72">
        <f>B499*0.11/100</f>
        <v>0.11</v>
      </c>
      <c r="Y499" s="72" t="s">
        <v>455</v>
      </c>
      <c r="Z499" s="72">
        <f>B499*0.42/100</f>
        <v>0.42</v>
      </c>
      <c r="AA499" s="72">
        <f>B499*5.07/100</f>
        <v>5.07</v>
      </c>
      <c r="AB499" s="72"/>
      <c r="AC499" s="34"/>
    </row>
    <row r="500" spans="1:29" s="48" customFormat="1">
      <c r="A500" s="60" t="s">
        <v>882</v>
      </c>
      <c r="B500" s="59">
        <v>100</v>
      </c>
      <c r="C500" s="59">
        <f>B500*487/100</f>
        <v>487</v>
      </c>
      <c r="D500" s="59">
        <f>B500*16/100</f>
        <v>16</v>
      </c>
      <c r="E500" s="59">
        <f>B500*26.1/100</f>
        <v>26.1</v>
      </c>
      <c r="F500" s="59">
        <f>B500*4.1/100</f>
        <v>4.0999999999999996</v>
      </c>
      <c r="G500" s="59">
        <f>B500*10/100</f>
        <v>10</v>
      </c>
      <c r="H500" s="59">
        <f>B500*7.3/100</f>
        <v>7.3</v>
      </c>
      <c r="I500" s="59">
        <f>B500*7.25/100</f>
        <v>7.25</v>
      </c>
      <c r="J500" s="59">
        <f>B500*0.02/100</f>
        <v>0.02</v>
      </c>
      <c r="K500" s="59">
        <v>0</v>
      </c>
      <c r="L500" s="59">
        <f>B500*52.4/100</f>
        <v>52.4</v>
      </c>
      <c r="M500" s="59">
        <f>B500*7.3/100</f>
        <v>7.3</v>
      </c>
      <c r="N500" s="59">
        <f>B500*22/100</f>
        <v>22</v>
      </c>
      <c r="O500" s="59">
        <f>B500*101/100</f>
        <v>101</v>
      </c>
      <c r="P500" s="59">
        <f>B500*1.06/100</f>
        <v>1.06</v>
      </c>
      <c r="Q500" s="59">
        <f>B500*198/100</f>
        <v>198</v>
      </c>
      <c r="R500" s="59">
        <f>B500*1.1/100</f>
        <v>1.1000000000000001</v>
      </c>
      <c r="S500" s="59">
        <f>B500*167/100</f>
        <v>167</v>
      </c>
      <c r="T500" s="59">
        <f>B500*348/100</f>
        <v>348</v>
      </c>
      <c r="U500" s="59">
        <f>B500*0.38/100</f>
        <v>0.38</v>
      </c>
      <c r="V500" s="59">
        <f>B500*1.6/100</f>
        <v>1.6</v>
      </c>
      <c r="W500" s="59" t="s">
        <v>454</v>
      </c>
      <c r="X500" s="59" t="s">
        <v>455</v>
      </c>
      <c r="Y500" s="59" t="s">
        <v>455</v>
      </c>
      <c r="Z500" s="59">
        <f>B500*1.2/100</f>
        <v>1.2</v>
      </c>
      <c r="AA500" s="59" t="s">
        <v>455</v>
      </c>
      <c r="AB500" s="59" t="s">
        <v>455</v>
      </c>
      <c r="AC500" s="34"/>
    </row>
    <row r="501" spans="1:29" s="64" customFormat="1">
      <c r="A501" s="49" t="s">
        <v>884</v>
      </c>
      <c r="B501" s="50">
        <v>100</v>
      </c>
      <c r="C501" s="50">
        <f>B501*404/100</f>
        <v>404</v>
      </c>
      <c r="D501" s="50">
        <f>B501*36/100</f>
        <v>36</v>
      </c>
      <c r="E501" s="50">
        <f>B501*14.6/100</f>
        <v>14.6</v>
      </c>
      <c r="F501" s="50"/>
      <c r="G501" s="50"/>
      <c r="H501" s="50"/>
      <c r="I501" s="50"/>
      <c r="J501" s="50"/>
      <c r="K501" s="50" t="s">
        <v>454</v>
      </c>
      <c r="L501" s="50">
        <f>B501*38.4/100</f>
        <v>38.4</v>
      </c>
      <c r="M501" s="50">
        <f>B501*20.2/100</f>
        <v>20.2</v>
      </c>
      <c r="N501" s="50">
        <f>B501*206/100</f>
        <v>206</v>
      </c>
      <c r="O501" s="50">
        <f>B501*242/100</f>
        <v>242</v>
      </c>
      <c r="P501" s="50">
        <f>B501*2.87/100</f>
        <v>2.87</v>
      </c>
      <c r="Q501" s="50">
        <f>B501*539/100</f>
        <v>539</v>
      </c>
      <c r="R501" s="50">
        <f>B501*13.1/100</f>
        <v>13.1</v>
      </c>
      <c r="S501" s="50">
        <f>B501*6/100</f>
        <v>6</v>
      </c>
      <c r="T501" s="50">
        <f>B501*1922/100</f>
        <v>1922</v>
      </c>
      <c r="U501" s="50">
        <f>B501*1.29/100</f>
        <v>1.29</v>
      </c>
      <c r="V501" s="50">
        <f>B501*4.5/100</f>
        <v>4.5</v>
      </c>
      <c r="W501" s="50" t="s">
        <v>454</v>
      </c>
      <c r="X501" s="50">
        <f>B501*0.2/100</f>
        <v>0.2</v>
      </c>
      <c r="Y501" s="50">
        <f>B501*0.04/100</f>
        <v>0.04</v>
      </c>
      <c r="Z501" s="50">
        <f>B501*0.03/100</f>
        <v>0.03</v>
      </c>
      <c r="AA501" s="50" t="s">
        <v>455</v>
      </c>
      <c r="AB501" s="50" t="s">
        <v>455</v>
      </c>
      <c r="AC501" s="34"/>
    </row>
    <row r="502" spans="1:29" s="48" customFormat="1">
      <c r="A502" s="71" t="s">
        <v>885</v>
      </c>
      <c r="B502" s="72">
        <v>100</v>
      </c>
      <c r="C502" s="72">
        <f>B502*39/100</f>
        <v>39</v>
      </c>
      <c r="D502" s="72">
        <f>B502*2.4/100</f>
        <v>2.4</v>
      </c>
      <c r="E502" s="72">
        <f>B502*1.6/100</f>
        <v>1.6</v>
      </c>
      <c r="F502" s="72">
        <f>B502*0.2/100</f>
        <v>0.2</v>
      </c>
      <c r="G502" s="72">
        <f>B502*0.3/100</f>
        <v>0.3</v>
      </c>
      <c r="H502" s="72">
        <f>B502*0.6/100</f>
        <v>0.6</v>
      </c>
      <c r="I502" s="72">
        <f>B502*0.58/100</f>
        <v>0.57999999999999996</v>
      </c>
      <c r="J502" s="72">
        <f>B502*0.06/100</f>
        <v>0.06</v>
      </c>
      <c r="K502" s="72" t="s">
        <v>454</v>
      </c>
      <c r="L502" s="72">
        <f>B502*4.3/100</f>
        <v>4.3</v>
      </c>
      <c r="M502" s="72">
        <f>B502*0.4/100</f>
        <v>0.4</v>
      </c>
      <c r="N502" s="72">
        <f>B502*17/100</f>
        <v>17</v>
      </c>
      <c r="O502" s="72">
        <f>B502*15/100</f>
        <v>15</v>
      </c>
      <c r="P502" s="72">
        <f>B502*0.15/100</f>
        <v>0.15</v>
      </c>
      <c r="Q502" s="72">
        <f>B502*53/100</f>
        <v>53</v>
      </c>
      <c r="R502" s="72">
        <f>B502*0.4/100</f>
        <v>0.4</v>
      </c>
      <c r="S502" s="72">
        <f>B502*57/100</f>
        <v>57</v>
      </c>
      <c r="T502" s="72">
        <f>B502*121/100</f>
        <v>121</v>
      </c>
      <c r="U502" s="72">
        <f>B502*0.08/100</f>
        <v>0.08</v>
      </c>
      <c r="V502" s="72">
        <f>B502*0.3/100</f>
        <v>0.3</v>
      </c>
      <c r="W502" s="72" t="s">
        <v>454</v>
      </c>
      <c r="X502" s="72" t="s">
        <v>455</v>
      </c>
      <c r="Y502" s="72" t="s">
        <v>455</v>
      </c>
      <c r="Z502" s="72" t="s">
        <v>455</v>
      </c>
      <c r="AA502" s="72" t="s">
        <v>455</v>
      </c>
      <c r="AB502" s="72" t="s">
        <v>455</v>
      </c>
      <c r="AC502" s="34"/>
    </row>
    <row r="503" spans="1:29" s="48" customFormat="1">
      <c r="A503" s="71" t="s">
        <v>886</v>
      </c>
      <c r="B503" s="72">
        <v>100</v>
      </c>
      <c r="C503" s="72">
        <f>B503*459/100</f>
        <v>459</v>
      </c>
      <c r="D503" s="72">
        <f>B503*35.7/100</f>
        <v>35.700000000000003</v>
      </c>
      <c r="E503" s="72">
        <f>B503*26.2/100</f>
        <v>26.2</v>
      </c>
      <c r="F503" s="72">
        <f>B503*3.3/100</f>
        <v>3.3</v>
      </c>
      <c r="G503" s="72">
        <f>B503*6.4/100</f>
        <v>6.4</v>
      </c>
      <c r="H503" s="72">
        <f>B503*12.9/100</f>
        <v>12.9</v>
      </c>
      <c r="I503" s="72">
        <f>B503*11.67/100</f>
        <v>11.67</v>
      </c>
      <c r="J503" s="72">
        <f>B503*1.23/100</f>
        <v>1.23</v>
      </c>
      <c r="K503" s="72" t="s">
        <v>454</v>
      </c>
      <c r="L503" s="72">
        <f>B503*28.5/100</f>
        <v>28.5</v>
      </c>
      <c r="M503" s="72">
        <f>B503*7.3/100</f>
        <v>7.3</v>
      </c>
      <c r="N503" s="72">
        <f>B503*359/100</f>
        <v>359</v>
      </c>
      <c r="O503" s="72">
        <f>B503*216/100</f>
        <v>216</v>
      </c>
      <c r="P503" s="72">
        <f>B503*2.68/100</f>
        <v>2.68</v>
      </c>
      <c r="Q503" s="72">
        <f>B503*647/100</f>
        <v>647</v>
      </c>
      <c r="R503" s="72">
        <f>B503*7/100</f>
        <v>7</v>
      </c>
      <c r="S503" s="72">
        <f>B503*83/100</f>
        <v>83</v>
      </c>
      <c r="T503" s="72">
        <f>B503*1607/100</f>
        <v>1607</v>
      </c>
      <c r="U503" s="72">
        <f>B503*1.19/100</f>
        <v>1.19</v>
      </c>
      <c r="V503" s="72">
        <f>B503*5.8/100</f>
        <v>5.8</v>
      </c>
      <c r="W503" s="72" t="s">
        <v>454</v>
      </c>
      <c r="X503" s="72" t="s">
        <v>455</v>
      </c>
      <c r="Y503" s="72">
        <f>B503*0.11/100</f>
        <v>0.11</v>
      </c>
      <c r="Z503" s="72">
        <f>B503*0.35/100</f>
        <v>0.35</v>
      </c>
      <c r="AA503" s="72" t="s">
        <v>455</v>
      </c>
      <c r="AB503" s="72">
        <f>B503*9.2/100</f>
        <v>9.1999999999999993</v>
      </c>
      <c r="AC503" s="34"/>
    </row>
    <row r="504" spans="1:29" s="48" customFormat="1">
      <c r="A504" s="71" t="s">
        <v>887</v>
      </c>
      <c r="B504" s="72">
        <v>100</v>
      </c>
      <c r="C504" s="72">
        <f>B504*64/100</f>
        <v>64</v>
      </c>
      <c r="D504" s="72">
        <f>B504*6.6/100</f>
        <v>6.6</v>
      </c>
      <c r="E504" s="72">
        <f>B504*4/100</f>
        <v>4</v>
      </c>
      <c r="F504" s="72">
        <f>B504*0.4/100</f>
        <v>0.4</v>
      </c>
      <c r="G504" s="72">
        <f>B504*0.5/100</f>
        <v>0.5</v>
      </c>
      <c r="H504" s="72">
        <f>B504*1.7/100</f>
        <v>1.7</v>
      </c>
      <c r="I504" s="72">
        <f>B504*1.48/100</f>
        <v>1.48</v>
      </c>
      <c r="J504" s="72">
        <f>B504*0.2/100</f>
        <v>0.2</v>
      </c>
      <c r="K504" s="72" t="s">
        <v>454</v>
      </c>
      <c r="L504" s="72">
        <f>B504*2.1/100</f>
        <v>2.1</v>
      </c>
      <c r="M504" s="72">
        <f>B504*0.8/100</f>
        <v>0.8</v>
      </c>
      <c r="N504" s="72">
        <f>B504*81/100</f>
        <v>81</v>
      </c>
      <c r="O504" s="72">
        <f>B504*38/100</f>
        <v>38</v>
      </c>
      <c r="P504" s="72">
        <f>B504*0.33/100</f>
        <v>0.33</v>
      </c>
      <c r="Q504" s="72">
        <f>B504*130/100</f>
        <v>130</v>
      </c>
      <c r="R504" s="72">
        <f>B504*1.4/100</f>
        <v>1.4</v>
      </c>
      <c r="S504" s="72">
        <f>B504*1/100</f>
        <v>1</v>
      </c>
      <c r="T504" s="72">
        <f>B504*182/100</f>
        <v>182</v>
      </c>
      <c r="U504" s="72">
        <f>B504*0.18/100</f>
        <v>0.18</v>
      </c>
      <c r="V504" s="72">
        <f>B504*0.9/100</f>
        <v>0.9</v>
      </c>
      <c r="W504" s="72" t="s">
        <v>454</v>
      </c>
      <c r="X504" s="72">
        <f>B504*0.04/100</f>
        <v>0.04</v>
      </c>
      <c r="Y504" s="72" t="s">
        <v>455</v>
      </c>
      <c r="Z504" s="72">
        <f>B504*0.03/100</f>
        <v>0.03</v>
      </c>
      <c r="AA504" s="72" t="s">
        <v>455</v>
      </c>
      <c r="AB504" s="72" t="s">
        <v>455</v>
      </c>
      <c r="AC504" s="34"/>
    </row>
    <row r="505" spans="1:29" s="66" customFormat="1">
      <c r="A505" s="67" t="s">
        <v>888</v>
      </c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34"/>
    </row>
    <row r="506" spans="1:29" s="48" customFormat="1">
      <c r="A506" s="71" t="s">
        <v>889</v>
      </c>
      <c r="B506" s="72">
        <v>100</v>
      </c>
      <c r="C506" s="72">
        <f>B506*581/100</f>
        <v>581</v>
      </c>
      <c r="D506" s="72">
        <f>B506*18.6/100</f>
        <v>18.600000000000001</v>
      </c>
      <c r="E506" s="72">
        <f>B506*47.3/100</f>
        <v>47.3</v>
      </c>
      <c r="F506" s="72">
        <v>4.8</v>
      </c>
      <c r="G506" s="72">
        <v>32.299999999999997</v>
      </c>
      <c r="H506" s="72">
        <v>16.2</v>
      </c>
      <c r="I506" s="72">
        <v>16.170000000000002</v>
      </c>
      <c r="J506" s="72">
        <v>0.03</v>
      </c>
      <c r="K506" s="72" t="s">
        <v>454</v>
      </c>
      <c r="L506" s="72">
        <f>B506*29.5/100</f>
        <v>29.5</v>
      </c>
      <c r="M506" s="72">
        <f>B506*11.6/100</f>
        <v>11.6</v>
      </c>
      <c r="N506" s="72">
        <f>B506*237/100</f>
        <v>237</v>
      </c>
      <c r="O506" s="72">
        <f>B506*222/100</f>
        <v>222</v>
      </c>
      <c r="P506" s="72">
        <f>B506*1.95/100</f>
        <v>1.95</v>
      </c>
      <c r="Q506" s="72">
        <f>B506*493/100</f>
        <v>493</v>
      </c>
      <c r="R506" s="72">
        <f>B506*3.1/100</f>
        <v>3.1</v>
      </c>
      <c r="S506" s="72">
        <f>B506*279/100</f>
        <v>279</v>
      </c>
      <c r="T506" s="72">
        <f>B506*640/100</f>
        <v>640</v>
      </c>
      <c r="U506" s="72">
        <f>B506*0.93/100</f>
        <v>0.93</v>
      </c>
      <c r="V506" s="72">
        <f>B506*2.6/100</f>
        <v>2.6</v>
      </c>
      <c r="W506" s="72" t="s">
        <v>454</v>
      </c>
      <c r="X506" s="72">
        <v>0.28999999999999998</v>
      </c>
      <c r="Y506" s="72">
        <f>B506*0.16/100</f>
        <v>0.16</v>
      </c>
      <c r="Z506" s="72" t="s">
        <v>455</v>
      </c>
      <c r="AA506" s="72" t="s">
        <v>455</v>
      </c>
      <c r="AB506" s="72" t="s">
        <v>455</v>
      </c>
      <c r="AC506" s="34"/>
    </row>
    <row r="507" spans="1:29" s="48" customFormat="1">
      <c r="A507" s="71" t="s">
        <v>890</v>
      </c>
      <c r="B507" s="72">
        <v>100</v>
      </c>
      <c r="C507" s="72">
        <f>B507*570/100</f>
        <v>570</v>
      </c>
      <c r="D507" s="72">
        <f>B507*18.5/100</f>
        <v>18.5</v>
      </c>
      <c r="E507" s="72">
        <f>B507*46.3/100</f>
        <v>46.3</v>
      </c>
      <c r="F507" s="72">
        <f>B507*7.7/100</f>
        <v>7.7</v>
      </c>
      <c r="G507" s="72">
        <f>B507*26.5/100</f>
        <v>26.5</v>
      </c>
      <c r="H507" s="72">
        <f>B507*8.1/100</f>
        <v>8.1</v>
      </c>
      <c r="I507" s="72">
        <f>B507*8/100</f>
        <v>8</v>
      </c>
      <c r="J507" s="72">
        <f>B507*0.08/100</f>
        <v>0.08</v>
      </c>
      <c r="K507" s="72" t="s">
        <v>454</v>
      </c>
      <c r="L507" s="72">
        <f>B507*29.1/100</f>
        <v>29.1</v>
      </c>
      <c r="M507" s="72">
        <f>B507*3.7/100</f>
        <v>3.7</v>
      </c>
      <c r="N507" s="72">
        <f>B507*33/100</f>
        <v>33</v>
      </c>
      <c r="O507" s="72">
        <f>B507*237/100</f>
        <v>237</v>
      </c>
      <c r="P507" s="72">
        <f>B507*1.59/100</f>
        <v>1.59</v>
      </c>
      <c r="Q507" s="72">
        <f>B507*594/100</f>
        <v>594</v>
      </c>
      <c r="R507" s="72">
        <f>B507*5.2/100</f>
        <v>5.2</v>
      </c>
      <c r="S507" s="72">
        <f>B507*125/100</f>
        <v>125</v>
      </c>
      <c r="T507" s="72">
        <f>B507*671/100</f>
        <v>671</v>
      </c>
      <c r="U507" s="72">
        <f>B507*1.92/100</f>
        <v>1.92</v>
      </c>
      <c r="V507" s="72">
        <f>B507*4.7/100</f>
        <v>4.7</v>
      </c>
      <c r="W507" s="72" t="s">
        <v>454</v>
      </c>
      <c r="X507" s="72">
        <f>B507*0.29/100</f>
        <v>0.28999999999999998</v>
      </c>
      <c r="Y507" s="72">
        <f>B507*0.05/100</f>
        <v>0.05</v>
      </c>
      <c r="Z507" s="72">
        <f>B507*0.39/100</f>
        <v>0.39</v>
      </c>
      <c r="AA507" s="72" t="s">
        <v>455</v>
      </c>
      <c r="AB507" s="72" t="s">
        <v>455</v>
      </c>
      <c r="AC507" s="34"/>
    </row>
    <row r="508" spans="1:29" s="48" customFormat="1">
      <c r="A508" s="71" t="s">
        <v>891</v>
      </c>
      <c r="B508" s="72">
        <v>100</v>
      </c>
      <c r="C508" s="72">
        <f>B508*643/100</f>
        <v>643</v>
      </c>
      <c r="D508" s="72">
        <f>B508*14.5/100</f>
        <v>14.5</v>
      </c>
      <c r="E508" s="72">
        <f>B508*63.5/100</f>
        <v>63.5</v>
      </c>
      <c r="F508" s="72">
        <f>B508*15.3/100</f>
        <v>15.3</v>
      </c>
      <c r="G508" s="72">
        <f>B508*27.4/100</f>
        <v>27.4</v>
      </c>
      <c r="H508" s="72">
        <f>B508*21/100</f>
        <v>21</v>
      </c>
      <c r="I508" s="72">
        <f>B508*20.97/100</f>
        <v>20.97</v>
      </c>
      <c r="J508" s="72">
        <f>B508*0.04/100</f>
        <v>0.04</v>
      </c>
      <c r="K508" s="72" t="s">
        <v>454</v>
      </c>
      <c r="L508" s="72">
        <f>B508*15.1/100</f>
        <v>15.1</v>
      </c>
      <c r="M508" s="72">
        <f>B508*7.9/100</f>
        <v>7.9</v>
      </c>
      <c r="N508" s="72">
        <f>B508*146/100</f>
        <v>146</v>
      </c>
      <c r="O508" s="72">
        <f>B508*365/100</f>
        <v>365</v>
      </c>
      <c r="P508" s="72">
        <f>B508*1.1/100</f>
        <v>1.1000000000000001</v>
      </c>
      <c r="Q508" s="72">
        <f>B508*853/100</f>
        <v>853</v>
      </c>
      <c r="R508" s="72">
        <f>B508*2.3/100</f>
        <v>2.2999999999999998</v>
      </c>
      <c r="S508" s="72">
        <f>B508*1/100</f>
        <v>1</v>
      </c>
      <c r="T508" s="72">
        <f>B508*651/100</f>
        <v>651</v>
      </c>
      <c r="U508" s="72">
        <f>B508*1.79/100</f>
        <v>1.79</v>
      </c>
      <c r="V508" s="72">
        <f>B508*4.2/100</f>
        <v>4.2</v>
      </c>
      <c r="W508" s="72" t="s">
        <v>454</v>
      </c>
      <c r="X508" s="72">
        <f>B508*0.3/100</f>
        <v>0.3</v>
      </c>
      <c r="Y508" s="72" t="s">
        <v>455</v>
      </c>
      <c r="Z508" s="72">
        <f>B508*0.44/100</f>
        <v>0.44</v>
      </c>
      <c r="AA508" s="72" t="s">
        <v>455</v>
      </c>
      <c r="AB508" s="72" t="s">
        <v>455</v>
      </c>
      <c r="AC508" s="34"/>
    </row>
    <row r="509" spans="1:29" s="48" customFormat="1">
      <c r="A509" s="71" t="s">
        <v>892</v>
      </c>
      <c r="B509" s="72">
        <v>100</v>
      </c>
      <c r="C509" s="72">
        <f>B509*411/100</f>
        <v>411</v>
      </c>
      <c r="D509" s="72">
        <f>B509*3.6/100</f>
        <v>3.6</v>
      </c>
      <c r="E509" s="72">
        <f>B509*42.2/100</f>
        <v>42.2</v>
      </c>
      <c r="F509" s="72">
        <f>B509*30/100</f>
        <v>30</v>
      </c>
      <c r="G509" s="72">
        <f>B509*1.5/100</f>
        <v>1.5</v>
      </c>
      <c r="H509" s="72">
        <f>B509*0.3/100</f>
        <v>0.3</v>
      </c>
      <c r="I509" s="72">
        <f>B509*0.32/100</f>
        <v>0.32</v>
      </c>
      <c r="J509" s="72"/>
      <c r="K509" s="72" t="s">
        <v>454</v>
      </c>
      <c r="L509" s="72">
        <f>B509*11/100</f>
        <v>11</v>
      </c>
      <c r="M509" s="72">
        <f>B509*5.8/100</f>
        <v>5.8</v>
      </c>
      <c r="N509" s="72">
        <f>B509*6/100</f>
        <v>6</v>
      </c>
      <c r="O509" s="72">
        <f>B509*62/100</f>
        <v>62</v>
      </c>
      <c r="P509" s="72">
        <f>B509*1.23/100</f>
        <v>1.23</v>
      </c>
      <c r="Q509" s="72">
        <f>B509*128/100</f>
        <v>128</v>
      </c>
      <c r="R509" s="72">
        <f>B509*1.9/100</f>
        <v>1.9</v>
      </c>
      <c r="S509" s="72">
        <f>B509*20/100</f>
        <v>20</v>
      </c>
      <c r="T509" s="72">
        <f>B509*338/100</f>
        <v>338</v>
      </c>
      <c r="U509" s="72">
        <f>B509*0.49/100</f>
        <v>0.49</v>
      </c>
      <c r="V509" s="72">
        <f>B509*1/100</f>
        <v>1</v>
      </c>
      <c r="W509" s="72" t="s">
        <v>454</v>
      </c>
      <c r="X509" s="72" t="s">
        <v>455</v>
      </c>
      <c r="Y509" s="72" t="s">
        <v>455</v>
      </c>
      <c r="Z509" s="72">
        <f>B509*0.05/100</f>
        <v>0.05</v>
      </c>
      <c r="AA509" s="72" t="s">
        <v>455</v>
      </c>
      <c r="AB509" s="72">
        <f>B509*3.4/100</f>
        <v>3.4</v>
      </c>
      <c r="AC509" s="34"/>
    </row>
    <row r="510" spans="1:29" s="48" customFormat="1">
      <c r="A510" s="71" t="s">
        <v>893</v>
      </c>
      <c r="B510" s="72">
        <v>100</v>
      </c>
      <c r="C510" s="72">
        <f>B510*584/100</f>
        <v>584</v>
      </c>
      <c r="D510" s="72">
        <f>B510*21.2/100</f>
        <v>21.2</v>
      </c>
      <c r="E510" s="72">
        <f>B510*50.4/100</f>
        <v>50.4</v>
      </c>
      <c r="F510" s="72">
        <f>B510*7.8/100</f>
        <v>7.8</v>
      </c>
      <c r="G510" s="72">
        <f>B510*19.9/100</f>
        <v>19.899999999999999</v>
      </c>
      <c r="H510" s="72">
        <f>B510*22.5/100</f>
        <v>22.5</v>
      </c>
      <c r="I510" s="72">
        <f>B510*22.39/100</f>
        <v>22.39</v>
      </c>
      <c r="J510" s="72">
        <f>B510*0.16/100</f>
        <v>0.16</v>
      </c>
      <c r="K510" s="72" t="s">
        <v>454</v>
      </c>
      <c r="L510" s="72">
        <f>B510*21.6/100</f>
        <v>21.6</v>
      </c>
      <c r="M510" s="72">
        <f>B510*11.9/100</f>
        <v>11.9</v>
      </c>
      <c r="N510" s="72" t="s">
        <v>23</v>
      </c>
      <c r="O510" s="72" t="s">
        <v>23</v>
      </c>
      <c r="P510" s="72" t="s">
        <v>23</v>
      </c>
      <c r="Q510" s="72" t="s">
        <v>23</v>
      </c>
      <c r="R510" s="72" t="s">
        <v>23</v>
      </c>
      <c r="S510" s="72" t="s">
        <v>23</v>
      </c>
      <c r="T510" s="72" t="s">
        <v>23</v>
      </c>
      <c r="U510" s="72" t="s">
        <v>23</v>
      </c>
      <c r="V510" s="72" t="s">
        <v>23</v>
      </c>
      <c r="W510" s="72" t="s">
        <v>454</v>
      </c>
      <c r="X510" s="72">
        <f>B510*0.94/100</f>
        <v>0.94</v>
      </c>
      <c r="Y510" s="72" t="s">
        <v>455</v>
      </c>
      <c r="Z510" s="72">
        <f>B510*0.13/100</f>
        <v>0.13</v>
      </c>
      <c r="AA510" s="72">
        <f>B510*5.92/100</f>
        <v>5.92</v>
      </c>
      <c r="AB510" s="72" t="s">
        <v>455</v>
      </c>
      <c r="AC510" s="34"/>
    </row>
    <row r="511" spans="1:29" s="48" customFormat="1">
      <c r="A511" s="71" t="s">
        <v>894</v>
      </c>
      <c r="B511" s="72">
        <v>100</v>
      </c>
      <c r="C511" s="72">
        <f>B511*495/100</f>
        <v>495</v>
      </c>
      <c r="D511" s="72">
        <f>B511*14.1/100</f>
        <v>14.1</v>
      </c>
      <c r="E511" s="72">
        <f>B511*32.3/100</f>
        <v>32.299999999999997</v>
      </c>
      <c r="F511" s="72">
        <f>B511*4.2/100</f>
        <v>4.2</v>
      </c>
      <c r="G511" s="72">
        <f>B511*7.1/100</f>
        <v>7.1</v>
      </c>
      <c r="H511" s="72">
        <f>B511*25.3/100</f>
        <v>25.3</v>
      </c>
      <c r="I511" s="72">
        <f>B511*5.42/100</f>
        <v>5.42</v>
      </c>
      <c r="J511" s="72">
        <f>B511*19.81/100</f>
        <v>19.809999999999999</v>
      </c>
      <c r="K511" s="72" t="s">
        <v>454</v>
      </c>
      <c r="L511" s="72">
        <f>B511*43.3/100</f>
        <v>43.3</v>
      </c>
      <c r="M511" s="72">
        <f>B511*33.5/100</f>
        <v>33.5</v>
      </c>
      <c r="N511" s="72">
        <f>B511*211/100</f>
        <v>211</v>
      </c>
      <c r="O511" s="72">
        <f>B511*347/100</f>
        <v>347</v>
      </c>
      <c r="P511" s="72">
        <f>B511*2.81/100</f>
        <v>2.81</v>
      </c>
      <c r="Q511" s="72">
        <f>B511*615/100</f>
        <v>615</v>
      </c>
      <c r="R511" s="72">
        <f>B511*4.7/100</f>
        <v>4.7</v>
      </c>
      <c r="S511" s="72">
        <f>B511*9/100</f>
        <v>9</v>
      </c>
      <c r="T511" s="72">
        <f>B511*869/100</f>
        <v>869</v>
      </c>
      <c r="U511" s="72">
        <f>B511*1.09/100</f>
        <v>1.0900000000000001</v>
      </c>
      <c r="V511" s="72">
        <f>B511*4.4/100</f>
        <v>4.4000000000000004</v>
      </c>
      <c r="W511" s="72" t="s">
        <v>454</v>
      </c>
      <c r="X511" s="72">
        <f>B511*0.12/100</f>
        <v>0.12</v>
      </c>
      <c r="Y511" s="72" t="s">
        <v>455</v>
      </c>
      <c r="Z511" s="72">
        <f>B511*0.13/100</f>
        <v>0.13</v>
      </c>
      <c r="AA511" s="72" t="s">
        <v>455</v>
      </c>
      <c r="AB511" s="72" t="s">
        <v>455</v>
      </c>
      <c r="AC511" s="34"/>
    </row>
    <row r="512" spans="1:29" s="48" customFormat="1">
      <c r="A512" s="71" t="s">
        <v>895</v>
      </c>
      <c r="B512" s="72">
        <v>100</v>
      </c>
      <c r="C512" s="72">
        <f>B512*174/100</f>
        <v>174</v>
      </c>
      <c r="D512" s="72">
        <f>B512*3/100</f>
        <v>3</v>
      </c>
      <c r="E512" s="72">
        <f>B512*0.7/100</f>
        <v>0.7</v>
      </c>
      <c r="F512" s="72">
        <f>B512*0.3/100</f>
        <v>0.3</v>
      </c>
      <c r="G512" s="72">
        <f>B512*0.1/100</f>
        <v>0.1</v>
      </c>
      <c r="H512" s="72">
        <f>B512*0.2/100</f>
        <v>0.2</v>
      </c>
      <c r="I512" s="72">
        <f>B512*0.22/100</f>
        <v>0.22</v>
      </c>
      <c r="J512" s="72"/>
      <c r="K512" s="72" t="s">
        <v>454</v>
      </c>
      <c r="L512" s="72">
        <f>B512*43.9/100</f>
        <v>43.9</v>
      </c>
      <c r="M512" s="72">
        <f>B512*15.6/100</f>
        <v>15.6</v>
      </c>
      <c r="N512" s="72">
        <f>B512*16/100</f>
        <v>16</v>
      </c>
      <c r="O512" s="72">
        <f>B512*53/100</f>
        <v>53</v>
      </c>
      <c r="P512" s="72">
        <f>B512*0.41/100</f>
        <v>0.41</v>
      </c>
      <c r="Q512" s="72">
        <f>B512*166/100</f>
        <v>166</v>
      </c>
      <c r="R512" s="72">
        <f>B512*0.8/100</f>
        <v>0.8</v>
      </c>
      <c r="S512" s="72">
        <f>B512*1/100</f>
        <v>1</v>
      </c>
      <c r="T512" s="72">
        <f>B512*727/100</f>
        <v>727</v>
      </c>
      <c r="U512" s="72">
        <f>B512*0.18/100</f>
        <v>0.18</v>
      </c>
      <c r="V512" s="72">
        <f>B512*0.8/100</f>
        <v>0.8</v>
      </c>
      <c r="W512" s="72" t="s">
        <v>454</v>
      </c>
      <c r="X512" s="72" t="s">
        <v>455</v>
      </c>
      <c r="Y512" s="72" t="s">
        <v>455</v>
      </c>
      <c r="Z512" s="72" t="s">
        <v>455</v>
      </c>
      <c r="AA512" s="72" t="s">
        <v>455</v>
      </c>
      <c r="AB512" s="72">
        <f>B512*27.7/100</f>
        <v>27.7</v>
      </c>
      <c r="AC512" s="34"/>
    </row>
    <row r="513" spans="1:29" s="48" customFormat="1">
      <c r="A513" s="71" t="s">
        <v>896</v>
      </c>
      <c r="B513" s="72">
        <v>100</v>
      </c>
      <c r="C513" s="72">
        <f>B513*620/100</f>
        <v>620</v>
      </c>
      <c r="D513" s="72">
        <f>B513*14/100</f>
        <v>14</v>
      </c>
      <c r="E513" s="72">
        <f>B513*59.4/100</f>
        <v>59.4</v>
      </c>
      <c r="F513" s="72">
        <f>B513*5.6/100</f>
        <v>5.6</v>
      </c>
      <c r="G513" s="72">
        <f>B513*8.7/100</f>
        <v>8.6999999999999993</v>
      </c>
      <c r="H513" s="72">
        <f>B513*44.1/100</f>
        <v>44.1</v>
      </c>
      <c r="I513" s="72">
        <f>B513*35.3/100</f>
        <v>35.299999999999997</v>
      </c>
      <c r="J513" s="72">
        <f>B513*8.82/100</f>
        <v>8.82</v>
      </c>
      <c r="K513" s="72" t="s">
        <v>454</v>
      </c>
      <c r="L513" s="72">
        <f>B513*18.4/100</f>
        <v>18.399999999999999</v>
      </c>
      <c r="M513" s="72">
        <f>B513*7.2/100</f>
        <v>7.2</v>
      </c>
      <c r="N513" s="72">
        <f>B513*105/100</f>
        <v>105</v>
      </c>
      <c r="O513" s="72">
        <f>B513*153/100</f>
        <v>153</v>
      </c>
      <c r="P513" s="72">
        <f>B513*4.05/100</f>
        <v>4.05</v>
      </c>
      <c r="Q513" s="72">
        <f>B513*396/100</f>
        <v>396</v>
      </c>
      <c r="R513" s="72">
        <f>B513*2/100</f>
        <v>2</v>
      </c>
      <c r="S513" s="72">
        <f>B513*5/100</f>
        <v>5</v>
      </c>
      <c r="T513" s="72">
        <f>B513*533/100</f>
        <v>533</v>
      </c>
      <c r="U513" s="72">
        <f>B513*0.75/100</f>
        <v>0.75</v>
      </c>
      <c r="V513" s="72">
        <f>B513*2.1/100</f>
        <v>2.1</v>
      </c>
      <c r="W513" s="72" t="s">
        <v>454</v>
      </c>
      <c r="X513" s="72">
        <f>B513*0.38/100</f>
        <v>0.38</v>
      </c>
      <c r="Y513" s="72" t="s">
        <v>455</v>
      </c>
      <c r="Z513" s="72">
        <f>B513*0.13/100</f>
        <v>0.13</v>
      </c>
      <c r="AA513" s="72">
        <f>B513*1.08/100</f>
        <v>1.08</v>
      </c>
      <c r="AB513" s="72" t="s">
        <v>455</v>
      </c>
      <c r="AC513" s="34"/>
    </row>
    <row r="514" spans="1:29" s="48" customFormat="1">
      <c r="A514" s="71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34"/>
    </row>
    <row r="515" spans="1:29" s="48" customFormat="1">
      <c r="A515" s="5" t="s">
        <v>3050</v>
      </c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34"/>
    </row>
    <row r="516" spans="1:29" s="48" customFormat="1">
      <c r="A516" s="5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34"/>
    </row>
    <row r="517" spans="1:29" s="48" customFormat="1">
      <c r="A517" s="74" t="s">
        <v>26</v>
      </c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34"/>
    </row>
    <row r="518" spans="1:29" s="48" customFormat="1">
      <c r="A518" s="74" t="s">
        <v>949</v>
      </c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34"/>
    </row>
    <row r="519" spans="1:29" s="48" customFormat="1">
      <c r="A519" s="74" t="s">
        <v>950</v>
      </c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34"/>
    </row>
    <row r="520" spans="1:29" s="48" customFormat="1" ht="15">
      <c r="A520" s="73" t="s">
        <v>953</v>
      </c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34"/>
    </row>
    <row r="521" spans="1:29" s="48" customFormat="1">
      <c r="A521" s="64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34"/>
    </row>
    <row r="522" spans="1:29" s="48" customFormat="1">
      <c r="A522" s="64" t="s">
        <v>945</v>
      </c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34"/>
    </row>
    <row r="523" spans="1:29" s="48" customFormat="1">
      <c r="A523" s="58" t="s">
        <v>946</v>
      </c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34"/>
    </row>
    <row r="524" spans="1:29" s="48" customFormat="1">
      <c r="A524" s="75" t="s">
        <v>947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34"/>
    </row>
    <row r="525" spans="1:29" s="48" customFormat="1">
      <c r="A525" s="33" t="s">
        <v>26</v>
      </c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34"/>
    </row>
    <row r="526" spans="1:29" s="48" customFormat="1">
      <c r="A526" s="33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34"/>
    </row>
    <row r="527" spans="1:29" s="48" customFormat="1">
      <c r="A527" s="165" t="s">
        <v>3049</v>
      </c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34"/>
    </row>
    <row r="528" spans="1:29" s="5" customFormat="1">
      <c r="A528" s="2" t="s">
        <v>0</v>
      </c>
      <c r="B528" s="3" t="s">
        <v>1</v>
      </c>
      <c r="C528" s="3" t="s">
        <v>2</v>
      </c>
      <c r="D528" s="3" t="s">
        <v>3</v>
      </c>
      <c r="E528" s="3" t="s">
        <v>4</v>
      </c>
      <c r="F528" s="3" t="s">
        <v>49</v>
      </c>
      <c r="G528" s="3" t="s">
        <v>50</v>
      </c>
      <c r="H528" s="3" t="s">
        <v>51</v>
      </c>
      <c r="I528" s="3" t="s">
        <v>52</v>
      </c>
      <c r="J528" s="3" t="s">
        <v>53</v>
      </c>
      <c r="K528" s="3" t="s">
        <v>5</v>
      </c>
      <c r="L528" s="3" t="s">
        <v>6</v>
      </c>
      <c r="M528" s="3" t="s">
        <v>7</v>
      </c>
      <c r="N528" s="3" t="s">
        <v>8</v>
      </c>
      <c r="O528" s="3" t="s">
        <v>9</v>
      </c>
      <c r="P528" s="3" t="s">
        <v>10</v>
      </c>
      <c r="Q528" s="3" t="s">
        <v>11</v>
      </c>
      <c r="R528" s="3" t="s">
        <v>12</v>
      </c>
      <c r="S528" s="3" t="s">
        <v>13</v>
      </c>
      <c r="T528" s="3" t="s">
        <v>14</v>
      </c>
      <c r="U528" s="3" t="s">
        <v>15</v>
      </c>
      <c r="V528" s="3" t="s">
        <v>16</v>
      </c>
      <c r="W528" s="3" t="s">
        <v>17</v>
      </c>
      <c r="X528" s="3" t="s">
        <v>18</v>
      </c>
      <c r="Y528" s="3" t="s">
        <v>19</v>
      </c>
      <c r="Z528" s="3" t="s">
        <v>20</v>
      </c>
      <c r="AA528" s="3" t="s">
        <v>21</v>
      </c>
      <c r="AB528" s="3" t="s">
        <v>22</v>
      </c>
      <c r="AC528" s="4"/>
    </row>
    <row r="529" spans="1:29">
      <c r="A529" s="40" t="s">
        <v>102</v>
      </c>
      <c r="B529" s="41">
        <v>100</v>
      </c>
      <c r="C529" s="38">
        <f>B529*161/100</f>
        <v>161</v>
      </c>
      <c r="D529" s="39">
        <f>B529*1.99/100</f>
        <v>1.99</v>
      </c>
      <c r="E529" s="39">
        <f>B529*15.3/100</f>
        <v>15.3</v>
      </c>
      <c r="F529" s="39">
        <f>B529*2.44/100</f>
        <v>2.44</v>
      </c>
      <c r="G529" s="36"/>
      <c r="H529" s="36"/>
      <c r="I529" s="36"/>
      <c r="J529" s="39"/>
      <c r="K529" s="39">
        <f>B529*0/100</f>
        <v>0</v>
      </c>
      <c r="L529" s="39">
        <f>B529*7.4/100</f>
        <v>7.4</v>
      </c>
      <c r="M529" s="39">
        <f>B529*4.1/100</f>
        <v>4.0999999999999996</v>
      </c>
      <c r="N529" s="39">
        <f>B529*11/100</f>
        <v>11</v>
      </c>
      <c r="O529" s="36"/>
      <c r="P529" s="36"/>
      <c r="Q529" s="36"/>
      <c r="R529" s="39">
        <f>B529*1.03/100</f>
        <v>1.03</v>
      </c>
      <c r="S529" s="39">
        <f>B529*10/100</f>
        <v>10</v>
      </c>
      <c r="T529" s="39">
        <f>B529*599/100</f>
        <v>599</v>
      </c>
      <c r="U529" s="42"/>
      <c r="V529" s="42"/>
      <c r="W529" s="36"/>
      <c r="X529" s="39">
        <f>B529*0.011/100</f>
        <v>1.0999999999999999E-2</v>
      </c>
      <c r="Y529" s="42"/>
      <c r="Z529" s="42"/>
      <c r="AA529" s="39">
        <f>B529*1.92/100</f>
        <v>1.92</v>
      </c>
      <c r="AB529" s="39">
        <f>B529*7.9/100</f>
        <v>7.9</v>
      </c>
      <c r="AC529"/>
    </row>
    <row r="530" spans="1:29">
      <c r="A530" s="40" t="s">
        <v>103</v>
      </c>
      <c r="B530" s="41">
        <v>100</v>
      </c>
      <c r="C530" s="38">
        <f>B530*49/100</f>
        <v>49</v>
      </c>
      <c r="D530" s="39">
        <f>B530*0.39/100</f>
        <v>0.39</v>
      </c>
      <c r="E530" s="39">
        <f>B530*0.43/100</f>
        <v>0.43</v>
      </c>
      <c r="F530" s="39">
        <f>B530*0.03/100</f>
        <v>0.03</v>
      </c>
      <c r="G530" s="36"/>
      <c r="H530" s="36"/>
      <c r="I530" s="36"/>
      <c r="J530" s="39"/>
      <c r="K530" s="39">
        <f>B530*0/100</f>
        <v>0</v>
      </c>
      <c r="L530" s="39">
        <f>B530*12.4/100</f>
        <v>12.4</v>
      </c>
      <c r="M530" s="39">
        <f>B530*1.2/100</f>
        <v>1.2</v>
      </c>
      <c r="N530" s="39">
        <f>B530*7/100</f>
        <v>7</v>
      </c>
      <c r="O530" s="36"/>
      <c r="P530" s="36"/>
      <c r="Q530" s="36"/>
      <c r="R530" s="39">
        <f>B530*0.37/100</f>
        <v>0.37</v>
      </c>
      <c r="S530" s="39">
        <f>B530*1/100</f>
        <v>1</v>
      </c>
      <c r="T530" s="39">
        <f>B530*113/100</f>
        <v>113</v>
      </c>
      <c r="U530" s="42"/>
      <c r="V530" s="42"/>
      <c r="W530" s="36"/>
      <c r="X530" s="39">
        <f>B530*0.09/100</f>
        <v>0.09</v>
      </c>
      <c r="Y530" s="42"/>
      <c r="Z530" s="42"/>
      <c r="AA530" s="39">
        <f>B530*0.42/100</f>
        <v>0.42</v>
      </c>
      <c r="AB530" s="39">
        <f>B530*15.4/100</f>
        <v>15.4</v>
      </c>
      <c r="AC530"/>
    </row>
    <row r="531" spans="1:29">
      <c r="A531" s="40" t="s">
        <v>104</v>
      </c>
      <c r="B531" s="41">
        <v>100</v>
      </c>
      <c r="C531" s="38">
        <f>B531*40/100</f>
        <v>40</v>
      </c>
      <c r="D531" s="39">
        <f>B531*1.2/100</f>
        <v>1.2</v>
      </c>
      <c r="E531" s="39">
        <f>B531*0.3/100</f>
        <v>0.3</v>
      </c>
      <c r="F531" s="39">
        <v>0</v>
      </c>
      <c r="G531" s="36"/>
      <c r="H531" s="36"/>
      <c r="I531" s="36"/>
      <c r="J531" s="39"/>
      <c r="K531" s="39">
        <v>0</v>
      </c>
      <c r="L531" s="39">
        <f>B531*9.8/100</f>
        <v>9.8000000000000007</v>
      </c>
      <c r="M531" s="39">
        <f>B531*0.6/100</f>
        <v>0.6</v>
      </c>
      <c r="N531" s="39">
        <f>B531*12/100</f>
        <v>12</v>
      </c>
      <c r="O531" s="36"/>
      <c r="P531" s="36"/>
      <c r="Q531" s="36"/>
      <c r="R531" s="39">
        <f>B531*0.7/100</f>
        <v>0.7</v>
      </c>
      <c r="S531" s="39">
        <v>0</v>
      </c>
      <c r="T531" s="39">
        <v>0</v>
      </c>
      <c r="U531" s="42"/>
      <c r="V531" s="42"/>
      <c r="W531" s="36"/>
      <c r="X531" s="39">
        <f>B531*0.05/100</f>
        <v>0.05</v>
      </c>
      <c r="Y531" s="42"/>
      <c r="Z531" s="42"/>
      <c r="AA531" s="39">
        <f>B531*0.6/100</f>
        <v>0.6</v>
      </c>
      <c r="AB531" s="39">
        <f>B531*42/100</f>
        <v>42</v>
      </c>
      <c r="AC531"/>
    </row>
    <row r="532" spans="1:29">
      <c r="A532" s="40" t="s">
        <v>105</v>
      </c>
      <c r="B532" s="41">
        <v>100</v>
      </c>
      <c r="C532" s="38">
        <f>B532*20/100</f>
        <v>20</v>
      </c>
      <c r="D532" s="39">
        <f>B532*0.73/100</f>
        <v>0.73</v>
      </c>
      <c r="E532" s="39">
        <f>B532*0.08/100</f>
        <v>0.08</v>
      </c>
      <c r="F532" s="39">
        <f>B532*0.04/100</f>
        <v>0.04</v>
      </c>
      <c r="G532" s="36"/>
      <c r="H532" s="36"/>
      <c r="I532" s="36"/>
      <c r="J532" s="39"/>
      <c r="K532" s="39">
        <f t="shared" ref="K532:K538" si="4">B532*0/100</f>
        <v>0</v>
      </c>
      <c r="L532" s="39">
        <f>B532*4.88/100</f>
        <v>4.88</v>
      </c>
      <c r="M532" s="39">
        <f>B532*0.92/100</f>
        <v>0.92</v>
      </c>
      <c r="N532" s="39">
        <f>B532*15.97/100</f>
        <v>15.97</v>
      </c>
      <c r="O532" s="36"/>
      <c r="P532" s="36"/>
      <c r="Q532" s="36"/>
      <c r="R532" s="39">
        <f>B532*0.61/100</f>
        <v>0.61</v>
      </c>
      <c r="S532" s="39">
        <f>B532*172.93/100</f>
        <v>172.93</v>
      </c>
      <c r="T532" s="39">
        <f>B532*231.07/100</f>
        <v>231.07</v>
      </c>
      <c r="U532" s="42"/>
      <c r="V532" s="42"/>
      <c r="W532" s="36"/>
      <c r="X532" s="39">
        <f>B532*0.03/100</f>
        <v>0.03</v>
      </c>
      <c r="Y532" s="42"/>
      <c r="Z532" s="42"/>
      <c r="AA532" s="39">
        <f>B532*0.42/100</f>
        <v>0.42</v>
      </c>
      <c r="AB532" s="39">
        <f>B532*5.67/100</f>
        <v>5.67</v>
      </c>
      <c r="AC532"/>
    </row>
    <row r="533" spans="1:29">
      <c r="A533" s="40" t="s">
        <v>106</v>
      </c>
      <c r="B533" s="41">
        <v>100</v>
      </c>
      <c r="C533" s="38">
        <f>B533*20/100</f>
        <v>20</v>
      </c>
      <c r="D533" s="39">
        <f>B533*0.91/100</f>
        <v>0.91</v>
      </c>
      <c r="E533" s="39">
        <f>B533*0.31/100</f>
        <v>0.31</v>
      </c>
      <c r="F533" s="39">
        <f>B533*0.06/100</f>
        <v>0.06</v>
      </c>
      <c r="G533" s="36"/>
      <c r="H533" s="36"/>
      <c r="I533" s="36"/>
      <c r="J533" s="39"/>
      <c r="K533" s="39">
        <f t="shared" si="4"/>
        <v>0</v>
      </c>
      <c r="L533" s="39">
        <f>B533*4.32/100</f>
        <v>4.32</v>
      </c>
      <c r="M533" s="39">
        <f>B533*1.4/100</f>
        <v>1.4</v>
      </c>
      <c r="N533" s="39">
        <f>B533*27/100</f>
        <v>27</v>
      </c>
      <c r="O533" s="36"/>
      <c r="P533" s="36"/>
      <c r="Q533" s="36"/>
      <c r="R533" s="39">
        <f>B533*0.36/100</f>
        <v>0.36</v>
      </c>
      <c r="S533" s="39">
        <f>B533*1/100</f>
        <v>1</v>
      </c>
      <c r="T533" s="39">
        <f>B533*192/100</f>
        <v>192</v>
      </c>
      <c r="U533" s="42"/>
      <c r="V533" s="42"/>
      <c r="W533" s="36"/>
      <c r="X533" s="39">
        <f>B533*0.04/100</f>
        <v>0.04</v>
      </c>
      <c r="Y533" s="42"/>
      <c r="Z533" s="42"/>
      <c r="AA533" s="39">
        <f>B533*0.51/100</f>
        <v>0.51</v>
      </c>
      <c r="AB533" s="39">
        <f>B533*5.5/100</f>
        <v>5.5</v>
      </c>
      <c r="AC533"/>
    </row>
    <row r="534" spans="1:29">
      <c r="A534" s="40" t="s">
        <v>107</v>
      </c>
      <c r="B534" s="41">
        <v>100</v>
      </c>
      <c r="C534" s="38">
        <f>B534*20/100</f>
        <v>20</v>
      </c>
      <c r="D534" s="39">
        <f>B534*1.2/100</f>
        <v>1.2</v>
      </c>
      <c r="E534" s="39">
        <f>B534*0.2/100</f>
        <v>0.2</v>
      </c>
      <c r="F534" s="39">
        <f>B534*0.04/100</f>
        <v>0.04</v>
      </c>
      <c r="G534" s="36"/>
      <c r="H534" s="36"/>
      <c r="I534" s="36"/>
      <c r="J534" s="39"/>
      <c r="K534" s="39">
        <f t="shared" si="4"/>
        <v>0</v>
      </c>
      <c r="L534" s="39">
        <f>B534*4.4/100</f>
        <v>4.4000000000000004</v>
      </c>
      <c r="M534" s="39">
        <f>B534*1.9/100</f>
        <v>1.9</v>
      </c>
      <c r="N534" s="39">
        <f>B534*20/100</f>
        <v>20</v>
      </c>
      <c r="O534" s="36"/>
      <c r="P534" s="36"/>
      <c r="Q534" s="36"/>
      <c r="R534" s="39">
        <f>B534*0.5/100</f>
        <v>0.5</v>
      </c>
      <c r="S534" s="39">
        <f>B534*2/100</f>
        <v>2</v>
      </c>
      <c r="T534" s="39">
        <f>B534*195/100</f>
        <v>195</v>
      </c>
      <c r="U534" s="42"/>
      <c r="V534" s="42"/>
      <c r="W534" s="36"/>
      <c r="X534" s="39">
        <f>B534*0.06/100</f>
        <v>0.06</v>
      </c>
      <c r="Y534" s="42"/>
      <c r="Z534" s="42"/>
      <c r="AA534" s="39">
        <f>B534*0.7/100</f>
        <v>0.7</v>
      </c>
      <c r="AB534" s="39">
        <f>B534*14.8/100</f>
        <v>14.8</v>
      </c>
      <c r="AC534"/>
    </row>
    <row r="535" spans="1:29">
      <c r="A535" s="40" t="s">
        <v>108</v>
      </c>
      <c r="B535" s="41">
        <v>100</v>
      </c>
      <c r="C535" s="38">
        <f>B535*19/100</f>
        <v>19</v>
      </c>
      <c r="D535" s="39">
        <f>B535*1.81/100</f>
        <v>1.81</v>
      </c>
      <c r="E535" s="39">
        <f>B535*0.2/100</f>
        <v>0.2</v>
      </c>
      <c r="F535" s="39">
        <f>B535*0.04/100</f>
        <v>0.04</v>
      </c>
      <c r="G535" s="36"/>
      <c r="H535" s="36"/>
      <c r="I535" s="36"/>
      <c r="J535" s="39"/>
      <c r="K535" s="39">
        <f t="shared" si="4"/>
        <v>0</v>
      </c>
      <c r="L535" s="39">
        <f>B535*3.75/100</f>
        <v>3.75</v>
      </c>
      <c r="M535" s="39">
        <f>B535*1.6/100</f>
        <v>1.6</v>
      </c>
      <c r="N535" s="39">
        <f>B535*51/100</f>
        <v>51</v>
      </c>
      <c r="O535" s="36"/>
      <c r="P535" s="36"/>
      <c r="Q535" s="36"/>
      <c r="R535" s="39">
        <f>B535*1.8/100</f>
        <v>1.8</v>
      </c>
      <c r="S535" s="39">
        <f>B535*213/100</f>
        <v>213</v>
      </c>
      <c r="T535" s="39">
        <f>B535*379/100</f>
        <v>379</v>
      </c>
      <c r="U535" s="42"/>
      <c r="V535" s="42"/>
      <c r="W535" s="36"/>
      <c r="X535" s="39">
        <f>B535*0.04/100</f>
        <v>0.04</v>
      </c>
      <c r="Y535" s="42"/>
      <c r="Z535" s="42"/>
      <c r="AA535" s="39">
        <f>B535*0.4/100</f>
        <v>0.4</v>
      </c>
      <c r="AB535" s="39">
        <f>B535*30/100</f>
        <v>30</v>
      </c>
      <c r="AC535"/>
    </row>
    <row r="536" spans="1:29">
      <c r="A536" s="40" t="s">
        <v>109</v>
      </c>
      <c r="B536" s="41">
        <v>100</v>
      </c>
      <c r="C536" s="38">
        <f>B536*388.88/100</f>
        <v>388.88</v>
      </c>
      <c r="D536" s="39">
        <f>B536*11.1/100</f>
        <v>11.1</v>
      </c>
      <c r="E536" s="39">
        <f>B536*5.55/100</f>
        <v>5.55</v>
      </c>
      <c r="F536" s="39">
        <f>B536*0.04/100</f>
        <v>0.04</v>
      </c>
      <c r="G536" s="36"/>
      <c r="H536" s="36"/>
      <c r="I536" s="36"/>
      <c r="J536" s="39"/>
      <c r="K536" s="39">
        <f t="shared" si="4"/>
        <v>0</v>
      </c>
      <c r="L536" s="39">
        <f>B536*66.6/100</f>
        <v>66.599999999999994</v>
      </c>
      <c r="M536" s="39">
        <f>B536*0/100</f>
        <v>0</v>
      </c>
      <c r="N536" s="39">
        <f>B536*89.77/100</f>
        <v>89.77</v>
      </c>
      <c r="O536" s="36"/>
      <c r="P536" s="36"/>
      <c r="Q536" s="36"/>
      <c r="R536" s="39">
        <v>10.44</v>
      </c>
      <c r="S536" s="39">
        <f>B536*0/100</f>
        <v>0</v>
      </c>
      <c r="T536" s="39">
        <f>B536*0/100</f>
        <v>0</v>
      </c>
      <c r="U536" s="42"/>
      <c r="V536" s="42"/>
      <c r="W536" s="36"/>
      <c r="X536" s="39">
        <f>B536*0.04/100</f>
        <v>0.04</v>
      </c>
      <c r="Y536" s="42"/>
      <c r="Z536" s="42"/>
      <c r="AA536" s="39">
        <f>B536*0/100</f>
        <v>0</v>
      </c>
      <c r="AB536" s="39">
        <f>B536*0/100</f>
        <v>0</v>
      </c>
      <c r="AC536"/>
    </row>
    <row r="537" spans="1:29">
      <c r="A537" s="40" t="s">
        <v>110</v>
      </c>
      <c r="B537" s="41">
        <v>100</v>
      </c>
      <c r="C537" s="38">
        <f>B537*357/100</f>
        <v>357</v>
      </c>
      <c r="D537" s="39">
        <f>B537*7.1/100</f>
        <v>7.1</v>
      </c>
      <c r="E537" s="39">
        <f>B537*0/100</f>
        <v>0</v>
      </c>
      <c r="F537" s="39">
        <f>B537*0.04/100</f>
        <v>0.04</v>
      </c>
      <c r="G537" s="36"/>
      <c r="H537" s="36"/>
      <c r="I537" s="36"/>
      <c r="J537" s="39"/>
      <c r="K537" s="39">
        <f t="shared" si="4"/>
        <v>0</v>
      </c>
      <c r="L537" s="39">
        <f>B537*71/100</f>
        <v>71</v>
      </c>
      <c r="M537" s="39">
        <f>B537*0/100</f>
        <v>0</v>
      </c>
      <c r="N537" s="39">
        <f>B537*128.6/100</f>
        <v>128.6</v>
      </c>
      <c r="O537" s="36"/>
      <c r="P537" s="36"/>
      <c r="Q537" s="36"/>
      <c r="R537" s="39">
        <f>B537*4.57/100</f>
        <v>4.57</v>
      </c>
      <c r="S537" s="39">
        <f>B537*0/100</f>
        <v>0</v>
      </c>
      <c r="T537" s="39">
        <f>B537*0/100</f>
        <v>0</v>
      </c>
      <c r="U537" s="42"/>
      <c r="V537" s="42"/>
      <c r="W537" s="36"/>
      <c r="X537" s="39">
        <f>B537*0.04/100</f>
        <v>0.04</v>
      </c>
      <c r="Y537" s="42"/>
      <c r="Z537" s="42"/>
      <c r="AA537" s="39">
        <f>B537*0/100</f>
        <v>0</v>
      </c>
      <c r="AB537" s="39">
        <f>B537*0/100</f>
        <v>0</v>
      </c>
      <c r="AC537"/>
    </row>
    <row r="538" spans="1:29">
      <c r="A538" s="40" t="s">
        <v>111</v>
      </c>
      <c r="B538" s="41">
        <v>100</v>
      </c>
      <c r="C538" s="38">
        <f>B538*387/100</f>
        <v>387</v>
      </c>
      <c r="D538" s="39">
        <f>B538*0/100</f>
        <v>0</v>
      </c>
      <c r="E538" s="39">
        <f>B538*0/100</f>
        <v>0</v>
      </c>
      <c r="F538" s="39">
        <f>B538*0/100</f>
        <v>0</v>
      </c>
      <c r="G538" s="36"/>
      <c r="H538" s="36"/>
      <c r="I538" s="36"/>
      <c r="J538" s="39"/>
      <c r="K538" s="39">
        <f t="shared" si="4"/>
        <v>0</v>
      </c>
      <c r="L538" s="39">
        <f>B538*99.9/100</f>
        <v>99.9</v>
      </c>
      <c r="M538" s="39">
        <f>B538*0/100</f>
        <v>0</v>
      </c>
      <c r="N538" s="39">
        <f>B538*1/100</f>
        <v>1</v>
      </c>
      <c r="O538" s="36"/>
      <c r="P538" s="36"/>
      <c r="Q538" s="36"/>
      <c r="R538" s="39">
        <f>B538*0.06/100</f>
        <v>0.06</v>
      </c>
      <c r="S538" s="39">
        <f>B538*1/100</f>
        <v>1</v>
      </c>
      <c r="T538" s="39">
        <f>B538*2/100</f>
        <v>2</v>
      </c>
      <c r="U538" s="42"/>
      <c r="V538" s="42"/>
      <c r="W538" s="36"/>
      <c r="X538" s="39">
        <f>B538*0/100</f>
        <v>0</v>
      </c>
      <c r="Y538" s="42"/>
      <c r="Z538" s="42"/>
      <c r="AA538" s="39">
        <f>B538*0/100</f>
        <v>0</v>
      </c>
      <c r="AB538" s="39">
        <f>B538*0/100</f>
        <v>0</v>
      </c>
      <c r="AC538"/>
    </row>
    <row r="539" spans="1:29">
      <c r="A539" s="40" t="s">
        <v>112</v>
      </c>
      <c r="B539" s="41">
        <v>100</v>
      </c>
      <c r="C539" s="41">
        <f>B539*376/100</f>
        <v>376</v>
      </c>
      <c r="D539" s="41">
        <v>0</v>
      </c>
      <c r="E539" s="41">
        <v>0</v>
      </c>
      <c r="F539" s="41">
        <v>0</v>
      </c>
      <c r="G539" s="36"/>
      <c r="H539" s="36"/>
      <c r="I539" s="36"/>
      <c r="J539" s="41"/>
      <c r="K539" s="41">
        <v>0</v>
      </c>
      <c r="L539" s="41">
        <f>B539*97.3/100</f>
        <v>97.3</v>
      </c>
      <c r="M539" s="41">
        <v>0</v>
      </c>
      <c r="N539" s="41">
        <f>B539*85/100</f>
        <v>85</v>
      </c>
      <c r="O539" s="36"/>
      <c r="P539" s="36"/>
      <c r="Q539" s="36"/>
      <c r="R539" s="41">
        <f>B539*1.9/100</f>
        <v>1.9</v>
      </c>
      <c r="S539" s="41">
        <f>B539*39/100</f>
        <v>39</v>
      </c>
      <c r="T539" s="41">
        <f>B539*346/100</f>
        <v>346</v>
      </c>
      <c r="U539" s="42"/>
      <c r="V539" s="42"/>
      <c r="W539" s="36"/>
      <c r="X539" s="41">
        <f>B539*0.01/100</f>
        <v>0.01</v>
      </c>
      <c r="Y539" s="42"/>
      <c r="Z539" s="42"/>
      <c r="AA539" s="41">
        <f>B539*0.08/100</f>
        <v>0.08</v>
      </c>
      <c r="AB539" s="41">
        <v>0</v>
      </c>
      <c r="AC539"/>
    </row>
    <row r="540" spans="1:29">
      <c r="A540" s="40" t="s">
        <v>113</v>
      </c>
      <c r="B540" s="41">
        <v>100</v>
      </c>
      <c r="C540" s="41">
        <f>B540*360/100</f>
        <v>360</v>
      </c>
      <c r="D540" s="41">
        <v>0</v>
      </c>
      <c r="E540" s="41">
        <v>0</v>
      </c>
      <c r="F540" s="41">
        <v>0</v>
      </c>
      <c r="G540" s="36"/>
      <c r="H540" s="36"/>
      <c r="I540" s="36"/>
      <c r="J540" s="41"/>
      <c r="K540" s="41">
        <v>0</v>
      </c>
      <c r="L540" s="41">
        <f>B540*90/100</f>
        <v>90</v>
      </c>
      <c r="M540" s="41">
        <v>0</v>
      </c>
      <c r="N540" s="41">
        <v>0</v>
      </c>
      <c r="O540" s="36"/>
      <c r="P540" s="36"/>
      <c r="Q540" s="36"/>
      <c r="R540" s="41">
        <v>0</v>
      </c>
      <c r="S540" s="41">
        <v>0</v>
      </c>
      <c r="T540" s="41">
        <v>0</v>
      </c>
      <c r="U540" s="42"/>
      <c r="V540" s="42"/>
      <c r="W540" s="36"/>
      <c r="X540" s="41">
        <v>0</v>
      </c>
      <c r="Y540" s="42"/>
      <c r="Z540" s="42"/>
      <c r="AA540" s="41">
        <v>0</v>
      </c>
      <c r="AB540" s="41">
        <v>0</v>
      </c>
      <c r="AC540"/>
    </row>
    <row r="541" spans="1:29">
      <c r="A541" s="40" t="s">
        <v>114</v>
      </c>
      <c r="B541" s="41">
        <v>100</v>
      </c>
      <c r="C541" s="41">
        <f>B541*400/100</f>
        <v>400</v>
      </c>
      <c r="D541" s="41">
        <v>0</v>
      </c>
      <c r="E541" s="41">
        <v>0</v>
      </c>
      <c r="F541" s="41">
        <v>0</v>
      </c>
      <c r="G541" s="36"/>
      <c r="H541" s="36"/>
      <c r="I541" s="36"/>
      <c r="J541" s="41"/>
      <c r="K541" s="41">
        <v>0</v>
      </c>
      <c r="L541" s="41">
        <f>B541*100/100</f>
        <v>100</v>
      </c>
      <c r="M541" s="41">
        <v>0</v>
      </c>
      <c r="N541" s="41">
        <v>0</v>
      </c>
      <c r="O541" s="36"/>
      <c r="P541" s="36"/>
      <c r="Q541" s="36"/>
      <c r="R541" s="41">
        <v>0</v>
      </c>
      <c r="S541" s="41">
        <v>0</v>
      </c>
      <c r="T541" s="41">
        <v>0</v>
      </c>
      <c r="U541" s="42"/>
      <c r="V541" s="42"/>
      <c r="W541" s="36"/>
      <c r="X541" s="41">
        <v>0</v>
      </c>
      <c r="Y541" s="42"/>
      <c r="Z541" s="42"/>
      <c r="AA541" s="41">
        <v>0</v>
      </c>
      <c r="AB541" s="41">
        <v>0</v>
      </c>
      <c r="AC541"/>
    </row>
    <row r="542" spans="1:29">
      <c r="A542" s="40" t="s">
        <v>115</v>
      </c>
      <c r="B542" s="41">
        <v>100</v>
      </c>
      <c r="C542" s="41">
        <f>B542*390/100</f>
        <v>390</v>
      </c>
      <c r="D542" s="39">
        <f>B542*2.5/100</f>
        <v>2.5</v>
      </c>
      <c r="E542" s="41">
        <v>0</v>
      </c>
      <c r="F542" s="41">
        <v>0</v>
      </c>
      <c r="G542" s="36"/>
      <c r="H542" s="36"/>
      <c r="I542" s="36"/>
      <c r="J542" s="41"/>
      <c r="K542" s="41">
        <v>0</v>
      </c>
      <c r="L542" s="41">
        <f>B542*95.5/100</f>
        <v>95.5</v>
      </c>
      <c r="M542" s="41">
        <v>0</v>
      </c>
      <c r="N542" s="41">
        <v>0</v>
      </c>
      <c r="O542" s="36"/>
      <c r="P542" s="36"/>
      <c r="Q542" s="36"/>
      <c r="R542" s="41">
        <v>0</v>
      </c>
      <c r="S542" s="41">
        <f>B542*1250/100</f>
        <v>1250</v>
      </c>
      <c r="T542" s="41">
        <v>0</v>
      </c>
      <c r="U542" s="42"/>
      <c r="V542" s="42"/>
      <c r="W542" s="36"/>
      <c r="X542" s="41">
        <v>0</v>
      </c>
      <c r="Y542" s="42"/>
      <c r="Z542" s="42"/>
      <c r="AA542" s="41">
        <v>0</v>
      </c>
      <c r="AB542" s="41">
        <v>0</v>
      </c>
      <c r="AC542"/>
    </row>
    <row r="543" spans="1:29">
      <c r="A543" s="40" t="s">
        <v>116</v>
      </c>
      <c r="B543" s="41">
        <v>100</v>
      </c>
      <c r="C543" s="38">
        <f>B543*367/100</f>
        <v>367</v>
      </c>
      <c r="D543" s="39">
        <v>0</v>
      </c>
      <c r="E543" s="39">
        <v>0</v>
      </c>
      <c r="F543" s="39">
        <v>0</v>
      </c>
      <c r="G543" s="36"/>
      <c r="H543" s="36"/>
      <c r="I543" s="36"/>
      <c r="J543" s="39"/>
      <c r="K543" s="39">
        <v>0</v>
      </c>
      <c r="L543" s="39">
        <v>0</v>
      </c>
      <c r="M543" s="39">
        <v>0</v>
      </c>
      <c r="N543" s="39">
        <v>0</v>
      </c>
      <c r="O543" s="36"/>
      <c r="P543" s="36"/>
      <c r="Q543" s="36"/>
      <c r="R543" s="39">
        <v>0</v>
      </c>
      <c r="S543" s="39">
        <v>0</v>
      </c>
      <c r="T543" s="39">
        <v>0</v>
      </c>
      <c r="U543" s="42"/>
      <c r="V543" s="42"/>
      <c r="W543" s="36"/>
      <c r="X543" s="39">
        <v>0</v>
      </c>
      <c r="Y543" s="42"/>
      <c r="Z543" s="42"/>
      <c r="AA543" s="39">
        <v>0</v>
      </c>
      <c r="AB543" s="39">
        <v>0</v>
      </c>
      <c r="AC543"/>
    </row>
    <row r="544" spans="1:29">
      <c r="A544" s="43" t="s">
        <v>117</v>
      </c>
      <c r="B544" s="41">
        <v>100</v>
      </c>
      <c r="C544" s="38">
        <f>B544*17.22/100</f>
        <v>17.22</v>
      </c>
      <c r="D544" s="39">
        <f>B544*1.6/100</f>
        <v>1.6</v>
      </c>
      <c r="E544" s="39">
        <f>B544*0.3/100</f>
        <v>0.3</v>
      </c>
      <c r="F544" s="39">
        <f>B544*0/100</f>
        <v>0</v>
      </c>
      <c r="G544" s="36"/>
      <c r="H544" s="36"/>
      <c r="I544" s="36"/>
      <c r="J544" s="39"/>
      <c r="K544" s="39">
        <f>B544*0/100</f>
        <v>0</v>
      </c>
      <c r="L544" s="39">
        <f>B544*2.03/100</f>
        <v>2.0299999999999998</v>
      </c>
      <c r="M544" s="39">
        <f>B544*1.47/100</f>
        <v>1.47</v>
      </c>
      <c r="N544" s="39">
        <f>B544*180/100</f>
        <v>180</v>
      </c>
      <c r="O544" s="36"/>
      <c r="P544" s="36"/>
      <c r="Q544" s="36"/>
      <c r="R544" s="39">
        <f>B544*3.14/100</f>
        <v>3.14</v>
      </c>
      <c r="S544" s="39">
        <f>B544*12/100</f>
        <v>12</v>
      </c>
      <c r="T544" s="39">
        <f>B544*276/100</f>
        <v>276</v>
      </c>
      <c r="U544" s="42"/>
      <c r="V544" s="42"/>
      <c r="W544" s="36"/>
      <c r="X544" s="39">
        <f>B544*0.085/100</f>
        <v>8.5000000000000006E-2</v>
      </c>
      <c r="Y544" s="42"/>
      <c r="Z544" s="42"/>
      <c r="AA544" s="39">
        <f>B544*0.65/100</f>
        <v>0.65</v>
      </c>
      <c r="AB544" s="39">
        <f>B544*51/100</f>
        <v>51</v>
      </c>
      <c r="AC544"/>
    </row>
    <row r="545" spans="1:29">
      <c r="A545" s="40" t="s">
        <v>118</v>
      </c>
      <c r="B545" s="41">
        <v>100</v>
      </c>
      <c r="C545" s="38">
        <f>B545*19/100</f>
        <v>19</v>
      </c>
      <c r="D545" s="39">
        <f>B545*0.72/100</f>
        <v>0.72</v>
      </c>
      <c r="E545" s="39">
        <f>B545*0.2/100</f>
        <v>0.2</v>
      </c>
      <c r="F545" s="39">
        <f>B545*0.18/100</f>
        <v>0.18</v>
      </c>
      <c r="G545" s="36"/>
      <c r="H545" s="36"/>
      <c r="I545" s="36"/>
      <c r="J545" s="39"/>
      <c r="K545" s="39">
        <f>B545*0/100</f>
        <v>0</v>
      </c>
      <c r="L545" s="39">
        <f>B545*3.72/100</f>
        <v>3.72</v>
      </c>
      <c r="M545" s="39">
        <f>B545*1.11/100</f>
        <v>1.1100000000000001</v>
      </c>
      <c r="N545" s="39">
        <f>B545*24/100</f>
        <v>24</v>
      </c>
      <c r="O545" s="36"/>
      <c r="P545" s="36"/>
      <c r="Q545" s="36"/>
      <c r="R545" s="39">
        <f>B545*0.29/100</f>
        <v>0.28999999999999998</v>
      </c>
      <c r="S545" s="39">
        <f>B545*105/100</f>
        <v>105</v>
      </c>
      <c r="T545" s="39">
        <f>B545*250/100</f>
        <v>250</v>
      </c>
      <c r="U545" s="42"/>
      <c r="V545" s="42"/>
      <c r="W545" s="36"/>
      <c r="X545" s="39">
        <f>B545*0.03/100</f>
        <v>0.03</v>
      </c>
      <c r="Y545" s="42"/>
      <c r="Z545" s="42"/>
      <c r="AA545" s="39">
        <f>B545*0.08/100</f>
        <v>0.08</v>
      </c>
      <c r="AB545" s="39">
        <f>B545*2.4/100</f>
        <v>2.4</v>
      </c>
      <c r="AC545"/>
    </row>
    <row r="546" spans="1:29">
      <c r="A546" s="40" t="s">
        <v>119</v>
      </c>
      <c r="B546" s="41">
        <v>100</v>
      </c>
      <c r="C546" s="38">
        <f>B546*16/100</f>
        <v>16</v>
      </c>
      <c r="D546" s="39">
        <f>B546*1/100</f>
        <v>1</v>
      </c>
      <c r="E546" s="39">
        <f>B546*0.1/100</f>
        <v>0.1</v>
      </c>
      <c r="F546" s="39">
        <f>B546*0.04/100</f>
        <v>0.04</v>
      </c>
      <c r="G546" s="36"/>
      <c r="H546" s="36"/>
      <c r="I546" s="36"/>
      <c r="J546" s="39"/>
      <c r="K546" s="39">
        <v>0</v>
      </c>
      <c r="L546" s="39">
        <f>B546*4/100</f>
        <v>4</v>
      </c>
      <c r="M546" s="39">
        <f>B546*1.5/100</f>
        <v>1.5</v>
      </c>
      <c r="N546" s="39">
        <f>B546*40/100</f>
        <v>40</v>
      </c>
      <c r="O546" s="36"/>
      <c r="P546" s="36"/>
      <c r="Q546" s="36"/>
      <c r="R546" s="39">
        <f>B546*0.4/100</f>
        <v>0.4</v>
      </c>
      <c r="S546" s="39">
        <f>B546*87/100</f>
        <v>87</v>
      </c>
      <c r="T546" s="39">
        <f>B546*287/100</f>
        <v>287</v>
      </c>
      <c r="U546" s="42"/>
      <c r="V546" s="42"/>
      <c r="W546" s="36"/>
      <c r="X546" s="39">
        <f>B546*0.05/100</f>
        <v>0.05</v>
      </c>
      <c r="Y546" s="42"/>
      <c r="Z546" s="42"/>
      <c r="AA546" s="39">
        <f>B546*0.3/100</f>
        <v>0.3</v>
      </c>
      <c r="AB546" s="39">
        <f>B546*7/100</f>
        <v>7</v>
      </c>
      <c r="AC546"/>
    </row>
    <row r="547" spans="1:29">
      <c r="A547" s="40" t="s">
        <v>120</v>
      </c>
      <c r="B547" s="41">
        <v>25</v>
      </c>
      <c r="C547" s="38">
        <v>0</v>
      </c>
      <c r="D547" s="39">
        <v>0</v>
      </c>
      <c r="E547" s="39">
        <v>0</v>
      </c>
      <c r="F547" s="39">
        <v>0</v>
      </c>
      <c r="G547" s="36"/>
      <c r="H547" s="36"/>
      <c r="I547" s="36"/>
      <c r="J547" s="39"/>
      <c r="K547" s="39">
        <v>0</v>
      </c>
      <c r="L547" s="39">
        <v>0</v>
      </c>
      <c r="M547" s="39">
        <v>0</v>
      </c>
      <c r="N547" s="39">
        <v>0</v>
      </c>
      <c r="O547" s="36"/>
      <c r="P547" s="36"/>
      <c r="Q547" s="36"/>
      <c r="R547" s="39">
        <f>B547*0.25/25</f>
        <v>0.25</v>
      </c>
      <c r="S547" s="39">
        <f>B547*440/25</f>
        <v>440</v>
      </c>
      <c r="T547" s="39">
        <v>0</v>
      </c>
      <c r="U547" s="42"/>
      <c r="V547" s="42"/>
      <c r="W547" s="36"/>
      <c r="X547" s="39">
        <v>0</v>
      </c>
      <c r="Y547" s="42"/>
      <c r="Z547" s="42"/>
      <c r="AA547" s="39">
        <v>0</v>
      </c>
      <c r="AB547" s="39">
        <v>0</v>
      </c>
      <c r="AC547"/>
    </row>
    <row r="548" spans="1:29">
      <c r="A548" s="40" t="s">
        <v>121</v>
      </c>
      <c r="B548" s="41">
        <v>100</v>
      </c>
      <c r="C548" s="38">
        <f>B548*331/100</f>
        <v>331</v>
      </c>
      <c r="D548" s="39">
        <f>B548*5/100</f>
        <v>5</v>
      </c>
      <c r="E548" s="39">
        <f>B548*15/100</f>
        <v>15</v>
      </c>
      <c r="F548" s="39">
        <v>0</v>
      </c>
      <c r="G548" s="36"/>
      <c r="H548" s="36"/>
      <c r="I548" s="36"/>
      <c r="J548" s="39"/>
      <c r="K548" s="39">
        <v>0</v>
      </c>
      <c r="L548" s="39">
        <f>B548*64/100</f>
        <v>64</v>
      </c>
      <c r="M548" s="39">
        <f>B548*35/100</f>
        <v>35</v>
      </c>
      <c r="N548" s="39">
        <f>B548*1280/100</f>
        <v>1280</v>
      </c>
      <c r="O548" s="36"/>
      <c r="P548" s="36"/>
      <c r="Q548" s="36"/>
      <c r="R548" s="39">
        <f>B548*29.3/100</f>
        <v>29.3</v>
      </c>
      <c r="S548" s="39">
        <f>B548*49.5/100</f>
        <v>49.5</v>
      </c>
      <c r="T548" s="39">
        <f>B548*955/100</f>
        <v>955</v>
      </c>
      <c r="U548" s="42"/>
      <c r="V548" s="42"/>
      <c r="W548" s="36"/>
      <c r="X548" s="39">
        <f>B548*0.5/100</f>
        <v>0.5</v>
      </c>
      <c r="Y548" s="42"/>
      <c r="Z548" s="42"/>
      <c r="AA548" s="39">
        <f>B548*1/100</f>
        <v>1</v>
      </c>
      <c r="AB548" s="39">
        <f>B548*61/100</f>
        <v>61</v>
      </c>
      <c r="AC548"/>
    </row>
    <row r="549" spans="1:29">
      <c r="A549" s="40" t="s">
        <v>122</v>
      </c>
      <c r="B549" s="41">
        <v>100</v>
      </c>
      <c r="C549" s="38">
        <f>B549*18/100</f>
        <v>18</v>
      </c>
      <c r="D549" s="39">
        <f>B549*1.31/100</f>
        <v>1.31</v>
      </c>
      <c r="E549" s="39">
        <f>B549*0.3/100</f>
        <v>0.3</v>
      </c>
      <c r="F549" s="39">
        <f>B549*0.04/100</f>
        <v>0.04</v>
      </c>
      <c r="G549" s="36"/>
      <c r="H549" s="36"/>
      <c r="I549" s="36"/>
      <c r="J549" s="39"/>
      <c r="K549" s="39">
        <f>B549*0/100</f>
        <v>0</v>
      </c>
      <c r="L549" s="39">
        <f>B549*3.51/100</f>
        <v>3.51</v>
      </c>
      <c r="M549" s="39">
        <f>B549*1.27/100</f>
        <v>1.27</v>
      </c>
      <c r="N549" s="39">
        <f>B549*68/100</f>
        <v>68</v>
      </c>
      <c r="O549" s="36"/>
      <c r="P549" s="36"/>
      <c r="Q549" s="36"/>
      <c r="R549" s="39">
        <f>B549*1.4/100</f>
        <v>1.4</v>
      </c>
      <c r="S549" s="39">
        <f>B549*9/100</f>
        <v>9</v>
      </c>
      <c r="T549" s="39">
        <f>B549*264/100</f>
        <v>264</v>
      </c>
      <c r="U549" s="42"/>
      <c r="V549" s="42"/>
      <c r="W549" s="36"/>
      <c r="X549" s="39">
        <f>B549*0.05/100</f>
        <v>0.05</v>
      </c>
      <c r="Y549" s="42"/>
      <c r="Z549" s="42"/>
      <c r="AA549" s="39">
        <f>B549*0.4/100</f>
        <v>0.4</v>
      </c>
      <c r="AB549" s="39">
        <f>B549*18/100</f>
        <v>18</v>
      </c>
      <c r="AC549"/>
    </row>
    <row r="550" spans="1:29">
      <c r="A550" s="40" t="s">
        <v>123</v>
      </c>
      <c r="B550" s="41">
        <v>100</v>
      </c>
      <c r="C550" s="38">
        <f>B550*256/100</f>
        <v>256</v>
      </c>
      <c r="D550" s="39">
        <f>B550*19.5/100</f>
        <v>19.5</v>
      </c>
      <c r="E550" s="39">
        <f>B550*15.96/100</f>
        <v>15.96</v>
      </c>
      <c r="F550" s="39">
        <f>B550*5.53/100</f>
        <v>5.53</v>
      </c>
      <c r="G550" s="36"/>
      <c r="H550" s="36"/>
      <c r="I550" s="36"/>
      <c r="J550" s="39"/>
      <c r="K550" s="39">
        <f>B550*108/100</f>
        <v>108</v>
      </c>
      <c r="L550" s="39">
        <f>B550*7.38/100</f>
        <v>7.38</v>
      </c>
      <c r="M550" s="39">
        <f>B550*0.56/100</f>
        <v>0.56000000000000005</v>
      </c>
      <c r="N550" s="39">
        <f>B550*19.13/100</f>
        <v>19.13</v>
      </c>
      <c r="O550" s="36"/>
      <c r="P550" s="36"/>
      <c r="Q550" s="36"/>
      <c r="R550" s="39">
        <f>B550*2.45/100</f>
        <v>2.4500000000000002</v>
      </c>
      <c r="S550" s="39">
        <f>B550*214.55/100</f>
        <v>214.55</v>
      </c>
      <c r="T550" s="39">
        <f>B550*278.75/100</f>
        <v>278.75</v>
      </c>
      <c r="U550" s="42"/>
      <c r="V550" s="42"/>
      <c r="W550" s="36"/>
      <c r="X550" s="39">
        <f>B550*0.1/100</f>
        <v>0.1</v>
      </c>
      <c r="Y550" s="42"/>
      <c r="Z550" s="42"/>
      <c r="AA550" s="39">
        <f>B550*4.68/100</f>
        <v>4.68</v>
      </c>
      <c r="AB550" s="39">
        <f>B550*4.24/100</f>
        <v>4.24</v>
      </c>
      <c r="AC550"/>
    </row>
    <row r="551" spans="1:29">
      <c r="A551" s="40" t="s">
        <v>124</v>
      </c>
      <c r="B551" s="41">
        <v>100</v>
      </c>
      <c r="C551" s="38">
        <f>B551*570/100</f>
        <v>570</v>
      </c>
      <c r="D551" s="39">
        <f>B551*26.2/100</f>
        <v>26.2</v>
      </c>
      <c r="E551" s="39">
        <f>B551*49.6/100</f>
        <v>49.6</v>
      </c>
      <c r="F551" s="39">
        <f>B551*7.64/100</f>
        <v>7.64</v>
      </c>
      <c r="G551" s="36"/>
      <c r="H551" s="36"/>
      <c r="I551" s="36"/>
      <c r="J551" s="39"/>
      <c r="K551" s="39">
        <f>B551*0/100</f>
        <v>0</v>
      </c>
      <c r="L551" s="39">
        <f>B551*15.8/100</f>
        <v>15.8</v>
      </c>
      <c r="M551" s="39">
        <f>B551*6.33/100</f>
        <v>6.33</v>
      </c>
      <c r="N551" s="39">
        <f>B551*106/100</f>
        <v>106</v>
      </c>
      <c r="O551" s="36"/>
      <c r="P551" s="36"/>
      <c r="Q551" s="36"/>
      <c r="R551" s="39">
        <f>B551*3.92/100</f>
        <v>3.92</v>
      </c>
      <c r="S551" s="39">
        <f>B551*22/100</f>
        <v>22</v>
      </c>
      <c r="T551" s="39">
        <f>B551*744/100</f>
        <v>744</v>
      </c>
      <c r="U551" s="42"/>
      <c r="V551" s="42"/>
      <c r="W551" s="36"/>
      <c r="X551" s="39">
        <f>B551*0.68/100</f>
        <v>0.68</v>
      </c>
      <c r="Y551" s="42"/>
      <c r="Z551" s="42"/>
      <c r="AA551" s="39">
        <f>B551*15.9/100</f>
        <v>15.9</v>
      </c>
      <c r="AB551" s="39">
        <v>0</v>
      </c>
      <c r="AC551"/>
    </row>
    <row r="552" spans="1:29">
      <c r="A552" s="40" t="s">
        <v>125</v>
      </c>
      <c r="B552" s="41">
        <v>100</v>
      </c>
      <c r="C552" s="38">
        <f>B552*381/100</f>
        <v>381</v>
      </c>
      <c r="D552" s="39">
        <f>B552*0.3/100</f>
        <v>0.3</v>
      </c>
      <c r="E552" s="39">
        <f>B552*0.05/100</f>
        <v>0.05</v>
      </c>
      <c r="F552" s="39">
        <f>B552*0.01/100</f>
        <v>0.01</v>
      </c>
      <c r="G552" s="36"/>
      <c r="H552" s="36"/>
      <c r="I552" s="36"/>
      <c r="J552" s="39"/>
      <c r="K552" s="39">
        <v>0</v>
      </c>
      <c r="L552" s="39">
        <f>B552*91.3/100</f>
        <v>91.3</v>
      </c>
      <c r="M552" s="39">
        <f>B552*0.9/100</f>
        <v>0.9</v>
      </c>
      <c r="N552" s="39">
        <f>B552*2/100</f>
        <v>2</v>
      </c>
      <c r="O552" s="36"/>
      <c r="P552" s="36"/>
      <c r="Q552" s="36"/>
      <c r="R552" s="39">
        <f>B552*0.5/100</f>
        <v>0.5</v>
      </c>
      <c r="S552" s="39">
        <f>B552*9/100</f>
        <v>9</v>
      </c>
      <c r="T552" s="39">
        <f>B552*3/100</f>
        <v>3</v>
      </c>
      <c r="U552" s="42"/>
      <c r="V552" s="42"/>
      <c r="W552" s="36"/>
      <c r="X552" s="39">
        <v>0</v>
      </c>
      <c r="Y552" s="42"/>
      <c r="Z552" s="42"/>
      <c r="AA552" s="39">
        <v>0</v>
      </c>
      <c r="AB552" s="39">
        <v>0</v>
      </c>
      <c r="AC552"/>
    </row>
    <row r="553" spans="1:29">
      <c r="A553" s="40" t="s">
        <v>126</v>
      </c>
      <c r="B553" s="41">
        <v>100</v>
      </c>
      <c r="C553" s="38">
        <f>B553*63/100</f>
        <v>63</v>
      </c>
      <c r="D553" s="39">
        <f>B553*1.02/100</f>
        <v>1.02</v>
      </c>
      <c r="E553" s="39">
        <f>B553*1.67/100</f>
        <v>1.67</v>
      </c>
      <c r="F553" s="39">
        <f>B553*0.24/100</f>
        <v>0.24</v>
      </c>
      <c r="G553" s="36"/>
      <c r="H553" s="36"/>
      <c r="I553" s="36"/>
      <c r="J553" s="39"/>
      <c r="K553" s="39">
        <v>0</v>
      </c>
      <c r="L553" s="39">
        <f>B553*11.32/100</f>
        <v>11.32</v>
      </c>
      <c r="M553" s="39">
        <f>B553*1.97/100</f>
        <v>1.97</v>
      </c>
      <c r="N553" s="39">
        <f>B553*2.84/100</f>
        <v>2.84</v>
      </c>
      <c r="O553" s="36"/>
      <c r="P553" s="36"/>
      <c r="Q553" s="36"/>
      <c r="R553" s="39">
        <f>B553*0.36/100</f>
        <v>0.36</v>
      </c>
      <c r="S553" s="39">
        <f>B553*222.03/100</f>
        <v>222.03</v>
      </c>
      <c r="T553" s="39">
        <f>B553*46.42/100</f>
        <v>46.42</v>
      </c>
      <c r="U553" s="42"/>
      <c r="V553" s="42"/>
      <c r="W553" s="36"/>
      <c r="X553" s="39">
        <f>B553*0.036/100</f>
        <v>3.5999999999999997E-2</v>
      </c>
      <c r="Y553" s="42"/>
      <c r="Z553" s="42"/>
      <c r="AA553" s="39">
        <f>B553*0.28/100</f>
        <v>0.28000000000000003</v>
      </c>
      <c r="AB553" s="39">
        <v>0</v>
      </c>
      <c r="AC553"/>
    </row>
    <row r="554" spans="1:29">
      <c r="A554" s="40" t="s">
        <v>127</v>
      </c>
      <c r="B554" s="41">
        <v>100</v>
      </c>
      <c r="C554" s="38">
        <f>B554*149/100</f>
        <v>149</v>
      </c>
      <c r="D554" s="39">
        <f>B554*6.37/100</f>
        <v>6.37</v>
      </c>
      <c r="E554" s="39">
        <f>B554*0.5/100</f>
        <v>0.5</v>
      </c>
      <c r="F554" s="39">
        <f>B554*0.09/100</f>
        <v>0.09</v>
      </c>
      <c r="G554" s="36"/>
      <c r="H554" s="36"/>
      <c r="I554" s="36"/>
      <c r="J554" s="39"/>
      <c r="K554" s="39">
        <v>0</v>
      </c>
      <c r="L554" s="39">
        <f>B554*33.1/100</f>
        <v>33.1</v>
      </c>
      <c r="M554" s="39">
        <f>B554*2.1/100</f>
        <v>2.1</v>
      </c>
      <c r="N554" s="39">
        <f>B554*181/100</f>
        <v>181</v>
      </c>
      <c r="O554" s="36"/>
      <c r="P554" s="36"/>
      <c r="Q554" s="36"/>
      <c r="R554" s="39">
        <f>B554*1.7/100</f>
        <v>1.7</v>
      </c>
      <c r="S554" s="39">
        <f>B554*17/100</f>
        <v>17</v>
      </c>
      <c r="T554" s="39">
        <f>B554*401/100</f>
        <v>401</v>
      </c>
      <c r="U554" s="42"/>
      <c r="V554" s="42"/>
      <c r="W554" s="36"/>
      <c r="X554" s="39">
        <f>B554*0.2/100</f>
        <v>0.2</v>
      </c>
      <c r="Y554" s="42"/>
      <c r="Z554" s="42"/>
      <c r="AA554" s="39">
        <f>B554*0.7/100</f>
        <v>0.7</v>
      </c>
      <c r="AB554" s="39">
        <f>B554*31.2/100</f>
        <v>31.2</v>
      </c>
      <c r="AC554"/>
    </row>
    <row r="555" spans="1:29">
      <c r="A555" s="40" t="s">
        <v>128</v>
      </c>
      <c r="B555" s="41">
        <v>100</v>
      </c>
      <c r="C555" s="38">
        <f>B555*61/100</f>
        <v>61</v>
      </c>
      <c r="D555" s="39">
        <f>B555*1.51/100</f>
        <v>1.51</v>
      </c>
      <c r="E555" s="39">
        <f>B555*0.3/100</f>
        <v>0.3</v>
      </c>
      <c r="F555" s="39">
        <f>B555*0.04/100</f>
        <v>0.04</v>
      </c>
      <c r="G555" s="36"/>
      <c r="H555" s="36"/>
      <c r="I555" s="36"/>
      <c r="J555" s="39"/>
      <c r="K555" s="39">
        <v>0</v>
      </c>
      <c r="L555" s="39">
        <f>B555*14.2/100</f>
        <v>14.2</v>
      </c>
      <c r="M555" s="39">
        <f>B555*2.5/100</f>
        <v>2.5</v>
      </c>
      <c r="N555" s="39">
        <f>B555*59/100</f>
        <v>59</v>
      </c>
      <c r="O555" s="36"/>
      <c r="P555" s="36"/>
      <c r="Q555" s="36"/>
      <c r="R555" s="39">
        <f>B555*2.1/100</f>
        <v>2.1</v>
      </c>
      <c r="S555" s="39">
        <f>B555*20/100</f>
        <v>20</v>
      </c>
      <c r="T555" s="39">
        <f>B555*180/100</f>
        <v>180</v>
      </c>
      <c r="U555" s="42"/>
      <c r="V555" s="42"/>
      <c r="W555" s="36"/>
      <c r="X555" s="39">
        <f>B555*0.06/100</f>
        <v>0.06</v>
      </c>
      <c r="Y555" s="42"/>
      <c r="Z555" s="42"/>
      <c r="AA555" s="39">
        <f>B555*0.4/100</f>
        <v>0.4</v>
      </c>
      <c r="AB555" s="39">
        <f>B555*12/100</f>
        <v>12</v>
      </c>
      <c r="AC555"/>
    </row>
    <row r="556" spans="1:29">
      <c r="A556" s="40" t="s">
        <v>129</v>
      </c>
      <c r="B556" s="41">
        <v>100</v>
      </c>
      <c r="C556" s="38">
        <f>B556*117/100</f>
        <v>117</v>
      </c>
      <c r="D556" s="39">
        <f>B556*13/100</f>
        <v>13</v>
      </c>
      <c r="E556" s="39">
        <f>B556*5/100</f>
        <v>5</v>
      </c>
      <c r="F556" s="39">
        <f>B556*1.7/100</f>
        <v>1.7</v>
      </c>
      <c r="G556" s="36"/>
      <c r="H556" s="36"/>
      <c r="I556" s="36"/>
      <c r="J556" s="39"/>
      <c r="K556" s="39">
        <f>B556*50/100</f>
        <v>50</v>
      </c>
      <c r="L556" s="39">
        <f>B556*3/100</f>
        <v>3</v>
      </c>
      <c r="M556" s="39">
        <v>0</v>
      </c>
      <c r="N556" s="39">
        <v>0</v>
      </c>
      <c r="O556" s="36"/>
      <c r="P556" s="36"/>
      <c r="Q556" s="36"/>
      <c r="R556" s="39">
        <f>B556*0.7/100</f>
        <v>0.7</v>
      </c>
      <c r="S556" s="39">
        <f>B556*933/100</f>
        <v>933</v>
      </c>
      <c r="T556" s="39">
        <v>0</v>
      </c>
      <c r="U556" s="42"/>
      <c r="V556" s="42"/>
      <c r="W556" s="36"/>
      <c r="X556" s="39">
        <v>0</v>
      </c>
      <c r="Y556" s="42"/>
      <c r="Z556" s="42"/>
      <c r="AA556" s="39">
        <v>0</v>
      </c>
      <c r="AB556" s="39">
        <v>0</v>
      </c>
      <c r="AC556"/>
    </row>
    <row r="557" spans="1:29">
      <c r="A557" s="43" t="s">
        <v>130</v>
      </c>
      <c r="B557" s="41">
        <v>100</v>
      </c>
      <c r="C557" s="38">
        <f>B557*125/100</f>
        <v>125</v>
      </c>
      <c r="D557" s="39">
        <f>B557*2.3/100</f>
        <v>2.2999999999999998</v>
      </c>
      <c r="E557" s="39">
        <f>B557*1.18/100</f>
        <v>1.18</v>
      </c>
      <c r="F557" s="39">
        <f>B557*0.2/100</f>
        <v>0.2</v>
      </c>
      <c r="G557" s="36"/>
      <c r="H557" s="36"/>
      <c r="I557" s="36"/>
      <c r="J557" s="39"/>
      <c r="K557" s="39">
        <f>B557*0/100</f>
        <v>0</v>
      </c>
      <c r="L557" s="39">
        <f>B557*25.47/100</f>
        <v>25.47</v>
      </c>
      <c r="M557" s="39">
        <f>B557*0.49/100</f>
        <v>0.49</v>
      </c>
      <c r="N557" s="39">
        <f>B557*12.428/100</f>
        <v>12.428000000000003</v>
      </c>
      <c r="O557" s="36"/>
      <c r="P557" s="36"/>
      <c r="Q557" s="36"/>
      <c r="R557" s="39">
        <f>B557*1.372/100</f>
        <v>1.3720000000000001</v>
      </c>
      <c r="S557" s="39">
        <f>B557*275.87/100</f>
        <v>275.87</v>
      </c>
      <c r="T557" s="39">
        <f>B557*45.5/100</f>
        <v>45.5</v>
      </c>
      <c r="U557" s="42"/>
      <c r="V557" s="42"/>
      <c r="W557" s="36"/>
      <c r="X557" s="39">
        <f>B557*0.18/100</f>
        <v>0.18</v>
      </c>
      <c r="Y557" s="42"/>
      <c r="Z557" s="42"/>
      <c r="AA557" s="39">
        <f>B557*1.312/100</f>
        <v>1.3120000000000003</v>
      </c>
      <c r="AB557" s="39">
        <f>B557*0.52/100</f>
        <v>0.52</v>
      </c>
      <c r="AC557"/>
    </row>
    <row r="558" spans="1:29">
      <c r="A558" s="40" t="s">
        <v>131</v>
      </c>
      <c r="B558" s="41">
        <v>100</v>
      </c>
      <c r="C558" s="38">
        <f>B558*365/100</f>
        <v>365</v>
      </c>
      <c r="D558" s="39">
        <f>B558*7.1/100</f>
        <v>7.1</v>
      </c>
      <c r="E558" s="39">
        <f>B558*0.7/100</f>
        <v>0.7</v>
      </c>
      <c r="F558" s="39">
        <f>B558*0.2/100</f>
        <v>0.2</v>
      </c>
      <c r="G558" s="36"/>
      <c r="H558" s="36"/>
      <c r="I558" s="36"/>
      <c r="J558" s="39"/>
      <c r="K558" s="39">
        <v>0</v>
      </c>
      <c r="L558" s="39">
        <f>B558*80/100</f>
        <v>80</v>
      </c>
      <c r="M558" s="39">
        <f>B558*1.3/100</f>
        <v>1.3</v>
      </c>
      <c r="N558" s="39">
        <f>B558*28/100</f>
        <v>28</v>
      </c>
      <c r="O558" s="36"/>
      <c r="P558" s="36"/>
      <c r="Q558" s="36"/>
      <c r="R558" s="39">
        <f>B558*4.3/100</f>
        <v>4.3</v>
      </c>
      <c r="S558" s="39">
        <f>B558*5/100</f>
        <v>5</v>
      </c>
      <c r="T558" s="39">
        <f>B558*115/100</f>
        <v>115</v>
      </c>
      <c r="U558" s="42"/>
      <c r="V558" s="42"/>
      <c r="W558" s="36"/>
      <c r="X558" s="39">
        <f>B558*0.6/100</f>
        <v>0.6</v>
      </c>
      <c r="Y558" s="42"/>
      <c r="Z558" s="42"/>
      <c r="AA558" s="39">
        <f>B558*4.2/100</f>
        <v>4.2</v>
      </c>
      <c r="AB558" s="39">
        <v>0</v>
      </c>
      <c r="AC558"/>
    </row>
    <row r="559" spans="1:29">
      <c r="A559" s="40" t="s">
        <v>132</v>
      </c>
      <c r="B559" s="41">
        <v>100</v>
      </c>
      <c r="C559" s="38">
        <f>B559*370/100</f>
        <v>370</v>
      </c>
      <c r="D559" s="39">
        <f>B559*7.9/100</f>
        <v>7.9</v>
      </c>
      <c r="E559" s="39">
        <f>B559*2.9/100</f>
        <v>2.9</v>
      </c>
      <c r="F559" s="39">
        <f>B559*0.6/100</f>
        <v>0.6</v>
      </c>
      <c r="G559" s="36"/>
      <c r="H559" s="36"/>
      <c r="I559" s="36"/>
      <c r="J559" s="39"/>
      <c r="K559" s="39">
        <v>0</v>
      </c>
      <c r="L559" s="39">
        <f>B559*77.2/100</f>
        <v>77.2</v>
      </c>
      <c r="M559" s="39">
        <f>B559*3.5/100</f>
        <v>3.5</v>
      </c>
      <c r="N559" s="39">
        <f>B559*23/100</f>
        <v>23</v>
      </c>
      <c r="O559" s="36"/>
      <c r="P559" s="36"/>
      <c r="Q559" s="36"/>
      <c r="R559" s="39">
        <f>B559*1.5/100</f>
        <v>1.5</v>
      </c>
      <c r="S559" s="39">
        <f>B559*7/100</f>
        <v>7</v>
      </c>
      <c r="T559" s="39">
        <f>B559*223/100</f>
        <v>223</v>
      </c>
      <c r="U559" s="42"/>
      <c r="V559" s="42"/>
      <c r="W559" s="36"/>
      <c r="X559" s="39">
        <f>B559*0.4/100</f>
        <v>0.4</v>
      </c>
      <c r="Y559" s="42"/>
      <c r="Z559" s="42"/>
      <c r="AA559" s="39">
        <f>B559*5.1/100</f>
        <v>5.0999999999999996</v>
      </c>
      <c r="AB559" s="39">
        <v>0</v>
      </c>
      <c r="AC559"/>
    </row>
    <row r="560" spans="1:29">
      <c r="A560" s="40" t="s">
        <v>133</v>
      </c>
      <c r="B560" s="41">
        <v>100</v>
      </c>
      <c r="C560" s="38">
        <f>B560*144/100</f>
        <v>144</v>
      </c>
      <c r="D560" s="39">
        <f>B560*23.3/100</f>
        <v>23.3</v>
      </c>
      <c r="E560" s="39">
        <f>B560*4.9/100</f>
        <v>4.9000000000000004</v>
      </c>
      <c r="F560" s="39">
        <f>B560*1.2/100</f>
        <v>1.2</v>
      </c>
      <c r="G560" s="36"/>
      <c r="H560" s="36"/>
      <c r="I560" s="36"/>
      <c r="J560" s="39"/>
      <c r="K560" s="39">
        <f>B560*38/100</f>
        <v>38</v>
      </c>
      <c r="L560" s="39">
        <v>0</v>
      </c>
      <c r="M560" s="39">
        <v>0</v>
      </c>
      <c r="N560" s="39">
        <f>B560*8/100</f>
        <v>8</v>
      </c>
      <c r="O560" s="36"/>
      <c r="P560" s="36"/>
      <c r="Q560" s="36"/>
      <c r="R560" s="39">
        <f>B560*1/100</f>
        <v>1</v>
      </c>
      <c r="S560" s="39">
        <f>B560*39/100</f>
        <v>39</v>
      </c>
      <c r="T560" s="39">
        <f>B560*252/100</f>
        <v>252</v>
      </c>
      <c r="U560" s="42"/>
      <c r="V560" s="42"/>
      <c r="W560" s="36"/>
      <c r="X560" s="39">
        <f>B560*0.2/100</f>
        <v>0.2</v>
      </c>
      <c r="Y560" s="42"/>
      <c r="Z560" s="42"/>
      <c r="AA560" s="39">
        <f>B560*8.6/100</f>
        <v>8.6</v>
      </c>
      <c r="AB560" s="39">
        <v>0</v>
      </c>
      <c r="AC560"/>
    </row>
    <row r="561" spans="1:29">
      <c r="A561" s="40" t="s">
        <v>134</v>
      </c>
      <c r="B561" s="41">
        <v>100</v>
      </c>
      <c r="C561" s="38">
        <f>B561*100/100</f>
        <v>100</v>
      </c>
      <c r="D561" s="39">
        <f>B561*20/100</f>
        <v>20</v>
      </c>
      <c r="E561" s="39">
        <f>B561*2/100</f>
        <v>2</v>
      </c>
      <c r="F561" s="39">
        <v>0</v>
      </c>
      <c r="G561" s="36"/>
      <c r="H561" s="36"/>
      <c r="I561" s="36"/>
      <c r="J561" s="39"/>
      <c r="K561" s="39">
        <f>B561*50/100</f>
        <v>50</v>
      </c>
      <c r="L561" s="39">
        <v>0</v>
      </c>
      <c r="M561" s="39">
        <v>0</v>
      </c>
      <c r="N561" s="39">
        <f>B561*120/100</f>
        <v>120</v>
      </c>
      <c r="O561" s="36"/>
      <c r="P561" s="36"/>
      <c r="Q561" s="36"/>
      <c r="R561" s="39">
        <f>B561*0.9/100</f>
        <v>0.9</v>
      </c>
      <c r="S561" s="39">
        <f>B561*380/100</f>
        <v>380</v>
      </c>
      <c r="T561" s="39">
        <v>0</v>
      </c>
      <c r="U561" s="42"/>
      <c r="V561" s="42"/>
      <c r="W561" s="36"/>
      <c r="X561" s="39">
        <v>0</v>
      </c>
      <c r="Y561" s="42"/>
      <c r="Z561" s="42"/>
      <c r="AA561" s="39">
        <v>0</v>
      </c>
      <c r="AB561" s="39">
        <v>0</v>
      </c>
      <c r="AC561"/>
    </row>
    <row r="562" spans="1:29">
      <c r="A562" s="40" t="s">
        <v>135</v>
      </c>
      <c r="B562" s="41">
        <v>100</v>
      </c>
      <c r="C562" s="38">
        <f>B562*390/100</f>
        <v>390</v>
      </c>
      <c r="D562" s="39">
        <f>B562*12/100</f>
        <v>12</v>
      </c>
      <c r="E562" s="39">
        <f>B562*10/100</f>
        <v>10</v>
      </c>
      <c r="F562" s="39">
        <v>0</v>
      </c>
      <c r="G562" s="36"/>
      <c r="H562" s="36"/>
      <c r="I562" s="36"/>
      <c r="J562" s="39"/>
      <c r="K562" s="39">
        <v>0</v>
      </c>
      <c r="L562" s="39">
        <f>B562*60/100</f>
        <v>60</v>
      </c>
      <c r="M562" s="39">
        <f>B562*10/100</f>
        <v>10</v>
      </c>
      <c r="N562" s="39">
        <f>B562*30/100</f>
        <v>30</v>
      </c>
      <c r="O562" s="36"/>
      <c r="P562" s="36"/>
      <c r="Q562" s="36"/>
      <c r="R562" s="39">
        <f>B562*2.1/100</f>
        <v>2.1</v>
      </c>
      <c r="S562" s="39">
        <f>B562*1/100</f>
        <v>1</v>
      </c>
      <c r="T562" s="39">
        <v>0</v>
      </c>
      <c r="U562" s="42"/>
      <c r="V562" s="42"/>
      <c r="W562" s="36"/>
      <c r="X562" s="39">
        <f>B562*0.2/100</f>
        <v>0.2</v>
      </c>
      <c r="Y562" s="42"/>
      <c r="Z562" s="42"/>
      <c r="AA562" s="39">
        <f>B562*1/100</f>
        <v>1</v>
      </c>
      <c r="AB562" s="39">
        <f>B562*0/100</f>
        <v>0</v>
      </c>
      <c r="AC562"/>
    </row>
    <row r="563" spans="1:29">
      <c r="A563" s="40" t="s">
        <v>136</v>
      </c>
      <c r="B563" s="41">
        <v>100</v>
      </c>
      <c r="C563" s="38">
        <f>B563*878/100</f>
        <v>878</v>
      </c>
      <c r="D563" s="39">
        <v>0</v>
      </c>
      <c r="E563" s="39">
        <f>B563*99.1/100</f>
        <v>99.1</v>
      </c>
      <c r="F563" s="39">
        <v>0</v>
      </c>
      <c r="G563" s="36"/>
      <c r="H563" s="36"/>
      <c r="I563" s="36"/>
      <c r="J563" s="39"/>
      <c r="K563" s="39">
        <v>0</v>
      </c>
      <c r="L563" s="39">
        <f>B563*0.4/100</f>
        <v>0.4</v>
      </c>
      <c r="M563" s="39">
        <v>0</v>
      </c>
      <c r="N563" s="39">
        <f>B563*7/100</f>
        <v>7</v>
      </c>
      <c r="O563" s="36"/>
      <c r="P563" s="36"/>
      <c r="Q563" s="36"/>
      <c r="R563" s="39">
        <f>B563*5.5/100</f>
        <v>5.5</v>
      </c>
      <c r="S563" s="39">
        <v>0</v>
      </c>
      <c r="T563" s="39">
        <v>0</v>
      </c>
      <c r="U563" s="42"/>
      <c r="V563" s="42"/>
      <c r="W563" s="36"/>
      <c r="X563" s="39">
        <v>0</v>
      </c>
      <c r="Y563" s="42"/>
      <c r="Z563" s="42"/>
      <c r="AA563" s="39">
        <v>0</v>
      </c>
      <c r="AB563" s="39">
        <v>0</v>
      </c>
      <c r="AC563"/>
    </row>
    <row r="564" spans="1:29">
      <c r="A564" s="40" t="s">
        <v>137</v>
      </c>
      <c r="B564" s="41">
        <v>100</v>
      </c>
      <c r="C564" s="38">
        <f>B564*884/100</f>
        <v>884</v>
      </c>
      <c r="D564" s="39">
        <f>B564*0/100</f>
        <v>0</v>
      </c>
      <c r="E564" s="39">
        <f>B564*100/100</f>
        <v>100</v>
      </c>
      <c r="F564" s="39">
        <f>B564*13.5/100</f>
        <v>13.5</v>
      </c>
      <c r="G564" s="36"/>
      <c r="H564" s="36"/>
      <c r="I564" s="36"/>
      <c r="J564" s="39"/>
      <c r="K564" s="39">
        <f>B564*0/100</f>
        <v>0</v>
      </c>
      <c r="L564" s="39">
        <f>B564*0/100</f>
        <v>0</v>
      </c>
      <c r="M564" s="39">
        <f>B564*0/100</f>
        <v>0</v>
      </c>
      <c r="N564" s="39">
        <f>B564*0.18/100</f>
        <v>0.18</v>
      </c>
      <c r="O564" s="36"/>
      <c r="P564" s="36"/>
      <c r="Q564" s="36"/>
      <c r="R564" s="39">
        <f>B564*0.38/100</f>
        <v>0.38</v>
      </c>
      <c r="S564" s="39">
        <f>B564*0.4/100</f>
        <v>0.4</v>
      </c>
      <c r="T564" s="39">
        <f>B564*0/100</f>
        <v>0</v>
      </c>
      <c r="U564" s="42"/>
      <c r="V564" s="42"/>
      <c r="W564" s="36"/>
      <c r="X564" s="39">
        <f>B564*0/100</f>
        <v>0</v>
      </c>
      <c r="Y564" s="42"/>
      <c r="Z564" s="42"/>
      <c r="AA564" s="39">
        <f>B564*0/100</f>
        <v>0</v>
      </c>
      <c r="AB564" s="39">
        <f>B564*0/100</f>
        <v>0</v>
      </c>
      <c r="AC564"/>
    </row>
    <row r="565" spans="1:29">
      <c r="A565" s="40" t="s">
        <v>138</v>
      </c>
      <c r="B565" s="41">
        <v>100</v>
      </c>
      <c r="C565" s="38">
        <f>B565*115/100</f>
        <v>115</v>
      </c>
      <c r="D565" s="39">
        <f>B565*0.8/100</f>
        <v>0.8</v>
      </c>
      <c r="E565" s="39">
        <f>B565*10.7/100</f>
        <v>10.7</v>
      </c>
      <c r="F565" s="39">
        <f>B565*1.4/100</f>
        <v>1.4</v>
      </c>
      <c r="G565" s="36"/>
      <c r="H565" s="36"/>
      <c r="I565" s="36"/>
      <c r="J565" s="39"/>
      <c r="K565" s="39">
        <v>0</v>
      </c>
      <c r="L565" s="39">
        <f>B565*6.3/100</f>
        <v>6.3</v>
      </c>
      <c r="M565" s="39">
        <f>B565*3/100</f>
        <v>3</v>
      </c>
      <c r="N565" s="39">
        <f>B565*88/100</f>
        <v>88</v>
      </c>
      <c r="O565" s="36"/>
      <c r="P565" s="36"/>
      <c r="Q565" s="36"/>
      <c r="R565" s="39">
        <f>B565*3.3/100</f>
        <v>3.3</v>
      </c>
      <c r="S565" s="39">
        <f>B565*872/100</f>
        <v>872</v>
      </c>
      <c r="T565" s="39">
        <f>B565*8/100</f>
        <v>8</v>
      </c>
      <c r="U565" s="42"/>
      <c r="V565" s="42"/>
      <c r="W565" s="36"/>
      <c r="X565" s="39">
        <v>0</v>
      </c>
      <c r="Y565" s="42"/>
      <c r="Z565" s="42"/>
      <c r="AA565" s="39">
        <f>B565*0.04/100</f>
        <v>0.04</v>
      </c>
      <c r="AB565" s="39">
        <f>B565*0.9/100</f>
        <v>0.9</v>
      </c>
      <c r="AC565"/>
    </row>
    <row r="566" spans="1:29">
      <c r="A566" s="40" t="s">
        <v>139</v>
      </c>
      <c r="B566" s="41">
        <v>100</v>
      </c>
      <c r="C566" s="38">
        <f>B566*116/100</f>
        <v>116</v>
      </c>
      <c r="D566" s="39">
        <f>B566*1.4/100</f>
        <v>1.4</v>
      </c>
      <c r="E566" s="39">
        <f>B566*12.7/100</f>
        <v>12.7</v>
      </c>
      <c r="F566" s="39">
        <f>B566*1.4/100</f>
        <v>1.4</v>
      </c>
      <c r="G566" s="36"/>
      <c r="H566" s="36"/>
      <c r="I566" s="36"/>
      <c r="J566" s="39"/>
      <c r="K566" s="39">
        <v>0</v>
      </c>
      <c r="L566" s="39">
        <f>B566*1.3/100</f>
        <v>1.3</v>
      </c>
      <c r="M566" s="39">
        <f>B566*1/100</f>
        <v>1</v>
      </c>
      <c r="N566" s="39">
        <f>B566*61/100</f>
        <v>61</v>
      </c>
      <c r="O566" s="36"/>
      <c r="P566" s="36"/>
      <c r="Q566" s="36"/>
      <c r="R566" s="39">
        <f>B566*1.6/100</f>
        <v>1.6</v>
      </c>
      <c r="S566" s="39">
        <f>B566*2400/100</f>
        <v>2400</v>
      </c>
      <c r="T566" s="39">
        <f>B566*55.1/100</f>
        <v>55.1</v>
      </c>
      <c r="U566" s="42"/>
      <c r="V566" s="42"/>
      <c r="W566" s="36"/>
      <c r="X566" s="39">
        <v>0</v>
      </c>
      <c r="Y566" s="42"/>
      <c r="Z566" s="42"/>
      <c r="AA566" s="39">
        <v>0</v>
      </c>
      <c r="AB566" s="39">
        <v>0</v>
      </c>
      <c r="AC566"/>
    </row>
    <row r="567" spans="1:29">
      <c r="A567" s="40" t="s">
        <v>140</v>
      </c>
      <c r="B567" s="41">
        <v>100</v>
      </c>
      <c r="C567" s="38">
        <f>B567*889/100</f>
        <v>889</v>
      </c>
      <c r="D567" s="39">
        <v>0</v>
      </c>
      <c r="E567" s="39">
        <f>B567*98.6/100</f>
        <v>98.6</v>
      </c>
      <c r="F567" s="39">
        <f>B567*44.8/100</f>
        <v>44.8</v>
      </c>
      <c r="G567" s="36"/>
      <c r="H567" s="36"/>
      <c r="I567" s="36"/>
      <c r="J567" s="39"/>
      <c r="K567" s="39">
        <f>B567*100.6/100</f>
        <v>100.6</v>
      </c>
      <c r="L567" s="39">
        <v>0</v>
      </c>
      <c r="M567" s="39">
        <v>0</v>
      </c>
      <c r="N567" s="39">
        <f>B567*0.7/100</f>
        <v>0.7</v>
      </c>
      <c r="O567" s="36"/>
      <c r="P567" s="36"/>
      <c r="Q567" s="36"/>
      <c r="R567" s="39">
        <v>0</v>
      </c>
      <c r="S567" s="39">
        <f>B567*545.2/100</f>
        <v>545.20000000000005</v>
      </c>
      <c r="T567" s="39">
        <f>B567*0.1/100</f>
        <v>0.1</v>
      </c>
      <c r="U567" s="42"/>
      <c r="V567" s="42"/>
      <c r="W567" s="36"/>
      <c r="X567" s="39">
        <v>0</v>
      </c>
      <c r="Y567" s="42"/>
      <c r="Z567" s="42"/>
      <c r="AA567" s="39">
        <v>0</v>
      </c>
      <c r="AB567" s="39">
        <v>0</v>
      </c>
      <c r="AC567"/>
    </row>
    <row r="568" spans="1:29">
      <c r="A568" s="43" t="s">
        <v>141</v>
      </c>
      <c r="B568" s="41">
        <v>100</v>
      </c>
      <c r="C568" s="38">
        <f>B568*99/100</f>
        <v>99</v>
      </c>
      <c r="D568" s="39">
        <f>B568*1.3/100</f>
        <v>1.3</v>
      </c>
      <c r="E568" s="39">
        <f>B568*0.3/100</f>
        <v>0.3</v>
      </c>
      <c r="F568" s="39">
        <v>0</v>
      </c>
      <c r="G568" s="36"/>
      <c r="H568" s="36"/>
      <c r="I568" s="36"/>
      <c r="J568" s="39"/>
      <c r="K568" s="39">
        <v>0</v>
      </c>
      <c r="L568" s="39">
        <f>B568*22.8/100</f>
        <v>22.8</v>
      </c>
      <c r="M568" s="39">
        <f>B568*0.4/100</f>
        <v>0.4</v>
      </c>
      <c r="N568" s="39">
        <f>B568*15/100</f>
        <v>15</v>
      </c>
      <c r="O568" s="36"/>
      <c r="P568" s="36"/>
      <c r="Q568" s="36"/>
      <c r="R568" s="39">
        <f>B568*2/100</f>
        <v>2</v>
      </c>
      <c r="S568" s="39">
        <v>0</v>
      </c>
      <c r="T568" s="39">
        <v>0</v>
      </c>
      <c r="U568" s="42"/>
      <c r="V568" s="42"/>
      <c r="W568" s="36"/>
      <c r="X568" s="39">
        <f>B568*0.04/100</f>
        <v>0.04</v>
      </c>
      <c r="Y568" s="42"/>
      <c r="Z568" s="42"/>
      <c r="AA568" s="39">
        <f>B568*0.6/100</f>
        <v>0.6</v>
      </c>
      <c r="AB568" s="39">
        <f>B568*14/100</f>
        <v>14</v>
      </c>
      <c r="AC568"/>
    </row>
    <row r="569" spans="1:29">
      <c r="A569" s="40" t="s">
        <v>142</v>
      </c>
      <c r="B569" s="41">
        <v>100</v>
      </c>
      <c r="C569" s="38">
        <f>B569*92/100</f>
        <v>92</v>
      </c>
      <c r="D569" s="39">
        <f>B569*1.04/100</f>
        <v>1.04</v>
      </c>
      <c r="E569" s="39">
        <f>B569*0.48/100</f>
        <v>0.48</v>
      </c>
      <c r="F569" s="39">
        <f>B569*0.19/100</f>
        <v>0.19</v>
      </c>
      <c r="G569" s="36"/>
      <c r="H569" s="36"/>
      <c r="I569" s="36"/>
      <c r="J569" s="39"/>
      <c r="K569" s="39">
        <f>B569*0/100</f>
        <v>0</v>
      </c>
      <c r="L569" s="39">
        <f>B569*23.4/100</f>
        <v>23.4</v>
      </c>
      <c r="M569" s="39">
        <f>B569*2.03/100</f>
        <v>2.0299999999999998</v>
      </c>
      <c r="N569" s="39">
        <f>B569*6/100</f>
        <v>6</v>
      </c>
      <c r="O569" s="36"/>
      <c r="P569" s="36"/>
      <c r="Q569" s="36"/>
      <c r="R569" s="39">
        <f>B569*0.31/100</f>
        <v>0.31</v>
      </c>
      <c r="S569" s="39">
        <f>B569*1/100</f>
        <v>1</v>
      </c>
      <c r="T569" s="39">
        <f>B569*396/100</f>
        <v>396</v>
      </c>
      <c r="U569" s="42"/>
      <c r="V569" s="42"/>
      <c r="W569" s="36"/>
      <c r="X569" s="39">
        <f>B569*0.05/100</f>
        <v>0.05</v>
      </c>
      <c r="Y569" s="42"/>
      <c r="Z569" s="42"/>
      <c r="AA569" s="39">
        <f>B569*0.54/100</f>
        <v>0.54</v>
      </c>
      <c r="AB569" s="39">
        <f>B569*9.1/100</f>
        <v>9.1</v>
      </c>
      <c r="AC569"/>
    </row>
    <row r="570" spans="1:29">
      <c r="A570" s="40" t="s">
        <v>143</v>
      </c>
      <c r="B570" s="41">
        <v>100</v>
      </c>
      <c r="C570" s="38">
        <f>B570*288/100</f>
        <v>288</v>
      </c>
      <c r="D570" s="39">
        <f>B570*3.1/100</f>
        <v>3.1</v>
      </c>
      <c r="E570" s="39">
        <f>B570*0.5/100</f>
        <v>0.5</v>
      </c>
      <c r="F570" s="39">
        <v>0</v>
      </c>
      <c r="G570" s="36"/>
      <c r="H570" s="36"/>
      <c r="I570" s="36"/>
      <c r="J570" s="39"/>
      <c r="K570" s="39">
        <v>0</v>
      </c>
      <c r="L570" s="39">
        <f>B570*67.7/100</f>
        <v>67.7</v>
      </c>
      <c r="M570" s="39">
        <v>0</v>
      </c>
      <c r="N570" s="39">
        <v>0</v>
      </c>
      <c r="O570" s="36"/>
      <c r="P570" s="36"/>
      <c r="Q570" s="36"/>
      <c r="R570" s="39">
        <v>0</v>
      </c>
      <c r="S570" s="39">
        <v>0</v>
      </c>
      <c r="T570" s="39">
        <v>0</v>
      </c>
      <c r="U570" s="42"/>
      <c r="V570" s="42"/>
      <c r="W570" s="36"/>
      <c r="X570" s="39">
        <v>0</v>
      </c>
      <c r="Y570" s="42"/>
      <c r="Z570" s="42"/>
      <c r="AA570" s="39">
        <v>0</v>
      </c>
      <c r="AB570" s="39">
        <f>B570*4.4/100</f>
        <v>4.4000000000000004</v>
      </c>
      <c r="AC570"/>
    </row>
    <row r="571" spans="1:29">
      <c r="A571" s="40" t="s">
        <v>144</v>
      </c>
      <c r="B571" s="41">
        <v>100</v>
      </c>
      <c r="C571" s="38">
        <f>B571*179/100</f>
        <v>179</v>
      </c>
      <c r="D571" s="39">
        <f>B571*2.4/100</f>
        <v>2.4</v>
      </c>
      <c r="E571" s="39">
        <f>B571*8.1/100</f>
        <v>8.1</v>
      </c>
      <c r="F571" s="39">
        <f>B571*1.2/100</f>
        <v>1.2</v>
      </c>
      <c r="G571" s="36"/>
      <c r="H571" s="36"/>
      <c r="I571" s="36"/>
      <c r="J571" s="39"/>
      <c r="K571" s="39">
        <v>0</v>
      </c>
      <c r="L571" s="39">
        <f>B571*25.1/100</f>
        <v>25.1</v>
      </c>
      <c r="M571" s="39">
        <f>B571*2.25/100</f>
        <v>2.25</v>
      </c>
      <c r="N571" s="39">
        <f>B571*6.25/100</f>
        <v>6.25</v>
      </c>
      <c r="O571" s="36"/>
      <c r="P571" s="36"/>
      <c r="Q571" s="36"/>
      <c r="R571" s="39">
        <f>B571*0.4/100</f>
        <v>0.4</v>
      </c>
      <c r="S571" s="39">
        <f>B571*5/100</f>
        <v>5</v>
      </c>
      <c r="T571" s="39">
        <f>B571*473.75/100</f>
        <v>473.75</v>
      </c>
      <c r="U571" s="42"/>
      <c r="V571" s="42"/>
      <c r="W571" s="36"/>
      <c r="X571" s="39">
        <f>B571*0.12/100</f>
        <v>0.12</v>
      </c>
      <c r="Y571" s="42"/>
      <c r="Z571" s="42"/>
      <c r="AA571" s="39">
        <f>B571*1.75/100</f>
        <v>1.75</v>
      </c>
      <c r="AB571" s="39">
        <f>B571*16.25/100</f>
        <v>16.25</v>
      </c>
      <c r="AC571"/>
    </row>
    <row r="572" spans="1:29">
      <c r="A572" s="40" t="s">
        <v>145</v>
      </c>
      <c r="B572" s="41">
        <v>100</v>
      </c>
      <c r="C572" s="38">
        <f>B572*87/100</f>
        <v>87</v>
      </c>
      <c r="D572" s="39">
        <f>B572*1.9/100</f>
        <v>1.9</v>
      </c>
      <c r="E572" s="39">
        <f>B572*0.1/100</f>
        <v>0.1</v>
      </c>
      <c r="F572" s="39">
        <f>B572*0.03/100</f>
        <v>0.03</v>
      </c>
      <c r="G572" s="36"/>
      <c r="H572" s="36"/>
      <c r="I572" s="36"/>
      <c r="J572" s="39"/>
      <c r="K572" s="39">
        <v>0</v>
      </c>
      <c r="L572" s="39">
        <f>B572*20.1/100</f>
        <v>20.100000000000001</v>
      </c>
      <c r="M572" s="39">
        <f>B572*1.8/100</f>
        <v>1.8</v>
      </c>
      <c r="N572" s="39">
        <f>B572*5/100</f>
        <v>5</v>
      </c>
      <c r="O572" s="36"/>
      <c r="P572" s="36"/>
      <c r="Q572" s="36"/>
      <c r="R572" s="39">
        <f>B572*0.3/100</f>
        <v>0.3</v>
      </c>
      <c r="S572" s="39">
        <f>B572*4/100</f>
        <v>4</v>
      </c>
      <c r="T572" s="39">
        <f>B572*379/100</f>
        <v>379</v>
      </c>
      <c r="U572" s="42"/>
      <c r="V572" s="42"/>
      <c r="W572" s="36"/>
      <c r="X572" s="39">
        <f>B572*0.1/100</f>
        <v>0.1</v>
      </c>
      <c r="Y572" s="42"/>
      <c r="Z572" s="42"/>
      <c r="AA572" s="39">
        <f>B572*1.4/100</f>
        <v>1.4</v>
      </c>
      <c r="AB572" s="39">
        <f>B572*13/100</f>
        <v>13</v>
      </c>
      <c r="AC572"/>
    </row>
    <row r="573" spans="1:29">
      <c r="A573" s="40" t="s">
        <v>146</v>
      </c>
      <c r="B573" s="41">
        <v>100</v>
      </c>
      <c r="C573" s="38">
        <f>B573*79/100</f>
        <v>79</v>
      </c>
      <c r="D573" s="39">
        <f>B573*2/100</f>
        <v>2</v>
      </c>
      <c r="E573" s="39">
        <f>B573*0.1/100</f>
        <v>0.1</v>
      </c>
      <c r="F573" s="39">
        <f>B573*0.03/100</f>
        <v>0.03</v>
      </c>
      <c r="G573" s="36"/>
      <c r="H573" s="36"/>
      <c r="I573" s="36"/>
      <c r="J573" s="39"/>
      <c r="K573" s="39">
        <v>0</v>
      </c>
      <c r="L573" s="39">
        <f>B573*18/100</f>
        <v>18</v>
      </c>
      <c r="M573" s="39">
        <f>B573*1.6/100</f>
        <v>1.6</v>
      </c>
      <c r="N573" s="39">
        <f>B573*7/100</f>
        <v>7</v>
      </c>
      <c r="O573" s="36"/>
      <c r="P573" s="36"/>
      <c r="Q573" s="36"/>
      <c r="R573" s="39">
        <f>B573*0.8/100</f>
        <v>0.8</v>
      </c>
      <c r="S573" s="39">
        <f>B573*6/100</f>
        <v>6</v>
      </c>
      <c r="T573" s="39">
        <f>B573*543/100</f>
        <v>543</v>
      </c>
      <c r="U573" s="42"/>
      <c r="V573" s="42"/>
      <c r="W573" s="36"/>
      <c r="X573" s="39">
        <f>B573*0.09/100</f>
        <v>0.09</v>
      </c>
      <c r="Y573" s="42"/>
      <c r="Z573" s="42"/>
      <c r="AA573" s="39">
        <f>B573*1.5/100</f>
        <v>1.5</v>
      </c>
      <c r="AB573" s="39">
        <f>B573*19.7/100</f>
        <v>19.7</v>
      </c>
      <c r="AC573"/>
    </row>
    <row r="574" spans="1:29">
      <c r="A574" s="40" t="s">
        <v>147</v>
      </c>
      <c r="B574" s="41">
        <v>100</v>
      </c>
      <c r="C574" s="38">
        <f>B574*105/100</f>
        <v>105</v>
      </c>
      <c r="D574" s="39">
        <f>B574*1.7/100</f>
        <v>1.7</v>
      </c>
      <c r="E574" s="39">
        <f>B574*0.3/100</f>
        <v>0.3</v>
      </c>
      <c r="F574" s="39">
        <f>B574*0.1/100</f>
        <v>0.1</v>
      </c>
      <c r="G574" s="36"/>
      <c r="H574" s="36"/>
      <c r="I574" s="36"/>
      <c r="J574" s="39"/>
      <c r="K574" s="39">
        <v>0</v>
      </c>
      <c r="L574" s="39">
        <f>B574*24.3/100</f>
        <v>24.3</v>
      </c>
      <c r="M574" s="39">
        <f>B574*2.3/100</f>
        <v>2.2999999999999998</v>
      </c>
      <c r="N574" s="39">
        <f>B574*21/100</f>
        <v>21</v>
      </c>
      <c r="O574" s="36"/>
      <c r="P574" s="36"/>
      <c r="Q574" s="36"/>
      <c r="R574" s="39">
        <f>B574*0.6/100</f>
        <v>0.6</v>
      </c>
      <c r="S574" s="39">
        <f>B574*13/100</f>
        <v>13</v>
      </c>
      <c r="T574" s="39">
        <f>B574*184/100</f>
        <v>184</v>
      </c>
      <c r="U574" s="42"/>
      <c r="V574" s="42"/>
      <c r="W574" s="36"/>
      <c r="X574" s="39">
        <f>B574*0.05/100</f>
        <v>0.05</v>
      </c>
      <c r="Y574" s="42"/>
      <c r="Z574" s="42"/>
      <c r="AA574" s="39">
        <f>B574*0.6/100</f>
        <v>0.6</v>
      </c>
      <c r="AB574" s="39">
        <f>B574*17.1/100</f>
        <v>17.100000000000001</v>
      </c>
      <c r="AC574"/>
    </row>
    <row r="575" spans="1:29">
      <c r="A575" s="40" t="s">
        <v>148</v>
      </c>
      <c r="B575" s="41">
        <v>100</v>
      </c>
      <c r="C575" s="38">
        <f>B575*550/100</f>
        <v>550</v>
      </c>
      <c r="D575" s="39">
        <f>B575*5/100</f>
        <v>5</v>
      </c>
      <c r="E575" s="39">
        <f>B575*40/100</f>
        <v>40</v>
      </c>
      <c r="F575" s="39">
        <f>B575*10/100</f>
        <v>10</v>
      </c>
      <c r="G575" s="36"/>
      <c r="H575" s="36"/>
      <c r="I575" s="36"/>
      <c r="J575" s="39"/>
      <c r="K575" s="39" t="s">
        <v>149</v>
      </c>
      <c r="L575" s="39">
        <f>B575*50/100</f>
        <v>50</v>
      </c>
      <c r="M575" s="39" t="s">
        <v>149</v>
      </c>
      <c r="N575" s="39" t="s">
        <v>149</v>
      </c>
      <c r="O575" s="36"/>
      <c r="P575" s="36"/>
      <c r="Q575" s="36"/>
      <c r="R575" s="39">
        <f>B575*2.5/100</f>
        <v>2.5</v>
      </c>
      <c r="S575" s="39">
        <f>B575*400/100</f>
        <v>400</v>
      </c>
      <c r="T575" s="39" t="s">
        <v>149</v>
      </c>
      <c r="U575" s="42"/>
      <c r="V575" s="42"/>
      <c r="W575" s="36"/>
      <c r="X575" s="39" t="s">
        <v>149</v>
      </c>
      <c r="Y575" s="42"/>
      <c r="Z575" s="42"/>
      <c r="AA575" s="39" t="s">
        <v>149</v>
      </c>
      <c r="AB575" s="39" t="s">
        <v>149</v>
      </c>
      <c r="AC575"/>
    </row>
    <row r="576" spans="1:29">
      <c r="A576" s="40" t="s">
        <v>150</v>
      </c>
      <c r="B576" s="41">
        <v>100</v>
      </c>
      <c r="C576" s="38">
        <f>B576*114/100</f>
        <v>114</v>
      </c>
      <c r="D576" s="39">
        <f>B576*1.65/100</f>
        <v>1.65</v>
      </c>
      <c r="E576" s="39">
        <f>B576*3.87/100</f>
        <v>3.87</v>
      </c>
      <c r="F576" s="39">
        <f>B576*0.74/100</f>
        <v>0.74</v>
      </c>
      <c r="G576" s="36"/>
      <c r="H576" s="36"/>
      <c r="I576" s="36"/>
      <c r="J576" s="39"/>
      <c r="K576" s="39">
        <f>B576*0/100</f>
        <v>0</v>
      </c>
      <c r="L576" s="39">
        <f>B576*18.85/100</f>
        <v>18.850000000000001</v>
      </c>
      <c r="M576" s="39">
        <f>B576*1.23/100</f>
        <v>1.23</v>
      </c>
      <c r="N576" s="39">
        <f>B576*8.579/100</f>
        <v>8.5790000000000006</v>
      </c>
      <c r="O576" s="36"/>
      <c r="P576" s="36"/>
      <c r="Q576" s="36"/>
      <c r="R576" s="39">
        <f>B576*0.294/100</f>
        <v>0.29399999999999998</v>
      </c>
      <c r="S576" s="39">
        <f>B576*369.629/100</f>
        <v>369.62900000000002</v>
      </c>
      <c r="T576" s="39">
        <f>B576*309.976/100</f>
        <v>309.976</v>
      </c>
      <c r="U576" s="42"/>
      <c r="V576" s="42"/>
      <c r="W576" s="36"/>
      <c r="X576" s="39">
        <f>B576*0.088/100</f>
        <v>8.7999999999999995E-2</v>
      </c>
      <c r="Y576" s="42"/>
      <c r="Z576" s="42"/>
      <c r="AA576" s="39">
        <f>B576*1.235/100</f>
        <v>1.2350000000000001</v>
      </c>
      <c r="AB576" s="39">
        <f>B576*6.971/100</f>
        <v>6.9710000000000001</v>
      </c>
      <c r="AC576"/>
    </row>
    <row r="577" spans="1:29">
      <c r="A577" s="43" t="s">
        <v>151</v>
      </c>
      <c r="B577" s="41">
        <v>100</v>
      </c>
      <c r="C577" s="38">
        <f>B577*430/100</f>
        <v>430</v>
      </c>
      <c r="D577" s="39">
        <f>B577*7.6/100</f>
        <v>7.6</v>
      </c>
      <c r="E577" s="39">
        <f>B577*18.9/100</f>
        <v>18.899999999999999</v>
      </c>
      <c r="F577" s="39">
        <f>B577*15.7/100</f>
        <v>15.7</v>
      </c>
      <c r="G577" s="36"/>
      <c r="H577" s="36"/>
      <c r="I577" s="36"/>
      <c r="J577" s="39"/>
      <c r="K577" s="39">
        <f>B577*11.1/100</f>
        <v>11.1</v>
      </c>
      <c r="L577" s="39">
        <f>B577*62.2/100</f>
        <v>62.2</v>
      </c>
      <c r="M577" s="39">
        <f>B577*4.4/100</f>
        <v>4.4000000000000004</v>
      </c>
      <c r="N577" s="39">
        <f>B577*213.1/100</f>
        <v>213.1</v>
      </c>
      <c r="O577" s="36"/>
      <c r="P577" s="36"/>
      <c r="Q577" s="36"/>
      <c r="R577" s="39">
        <f>B577*1.9/100</f>
        <v>1.9</v>
      </c>
      <c r="S577" s="39">
        <f>B577*272.3/100</f>
        <v>272.3</v>
      </c>
      <c r="T577" s="39">
        <f>B577*145.7/100</f>
        <v>145.69999999999999</v>
      </c>
      <c r="U577" s="42"/>
      <c r="V577" s="42"/>
      <c r="W577" s="36"/>
      <c r="X577" s="39">
        <f>B577*0.02/100</f>
        <v>0.02</v>
      </c>
      <c r="Y577" s="42"/>
      <c r="Z577" s="42"/>
      <c r="AA577" s="39">
        <f>B577*0.2/100</f>
        <v>0.2</v>
      </c>
      <c r="AB577" s="39">
        <f>B577*0.3/100</f>
        <v>0.3</v>
      </c>
      <c r="AC577"/>
    </row>
    <row r="578" spans="1:29">
      <c r="A578" s="40" t="s">
        <v>152</v>
      </c>
      <c r="B578" s="41">
        <v>100</v>
      </c>
      <c r="C578" s="38">
        <f>B578*26/100</f>
        <v>26</v>
      </c>
      <c r="D578" s="39">
        <f>B578*1.03/100</f>
        <v>1.03</v>
      </c>
      <c r="E578" s="39">
        <f>B578*0.2/100</f>
        <v>0.2</v>
      </c>
      <c r="F578" s="39">
        <f>B578*0.03/100</f>
        <v>0.03</v>
      </c>
      <c r="G578" s="36"/>
      <c r="H578" s="36"/>
      <c r="I578" s="36"/>
      <c r="J578" s="39"/>
      <c r="K578" s="39">
        <v>0</v>
      </c>
      <c r="L578" s="39">
        <f>B578*6.1/100</f>
        <v>6.1</v>
      </c>
      <c r="M578" s="39">
        <f>B578*2.5/100</f>
        <v>2.5</v>
      </c>
      <c r="N578" s="39">
        <f>B578*7/100</f>
        <v>7</v>
      </c>
      <c r="O578" s="36"/>
      <c r="P578" s="36"/>
      <c r="Q578" s="36"/>
      <c r="R578" s="39">
        <f>B578*0.3/100</f>
        <v>0.3</v>
      </c>
      <c r="S578" s="39">
        <f>B578*3/100</f>
        <v>3</v>
      </c>
      <c r="T578" s="39">
        <f>B578*217/100</f>
        <v>217</v>
      </c>
      <c r="U578" s="42"/>
      <c r="V578" s="42"/>
      <c r="W578" s="36"/>
      <c r="X578" s="39">
        <f>B578*0.05/100</f>
        <v>0.05</v>
      </c>
      <c r="Y578" s="42"/>
      <c r="Z578" s="42"/>
      <c r="AA578" s="39">
        <f>B578*0.6/100</f>
        <v>0.6</v>
      </c>
      <c r="AB578" s="39">
        <f>B578*1.7/100</f>
        <v>1.7</v>
      </c>
      <c r="AC578"/>
    </row>
    <row r="579" spans="1:29">
      <c r="A579" s="43" t="s">
        <v>153</v>
      </c>
      <c r="B579" s="41">
        <v>100</v>
      </c>
      <c r="C579" s="38">
        <f>B579*43/100</f>
        <v>43</v>
      </c>
      <c r="D579" s="39">
        <f>B579*1.6/100</f>
        <v>1.6</v>
      </c>
      <c r="E579" s="39">
        <f>B579*0.2/100</f>
        <v>0.2</v>
      </c>
      <c r="F579" s="39">
        <f>B579*0.03/100</f>
        <v>0.03</v>
      </c>
      <c r="G579" s="36"/>
      <c r="H579" s="36"/>
      <c r="I579" s="36"/>
      <c r="J579" s="39"/>
      <c r="K579" s="39">
        <v>0</v>
      </c>
      <c r="L579" s="39">
        <f>B579*9.6/100</f>
        <v>9.6</v>
      </c>
      <c r="M579" s="39">
        <f>B579*2.8/100</f>
        <v>2.8</v>
      </c>
      <c r="N579" s="39">
        <f>B579*16/100</f>
        <v>16</v>
      </c>
      <c r="O579" s="36"/>
      <c r="P579" s="36"/>
      <c r="Q579" s="36"/>
      <c r="R579" s="39">
        <f>B579*0.8/100</f>
        <v>0.8</v>
      </c>
      <c r="S579" s="39">
        <f>B579*78/100</f>
        <v>78</v>
      </c>
      <c r="T579" s="39">
        <f>B579*325/100</f>
        <v>325</v>
      </c>
      <c r="U579" s="42"/>
      <c r="V579" s="42"/>
      <c r="W579" s="36"/>
      <c r="X579" s="39">
        <f>B579*0.03/100</f>
        <v>0.03</v>
      </c>
      <c r="Y579" s="42"/>
      <c r="Z579" s="42"/>
      <c r="AA579" s="39">
        <f>B579*0.3/100</f>
        <v>0.3</v>
      </c>
      <c r="AB579" s="39">
        <f>B579*4.9/100</f>
        <v>4.9000000000000004</v>
      </c>
      <c r="AC579"/>
    </row>
    <row r="580" spans="1:29">
      <c r="A580" s="40" t="s">
        <v>154</v>
      </c>
      <c r="B580" s="41">
        <v>100</v>
      </c>
      <c r="C580" s="38">
        <f>B580*44/100</f>
        <v>44</v>
      </c>
      <c r="D580" s="39">
        <f>B580*1.7/100</f>
        <v>1.7</v>
      </c>
      <c r="E580" s="39">
        <f>B580*0.2/100</f>
        <v>0.2</v>
      </c>
      <c r="F580" s="39">
        <f>B580*0.03/100</f>
        <v>0.03</v>
      </c>
      <c r="G580" s="36"/>
      <c r="H580" s="36"/>
      <c r="I580" s="36"/>
      <c r="J580" s="39"/>
      <c r="K580" s="39">
        <v>0</v>
      </c>
      <c r="L580" s="39">
        <f>B580*10/100</f>
        <v>10</v>
      </c>
      <c r="M580" s="39">
        <f>B580*1.7/100</f>
        <v>1.7</v>
      </c>
      <c r="N580" s="39">
        <f>B580*16/100</f>
        <v>16</v>
      </c>
      <c r="O580" s="36"/>
      <c r="P580" s="36"/>
      <c r="Q580" s="36"/>
      <c r="R580" s="39">
        <f>B580*0.8/100</f>
        <v>0.8</v>
      </c>
      <c r="S580" s="39">
        <f>B580*77/100</f>
        <v>77</v>
      </c>
      <c r="T580" s="39">
        <f>B580*305/100</f>
        <v>305</v>
      </c>
      <c r="U580" s="42"/>
      <c r="V580" s="42"/>
      <c r="W580" s="36"/>
      <c r="X580" s="39">
        <f>B580*0.03/100</f>
        <v>0.03</v>
      </c>
      <c r="Y580" s="42"/>
      <c r="Z580" s="42"/>
      <c r="AA580" s="39">
        <f>B580*0.3/100</f>
        <v>0.3</v>
      </c>
      <c r="AB580" s="39">
        <f>B580*3.6/100</f>
        <v>3.6</v>
      </c>
      <c r="AC580"/>
    </row>
    <row r="581" spans="1:29">
      <c r="A581" s="40" t="s">
        <v>155</v>
      </c>
      <c r="B581" s="41">
        <v>100</v>
      </c>
      <c r="C581" s="38">
        <f>B581*345/100</f>
        <v>345</v>
      </c>
      <c r="D581" s="39">
        <f>B581*17.52/100</f>
        <v>17.52</v>
      </c>
      <c r="E581" s="39">
        <f>B581*25.56/100</f>
        <v>25.56</v>
      </c>
      <c r="F581" s="39">
        <f>B581*6.78/100</f>
        <v>6.78</v>
      </c>
      <c r="G581" s="36"/>
      <c r="H581" s="36"/>
      <c r="I581" s="36"/>
      <c r="J581" s="39"/>
      <c r="K581" s="39">
        <f>B581*127/100</f>
        <v>127</v>
      </c>
      <c r="L581" s="39">
        <f>B581*10.98/100</f>
        <v>10.98</v>
      </c>
      <c r="M581" s="39">
        <f>B581*0.08/100</f>
        <v>0.08</v>
      </c>
      <c r="N581" s="39">
        <f>B581*17.53/100</f>
        <v>17.53</v>
      </c>
      <c r="O581" s="36"/>
      <c r="P581" s="36"/>
      <c r="Q581" s="36"/>
      <c r="R581" s="39">
        <f>B581*2.13/100</f>
        <v>2.13</v>
      </c>
      <c r="S581" s="39">
        <f>B581*238.04/100</f>
        <v>238.04</v>
      </c>
      <c r="T581" s="39">
        <f>B581*222.91/100</f>
        <v>222.91</v>
      </c>
      <c r="U581" s="42"/>
      <c r="V581" s="42"/>
      <c r="W581" s="36"/>
      <c r="X581" s="39">
        <f>B581*0.072/100</f>
        <v>7.1999999999999995E-2</v>
      </c>
      <c r="Y581" s="42"/>
      <c r="Z581" s="42"/>
      <c r="AA581" s="39">
        <f>B581*2.16/100</f>
        <v>2.16</v>
      </c>
      <c r="AB581" s="39">
        <f>B581*0/100</f>
        <v>0</v>
      </c>
      <c r="AC581"/>
    </row>
    <row r="582" spans="1:29">
      <c r="A582" s="40" t="s">
        <v>156</v>
      </c>
      <c r="B582" s="41">
        <v>100</v>
      </c>
      <c r="C582" s="41">
        <f>B582*297/100</f>
        <v>297</v>
      </c>
      <c r="D582" s="41">
        <f>B582*26.3/100</f>
        <v>26.3</v>
      </c>
      <c r="E582" s="41">
        <f>B582*20.5/100</f>
        <v>20.5</v>
      </c>
      <c r="F582" s="41">
        <f>B582*7.7/100</f>
        <v>7.7</v>
      </c>
      <c r="G582" s="36"/>
      <c r="H582" s="36"/>
      <c r="I582" s="36"/>
      <c r="J582" s="41"/>
      <c r="K582" s="41">
        <f>B582*86.4/100</f>
        <v>86.4</v>
      </c>
      <c r="L582" s="41">
        <f>B582*0.2/100</f>
        <v>0.2</v>
      </c>
      <c r="M582" s="41">
        <f>B582*0.01/100</f>
        <v>0.01</v>
      </c>
      <c r="N582" s="41">
        <f>B582*11.7/100</f>
        <v>11.7</v>
      </c>
      <c r="O582" s="36"/>
      <c r="P582" s="36"/>
      <c r="Q582" s="36"/>
      <c r="R582" s="41">
        <f>B582*2.9/100</f>
        <v>2.9</v>
      </c>
      <c r="S582" s="41">
        <f>B582*277.1/100</f>
        <v>277.10000000000002</v>
      </c>
      <c r="T582" s="41">
        <f>B582*346.5/100</f>
        <v>346.5</v>
      </c>
      <c r="U582" s="42"/>
      <c r="V582" s="42"/>
      <c r="W582" s="36"/>
      <c r="X582" s="41">
        <f>B582*0.1/100</f>
        <v>0.1</v>
      </c>
      <c r="Y582" s="42"/>
      <c r="Z582" s="42"/>
      <c r="AA582" s="41">
        <f>B582*3.7/100</f>
        <v>3.7</v>
      </c>
      <c r="AB582" s="41">
        <f>B582*0.2/100</f>
        <v>0.2</v>
      </c>
      <c r="AC582"/>
    </row>
    <row r="583" spans="1:29">
      <c r="A583" s="40" t="s">
        <v>157</v>
      </c>
      <c r="B583" s="41">
        <v>100</v>
      </c>
      <c r="C583" s="38">
        <f>B583*195/100</f>
        <v>195</v>
      </c>
      <c r="D583" s="39">
        <f>B583*30.4/100</f>
        <v>30.4</v>
      </c>
      <c r="E583" s="39">
        <f>B583*7.2/100</f>
        <v>7.2</v>
      </c>
      <c r="F583" s="39">
        <f>B583*2.8/100</f>
        <v>2.8</v>
      </c>
      <c r="G583" s="36"/>
      <c r="H583" s="36"/>
      <c r="I583" s="36"/>
      <c r="J583" s="39"/>
      <c r="K583" s="39">
        <f>B583*89/100</f>
        <v>89</v>
      </c>
      <c r="L583" s="39">
        <v>0</v>
      </c>
      <c r="M583" s="39">
        <v>0</v>
      </c>
      <c r="N583" s="39">
        <f>B583*11/100</f>
        <v>11</v>
      </c>
      <c r="O583" s="36"/>
      <c r="P583" s="36"/>
      <c r="Q583" s="36"/>
      <c r="R583" s="39">
        <f>B583*3.4/100</f>
        <v>3.4</v>
      </c>
      <c r="S583" s="39">
        <f>B583*66/100</f>
        <v>66</v>
      </c>
      <c r="T583" s="39">
        <f>B583*403/100</f>
        <v>403</v>
      </c>
      <c r="U583" s="42"/>
      <c r="V583" s="42"/>
      <c r="W583" s="36"/>
      <c r="X583" s="39">
        <f>B583*0.1/100</f>
        <v>0.1</v>
      </c>
      <c r="Y583" s="42"/>
      <c r="Z583" s="42"/>
      <c r="AA583" s="39">
        <f>B583*4.3/100</f>
        <v>4.3</v>
      </c>
      <c r="AB583" s="39">
        <v>0</v>
      </c>
      <c r="AC583"/>
    </row>
    <row r="584" spans="1:29">
      <c r="A584" s="40" t="s">
        <v>158</v>
      </c>
      <c r="B584" s="41">
        <v>100</v>
      </c>
      <c r="C584" s="38">
        <f>B584*466/100</f>
        <v>466</v>
      </c>
      <c r="D584" s="39">
        <f>B584*9.4/100</f>
        <v>9.4</v>
      </c>
      <c r="E584" s="39">
        <f>B584*17.2/100</f>
        <v>17.2</v>
      </c>
      <c r="F584" s="39">
        <v>0</v>
      </c>
      <c r="G584" s="36"/>
      <c r="H584" s="36"/>
      <c r="I584" s="36"/>
      <c r="J584" s="39"/>
      <c r="K584" s="39">
        <v>0</v>
      </c>
      <c r="L584" s="39">
        <f>B584*68.3/100</f>
        <v>68.3</v>
      </c>
      <c r="M584" s="39">
        <v>0</v>
      </c>
      <c r="N584" s="39">
        <f>B584*0/100</f>
        <v>0</v>
      </c>
      <c r="O584" s="36"/>
      <c r="P584" s="36"/>
      <c r="Q584" s="36"/>
      <c r="R584" s="39">
        <f>B584*0/100</f>
        <v>0</v>
      </c>
      <c r="S584" s="39">
        <v>0</v>
      </c>
      <c r="T584" s="39">
        <v>0</v>
      </c>
      <c r="U584" s="42"/>
      <c r="V584" s="42"/>
      <c r="W584" s="36"/>
      <c r="X584" s="39">
        <v>0</v>
      </c>
      <c r="Y584" s="42"/>
      <c r="Z584" s="42"/>
      <c r="AA584" s="39">
        <v>0</v>
      </c>
      <c r="AB584" s="39">
        <f>B584*0/100</f>
        <v>0</v>
      </c>
      <c r="AC584"/>
    </row>
    <row r="585" spans="1:29">
      <c r="A585" s="40" t="s">
        <v>159</v>
      </c>
      <c r="B585" s="41">
        <v>40</v>
      </c>
      <c r="C585" s="38">
        <v>156.95813333333334</v>
      </c>
      <c r="D585" s="39">
        <v>3.47</v>
      </c>
      <c r="E585" s="39">
        <v>3.3143999999999996</v>
      </c>
      <c r="F585" s="39">
        <v>0.43679999999999997</v>
      </c>
      <c r="G585" s="36"/>
      <c r="H585" s="36"/>
      <c r="I585" s="36"/>
      <c r="J585" s="39"/>
      <c r="K585" s="39">
        <v>27.2</v>
      </c>
      <c r="L585" s="39">
        <v>28.312133333333339</v>
      </c>
      <c r="M585" s="39">
        <v>1.3308</v>
      </c>
      <c r="N585" s="39">
        <v>39.521333333333331</v>
      </c>
      <c r="O585" s="36"/>
      <c r="P585" s="36"/>
      <c r="Q585" s="36"/>
      <c r="R585" s="39">
        <v>0.71973333333333334</v>
      </c>
      <c r="S585" s="39">
        <v>33.231999999999999</v>
      </c>
      <c r="T585" s="39">
        <v>78.431333333333342</v>
      </c>
      <c r="U585" s="42"/>
      <c r="V585" s="42"/>
      <c r="W585" s="36"/>
      <c r="X585" s="39">
        <v>9.3933333333333327E-2</v>
      </c>
      <c r="Y585" s="42"/>
      <c r="Z585" s="42"/>
      <c r="AA585" s="39">
        <v>0.43642666666666668</v>
      </c>
      <c r="AB585" s="39">
        <v>0.14040000000000002</v>
      </c>
      <c r="AC585"/>
    </row>
    <row r="586" spans="1:29">
      <c r="A586" s="40" t="s">
        <v>160</v>
      </c>
      <c r="B586" s="41">
        <v>100</v>
      </c>
      <c r="C586" s="38">
        <f>B586*444/100</f>
        <v>444</v>
      </c>
      <c r="D586" s="39">
        <f>B586*7.7/100</f>
        <v>7.7</v>
      </c>
      <c r="E586" s="39">
        <f>B586*12.3/100</f>
        <v>12.3</v>
      </c>
      <c r="F586" s="39">
        <v>0</v>
      </c>
      <c r="G586" s="36"/>
      <c r="H586" s="36"/>
      <c r="I586" s="36"/>
      <c r="J586" s="39"/>
      <c r="K586" s="39">
        <v>0</v>
      </c>
      <c r="L586" s="39">
        <f>B586*75.7/100</f>
        <v>75.7</v>
      </c>
      <c r="M586" s="39">
        <v>0</v>
      </c>
      <c r="N586" s="39">
        <v>0</v>
      </c>
      <c r="O586" s="36"/>
      <c r="P586" s="36"/>
      <c r="Q586" s="36"/>
      <c r="R586" s="39">
        <v>0</v>
      </c>
      <c r="S586" s="39">
        <v>0</v>
      </c>
      <c r="T586" s="39">
        <v>0</v>
      </c>
      <c r="U586" s="42"/>
      <c r="V586" s="42"/>
      <c r="W586" s="36"/>
      <c r="X586" s="39">
        <v>0</v>
      </c>
      <c r="Y586" s="42"/>
      <c r="Z586" s="42"/>
      <c r="AA586" s="39">
        <v>0</v>
      </c>
      <c r="AB586" s="39">
        <v>0</v>
      </c>
      <c r="AC586"/>
    </row>
    <row r="587" spans="1:29">
      <c r="A587" s="40" t="s">
        <v>161</v>
      </c>
      <c r="B587" s="41">
        <v>100</v>
      </c>
      <c r="C587" s="38">
        <f>B587*293/100</f>
        <v>293</v>
      </c>
      <c r="D587" s="39">
        <f>B587*2.8/100</f>
        <v>2.8</v>
      </c>
      <c r="E587" s="39">
        <f>B587*9/100</f>
        <v>9</v>
      </c>
      <c r="F587" s="39">
        <f>B587*1.9/100</f>
        <v>1.9</v>
      </c>
      <c r="G587" s="36"/>
      <c r="H587" s="36"/>
      <c r="I587" s="36"/>
      <c r="J587" s="39"/>
      <c r="K587" s="39">
        <f>B587*73.4/100</f>
        <v>73.400000000000006</v>
      </c>
      <c r="L587" s="39">
        <f>B587*52.3/100</f>
        <v>52.3</v>
      </c>
      <c r="M587" s="39">
        <f>B587*0.4/100</f>
        <v>0.4</v>
      </c>
      <c r="N587" s="39">
        <f>B587*41.8/100</f>
        <v>41.8</v>
      </c>
      <c r="O587" s="36"/>
      <c r="P587" s="36"/>
      <c r="Q587" s="36"/>
      <c r="R587" s="39">
        <f>B587*1.2/100</f>
        <v>1.2</v>
      </c>
      <c r="S587" s="39">
        <f>B587*188/100</f>
        <v>188</v>
      </c>
      <c r="T587" s="39">
        <f>B587*54.6/100</f>
        <v>54.6</v>
      </c>
      <c r="U587" s="42"/>
      <c r="V587" s="42"/>
      <c r="W587" s="36"/>
      <c r="X587" s="39">
        <f>B587*0.02/100</f>
        <v>0.02</v>
      </c>
      <c r="Y587" s="42"/>
      <c r="Z587" s="42"/>
      <c r="AA587" s="39">
        <f>B587*0.03/100</f>
        <v>0.03</v>
      </c>
      <c r="AB587" s="39">
        <f>B587*0.2/100</f>
        <v>0.2</v>
      </c>
      <c r="AC587"/>
    </row>
    <row r="588" spans="1:29">
      <c r="A588" s="40" t="s">
        <v>162</v>
      </c>
      <c r="B588" s="41">
        <v>100</v>
      </c>
      <c r="C588" s="38">
        <f>B588*493/100</f>
        <v>493</v>
      </c>
      <c r="D588" s="39">
        <f>B588*5.9/100</f>
        <v>5.9</v>
      </c>
      <c r="E588" s="39">
        <f>B588*22.6/100</f>
        <v>22.6</v>
      </c>
      <c r="F588" s="39">
        <v>0</v>
      </c>
      <c r="G588" s="36"/>
      <c r="H588" s="36"/>
      <c r="I588" s="36"/>
      <c r="J588" s="39"/>
      <c r="K588" s="39">
        <v>0</v>
      </c>
      <c r="L588" s="39">
        <f>B588*66.5/100</f>
        <v>66.5</v>
      </c>
      <c r="M588" s="39">
        <v>0</v>
      </c>
      <c r="N588" s="39">
        <v>0</v>
      </c>
      <c r="O588" s="36"/>
      <c r="P588" s="36"/>
      <c r="Q588" s="36"/>
      <c r="R588" s="39">
        <v>0</v>
      </c>
      <c r="S588" s="39">
        <v>0</v>
      </c>
      <c r="T588" s="39">
        <v>0</v>
      </c>
      <c r="U588" s="42"/>
      <c r="V588" s="42"/>
      <c r="W588" s="36"/>
      <c r="X588" s="39">
        <v>0</v>
      </c>
      <c r="Y588" s="42"/>
      <c r="Z588" s="42"/>
      <c r="AA588" s="39">
        <v>0</v>
      </c>
      <c r="AB588" s="39">
        <v>0</v>
      </c>
      <c r="AC588"/>
    </row>
    <row r="589" spans="1:29">
      <c r="A589" s="40" t="s">
        <v>163</v>
      </c>
      <c r="B589" s="41">
        <v>100</v>
      </c>
      <c r="C589" s="38">
        <f>B589*358/100</f>
        <v>358</v>
      </c>
      <c r="D589" s="39">
        <f>B589*5.36/100</f>
        <v>5.36</v>
      </c>
      <c r="E589" s="39">
        <f>B589*14.76/100</f>
        <v>14.76</v>
      </c>
      <c r="F589" s="39">
        <f>B589*3.17/100</f>
        <v>3.17</v>
      </c>
      <c r="G589" s="36"/>
      <c r="H589" s="36"/>
      <c r="I589" s="36"/>
      <c r="J589" s="39"/>
      <c r="K589" s="39">
        <f>B589*55.22/100</f>
        <v>55.22</v>
      </c>
      <c r="L589" s="39">
        <f>B589*52.44/100</f>
        <v>52.44</v>
      </c>
      <c r="M589" s="39">
        <f>B589*1.3/100</f>
        <v>1.3</v>
      </c>
      <c r="N589" s="39">
        <f>B589*32/100</f>
        <v>32</v>
      </c>
      <c r="O589" s="36"/>
      <c r="P589" s="36"/>
      <c r="Q589" s="36"/>
      <c r="R589" s="39">
        <f>B589*1.685/100</f>
        <v>1.6850000000000001</v>
      </c>
      <c r="S589" s="39">
        <f>B589*118.87/100</f>
        <v>118.87</v>
      </c>
      <c r="T589" s="39">
        <f>B589*129.931/100</f>
        <v>129.93100000000001</v>
      </c>
      <c r="U589" s="42"/>
      <c r="V589" s="42"/>
      <c r="W589" s="36"/>
      <c r="X589" s="39">
        <f>B589*0.244/100</f>
        <v>0.24399999999999999</v>
      </c>
      <c r="Y589" s="42"/>
      <c r="Z589" s="42"/>
      <c r="AA589" s="39">
        <f>B589*2.143/100</f>
        <v>2.1429999999999998</v>
      </c>
      <c r="AB589" s="39">
        <f>B589*0.221/100</f>
        <v>0.221</v>
      </c>
      <c r="AC589"/>
    </row>
    <row r="590" spans="1:29">
      <c r="A590" s="40" t="s">
        <v>164</v>
      </c>
      <c r="B590" s="41">
        <v>100</v>
      </c>
      <c r="C590" s="38">
        <f>B590*268/100</f>
        <v>268</v>
      </c>
      <c r="D590" s="39">
        <f>B590*3.8/100</f>
        <v>3.8</v>
      </c>
      <c r="E590" s="39">
        <f>B590*10.2/100</f>
        <v>10.199999999999999</v>
      </c>
      <c r="F590" s="39">
        <f>B590*2.1/100</f>
        <v>2.1</v>
      </c>
      <c r="G590" s="36"/>
      <c r="H590" s="36"/>
      <c r="I590" s="36"/>
      <c r="J590" s="39"/>
      <c r="K590" s="39">
        <f>B590*28.2/100</f>
        <v>28.2</v>
      </c>
      <c r="L590" s="39">
        <f>B590*41.5/100</f>
        <v>41.5</v>
      </c>
      <c r="M590" s="39">
        <f>B590*1.4/100</f>
        <v>1.4</v>
      </c>
      <c r="N590" s="39">
        <f>B590*94.2/100</f>
        <v>94.2</v>
      </c>
      <c r="O590" s="36"/>
      <c r="P590" s="36"/>
      <c r="Q590" s="36"/>
      <c r="R590" s="39">
        <f>B590*2.8/100</f>
        <v>2.8</v>
      </c>
      <c r="S590" s="39">
        <f>B590*80.7/100</f>
        <v>80.7</v>
      </c>
      <c r="T590" s="39">
        <f>B590*616/100</f>
        <v>616</v>
      </c>
      <c r="U590" s="42"/>
      <c r="V590" s="42"/>
      <c r="W590" s="36"/>
      <c r="X590" s="39">
        <f>B590*0.1/100</f>
        <v>0.1</v>
      </c>
      <c r="Y590" s="42"/>
      <c r="Z590" s="42"/>
      <c r="AA590" s="39">
        <f>B590*1.1/100</f>
        <v>1.1000000000000001</v>
      </c>
      <c r="AB590" s="39">
        <f>B590*35.4/100</f>
        <v>35.4</v>
      </c>
      <c r="AC590"/>
    </row>
    <row r="591" spans="1:29">
      <c r="A591" s="40" t="s">
        <v>165</v>
      </c>
      <c r="B591" s="41">
        <v>100</v>
      </c>
      <c r="C591" s="38">
        <f>B591*318/100</f>
        <v>318</v>
      </c>
      <c r="D591" s="39">
        <f>B591*5.9/100</f>
        <v>5.9</v>
      </c>
      <c r="E591" s="39">
        <f>B591*8.4/100</f>
        <v>8.4</v>
      </c>
      <c r="F591" s="39">
        <f>B591*1.9/100</f>
        <v>1.9</v>
      </c>
      <c r="G591" s="36"/>
      <c r="H591" s="36"/>
      <c r="I591" s="36"/>
      <c r="J591" s="39"/>
      <c r="K591" s="39">
        <f>B591*50.2/100</f>
        <v>50.2</v>
      </c>
      <c r="L591" s="39">
        <f>B591*55.2/100</f>
        <v>55.2</v>
      </c>
      <c r="M591" s="39">
        <f>B591*1.4/100</f>
        <v>1.4</v>
      </c>
      <c r="N591" s="39">
        <f>B591*32.6/100</f>
        <v>32.6</v>
      </c>
      <c r="O591" s="36"/>
      <c r="P591" s="36"/>
      <c r="Q591" s="36"/>
      <c r="R591" s="39">
        <f>B591*1.8/100</f>
        <v>1.8</v>
      </c>
      <c r="S591" s="39">
        <f>B591*26.3/100</f>
        <v>26.3</v>
      </c>
      <c r="T591" s="39">
        <f>B591*103.1/100</f>
        <v>103.1</v>
      </c>
      <c r="U591" s="42"/>
      <c r="V591" s="42"/>
      <c r="W591" s="36"/>
      <c r="X591" s="39">
        <f>B591*0.3/100</f>
        <v>0.3</v>
      </c>
      <c r="Y591" s="42"/>
      <c r="Z591" s="42"/>
      <c r="AA591" s="39">
        <f>B591*2.4/100</f>
        <v>2.4</v>
      </c>
      <c r="AB591" s="39">
        <f>B591*0.2/100</f>
        <v>0.2</v>
      </c>
      <c r="AC591"/>
    </row>
    <row r="592" spans="1:29">
      <c r="A592" s="43" t="s">
        <v>166</v>
      </c>
      <c r="B592" s="41">
        <v>100</v>
      </c>
      <c r="C592" s="38">
        <f>B592*28/100</f>
        <v>28</v>
      </c>
      <c r="D592" s="39">
        <f>B592*3/100</f>
        <v>3</v>
      </c>
      <c r="E592" s="39">
        <f>B592*0.3/100</f>
        <v>0.3</v>
      </c>
      <c r="F592" s="39">
        <f>B592*0.05/100</f>
        <v>0.05</v>
      </c>
      <c r="G592" s="36"/>
      <c r="H592" s="36"/>
      <c r="I592" s="36"/>
      <c r="J592" s="39"/>
      <c r="K592" s="39">
        <v>0</v>
      </c>
      <c r="L592" s="39">
        <f>B592*5.1/100</f>
        <v>5.0999999999999996</v>
      </c>
      <c r="M592" s="39">
        <f>B592*3/100</f>
        <v>3</v>
      </c>
      <c r="N592" s="39">
        <f>B592*46/100</f>
        <v>46</v>
      </c>
      <c r="O592" s="36"/>
      <c r="P592" s="36"/>
      <c r="Q592" s="36"/>
      <c r="R592" s="39">
        <f>B592*0.8/100</f>
        <v>0.8</v>
      </c>
      <c r="S592" s="39">
        <f>B592*26/100</f>
        <v>26</v>
      </c>
      <c r="T592" s="39">
        <f>B592*292/100</f>
        <v>292</v>
      </c>
      <c r="U592" s="42"/>
      <c r="V592" s="42"/>
      <c r="W592" s="36"/>
      <c r="X592" s="39">
        <f>B592*0.06/100</f>
        <v>0.06</v>
      </c>
      <c r="Y592" s="42"/>
      <c r="Z592" s="42"/>
      <c r="AA592" s="39">
        <f>B592*0.6/100</f>
        <v>0.6</v>
      </c>
      <c r="AB592" s="39">
        <f>B592*74.6/100</f>
        <v>74.599999999999994</v>
      </c>
      <c r="AC592"/>
    </row>
    <row r="593" spans="1:29">
      <c r="A593" s="40" t="s">
        <v>167</v>
      </c>
      <c r="B593" s="41">
        <v>100</v>
      </c>
      <c r="C593" s="38">
        <f>B593*28/100</f>
        <v>28</v>
      </c>
      <c r="D593" s="39">
        <f>B593*3/100</f>
        <v>3</v>
      </c>
      <c r="E593" s="39">
        <f>B593*0.3/100</f>
        <v>0.3</v>
      </c>
      <c r="F593" s="39">
        <f>B593*0.05/100</f>
        <v>0.05</v>
      </c>
      <c r="G593" s="36"/>
      <c r="H593" s="36"/>
      <c r="I593" s="36"/>
      <c r="J593" s="39"/>
      <c r="K593" s="39">
        <v>0</v>
      </c>
      <c r="L593" s="39">
        <f>B593*5.2/100</f>
        <v>5.2</v>
      </c>
      <c r="M593" s="39">
        <f>B593*3/100</f>
        <v>3</v>
      </c>
      <c r="N593" s="39">
        <f>B593*48/100</f>
        <v>48</v>
      </c>
      <c r="O593" s="36"/>
      <c r="P593" s="36"/>
      <c r="Q593" s="36"/>
      <c r="R593" s="39">
        <f>B593*0.9/100</f>
        <v>0.9</v>
      </c>
      <c r="S593" s="39">
        <f>B593*27/100</f>
        <v>27</v>
      </c>
      <c r="T593" s="39">
        <f>B593*325/100</f>
        <v>325</v>
      </c>
      <c r="U593" s="42"/>
      <c r="V593" s="42"/>
      <c r="W593" s="36"/>
      <c r="X593" s="39">
        <f>B593*0.07/100</f>
        <v>7.0000000000000007E-2</v>
      </c>
      <c r="Y593" s="42"/>
      <c r="Z593" s="42"/>
      <c r="AA593" s="39">
        <f>B593*0.6/100</f>
        <v>0.6</v>
      </c>
      <c r="AB593" s="39">
        <f>B593*93.2/100</f>
        <v>93.2</v>
      </c>
      <c r="AC593"/>
    </row>
    <row r="594" spans="1:29">
      <c r="A594" s="40" t="s">
        <v>168</v>
      </c>
      <c r="B594" s="41">
        <v>100</v>
      </c>
      <c r="C594" s="38">
        <f>B594*30/100</f>
        <v>30</v>
      </c>
      <c r="D594" s="39">
        <f>B594*3/100</f>
        <v>3</v>
      </c>
      <c r="E594" s="39">
        <f>B594*0.2/100</f>
        <v>0.2</v>
      </c>
      <c r="F594" s="39">
        <f>B594*0.05/100</f>
        <v>0.05</v>
      </c>
      <c r="G594" s="36"/>
      <c r="H594" s="36"/>
      <c r="I594" s="36"/>
      <c r="J594" s="39"/>
      <c r="K594" s="39">
        <v>0</v>
      </c>
      <c r="L594" s="39">
        <f>B594*5.9/100</f>
        <v>5.9</v>
      </c>
      <c r="M594" s="39">
        <f>B594*1.8/100</f>
        <v>1.8</v>
      </c>
      <c r="N594" s="39">
        <f>B594*13/100</f>
        <v>13</v>
      </c>
      <c r="O594" s="36"/>
      <c r="P594" s="36"/>
      <c r="Q594" s="36"/>
      <c r="R594" s="39">
        <f>B594*0.9/100</f>
        <v>0.9</v>
      </c>
      <c r="S594" s="39">
        <f>B594*6/100</f>
        <v>6</v>
      </c>
      <c r="T594" s="39">
        <f>B594*149/100</f>
        <v>149</v>
      </c>
      <c r="U594" s="42"/>
      <c r="V594" s="42"/>
      <c r="W594" s="36"/>
      <c r="X594" s="39">
        <f>B594*0.08/100</f>
        <v>0.08</v>
      </c>
      <c r="Y594" s="42"/>
      <c r="Z594" s="42"/>
      <c r="AA594" s="39">
        <f>B594*0.7/100</f>
        <v>0.7</v>
      </c>
      <c r="AB594" s="39">
        <f>B594*13.2/100</f>
        <v>13.2</v>
      </c>
      <c r="AC594"/>
    </row>
    <row r="595" spans="1:29">
      <c r="A595" s="40" t="s">
        <v>169</v>
      </c>
      <c r="B595" s="41">
        <v>100</v>
      </c>
      <c r="C595" s="38">
        <f>B595*302/100</f>
        <v>302</v>
      </c>
      <c r="D595" s="39">
        <f>B595*7.5/100</f>
        <v>7.5</v>
      </c>
      <c r="E595" s="39">
        <f>B595*21.6/100</f>
        <v>21.6</v>
      </c>
      <c r="F595" s="39">
        <f>B595*6.6/100</f>
        <v>6.6</v>
      </c>
      <c r="G595" s="36"/>
      <c r="H595" s="36"/>
      <c r="I595" s="36"/>
      <c r="J595" s="39"/>
      <c r="K595" s="39">
        <f>B595*25.1/100</f>
        <v>25.1</v>
      </c>
      <c r="L595" s="39">
        <f>B595*20.6/100</f>
        <v>20.6</v>
      </c>
      <c r="M595" s="39">
        <f>B595*1.5/100</f>
        <v>1.5</v>
      </c>
      <c r="N595" s="39">
        <f>B595*110.5/100</f>
        <v>110.5</v>
      </c>
      <c r="O595" s="36"/>
      <c r="P595" s="36"/>
      <c r="Q595" s="36"/>
      <c r="R595" s="39">
        <f>B595*1.1/100</f>
        <v>1.1000000000000001</v>
      </c>
      <c r="S595" s="39">
        <f>B595*651.1/100</f>
        <v>651.1</v>
      </c>
      <c r="T595" s="39">
        <f>B595*275.1/100</f>
        <v>275.10000000000002</v>
      </c>
      <c r="U595" s="42"/>
      <c r="V595" s="42"/>
      <c r="W595" s="36"/>
      <c r="X595" s="39">
        <f>B595*0.1/100</f>
        <v>0.1</v>
      </c>
      <c r="Y595" s="42"/>
      <c r="Z595" s="42"/>
      <c r="AA595" s="39">
        <f>B595*1.6/100</f>
        <v>1.6</v>
      </c>
      <c r="AB595" s="39">
        <f>B595*11.1/100</f>
        <v>11.1</v>
      </c>
      <c r="AC595"/>
    </row>
    <row r="596" spans="1:29">
      <c r="A596" s="40" t="s">
        <v>170</v>
      </c>
      <c r="B596" s="41">
        <v>100</v>
      </c>
      <c r="C596" s="38">
        <f>B596*37/100</f>
        <v>37</v>
      </c>
      <c r="D596" s="39">
        <f>B596*0.3/100</f>
        <v>0.3</v>
      </c>
      <c r="E596" s="39">
        <f>B596*0.01/100</f>
        <v>0.01</v>
      </c>
      <c r="F596" s="39">
        <v>0</v>
      </c>
      <c r="G596" s="36"/>
      <c r="H596" s="36"/>
      <c r="I596" s="36"/>
      <c r="J596" s="39"/>
      <c r="K596" s="39">
        <v>0</v>
      </c>
      <c r="L596" s="39">
        <f>B596*9.1/100</f>
        <v>9.1</v>
      </c>
      <c r="M596" s="39">
        <v>0</v>
      </c>
      <c r="N596" s="39">
        <f>B596*5.3/100</f>
        <v>5.3</v>
      </c>
      <c r="O596" s="36"/>
      <c r="P596" s="36"/>
      <c r="Q596" s="36"/>
      <c r="R596" s="39">
        <f>B596*0.1/100</f>
        <v>0.1</v>
      </c>
      <c r="S596" s="39">
        <f>B596*3.7/100</f>
        <v>3.7</v>
      </c>
      <c r="T596" s="39">
        <f>B596*87.5/100</f>
        <v>87.5</v>
      </c>
      <c r="U596" s="42"/>
      <c r="V596" s="42"/>
      <c r="W596" s="36"/>
      <c r="X596" s="39">
        <v>0</v>
      </c>
      <c r="Y596" s="42"/>
      <c r="Z596" s="42"/>
      <c r="AA596" s="39">
        <f>B596*0.7/100</f>
        <v>0.7</v>
      </c>
      <c r="AB596" s="39">
        <v>0</v>
      </c>
      <c r="AC596"/>
    </row>
    <row r="597" spans="1:29">
      <c r="A597" s="40" t="s">
        <v>171</v>
      </c>
      <c r="B597" s="41">
        <v>100</v>
      </c>
      <c r="C597" s="38">
        <f>B597*6/100</f>
        <v>6</v>
      </c>
      <c r="D597" s="39">
        <f>B597*0.3/100</f>
        <v>0.3</v>
      </c>
      <c r="E597" s="39">
        <f>B597*0.01/100</f>
        <v>0.01</v>
      </c>
      <c r="F597" s="39">
        <v>0</v>
      </c>
      <c r="G597" s="36"/>
      <c r="H597" s="36"/>
      <c r="I597" s="36"/>
      <c r="J597" s="39"/>
      <c r="K597" s="39">
        <v>0</v>
      </c>
      <c r="L597" s="39">
        <f>B597*1.1/100</f>
        <v>1.1000000000000001</v>
      </c>
      <c r="M597" s="39">
        <v>0</v>
      </c>
      <c r="N597" s="39">
        <f>B597*5.7/100</f>
        <v>5.7</v>
      </c>
      <c r="O597" s="36"/>
      <c r="P597" s="36"/>
      <c r="Q597" s="36"/>
      <c r="R597" s="39">
        <f>B597*0.13/100</f>
        <v>0.13</v>
      </c>
      <c r="S597" s="39">
        <f>B597*0.04/100</f>
        <v>0.04</v>
      </c>
      <c r="T597" s="39">
        <f>B597*95.3/100</f>
        <v>95.3</v>
      </c>
      <c r="U597" s="42"/>
      <c r="V597" s="42"/>
      <c r="W597" s="36"/>
      <c r="X597" s="39">
        <v>0</v>
      </c>
      <c r="Y597" s="42"/>
      <c r="Z597" s="42"/>
      <c r="AA597" s="39">
        <f>B597*0.76/100</f>
        <v>0.76</v>
      </c>
      <c r="AB597" s="39">
        <v>0</v>
      </c>
      <c r="AC597"/>
    </row>
    <row r="598" spans="1:29">
      <c r="A598" s="40" t="s">
        <v>172</v>
      </c>
      <c r="B598" s="41">
        <v>100</v>
      </c>
      <c r="C598" s="38">
        <f>B598*54/100</f>
        <v>54</v>
      </c>
      <c r="D598" s="39">
        <f>B598*2.4/100</f>
        <v>2.4</v>
      </c>
      <c r="E598" s="39">
        <f>B598*2.3/100</f>
        <v>2.2999999999999998</v>
      </c>
      <c r="F598" s="39">
        <v>0</v>
      </c>
      <c r="G598" s="36"/>
      <c r="H598" s="36"/>
      <c r="I598" s="36"/>
      <c r="J598" s="39"/>
      <c r="K598" s="39">
        <f>B598*9.5/100</f>
        <v>9.5</v>
      </c>
      <c r="L598" s="39">
        <f>B598*6/100</f>
        <v>6</v>
      </c>
      <c r="M598" s="39">
        <v>0</v>
      </c>
      <c r="N598" s="39">
        <f>B598*84.9/100</f>
        <v>84.9</v>
      </c>
      <c r="O598" s="36"/>
      <c r="P598" s="36"/>
      <c r="Q598" s="36"/>
      <c r="R598" s="39">
        <f>B598*0.06/100</f>
        <v>0.06</v>
      </c>
      <c r="S598" s="39">
        <f>B598*35.4/100</f>
        <v>35.4</v>
      </c>
      <c r="T598" s="39">
        <f>B598*132.6/100</f>
        <v>132.6</v>
      </c>
      <c r="U598" s="42"/>
      <c r="V598" s="42"/>
      <c r="W598" s="36"/>
      <c r="X598" s="39">
        <f>B598*0.03/100</f>
        <v>0.03</v>
      </c>
      <c r="Y598" s="42"/>
      <c r="Z598" s="42"/>
      <c r="AA598" s="39">
        <f>B598*0.3/100</f>
        <v>0.3</v>
      </c>
      <c r="AB598" s="39">
        <f>B598*0.6/100</f>
        <v>0.6</v>
      </c>
      <c r="AC598"/>
    </row>
    <row r="599" spans="1:29">
      <c r="A599" s="40" t="s">
        <v>173</v>
      </c>
      <c r="B599" s="41">
        <v>100</v>
      </c>
      <c r="C599" s="38">
        <f>B599*44/100</f>
        <v>44</v>
      </c>
      <c r="D599" s="39">
        <f>B599*2.4/100</f>
        <v>2.4</v>
      </c>
      <c r="E599" s="39">
        <f>B599*2.3/100</f>
        <v>2.2999999999999998</v>
      </c>
      <c r="F599" s="39">
        <v>0</v>
      </c>
      <c r="G599" s="36"/>
      <c r="H599" s="36"/>
      <c r="I599" s="36"/>
      <c r="J599" s="39"/>
      <c r="K599" s="39">
        <f>B599*9.5/100</f>
        <v>9.5</v>
      </c>
      <c r="L599" s="39">
        <f>B599*3.6/100</f>
        <v>3.6</v>
      </c>
      <c r="M599" s="39">
        <v>0</v>
      </c>
      <c r="N599" s="39">
        <f>B599*85/100</f>
        <v>85</v>
      </c>
      <c r="O599" s="36"/>
      <c r="P599" s="36"/>
      <c r="Q599" s="36"/>
      <c r="R599" s="39">
        <f>B599*0.07/100</f>
        <v>7.0000000000000007E-2</v>
      </c>
      <c r="S599" s="39">
        <f>B599*34.3/100</f>
        <v>34.299999999999997</v>
      </c>
      <c r="T599" s="39">
        <f>B599*135/100</f>
        <v>135</v>
      </c>
      <c r="U599" s="42"/>
      <c r="V599" s="42"/>
      <c r="W599" s="36"/>
      <c r="X599" s="39">
        <f>B599*0.03/100</f>
        <v>0.03</v>
      </c>
      <c r="Y599" s="42"/>
      <c r="Z599" s="42"/>
      <c r="AA599" s="39">
        <f>B599*0.3/100</f>
        <v>0.3</v>
      </c>
      <c r="AB599" s="39">
        <f>B599*0.6/100</f>
        <v>0.6</v>
      </c>
      <c r="AC599"/>
    </row>
    <row r="600" spans="1:29">
      <c r="A600" s="40" t="s">
        <v>174</v>
      </c>
      <c r="B600" s="41">
        <v>100</v>
      </c>
      <c r="C600" s="38">
        <f>B600*300/100</f>
        <v>300</v>
      </c>
      <c r="D600" s="39">
        <f>B600*12.1/100</f>
        <v>12.1</v>
      </c>
      <c r="E600" s="39">
        <f>B600*27.5/100</f>
        <v>27.5</v>
      </c>
      <c r="F600" s="39" t="s">
        <v>149</v>
      </c>
      <c r="G600" s="36"/>
      <c r="H600" s="36"/>
      <c r="I600" s="36"/>
      <c r="J600" s="39"/>
      <c r="K600" s="39" t="s">
        <v>149</v>
      </c>
      <c r="L600" s="39">
        <f>B600*1.1/100</f>
        <v>1.1000000000000001</v>
      </c>
      <c r="M600" s="39" t="s">
        <v>149</v>
      </c>
      <c r="N600" s="39">
        <f>B600*7/100</f>
        <v>7</v>
      </c>
      <c r="O600" s="36"/>
      <c r="P600" s="36"/>
      <c r="Q600" s="36"/>
      <c r="R600" s="39">
        <f>B600*1.8/100</f>
        <v>1.8</v>
      </c>
      <c r="S600" s="39" t="s">
        <v>149</v>
      </c>
      <c r="T600" s="39" t="s">
        <v>149</v>
      </c>
      <c r="U600" s="42"/>
      <c r="V600" s="42"/>
      <c r="W600" s="36"/>
      <c r="X600" s="39" t="s">
        <v>149</v>
      </c>
      <c r="Y600" s="42"/>
      <c r="Z600" s="42"/>
      <c r="AA600" s="39" t="s">
        <v>149</v>
      </c>
      <c r="AB600" s="39" t="s">
        <v>149</v>
      </c>
      <c r="AC600"/>
    </row>
    <row r="601" spans="1:29">
      <c r="A601" s="40" t="s">
        <v>175</v>
      </c>
      <c r="B601" s="41">
        <v>100</v>
      </c>
      <c r="C601" s="38">
        <f>B601*284/100</f>
        <v>284</v>
      </c>
      <c r="D601" s="39">
        <f>B601*8.3/100</f>
        <v>8.3000000000000007</v>
      </c>
      <c r="E601" s="39">
        <f>B601*21.5/100</f>
        <v>21.5</v>
      </c>
      <c r="F601" s="39">
        <v>0</v>
      </c>
      <c r="G601" s="36"/>
      <c r="H601" s="36"/>
      <c r="I601" s="36"/>
      <c r="J601" s="39"/>
      <c r="K601" s="39">
        <v>0</v>
      </c>
      <c r="L601" s="39">
        <f>B601*14.2/100</f>
        <v>14.2</v>
      </c>
      <c r="M601" s="39">
        <v>0</v>
      </c>
      <c r="N601" s="39">
        <v>0</v>
      </c>
      <c r="O601" s="36"/>
      <c r="P601" s="36"/>
      <c r="Q601" s="36"/>
      <c r="R601" s="39">
        <v>0</v>
      </c>
      <c r="S601" s="39">
        <f>B601*20000/100</f>
        <v>20000</v>
      </c>
      <c r="T601" s="39">
        <v>0</v>
      </c>
      <c r="U601" s="42"/>
      <c r="V601" s="42"/>
      <c r="W601" s="36"/>
      <c r="X601" s="39">
        <v>0</v>
      </c>
      <c r="Y601" s="42"/>
      <c r="Z601" s="42"/>
      <c r="AA601" s="39">
        <v>0</v>
      </c>
      <c r="AB601" s="39">
        <v>0</v>
      </c>
      <c r="AC601"/>
    </row>
    <row r="602" spans="1:29">
      <c r="A602" s="40" t="s">
        <v>176</v>
      </c>
      <c r="B602" s="41">
        <v>100</v>
      </c>
      <c r="C602" s="38">
        <f>B602*285/100</f>
        <v>285</v>
      </c>
      <c r="D602" s="39">
        <f>B602*9/100</f>
        <v>9</v>
      </c>
      <c r="E602" s="39">
        <f>B602*22.6/100</f>
        <v>22.6</v>
      </c>
      <c r="F602" s="39">
        <v>0</v>
      </c>
      <c r="G602" s="36"/>
      <c r="H602" s="36"/>
      <c r="I602" s="36"/>
      <c r="J602" s="39"/>
      <c r="K602" s="39">
        <v>0</v>
      </c>
      <c r="L602" s="39">
        <f>B602*11.4/100</f>
        <v>11.4</v>
      </c>
      <c r="M602" s="39">
        <v>0</v>
      </c>
      <c r="N602" s="39">
        <v>0</v>
      </c>
      <c r="O602" s="36"/>
      <c r="P602" s="36"/>
      <c r="Q602" s="36"/>
      <c r="R602" s="39">
        <v>0</v>
      </c>
      <c r="S602" s="39">
        <f>B602*20000/100</f>
        <v>20000</v>
      </c>
      <c r="T602" s="39">
        <v>0</v>
      </c>
      <c r="U602" s="42"/>
      <c r="V602" s="42"/>
      <c r="W602" s="36"/>
      <c r="X602" s="39">
        <v>0</v>
      </c>
      <c r="Y602" s="42"/>
      <c r="Z602" s="42"/>
      <c r="AA602" s="39">
        <v>0</v>
      </c>
      <c r="AB602" s="39">
        <v>0</v>
      </c>
      <c r="AC602"/>
    </row>
    <row r="603" spans="1:29">
      <c r="A603" s="40" t="s">
        <v>177</v>
      </c>
      <c r="B603" s="41">
        <v>100</v>
      </c>
      <c r="C603" s="38">
        <f>B603*43/100</f>
        <v>43</v>
      </c>
      <c r="D603" s="39">
        <f>B603*0.9/100</f>
        <v>0.9</v>
      </c>
      <c r="E603" s="39">
        <f>B603*0.2/100</f>
        <v>0.2</v>
      </c>
      <c r="F603" s="39">
        <f>B603*0.02/100</f>
        <v>0.02</v>
      </c>
      <c r="G603" s="36"/>
      <c r="H603" s="36"/>
      <c r="I603" s="36"/>
      <c r="J603" s="39"/>
      <c r="K603" s="39">
        <v>0</v>
      </c>
      <c r="L603" s="39">
        <f>B603*9.9/100</f>
        <v>9.9</v>
      </c>
      <c r="M603" s="39">
        <f>B603*1.3/100</f>
        <v>1.3</v>
      </c>
      <c r="N603" s="39">
        <f>B603*18.5/100</f>
        <v>18.5</v>
      </c>
      <c r="O603" s="36"/>
      <c r="P603" s="36"/>
      <c r="Q603" s="36"/>
      <c r="R603" s="39">
        <f>B603*0.5/100</f>
        <v>0.5</v>
      </c>
      <c r="S603" s="39">
        <f>B603*20000/100</f>
        <v>20000</v>
      </c>
      <c r="T603" s="39">
        <f>B603*158.8/100</f>
        <v>158.80000000000001</v>
      </c>
      <c r="U603" s="42"/>
      <c r="V603" s="42"/>
      <c r="W603" s="36"/>
      <c r="X603" s="39">
        <f>B603*0.045/100</f>
        <v>4.4999999999999998E-2</v>
      </c>
      <c r="Y603" s="42"/>
      <c r="Z603" s="42"/>
      <c r="AA603" s="39">
        <f>B603*0.95/100</f>
        <v>0.95</v>
      </c>
      <c r="AB603" s="39">
        <f>B603*11.45/100</f>
        <v>11.45</v>
      </c>
      <c r="AC603"/>
    </row>
    <row r="604" spans="1:29">
      <c r="A604" s="40" t="s">
        <v>178</v>
      </c>
      <c r="B604" s="41">
        <v>100</v>
      </c>
      <c r="C604" s="38">
        <f>B604*52/100</f>
        <v>52</v>
      </c>
      <c r="D604" s="39">
        <f>B604*2.2/100</f>
        <v>2.2000000000000002</v>
      </c>
      <c r="E604" s="39">
        <f>B604*0.8/100</f>
        <v>0.8</v>
      </c>
      <c r="F604" s="39">
        <f>B604*0.03/100</f>
        <v>0.03</v>
      </c>
      <c r="G604" s="36"/>
      <c r="H604" s="36"/>
      <c r="I604" s="36"/>
      <c r="J604" s="39"/>
      <c r="K604" s="39">
        <v>0</v>
      </c>
      <c r="L604" s="39">
        <f>B604*9.6/100</f>
        <v>9.6</v>
      </c>
      <c r="M604" s="39">
        <f>B604*2.8/100</f>
        <v>2.8</v>
      </c>
      <c r="N604" s="39">
        <f>B604*19.95/100</f>
        <v>19.95</v>
      </c>
      <c r="O604" s="36"/>
      <c r="P604" s="36"/>
      <c r="Q604" s="36"/>
      <c r="R604" s="39">
        <f>B604*0.85/100</f>
        <v>0.85</v>
      </c>
      <c r="S604" s="39">
        <f>B604*80.65/100</f>
        <v>80.650000000000006</v>
      </c>
      <c r="T604" s="39">
        <f>B604*250.1/100</f>
        <v>250.1</v>
      </c>
      <c r="U604" s="42"/>
      <c r="V604" s="42"/>
      <c r="W604" s="36"/>
      <c r="X604" s="39">
        <f>B604*0.09/100</f>
        <v>0.09</v>
      </c>
      <c r="Y604" s="42"/>
      <c r="Z604" s="42"/>
      <c r="AA604" s="39">
        <f>B604*0.6/100</f>
        <v>0.6</v>
      </c>
      <c r="AB604" s="39">
        <f>B604*10.3/100</f>
        <v>10.3</v>
      </c>
      <c r="AC604"/>
    </row>
    <row r="605" spans="1:29">
      <c r="A605" s="40" t="s">
        <v>179</v>
      </c>
      <c r="B605" s="41">
        <v>100</v>
      </c>
      <c r="C605" s="38">
        <f>B605*106/100</f>
        <v>106</v>
      </c>
      <c r="D605" s="39">
        <f>B605*20.3/100</f>
        <v>20.3</v>
      </c>
      <c r="E605" s="39">
        <f>B605*1.7/100</f>
        <v>1.7</v>
      </c>
      <c r="F605" s="39">
        <f>B605*0.3/100</f>
        <v>0.3</v>
      </c>
      <c r="G605" s="36"/>
      <c r="H605" s="36"/>
      <c r="I605" s="36"/>
      <c r="J605" s="39"/>
      <c r="K605" s="39">
        <f>B605*152/100</f>
        <v>152</v>
      </c>
      <c r="L605" s="39">
        <f>B605*0.9/100</f>
        <v>0.9</v>
      </c>
      <c r="M605" s="39">
        <v>0</v>
      </c>
      <c r="N605" s="39">
        <f>B605*52/100</f>
        <v>52</v>
      </c>
      <c r="O605" s="36"/>
      <c r="P605" s="36"/>
      <c r="Q605" s="36"/>
      <c r="R605" s="39">
        <f>B605*2.4/100</f>
        <v>2.4</v>
      </c>
      <c r="S605" s="39">
        <f>B605*148/100</f>
        <v>148</v>
      </c>
      <c r="T605" s="39">
        <f>B605*185/100</f>
        <v>185</v>
      </c>
      <c r="U605" s="42"/>
      <c r="V605" s="42"/>
      <c r="W605" s="36"/>
      <c r="X605" s="39">
        <f>B605*0.03/100</f>
        <v>0.03</v>
      </c>
      <c r="Y605" s="42"/>
      <c r="Z605" s="42"/>
      <c r="AA605" s="39">
        <f>B605*2.5/100</f>
        <v>2.5</v>
      </c>
      <c r="AB605" s="39">
        <f>B605*2/100</f>
        <v>2</v>
      </c>
      <c r="AC605"/>
    </row>
    <row r="606" spans="1:29">
      <c r="A606" s="40" t="s">
        <v>180</v>
      </c>
      <c r="B606" s="41">
        <v>100</v>
      </c>
      <c r="C606" s="38">
        <f>B606*261/100</f>
        <v>261</v>
      </c>
      <c r="D606" s="39">
        <f>B606*3.9/100</f>
        <v>3.9</v>
      </c>
      <c r="E606" s="39">
        <f>B606*3.2/100</f>
        <v>3.2</v>
      </c>
      <c r="F606" s="39">
        <f>B606*0.65/100</f>
        <v>0.65</v>
      </c>
      <c r="G606" s="36"/>
      <c r="H606" s="36"/>
      <c r="I606" s="36"/>
      <c r="J606" s="39"/>
      <c r="K606" s="39">
        <v>0</v>
      </c>
      <c r="L606" s="39">
        <f>B606*79.8/100</f>
        <v>79.8</v>
      </c>
      <c r="M606" s="39">
        <f>B606*54.3/100</f>
        <v>54.3</v>
      </c>
      <c r="N606" s="39">
        <f>B606*1228/100</f>
        <v>1228</v>
      </c>
      <c r="O606" s="36"/>
      <c r="P606" s="36"/>
      <c r="Q606" s="36"/>
      <c r="R606" s="39">
        <f>B606*38.2/100</f>
        <v>38.200000000000003</v>
      </c>
      <c r="S606" s="39">
        <f>B606*26.3/100</f>
        <v>26.3</v>
      </c>
      <c r="T606" s="39">
        <f>B606*500/100</f>
        <v>500</v>
      </c>
      <c r="U606" s="42"/>
      <c r="V606" s="42"/>
      <c r="W606" s="36"/>
      <c r="X606" s="39">
        <f>B606*0.08/100</f>
        <v>0.08</v>
      </c>
      <c r="Y606" s="42"/>
      <c r="Z606" s="42"/>
      <c r="AA606" s="39">
        <f>B606*1.3/100</f>
        <v>1.3</v>
      </c>
      <c r="AB606" s="39">
        <f>B606*28.5/100</f>
        <v>28.5</v>
      </c>
      <c r="AC606"/>
    </row>
    <row r="607" spans="1:29">
      <c r="A607" s="40" t="s">
        <v>181</v>
      </c>
      <c r="B607" s="41">
        <v>100</v>
      </c>
      <c r="C607" s="38">
        <f>B607*55/100</f>
        <v>55</v>
      </c>
      <c r="D607" s="39">
        <f>B607*2.74/100</f>
        <v>2.74</v>
      </c>
      <c r="E607" s="39">
        <f>B607*1.8/100</f>
        <v>1.8</v>
      </c>
      <c r="F607" s="39">
        <f>B607*0.4/100</f>
        <v>0.4</v>
      </c>
      <c r="G607" s="36"/>
      <c r="H607" s="36"/>
      <c r="I607" s="36"/>
      <c r="J607" s="39"/>
      <c r="K607" s="39">
        <f>B607*6.49/100</f>
        <v>6.49</v>
      </c>
      <c r="L607" s="39">
        <f>B607*67.17/100</f>
        <v>67.17</v>
      </c>
      <c r="M607" s="39">
        <f>B607*0.16/100</f>
        <v>0.16</v>
      </c>
      <c r="N607" s="39">
        <f>B607*5.82/100</f>
        <v>5.82</v>
      </c>
      <c r="O607" s="36"/>
      <c r="P607" s="36"/>
      <c r="Q607" s="36"/>
      <c r="R607" s="39">
        <f>B607*0.44/100</f>
        <v>0.44</v>
      </c>
      <c r="S607" s="39">
        <f>B607*169.02/100</f>
        <v>169.02</v>
      </c>
      <c r="T607" s="39">
        <f>B607*36.78/100</f>
        <v>36.78</v>
      </c>
      <c r="U607" s="42"/>
      <c r="V607" s="42"/>
      <c r="W607" s="36"/>
      <c r="X607" s="39">
        <f>B607*0.054/100</f>
        <v>5.4000000000000006E-2</v>
      </c>
      <c r="Y607" s="42"/>
      <c r="Z607" s="42"/>
      <c r="AA607" s="39">
        <f>B607*1.35/100</f>
        <v>1.35</v>
      </c>
      <c r="AB607" s="39">
        <f>B607*0.389/100</f>
        <v>0.38900000000000001</v>
      </c>
      <c r="AC607"/>
    </row>
    <row r="608" spans="1:29">
      <c r="A608" s="40" t="s">
        <v>182</v>
      </c>
      <c r="B608" s="41">
        <v>100</v>
      </c>
      <c r="C608" s="38">
        <f>B608*175/100</f>
        <v>175</v>
      </c>
      <c r="D608" s="39">
        <f>B608*29/100</f>
        <v>29</v>
      </c>
      <c r="E608" s="39">
        <f>B608*5.7/100</f>
        <v>5.7</v>
      </c>
      <c r="F608" s="39">
        <f>B608*2.1/100</f>
        <v>2.1</v>
      </c>
      <c r="G608" s="36"/>
      <c r="H608" s="36"/>
      <c r="I608" s="36"/>
      <c r="J608" s="39"/>
      <c r="K608" s="39">
        <f>B608*69.1/100</f>
        <v>69.099999999999994</v>
      </c>
      <c r="L608" s="39">
        <v>0</v>
      </c>
      <c r="M608" s="39">
        <v>0</v>
      </c>
      <c r="N608" s="39">
        <f>B608*5.01/100</f>
        <v>5.01</v>
      </c>
      <c r="O608" s="36"/>
      <c r="P608" s="36"/>
      <c r="Q608" s="36"/>
      <c r="R608" s="39">
        <f>B608*2/100</f>
        <v>2</v>
      </c>
      <c r="S608" s="39">
        <f>B608*62.1/100</f>
        <v>62.1</v>
      </c>
      <c r="T608" s="39">
        <f>B608*395.4/100</f>
        <v>395.4</v>
      </c>
      <c r="U608" s="42"/>
      <c r="V608" s="42"/>
      <c r="W608" s="36"/>
      <c r="X608" s="39">
        <f>B608*0.09/100</f>
        <v>0.09</v>
      </c>
      <c r="Y608" s="42"/>
      <c r="Z608" s="42"/>
      <c r="AA608" s="39">
        <f>B608*3.75/100</f>
        <v>3.75</v>
      </c>
      <c r="AB608" s="39">
        <v>0</v>
      </c>
      <c r="AC608"/>
    </row>
    <row r="609" spans="1:29">
      <c r="A609" s="40" t="s">
        <v>183</v>
      </c>
      <c r="B609" s="41">
        <v>100</v>
      </c>
      <c r="C609" s="38">
        <f>B609*219/100</f>
        <v>219</v>
      </c>
      <c r="D609" s="39">
        <f>B609*29/100</f>
        <v>29</v>
      </c>
      <c r="E609" s="39">
        <f>B609*10.7/100</f>
        <v>10.7</v>
      </c>
      <c r="F609" s="39">
        <f>B609*2.8/100</f>
        <v>2.8</v>
      </c>
      <c r="G609" s="36"/>
      <c r="H609" s="36"/>
      <c r="I609" s="36"/>
      <c r="J609" s="39"/>
      <c r="K609" s="39">
        <f>B609*69.1/100</f>
        <v>69.099999999999994</v>
      </c>
      <c r="L609" s="39">
        <v>0</v>
      </c>
      <c r="M609" s="39">
        <v>0</v>
      </c>
      <c r="N609" s="39">
        <f>B609*5.25/100</f>
        <v>5.25</v>
      </c>
      <c r="O609" s="36"/>
      <c r="P609" s="36"/>
      <c r="Q609" s="36"/>
      <c r="R609" s="39">
        <f>B609*2/100</f>
        <v>2</v>
      </c>
      <c r="S609" s="39">
        <f>B609*449.7/100</f>
        <v>449.7</v>
      </c>
      <c r="T609" s="39">
        <f>B609*395.5/100</f>
        <v>395.5</v>
      </c>
      <c r="U609" s="42"/>
      <c r="V609" s="42"/>
      <c r="W609" s="36"/>
      <c r="X609" s="39">
        <f>B609*0.1/100</f>
        <v>0.1</v>
      </c>
      <c r="Y609" s="42"/>
      <c r="Z609" s="42"/>
      <c r="AA609" s="39">
        <f>B609*3.75/100</f>
        <v>3.75</v>
      </c>
      <c r="AB609" s="39">
        <v>0</v>
      </c>
      <c r="AC609"/>
    </row>
    <row r="610" spans="1:29">
      <c r="A610" s="40" t="s">
        <v>184</v>
      </c>
      <c r="B610" s="41">
        <v>100</v>
      </c>
      <c r="C610" s="38">
        <f>B610*293/100</f>
        <v>293</v>
      </c>
      <c r="D610" s="39">
        <f>B610*24.09/100</f>
        <v>24.09</v>
      </c>
      <c r="E610" s="39">
        <f>B610*20.83/100</f>
        <v>20.83</v>
      </c>
      <c r="F610" s="39">
        <f>B610*7.27/100</f>
        <v>7.27</v>
      </c>
      <c r="G610" s="36"/>
      <c r="H610" s="36"/>
      <c r="I610" s="36"/>
      <c r="J610" s="39"/>
      <c r="K610" s="39">
        <f>B610*88.94/100</f>
        <v>88.94</v>
      </c>
      <c r="L610" s="39">
        <f>B610*0.86/100</f>
        <v>0.86</v>
      </c>
      <c r="M610" s="39">
        <f>B610*0.13/100</f>
        <v>0.13</v>
      </c>
      <c r="N610" s="39">
        <f>B610*13.75/100</f>
        <v>13.75</v>
      </c>
      <c r="O610" s="36"/>
      <c r="P610" s="36"/>
      <c r="Q610" s="36"/>
      <c r="R610" s="39">
        <f>B610*2.45/100</f>
        <v>2.4500000000000002</v>
      </c>
      <c r="S610" s="39">
        <f>B610*411.32/100</f>
        <v>411.32</v>
      </c>
      <c r="T610" s="39">
        <f>B610*301.72/100</f>
        <v>301.72000000000003</v>
      </c>
      <c r="U610" s="42"/>
      <c r="V610" s="42"/>
      <c r="W610" s="36"/>
      <c r="X610" s="39">
        <f>B610*0.04/100</f>
        <v>0.04</v>
      </c>
      <c r="Y610" s="42"/>
      <c r="Z610" s="42"/>
      <c r="AA610" s="39">
        <f>B610*5.71/100</f>
        <v>5.71</v>
      </c>
      <c r="AB610" s="39">
        <f>B610*0.7/100</f>
        <v>0.7</v>
      </c>
      <c r="AC610"/>
    </row>
    <row r="611" spans="1:29">
      <c r="A611" s="40" t="s">
        <v>185</v>
      </c>
      <c r="B611" s="41">
        <v>100</v>
      </c>
      <c r="C611" s="38">
        <f>B611*188/100</f>
        <v>188</v>
      </c>
      <c r="D611" s="39">
        <f>B611*20/100</f>
        <v>20</v>
      </c>
      <c r="E611" s="39">
        <f>B611*12/100</f>
        <v>12</v>
      </c>
      <c r="F611" s="39">
        <f>B611*7.7/100</f>
        <v>7.7</v>
      </c>
      <c r="G611" s="36"/>
      <c r="H611" s="36"/>
      <c r="I611" s="36"/>
      <c r="J611" s="39"/>
      <c r="K611" s="39">
        <f>B611*101.2/100</f>
        <v>101.2</v>
      </c>
      <c r="L611" s="39">
        <v>0</v>
      </c>
      <c r="M611" s="39">
        <v>0</v>
      </c>
      <c r="N611" s="39">
        <f>B611*12/100</f>
        <v>12</v>
      </c>
      <c r="O611" s="36"/>
      <c r="P611" s="36"/>
      <c r="Q611" s="36"/>
      <c r="R611" s="39">
        <f>B611*2.7/100</f>
        <v>2.7</v>
      </c>
      <c r="S611" s="39">
        <f>B611*93.2/100</f>
        <v>93.2</v>
      </c>
      <c r="T611" s="39">
        <f>B611*327.6/100</f>
        <v>327.60000000000002</v>
      </c>
      <c r="U611" s="42"/>
      <c r="V611" s="42"/>
      <c r="W611" s="36"/>
      <c r="X611" s="39">
        <f>B611*0.04/100</f>
        <v>0.04</v>
      </c>
      <c r="Y611" s="42"/>
      <c r="Z611" s="42"/>
      <c r="AA611" s="39">
        <f>B611*6.5/100</f>
        <v>6.5</v>
      </c>
      <c r="AB611" s="39">
        <v>0</v>
      </c>
      <c r="AC611"/>
    </row>
    <row r="612" spans="1:29">
      <c r="A612" s="40" t="s">
        <v>186</v>
      </c>
      <c r="B612" s="41">
        <v>100</v>
      </c>
      <c r="C612" s="38">
        <f>B612*238/100</f>
        <v>238</v>
      </c>
      <c r="D612" s="39">
        <f>B612*18.75/100</f>
        <v>18.75</v>
      </c>
      <c r="E612" s="39">
        <f>B612*17.56/100</f>
        <v>17.559999999999999</v>
      </c>
      <c r="F612" s="39">
        <v>0</v>
      </c>
      <c r="G612" s="36"/>
      <c r="H612" s="36"/>
      <c r="I612" s="36"/>
      <c r="J612" s="39"/>
      <c r="K612" s="39">
        <f>B612*139.18/100</f>
        <v>139.18</v>
      </c>
      <c r="L612" s="39">
        <f>B612*0.36/100</f>
        <v>0.36</v>
      </c>
      <c r="M612" s="39">
        <v>0</v>
      </c>
      <c r="N612" s="39">
        <f>B612*17.38/100</f>
        <v>17.38</v>
      </c>
      <c r="O612" s="36"/>
      <c r="P612" s="36"/>
      <c r="Q612" s="36"/>
      <c r="R612" s="39">
        <f>B612*2.59/100</f>
        <v>2.59</v>
      </c>
      <c r="S612" s="39">
        <f>B612*326.13/100</f>
        <v>326.13</v>
      </c>
      <c r="T612" s="39">
        <f>B612*128.9/100</f>
        <v>128.9</v>
      </c>
      <c r="U612" s="42"/>
      <c r="V612" s="42"/>
      <c r="W612" s="36"/>
      <c r="X612" s="39">
        <f>B612*210.75/100</f>
        <v>210.75</v>
      </c>
      <c r="Y612" s="42"/>
      <c r="Z612" s="42"/>
      <c r="AA612" s="39">
        <f>B612*4.12/100</f>
        <v>4.12</v>
      </c>
      <c r="AB612" s="39">
        <f>B612*0.84/100</f>
        <v>0.84</v>
      </c>
      <c r="AC612"/>
    </row>
    <row r="613" spans="1:29">
      <c r="A613" s="40" t="s">
        <v>187</v>
      </c>
      <c r="B613" s="41">
        <v>100</v>
      </c>
      <c r="C613" s="38">
        <f>B613*441/100</f>
        <v>441</v>
      </c>
      <c r="D613" s="39">
        <f>B613*42/100</f>
        <v>42</v>
      </c>
      <c r="E613" s="39">
        <f>B613*29/100</f>
        <v>29</v>
      </c>
      <c r="F613" s="39">
        <v>0</v>
      </c>
      <c r="G613" s="36"/>
      <c r="H613" s="36"/>
      <c r="I613" s="36"/>
      <c r="J613" s="39"/>
      <c r="K613" s="39">
        <v>0</v>
      </c>
      <c r="L613" s="39">
        <v>0</v>
      </c>
      <c r="M613" s="39">
        <v>0</v>
      </c>
      <c r="N613" s="39">
        <f>B613*93/100</f>
        <v>93</v>
      </c>
      <c r="O613" s="36"/>
      <c r="P613" s="36"/>
      <c r="Q613" s="36"/>
      <c r="R613" s="39">
        <f>B613*9.7/100</f>
        <v>9.6999999999999993</v>
      </c>
      <c r="S613" s="39">
        <v>0</v>
      </c>
      <c r="T613" s="39">
        <v>0</v>
      </c>
      <c r="U613" s="42"/>
      <c r="V613" s="42"/>
      <c r="W613" s="36"/>
      <c r="X613" s="39">
        <f>B613*0.08/100</f>
        <v>0.08</v>
      </c>
      <c r="Y613" s="42"/>
      <c r="Z613" s="42"/>
      <c r="AA613" s="39">
        <f>B613*2.8/100</f>
        <v>2.8</v>
      </c>
      <c r="AB613" s="39">
        <v>0</v>
      </c>
      <c r="AC613"/>
    </row>
    <row r="614" spans="1:29">
      <c r="A614" s="40" t="s">
        <v>188</v>
      </c>
      <c r="B614" s="41">
        <v>100</v>
      </c>
      <c r="C614" s="38">
        <f>B614*574/100</f>
        <v>574</v>
      </c>
      <c r="D614" s="39">
        <f>B614*15.3/100</f>
        <v>15.3</v>
      </c>
      <c r="E614" s="39">
        <f>B614*46.4/100</f>
        <v>46.4</v>
      </c>
      <c r="F614" s="39">
        <f>B614*9.1/100</f>
        <v>9.1</v>
      </c>
      <c r="G614" s="36"/>
      <c r="H614" s="36"/>
      <c r="I614" s="36"/>
      <c r="J614" s="39"/>
      <c r="K614" s="39">
        <v>0</v>
      </c>
      <c r="L614" s="39">
        <f>B614*32.7/100</f>
        <v>32.700000000000003</v>
      </c>
      <c r="M614" s="39">
        <f>B614*3.2/100</f>
        <v>3.2</v>
      </c>
      <c r="N614" s="39">
        <f>B614*45/100</f>
        <v>45</v>
      </c>
      <c r="O614" s="36"/>
      <c r="P614" s="36"/>
      <c r="Q614" s="36"/>
      <c r="R614" s="39">
        <f>B614*6/100</f>
        <v>6</v>
      </c>
      <c r="S614" s="39">
        <f>B614*640/100</f>
        <v>640</v>
      </c>
      <c r="T614" s="39">
        <f>B614*565/100</f>
        <v>565</v>
      </c>
      <c r="U614" s="42"/>
      <c r="V614" s="42"/>
      <c r="W614" s="36"/>
      <c r="X614" s="39">
        <f>B614*0.2/100</f>
        <v>0.2</v>
      </c>
      <c r="Y614" s="42"/>
      <c r="Z614" s="42"/>
      <c r="AA614" s="39">
        <f>B614*1.4/100</f>
        <v>1.4</v>
      </c>
      <c r="AB614" s="39">
        <v>0</v>
      </c>
      <c r="AC614"/>
    </row>
    <row r="615" spans="1:29">
      <c r="A615" s="40" t="s">
        <v>189</v>
      </c>
      <c r="B615" s="41">
        <v>100</v>
      </c>
      <c r="C615" s="38">
        <f>B615*656/100</f>
        <v>656</v>
      </c>
      <c r="D615" s="39">
        <f>B615*14.3/100</f>
        <v>14.3</v>
      </c>
      <c r="E615" s="39">
        <f>B615*66.2/100</f>
        <v>66.2</v>
      </c>
      <c r="F615" s="39">
        <f>B615*16.2/100</f>
        <v>16.2</v>
      </c>
      <c r="G615" s="36"/>
      <c r="H615" s="36"/>
      <c r="I615" s="36"/>
      <c r="J615" s="39"/>
      <c r="K615" s="39">
        <v>0</v>
      </c>
      <c r="L615" s="39">
        <f>B615*12.8/100</f>
        <v>12.8</v>
      </c>
      <c r="M615" s="39">
        <f>B615*5.9/100</f>
        <v>5.9</v>
      </c>
      <c r="N615" s="39">
        <f>B615*176/100</f>
        <v>176</v>
      </c>
      <c r="O615" s="36"/>
      <c r="P615" s="36"/>
      <c r="Q615" s="36"/>
      <c r="R615" s="39">
        <f>B615*3.4/100</f>
        <v>3.4</v>
      </c>
      <c r="S615" s="39">
        <f>B615*2/100</f>
        <v>2</v>
      </c>
      <c r="T615" s="39">
        <f>B615*600/100</f>
        <v>600</v>
      </c>
      <c r="U615" s="42"/>
      <c r="V615" s="42"/>
      <c r="W615" s="36"/>
      <c r="X615" s="39">
        <f>B615*1/100</f>
        <v>1</v>
      </c>
      <c r="Y615" s="42"/>
      <c r="Z615" s="42"/>
      <c r="AA615" s="39">
        <f>B615*1.6/100</f>
        <v>1.6</v>
      </c>
      <c r="AB615" s="39">
        <f>B615*0.7/100</f>
        <v>0.7</v>
      </c>
      <c r="AC615"/>
    </row>
    <row r="616" spans="1:29">
      <c r="A616" s="40" t="s">
        <v>190</v>
      </c>
      <c r="B616" s="41">
        <v>100</v>
      </c>
      <c r="C616" s="38">
        <f>B616*104/100</f>
        <v>104</v>
      </c>
      <c r="D616" s="39">
        <f>B616*1.5/100</f>
        <v>1.5</v>
      </c>
      <c r="E616" s="39">
        <f>B616*0.4/100</f>
        <v>0.4</v>
      </c>
      <c r="F616" s="39">
        <f>B616*0.05/100</f>
        <v>0.05</v>
      </c>
      <c r="G616" s="36"/>
      <c r="H616" s="36"/>
      <c r="I616" s="36"/>
      <c r="J616" s="39"/>
      <c r="K616" s="39">
        <v>0</v>
      </c>
      <c r="L616" s="39">
        <f>B616*27.3/100</f>
        <v>27.3</v>
      </c>
      <c r="M616" s="39">
        <f>B616*1.3/100</f>
        <v>1.3</v>
      </c>
      <c r="N616" s="39">
        <f>B616*19/100</f>
        <v>19</v>
      </c>
      <c r="O616" s="36"/>
      <c r="P616" s="36"/>
      <c r="Q616" s="36"/>
      <c r="R616" s="39">
        <f>B616*0.7/100</f>
        <v>0.7</v>
      </c>
      <c r="S616" s="39">
        <f>B616*1186/100</f>
        <v>1186</v>
      </c>
      <c r="T616" s="39">
        <f>B616*481/100</f>
        <v>481</v>
      </c>
      <c r="U616" s="42"/>
      <c r="V616" s="42"/>
      <c r="W616" s="36"/>
      <c r="X616" s="39">
        <f>B616*0.09/100</f>
        <v>0.09</v>
      </c>
      <c r="Y616" s="42"/>
      <c r="Z616" s="42"/>
      <c r="AA616" s="39">
        <f>B616*1.4/100</f>
        <v>1.4</v>
      </c>
      <c r="AB616" s="39">
        <f>B616*15.1/100</f>
        <v>15.1</v>
      </c>
      <c r="AC616"/>
    </row>
    <row r="617" spans="1:29">
      <c r="A617" s="40" t="s">
        <v>191</v>
      </c>
      <c r="B617" s="41">
        <v>100</v>
      </c>
      <c r="C617" s="38">
        <f>B617*38/100</f>
        <v>38</v>
      </c>
      <c r="D617" s="39">
        <f>B617*1.17/100</f>
        <v>1.17</v>
      </c>
      <c r="E617" s="39">
        <f>B617*0.16/100</f>
        <v>0.16</v>
      </c>
      <c r="F617" s="39">
        <f>B617*0.03/100</f>
        <v>0.03</v>
      </c>
      <c r="G617" s="36"/>
      <c r="H617" s="36"/>
      <c r="I617" s="36"/>
      <c r="J617" s="39"/>
      <c r="K617" s="39">
        <v>0</v>
      </c>
      <c r="L617" s="39">
        <f>B617*8.64/100</f>
        <v>8.64</v>
      </c>
      <c r="M617" s="39">
        <f>B617*1.68/100</f>
        <v>1.68</v>
      </c>
      <c r="N617" s="39">
        <f>B617*20/100</f>
        <v>20</v>
      </c>
      <c r="O617" s="36"/>
      <c r="P617" s="36"/>
      <c r="Q617" s="36"/>
      <c r="R617" s="39">
        <f>B617*0.22/100</f>
        <v>0.22</v>
      </c>
      <c r="S617" s="39">
        <f>B617*3/100</f>
        <v>3</v>
      </c>
      <c r="T617" s="39">
        <f>B617*157/100</f>
        <v>157</v>
      </c>
      <c r="U617" s="42"/>
      <c r="V617" s="42"/>
      <c r="W617" s="36"/>
      <c r="X617" s="39">
        <f>B617*0.04/100</f>
        <v>0.04</v>
      </c>
      <c r="Y617" s="42"/>
      <c r="Z617" s="42"/>
      <c r="AA617" s="39">
        <f>B617*0.15/100</f>
        <v>0.15</v>
      </c>
      <c r="AB617" s="39">
        <f>B617*6.4/100</f>
        <v>6.4</v>
      </c>
      <c r="AC617"/>
    </row>
    <row r="618" spans="1:29">
      <c r="A618" s="43" t="s">
        <v>192</v>
      </c>
      <c r="B618" s="41">
        <v>100</v>
      </c>
      <c r="C618" s="38">
        <f>B618*43/100</f>
        <v>43</v>
      </c>
      <c r="D618" s="39">
        <f>B618*1.04/100</f>
        <v>1.04</v>
      </c>
      <c r="E618" s="39">
        <f>B618*0.2/100</f>
        <v>0.2</v>
      </c>
      <c r="F618" s="39">
        <f>B618*0.03/100</f>
        <v>0.03</v>
      </c>
      <c r="G618" s="36"/>
      <c r="H618" s="36"/>
      <c r="I618" s="36"/>
      <c r="J618" s="39"/>
      <c r="K618" s="39">
        <f>B618*0/100</f>
        <v>0</v>
      </c>
      <c r="L618" s="39">
        <f>B618*10.1/100</f>
        <v>10.1</v>
      </c>
      <c r="M618" s="39">
        <f>B618*2.6/100</f>
        <v>2.6</v>
      </c>
      <c r="N618" s="39">
        <f>B618*27/100</f>
        <v>27</v>
      </c>
      <c r="O618" s="36"/>
      <c r="P618" s="36"/>
      <c r="Q618" s="36"/>
      <c r="R618" s="39">
        <f>B618*0.5/100</f>
        <v>0.5</v>
      </c>
      <c r="S618" s="39">
        <f>B618*35/100</f>
        <v>35</v>
      </c>
      <c r="T618" s="39">
        <f>B618*323/100</f>
        <v>323</v>
      </c>
      <c r="U618" s="42"/>
      <c r="V618" s="42"/>
      <c r="W618" s="36"/>
      <c r="X618" s="39">
        <f>B618*0.1/100</f>
        <v>0.1</v>
      </c>
      <c r="Y618" s="42"/>
      <c r="Z618" s="42"/>
      <c r="AA618" s="39">
        <f>B618*0.93/100</f>
        <v>0.93</v>
      </c>
      <c r="AB618" s="39">
        <f>B618*9.3/100</f>
        <v>9.3000000000000007</v>
      </c>
      <c r="AC618"/>
    </row>
    <row r="619" spans="1:29">
      <c r="A619" s="43" t="s">
        <v>193</v>
      </c>
      <c r="B619" s="41">
        <v>100</v>
      </c>
      <c r="C619" s="38">
        <f>B619*45/100</f>
        <v>45</v>
      </c>
      <c r="D619" s="39">
        <f>B619*1.1/100</f>
        <v>1.1000000000000001</v>
      </c>
      <c r="E619" s="39">
        <f>B619*0.18/100</f>
        <v>0.18</v>
      </c>
      <c r="F619" s="39">
        <f>B619*0.03/100</f>
        <v>0.03</v>
      </c>
      <c r="G619" s="36"/>
      <c r="H619" s="36"/>
      <c r="I619" s="36"/>
      <c r="J619" s="39"/>
      <c r="K619" s="39">
        <f>B619*0/100</f>
        <v>0</v>
      </c>
      <c r="L619" s="39">
        <f>B619*10.5/100</f>
        <v>10.5</v>
      </c>
      <c r="M619" s="39">
        <f>B619*2.53/100</f>
        <v>2.5299999999999998</v>
      </c>
      <c r="N619" s="39">
        <f>B619*31/100</f>
        <v>31</v>
      </c>
      <c r="O619" s="36"/>
      <c r="P619" s="36"/>
      <c r="Q619" s="36"/>
      <c r="R619" s="39">
        <f>B619*0.6/100</f>
        <v>0.6</v>
      </c>
      <c r="S619" s="39">
        <f>B619*66/100</f>
        <v>66</v>
      </c>
      <c r="T619" s="39">
        <f>B619*227/100</f>
        <v>227</v>
      </c>
      <c r="U619" s="42"/>
      <c r="V619" s="42"/>
      <c r="W619" s="36"/>
      <c r="X619" s="39">
        <f>B619*0.03/100</f>
        <v>0.03</v>
      </c>
      <c r="Y619" s="42"/>
      <c r="Z619" s="42"/>
      <c r="AA619" s="39">
        <f>B619*0.51/100</f>
        <v>0.51</v>
      </c>
      <c r="AB619" s="39">
        <f>B619*2.3/100</f>
        <v>2.2999999999999998</v>
      </c>
      <c r="AC619"/>
    </row>
    <row r="620" spans="1:29">
      <c r="A620" s="40" t="s">
        <v>194</v>
      </c>
      <c r="B620" s="41">
        <v>100</v>
      </c>
      <c r="C620" s="38">
        <f>B620*98/100</f>
        <v>98</v>
      </c>
      <c r="D620" s="39">
        <f>B620*1.3/100</f>
        <v>1.3</v>
      </c>
      <c r="E620" s="39">
        <f>B620*5.2/100</f>
        <v>5.2</v>
      </c>
      <c r="F620" s="39">
        <f>B620*0.75/100</f>
        <v>0.75</v>
      </c>
      <c r="G620" s="36"/>
      <c r="H620" s="36"/>
      <c r="I620" s="36"/>
      <c r="J620" s="39"/>
      <c r="K620" s="39">
        <v>0</v>
      </c>
      <c r="L620" s="39">
        <f>B620*12.5/100</f>
        <v>12.5</v>
      </c>
      <c r="M620" s="39">
        <f>B620*3.2/100</f>
        <v>3.2</v>
      </c>
      <c r="N620" s="39">
        <f>B620*33.6/100</f>
        <v>33.6</v>
      </c>
      <c r="O620" s="36"/>
      <c r="P620" s="36"/>
      <c r="Q620" s="36"/>
      <c r="R620" s="39">
        <f>B620*0.6/100</f>
        <v>0.6</v>
      </c>
      <c r="S620" s="39">
        <f>B620*429.7/100</f>
        <v>429.7</v>
      </c>
      <c r="T620" s="39">
        <f>B620*395.5/100</f>
        <v>395.5</v>
      </c>
      <c r="U620" s="42"/>
      <c r="V620" s="42"/>
      <c r="W620" s="36"/>
      <c r="X620" s="39">
        <f>B620*0.1/100</f>
        <v>0.1</v>
      </c>
      <c r="Y620" s="42"/>
      <c r="Z620" s="42"/>
      <c r="AA620" s="39">
        <f>B620*1.1/100</f>
        <v>1.1000000000000001</v>
      </c>
      <c r="AB620" s="39">
        <f>B620*11.5/100</f>
        <v>11.5</v>
      </c>
      <c r="AC620"/>
    </row>
    <row r="621" spans="1:29">
      <c r="A621" s="40" t="s">
        <v>195</v>
      </c>
      <c r="B621" s="41">
        <v>100</v>
      </c>
      <c r="C621" s="38">
        <f>B621*72/100</f>
        <v>72</v>
      </c>
      <c r="D621" s="39">
        <f>B621*1.21/100</f>
        <v>1.21</v>
      </c>
      <c r="E621" s="39">
        <f>B621*0.96/100</f>
        <v>0.96</v>
      </c>
      <c r="F621" s="39">
        <f>B621*0.22/100</f>
        <v>0.22</v>
      </c>
      <c r="G621" s="36"/>
      <c r="H621" s="36"/>
      <c r="I621" s="36"/>
      <c r="J621" s="39"/>
      <c r="K621" s="39">
        <f>B621*0/100</f>
        <v>0</v>
      </c>
      <c r="L621" s="39">
        <f>B621*16.6/100</f>
        <v>16.600000000000001</v>
      </c>
      <c r="M621" s="39">
        <f>B621*1.7/100</f>
        <v>1.7</v>
      </c>
      <c r="N621" s="39">
        <f>B621*15/100</f>
        <v>15</v>
      </c>
      <c r="O621" s="36"/>
      <c r="P621" s="36"/>
      <c r="Q621" s="36"/>
      <c r="R621" s="39">
        <f>B621*0.39/100</f>
        <v>0.39</v>
      </c>
      <c r="S621" s="39">
        <f>B621*0/100</f>
        <v>0</v>
      </c>
      <c r="T621" s="39">
        <f>B621*224/100</f>
        <v>224</v>
      </c>
      <c r="U621" s="42"/>
      <c r="V621" s="42"/>
      <c r="W621" s="36"/>
      <c r="X621" s="39">
        <f>B621*0.04/100</f>
        <v>0.04</v>
      </c>
      <c r="Y621" s="42"/>
      <c r="Z621" s="42"/>
      <c r="AA621" s="39">
        <f>B621*0.4/100</f>
        <v>0.4</v>
      </c>
      <c r="AB621" s="39">
        <f>B621*7/100</f>
        <v>7</v>
      </c>
      <c r="AC621"/>
    </row>
    <row r="622" spans="1:29">
      <c r="A622" s="40" t="s">
        <v>196</v>
      </c>
      <c r="B622" s="41">
        <v>100</v>
      </c>
      <c r="C622" s="38">
        <f>B622*200/100</f>
        <v>200</v>
      </c>
      <c r="D622" s="39">
        <f>B622*0/100</f>
        <v>0</v>
      </c>
      <c r="E622" s="39">
        <f>B622*0/100</f>
        <v>0</v>
      </c>
      <c r="F622" s="39">
        <f>B622*0/100</f>
        <v>0</v>
      </c>
      <c r="G622" s="36"/>
      <c r="H622" s="36"/>
      <c r="I622" s="36"/>
      <c r="J622" s="39"/>
      <c r="K622" s="39">
        <f>B622*0/100</f>
        <v>0</v>
      </c>
      <c r="L622" s="39">
        <f>B622*60/100</f>
        <v>60</v>
      </c>
      <c r="M622" s="39">
        <f>B622*0/100</f>
        <v>0</v>
      </c>
      <c r="N622" s="39">
        <f>B622*0/100</f>
        <v>0</v>
      </c>
      <c r="O622" s="36"/>
      <c r="P622" s="36"/>
      <c r="Q622" s="36"/>
      <c r="R622" s="39">
        <f>B622*4.4/100</f>
        <v>4.4000000000000004</v>
      </c>
      <c r="S622" s="39">
        <f>B622*0/100</f>
        <v>0</v>
      </c>
      <c r="T622" s="39">
        <f>B622*0/100</f>
        <v>0</v>
      </c>
      <c r="U622" s="42"/>
      <c r="V622" s="42"/>
      <c r="W622" s="36"/>
      <c r="X622" s="39">
        <f>B622*0.04/100</f>
        <v>0.04</v>
      </c>
      <c r="Y622" s="42"/>
      <c r="Z622" s="42"/>
      <c r="AA622" s="39">
        <f>B622*0/100</f>
        <v>0</v>
      </c>
      <c r="AB622" s="39">
        <f>B622*0/100</f>
        <v>0</v>
      </c>
      <c r="AC622"/>
    </row>
    <row r="623" spans="1:29">
      <c r="A623" s="40" t="s">
        <v>197</v>
      </c>
      <c r="B623" s="41">
        <v>100</v>
      </c>
      <c r="C623" s="38">
        <f>B623*12/100</f>
        <v>12</v>
      </c>
      <c r="D623" s="39">
        <f>B623*0.2/100</f>
        <v>0.2</v>
      </c>
      <c r="E623" s="39">
        <f>B623*0.14/100</f>
        <v>0.14000000000000001</v>
      </c>
      <c r="F623" s="39">
        <f>B623*0.008/100</f>
        <v>8.0000000000000002E-3</v>
      </c>
      <c r="G623" s="36"/>
      <c r="H623" s="36"/>
      <c r="I623" s="36"/>
      <c r="J623" s="39"/>
      <c r="K623" s="39">
        <v>0</v>
      </c>
      <c r="L623" s="39">
        <f>B623*2.8/100</f>
        <v>2.8</v>
      </c>
      <c r="M623" s="39">
        <f>B623*0.6/100</f>
        <v>0.6</v>
      </c>
      <c r="N623" s="39">
        <f>B623*5.6/100</f>
        <v>5.6</v>
      </c>
      <c r="O623" s="36"/>
      <c r="P623" s="36"/>
      <c r="Q623" s="36"/>
      <c r="R623" s="39">
        <f>B623*0.15/100</f>
        <v>0.15</v>
      </c>
      <c r="S623" s="39">
        <f>B623*0.4/100</f>
        <v>0.4</v>
      </c>
      <c r="T623" s="39">
        <f>B623*66.4/100</f>
        <v>66.400000000000006</v>
      </c>
      <c r="U623" s="42"/>
      <c r="V623" s="42"/>
      <c r="W623" s="36"/>
      <c r="X623" s="39">
        <f>B623*0.02/100</f>
        <v>0.02</v>
      </c>
      <c r="Y623" s="42"/>
      <c r="Z623" s="42"/>
      <c r="AA623" s="39">
        <f>B623*0.09/100</f>
        <v>0.09</v>
      </c>
      <c r="AB623" s="39">
        <f>B623*22.7/100</f>
        <v>22.7</v>
      </c>
      <c r="AC623"/>
    </row>
    <row r="624" spans="1:29">
      <c r="A624" s="40" t="s">
        <v>198</v>
      </c>
      <c r="B624" s="41">
        <v>100</v>
      </c>
      <c r="C624" s="38">
        <f>B624*9/100</f>
        <v>9</v>
      </c>
      <c r="D624" s="39">
        <f>B624*0.07/100</f>
        <v>7.0000000000000007E-2</v>
      </c>
      <c r="E624" s="39">
        <f>B624*0/100</f>
        <v>0</v>
      </c>
      <c r="F624" s="39">
        <f>B624*0/100</f>
        <v>0</v>
      </c>
      <c r="G624" s="36"/>
      <c r="H624" s="36"/>
      <c r="I624" s="36"/>
      <c r="J624" s="39"/>
      <c r="K624" s="39">
        <f>B624*0/100</f>
        <v>0</v>
      </c>
      <c r="L624" s="39">
        <f>B624*2.38/100</f>
        <v>2.38</v>
      </c>
      <c r="M624" s="39">
        <f>B624*0.02/100</f>
        <v>0.02</v>
      </c>
      <c r="N624" s="39">
        <f>B624*2.296/100</f>
        <v>2.2959999999999998</v>
      </c>
      <c r="O624" s="36"/>
      <c r="P624" s="36"/>
      <c r="Q624" s="36"/>
      <c r="R624" s="39">
        <f>B624*0.036/100</f>
        <v>3.5999999999999997E-2</v>
      </c>
      <c r="S624" s="39">
        <f>B624*3.721/100</f>
        <v>3.7210000000000001</v>
      </c>
      <c r="T624" s="39">
        <f>B624*39.876/100</f>
        <v>39.875999999999998</v>
      </c>
      <c r="U624" s="42"/>
      <c r="V624" s="42"/>
      <c r="W624" s="36"/>
      <c r="X624" s="39">
        <v>0</v>
      </c>
      <c r="Y624" s="42"/>
      <c r="Z624" s="42"/>
      <c r="AA624" s="39">
        <f>B624*0.076/100</f>
        <v>7.5999999999999998E-2</v>
      </c>
      <c r="AB624" s="39">
        <f>B624*0/100</f>
        <v>0</v>
      </c>
      <c r="AC624"/>
    </row>
    <row r="625" spans="1:29">
      <c r="A625" s="40" t="s">
        <v>199</v>
      </c>
      <c r="B625" s="41">
        <v>100</v>
      </c>
      <c r="C625" s="38">
        <f>B625*24/100</f>
        <v>24</v>
      </c>
      <c r="D625" s="39">
        <f>B625*1.88/100</f>
        <v>1.88</v>
      </c>
      <c r="E625" s="39">
        <f>B625*0.29/100</f>
        <v>0.28999999999999998</v>
      </c>
      <c r="F625" s="39">
        <f>B625*0.04/100</f>
        <v>0.04</v>
      </c>
      <c r="G625" s="36"/>
      <c r="H625" s="36"/>
      <c r="I625" s="36"/>
      <c r="J625" s="39"/>
      <c r="K625" s="39">
        <v>0</v>
      </c>
      <c r="L625" s="39">
        <f>B625*5/100</f>
        <v>5</v>
      </c>
      <c r="M625" s="39">
        <f>B625*2.6/100</f>
        <v>2.6</v>
      </c>
      <c r="N625" s="39">
        <f>B625*11/100</f>
        <v>11</v>
      </c>
      <c r="O625" s="36"/>
      <c r="P625" s="36"/>
      <c r="Q625" s="36"/>
      <c r="R625" s="39">
        <f>B625*0.79/100</f>
        <v>0.79</v>
      </c>
      <c r="S625" s="39">
        <f>B625*425/100</f>
        <v>425</v>
      </c>
      <c r="T625" s="39">
        <f>B625*129/100</f>
        <v>129</v>
      </c>
      <c r="U625" s="42"/>
      <c r="V625" s="42"/>
      <c r="W625" s="36"/>
      <c r="X625" s="39">
        <f>B625*0.09/100</f>
        <v>0.09</v>
      </c>
      <c r="Y625" s="42"/>
      <c r="Z625" s="42"/>
      <c r="AA625" s="39">
        <f>B625*1.59/100</f>
        <v>1.59</v>
      </c>
      <c r="AB625" s="39">
        <v>0</v>
      </c>
      <c r="AC625"/>
    </row>
    <row r="626" spans="1:29">
      <c r="A626" s="40" t="s">
        <v>200</v>
      </c>
      <c r="B626" s="41">
        <v>100</v>
      </c>
      <c r="C626" s="38">
        <f>B626*501/100</f>
        <v>501</v>
      </c>
      <c r="D626" s="39">
        <f>B626*7.5/100</f>
        <v>7.5</v>
      </c>
      <c r="E626" s="39">
        <f>B626*22/100</f>
        <v>22</v>
      </c>
      <c r="F626" s="39">
        <v>0</v>
      </c>
      <c r="G626" s="36"/>
      <c r="H626" s="36"/>
      <c r="I626" s="36"/>
      <c r="J626" s="39"/>
      <c r="K626" s="39">
        <v>0</v>
      </c>
      <c r="L626" s="39">
        <f>B626*68.3/100</f>
        <v>68.3</v>
      </c>
      <c r="M626" s="39">
        <v>0</v>
      </c>
      <c r="N626" s="39">
        <f>B626*41/100</f>
        <v>41</v>
      </c>
      <c r="O626" s="36"/>
      <c r="P626" s="36"/>
      <c r="Q626" s="36"/>
      <c r="R626" s="39">
        <f>B626*0.6/100</f>
        <v>0.6</v>
      </c>
      <c r="S626" s="39">
        <v>0</v>
      </c>
      <c r="T626" s="39">
        <v>0</v>
      </c>
      <c r="U626" s="42"/>
      <c r="V626" s="42"/>
      <c r="W626" s="36"/>
      <c r="X626" s="39">
        <f>B626*0.2/100</f>
        <v>0.2</v>
      </c>
      <c r="Y626" s="42"/>
      <c r="Z626" s="42"/>
      <c r="AA626" s="39">
        <f>B626*4.2/100</f>
        <v>4.2</v>
      </c>
      <c r="AB626" s="39">
        <v>0</v>
      </c>
      <c r="AC626"/>
    </row>
    <row r="627" spans="1:29">
      <c r="A627" s="40" t="s">
        <v>201</v>
      </c>
      <c r="B627" s="41">
        <v>100</v>
      </c>
      <c r="C627" s="38">
        <f>B627*80/100</f>
        <v>80</v>
      </c>
      <c r="D627" s="39">
        <f>B627*16/100</f>
        <v>16</v>
      </c>
      <c r="E627" s="39">
        <f>B627*4/100</f>
        <v>4</v>
      </c>
      <c r="F627" s="39">
        <f>B627*2/100</f>
        <v>2</v>
      </c>
      <c r="G627" s="36"/>
      <c r="H627" s="36"/>
      <c r="I627" s="36"/>
      <c r="J627" s="39"/>
      <c r="K627" s="39">
        <f>B627*50/100</f>
        <v>50</v>
      </c>
      <c r="L627" s="39">
        <f>B627*2/100</f>
        <v>2</v>
      </c>
      <c r="M627" s="39">
        <f>B627*2/100</f>
        <v>2</v>
      </c>
      <c r="N627" s="39">
        <f>B627*30/100</f>
        <v>30</v>
      </c>
      <c r="O627" s="36"/>
      <c r="P627" s="36"/>
      <c r="Q627" s="36"/>
      <c r="R627" s="39">
        <f>B627*1/100</f>
        <v>1</v>
      </c>
      <c r="S627" s="39">
        <f>B627*590/100</f>
        <v>590</v>
      </c>
      <c r="T627" s="39">
        <v>0</v>
      </c>
      <c r="U627" s="42"/>
      <c r="V627" s="42"/>
      <c r="W627" s="36"/>
      <c r="X627" s="39">
        <v>0</v>
      </c>
      <c r="Y627" s="42"/>
      <c r="Z627" s="42"/>
      <c r="AA627" s="39">
        <v>0</v>
      </c>
      <c r="AB627" s="39">
        <v>0</v>
      </c>
      <c r="AC627"/>
    </row>
    <row r="628" spans="1:29">
      <c r="A628" s="40" t="s">
        <v>202</v>
      </c>
      <c r="B628" s="41">
        <v>100</v>
      </c>
      <c r="C628" s="38">
        <f>B628*24/100</f>
        <v>24</v>
      </c>
      <c r="D628" s="39">
        <f>B628*1.7/100</f>
        <v>1.7</v>
      </c>
      <c r="E628" s="39">
        <f>B628*0.1/100</f>
        <v>0.1</v>
      </c>
      <c r="F628" s="39" t="s">
        <v>149</v>
      </c>
      <c r="G628" s="36"/>
      <c r="H628" s="36"/>
      <c r="I628" s="36"/>
      <c r="J628" s="39"/>
      <c r="K628" s="39" t="s">
        <v>149</v>
      </c>
      <c r="L628" s="39">
        <f>B628*4.1/100</f>
        <v>4.0999999999999996</v>
      </c>
      <c r="M628" s="39" t="s">
        <v>149</v>
      </c>
      <c r="N628" s="39">
        <f>B628*81/100</f>
        <v>81</v>
      </c>
      <c r="O628" s="36"/>
      <c r="P628" s="36"/>
      <c r="Q628" s="36"/>
      <c r="R628" s="39">
        <f>B628*1.7/100</f>
        <v>1.7</v>
      </c>
      <c r="S628" s="39" t="s">
        <v>149</v>
      </c>
      <c r="T628" s="39" t="s">
        <v>149</v>
      </c>
      <c r="U628" s="42"/>
      <c r="V628" s="42"/>
      <c r="W628" s="36"/>
      <c r="X628" s="39" t="s">
        <v>149</v>
      </c>
      <c r="Y628" s="42"/>
      <c r="Z628" s="42"/>
      <c r="AA628" s="39" t="s">
        <v>149</v>
      </c>
      <c r="AB628" s="39">
        <f>B628*10/100</f>
        <v>10</v>
      </c>
      <c r="AC628"/>
    </row>
    <row r="629" spans="1:29">
      <c r="A629" s="40" t="s">
        <v>203</v>
      </c>
      <c r="B629" s="41">
        <v>100</v>
      </c>
      <c r="C629" s="38">
        <f>B629*349/100</f>
        <v>349</v>
      </c>
      <c r="D629" s="39">
        <f>B629*9/100</f>
        <v>9</v>
      </c>
      <c r="E629" s="39">
        <f>B629*8/100</f>
        <v>8</v>
      </c>
      <c r="F629" s="39">
        <v>0</v>
      </c>
      <c r="G629" s="36"/>
      <c r="H629" s="36"/>
      <c r="I629" s="36"/>
      <c r="J629" s="39"/>
      <c r="K629" s="39">
        <v>0</v>
      </c>
      <c r="L629" s="39">
        <f>B629*60/100</f>
        <v>60</v>
      </c>
      <c r="M629" s="39">
        <v>0</v>
      </c>
      <c r="N629" s="39">
        <v>0</v>
      </c>
      <c r="O629" s="36"/>
      <c r="P629" s="36"/>
      <c r="Q629" s="36"/>
      <c r="R629" s="39">
        <v>0</v>
      </c>
      <c r="S629" s="39">
        <v>0</v>
      </c>
      <c r="T629" s="39">
        <v>0</v>
      </c>
      <c r="U629" s="42"/>
      <c r="V629" s="42"/>
      <c r="W629" s="36"/>
      <c r="X629" s="39">
        <v>0</v>
      </c>
      <c r="Y629" s="42"/>
      <c r="Z629" s="42"/>
      <c r="AA629" s="39">
        <v>0</v>
      </c>
      <c r="AB629" s="39">
        <v>0</v>
      </c>
      <c r="AC629"/>
    </row>
    <row r="630" spans="1:29">
      <c r="A630" s="40" t="s">
        <v>204</v>
      </c>
      <c r="B630" s="41">
        <v>100</v>
      </c>
      <c r="C630" s="38">
        <f>B630*24/100</f>
        <v>24</v>
      </c>
      <c r="D630" s="39">
        <f>B630*0.62/100</f>
        <v>0.62</v>
      </c>
      <c r="E630" s="39">
        <f>B630*0.48/100</f>
        <v>0.48</v>
      </c>
      <c r="F630" s="39">
        <f>B630*0/100</f>
        <v>0</v>
      </c>
      <c r="G630" s="36"/>
      <c r="H630" s="36"/>
      <c r="I630" s="36"/>
      <c r="J630" s="39"/>
      <c r="K630" s="39">
        <f>B630*0/100</f>
        <v>0</v>
      </c>
      <c r="L630" s="39">
        <f>B630*5.1/100</f>
        <v>5.0999999999999996</v>
      </c>
      <c r="M630" s="39">
        <f>B630*0.58/100</f>
        <v>0.57999999999999996</v>
      </c>
      <c r="N630" s="39">
        <f>B630*13/100</f>
        <v>13</v>
      </c>
      <c r="O630" s="36"/>
      <c r="P630" s="36"/>
      <c r="Q630" s="36"/>
      <c r="R630" s="39">
        <f>B630*0.22/100</f>
        <v>0.22</v>
      </c>
      <c r="S630" s="39">
        <f>B630*1/100</f>
        <v>1</v>
      </c>
      <c r="T630" s="39">
        <f>B630*173/100</f>
        <v>173</v>
      </c>
      <c r="U630" s="42"/>
      <c r="V630" s="42"/>
      <c r="W630" s="36"/>
      <c r="X630" s="39">
        <f>B630*0.03/100</f>
        <v>0.03</v>
      </c>
      <c r="Y630" s="42"/>
      <c r="Z630" s="42"/>
      <c r="AA630" s="39">
        <f>B630*0.42/100</f>
        <v>0.42</v>
      </c>
      <c r="AB630" s="39">
        <f>B630*8/100</f>
        <v>8</v>
      </c>
      <c r="AC630"/>
    </row>
    <row r="631" spans="1:29">
      <c r="A631" s="40" t="s">
        <v>205</v>
      </c>
      <c r="B631" s="41">
        <v>100</v>
      </c>
      <c r="C631" s="38">
        <f>B631*24/100</f>
        <v>24</v>
      </c>
      <c r="D631" s="39">
        <f>B631*0.9/100</f>
        <v>0.9</v>
      </c>
      <c r="E631" s="39">
        <f>B631*0.3/100</f>
        <v>0.3</v>
      </c>
      <c r="F631" s="39">
        <v>0</v>
      </c>
      <c r="G631" s="36"/>
      <c r="H631" s="36"/>
      <c r="I631" s="36"/>
      <c r="J631" s="39"/>
      <c r="K631" s="39">
        <v>0</v>
      </c>
      <c r="L631" s="39">
        <f>B631*5.4/100</f>
        <v>5.4</v>
      </c>
      <c r="M631" s="39">
        <f>B631*3/100</f>
        <v>3</v>
      </c>
      <c r="N631" s="39">
        <f>B631*19/100</f>
        <v>19</v>
      </c>
      <c r="O631" s="36"/>
      <c r="P631" s="36"/>
      <c r="Q631" s="36"/>
      <c r="R631" s="39">
        <f>B631*0.4/100</f>
        <v>0.4</v>
      </c>
      <c r="S631" s="39">
        <f>B631*4/100</f>
        <v>4</v>
      </c>
      <c r="T631" s="39">
        <f>B631*150/100</f>
        <v>150</v>
      </c>
      <c r="U631" s="42"/>
      <c r="V631" s="42"/>
      <c r="W631" s="36"/>
      <c r="X631" s="39">
        <f>B631*0.03/100</f>
        <v>0.03</v>
      </c>
      <c r="Y631" s="42"/>
      <c r="Z631" s="42"/>
      <c r="AA631" s="39">
        <f>B631*0.5/100</f>
        <v>0.5</v>
      </c>
      <c r="AB631" s="39">
        <f>B631*11/100</f>
        <v>11</v>
      </c>
      <c r="AC631"/>
    </row>
    <row r="632" spans="1:29">
      <c r="A632" s="40" t="s">
        <v>206</v>
      </c>
      <c r="B632" s="41">
        <v>100</v>
      </c>
      <c r="C632" s="38">
        <f>B632*50/100</f>
        <v>50</v>
      </c>
      <c r="D632" s="39">
        <f>B632*10.5/100</f>
        <v>10.5</v>
      </c>
      <c r="E632" s="39">
        <f>B632*0/100</f>
        <v>0</v>
      </c>
      <c r="F632" s="39">
        <v>0</v>
      </c>
      <c r="G632" s="36"/>
      <c r="H632" s="36"/>
      <c r="I632" s="36"/>
      <c r="J632" s="39"/>
      <c r="K632" s="39">
        <v>0</v>
      </c>
      <c r="L632" s="39">
        <f>B632*1.04/100</f>
        <v>1.04</v>
      </c>
      <c r="M632" s="39">
        <v>0</v>
      </c>
      <c r="N632" s="39">
        <f>B632*6/100</f>
        <v>6</v>
      </c>
      <c r="O632" s="36"/>
      <c r="P632" s="36"/>
      <c r="Q632" s="36"/>
      <c r="R632" s="39">
        <f>B632*0.03/100</f>
        <v>0.03</v>
      </c>
      <c r="S632" s="39">
        <f>B632*164/100</f>
        <v>164</v>
      </c>
      <c r="T632" s="39">
        <f>B632*143/100</f>
        <v>143</v>
      </c>
      <c r="U632" s="42"/>
      <c r="V632" s="42"/>
      <c r="W632" s="36"/>
      <c r="X632" s="39">
        <f>B632*0.01/100</f>
        <v>0.01</v>
      </c>
      <c r="Y632" s="42"/>
      <c r="Z632" s="42"/>
      <c r="AA632" s="39">
        <f>B632*0.09/100</f>
        <v>0.09</v>
      </c>
      <c r="AB632" s="39">
        <f>B632*0/100</f>
        <v>0</v>
      </c>
      <c r="AC632"/>
    </row>
    <row r="633" spans="1:29">
      <c r="A633" s="40" t="s">
        <v>207</v>
      </c>
      <c r="B633" s="41">
        <v>100</v>
      </c>
      <c r="C633" s="38">
        <f>B633*39/100</f>
        <v>39</v>
      </c>
      <c r="D633" s="39">
        <v>0</v>
      </c>
      <c r="E633" s="39">
        <v>0</v>
      </c>
      <c r="F633" s="39">
        <v>0</v>
      </c>
      <c r="G633" s="36"/>
      <c r="H633" s="36"/>
      <c r="I633" s="36"/>
      <c r="J633" s="39"/>
      <c r="K633" s="39">
        <v>0</v>
      </c>
      <c r="L633" s="39">
        <f>B633*10/100</f>
        <v>10</v>
      </c>
      <c r="M633" s="39">
        <v>0</v>
      </c>
      <c r="N633" s="39">
        <f>B633*2/100</f>
        <v>2</v>
      </c>
      <c r="O633" s="36"/>
      <c r="P633" s="36"/>
      <c r="Q633" s="36"/>
      <c r="R633" s="39">
        <v>0</v>
      </c>
      <c r="S633" s="39">
        <v>0</v>
      </c>
      <c r="T633" s="39">
        <v>0</v>
      </c>
      <c r="U633" s="42"/>
      <c r="V633" s="42"/>
      <c r="W633" s="36"/>
      <c r="X633" s="39">
        <v>0</v>
      </c>
      <c r="Y633" s="42"/>
      <c r="Z633" s="42"/>
      <c r="AA633" s="39">
        <v>0</v>
      </c>
      <c r="AB633" s="39">
        <v>0</v>
      </c>
      <c r="AC633"/>
    </row>
    <row r="634" spans="1:29">
      <c r="A634" s="40" t="s">
        <v>208</v>
      </c>
      <c r="B634" s="41">
        <v>100</v>
      </c>
      <c r="C634" s="38">
        <f>B634*501/100</f>
        <v>501</v>
      </c>
      <c r="D634" s="39">
        <f>B634*2.9/100</f>
        <v>2.9</v>
      </c>
      <c r="E634" s="39">
        <f>B634*35.5/100</f>
        <v>35.5</v>
      </c>
      <c r="F634" s="39">
        <f>B634*31.5/100</f>
        <v>31.5</v>
      </c>
      <c r="G634" s="36"/>
      <c r="H634" s="36"/>
      <c r="I634" s="36"/>
      <c r="J634" s="39"/>
      <c r="K634" s="39">
        <v>0</v>
      </c>
      <c r="L634" s="39">
        <f>B634*47.7/100</f>
        <v>47.7</v>
      </c>
      <c r="M634" s="39">
        <f>B634*4.7/100</f>
        <v>4.7</v>
      </c>
      <c r="N634" s="39">
        <f>B634*15/100</f>
        <v>15</v>
      </c>
      <c r="O634" s="36"/>
      <c r="P634" s="36"/>
      <c r="Q634" s="36"/>
      <c r="R634" s="39">
        <f>B634*1.9/100</f>
        <v>1.9</v>
      </c>
      <c r="S634" s="39">
        <f>B634*262/100</f>
        <v>262</v>
      </c>
      <c r="T634" s="39">
        <f>B634*337/100</f>
        <v>337</v>
      </c>
      <c r="U634" s="42"/>
      <c r="V634" s="42"/>
      <c r="W634" s="36"/>
      <c r="X634" s="39">
        <f>B634*0.03/100</f>
        <v>0.03</v>
      </c>
      <c r="Y634" s="42"/>
      <c r="Z634" s="42"/>
      <c r="AA634" s="39">
        <f>B634*0.5/100</f>
        <v>0.5</v>
      </c>
      <c r="AB634" s="39">
        <f>B634*0.7/100</f>
        <v>0.7</v>
      </c>
      <c r="AC634"/>
    </row>
    <row r="635" spans="1:29">
      <c r="A635" s="40" t="s">
        <v>209</v>
      </c>
      <c r="B635" s="41">
        <v>100</v>
      </c>
      <c r="C635" s="38">
        <f>B635*334/100</f>
        <v>334</v>
      </c>
      <c r="D635" s="39">
        <f>B635*6.6/100</f>
        <v>6.6</v>
      </c>
      <c r="E635" s="39">
        <f>B635*4.6/100</f>
        <v>4.5999999999999996</v>
      </c>
      <c r="F635" s="39">
        <v>0</v>
      </c>
      <c r="G635" s="36"/>
      <c r="H635" s="36"/>
      <c r="I635" s="36"/>
      <c r="J635" s="39"/>
      <c r="K635" s="39">
        <v>0</v>
      </c>
      <c r="L635" s="39">
        <f>B635*78.2/100</f>
        <v>78.2</v>
      </c>
      <c r="M635" s="39">
        <f>B635*14.5/100</f>
        <v>14.5</v>
      </c>
      <c r="N635" s="39">
        <f>B635*120/100</f>
        <v>120</v>
      </c>
      <c r="O635" s="36"/>
      <c r="P635" s="36"/>
      <c r="Q635" s="36"/>
      <c r="R635" s="39">
        <f>B635*5.6/100</f>
        <v>5.6</v>
      </c>
      <c r="S635" s="39">
        <v>0</v>
      </c>
      <c r="T635" s="39">
        <v>0</v>
      </c>
      <c r="U635" s="42"/>
      <c r="V635" s="42"/>
      <c r="W635" s="36"/>
      <c r="X635" s="39">
        <f>B635*0.09/100</f>
        <v>0.09</v>
      </c>
      <c r="Y635" s="42"/>
      <c r="Z635" s="42"/>
      <c r="AA635" s="39">
        <f>B635*1.7/100</f>
        <v>1.7</v>
      </c>
      <c r="AB635" s="39">
        <f>T635*7/100</f>
        <v>0</v>
      </c>
      <c r="AC635"/>
    </row>
    <row r="636" spans="1:29">
      <c r="A636" s="40" t="s">
        <v>210</v>
      </c>
      <c r="B636" s="41">
        <v>100</v>
      </c>
      <c r="C636" s="38">
        <f>B636*376/100</f>
        <v>376</v>
      </c>
      <c r="D636" s="39">
        <f>B636*22.2/100</f>
        <v>22.2</v>
      </c>
      <c r="E636" s="39">
        <f>B636*31.21/100</f>
        <v>31.21</v>
      </c>
      <c r="F636" s="39">
        <f>B636*12.6/100</f>
        <v>12.6</v>
      </c>
      <c r="G636" s="36"/>
      <c r="H636" s="36"/>
      <c r="I636" s="36"/>
      <c r="J636" s="39"/>
      <c r="K636" s="39">
        <f>B636*85/100</f>
        <v>85</v>
      </c>
      <c r="L636" s="39">
        <v>0</v>
      </c>
      <c r="M636" s="39">
        <v>0</v>
      </c>
      <c r="N636" s="39">
        <f>B636*11/100</f>
        <v>11</v>
      </c>
      <c r="O636" s="36"/>
      <c r="P636" s="36"/>
      <c r="Q636" s="36"/>
      <c r="R636" s="39">
        <f>B636*2.3/100</f>
        <v>2.2999999999999998</v>
      </c>
      <c r="S636" s="39">
        <f>B636*63/100</f>
        <v>63</v>
      </c>
      <c r="T636" s="39">
        <f>B636*296/100</f>
        <v>296</v>
      </c>
      <c r="U636" s="42"/>
      <c r="V636" s="42"/>
      <c r="W636" s="36"/>
      <c r="X636" s="39">
        <f>B636*0.07/100</f>
        <v>7.0000000000000007E-2</v>
      </c>
      <c r="Y636" s="42"/>
      <c r="Z636" s="42"/>
      <c r="AA636" s="39">
        <f>B636*3.3/100</f>
        <v>3.3</v>
      </c>
      <c r="AB636" s="39">
        <v>0</v>
      </c>
      <c r="AC636"/>
    </row>
    <row r="637" spans="1:29">
      <c r="A637" s="40" t="s">
        <v>211</v>
      </c>
      <c r="B637" s="41">
        <v>100</v>
      </c>
      <c r="C637" s="38">
        <f>B637*291/100</f>
        <v>291</v>
      </c>
      <c r="D637" s="39">
        <f>B637*20.8/100</f>
        <v>20.8</v>
      </c>
      <c r="E637" s="39">
        <f>B637*21.3/100</f>
        <v>21.3</v>
      </c>
      <c r="F637" s="39">
        <f>B637*7.8/100</f>
        <v>7.8</v>
      </c>
      <c r="G637" s="36"/>
      <c r="H637" s="36"/>
      <c r="I637" s="36"/>
      <c r="J637" s="39"/>
      <c r="K637" s="39">
        <f>B637*84.8/100</f>
        <v>84.8</v>
      </c>
      <c r="L637" s="39">
        <f>B637*2.9/100</f>
        <v>2.9</v>
      </c>
      <c r="M637" s="39">
        <f>B637*0.5/100</f>
        <v>0.5</v>
      </c>
      <c r="N637" s="39">
        <f>B637*41.3/100</f>
        <v>41.3</v>
      </c>
      <c r="O637" s="36"/>
      <c r="P637" s="36"/>
      <c r="Q637" s="36"/>
      <c r="R637" s="39">
        <f>B637*1.4/100</f>
        <v>1.4</v>
      </c>
      <c r="S637" s="39">
        <f>B637*491.1/100</f>
        <v>491.1</v>
      </c>
      <c r="T637" s="39">
        <f>B637*273.4/100</f>
        <v>273.39999999999998</v>
      </c>
      <c r="U637" s="42"/>
      <c r="V637" s="42"/>
      <c r="W637" s="36"/>
      <c r="X637" s="39">
        <f>B637*0.3/100</f>
        <v>0.3</v>
      </c>
      <c r="Y637" s="42"/>
      <c r="Z637" s="42"/>
      <c r="AA637" s="39">
        <f>B637*3.9/100</f>
        <v>3.9</v>
      </c>
      <c r="AB637" s="39">
        <f>B637*2.2/100</f>
        <v>2.2000000000000002</v>
      </c>
      <c r="AC637"/>
    </row>
    <row r="638" spans="1:29">
      <c r="A638" s="40" t="s">
        <v>212</v>
      </c>
      <c r="B638" s="41">
        <v>100</v>
      </c>
      <c r="C638" s="38">
        <f>B638*50/100</f>
        <v>50</v>
      </c>
      <c r="D638" s="39">
        <f>B638*3.3/100</f>
        <v>3.3</v>
      </c>
      <c r="E638" s="39">
        <f>B638*0.7/100</f>
        <v>0.7</v>
      </c>
      <c r="F638" s="39">
        <f>B638*0.09/100</f>
        <v>0.09</v>
      </c>
      <c r="G638" s="36"/>
      <c r="H638" s="36"/>
      <c r="I638" s="36"/>
      <c r="J638" s="39"/>
      <c r="K638" s="39">
        <v>0</v>
      </c>
      <c r="L638" s="39">
        <f>B638*10/100</f>
        <v>10</v>
      </c>
      <c r="M638" s="39">
        <f>B638*3/100</f>
        <v>3</v>
      </c>
      <c r="N638" s="39">
        <f>B638*135/100</f>
        <v>135</v>
      </c>
      <c r="O638" s="36"/>
      <c r="P638" s="36"/>
      <c r="Q638" s="36"/>
      <c r="R638" s="39">
        <f>B638*1.7/100</f>
        <v>1.7</v>
      </c>
      <c r="S638" s="39">
        <f>B638*43/100</f>
        <v>43</v>
      </c>
      <c r="T638" s="39">
        <f>B638*447/100</f>
        <v>447</v>
      </c>
      <c r="U638" s="42"/>
      <c r="V638" s="42"/>
      <c r="W638" s="36"/>
      <c r="X638" s="39">
        <f>B638*0.1/100</f>
        <v>0.1</v>
      </c>
      <c r="Y638" s="42"/>
      <c r="Z638" s="42"/>
      <c r="AA638" s="39">
        <f>B638*1/100</f>
        <v>1</v>
      </c>
      <c r="AB638" s="39">
        <f>B638*120/100</f>
        <v>120</v>
      </c>
      <c r="AC638"/>
    </row>
    <row r="639" spans="1:29">
      <c r="A639" s="40" t="s">
        <v>213</v>
      </c>
      <c r="B639" s="41">
        <v>100</v>
      </c>
      <c r="C639" s="38">
        <f>B639*117/100</f>
        <v>117</v>
      </c>
      <c r="D639" s="39">
        <f>B639*2.81/100</f>
        <v>2.81</v>
      </c>
      <c r="E639" s="39">
        <f>B639*8.78/100</f>
        <v>8.7799999999999994</v>
      </c>
      <c r="F639" s="39">
        <f>B639*1.26/100</f>
        <v>1.26</v>
      </c>
      <c r="G639" s="36"/>
      <c r="H639" s="36"/>
      <c r="I639" s="36"/>
      <c r="J639" s="39"/>
      <c r="K639" s="39">
        <f>B639*0/100</f>
        <v>0</v>
      </c>
      <c r="L639" s="39">
        <f>B639*9.05/100</f>
        <v>9.0500000000000007</v>
      </c>
      <c r="M639" s="39">
        <f>B639*2.58/100</f>
        <v>2.58</v>
      </c>
      <c r="N639" s="39">
        <f>B639*112.26/100</f>
        <v>112.26</v>
      </c>
      <c r="O639" s="36"/>
      <c r="P639" s="36"/>
      <c r="Q639" s="36"/>
      <c r="R639" s="39">
        <f>B639*1.4/100</f>
        <v>1.4</v>
      </c>
      <c r="S639" s="39">
        <f>B639*802.08/100</f>
        <v>802.08</v>
      </c>
      <c r="T639" s="39">
        <f>B639*376.61/100</f>
        <v>376.61</v>
      </c>
      <c r="U639" s="42"/>
      <c r="V639" s="42"/>
      <c r="W639" s="36"/>
      <c r="X639" s="39">
        <f>B639*0.094/100</f>
        <v>9.4E-2</v>
      </c>
      <c r="Y639" s="42"/>
      <c r="Z639" s="42"/>
      <c r="AA639" s="39">
        <f>B639*0.82/100</f>
        <v>0.82</v>
      </c>
      <c r="AB639" s="39">
        <f>B639*97.38/100</f>
        <v>97.38</v>
      </c>
      <c r="AC639"/>
    </row>
    <row r="640" spans="1:29">
      <c r="A640" s="43" t="s">
        <v>214</v>
      </c>
      <c r="B640" s="41">
        <v>100</v>
      </c>
      <c r="C640" s="38">
        <f>B640*23/100</f>
        <v>23</v>
      </c>
      <c r="D640" s="39">
        <f>B640*1.85/100</f>
        <v>1.85</v>
      </c>
      <c r="E640" s="39">
        <f>B640*0.45/100</f>
        <v>0.45</v>
      </c>
      <c r="F640" s="39">
        <f>B640*0.08/100</f>
        <v>0.08</v>
      </c>
      <c r="G640" s="36"/>
      <c r="H640" s="36"/>
      <c r="I640" s="36"/>
      <c r="J640" s="39"/>
      <c r="K640" s="39">
        <v>0</v>
      </c>
      <c r="L640" s="39">
        <f>B640*4.1/100</f>
        <v>4.0999999999999996</v>
      </c>
      <c r="M640" s="39">
        <f>B640*1.7/100</f>
        <v>1.7</v>
      </c>
      <c r="N640" s="39">
        <f>B640*16/100</f>
        <v>16</v>
      </c>
      <c r="O640" s="36"/>
      <c r="P640" s="36"/>
      <c r="Q640" s="36"/>
      <c r="R640" s="39">
        <f>B640*0.3/100</f>
        <v>0.3</v>
      </c>
      <c r="S640" s="39">
        <f>B640*15/100</f>
        <v>15</v>
      </c>
      <c r="T640" s="39">
        <f>B640*142/100</f>
        <v>142</v>
      </c>
      <c r="U640" s="42"/>
      <c r="V640" s="42"/>
      <c r="W640" s="36"/>
      <c r="X640" s="39">
        <f>B640*0.04/100</f>
        <v>0.04</v>
      </c>
      <c r="Y640" s="42"/>
      <c r="Z640" s="42"/>
      <c r="AA640" s="39">
        <f>B640*0.4/100</f>
        <v>0.4</v>
      </c>
      <c r="AB640" s="39">
        <f>B640*44.3/100</f>
        <v>44.3</v>
      </c>
      <c r="AC640"/>
    </row>
    <row r="641" spans="1:29">
      <c r="A641" s="40" t="s">
        <v>215</v>
      </c>
      <c r="B641" s="41">
        <v>100</v>
      </c>
      <c r="C641" s="38">
        <f>B641*25/100</f>
        <v>25</v>
      </c>
      <c r="D641" s="39">
        <f>B641*2/100</f>
        <v>2</v>
      </c>
      <c r="E641" s="39">
        <f>B641*0.2/100</f>
        <v>0.2</v>
      </c>
      <c r="F641" s="39">
        <f>B641*0.03/100</f>
        <v>0.03</v>
      </c>
      <c r="G641" s="36"/>
      <c r="H641" s="36"/>
      <c r="I641" s="36"/>
      <c r="J641" s="39"/>
      <c r="K641" s="39">
        <v>0</v>
      </c>
      <c r="L641" s="39">
        <f>B641*5.2/100</f>
        <v>5.2</v>
      </c>
      <c r="M641" s="39">
        <f>B641*1.9/100</f>
        <v>1.9</v>
      </c>
      <c r="N641" s="39">
        <f>B641*22/100</f>
        <v>22</v>
      </c>
      <c r="O641" s="36"/>
      <c r="P641" s="36"/>
      <c r="Q641" s="36"/>
      <c r="R641" s="39">
        <f>B641*0.4/100</f>
        <v>0.4</v>
      </c>
      <c r="S641" s="39">
        <f>B641*30/100</f>
        <v>30</v>
      </c>
      <c r="T641" s="39">
        <f>B641*303/100</f>
        <v>303</v>
      </c>
      <c r="U641" s="42"/>
      <c r="V641" s="42"/>
      <c r="W641" s="36"/>
      <c r="X641" s="39">
        <f>B641*0.06/100</f>
        <v>0.06</v>
      </c>
      <c r="Y641" s="42"/>
      <c r="Z641" s="42"/>
      <c r="AA641" s="39">
        <f>B641*0.5/100</f>
        <v>0.5</v>
      </c>
      <c r="AB641" s="39">
        <f>B641*46.4/100</f>
        <v>46.4</v>
      </c>
      <c r="AC641"/>
    </row>
    <row r="642" spans="1:29">
      <c r="A642" s="40" t="s">
        <v>216</v>
      </c>
      <c r="B642" s="41">
        <v>100</v>
      </c>
      <c r="C642" s="38">
        <f>B642*211/100</f>
        <v>211</v>
      </c>
      <c r="D642" s="39">
        <f>B642*17.3/100</f>
        <v>17.3</v>
      </c>
      <c r="E642" s="39">
        <f>B642*15.3/100</f>
        <v>15.3</v>
      </c>
      <c r="F642" s="39">
        <f>B642*4.3/100</f>
        <v>4.3</v>
      </c>
      <c r="G642" s="36"/>
      <c r="H642" s="36"/>
      <c r="I642" s="36"/>
      <c r="J642" s="39"/>
      <c r="K642" s="39">
        <f>B642*84/100</f>
        <v>84</v>
      </c>
      <c r="L642" s="39">
        <v>0</v>
      </c>
      <c r="M642" s="39">
        <v>0</v>
      </c>
      <c r="N642" s="39">
        <f>B642*10/100</f>
        <v>10</v>
      </c>
      <c r="O642" s="36"/>
      <c r="P642" s="36"/>
      <c r="Q642" s="36"/>
      <c r="R642" s="39">
        <f>B642*1/100</f>
        <v>1</v>
      </c>
      <c r="S642" s="39">
        <f>B642*76/100</f>
        <v>76</v>
      </c>
      <c r="T642" s="39">
        <f>B642*192/100</f>
        <v>192</v>
      </c>
      <c r="U642" s="42"/>
      <c r="V642" s="42"/>
      <c r="W642" s="36"/>
      <c r="X642" s="39">
        <f>B642*0.06/100</f>
        <v>0.06</v>
      </c>
      <c r="Y642" s="42"/>
      <c r="Z642" s="42"/>
      <c r="AA642" s="39">
        <f>B642*5.4/100</f>
        <v>5.4</v>
      </c>
      <c r="AB642" s="39">
        <v>0</v>
      </c>
      <c r="AC642"/>
    </row>
    <row r="643" spans="1:29">
      <c r="A643" s="40" t="s">
        <v>217</v>
      </c>
      <c r="B643" s="41">
        <v>100</v>
      </c>
      <c r="C643" s="38">
        <f>B643*119/100</f>
        <v>119</v>
      </c>
      <c r="D643" s="39">
        <f>B643*19.7/100</f>
        <v>19.7</v>
      </c>
      <c r="E643" s="39">
        <f>B643*3.9/100</f>
        <v>3.9</v>
      </c>
      <c r="F643" s="39">
        <f>B643*1.01/100</f>
        <v>1.01</v>
      </c>
      <c r="G643" s="36"/>
      <c r="H643" s="36"/>
      <c r="I643" s="36"/>
      <c r="J643" s="39"/>
      <c r="K643" s="39">
        <f>B643*83/100</f>
        <v>83</v>
      </c>
      <c r="L643" s="39">
        <v>0</v>
      </c>
      <c r="M643" s="39">
        <v>0</v>
      </c>
      <c r="N643" s="39">
        <f>B643*10/100</f>
        <v>10</v>
      </c>
      <c r="O643" s="36"/>
      <c r="P643" s="36"/>
      <c r="Q643" s="36"/>
      <c r="R643" s="39">
        <f>B643*1.05/100</f>
        <v>1.05</v>
      </c>
      <c r="S643" s="39">
        <f>B643*86/100</f>
        <v>86</v>
      </c>
      <c r="T643" s="39">
        <f>B643*231/100</f>
        <v>231</v>
      </c>
      <c r="U643" s="42"/>
      <c r="V643" s="42"/>
      <c r="W643" s="36"/>
      <c r="X643" s="39">
        <f>B643*0.08/100</f>
        <v>0.08</v>
      </c>
      <c r="Y643" s="42"/>
      <c r="Z643" s="42"/>
      <c r="AA643" s="39">
        <f>B643*6.3/100</f>
        <v>6.3</v>
      </c>
      <c r="AB643" s="39">
        <v>0</v>
      </c>
      <c r="AC643"/>
    </row>
    <row r="644" spans="1:29">
      <c r="A644" s="40" t="s">
        <v>218</v>
      </c>
      <c r="B644" s="41">
        <v>100</v>
      </c>
      <c r="C644" s="38">
        <f>B644*128/100</f>
        <v>128</v>
      </c>
      <c r="D644" s="39">
        <f>B644*19.7/100</f>
        <v>19.7</v>
      </c>
      <c r="E644" s="39">
        <f>B644*4.9/100</f>
        <v>4.9000000000000004</v>
      </c>
      <c r="F644" s="39">
        <f>B644*1.1/100</f>
        <v>1.1000000000000001</v>
      </c>
      <c r="G644" s="36"/>
      <c r="H644" s="36"/>
      <c r="I644" s="36"/>
      <c r="J644" s="39"/>
      <c r="K644" s="39">
        <f>B644*83/100</f>
        <v>83</v>
      </c>
      <c r="L644" s="39">
        <v>0</v>
      </c>
      <c r="M644" s="39">
        <v>0</v>
      </c>
      <c r="N644" s="39">
        <f>B644*10.2/100</f>
        <v>10.199999999999999</v>
      </c>
      <c r="O644" s="36"/>
      <c r="P644" s="36"/>
      <c r="Q644" s="36"/>
      <c r="R644" s="39">
        <f>B644*1.05/100</f>
        <v>1.05</v>
      </c>
      <c r="S644" s="39">
        <f>B644*473.6/100</f>
        <v>473.6</v>
      </c>
      <c r="T644" s="39">
        <f>B644*231.1/100</f>
        <v>231.1</v>
      </c>
      <c r="U644" s="42"/>
      <c r="V644" s="42"/>
      <c r="W644" s="36"/>
      <c r="X644" s="39">
        <f>B644*0.08/100</f>
        <v>0.08</v>
      </c>
      <c r="Y644" s="42"/>
      <c r="Z644" s="42"/>
      <c r="AA644" s="39">
        <f>B644*6.3/100</f>
        <v>6.3</v>
      </c>
      <c r="AB644" s="39">
        <v>0</v>
      </c>
      <c r="AC644"/>
    </row>
    <row r="645" spans="1:29">
      <c r="A645" s="40" t="s">
        <v>219</v>
      </c>
      <c r="B645" s="41">
        <v>100</v>
      </c>
      <c r="C645" s="38">
        <f>B645*374/100</f>
        <v>374</v>
      </c>
      <c r="D645" s="39">
        <f>B645*9.1/100</f>
        <v>9.1</v>
      </c>
      <c r="E645" s="39">
        <f>B645*18.6/100</f>
        <v>18.600000000000001</v>
      </c>
      <c r="F645" s="39">
        <f>B645*3.2/100</f>
        <v>3.2</v>
      </c>
      <c r="G645" s="36"/>
      <c r="H645" s="36"/>
      <c r="I645" s="36"/>
      <c r="J645" s="39"/>
      <c r="K645" s="39">
        <f>B645*7.4/100</f>
        <v>7.4</v>
      </c>
      <c r="L645" s="39">
        <f>B645*42/100</f>
        <v>42</v>
      </c>
      <c r="M645" s="39">
        <f>B645*1.9/100</f>
        <v>1.9</v>
      </c>
      <c r="N645" s="39">
        <f>B645*22.2/100</f>
        <v>22.2</v>
      </c>
      <c r="O645" s="36"/>
      <c r="P645" s="36"/>
      <c r="Q645" s="36"/>
      <c r="R645" s="39">
        <f>B645*2.7/100</f>
        <v>2.7</v>
      </c>
      <c r="S645" s="39">
        <f>B645*1301.4/100</f>
        <v>1301.4000000000001</v>
      </c>
      <c r="T645" s="39">
        <f>B645*124.1/100</f>
        <v>124.1</v>
      </c>
      <c r="U645" s="42"/>
      <c r="V645" s="42"/>
      <c r="W645" s="36"/>
      <c r="X645" s="39">
        <f>B645*0.4/100</f>
        <v>0.4</v>
      </c>
      <c r="Y645" s="42"/>
      <c r="Z645" s="42"/>
      <c r="AA645" s="39">
        <f>B645*4.6/100</f>
        <v>4.5999999999999996</v>
      </c>
      <c r="AB645" s="39">
        <f>B645*2.1/100</f>
        <v>2.1</v>
      </c>
      <c r="AC645"/>
    </row>
    <row r="646" spans="1:29">
      <c r="A646" s="40" t="s">
        <v>220</v>
      </c>
      <c r="B646" s="41">
        <v>100</v>
      </c>
      <c r="C646" s="38">
        <f>B646*220/100</f>
        <v>220</v>
      </c>
      <c r="D646" s="39">
        <f>B646*31.6/100</f>
        <v>31.6</v>
      </c>
      <c r="E646" s="39">
        <f>B646*9.4/100</f>
        <v>9.4</v>
      </c>
      <c r="F646" s="39">
        <f>B646*3.2/100</f>
        <v>3.2</v>
      </c>
      <c r="G646" s="36"/>
      <c r="H646" s="36"/>
      <c r="I646" s="36"/>
      <c r="J646" s="39"/>
      <c r="K646" s="39">
        <f>B646*96.1/100</f>
        <v>96.1</v>
      </c>
      <c r="L646" s="39">
        <v>0</v>
      </c>
      <c r="M646" s="39">
        <v>0</v>
      </c>
      <c r="N646" s="39">
        <f>B646*5/100</f>
        <v>5</v>
      </c>
      <c r="O646" s="36"/>
      <c r="P646" s="36"/>
      <c r="Q646" s="36"/>
      <c r="R646" s="39">
        <f>B646*3.5/100</f>
        <v>3.5</v>
      </c>
      <c r="S646" s="39">
        <f>B646*51.1/100</f>
        <v>51.1</v>
      </c>
      <c r="T646" s="39">
        <f>B646*308.5/100</f>
        <v>308.5</v>
      </c>
      <c r="U646" s="42"/>
      <c r="V646" s="42"/>
      <c r="W646" s="36"/>
      <c r="X646" s="39">
        <f>B646*0.07/100</f>
        <v>7.0000000000000007E-2</v>
      </c>
      <c r="Y646" s="42"/>
      <c r="Z646" s="42"/>
      <c r="AA646" s="39">
        <f>B646*4.1/100</f>
        <v>4.0999999999999996</v>
      </c>
      <c r="AB646" s="39">
        <v>0</v>
      </c>
      <c r="AC646"/>
    </row>
    <row r="647" spans="1:29">
      <c r="A647" s="40" t="s">
        <v>221</v>
      </c>
      <c r="B647" s="41">
        <v>100</v>
      </c>
      <c r="C647" s="38">
        <f>B647*231/100</f>
        <v>231</v>
      </c>
      <c r="D647" s="39">
        <f>B647*33.7/100</f>
        <v>33.700000000000003</v>
      </c>
      <c r="E647" s="39">
        <f>B647*9.6/100</f>
        <v>9.6</v>
      </c>
      <c r="F647" s="39">
        <f>B647*3.38/100</f>
        <v>3.38</v>
      </c>
      <c r="G647" s="36"/>
      <c r="H647" s="36"/>
      <c r="I647" s="36"/>
      <c r="J647" s="39"/>
      <c r="K647" s="39">
        <f>B647*97.4/100</f>
        <v>97.4</v>
      </c>
      <c r="L647" s="39">
        <v>0</v>
      </c>
      <c r="M647" s="39">
        <v>0</v>
      </c>
      <c r="N647" s="39">
        <f>B647*7.9/100</f>
        <v>7.9</v>
      </c>
      <c r="O647" s="36"/>
      <c r="P647" s="36"/>
      <c r="Q647" s="36"/>
      <c r="R647" s="39">
        <f>B647*3.5/100</f>
        <v>3.5</v>
      </c>
      <c r="S647" s="39">
        <f>B647*304.6/100</f>
        <v>304.60000000000002</v>
      </c>
      <c r="T647" s="39">
        <f>B647*489.4/100</f>
        <v>489.4</v>
      </c>
      <c r="U647" s="42"/>
      <c r="V647" s="42"/>
      <c r="W647" s="36"/>
      <c r="X647" s="39">
        <f>B647*0.12/100</f>
        <v>0.12</v>
      </c>
      <c r="Y647" s="42"/>
      <c r="Z647" s="42"/>
      <c r="AA647" s="39">
        <f>B647*4.9/100</f>
        <v>4.9000000000000004</v>
      </c>
      <c r="AB647" s="39">
        <v>0</v>
      </c>
      <c r="AC647"/>
    </row>
    <row r="648" spans="1:29">
      <c r="A648" s="40" t="s">
        <v>222</v>
      </c>
      <c r="B648" s="41">
        <v>100</v>
      </c>
      <c r="C648" s="38">
        <f>B648*100/30</f>
        <v>333.33333333333331</v>
      </c>
      <c r="D648" s="39">
        <f>B648*2/30</f>
        <v>6.666666666666667</v>
      </c>
      <c r="E648" s="39">
        <f>B648*10/30</f>
        <v>33.333333333333336</v>
      </c>
      <c r="F648" s="39">
        <f>B648*5/100</f>
        <v>5</v>
      </c>
      <c r="G648" s="36"/>
      <c r="H648" s="36"/>
      <c r="I648" s="36"/>
      <c r="J648" s="39"/>
      <c r="K648" s="39">
        <f>B648*40/30</f>
        <v>133.33333333333334</v>
      </c>
      <c r="L648" s="39">
        <f>B648*1/30</f>
        <v>3.3333333333333335</v>
      </c>
      <c r="M648" s="39">
        <v>0</v>
      </c>
      <c r="N648" s="39">
        <f>B648*30/30</f>
        <v>100</v>
      </c>
      <c r="O648" s="36"/>
      <c r="P648" s="36"/>
      <c r="Q648" s="36"/>
      <c r="R648" s="39">
        <f>B648*123/30</f>
        <v>410</v>
      </c>
      <c r="S648" s="39">
        <v>0</v>
      </c>
      <c r="T648" s="39">
        <v>0</v>
      </c>
      <c r="U648" s="42"/>
      <c r="V648" s="42"/>
      <c r="W648" s="36"/>
      <c r="X648" s="39">
        <v>0</v>
      </c>
      <c r="Y648" s="42"/>
      <c r="Z648" s="42"/>
      <c r="AA648" s="39">
        <v>0</v>
      </c>
      <c r="AB648" s="39">
        <v>0</v>
      </c>
      <c r="AC648"/>
    </row>
    <row r="649" spans="1:29">
      <c r="A649" s="40" t="s">
        <v>223</v>
      </c>
      <c r="B649" s="41">
        <v>100</v>
      </c>
      <c r="C649" s="38">
        <f>B649*223/100</f>
        <v>223</v>
      </c>
      <c r="D649" s="39">
        <f>B649*13/100</f>
        <v>13</v>
      </c>
      <c r="E649" s="39">
        <f>B649*20/100</f>
        <v>20</v>
      </c>
      <c r="F649" s="39">
        <f>B649*10/100</f>
        <v>10</v>
      </c>
      <c r="G649" s="36"/>
      <c r="H649" s="36"/>
      <c r="I649" s="36"/>
      <c r="J649" s="39"/>
      <c r="K649" s="39">
        <f>B649*67/100</f>
        <v>67</v>
      </c>
      <c r="L649" s="39">
        <v>0</v>
      </c>
      <c r="M649" s="39">
        <v>0</v>
      </c>
      <c r="N649" s="39">
        <f>B649*440/100</f>
        <v>440</v>
      </c>
      <c r="O649" s="36"/>
      <c r="P649" s="36"/>
      <c r="Q649" s="36"/>
      <c r="R649" s="39">
        <v>0</v>
      </c>
      <c r="S649" s="39">
        <f>B649*1132/100</f>
        <v>1132</v>
      </c>
      <c r="T649" s="39">
        <v>0</v>
      </c>
      <c r="U649" s="42"/>
      <c r="V649" s="42"/>
      <c r="W649" s="36"/>
      <c r="X649" s="39">
        <v>0</v>
      </c>
      <c r="Y649" s="42"/>
      <c r="Z649" s="42"/>
      <c r="AA649" s="39">
        <v>0</v>
      </c>
      <c r="AB649" s="39">
        <v>0</v>
      </c>
      <c r="AC649"/>
    </row>
    <row r="650" spans="1:29">
      <c r="A650" s="40" t="s">
        <v>224</v>
      </c>
      <c r="B650" s="41">
        <v>100</v>
      </c>
      <c r="C650" s="38">
        <f>B650*353/100</f>
        <v>353</v>
      </c>
      <c r="D650" s="39">
        <f>B650*7/100</f>
        <v>7</v>
      </c>
      <c r="E650" s="39">
        <f>B650*0.6/100</f>
        <v>0.6</v>
      </c>
      <c r="F650" s="39">
        <v>0</v>
      </c>
      <c r="G650" s="36"/>
      <c r="H650" s="36"/>
      <c r="I650" s="36"/>
      <c r="J650" s="39"/>
      <c r="K650" s="39">
        <v>0</v>
      </c>
      <c r="L650" s="39">
        <f>B650*80/100</f>
        <v>80</v>
      </c>
      <c r="M650" s="39">
        <v>0</v>
      </c>
      <c r="N650" s="39">
        <f>B650*9/100</f>
        <v>9</v>
      </c>
      <c r="O650" s="36"/>
      <c r="P650" s="36"/>
      <c r="Q650" s="36"/>
      <c r="R650" s="39">
        <f>B650*1.3/100</f>
        <v>1.3</v>
      </c>
      <c r="S650" s="39">
        <v>0</v>
      </c>
      <c r="T650" s="39">
        <v>0</v>
      </c>
      <c r="U650" s="42"/>
      <c r="V650" s="42"/>
      <c r="W650" s="36"/>
      <c r="X650" s="39">
        <f>B650*0.7/100</f>
        <v>0.7</v>
      </c>
      <c r="Y650" s="42"/>
      <c r="Z650" s="42"/>
      <c r="AA650" s="39">
        <f>B650*12/100</f>
        <v>12</v>
      </c>
      <c r="AB650" s="39">
        <v>0</v>
      </c>
      <c r="AC650"/>
    </row>
    <row r="651" spans="1:29">
      <c r="A651" s="40" t="s">
        <v>225</v>
      </c>
      <c r="B651" s="41">
        <v>100</v>
      </c>
      <c r="C651" s="38">
        <f>B651*116/100</f>
        <v>116</v>
      </c>
      <c r="D651" s="39">
        <f>B651*3.9/100</f>
        <v>3.9</v>
      </c>
      <c r="E651" s="39">
        <f>B651*6.65/100</f>
        <v>6.65</v>
      </c>
      <c r="F651" s="39">
        <f>B651*0.03/100</f>
        <v>0.03</v>
      </c>
      <c r="G651" s="36"/>
      <c r="H651" s="36"/>
      <c r="I651" s="36"/>
      <c r="J651" s="39"/>
      <c r="K651" s="39">
        <f>B651*9.5/100</f>
        <v>9.5</v>
      </c>
      <c r="L651" s="39">
        <f>B651*10.9/100</f>
        <v>10.9</v>
      </c>
      <c r="M651" s="39">
        <f>B651*1.6/100</f>
        <v>1.6</v>
      </c>
      <c r="N651" s="39">
        <f>B651*98.4/100</f>
        <v>98.4</v>
      </c>
      <c r="O651" s="36"/>
      <c r="P651" s="36"/>
      <c r="Q651" s="36"/>
      <c r="R651" s="39">
        <f>B651*0.6/100</f>
        <v>0.6</v>
      </c>
      <c r="S651" s="39">
        <f>B651*660.7/100</f>
        <v>660.7</v>
      </c>
      <c r="T651" s="39">
        <f>B651*187.8/100</f>
        <v>187.8</v>
      </c>
      <c r="U651" s="42"/>
      <c r="V651" s="42"/>
      <c r="W651" s="36"/>
      <c r="X651" s="39">
        <f>B651*0.01/100</f>
        <v>0.01</v>
      </c>
      <c r="Y651" s="42"/>
      <c r="Z651" s="42"/>
      <c r="AA651" s="39">
        <f>B651*1/100</f>
        <v>1</v>
      </c>
      <c r="AB651" s="39">
        <f>B651*1/100</f>
        <v>1</v>
      </c>
      <c r="AC651"/>
    </row>
    <row r="652" spans="1:29">
      <c r="A652" s="40" t="s">
        <v>226</v>
      </c>
      <c r="B652" s="41">
        <v>100</v>
      </c>
      <c r="C652" s="38">
        <f>B652*249/100</f>
        <v>249</v>
      </c>
      <c r="D652" s="39">
        <f>B652*2.4/100</f>
        <v>2.4</v>
      </c>
      <c r="E652" s="39">
        <f>B652*25/100</f>
        <v>25</v>
      </c>
      <c r="F652" s="39">
        <f>B652*0/100</f>
        <v>0</v>
      </c>
      <c r="G652" s="36"/>
      <c r="H652" s="36"/>
      <c r="I652" s="36"/>
      <c r="J652" s="39"/>
      <c r="K652" s="39">
        <f>B652*0/100</f>
        <v>0</v>
      </c>
      <c r="L652" s="39">
        <f>B652*3.6/100</f>
        <v>3.6</v>
      </c>
      <c r="M652" s="39">
        <f>B652*0/100</f>
        <v>0</v>
      </c>
      <c r="N652" s="39">
        <f>B652*0/100</f>
        <v>0</v>
      </c>
      <c r="O652" s="36"/>
      <c r="P652" s="36"/>
      <c r="Q652" s="36"/>
      <c r="R652" s="39">
        <f>B652*0/100</f>
        <v>0</v>
      </c>
      <c r="S652" s="39">
        <f>B652*0/100</f>
        <v>0</v>
      </c>
      <c r="T652" s="39">
        <f>B652*0/100</f>
        <v>0</v>
      </c>
      <c r="U652" s="42"/>
      <c r="V652" s="42"/>
      <c r="W652" s="36"/>
      <c r="X652" s="39">
        <f>B652*0/100</f>
        <v>0</v>
      </c>
      <c r="Y652" s="42"/>
      <c r="Z652" s="42"/>
      <c r="AA652" s="39">
        <f>B652*0/100</f>
        <v>0</v>
      </c>
      <c r="AB652" s="39">
        <f>B652*0/100</f>
        <v>0</v>
      </c>
      <c r="AC652"/>
    </row>
    <row r="653" spans="1:29">
      <c r="A653" s="40" t="s">
        <v>227</v>
      </c>
      <c r="B653" s="41">
        <v>100</v>
      </c>
      <c r="C653" s="38">
        <f>B653*171/100</f>
        <v>171</v>
      </c>
      <c r="D653" s="39">
        <f>B653*3.5/100</f>
        <v>3.5</v>
      </c>
      <c r="E653" s="39">
        <f>B653*15/100</f>
        <v>15</v>
      </c>
      <c r="F653" s="39">
        <v>0</v>
      </c>
      <c r="G653" s="36"/>
      <c r="H653" s="36"/>
      <c r="I653" s="36"/>
      <c r="J653" s="39"/>
      <c r="K653" s="39">
        <v>0</v>
      </c>
      <c r="L653" s="39">
        <f>B653*5.5/100</f>
        <v>5.5</v>
      </c>
      <c r="M653" s="39">
        <v>0</v>
      </c>
      <c r="N653" s="39">
        <v>0</v>
      </c>
      <c r="O653" s="36"/>
      <c r="P653" s="36"/>
      <c r="Q653" s="36"/>
      <c r="R653" s="39">
        <v>0</v>
      </c>
      <c r="S653" s="39">
        <v>0</v>
      </c>
      <c r="T653" s="39">
        <v>0</v>
      </c>
      <c r="U653" s="42"/>
      <c r="V653" s="42"/>
      <c r="W653" s="36"/>
      <c r="X653" s="39">
        <v>0</v>
      </c>
      <c r="Y653" s="42"/>
      <c r="Z653" s="42"/>
      <c r="AA653" s="39">
        <v>0</v>
      </c>
      <c r="AB653" s="39">
        <v>0</v>
      </c>
      <c r="AC653"/>
    </row>
    <row r="654" spans="1:29">
      <c r="A654" s="40" t="s">
        <v>228</v>
      </c>
      <c r="B654" s="41">
        <v>100</v>
      </c>
      <c r="C654" s="38">
        <f>B654*360/100</f>
        <v>360</v>
      </c>
      <c r="D654" s="39">
        <f>B654*2/100</f>
        <v>2</v>
      </c>
      <c r="E654" s="39">
        <f>B654*1/100</f>
        <v>1</v>
      </c>
      <c r="F654" s="39">
        <v>0</v>
      </c>
      <c r="G654" s="36"/>
      <c r="H654" s="36"/>
      <c r="I654" s="36"/>
      <c r="J654" s="39"/>
      <c r="K654" s="39">
        <v>0</v>
      </c>
      <c r="L654" s="39">
        <f>B654*86/100</f>
        <v>86</v>
      </c>
      <c r="M654" s="39">
        <v>0</v>
      </c>
      <c r="N654" s="39">
        <f>B654*828/100</f>
        <v>828</v>
      </c>
      <c r="O654" s="36"/>
      <c r="P654" s="36"/>
      <c r="Q654" s="36"/>
      <c r="R654" s="39">
        <f>B654*8/100</f>
        <v>8</v>
      </c>
      <c r="S654" s="39">
        <v>0</v>
      </c>
      <c r="T654" s="39">
        <v>0</v>
      </c>
      <c r="U654" s="42"/>
      <c r="V654" s="42"/>
      <c r="W654" s="36"/>
      <c r="X654" s="39">
        <f>B654*0.4/100</f>
        <v>0.4</v>
      </c>
      <c r="Y654" s="42"/>
      <c r="Z654" s="42"/>
      <c r="AA654" s="39">
        <f>B654*5.6/100</f>
        <v>5.6</v>
      </c>
      <c r="AB654" s="39">
        <v>0</v>
      </c>
      <c r="AC654"/>
    </row>
    <row r="655" spans="1:29">
      <c r="A655" s="40" t="s">
        <v>229</v>
      </c>
      <c r="B655" s="41">
        <v>100</v>
      </c>
      <c r="C655" s="38">
        <f>B655*354/100</f>
        <v>354</v>
      </c>
      <c r="D655" s="39">
        <f>B655*8/100</f>
        <v>8</v>
      </c>
      <c r="E655" s="39">
        <f>B655*10/100</f>
        <v>10</v>
      </c>
      <c r="F655" s="39">
        <v>0</v>
      </c>
      <c r="G655" s="36"/>
      <c r="H655" s="36"/>
      <c r="I655" s="36"/>
      <c r="J655" s="39"/>
      <c r="K655" s="39">
        <v>0</v>
      </c>
      <c r="L655" s="39">
        <f>B655*65/100</f>
        <v>65</v>
      </c>
      <c r="M655" s="39">
        <f>B655*21/100</f>
        <v>21</v>
      </c>
      <c r="N655" s="39">
        <f>B655*183/100</f>
        <v>183</v>
      </c>
      <c r="O655" s="36"/>
      <c r="P655" s="36"/>
      <c r="Q655" s="36"/>
      <c r="R655" s="39">
        <f>B655*41/100</f>
        <v>41</v>
      </c>
      <c r="S655" s="39">
        <f>B655*38/100</f>
        <v>38</v>
      </c>
      <c r="T655" s="39">
        <f>B655*2525/100</f>
        <v>2525</v>
      </c>
      <c r="U655" s="42"/>
      <c r="V655" s="42"/>
      <c r="W655" s="36"/>
      <c r="X655" s="39">
        <f>B655*0.1/100</f>
        <v>0.1</v>
      </c>
      <c r="Y655" s="42"/>
      <c r="Z655" s="42"/>
      <c r="AA655" s="39">
        <f>B655*5/100</f>
        <v>5</v>
      </c>
      <c r="AB655" s="39">
        <f>B655*26/100</f>
        <v>26</v>
      </c>
      <c r="AC655"/>
    </row>
    <row r="656" spans="1:29">
      <c r="A656" s="40" t="s">
        <v>230</v>
      </c>
      <c r="B656" s="41">
        <v>100</v>
      </c>
      <c r="C656" s="38">
        <f>B656*325/100</f>
        <v>325</v>
      </c>
      <c r="D656" s="39">
        <f>B656*12.7/100</f>
        <v>12.7</v>
      </c>
      <c r="E656" s="39">
        <f>B656*13.8/100</f>
        <v>13.8</v>
      </c>
      <c r="F656" s="39">
        <f>B656*0.79/100</f>
        <v>0.79</v>
      </c>
      <c r="G656" s="36"/>
      <c r="H656" s="36"/>
      <c r="I656" s="36"/>
      <c r="J656" s="39"/>
      <c r="K656" s="39">
        <v>0</v>
      </c>
      <c r="L656" s="39">
        <f>B656*58.2/100</f>
        <v>58.2</v>
      </c>
      <c r="M656" s="39">
        <f>B656*33.2/100</f>
        <v>33.200000000000003</v>
      </c>
      <c r="N656" s="39">
        <f>B656*478/100</f>
        <v>478</v>
      </c>
      <c r="O656" s="36"/>
      <c r="P656" s="36"/>
      <c r="Q656" s="36"/>
      <c r="R656" s="39">
        <f>B656*29.6/100</f>
        <v>29.6</v>
      </c>
      <c r="S656" s="39">
        <f>B656*52/100</f>
        <v>52</v>
      </c>
      <c r="T656" s="39">
        <f>B656*1543/100</f>
        <v>1543</v>
      </c>
      <c r="U656" s="42"/>
      <c r="V656" s="42"/>
      <c r="W656" s="36"/>
      <c r="X656" s="39">
        <f>B656*0.25/100</f>
        <v>0.25</v>
      </c>
      <c r="Y656" s="42"/>
      <c r="Z656" s="42"/>
      <c r="AA656" s="39">
        <f>B656*3.5/100</f>
        <v>3.5</v>
      </c>
      <c r="AB656" s="39">
        <f>B656*11.4/100</f>
        <v>11.4</v>
      </c>
      <c r="AC656"/>
    </row>
    <row r="657" spans="1:29">
      <c r="A657" s="40" t="s">
        <v>231</v>
      </c>
      <c r="B657" s="41">
        <v>100</v>
      </c>
      <c r="C657" s="38">
        <f>B657*248/100</f>
        <v>248</v>
      </c>
      <c r="D657" s="39">
        <f>B657*0.8/100</f>
        <v>0.8</v>
      </c>
      <c r="E657" s="39">
        <f>B657*3.1/100</f>
        <v>3.1</v>
      </c>
      <c r="F657" s="39" t="s">
        <v>149</v>
      </c>
      <c r="G657" s="36"/>
      <c r="H657" s="36"/>
      <c r="I657" s="36"/>
      <c r="J657" s="39"/>
      <c r="K657" s="39" t="s">
        <v>149</v>
      </c>
      <c r="L657" s="39">
        <f>B657*54.2/100</f>
        <v>54.2</v>
      </c>
      <c r="M657" s="39" t="s">
        <v>149</v>
      </c>
      <c r="N657" s="39">
        <f>B657*7/100</f>
        <v>7</v>
      </c>
      <c r="O657" s="36"/>
      <c r="P657" s="36"/>
      <c r="Q657" s="36"/>
      <c r="R657" s="39">
        <f>B657*0.4/100</f>
        <v>0.4</v>
      </c>
      <c r="S657" s="39" t="s">
        <v>149</v>
      </c>
      <c r="T657" s="39" t="s">
        <v>149</v>
      </c>
      <c r="U657" s="42"/>
      <c r="V657" s="42"/>
      <c r="W657" s="36"/>
      <c r="X657" s="39" t="s">
        <v>149</v>
      </c>
      <c r="Y657" s="42"/>
      <c r="Z657" s="42"/>
      <c r="AA657" s="39" t="s">
        <v>149</v>
      </c>
      <c r="AB657" s="39">
        <v>0</v>
      </c>
      <c r="AC657"/>
    </row>
    <row r="658" spans="1:29">
      <c r="A658" s="40" t="s">
        <v>232</v>
      </c>
      <c r="B658" s="41">
        <v>100</v>
      </c>
      <c r="C658" s="38">
        <f>B658*309/100</f>
        <v>309</v>
      </c>
      <c r="D658" s="39">
        <f>B658*6.4/100</f>
        <v>6.4</v>
      </c>
      <c r="E658" s="39">
        <f>B658*5.9/100</f>
        <v>5.9</v>
      </c>
      <c r="F658" s="39">
        <v>0</v>
      </c>
      <c r="G658" s="36"/>
      <c r="H658" s="36"/>
      <c r="I658" s="36"/>
      <c r="J658" s="39"/>
      <c r="K658" s="39">
        <v>0</v>
      </c>
      <c r="L658" s="39">
        <f>B658*57.6/100</f>
        <v>57.6</v>
      </c>
      <c r="M658" s="39">
        <v>0</v>
      </c>
      <c r="N658" s="39">
        <v>0</v>
      </c>
      <c r="O658" s="36"/>
      <c r="P658" s="36"/>
      <c r="Q658" s="36"/>
      <c r="R658" s="39">
        <v>0</v>
      </c>
      <c r="S658" s="39">
        <v>0</v>
      </c>
      <c r="T658" s="39">
        <v>0</v>
      </c>
      <c r="U658" s="42"/>
      <c r="V658" s="42"/>
      <c r="W658" s="36"/>
      <c r="X658" s="39">
        <v>0</v>
      </c>
      <c r="Y658" s="42"/>
      <c r="Z658" s="42"/>
      <c r="AA658" s="39">
        <v>0</v>
      </c>
      <c r="AB658" s="39">
        <v>0</v>
      </c>
      <c r="AC658"/>
    </row>
    <row r="659" spans="1:29">
      <c r="A659" s="40" t="s">
        <v>233</v>
      </c>
      <c r="B659" s="41">
        <v>100</v>
      </c>
      <c r="C659" s="38">
        <f>B659*110/100</f>
        <v>110</v>
      </c>
      <c r="D659" s="39">
        <f>B659*6.5/100</f>
        <v>6.5</v>
      </c>
      <c r="E659" s="39">
        <f>B659*1/100</f>
        <v>1</v>
      </c>
      <c r="F659" s="39">
        <v>0</v>
      </c>
      <c r="G659" s="36"/>
      <c r="H659" s="36"/>
      <c r="I659" s="36"/>
      <c r="J659" s="39"/>
      <c r="K659" s="39">
        <v>0</v>
      </c>
      <c r="L659" s="39">
        <f>B659*21/100</f>
        <v>21</v>
      </c>
      <c r="M659" s="39">
        <v>0</v>
      </c>
      <c r="N659" s="39">
        <v>0</v>
      </c>
      <c r="O659" s="36"/>
      <c r="P659" s="36"/>
      <c r="Q659" s="36"/>
      <c r="R659" s="39">
        <v>0</v>
      </c>
      <c r="S659" s="39">
        <f>B659*720/100</f>
        <v>720</v>
      </c>
      <c r="T659" s="39">
        <v>0</v>
      </c>
      <c r="U659" s="42"/>
      <c r="V659" s="42"/>
      <c r="W659" s="36"/>
      <c r="X659" s="39">
        <v>0</v>
      </c>
      <c r="Y659" s="42"/>
      <c r="Z659" s="42"/>
      <c r="AA659" s="39">
        <v>0</v>
      </c>
      <c r="AB659" s="39">
        <v>0</v>
      </c>
      <c r="AC659"/>
    </row>
    <row r="660" spans="1:29">
      <c r="A660" s="40" t="s">
        <v>234</v>
      </c>
      <c r="B660" s="41">
        <v>100</v>
      </c>
      <c r="C660" s="38">
        <f>B660*81/100</f>
        <v>81</v>
      </c>
      <c r="D660" s="39">
        <f>B660*5.4/100</f>
        <v>5.4</v>
      </c>
      <c r="E660" s="39">
        <f>B660*0.4/100</f>
        <v>0.4</v>
      </c>
      <c r="F660" s="39">
        <f>B660*0.07/100</f>
        <v>7.0000000000000007E-2</v>
      </c>
      <c r="G660" s="36"/>
      <c r="H660" s="36"/>
      <c r="I660" s="36"/>
      <c r="J660" s="39"/>
      <c r="K660" s="39">
        <v>0</v>
      </c>
      <c r="L660" s="39">
        <f>B660*14.5/100</f>
        <v>14.5</v>
      </c>
      <c r="M660" s="39">
        <f>B660*5.1/100</f>
        <v>5.0999999999999996</v>
      </c>
      <c r="N660" s="39">
        <f>B660*25/100</f>
        <v>25</v>
      </c>
      <c r="O660" s="36"/>
      <c r="P660" s="36"/>
      <c r="Q660" s="36"/>
      <c r="R660" s="39">
        <f>B660*1.5/100</f>
        <v>1.5</v>
      </c>
      <c r="S660" s="39">
        <f>B660*5/100</f>
        <v>5</v>
      </c>
      <c r="T660" s="39">
        <f>B660*244/100</f>
        <v>244</v>
      </c>
      <c r="U660" s="42"/>
      <c r="V660" s="42"/>
      <c r="W660" s="36"/>
      <c r="X660" s="39">
        <f>B660*0.3/100</f>
        <v>0.3</v>
      </c>
      <c r="Y660" s="42"/>
      <c r="Z660" s="42"/>
      <c r="AA660" s="39">
        <f>B660*2.1/100</f>
        <v>2.1</v>
      </c>
      <c r="AB660" s="39">
        <f>B660*40/100</f>
        <v>40</v>
      </c>
      <c r="AC660"/>
    </row>
    <row r="661" spans="1:29">
      <c r="A661" s="40" t="s">
        <v>235</v>
      </c>
      <c r="B661" s="41">
        <v>100</v>
      </c>
      <c r="C661" s="38">
        <f>B661*343/100</f>
        <v>343</v>
      </c>
      <c r="D661" s="39">
        <f>B661*22.5/100</f>
        <v>22.5</v>
      </c>
      <c r="E661" s="39">
        <f>B661*2/100</f>
        <v>2</v>
      </c>
      <c r="F661" s="39">
        <v>0</v>
      </c>
      <c r="G661" s="36"/>
      <c r="H661" s="36"/>
      <c r="I661" s="36"/>
      <c r="J661" s="39"/>
      <c r="K661" s="39">
        <v>0</v>
      </c>
      <c r="L661" s="39">
        <f>B661*61/100</f>
        <v>61</v>
      </c>
      <c r="M661" s="39">
        <f>B661*4.7/100</f>
        <v>4.7</v>
      </c>
      <c r="N661" s="39">
        <f>B661*80/100</f>
        <v>80</v>
      </c>
      <c r="O661" s="36"/>
      <c r="P661" s="36"/>
      <c r="Q661" s="36"/>
      <c r="R661" s="39">
        <f>B661*5.8/100</f>
        <v>5.8</v>
      </c>
      <c r="S661" s="39">
        <v>0</v>
      </c>
      <c r="T661" s="39">
        <v>0</v>
      </c>
      <c r="U661" s="42"/>
      <c r="V661" s="42"/>
      <c r="W661" s="36"/>
      <c r="X661" s="39">
        <f>B661*0.6/100</f>
        <v>0.6</v>
      </c>
      <c r="Y661" s="42"/>
      <c r="Z661" s="42"/>
      <c r="AA661" s="39">
        <f>B661*3/100</f>
        <v>3</v>
      </c>
      <c r="AB661" s="39">
        <f>B661*1/100</f>
        <v>1</v>
      </c>
      <c r="AC661"/>
    </row>
    <row r="662" spans="1:29">
      <c r="A662" s="40" t="s">
        <v>236</v>
      </c>
      <c r="B662" s="41">
        <v>100</v>
      </c>
      <c r="C662" s="38">
        <f>B662*357/100</f>
        <v>357</v>
      </c>
      <c r="D662" s="39">
        <f>B662*11.6/100</f>
        <v>11.6</v>
      </c>
      <c r="E662" s="39">
        <f>B662*1.2/100</f>
        <v>1.2</v>
      </c>
      <c r="F662" s="39">
        <v>0</v>
      </c>
      <c r="G662" s="36"/>
      <c r="H662" s="36"/>
      <c r="I662" s="36"/>
      <c r="J662" s="39"/>
      <c r="K662" s="39">
        <v>0</v>
      </c>
      <c r="L662" s="39">
        <f>B662*75/100</f>
        <v>75</v>
      </c>
      <c r="M662" s="39">
        <v>0</v>
      </c>
      <c r="N662" s="39">
        <v>0</v>
      </c>
      <c r="O662" s="36"/>
      <c r="P662" s="36"/>
      <c r="Q662" s="36"/>
      <c r="R662" s="39">
        <v>0</v>
      </c>
      <c r="S662" s="39">
        <v>0</v>
      </c>
      <c r="T662" s="39">
        <v>0</v>
      </c>
      <c r="U662" s="42"/>
      <c r="V662" s="42"/>
      <c r="W662" s="36"/>
      <c r="X662" s="39">
        <v>0</v>
      </c>
      <c r="Y662" s="42"/>
      <c r="Z662" s="42"/>
      <c r="AA662" s="39">
        <v>0</v>
      </c>
      <c r="AB662" s="39">
        <v>0</v>
      </c>
      <c r="AC662"/>
    </row>
    <row r="663" spans="1:29">
      <c r="A663" s="40" t="s">
        <v>237</v>
      </c>
      <c r="B663" s="41">
        <v>100</v>
      </c>
      <c r="C663" s="38">
        <f>B663*23/100</f>
        <v>23</v>
      </c>
      <c r="D663" s="39">
        <f>B663*2.98/100</f>
        <v>2.98</v>
      </c>
      <c r="E663" s="39">
        <f>B663*0.26/100</f>
        <v>0.26</v>
      </c>
      <c r="F663" s="39">
        <f>B663*0.04/100</f>
        <v>0.04</v>
      </c>
      <c r="G663" s="36"/>
      <c r="H663" s="36"/>
      <c r="I663" s="36"/>
      <c r="J663" s="39"/>
      <c r="K663" s="39">
        <f>B663*0/100</f>
        <v>0</v>
      </c>
      <c r="L663" s="39">
        <f>B663*3.76/100</f>
        <v>3.76</v>
      </c>
      <c r="M663" s="39">
        <f>B663*2.3/100</f>
        <v>2.2999999999999998</v>
      </c>
      <c r="N663" s="39">
        <f>B663*136/100</f>
        <v>136</v>
      </c>
      <c r="O663" s="36"/>
      <c r="P663" s="36"/>
      <c r="Q663" s="36"/>
      <c r="R663" s="39">
        <f>B663*3.57/100</f>
        <v>3.57</v>
      </c>
      <c r="S663" s="39">
        <f>B663*70/100</f>
        <v>70</v>
      </c>
      <c r="T663" s="39">
        <f>B663*466/100</f>
        <v>466</v>
      </c>
      <c r="U663" s="42"/>
      <c r="V663" s="42"/>
      <c r="W663" s="36"/>
      <c r="X663" s="39">
        <f>B663*0.1/100</f>
        <v>0.1</v>
      </c>
      <c r="Y663" s="42"/>
      <c r="Z663" s="42"/>
      <c r="AA663" s="39">
        <f>B663*0.49/100</f>
        <v>0.49</v>
      </c>
      <c r="AB663" s="39">
        <f>B663*9.8/100</f>
        <v>9.8000000000000007</v>
      </c>
      <c r="AC663"/>
    </row>
    <row r="664" spans="1:29">
      <c r="A664" s="40" t="s">
        <v>238</v>
      </c>
      <c r="B664" s="41">
        <v>100</v>
      </c>
      <c r="C664" s="38">
        <f>B664*22/100</f>
        <v>22</v>
      </c>
      <c r="D664" s="39">
        <f>B664*2.9/100</f>
        <v>2.9</v>
      </c>
      <c r="E664" s="39">
        <f>B664*0.35/100</f>
        <v>0.35</v>
      </c>
      <c r="F664" s="39">
        <f>B664*0.06/100</f>
        <v>0.06</v>
      </c>
      <c r="G664" s="36"/>
      <c r="H664" s="36"/>
      <c r="I664" s="36"/>
      <c r="J664" s="39"/>
      <c r="K664" s="39">
        <v>0</v>
      </c>
      <c r="L664" s="39">
        <f>B664*3.5/100</f>
        <v>3.5</v>
      </c>
      <c r="M664" s="39">
        <f>B664*2.7/100</f>
        <v>2.7</v>
      </c>
      <c r="N664" s="39">
        <f>B664*99/100</f>
        <v>99</v>
      </c>
      <c r="O664" s="36"/>
      <c r="P664" s="36"/>
      <c r="Q664" s="36"/>
      <c r="R664" s="39">
        <f>B664*2.71/100</f>
        <v>2.71</v>
      </c>
      <c r="S664" s="39">
        <f>B664*79/100</f>
        <v>79</v>
      </c>
      <c r="T664" s="39">
        <f>B664*558/100</f>
        <v>558</v>
      </c>
      <c r="U664" s="42"/>
      <c r="V664" s="42"/>
      <c r="W664" s="36"/>
      <c r="X664" s="39">
        <f>B664*0.08/100</f>
        <v>0.08</v>
      </c>
      <c r="Y664" s="42"/>
      <c r="Z664" s="42"/>
      <c r="AA664" s="39">
        <f>B664*0.72/100</f>
        <v>0.72</v>
      </c>
      <c r="AB664" s="39">
        <f>B664*28.1/100</f>
        <v>28.1</v>
      </c>
      <c r="AC664"/>
    </row>
    <row r="665" spans="1:29">
      <c r="A665" s="40" t="s">
        <v>239</v>
      </c>
      <c r="B665" s="41">
        <v>100</v>
      </c>
      <c r="C665" s="38">
        <f>B665*72/100</f>
        <v>72</v>
      </c>
      <c r="D665" s="39">
        <f>B665*2/100</f>
        <v>2</v>
      </c>
      <c r="E665" s="39">
        <f>B665*1/100</f>
        <v>1</v>
      </c>
      <c r="F665" s="39">
        <v>0</v>
      </c>
      <c r="G665" s="36"/>
      <c r="H665" s="36"/>
      <c r="I665" s="36"/>
      <c r="J665" s="39"/>
      <c r="K665" s="39">
        <v>0</v>
      </c>
      <c r="L665" s="39">
        <f>B665*16/100</f>
        <v>16</v>
      </c>
      <c r="M665" s="39">
        <v>0</v>
      </c>
      <c r="N665" s="39">
        <v>0</v>
      </c>
      <c r="O665" s="36"/>
      <c r="P665" s="36"/>
      <c r="Q665" s="36"/>
      <c r="R665" s="39">
        <v>0</v>
      </c>
      <c r="S665" s="39">
        <f>B665*640/100</f>
        <v>640</v>
      </c>
      <c r="T665" s="39">
        <v>0</v>
      </c>
      <c r="U665" s="42"/>
      <c r="V665" s="42"/>
      <c r="W665" s="36"/>
      <c r="X665" s="39">
        <v>0</v>
      </c>
      <c r="Y665" s="42"/>
      <c r="Z665" s="42"/>
      <c r="AA665" s="39">
        <v>0</v>
      </c>
      <c r="AB665" s="39">
        <v>0</v>
      </c>
      <c r="AC665"/>
    </row>
    <row r="666" spans="1:29">
      <c r="A666" s="40" t="s">
        <v>240</v>
      </c>
      <c r="B666" s="41">
        <v>100</v>
      </c>
      <c r="C666" s="38">
        <f>B666*216/100</f>
        <v>216</v>
      </c>
      <c r="D666" s="39">
        <f>B666*15.6/100</f>
        <v>15.6</v>
      </c>
      <c r="E666" s="39">
        <f>B666*4.3/100</f>
        <v>4.3</v>
      </c>
      <c r="F666" s="39">
        <f>B666*0.6/100</f>
        <v>0.6</v>
      </c>
      <c r="G666" s="36"/>
      <c r="H666" s="36"/>
      <c r="I666" s="36"/>
      <c r="J666" s="39"/>
      <c r="K666" s="39">
        <v>0</v>
      </c>
      <c r="L666" s="39">
        <f>B666*64.5/100</f>
        <v>64.5</v>
      </c>
      <c r="M666" s="39">
        <f>B666*41.9/100</f>
        <v>41.9</v>
      </c>
      <c r="N666" s="39">
        <f>B666*73/100</f>
        <v>73</v>
      </c>
      <c r="O666" s="36"/>
      <c r="P666" s="36"/>
      <c r="Q666" s="36"/>
      <c r="R666" s="39">
        <f>B666*10.6/100</f>
        <v>10.6</v>
      </c>
      <c r="S666" s="39">
        <f>B666*2/100</f>
        <v>2</v>
      </c>
      <c r="T666" s="39">
        <f>B666*1182/100</f>
        <v>1182</v>
      </c>
      <c r="U666" s="42"/>
      <c r="V666" s="42"/>
      <c r="W666" s="36"/>
      <c r="X666" s="39">
        <f>B666*0.5/100</f>
        <v>0.5</v>
      </c>
      <c r="Y666" s="42"/>
      <c r="Z666" s="42"/>
      <c r="AA666" s="39">
        <f>B666*13.6/100</f>
        <v>13.6</v>
      </c>
      <c r="AB666" s="39">
        <v>0</v>
      </c>
      <c r="AC666"/>
    </row>
    <row r="667" spans="1:29">
      <c r="A667" s="40" t="s">
        <v>241</v>
      </c>
      <c r="B667" s="41">
        <v>100</v>
      </c>
      <c r="C667" s="38">
        <f>B667*354/100</f>
        <v>354</v>
      </c>
      <c r="D667" s="39">
        <f>B667*1.7/100</f>
        <v>1.7</v>
      </c>
      <c r="E667" s="39">
        <f>B667*0.3/100</f>
        <v>0.3</v>
      </c>
      <c r="F667" s="39">
        <v>0</v>
      </c>
      <c r="G667" s="36"/>
      <c r="H667" s="36"/>
      <c r="I667" s="36"/>
      <c r="J667" s="39"/>
      <c r="K667" s="39">
        <v>0</v>
      </c>
      <c r="L667" s="39">
        <f>B667*86.4/100</f>
        <v>86.4</v>
      </c>
      <c r="M667" s="39">
        <f>B667*1.8/100</f>
        <v>1.8</v>
      </c>
      <c r="N667" s="39">
        <f>B667*61/100</f>
        <v>61</v>
      </c>
      <c r="O667" s="36"/>
      <c r="P667" s="36"/>
      <c r="Q667" s="36"/>
      <c r="R667" s="39">
        <f>B667*3.1/100</f>
        <v>3.1</v>
      </c>
      <c r="S667" s="39">
        <v>0</v>
      </c>
      <c r="T667" s="39">
        <v>0</v>
      </c>
      <c r="U667" s="42"/>
      <c r="V667" s="42"/>
      <c r="W667" s="36"/>
      <c r="X667" s="39">
        <f>B667*0.08/100</f>
        <v>0.08</v>
      </c>
      <c r="Y667" s="42"/>
      <c r="Z667" s="42"/>
      <c r="AA667" s="39">
        <f>B667*1.6/100</f>
        <v>1.6</v>
      </c>
      <c r="AB667" s="39">
        <f>B667*14/100</f>
        <v>14</v>
      </c>
      <c r="AC667"/>
    </row>
    <row r="668" spans="1:29">
      <c r="A668" s="40" t="s">
        <v>242</v>
      </c>
      <c r="B668" s="41">
        <v>100</v>
      </c>
      <c r="C668" s="38">
        <f>B668*386/100</f>
        <v>386</v>
      </c>
      <c r="D668" s="39">
        <f>B668*0.2/100</f>
        <v>0.2</v>
      </c>
      <c r="E668" s="39">
        <f>B668*9.6/100</f>
        <v>9.6</v>
      </c>
      <c r="F668" s="39">
        <f>B668*1.7/100</f>
        <v>1.7</v>
      </c>
      <c r="G668" s="36"/>
      <c r="H668" s="36"/>
      <c r="I668" s="36"/>
      <c r="J668" s="39"/>
      <c r="K668" s="39">
        <v>0</v>
      </c>
      <c r="L668" s="39">
        <f>B668*78.4/100</f>
        <v>78.400000000000006</v>
      </c>
      <c r="M668" s="39">
        <f>B668*0.6/100</f>
        <v>0.6</v>
      </c>
      <c r="N668" s="39">
        <f>B668*19.5/100</f>
        <v>19.5</v>
      </c>
      <c r="O668" s="36"/>
      <c r="P668" s="36"/>
      <c r="Q668" s="36"/>
      <c r="R668" s="39">
        <f>B668*1.4/100</f>
        <v>1.4</v>
      </c>
      <c r="S668" s="39">
        <f>B668*1.1/100</f>
        <v>1.1000000000000001</v>
      </c>
      <c r="T668" s="39">
        <f>B668*12.2/100</f>
        <v>12.2</v>
      </c>
      <c r="U668" s="42"/>
      <c r="V668" s="42"/>
      <c r="W668" s="36"/>
      <c r="X668" s="39">
        <v>0</v>
      </c>
      <c r="Y668" s="42"/>
      <c r="Z668" s="42"/>
      <c r="AA668" s="39">
        <v>0</v>
      </c>
      <c r="AB668" s="39">
        <f>B668*0.009/100</f>
        <v>8.9999999999999993E-3</v>
      </c>
      <c r="AC668"/>
    </row>
    <row r="669" spans="1:29">
      <c r="A669" s="40" t="s">
        <v>243</v>
      </c>
      <c r="B669" s="41">
        <v>100</v>
      </c>
      <c r="C669" s="38">
        <f>B669*371/100</f>
        <v>371</v>
      </c>
      <c r="D669" s="39">
        <f>B669*9.4/100</f>
        <v>9.4</v>
      </c>
      <c r="E669" s="39">
        <f>B669*1.3/100</f>
        <v>1.3</v>
      </c>
      <c r="F669" s="39">
        <f>B669*0.2/100</f>
        <v>0.2</v>
      </c>
      <c r="G669" s="36"/>
      <c r="H669" s="36"/>
      <c r="I669" s="36"/>
      <c r="J669" s="39"/>
      <c r="K669" s="39">
        <v>0</v>
      </c>
      <c r="L669" s="39">
        <f>B669*77.7/100</f>
        <v>77.7</v>
      </c>
      <c r="M669" s="39">
        <f>B669*3.6/100</f>
        <v>3.6</v>
      </c>
      <c r="N669" s="39">
        <f>B669*140/100</f>
        <v>140</v>
      </c>
      <c r="O669" s="36"/>
      <c r="P669" s="36"/>
      <c r="Q669" s="36"/>
      <c r="R669" s="39">
        <f>B669*2/100</f>
        <v>2</v>
      </c>
      <c r="S669" s="39">
        <f>B669*3/100</f>
        <v>3</v>
      </c>
      <c r="T669" s="39">
        <f>B669*150/100</f>
        <v>150</v>
      </c>
      <c r="U669" s="42"/>
      <c r="V669" s="42"/>
      <c r="W669" s="36"/>
      <c r="X669" s="39">
        <f>B669*0.31/100</f>
        <v>0.31</v>
      </c>
      <c r="Y669" s="42"/>
      <c r="Z669" s="42"/>
      <c r="AA669" s="39">
        <f>B669*1.7/100</f>
        <v>1.7</v>
      </c>
      <c r="AB669" s="39">
        <v>0</v>
      </c>
      <c r="AC669"/>
    </row>
    <row r="670" spans="1:29">
      <c r="A670" s="40" t="s">
        <v>244</v>
      </c>
      <c r="B670" s="41">
        <v>100</v>
      </c>
      <c r="C670" s="38">
        <f>B670*339/100</f>
        <v>339</v>
      </c>
      <c r="D670" s="39">
        <f>B670*13.7/100</f>
        <v>13.7</v>
      </c>
      <c r="E670" s="39">
        <f>B670*1.8/100</f>
        <v>1.8</v>
      </c>
      <c r="F670" s="39">
        <f>B670*0.3/100</f>
        <v>0.3</v>
      </c>
      <c r="G670" s="36"/>
      <c r="H670" s="36"/>
      <c r="I670" s="36"/>
      <c r="J670" s="39"/>
      <c r="K670" s="39">
        <v>0</v>
      </c>
      <c r="L670" s="39">
        <f>B670*72.6/100</f>
        <v>72.599999999999994</v>
      </c>
      <c r="M670" s="39">
        <f>B670*11.5/100</f>
        <v>11.5</v>
      </c>
      <c r="N670" s="39">
        <f>B670*34/100</f>
        <v>34</v>
      </c>
      <c r="O670" s="36"/>
      <c r="P670" s="36"/>
      <c r="Q670" s="36"/>
      <c r="R670" s="39">
        <f>B670*3.9/100</f>
        <v>3.9</v>
      </c>
      <c r="S670" s="39">
        <f>B670*5/100</f>
        <v>5</v>
      </c>
      <c r="T670" s="39">
        <f>B670*405/100</f>
        <v>405</v>
      </c>
      <c r="U670" s="42"/>
      <c r="V670" s="42"/>
      <c r="W670" s="36"/>
      <c r="X670" s="39">
        <f>B670*0.4/100</f>
        <v>0.4</v>
      </c>
      <c r="Y670" s="42"/>
      <c r="Z670" s="42"/>
      <c r="AA670" s="39">
        <f>B670*6.4/100</f>
        <v>6.4</v>
      </c>
      <c r="AB670" s="39">
        <v>0</v>
      </c>
      <c r="AC670"/>
    </row>
    <row r="671" spans="1:29">
      <c r="A671" s="40" t="s">
        <v>245</v>
      </c>
      <c r="B671" s="41">
        <v>100</v>
      </c>
      <c r="C671" s="41">
        <f>B671*361/100</f>
        <v>361</v>
      </c>
      <c r="D671" s="41">
        <f>B671*6.9/100</f>
        <v>6.9</v>
      </c>
      <c r="E671" s="41">
        <f>B671*3.9/100</f>
        <v>3.9</v>
      </c>
      <c r="F671" s="41">
        <f>B671*0.5/100</f>
        <v>0.5</v>
      </c>
      <c r="G671" s="36"/>
      <c r="H671" s="36"/>
      <c r="I671" s="36"/>
      <c r="J671" s="41"/>
      <c r="K671" s="41">
        <v>0</v>
      </c>
      <c r="L671" s="41">
        <f>B671*77.9/100</f>
        <v>77.900000000000006</v>
      </c>
      <c r="M671" s="41">
        <f>B671*13.4/100</f>
        <v>13.4</v>
      </c>
      <c r="N671" s="41">
        <f>B671*7/100</f>
        <v>7</v>
      </c>
      <c r="O671" s="36"/>
      <c r="P671" s="36"/>
      <c r="Q671" s="36"/>
      <c r="R671" s="41">
        <f>B671*2.4/100</f>
        <v>2.4</v>
      </c>
      <c r="S671" s="41">
        <f>B671*5/100</f>
        <v>5</v>
      </c>
      <c r="T671" s="41">
        <f>B671*315/100</f>
        <v>315</v>
      </c>
      <c r="U671" s="42"/>
      <c r="V671" s="42"/>
      <c r="W671" s="36"/>
      <c r="X671" s="41">
        <f>B671*0.25/100</f>
        <v>0.25</v>
      </c>
      <c r="Y671" s="42"/>
      <c r="Z671" s="42"/>
      <c r="AA671" s="41">
        <f>B671*1.9/100</f>
        <v>1.9</v>
      </c>
      <c r="AB671" s="41">
        <v>0</v>
      </c>
      <c r="AC671"/>
    </row>
    <row r="672" spans="1:29">
      <c r="A672" s="40" t="s">
        <v>246</v>
      </c>
      <c r="B672" s="41">
        <v>100</v>
      </c>
      <c r="C672" s="41">
        <f>B672*395/100</f>
        <v>395</v>
      </c>
      <c r="D672" s="41">
        <f>B672*12.5/100</f>
        <v>12.5</v>
      </c>
      <c r="E672" s="41">
        <f>B672*5.1/100</f>
        <v>5.0999999999999996</v>
      </c>
      <c r="F672" s="41">
        <f>B672*1.1/100</f>
        <v>1.1000000000000001</v>
      </c>
      <c r="G672" s="36"/>
      <c r="H672" s="36"/>
      <c r="I672" s="36"/>
      <c r="J672" s="41"/>
      <c r="K672" s="41">
        <v>0</v>
      </c>
      <c r="L672" s="41">
        <f>B672*72.5/100</f>
        <v>72.5</v>
      </c>
      <c r="M672" s="41">
        <f>B672*4.2/100</f>
        <v>4.2</v>
      </c>
      <c r="N672" s="41">
        <f>B672*227/100</f>
        <v>227</v>
      </c>
      <c r="O672" s="36"/>
      <c r="P672" s="36"/>
      <c r="Q672" s="36"/>
      <c r="R672" s="41">
        <f>B672*6.1/100</f>
        <v>6.1</v>
      </c>
      <c r="S672" s="41">
        <f>B672*862/100</f>
        <v>862</v>
      </c>
      <c r="T672" s="41">
        <f>B672*221/100</f>
        <v>221</v>
      </c>
      <c r="U672" s="42"/>
      <c r="V672" s="42"/>
      <c r="W672" s="36"/>
      <c r="X672" s="41">
        <f>B672*0.7/100</f>
        <v>0.7</v>
      </c>
      <c r="Y672" s="42"/>
      <c r="Z672" s="42"/>
      <c r="AA672" s="41">
        <f>B672*6.8/100</f>
        <v>6.8</v>
      </c>
      <c r="AB672" s="41">
        <v>0</v>
      </c>
      <c r="AC672"/>
    </row>
    <row r="673" spans="1:29">
      <c r="A673" s="40" t="s">
        <v>247</v>
      </c>
      <c r="B673" s="41">
        <v>100</v>
      </c>
      <c r="C673" s="41">
        <f>B673*433/100</f>
        <v>433</v>
      </c>
      <c r="D673" s="41">
        <f>B673*38/100</f>
        <v>38</v>
      </c>
      <c r="E673" s="41">
        <f>B673*21/100</f>
        <v>21</v>
      </c>
      <c r="F673" s="41">
        <f>B673*3/100</f>
        <v>3</v>
      </c>
      <c r="G673" s="36"/>
      <c r="H673" s="36"/>
      <c r="I673" s="36"/>
      <c r="J673" s="41"/>
      <c r="K673" s="41">
        <v>0</v>
      </c>
      <c r="L673" s="41">
        <f>B673*32/100</f>
        <v>32</v>
      </c>
      <c r="M673" s="41">
        <f>B673*2/100</f>
        <v>2</v>
      </c>
      <c r="N673" s="41">
        <f>B673*206/100</f>
        <v>206</v>
      </c>
      <c r="O673" s="36"/>
      <c r="P673" s="36"/>
      <c r="Q673" s="36"/>
      <c r="R673" s="41">
        <f>B673*6/100</f>
        <v>6</v>
      </c>
      <c r="S673" s="41">
        <f>B673*13/100</f>
        <v>13</v>
      </c>
      <c r="T673" s="41">
        <f>B673*2514/100</f>
        <v>2514</v>
      </c>
      <c r="U673" s="42"/>
      <c r="V673" s="42"/>
      <c r="W673" s="36"/>
      <c r="X673" s="41">
        <f>B673*0.6/100</f>
        <v>0.6</v>
      </c>
      <c r="Y673" s="42"/>
      <c r="Z673" s="42"/>
      <c r="AA673" s="41">
        <f>B673*4/100</f>
        <v>4</v>
      </c>
      <c r="AB673" s="41">
        <v>0</v>
      </c>
      <c r="AC673"/>
    </row>
    <row r="674" spans="1:29">
      <c r="A674" s="40" t="s">
        <v>248</v>
      </c>
      <c r="B674" s="41">
        <v>100</v>
      </c>
      <c r="C674" s="41">
        <f>B674*332/100</f>
        <v>332</v>
      </c>
      <c r="D674" s="41">
        <f>B674*0.1/100</f>
        <v>0.1</v>
      </c>
      <c r="E674" s="41">
        <f>B674*0.1/100</f>
        <v>0.1</v>
      </c>
      <c r="F674" s="41">
        <v>0</v>
      </c>
      <c r="G674" s="36"/>
      <c r="H674" s="36"/>
      <c r="I674" s="36"/>
      <c r="J674" s="41"/>
      <c r="K674" s="41">
        <v>0</v>
      </c>
      <c r="L674" s="41">
        <f>B674*82/100</f>
        <v>82</v>
      </c>
      <c r="M674" s="41">
        <v>0</v>
      </c>
      <c r="N674" s="41">
        <f>B674*10/100</f>
        <v>10</v>
      </c>
      <c r="O674" s="36"/>
      <c r="P674" s="36"/>
      <c r="Q674" s="36"/>
      <c r="R674" s="41">
        <f>B674*1.5/100</f>
        <v>1.5</v>
      </c>
      <c r="S674" s="41">
        <v>0</v>
      </c>
      <c r="T674" s="41">
        <v>0</v>
      </c>
      <c r="U674" s="42"/>
      <c r="V674" s="42"/>
      <c r="W674" s="36"/>
      <c r="X674" s="41">
        <f>B674*0.4/100</f>
        <v>0.4</v>
      </c>
      <c r="Y674" s="42"/>
      <c r="Z674" s="42"/>
      <c r="AA674" s="41">
        <f>B674*3.4/100</f>
        <v>3.4</v>
      </c>
      <c r="AB674" s="41">
        <f>B674*19/100</f>
        <v>19</v>
      </c>
      <c r="AC674"/>
    </row>
    <row r="675" spans="1:29">
      <c r="A675" s="40" t="s">
        <v>249</v>
      </c>
      <c r="B675" s="41">
        <v>100</v>
      </c>
      <c r="C675" s="38">
        <f>B675*61/100</f>
        <v>61</v>
      </c>
      <c r="D675" s="39">
        <f>B675*3.34/100</f>
        <v>3.34</v>
      </c>
      <c r="E675" s="39">
        <f>B675*1.6/100</f>
        <v>1.6</v>
      </c>
      <c r="F675" s="39">
        <f>B675*0/100</f>
        <v>0</v>
      </c>
      <c r="G675" s="36"/>
      <c r="H675" s="36"/>
      <c r="I675" s="36"/>
      <c r="J675" s="39"/>
      <c r="K675" s="39">
        <f>B675*0/100</f>
        <v>0</v>
      </c>
      <c r="L675" s="39">
        <f>B675*8.3/100</f>
        <v>8.3000000000000007</v>
      </c>
      <c r="M675" s="39">
        <f>B675*4.2/100</f>
        <v>4.2</v>
      </c>
      <c r="N675" s="39">
        <f>B675*18.15/100</f>
        <v>18.149999999999999</v>
      </c>
      <c r="O675" s="36"/>
      <c r="P675" s="36"/>
      <c r="Q675" s="36"/>
      <c r="R675" s="39">
        <f>B675*1.03/100</f>
        <v>1.03</v>
      </c>
      <c r="S675" s="39">
        <f>B675*191.4/100</f>
        <v>191.4</v>
      </c>
      <c r="T675" s="39">
        <f>B675*185.9/100</f>
        <v>185.9</v>
      </c>
      <c r="U675" s="42"/>
      <c r="V675" s="42"/>
      <c r="W675" s="36"/>
      <c r="X675" s="39">
        <f>B675*0.1/100</f>
        <v>0.1</v>
      </c>
      <c r="Y675" s="42"/>
      <c r="Z675" s="42"/>
      <c r="AA675" s="39">
        <f>B675*0.35/100</f>
        <v>0.35</v>
      </c>
      <c r="AB675" s="39">
        <f>B675*0.55/100</f>
        <v>0.55000000000000004</v>
      </c>
      <c r="AC675"/>
    </row>
    <row r="676" spans="1:29">
      <c r="A676" s="40" t="s">
        <v>250</v>
      </c>
      <c r="B676" s="41">
        <v>100</v>
      </c>
      <c r="C676" s="38">
        <f>B676*337/100</f>
        <v>337</v>
      </c>
      <c r="D676" s="39">
        <f>B676*22.5/100</f>
        <v>22.5</v>
      </c>
      <c r="E676" s="39">
        <f>B676*1.1/100</f>
        <v>1.1000000000000001</v>
      </c>
      <c r="F676" s="39">
        <f>B676*0.1/100</f>
        <v>0.1</v>
      </c>
      <c r="G676" s="36"/>
      <c r="H676" s="36"/>
      <c r="I676" s="36"/>
      <c r="J676" s="39"/>
      <c r="K676" s="39">
        <v>0</v>
      </c>
      <c r="L676" s="39">
        <f>B676*61.3/100</f>
        <v>61.3</v>
      </c>
      <c r="M676" s="39">
        <f>B676*19.1/100</f>
        <v>19.100000000000001</v>
      </c>
      <c r="N676" s="39">
        <f>B676*83/100</f>
        <v>83</v>
      </c>
      <c r="O676" s="36"/>
      <c r="P676" s="36"/>
      <c r="Q676" s="36"/>
      <c r="R676" s="39">
        <f>B676*6.7/100</f>
        <v>6.7</v>
      </c>
      <c r="S676" s="39">
        <f>B676*12/100</f>
        <v>12</v>
      </c>
      <c r="T676" s="39">
        <f>B676*1359/100</f>
        <v>1359</v>
      </c>
      <c r="U676" s="42"/>
      <c r="V676" s="42"/>
      <c r="W676" s="36"/>
      <c r="X676" s="39">
        <f>B676*0.6/100</f>
        <v>0.6</v>
      </c>
      <c r="Y676" s="42"/>
      <c r="Z676" s="42"/>
      <c r="AA676" s="39">
        <f>B676*2.1/100</f>
        <v>2.1</v>
      </c>
      <c r="AB676" s="39">
        <f>B676*4.5/100</f>
        <v>4.5</v>
      </c>
      <c r="AC676"/>
    </row>
    <row r="677" spans="1:29">
      <c r="A677" s="40" t="s">
        <v>251</v>
      </c>
      <c r="B677" s="41">
        <v>100</v>
      </c>
      <c r="C677" s="38">
        <f>B677*336/100</f>
        <v>336</v>
      </c>
      <c r="D677" s="39">
        <f>B677*21.1/100</f>
        <v>21.1</v>
      </c>
      <c r="E677" s="39">
        <f>B677*1.2/100</f>
        <v>1.2</v>
      </c>
      <c r="F677" s="39">
        <f>B677*0.3/100</f>
        <v>0.3</v>
      </c>
      <c r="G677" s="36"/>
      <c r="H677" s="36"/>
      <c r="I677" s="36"/>
      <c r="J677" s="39"/>
      <c r="K677" s="39">
        <v>0</v>
      </c>
      <c r="L677" s="39">
        <f>B677*62.3/100</f>
        <v>62.3</v>
      </c>
      <c r="M677" s="39">
        <f>B677*18.9/100</f>
        <v>18.899999999999999</v>
      </c>
      <c r="N677" s="39">
        <f>B677*173/100</f>
        <v>173</v>
      </c>
      <c r="O677" s="36"/>
      <c r="P677" s="36"/>
      <c r="Q677" s="36"/>
      <c r="R677" s="39">
        <f>B677*7.7/100</f>
        <v>7.7</v>
      </c>
      <c r="S677" s="39">
        <f>B677*12/100</f>
        <v>12</v>
      </c>
      <c r="T677" s="39">
        <f>B677*1542/100</f>
        <v>1542</v>
      </c>
      <c r="U677" s="42"/>
      <c r="V677" s="42"/>
      <c r="W677" s="36"/>
      <c r="X677" s="39">
        <f>B677*0.7/100</f>
        <v>0.7</v>
      </c>
      <c r="Y677" s="42"/>
      <c r="Z677" s="42"/>
      <c r="AA677" s="39">
        <f>B677*1.3/100</f>
        <v>1.3</v>
      </c>
      <c r="AB677" s="39">
        <v>0</v>
      </c>
      <c r="AC677"/>
    </row>
    <row r="678" spans="1:29">
      <c r="A678" s="40" t="s">
        <v>252</v>
      </c>
      <c r="B678" s="41">
        <v>100</v>
      </c>
      <c r="C678" s="38">
        <f>B678*130/100</f>
        <v>130</v>
      </c>
      <c r="D678" s="39">
        <f>B678*19/100</f>
        <v>19</v>
      </c>
      <c r="E678" s="39">
        <f>B678*0.6/100</f>
        <v>0.6</v>
      </c>
      <c r="F678" s="39">
        <v>0</v>
      </c>
      <c r="G678" s="36"/>
      <c r="H678" s="36"/>
      <c r="I678" s="36"/>
      <c r="J678" s="39"/>
      <c r="K678" s="39">
        <v>0</v>
      </c>
      <c r="L678" s="39">
        <f>B678*11/100</f>
        <v>11</v>
      </c>
      <c r="M678" s="39">
        <v>0</v>
      </c>
      <c r="N678" s="39">
        <v>0</v>
      </c>
      <c r="O678" s="36"/>
      <c r="P678" s="36"/>
      <c r="Q678" s="36"/>
      <c r="R678" s="39">
        <v>0</v>
      </c>
      <c r="S678" s="39">
        <v>0</v>
      </c>
      <c r="T678" s="39">
        <v>0</v>
      </c>
      <c r="U678" s="42"/>
      <c r="V678" s="42"/>
      <c r="W678" s="36"/>
      <c r="X678" s="39">
        <v>0</v>
      </c>
      <c r="Y678" s="42"/>
      <c r="Z678" s="42"/>
      <c r="AA678" s="39">
        <v>0</v>
      </c>
      <c r="AB678" s="39">
        <v>0</v>
      </c>
      <c r="AC678"/>
    </row>
    <row r="679" spans="1:29">
      <c r="A679" s="40" t="s">
        <v>253</v>
      </c>
      <c r="B679" s="41">
        <v>100</v>
      </c>
      <c r="C679" s="38">
        <f>B679*163/100</f>
        <v>163</v>
      </c>
      <c r="D679" s="39">
        <f>B679*5.2/100</f>
        <v>5.2</v>
      </c>
      <c r="E679" s="39">
        <v>0</v>
      </c>
      <c r="F679" s="39">
        <v>0</v>
      </c>
      <c r="G679" s="36"/>
      <c r="H679" s="36"/>
      <c r="I679" s="36"/>
      <c r="J679" s="39"/>
      <c r="K679" s="39">
        <v>0</v>
      </c>
      <c r="L679" s="39">
        <f>B679*37.8/100</f>
        <v>37.799999999999997</v>
      </c>
      <c r="M679" s="39">
        <v>0</v>
      </c>
      <c r="N679" s="39">
        <f>B679*1130/100</f>
        <v>1130</v>
      </c>
      <c r="O679" s="36"/>
      <c r="P679" s="36"/>
      <c r="Q679" s="36"/>
      <c r="R679" s="39">
        <v>0</v>
      </c>
      <c r="S679" s="39">
        <f>B679*11800/100</f>
        <v>11800</v>
      </c>
      <c r="T679" s="39">
        <f>B679*49/100</f>
        <v>49</v>
      </c>
      <c r="U679" s="42"/>
      <c r="V679" s="42"/>
      <c r="W679" s="36"/>
      <c r="X679" s="39">
        <v>0</v>
      </c>
      <c r="Y679" s="42"/>
      <c r="Z679" s="42"/>
      <c r="AA679" s="39">
        <v>0</v>
      </c>
      <c r="AB679" s="39">
        <v>0</v>
      </c>
      <c r="AC679"/>
    </row>
    <row r="680" spans="1:29">
      <c r="A680" s="40" t="s">
        <v>254</v>
      </c>
      <c r="B680" s="41">
        <v>100</v>
      </c>
      <c r="C680" s="38">
        <f>B680*211/100</f>
        <v>211</v>
      </c>
      <c r="D680" s="39">
        <f>B680*25.8/100</f>
        <v>25.8</v>
      </c>
      <c r="E680" s="39">
        <f>B680*7.7/100</f>
        <v>7.7</v>
      </c>
      <c r="F680" s="39">
        <f>B680*2.6/100</f>
        <v>2.6</v>
      </c>
      <c r="G680" s="36"/>
      <c r="H680" s="36"/>
      <c r="I680" s="36"/>
      <c r="J680" s="39"/>
      <c r="K680" s="39">
        <f>B680*463.6/100</f>
        <v>463.6</v>
      </c>
      <c r="L680" s="39">
        <f>B680*8.2/100</f>
        <v>8.1999999999999993</v>
      </c>
      <c r="M680" s="39">
        <f>B680*0.04/100</f>
        <v>0.04</v>
      </c>
      <c r="N680" s="39">
        <f>B680*118.5/100</f>
        <v>118.5</v>
      </c>
      <c r="O680" s="36"/>
      <c r="P680" s="36"/>
      <c r="Q680" s="36"/>
      <c r="R680" s="39">
        <f>B680*6.1/100</f>
        <v>6.1</v>
      </c>
      <c r="S680" s="39">
        <f>B680*802.9/100</f>
        <v>802.9</v>
      </c>
      <c r="T680" s="39">
        <f>B680*357.5/100</f>
        <v>357.5</v>
      </c>
      <c r="U680" s="42"/>
      <c r="V680" s="42"/>
      <c r="W680" s="36"/>
      <c r="X680" s="39">
        <f>B680*0.2/100</f>
        <v>0.2</v>
      </c>
      <c r="Y680" s="42"/>
      <c r="Z680" s="42"/>
      <c r="AA680" s="39">
        <f>B680*13.9/100</f>
        <v>13.9</v>
      </c>
      <c r="AB680" s="39">
        <f>B680*22.7/100</f>
        <v>22.7</v>
      </c>
      <c r="AC680"/>
    </row>
    <row r="681" spans="1:29">
      <c r="A681" s="40" t="s">
        <v>255</v>
      </c>
      <c r="B681" s="41">
        <v>100</v>
      </c>
      <c r="C681" s="38">
        <f>B681*217/100</f>
        <v>217</v>
      </c>
      <c r="D681" s="39">
        <f>B681*26.7/100</f>
        <v>26.7</v>
      </c>
      <c r="E681" s="39">
        <f>B681*8/100</f>
        <v>8</v>
      </c>
      <c r="F681" s="39">
        <f>B681*2.7/100</f>
        <v>2.7</v>
      </c>
      <c r="G681" s="36"/>
      <c r="H681" s="36"/>
      <c r="I681" s="36"/>
      <c r="J681" s="39"/>
      <c r="K681" s="39">
        <f>B681*481.5/100</f>
        <v>481.5</v>
      </c>
      <c r="L681" s="39">
        <f>B681*7.8/100</f>
        <v>7.8</v>
      </c>
      <c r="M681" s="39">
        <v>0</v>
      </c>
      <c r="N681" s="39">
        <f>B681*11/100</f>
        <v>11</v>
      </c>
      <c r="O681" s="36"/>
      <c r="P681" s="36"/>
      <c r="Q681" s="36"/>
      <c r="R681" s="39">
        <f>B681*6.3/100</f>
        <v>6.3</v>
      </c>
      <c r="S681" s="39">
        <f>B681*105.9/100</f>
        <v>105.9</v>
      </c>
      <c r="T681" s="39">
        <f>B681*363.6/100</f>
        <v>363.6</v>
      </c>
      <c r="U681" s="42"/>
      <c r="V681" s="42"/>
      <c r="W681" s="36"/>
      <c r="X681" s="39">
        <f>B681*0.2/100</f>
        <v>0.2</v>
      </c>
      <c r="Y681" s="42"/>
      <c r="Z681" s="42"/>
      <c r="AA681" s="39">
        <f>B681*14.4/100</f>
        <v>14.4</v>
      </c>
      <c r="AB681" s="39">
        <f>B681*23/100</f>
        <v>23</v>
      </c>
      <c r="AC681"/>
    </row>
    <row r="682" spans="1:29">
      <c r="A682" s="40" t="s">
        <v>256</v>
      </c>
      <c r="B682" s="41">
        <v>100</v>
      </c>
      <c r="C682" s="38">
        <f>B682*227/100</f>
        <v>227</v>
      </c>
      <c r="D682" s="39">
        <f>B682*25.8/100</f>
        <v>25.8</v>
      </c>
      <c r="E682" s="39">
        <f>B682*12.8/100</f>
        <v>12.8</v>
      </c>
      <c r="F682" s="39">
        <f>B682*3.58/100</f>
        <v>3.58</v>
      </c>
      <c r="G682" s="36"/>
      <c r="H682" s="36"/>
      <c r="I682" s="36"/>
      <c r="J682" s="39"/>
      <c r="K682" s="39">
        <f>B682*82.77/100</f>
        <v>82.77</v>
      </c>
      <c r="L682" s="39">
        <f>B682*0.5/100</f>
        <v>0.5</v>
      </c>
      <c r="M682" s="39">
        <f>B682*0.08/100</f>
        <v>0.08</v>
      </c>
      <c r="N682" s="39">
        <f>B682*15.54/100</f>
        <v>15.54</v>
      </c>
      <c r="O682" s="36"/>
      <c r="P682" s="36"/>
      <c r="Q682" s="36"/>
      <c r="R682" s="39">
        <f>B682*1.23/100</f>
        <v>1.23</v>
      </c>
      <c r="S682" s="39">
        <f>B682*374.25/100</f>
        <v>374.25</v>
      </c>
      <c r="T682" s="39">
        <f>B682*218.93/100</f>
        <v>218.93</v>
      </c>
      <c r="U682" s="42"/>
      <c r="V682" s="42"/>
      <c r="W682" s="36"/>
      <c r="X682" s="39">
        <f>B682*0.62/100</f>
        <v>0.62</v>
      </c>
      <c r="Y682" s="42"/>
      <c r="Z682" s="42"/>
      <c r="AA682" s="39">
        <f>B682*8.03/100</f>
        <v>8.0299999999999994</v>
      </c>
      <c r="AB682" s="39">
        <f>B682*0.31/100</f>
        <v>0.31</v>
      </c>
      <c r="AC682"/>
    </row>
    <row r="683" spans="1:29">
      <c r="A683" s="40" t="s">
        <v>257</v>
      </c>
      <c r="B683" s="41">
        <v>100</v>
      </c>
      <c r="C683" s="38">
        <f>B683*37/100</f>
        <v>37</v>
      </c>
      <c r="D683" s="39">
        <f>B683*0.63/100</f>
        <v>0.63</v>
      </c>
      <c r="E683" s="39">
        <f>B683*0.31/100</f>
        <v>0.31</v>
      </c>
      <c r="F683" s="39">
        <v>0</v>
      </c>
      <c r="G683" s="36"/>
      <c r="H683" s="36"/>
      <c r="I683" s="36"/>
      <c r="J683" s="39"/>
      <c r="K683" s="39">
        <v>0</v>
      </c>
      <c r="L683" s="39">
        <f>B683*8.01/100</f>
        <v>8.01</v>
      </c>
      <c r="M683" s="39">
        <f>B683*1.06/100</f>
        <v>1.06</v>
      </c>
      <c r="N683" s="39">
        <f>B683*21.75/100</f>
        <v>21.75</v>
      </c>
      <c r="O683" s="36"/>
      <c r="P683" s="36"/>
      <c r="Q683" s="36"/>
      <c r="R683" s="39">
        <f>B683*1.14/100</f>
        <v>1.1399999999999999</v>
      </c>
      <c r="S683" s="39">
        <f>B683*26.08/100</f>
        <v>26.08</v>
      </c>
      <c r="T683" s="39">
        <f>B683*138.52/100</f>
        <v>138.52000000000001</v>
      </c>
      <c r="U683" s="42"/>
      <c r="V683" s="42"/>
      <c r="W683" s="36"/>
      <c r="X683" s="39">
        <f>B683*0.04/100</f>
        <v>0.04</v>
      </c>
      <c r="Y683" s="42"/>
      <c r="Z683" s="42"/>
      <c r="AA683" s="39">
        <f>B683*0.31/100</f>
        <v>0.31</v>
      </c>
      <c r="AB683" s="39">
        <f>B683*38.16/100</f>
        <v>38.159999999999997</v>
      </c>
      <c r="AC683"/>
    </row>
    <row r="684" spans="1:29">
      <c r="A684" s="40" t="s">
        <v>258</v>
      </c>
      <c r="B684" s="41">
        <v>100</v>
      </c>
      <c r="C684" s="38">
        <f>B684*75/100</f>
        <v>75</v>
      </c>
      <c r="D684" s="39">
        <f>B684*1.13/100</f>
        <v>1.1299999999999999</v>
      </c>
      <c r="E684" s="39">
        <f>B684*0.35/100</f>
        <v>0.35</v>
      </c>
      <c r="F684" s="39">
        <v>0</v>
      </c>
      <c r="G684" s="36"/>
      <c r="H684" s="36"/>
      <c r="I684" s="36"/>
      <c r="J684" s="39"/>
      <c r="K684" s="39">
        <v>0</v>
      </c>
      <c r="L684" s="39">
        <f>B684*16.75/100</f>
        <v>16.75</v>
      </c>
      <c r="M684" s="39">
        <f>B684*0.98/100</f>
        <v>0.98</v>
      </c>
      <c r="N684" s="39">
        <f>B684*22.64/100</f>
        <v>22.64</v>
      </c>
      <c r="O684" s="36"/>
      <c r="P684" s="36"/>
      <c r="Q684" s="36"/>
      <c r="R684" s="39">
        <f>B684*1.47/100</f>
        <v>1.47</v>
      </c>
      <c r="S684" s="39">
        <f>B684*21.65/100</f>
        <v>21.65</v>
      </c>
      <c r="T684" s="39">
        <f>B684*216.38/100</f>
        <v>216.38</v>
      </c>
      <c r="U684" s="42"/>
      <c r="V684" s="42"/>
      <c r="W684" s="36"/>
      <c r="X684" s="39">
        <f>B684*0.09/100</f>
        <v>0.09</v>
      </c>
      <c r="Y684" s="42"/>
      <c r="Z684" s="42"/>
      <c r="AA684" s="39">
        <f>B684*0.69/100</f>
        <v>0.69</v>
      </c>
      <c r="AB684" s="39">
        <f>B684*40.47/100</f>
        <v>40.47</v>
      </c>
      <c r="AC684"/>
    </row>
    <row r="685" spans="1:29">
      <c r="A685" s="40" t="s">
        <v>259</v>
      </c>
      <c r="B685" s="41">
        <v>100</v>
      </c>
      <c r="C685" s="38">
        <f>B685*362/100</f>
        <v>362</v>
      </c>
      <c r="D685" s="39">
        <f>B685*8.1/100</f>
        <v>8.1</v>
      </c>
      <c r="E685" s="39">
        <f>B685*3.6/100</f>
        <v>3.6</v>
      </c>
      <c r="F685" s="39">
        <f>B685*0.5/100</f>
        <v>0.5</v>
      </c>
      <c r="G685" s="36"/>
      <c r="H685" s="36"/>
      <c r="I685" s="36"/>
      <c r="J685" s="39"/>
      <c r="K685" s="39">
        <v>0</v>
      </c>
      <c r="L685" s="39">
        <f>B685*76.9/100</f>
        <v>76.900000000000006</v>
      </c>
      <c r="M685" s="39">
        <f>B685*7.3/100</f>
        <v>7.3</v>
      </c>
      <c r="N685" s="39">
        <f>B685*6/100</f>
        <v>6</v>
      </c>
      <c r="O685" s="36"/>
      <c r="P685" s="36"/>
      <c r="Q685" s="36"/>
      <c r="R685" s="39">
        <f>B685*3.5/100</f>
        <v>3.5</v>
      </c>
      <c r="S685" s="39">
        <f>B685*35/100</f>
        <v>35</v>
      </c>
      <c r="T685" s="39">
        <f>B685*287/100</f>
        <v>287</v>
      </c>
      <c r="U685" s="42"/>
      <c r="V685" s="42"/>
      <c r="W685" s="36"/>
      <c r="X685" s="39">
        <f>B685*0.4/100</f>
        <v>0.4</v>
      </c>
      <c r="Y685" s="42"/>
      <c r="Z685" s="42"/>
      <c r="AA685" s="39">
        <f>B685*3.6/100</f>
        <v>3.6</v>
      </c>
      <c r="AB685" s="39">
        <v>0</v>
      </c>
      <c r="AC685"/>
    </row>
    <row r="686" spans="1:29">
      <c r="A686" s="40" t="s">
        <v>260</v>
      </c>
      <c r="B686" s="41">
        <v>100</v>
      </c>
      <c r="C686" s="38">
        <f>B686*333/100</f>
        <v>333</v>
      </c>
      <c r="D686" s="39">
        <f>B686*83.33/100</f>
        <v>83.33</v>
      </c>
      <c r="E686" s="39">
        <f>B686*0/100</f>
        <v>0</v>
      </c>
      <c r="F686" s="39">
        <v>0</v>
      </c>
      <c r="G686" s="36"/>
      <c r="H686" s="36"/>
      <c r="I686" s="36"/>
      <c r="J686" s="39"/>
      <c r="K686" s="39">
        <v>0</v>
      </c>
      <c r="L686" s="39">
        <f>B686*8.33/100</f>
        <v>8.33</v>
      </c>
      <c r="M686" s="39">
        <v>0</v>
      </c>
      <c r="N686" s="39">
        <v>0</v>
      </c>
      <c r="O686" s="36"/>
      <c r="P686" s="36"/>
      <c r="Q686" s="36"/>
      <c r="R686" s="39">
        <v>0</v>
      </c>
      <c r="S686" s="39">
        <v>0</v>
      </c>
      <c r="T686" s="39">
        <v>0</v>
      </c>
      <c r="U686" s="42"/>
      <c r="V686" s="42"/>
      <c r="W686" s="36"/>
      <c r="X686" s="39">
        <v>0</v>
      </c>
      <c r="Y686" s="42"/>
      <c r="Z686" s="42"/>
      <c r="AA686" s="39">
        <v>0</v>
      </c>
      <c r="AB686" s="39">
        <v>0</v>
      </c>
      <c r="AC686"/>
    </row>
    <row r="687" spans="1:29">
      <c r="A687" s="40" t="s">
        <v>261</v>
      </c>
      <c r="B687" s="41">
        <v>100</v>
      </c>
      <c r="C687" s="38">
        <f>B687*52/100</f>
        <v>52</v>
      </c>
      <c r="D687" s="39">
        <f>B687*1.2/100</f>
        <v>1.2</v>
      </c>
      <c r="E687" s="39">
        <f>B687*0/100</f>
        <v>0</v>
      </c>
      <c r="F687" s="39">
        <v>0</v>
      </c>
      <c r="G687" s="36"/>
      <c r="H687" s="36"/>
      <c r="I687" s="36"/>
      <c r="J687" s="39"/>
      <c r="K687" s="39">
        <v>0</v>
      </c>
      <c r="L687" s="39">
        <f>B687*12.5/100</f>
        <v>12.5</v>
      </c>
      <c r="M687" s="39">
        <v>0</v>
      </c>
      <c r="N687" s="39">
        <v>0</v>
      </c>
      <c r="O687" s="36"/>
      <c r="P687" s="36"/>
      <c r="Q687" s="36"/>
      <c r="R687" s="39">
        <v>0</v>
      </c>
      <c r="S687" s="39">
        <v>0</v>
      </c>
      <c r="T687" s="39">
        <v>0</v>
      </c>
      <c r="U687" s="42"/>
      <c r="V687" s="42"/>
      <c r="W687" s="36"/>
      <c r="X687" s="39">
        <v>0</v>
      </c>
      <c r="Y687" s="42"/>
      <c r="Z687" s="42"/>
      <c r="AA687" s="39">
        <v>0</v>
      </c>
      <c r="AB687" s="39">
        <v>0</v>
      </c>
      <c r="AC687"/>
    </row>
    <row r="688" spans="1:29">
      <c r="A688" s="40" t="s">
        <v>262</v>
      </c>
      <c r="B688" s="41">
        <v>100</v>
      </c>
      <c r="C688" s="38">
        <f>B688*9/100</f>
        <v>9</v>
      </c>
      <c r="D688" s="39">
        <f>B688*1.5/100</f>
        <v>1.5</v>
      </c>
      <c r="E688" s="39">
        <v>0</v>
      </c>
      <c r="F688" s="39">
        <v>0</v>
      </c>
      <c r="G688" s="36"/>
      <c r="H688" s="36"/>
      <c r="I688" s="36"/>
      <c r="J688" s="39"/>
      <c r="K688" s="39">
        <v>0</v>
      </c>
      <c r="L688" s="39">
        <f>B688*0.6/100</f>
        <v>0.6</v>
      </c>
      <c r="M688" s="39">
        <v>0</v>
      </c>
      <c r="N688" s="39">
        <v>0</v>
      </c>
      <c r="O688" s="36"/>
      <c r="P688" s="36"/>
      <c r="Q688" s="36"/>
      <c r="R688" s="39">
        <v>0</v>
      </c>
      <c r="S688" s="39">
        <v>0</v>
      </c>
      <c r="T688" s="39">
        <v>0</v>
      </c>
      <c r="U688" s="42"/>
      <c r="V688" s="42"/>
      <c r="W688" s="36"/>
      <c r="X688" s="39">
        <v>0</v>
      </c>
      <c r="Y688" s="42"/>
      <c r="Z688" s="42"/>
      <c r="AA688" s="39">
        <v>0</v>
      </c>
      <c r="AB688" s="39">
        <v>0</v>
      </c>
      <c r="AC688"/>
    </row>
    <row r="689" spans="1:29" hidden="1">
      <c r="A689" s="40"/>
      <c r="B689" s="41"/>
      <c r="C689" s="38"/>
      <c r="D689" s="39"/>
      <c r="E689" s="39"/>
      <c r="F689" s="39"/>
      <c r="G689" s="36"/>
      <c r="H689" s="36"/>
      <c r="I689" s="36"/>
      <c r="J689" s="39"/>
      <c r="K689" s="39"/>
      <c r="L689" s="39"/>
      <c r="M689" s="39"/>
      <c r="N689" s="39"/>
      <c r="O689" s="36"/>
      <c r="P689" s="36"/>
      <c r="Q689" s="36"/>
      <c r="R689" s="39"/>
      <c r="S689" s="39"/>
      <c r="T689" s="39"/>
      <c r="U689" s="42"/>
      <c r="V689" s="42"/>
      <c r="W689" s="36"/>
      <c r="X689" s="39"/>
      <c r="Y689" s="42"/>
      <c r="Z689" s="42"/>
      <c r="AA689" s="39"/>
      <c r="AB689" s="39"/>
      <c r="AC689"/>
    </row>
    <row r="690" spans="1:29">
      <c r="A690" s="40" t="s">
        <v>263</v>
      </c>
      <c r="B690" s="41">
        <v>100</v>
      </c>
      <c r="C690" s="38">
        <f>B690*44/100</f>
        <v>44</v>
      </c>
      <c r="D690" s="39">
        <f>B690*0.5/100</f>
        <v>0.5</v>
      </c>
      <c r="E690" s="39">
        <v>0</v>
      </c>
      <c r="F690" s="39">
        <v>0</v>
      </c>
      <c r="G690" s="36"/>
      <c r="H690" s="36"/>
      <c r="I690" s="36"/>
      <c r="J690" s="39"/>
      <c r="K690" s="39">
        <v>0</v>
      </c>
      <c r="L690" s="39">
        <f>B690*10.5/100</f>
        <v>10.5</v>
      </c>
      <c r="M690" s="39">
        <f>B690*1.5/100</f>
        <v>1.5</v>
      </c>
      <c r="N690" s="39">
        <v>0</v>
      </c>
      <c r="O690" s="36"/>
      <c r="P690" s="36"/>
      <c r="Q690" s="36"/>
      <c r="R690" s="39">
        <v>0</v>
      </c>
      <c r="S690" s="39">
        <v>0</v>
      </c>
      <c r="T690" s="39">
        <v>0</v>
      </c>
      <c r="U690" s="42"/>
      <c r="V690" s="42"/>
      <c r="W690" s="36"/>
      <c r="X690" s="39">
        <v>0</v>
      </c>
      <c r="Y690" s="42"/>
      <c r="Z690" s="42"/>
      <c r="AA690" s="39">
        <v>0</v>
      </c>
      <c r="AB690" s="39">
        <v>0</v>
      </c>
      <c r="AC690"/>
    </row>
    <row r="691" spans="1:29">
      <c r="A691" s="40" t="s">
        <v>264</v>
      </c>
      <c r="B691" s="41">
        <v>100</v>
      </c>
      <c r="C691" s="38">
        <f>B691*358/100</f>
        <v>358</v>
      </c>
      <c r="D691" s="39">
        <f>B691*16.8/100</f>
        <v>16.8</v>
      </c>
      <c r="E691" s="39">
        <f>B691*30.9/100</f>
        <v>30.9</v>
      </c>
      <c r="F691" s="39">
        <f>B691*9.5/100</f>
        <v>9.5</v>
      </c>
      <c r="G691" s="36"/>
      <c r="H691" s="36"/>
      <c r="I691" s="36"/>
      <c r="J691" s="39"/>
      <c r="K691" s="39">
        <f>B691*1281/100</f>
        <v>1281</v>
      </c>
      <c r="L691" s="39">
        <f>B691*1.8/100</f>
        <v>1.8</v>
      </c>
      <c r="M691" s="39">
        <v>0</v>
      </c>
      <c r="N691" s="39">
        <f>B691*137/100</f>
        <v>137</v>
      </c>
      <c r="O691" s="36"/>
      <c r="P691" s="36"/>
      <c r="Q691" s="36"/>
      <c r="R691" s="39">
        <f>B691*3.5/100</f>
        <v>3.5</v>
      </c>
      <c r="S691" s="39">
        <f>B691*43/100</f>
        <v>43</v>
      </c>
      <c r="T691" s="39">
        <f>B691*94/100</f>
        <v>94</v>
      </c>
      <c r="U691" s="42"/>
      <c r="V691" s="42"/>
      <c r="W691" s="36"/>
      <c r="X691" s="39">
        <f>B691*0.17/100</f>
        <v>0.17</v>
      </c>
      <c r="Y691" s="42"/>
      <c r="Z691" s="42"/>
      <c r="AA691" s="39">
        <f>B691*0.02/100</f>
        <v>0.02</v>
      </c>
      <c r="AB691" s="39">
        <v>0</v>
      </c>
      <c r="AC691"/>
    </row>
    <row r="692" spans="1:29">
      <c r="A692" s="40" t="s">
        <v>265</v>
      </c>
      <c r="B692" s="41">
        <v>100</v>
      </c>
      <c r="C692" s="38">
        <f>B692*70.83/100</f>
        <v>70.83</v>
      </c>
      <c r="D692" s="39">
        <f>B692*1.67/100</f>
        <v>1.67</v>
      </c>
      <c r="E692" s="39">
        <f>B692*0.83/100</f>
        <v>0.83</v>
      </c>
      <c r="F692" s="39">
        <v>0</v>
      </c>
      <c r="G692" s="36"/>
      <c r="H692" s="36"/>
      <c r="I692" s="36"/>
      <c r="J692" s="39"/>
      <c r="K692" s="39">
        <f>B692*2.08/100</f>
        <v>2.08</v>
      </c>
      <c r="L692" s="39">
        <f>B692*15/100</f>
        <v>15</v>
      </c>
      <c r="M692" s="39">
        <v>0</v>
      </c>
      <c r="N692" s="39">
        <f>B692*16.67/100</f>
        <v>16.670000000000002</v>
      </c>
      <c r="O692" s="36"/>
      <c r="P692" s="36"/>
      <c r="Q692" s="36"/>
      <c r="R692" s="39">
        <f>B692*0.5/100</f>
        <v>0.5</v>
      </c>
      <c r="S692" s="39">
        <f>B692*12.5/100</f>
        <v>12.5</v>
      </c>
      <c r="T692" s="39">
        <f>B692*416/100</f>
        <v>416</v>
      </c>
      <c r="U692" s="42"/>
      <c r="V692" s="42"/>
      <c r="W692" s="36"/>
      <c r="X692" s="39">
        <f>B692*0.04/100</f>
        <v>0.04</v>
      </c>
      <c r="Y692" s="42"/>
      <c r="Z692" s="42"/>
      <c r="AA692" s="39">
        <f>B692*0.83/100</f>
        <v>0.83</v>
      </c>
      <c r="AB692" s="39">
        <f>B692*4.17/100</f>
        <v>4.17</v>
      </c>
      <c r="AC692"/>
    </row>
    <row r="693" spans="1:29">
      <c r="A693" s="40" t="s">
        <v>266</v>
      </c>
      <c r="B693" s="41">
        <v>100</v>
      </c>
      <c r="C693" s="38">
        <f>B693*573/100</f>
        <v>573</v>
      </c>
      <c r="D693" s="39">
        <f>B693*18/100</f>
        <v>18</v>
      </c>
      <c r="E693" s="39">
        <f>B693*50/100</f>
        <v>50</v>
      </c>
      <c r="F693" s="39">
        <f>B693*7/100</f>
        <v>7</v>
      </c>
      <c r="G693" s="36"/>
      <c r="H693" s="36"/>
      <c r="I693" s="36"/>
      <c r="J693" s="39"/>
      <c r="K693" s="39">
        <v>0</v>
      </c>
      <c r="L693" s="39">
        <f>B693*23.5/100</f>
        <v>23.5</v>
      </c>
      <c r="M693" s="39">
        <f>B693*9/100</f>
        <v>9</v>
      </c>
      <c r="N693" s="39">
        <f>B693*975/100</f>
        <v>975</v>
      </c>
      <c r="O693" s="36"/>
      <c r="P693" s="36"/>
      <c r="Q693" s="36"/>
      <c r="R693" s="39">
        <f>B693*15/100</f>
        <v>15</v>
      </c>
      <c r="S693" s="39">
        <f>B693*11/100</f>
        <v>11</v>
      </c>
      <c r="T693" s="39">
        <f>B693*468/100</f>
        <v>468</v>
      </c>
      <c r="U693" s="42"/>
      <c r="V693" s="42"/>
      <c r="W693" s="36"/>
      <c r="X693" s="39">
        <f>B693*0.8/100</f>
        <v>0.8</v>
      </c>
      <c r="Y693" s="42"/>
      <c r="Z693" s="42"/>
      <c r="AA693" s="39">
        <f>B693*4.5/100</f>
        <v>4.5</v>
      </c>
      <c r="AB693" s="39">
        <v>0</v>
      </c>
      <c r="AC693"/>
    </row>
    <row r="694" spans="1:29">
      <c r="A694" s="40" t="s">
        <v>267</v>
      </c>
      <c r="B694" s="41">
        <v>100</v>
      </c>
      <c r="C694" s="38">
        <f>B694*249/100</f>
        <v>249</v>
      </c>
      <c r="D694" s="39">
        <f>B694*0.5/100</f>
        <v>0.5</v>
      </c>
      <c r="E694" s="39">
        <f>B694*0.1/100</f>
        <v>0.1</v>
      </c>
      <c r="F694" s="39">
        <v>0</v>
      </c>
      <c r="G694" s="36"/>
      <c r="H694" s="36"/>
      <c r="I694" s="36"/>
      <c r="J694" s="39"/>
      <c r="K694" s="39">
        <v>0</v>
      </c>
      <c r="L694" s="39">
        <f>B694*64.1/100</f>
        <v>64.099999999999994</v>
      </c>
      <c r="M694" s="39">
        <f>B694*0.9/100</f>
        <v>0.9</v>
      </c>
      <c r="N694" s="39">
        <f>B694*18/100</f>
        <v>18</v>
      </c>
      <c r="O694" s="36"/>
      <c r="P694" s="36"/>
      <c r="Q694" s="36"/>
      <c r="R694" s="39">
        <f>B694*0.9/100</f>
        <v>0.9</v>
      </c>
      <c r="S694" s="39">
        <v>0</v>
      </c>
      <c r="T694" s="39">
        <v>0</v>
      </c>
      <c r="U694" s="42"/>
      <c r="V694" s="42"/>
      <c r="W694" s="36"/>
      <c r="X694" s="39">
        <f>B694*0.01/100</f>
        <v>0.01</v>
      </c>
      <c r="Y694" s="42"/>
      <c r="Z694" s="42"/>
      <c r="AA694" s="39">
        <f>B694*0.2/100</f>
        <v>0.2</v>
      </c>
      <c r="AB694" s="39">
        <f>B694*4/100</f>
        <v>4</v>
      </c>
      <c r="AC694"/>
    </row>
    <row r="695" spans="1:29">
      <c r="A695" s="40" t="s">
        <v>268</v>
      </c>
      <c r="B695" s="41">
        <v>100</v>
      </c>
      <c r="C695" s="38">
        <f>B695*51/100</f>
        <v>51</v>
      </c>
      <c r="D695" s="39">
        <f>B695*0.8/100</f>
        <v>0.8</v>
      </c>
      <c r="E695" s="39">
        <f>B695*0.6/100</f>
        <v>0.6</v>
      </c>
      <c r="F695" s="39">
        <f>B695*0.2/100</f>
        <v>0.2</v>
      </c>
      <c r="G695" s="36"/>
      <c r="H695" s="36"/>
      <c r="I695" s="36"/>
      <c r="J695" s="39"/>
      <c r="K695" s="39">
        <v>0</v>
      </c>
      <c r="L695" s="39">
        <f>B695*11.9/100</f>
        <v>11.9</v>
      </c>
      <c r="M695" s="39">
        <f>B695*5.4/100</f>
        <v>5.4</v>
      </c>
      <c r="N695" s="39">
        <f>B695*20/100</f>
        <v>20</v>
      </c>
      <c r="O695" s="36"/>
      <c r="P695" s="36"/>
      <c r="Q695" s="36"/>
      <c r="R695" s="39">
        <f>B695*0.3/100</f>
        <v>0.3</v>
      </c>
      <c r="S695" s="39">
        <f>B695*3/100</f>
        <v>3</v>
      </c>
      <c r="T695" s="39">
        <f>B695*284/100</f>
        <v>284</v>
      </c>
      <c r="U695" s="42"/>
      <c r="V695" s="42"/>
      <c r="W695" s="36"/>
      <c r="X695" s="39">
        <f>B695*0.05/100</f>
        <v>0.05</v>
      </c>
      <c r="Y695" s="42"/>
      <c r="Z695" s="42"/>
      <c r="AA695" s="39">
        <f>B695*1.2/100</f>
        <v>1.2</v>
      </c>
      <c r="AB695" s="39">
        <f>B695*184/100</f>
        <v>184</v>
      </c>
      <c r="AC695"/>
    </row>
    <row r="696" spans="1:29">
      <c r="A696" s="40" t="s">
        <v>269</v>
      </c>
      <c r="B696" s="41">
        <v>100</v>
      </c>
      <c r="C696" s="38">
        <f>B696*400/100</f>
        <v>400</v>
      </c>
      <c r="D696" s="39">
        <f>B696*7.5/100</f>
        <v>7.5</v>
      </c>
      <c r="E696" s="39">
        <f>B696*7.5/100</f>
        <v>7.5</v>
      </c>
      <c r="F696" s="39">
        <v>0</v>
      </c>
      <c r="G696" s="36"/>
      <c r="H696" s="36"/>
      <c r="I696" s="36"/>
      <c r="J696" s="39"/>
      <c r="K696" s="39">
        <v>0</v>
      </c>
      <c r="L696" s="39">
        <f>B696*80/100</f>
        <v>80</v>
      </c>
      <c r="M696" s="39">
        <v>0</v>
      </c>
      <c r="N696" s="39">
        <v>0</v>
      </c>
      <c r="O696" s="36"/>
      <c r="P696" s="36"/>
      <c r="Q696" s="36"/>
      <c r="R696" s="39">
        <f>B696*9.4/100</f>
        <v>9.4</v>
      </c>
      <c r="S696" s="39">
        <v>0</v>
      </c>
      <c r="T696" s="39">
        <v>0</v>
      </c>
      <c r="U696" s="42"/>
      <c r="V696" s="42"/>
      <c r="W696" s="36"/>
      <c r="X696" s="39">
        <v>0</v>
      </c>
      <c r="Y696" s="42"/>
      <c r="Z696" s="42"/>
      <c r="AA696" s="39">
        <v>0</v>
      </c>
      <c r="AB696" s="39">
        <f>B696*37.5/100</f>
        <v>37.5</v>
      </c>
      <c r="AC696"/>
    </row>
    <row r="697" spans="1:29">
      <c r="A697" s="40" t="s">
        <v>270</v>
      </c>
      <c r="B697" s="41">
        <v>100</v>
      </c>
      <c r="C697" s="38">
        <f>B697*164/100</f>
        <v>164</v>
      </c>
      <c r="D697" s="39">
        <f>B697*8.87/100</f>
        <v>8.8699999999999992</v>
      </c>
      <c r="E697" s="39">
        <f>B697*2.6/100</f>
        <v>2.6</v>
      </c>
      <c r="F697" s="39">
        <f>B697*0.27/100</f>
        <v>0.27</v>
      </c>
      <c r="G697" s="36"/>
      <c r="H697" s="36"/>
      <c r="I697" s="36"/>
      <c r="J697" s="39"/>
      <c r="K697" s="39">
        <v>0</v>
      </c>
      <c r="L697" s="39">
        <f>B697*27.4/100</f>
        <v>27.4</v>
      </c>
      <c r="M697" s="39">
        <f>B697*4.9/100</f>
        <v>4.9000000000000004</v>
      </c>
      <c r="N697" s="39">
        <f>B697*49/100</f>
        <v>49</v>
      </c>
      <c r="O697" s="36"/>
      <c r="P697" s="36"/>
      <c r="Q697" s="36"/>
      <c r="R697" s="39">
        <f>B697*2.9/100</f>
        <v>2.9</v>
      </c>
      <c r="S697" s="39">
        <f>B697*7/100</f>
        <v>7</v>
      </c>
      <c r="T697" s="39">
        <f>B697*291/100</f>
        <v>291</v>
      </c>
      <c r="U697" s="42"/>
      <c r="V697" s="42"/>
      <c r="W697" s="36"/>
      <c r="X697" s="39">
        <f>B697*0.12/100</f>
        <v>0.12</v>
      </c>
      <c r="Y697" s="42"/>
      <c r="Z697" s="42"/>
      <c r="AA697" s="39">
        <f>B697*0.53/100</f>
        <v>0.53</v>
      </c>
      <c r="AB697" s="39">
        <f>B697*1.3/100</f>
        <v>1.3</v>
      </c>
      <c r="AC697"/>
    </row>
    <row r="698" spans="1:29">
      <c r="A698" s="40" t="s">
        <v>271</v>
      </c>
      <c r="B698" s="41">
        <v>100</v>
      </c>
      <c r="C698" s="38">
        <f>B698*364/100</f>
        <v>364</v>
      </c>
      <c r="D698" s="39">
        <f>B698*19.3/100</f>
        <v>19.3</v>
      </c>
      <c r="E698" s="39">
        <f>B698*6/100</f>
        <v>6</v>
      </c>
      <c r="F698" s="39">
        <f>B698*0.6/100</f>
        <v>0.6</v>
      </c>
      <c r="G698" s="36"/>
      <c r="H698" s="36"/>
      <c r="I698" s="36"/>
      <c r="J698" s="39"/>
      <c r="K698" s="39">
        <v>0</v>
      </c>
      <c r="L698" s="39">
        <f>B698*60.7/100</f>
        <v>60.7</v>
      </c>
      <c r="M698" s="39">
        <f>B698*12/100</f>
        <v>12</v>
      </c>
      <c r="N698" s="39">
        <f>B698*105/100</f>
        <v>105</v>
      </c>
      <c r="O698" s="36"/>
      <c r="P698" s="36"/>
      <c r="Q698" s="36"/>
      <c r="R698" s="39">
        <f>B698*6.2/100</f>
        <v>6.2</v>
      </c>
      <c r="S698" s="39">
        <f>B698*24/100</f>
        <v>24</v>
      </c>
      <c r="T698" s="39">
        <f>B698*875/100</f>
        <v>875</v>
      </c>
      <c r="U698" s="42"/>
      <c r="V698" s="42"/>
      <c r="W698" s="36"/>
      <c r="X698" s="39">
        <f>B698*0.5/100</f>
        <v>0.5</v>
      </c>
      <c r="Y698" s="42"/>
      <c r="Z698" s="42"/>
      <c r="AA698" s="39">
        <f>B698*1.5/100</f>
        <v>1.5</v>
      </c>
      <c r="AB698" s="39">
        <f>B698*4/100</f>
        <v>4</v>
      </c>
      <c r="AC698"/>
    </row>
    <row r="699" spans="1:29">
      <c r="A699" s="40" t="s">
        <v>272</v>
      </c>
      <c r="B699" s="41">
        <v>100</v>
      </c>
      <c r="C699" s="38">
        <f>B699*31/100</f>
        <v>31</v>
      </c>
      <c r="D699" s="39">
        <v>0</v>
      </c>
      <c r="E699" s="39">
        <v>0</v>
      </c>
      <c r="F699" s="39">
        <v>0</v>
      </c>
      <c r="G699" s="36"/>
      <c r="H699" s="36"/>
      <c r="I699" s="36"/>
      <c r="J699" s="39"/>
      <c r="K699" s="39">
        <v>0</v>
      </c>
      <c r="L699" s="39">
        <f>B699*8/100</f>
        <v>8</v>
      </c>
      <c r="M699" s="39">
        <v>0</v>
      </c>
      <c r="N699" s="39">
        <v>0</v>
      </c>
      <c r="O699" s="36"/>
      <c r="P699" s="36"/>
      <c r="Q699" s="36"/>
      <c r="R699" s="39">
        <v>0</v>
      </c>
      <c r="S699" s="39">
        <v>0</v>
      </c>
      <c r="T699" s="39">
        <v>0</v>
      </c>
      <c r="U699" s="42"/>
      <c r="V699" s="42"/>
      <c r="W699" s="36"/>
      <c r="X699" s="39">
        <v>0</v>
      </c>
      <c r="Y699" s="42"/>
      <c r="Z699" s="42"/>
      <c r="AA699" s="39">
        <v>0</v>
      </c>
      <c r="AB699" s="39">
        <f>B699*1/100</f>
        <v>1</v>
      </c>
      <c r="AC699"/>
    </row>
    <row r="700" spans="1:29">
      <c r="A700" s="40" t="s">
        <v>273</v>
      </c>
      <c r="B700" s="41">
        <v>100</v>
      </c>
      <c r="C700" s="38">
        <f>B700*175/100</f>
        <v>175</v>
      </c>
      <c r="D700" s="39">
        <f>B700*17.7/100</f>
        <v>17.7</v>
      </c>
      <c r="E700" s="39">
        <f>B535*8.5/100</f>
        <v>8.5</v>
      </c>
      <c r="F700" s="39">
        <f>B700*3.1/100</f>
        <v>3.1</v>
      </c>
      <c r="G700" s="36"/>
      <c r="H700" s="36"/>
      <c r="I700" s="36"/>
      <c r="J700" s="39"/>
      <c r="K700" s="39">
        <f>B700*65.8/100</f>
        <v>65.8</v>
      </c>
      <c r="L700" s="39">
        <f>B700*5.7/100</f>
        <v>5.7</v>
      </c>
      <c r="M700" s="39">
        <f>B700*0.4/100</f>
        <v>0.4</v>
      </c>
      <c r="N700" s="39">
        <f>B700*4.7/100</f>
        <v>4.7</v>
      </c>
      <c r="O700" s="36"/>
      <c r="P700" s="36"/>
      <c r="Q700" s="36"/>
      <c r="R700" s="39">
        <f>B700*2.2/100</f>
        <v>2.2000000000000002</v>
      </c>
      <c r="S700" s="39">
        <f>B700*231.5/100</f>
        <v>231.5</v>
      </c>
      <c r="T700" s="39">
        <f>B700*274.9/100</f>
        <v>274.89999999999998</v>
      </c>
      <c r="U700" s="42"/>
      <c r="V700" s="42"/>
      <c r="W700" s="36"/>
      <c r="X700" s="39">
        <f>B700*0.1/100</f>
        <v>0.1</v>
      </c>
      <c r="Y700" s="42"/>
      <c r="Z700" s="42"/>
      <c r="AA700" s="39">
        <f>B700*4.25/100</f>
        <v>4.25</v>
      </c>
      <c r="AB700" s="39">
        <f>B700*2.6/100</f>
        <v>2.6</v>
      </c>
      <c r="AC700"/>
    </row>
    <row r="701" spans="1:29">
      <c r="A701" s="40" t="s">
        <v>274</v>
      </c>
      <c r="B701" s="41">
        <v>100</v>
      </c>
      <c r="C701" s="38">
        <f>B701*43/100</f>
        <v>43</v>
      </c>
      <c r="D701" s="39">
        <f>B701*3.8/100</f>
        <v>3.8</v>
      </c>
      <c r="E701" s="39">
        <f>B701*0.7/100</f>
        <v>0.7</v>
      </c>
      <c r="F701" s="39">
        <v>0</v>
      </c>
      <c r="G701" s="36"/>
      <c r="H701" s="36"/>
      <c r="I701" s="36"/>
      <c r="J701" s="39"/>
      <c r="K701" s="39">
        <v>0</v>
      </c>
      <c r="L701" s="39">
        <f>B701*5.3/100</f>
        <v>5.3</v>
      </c>
      <c r="M701" s="39">
        <v>0</v>
      </c>
      <c r="N701" s="39">
        <f>B701*210/100</f>
        <v>210</v>
      </c>
      <c r="O701" s="36"/>
      <c r="P701" s="36"/>
      <c r="Q701" s="36"/>
      <c r="R701" s="39">
        <f>B701*9.5/100</f>
        <v>9.5</v>
      </c>
      <c r="S701" s="39">
        <f>B701*15/100</f>
        <v>15</v>
      </c>
      <c r="T701" s="39">
        <f>B701*260/100</f>
        <v>260</v>
      </c>
      <c r="U701" s="42"/>
      <c r="V701" s="42"/>
      <c r="W701" s="36"/>
      <c r="X701" s="39">
        <f>B701*0.1/100</f>
        <v>0.1</v>
      </c>
      <c r="Y701" s="42"/>
      <c r="Z701" s="42"/>
      <c r="AA701" s="39">
        <f>B701*1.1/100</f>
        <v>1.1000000000000001</v>
      </c>
      <c r="AB701" s="39">
        <f>B701*31/100</f>
        <v>31</v>
      </c>
      <c r="AC701"/>
    </row>
    <row r="702" spans="1:29">
      <c r="A702" s="40" t="s">
        <v>275</v>
      </c>
      <c r="B702" s="41">
        <v>100</v>
      </c>
      <c r="C702" s="38">
        <f>B702*118/100</f>
        <v>118</v>
      </c>
      <c r="D702" s="39">
        <f>B702*1.5/100</f>
        <v>1.5</v>
      </c>
      <c r="E702" s="39">
        <f>B702*0.2/100</f>
        <v>0.2</v>
      </c>
      <c r="F702" s="39">
        <f>B702*0.04/100</f>
        <v>0.04</v>
      </c>
      <c r="G702" s="36"/>
      <c r="H702" s="36"/>
      <c r="I702" s="36"/>
      <c r="J702" s="39"/>
      <c r="K702" s="39">
        <v>0</v>
      </c>
      <c r="L702" s="39">
        <f>B702*27.9/100</f>
        <v>27.9</v>
      </c>
      <c r="M702" s="39">
        <f>B702*4.1/100</f>
        <v>4.0999999999999996</v>
      </c>
      <c r="N702" s="39">
        <f>B702*17/100</f>
        <v>17</v>
      </c>
      <c r="O702" s="36"/>
      <c r="P702" s="36"/>
      <c r="Q702" s="36"/>
      <c r="R702" s="39">
        <f>B702*0.5/100</f>
        <v>0.5</v>
      </c>
      <c r="S702" s="39">
        <f>B702*9/100</f>
        <v>9</v>
      </c>
      <c r="T702" s="39">
        <f>B702*816/100</f>
        <v>816</v>
      </c>
      <c r="U702" s="42"/>
      <c r="V702" s="42"/>
      <c r="W702" s="36"/>
      <c r="X702" s="39">
        <f>B702*0.1/100</f>
        <v>0.1</v>
      </c>
      <c r="Y702" s="42"/>
      <c r="Z702" s="42"/>
      <c r="AA702" s="39">
        <f>B702*0.5/100</f>
        <v>0.5</v>
      </c>
      <c r="AB702" s="39">
        <f>B702*17.1/100</f>
        <v>17.100000000000001</v>
      </c>
      <c r="AC702"/>
    </row>
    <row r="703" spans="1:29">
      <c r="A703" s="40" t="s">
        <v>276</v>
      </c>
      <c r="B703" s="41">
        <v>100</v>
      </c>
      <c r="C703" s="38">
        <f>B703*98/100</f>
        <v>98</v>
      </c>
      <c r="D703" s="39">
        <f>B703*3.73/100</f>
        <v>3.73</v>
      </c>
      <c r="E703" s="39">
        <f>B703*0.46/100</f>
        <v>0.46</v>
      </c>
      <c r="F703" s="39">
        <f>B703*0/100</f>
        <v>0</v>
      </c>
      <c r="G703" s="36"/>
      <c r="H703" s="36"/>
      <c r="I703" s="36"/>
      <c r="J703" s="39"/>
      <c r="K703" s="39">
        <f>B703*0/100</f>
        <v>0</v>
      </c>
      <c r="L703" s="39">
        <f>B703*19.14/100</f>
        <v>19.14</v>
      </c>
      <c r="M703" s="39">
        <f>B703*0/100</f>
        <v>0</v>
      </c>
      <c r="N703" s="39">
        <f>B703*99.6/100</f>
        <v>99.6</v>
      </c>
      <c r="O703" s="36"/>
      <c r="P703" s="36"/>
      <c r="Q703" s="36"/>
      <c r="R703" s="39">
        <f>B703*0.19/100</f>
        <v>0.19</v>
      </c>
      <c r="S703" s="39">
        <f>B703*0/100</f>
        <v>0</v>
      </c>
      <c r="T703" s="39">
        <f>B703*84.25/100</f>
        <v>84.25</v>
      </c>
      <c r="U703" s="42"/>
      <c r="V703" s="42"/>
      <c r="W703" s="36"/>
      <c r="X703" s="39">
        <f>B703*0.04/100</f>
        <v>0.04</v>
      </c>
      <c r="Y703" s="42"/>
      <c r="Z703" s="42"/>
      <c r="AA703" s="39">
        <f>B703*0/100</f>
        <v>0</v>
      </c>
      <c r="AB703" s="39">
        <f>B703*3.48/100</f>
        <v>3.48</v>
      </c>
      <c r="AC703"/>
    </row>
    <row r="704" spans="1:29">
      <c r="A704" s="40" t="s">
        <v>277</v>
      </c>
      <c r="B704" s="41">
        <v>100</v>
      </c>
      <c r="C704" s="38">
        <f>B704*63/100</f>
        <v>63</v>
      </c>
      <c r="D704" s="39">
        <f>B704*5.3/100</f>
        <v>5.3</v>
      </c>
      <c r="E704" s="39">
        <f>B704*1.4/100</f>
        <v>1.4</v>
      </c>
      <c r="F704" s="39">
        <f>B704*0.95/100</f>
        <v>0.95</v>
      </c>
      <c r="G704" s="36"/>
      <c r="H704" s="36"/>
      <c r="I704" s="36"/>
      <c r="J704" s="39"/>
      <c r="K704" s="39">
        <f>B704*6.1/100</f>
        <v>6.1</v>
      </c>
      <c r="L704" s="39">
        <f>B704*7.05/100</f>
        <v>7.05</v>
      </c>
      <c r="M704" s="39">
        <v>0</v>
      </c>
      <c r="N704" s="39">
        <f>B704*183/100</f>
        <v>183</v>
      </c>
      <c r="O704" s="36"/>
      <c r="P704" s="36"/>
      <c r="Q704" s="36"/>
      <c r="R704" s="39">
        <f>B704*0.08/100</f>
        <v>0.08</v>
      </c>
      <c r="S704" s="39">
        <f>B704*70.2/100</f>
        <v>70.2</v>
      </c>
      <c r="T704" s="39">
        <f>B704*234/100</f>
        <v>234</v>
      </c>
      <c r="U704" s="42"/>
      <c r="V704" s="42"/>
      <c r="W704" s="36"/>
      <c r="X704" s="39">
        <f>B704*0.04/100</f>
        <v>0.04</v>
      </c>
      <c r="Y704" s="42"/>
      <c r="Z704" s="42"/>
      <c r="AA704" s="39">
        <f>B704*0.1/100</f>
        <v>0.1</v>
      </c>
      <c r="AB704" s="39">
        <f>B704*0.8/100</f>
        <v>0.8</v>
      </c>
      <c r="AC704"/>
    </row>
    <row r="705" spans="1:29">
      <c r="A705" s="40" t="s">
        <v>278</v>
      </c>
      <c r="B705" s="41">
        <v>100</v>
      </c>
      <c r="C705" s="38">
        <f>B705*38/100</f>
        <v>38</v>
      </c>
      <c r="D705" s="39">
        <f>B705*1.4/100</f>
        <v>1.4</v>
      </c>
      <c r="E705" s="39">
        <f>B705*1.1/100</f>
        <v>1.1000000000000001</v>
      </c>
      <c r="F705" s="39">
        <v>0</v>
      </c>
      <c r="G705" s="36"/>
      <c r="H705" s="36"/>
      <c r="I705" s="36"/>
      <c r="J705" s="39"/>
      <c r="K705" s="39">
        <v>0</v>
      </c>
      <c r="L705" s="39">
        <f>B705*7/100</f>
        <v>7</v>
      </c>
      <c r="M705" s="39">
        <f>B705*1.2/100</f>
        <v>1.2</v>
      </c>
      <c r="N705" s="39">
        <f>B705*22/100</f>
        <v>22</v>
      </c>
      <c r="O705" s="36"/>
      <c r="P705" s="36"/>
      <c r="Q705" s="36"/>
      <c r="R705" s="39">
        <f>B705*1/100</f>
        <v>1</v>
      </c>
      <c r="S705" s="39">
        <v>0</v>
      </c>
      <c r="T705" s="39">
        <v>0</v>
      </c>
      <c r="U705" s="42"/>
      <c r="V705" s="42"/>
      <c r="W705" s="36"/>
      <c r="X705" s="39">
        <f>B705*0.07/100</f>
        <v>7.0000000000000007E-2</v>
      </c>
      <c r="Y705" s="42"/>
      <c r="Z705" s="42"/>
      <c r="AA705" s="39">
        <f>B705*1/100</f>
        <v>1</v>
      </c>
      <c r="AB705" s="39">
        <f>B705*27/100</f>
        <v>27</v>
      </c>
      <c r="AC705"/>
    </row>
    <row r="706" spans="1:29">
      <c r="A706" s="40" t="s">
        <v>279</v>
      </c>
      <c r="B706" s="41">
        <v>100</v>
      </c>
      <c r="C706" s="38">
        <f>B706*80/100</f>
        <v>80</v>
      </c>
      <c r="D706" s="39">
        <f>B706*10.5/100</f>
        <v>10.5</v>
      </c>
      <c r="E706" s="39">
        <f>B706*0.3/100</f>
        <v>0.3</v>
      </c>
      <c r="F706" s="39">
        <v>0</v>
      </c>
      <c r="G706" s="36"/>
      <c r="H706" s="36"/>
      <c r="I706" s="36"/>
      <c r="J706" s="39"/>
      <c r="K706" s="39">
        <v>0</v>
      </c>
      <c r="L706" s="39">
        <v>0</v>
      </c>
      <c r="M706" s="39">
        <v>0</v>
      </c>
      <c r="N706" s="39">
        <v>0</v>
      </c>
      <c r="O706" s="36"/>
      <c r="P706" s="36"/>
      <c r="Q706" s="36"/>
      <c r="R706" s="39">
        <v>0</v>
      </c>
      <c r="S706" s="39">
        <v>0</v>
      </c>
      <c r="T706" s="39">
        <v>0</v>
      </c>
      <c r="U706" s="42"/>
      <c r="V706" s="42"/>
      <c r="W706" s="36"/>
      <c r="X706" s="39">
        <v>0</v>
      </c>
      <c r="Y706" s="42"/>
      <c r="Z706" s="42"/>
      <c r="AA706" s="39">
        <v>0</v>
      </c>
      <c r="AB706" s="39">
        <v>0</v>
      </c>
      <c r="AC706"/>
    </row>
    <row r="707" spans="1:29">
      <c r="A707" s="40" t="s">
        <v>280</v>
      </c>
      <c r="B707" s="41">
        <v>100</v>
      </c>
      <c r="C707" s="38">
        <f>B707*175/100</f>
        <v>175</v>
      </c>
      <c r="D707" s="39">
        <f>B707*29/100</f>
        <v>29</v>
      </c>
      <c r="E707" s="39">
        <f>B707*5.7/100</f>
        <v>5.7</v>
      </c>
      <c r="F707" s="39">
        <f>B707*2.1/100</f>
        <v>2.1</v>
      </c>
      <c r="G707" s="36"/>
      <c r="H707" s="36"/>
      <c r="I707" s="36"/>
      <c r="J707" s="39"/>
      <c r="K707" s="39">
        <f>B707*69.1/100</f>
        <v>69.099999999999994</v>
      </c>
      <c r="L707" s="39">
        <v>0</v>
      </c>
      <c r="M707" s="39">
        <v>0</v>
      </c>
      <c r="N707" s="39">
        <f>B707*5.01/100</f>
        <v>5.01</v>
      </c>
      <c r="O707" s="36"/>
      <c r="P707" s="36"/>
      <c r="Q707" s="36"/>
      <c r="R707" s="39">
        <f>B707*1.9/100</f>
        <v>1.9</v>
      </c>
      <c r="S707" s="39">
        <f>B707*62.1/100</f>
        <v>62.1</v>
      </c>
      <c r="T707" s="39">
        <f>B707*395.4/100</f>
        <v>395.4</v>
      </c>
      <c r="U707" s="42"/>
      <c r="V707" s="42"/>
      <c r="W707" s="36"/>
      <c r="X707" s="39">
        <f>B707*0.09/100</f>
        <v>0.09</v>
      </c>
      <c r="Y707" s="42"/>
      <c r="Z707" s="42"/>
      <c r="AA707" s="39">
        <f>B707*3.7/100</f>
        <v>3.7</v>
      </c>
      <c r="AB707" s="39">
        <v>0</v>
      </c>
      <c r="AC707"/>
    </row>
    <row r="708" spans="1:29">
      <c r="A708" s="40" t="s">
        <v>281</v>
      </c>
      <c r="B708" s="41">
        <v>100</v>
      </c>
      <c r="C708" s="38">
        <f>B708*175/100</f>
        <v>175</v>
      </c>
      <c r="D708" s="39">
        <f>B708*29/100</f>
        <v>29</v>
      </c>
      <c r="E708" s="39">
        <f>B708*5.7/100</f>
        <v>5.7</v>
      </c>
      <c r="F708" s="39">
        <f>B708*2.1/100</f>
        <v>2.1</v>
      </c>
      <c r="G708" s="36"/>
      <c r="H708" s="36"/>
      <c r="I708" s="36"/>
      <c r="J708" s="39"/>
      <c r="K708" s="39">
        <f>B708*69.1/100</f>
        <v>69.099999999999994</v>
      </c>
      <c r="L708" s="39">
        <v>0</v>
      </c>
      <c r="M708" s="39">
        <v>0</v>
      </c>
      <c r="N708" s="39">
        <f>B708*5.25/100</f>
        <v>5.25</v>
      </c>
      <c r="O708" s="36"/>
      <c r="P708" s="36"/>
      <c r="Q708" s="36"/>
      <c r="R708" s="39">
        <f>B708*1.9/100</f>
        <v>1.9</v>
      </c>
      <c r="S708" s="39">
        <f>B708*449.7/100</f>
        <v>449.7</v>
      </c>
      <c r="T708" s="39">
        <f>B708*395.5/100</f>
        <v>395.5</v>
      </c>
      <c r="U708" s="42"/>
      <c r="V708" s="42"/>
      <c r="W708" s="36"/>
      <c r="X708" s="39">
        <f>B708*0.09/100</f>
        <v>0.09</v>
      </c>
      <c r="Y708" s="42"/>
      <c r="Z708" s="42"/>
      <c r="AA708" s="39">
        <f>B708*3.7/100</f>
        <v>3.7</v>
      </c>
      <c r="AB708" s="39">
        <v>0</v>
      </c>
      <c r="AC708"/>
    </row>
    <row r="709" spans="1:29">
      <c r="A709" s="40" t="s">
        <v>282</v>
      </c>
      <c r="B709" s="41">
        <v>100</v>
      </c>
      <c r="C709" s="38">
        <f>B709*47/100</f>
        <v>47</v>
      </c>
      <c r="D709" s="39">
        <f>B709*0.9/100</f>
        <v>0.9</v>
      </c>
      <c r="E709" s="39">
        <f>B709*0.1/100</f>
        <v>0.1</v>
      </c>
      <c r="F709" s="39">
        <f>B709*0.02/100</f>
        <v>0.02</v>
      </c>
      <c r="G709" s="36"/>
      <c r="H709" s="36"/>
      <c r="I709" s="36"/>
      <c r="J709" s="39"/>
      <c r="K709" s="39">
        <v>0</v>
      </c>
      <c r="L709" s="39">
        <f>B709*11.8/100</f>
        <v>11.8</v>
      </c>
      <c r="M709" s="39">
        <f>B709*1.9/100</f>
        <v>1.9</v>
      </c>
      <c r="N709" s="39">
        <f>B709*40/100</f>
        <v>40</v>
      </c>
      <c r="O709" s="36"/>
      <c r="P709" s="36"/>
      <c r="Q709" s="36"/>
      <c r="R709" s="39">
        <f>B709*0.1/100</f>
        <v>0.1</v>
      </c>
      <c r="S709" s="39">
        <v>0</v>
      </c>
      <c r="T709" s="39">
        <f>B709*181/100</f>
        <v>181</v>
      </c>
      <c r="U709" s="42"/>
      <c r="V709" s="42"/>
      <c r="W709" s="36"/>
      <c r="X709" s="39">
        <f>B709*0.09/100</f>
        <v>0.09</v>
      </c>
      <c r="Y709" s="42"/>
      <c r="Z709" s="42"/>
      <c r="AA709" s="39">
        <f>B709*0.3/100</f>
        <v>0.3</v>
      </c>
      <c r="AB709" s="39">
        <f>B709*53.2/100</f>
        <v>53.2</v>
      </c>
      <c r="AC709"/>
    </row>
    <row r="710" spans="1:29">
      <c r="A710" s="40" t="s">
        <v>283</v>
      </c>
      <c r="B710" s="41">
        <v>100</v>
      </c>
      <c r="C710" s="38">
        <f>B710*258/100</f>
        <v>258</v>
      </c>
      <c r="D710" s="39">
        <f>B710*3.2/100</f>
        <v>3.2</v>
      </c>
      <c r="E710" s="39">
        <f>B710*24.9/100</f>
        <v>24.9</v>
      </c>
      <c r="F710" s="39" t="s">
        <v>149</v>
      </c>
      <c r="G710" s="36"/>
      <c r="H710" s="36"/>
      <c r="I710" s="36"/>
      <c r="J710" s="39"/>
      <c r="K710" s="39" t="s">
        <v>149</v>
      </c>
      <c r="L710" s="39">
        <f>B710*5.2/100</f>
        <v>5.2</v>
      </c>
      <c r="M710" s="39" t="s">
        <v>149</v>
      </c>
      <c r="N710" s="39">
        <f>B710*16/100</f>
        <v>16</v>
      </c>
      <c r="O710" s="36"/>
      <c r="P710" s="36"/>
      <c r="Q710" s="36"/>
      <c r="R710" s="39">
        <f>B710*1.6/100</f>
        <v>1.6</v>
      </c>
      <c r="S710" s="39" t="s">
        <v>284</v>
      </c>
      <c r="T710" s="39" t="s">
        <v>149</v>
      </c>
      <c r="U710" s="42"/>
      <c r="V710" s="42"/>
      <c r="W710" s="36"/>
      <c r="X710" s="39" t="s">
        <v>149</v>
      </c>
      <c r="Y710" s="42"/>
      <c r="Z710" s="42"/>
      <c r="AA710" s="39" t="s">
        <v>149</v>
      </c>
      <c r="AB710" s="39">
        <f>B710*11/100</f>
        <v>11</v>
      </c>
      <c r="AC710"/>
    </row>
    <row r="711" spans="1:29">
      <c r="A711" s="40" t="s">
        <v>285</v>
      </c>
      <c r="B711" s="41">
        <v>100</v>
      </c>
      <c r="C711" s="38">
        <f>B711*125/100</f>
        <v>125</v>
      </c>
      <c r="D711" s="39" t="s">
        <v>149</v>
      </c>
      <c r="E711" s="39">
        <f>B711*12/100</f>
        <v>12</v>
      </c>
      <c r="F711" s="39">
        <f>B711*10/100</f>
        <v>10</v>
      </c>
      <c r="G711" s="36"/>
      <c r="H711" s="36"/>
      <c r="I711" s="36"/>
      <c r="J711" s="39"/>
      <c r="K711" s="39" t="s">
        <v>149</v>
      </c>
      <c r="L711" s="39" t="s">
        <v>149</v>
      </c>
      <c r="M711" s="39" t="s">
        <v>149</v>
      </c>
      <c r="N711" s="39" t="s">
        <v>149</v>
      </c>
      <c r="O711" s="36"/>
      <c r="P711" s="36"/>
      <c r="Q711" s="36"/>
      <c r="R711" s="39" t="s">
        <v>149</v>
      </c>
      <c r="S711" s="39" t="s">
        <v>149</v>
      </c>
      <c r="T711" s="39" t="s">
        <v>149</v>
      </c>
      <c r="U711" s="42"/>
      <c r="V711" s="42"/>
      <c r="W711" s="36"/>
      <c r="X711" s="39" t="s">
        <v>149</v>
      </c>
      <c r="Y711" s="42"/>
      <c r="Z711" s="42"/>
      <c r="AA711" s="39" t="s">
        <v>149</v>
      </c>
      <c r="AB711" s="39" t="s">
        <v>149</v>
      </c>
      <c r="AC711"/>
    </row>
    <row r="712" spans="1:29">
      <c r="A712" s="40" t="s">
        <v>286</v>
      </c>
      <c r="B712" s="41">
        <v>100</v>
      </c>
      <c r="C712" s="38">
        <f>B712*61/100</f>
        <v>61</v>
      </c>
      <c r="D712" s="39">
        <f>B712*3.3/100</f>
        <v>3.3</v>
      </c>
      <c r="E712" s="39">
        <f>B712*3.32/100</f>
        <v>3.32</v>
      </c>
      <c r="F712" s="39">
        <f>B712*0/100</f>
        <v>0</v>
      </c>
      <c r="G712" s="36"/>
      <c r="H712" s="36"/>
      <c r="I712" s="36"/>
      <c r="J712" s="39"/>
      <c r="K712" s="39">
        <f>B712*13.6/100</f>
        <v>13.6</v>
      </c>
      <c r="L712" s="39">
        <f>B712*4.67/100</f>
        <v>4.67</v>
      </c>
      <c r="M712" s="39">
        <f>B712*0/100</f>
        <v>0</v>
      </c>
      <c r="N712" s="39">
        <f>B712*119/100</f>
        <v>119</v>
      </c>
      <c r="O712" s="36"/>
      <c r="P712" s="36"/>
      <c r="Q712" s="36"/>
      <c r="R712" s="39">
        <f>B712*0.05/100</f>
        <v>0.05</v>
      </c>
      <c r="S712" s="39">
        <f>B712*49/100</f>
        <v>49</v>
      </c>
      <c r="T712" s="39">
        <f>B712*152/100</f>
        <v>152</v>
      </c>
      <c r="U712" s="42"/>
      <c r="V712" s="42"/>
      <c r="W712" s="36"/>
      <c r="X712" s="39">
        <f>B712*0.04/100</f>
        <v>0.04</v>
      </c>
      <c r="Y712" s="42"/>
      <c r="Z712" s="42"/>
      <c r="AA712" s="39">
        <f>B712*0.08/100</f>
        <v>0.08</v>
      </c>
      <c r="AB712" s="39">
        <f>B712*0.94/100</f>
        <v>0.94</v>
      </c>
      <c r="AC712"/>
    </row>
    <row r="713" spans="1:29">
      <c r="A713" s="43" t="s">
        <v>287</v>
      </c>
      <c r="B713" s="41">
        <v>100</v>
      </c>
      <c r="C713" s="38">
        <f>B713*42/100</f>
        <v>42</v>
      </c>
      <c r="D713" s="39">
        <f>B713*3.3/100</f>
        <v>3.3</v>
      </c>
      <c r="E713" s="39">
        <f>B713*1.1/100</f>
        <v>1.1000000000000001</v>
      </c>
      <c r="F713" s="39">
        <f>B713*0.7/100</f>
        <v>0.7</v>
      </c>
      <c r="G713" s="36"/>
      <c r="H713" s="36"/>
      <c r="I713" s="36"/>
      <c r="J713" s="39"/>
      <c r="K713" s="39">
        <f>B713*4/100</f>
        <v>4</v>
      </c>
      <c r="L713" s="39">
        <f>B713*4.8/100</f>
        <v>4.8</v>
      </c>
      <c r="M713" s="39">
        <v>0</v>
      </c>
      <c r="N713" s="39">
        <f>B713*123/100</f>
        <v>123</v>
      </c>
      <c r="O713" s="36"/>
      <c r="P713" s="36"/>
      <c r="Q713" s="36"/>
      <c r="R713" s="39">
        <f>B713*0.05/100</f>
        <v>0.05</v>
      </c>
      <c r="S713" s="39">
        <f>B713*50.5/100</f>
        <v>50.5</v>
      </c>
      <c r="T713" s="39">
        <f>B713*156/100</f>
        <v>156</v>
      </c>
      <c r="U713" s="42"/>
      <c r="V713" s="42"/>
      <c r="W713" s="36"/>
      <c r="X713" s="39">
        <f>B713*0.04/100</f>
        <v>0.04</v>
      </c>
      <c r="Y713" s="42"/>
      <c r="Z713" s="42"/>
      <c r="AA713" s="39">
        <f>B713*0.09/100</f>
        <v>0.09</v>
      </c>
      <c r="AB713" s="39">
        <f>B713*1/100</f>
        <v>1</v>
      </c>
      <c r="AC713"/>
    </row>
    <row r="714" spans="1:29">
      <c r="A714" s="40" t="s">
        <v>288</v>
      </c>
      <c r="B714" s="41">
        <v>100</v>
      </c>
      <c r="C714" s="38">
        <f>B714*50/100</f>
        <v>50</v>
      </c>
      <c r="D714" s="39">
        <f>B714*3.3/100</f>
        <v>3.3</v>
      </c>
      <c r="E714" s="39">
        <f>B714*1.9/100</f>
        <v>1.9</v>
      </c>
      <c r="F714" s="39">
        <f>B714*1.2/100</f>
        <v>1.2</v>
      </c>
      <c r="G714" s="36"/>
      <c r="H714" s="36"/>
      <c r="I714" s="36"/>
      <c r="J714" s="39"/>
      <c r="K714" s="39">
        <f>B714*7.5/100</f>
        <v>7.5</v>
      </c>
      <c r="L714" s="39">
        <f>B714*4.8/100</f>
        <v>4.8</v>
      </c>
      <c r="M714" s="39">
        <v>0</v>
      </c>
      <c r="N714" s="39">
        <f>B714*122/100</f>
        <v>122</v>
      </c>
      <c r="O714" s="36"/>
      <c r="P714" s="36"/>
      <c r="Q714" s="36"/>
      <c r="R714" s="39">
        <f>B714*0.05/100</f>
        <v>0.05</v>
      </c>
      <c r="S714" s="39">
        <f>B714*50/100</f>
        <v>50</v>
      </c>
      <c r="T714" s="39">
        <f>B714*154/100</f>
        <v>154</v>
      </c>
      <c r="U714" s="42"/>
      <c r="V714" s="42"/>
      <c r="W714" s="36"/>
      <c r="X714" s="39">
        <f>B714*0.04/100</f>
        <v>0.04</v>
      </c>
      <c r="Y714" s="42"/>
      <c r="Z714" s="42"/>
      <c r="AA714" s="39">
        <f>B714*0.09/100</f>
        <v>0.09</v>
      </c>
      <c r="AB714" s="39">
        <f>B714*0.9/100</f>
        <v>0.9</v>
      </c>
      <c r="AC714"/>
    </row>
    <row r="715" spans="1:29">
      <c r="A715" s="40" t="s">
        <v>289</v>
      </c>
      <c r="B715" s="41">
        <v>100</v>
      </c>
      <c r="C715" s="38">
        <f>B715*495/100</f>
        <v>495</v>
      </c>
      <c r="D715" s="39">
        <f>B715*26.4/100</f>
        <v>26.4</v>
      </c>
      <c r="E715" s="39">
        <f>B715*26/100</f>
        <v>26</v>
      </c>
      <c r="F715" s="39">
        <f>B715*0/100</f>
        <v>0</v>
      </c>
      <c r="G715" s="36"/>
      <c r="H715" s="36"/>
      <c r="I715" s="36"/>
      <c r="J715" s="39"/>
      <c r="K715" s="39">
        <f>B715*0/100</f>
        <v>0</v>
      </c>
      <c r="L715" s="39">
        <f>B715*38.8/100</f>
        <v>38.799999999999997</v>
      </c>
      <c r="M715" s="39">
        <f>B715*0/100</f>
        <v>0</v>
      </c>
      <c r="N715" s="39">
        <f>B715*930/100</f>
        <v>930</v>
      </c>
      <c r="O715" s="36"/>
      <c r="P715" s="36"/>
      <c r="Q715" s="36"/>
      <c r="R715" s="39">
        <f>B715*0/100</f>
        <v>0</v>
      </c>
      <c r="S715" s="39">
        <f>B715*350/100</f>
        <v>350</v>
      </c>
      <c r="T715" s="39">
        <f>B715*1200/100</f>
        <v>1200</v>
      </c>
      <c r="U715" s="42"/>
      <c r="V715" s="42"/>
      <c r="W715" s="36"/>
      <c r="X715" s="39">
        <f>B715*0.23/100</f>
        <v>0.23</v>
      </c>
      <c r="Y715" s="42"/>
      <c r="Z715" s="42"/>
      <c r="AA715" s="39">
        <f>B715*0/100</f>
        <v>0</v>
      </c>
      <c r="AB715" s="39">
        <f>B715*0/100</f>
        <v>0</v>
      </c>
      <c r="AC715"/>
    </row>
    <row r="716" spans="1:29">
      <c r="A716" s="40" t="s">
        <v>290</v>
      </c>
      <c r="B716" s="41">
        <v>100</v>
      </c>
      <c r="C716" s="38">
        <f>B716*358/100</f>
        <v>358</v>
      </c>
      <c r="D716" s="39">
        <f>B716*35.1/100</f>
        <v>35.1</v>
      </c>
      <c r="E716" s="39">
        <f>B716*0.7/100</f>
        <v>0.7</v>
      </c>
      <c r="F716" s="39">
        <f>B716*0.5/100</f>
        <v>0.5</v>
      </c>
      <c r="G716" s="36"/>
      <c r="H716" s="36"/>
      <c r="I716" s="36"/>
      <c r="J716" s="39"/>
      <c r="K716" s="39">
        <f>B716*18.3/100</f>
        <v>18.3</v>
      </c>
      <c r="L716" s="39">
        <f>B716*52.2/100</f>
        <v>52.2</v>
      </c>
      <c r="M716" s="39">
        <v>0</v>
      </c>
      <c r="N716" s="39">
        <f>B716*1230/100</f>
        <v>1230</v>
      </c>
      <c r="O716" s="36"/>
      <c r="P716" s="36"/>
      <c r="Q716" s="36"/>
      <c r="R716" s="39">
        <f>B716*0.3/100</f>
        <v>0.3</v>
      </c>
      <c r="S716" s="39">
        <f>B716*549/100</f>
        <v>549</v>
      </c>
      <c r="T716" s="39">
        <f>B716*1705/100</f>
        <v>1705</v>
      </c>
      <c r="U716" s="42"/>
      <c r="V716" s="42"/>
      <c r="W716" s="36"/>
      <c r="X716" s="39">
        <f>B716*0.4/100</f>
        <v>0.4</v>
      </c>
      <c r="Y716" s="42"/>
      <c r="Z716" s="42"/>
      <c r="AA716" s="39">
        <f>B716*0.9/100</f>
        <v>0.9</v>
      </c>
      <c r="AB716" s="39">
        <f>B716*5.6/100</f>
        <v>5.6</v>
      </c>
      <c r="AC716"/>
    </row>
    <row r="717" spans="1:29">
      <c r="A717" s="40" t="s">
        <v>291</v>
      </c>
      <c r="B717" s="41">
        <v>100</v>
      </c>
      <c r="C717" s="38">
        <f>B717*33/100</f>
        <v>33</v>
      </c>
      <c r="D717" s="39">
        <f>B717*2.8/100</f>
        <v>2.8</v>
      </c>
      <c r="E717" s="39">
        <f>B717*1.9/100</f>
        <v>1.9</v>
      </c>
      <c r="F717" s="39">
        <f>B717*0.2/100</f>
        <v>0.2</v>
      </c>
      <c r="G717" s="36"/>
      <c r="H717" s="36"/>
      <c r="I717" s="36"/>
      <c r="J717" s="39"/>
      <c r="K717" s="39">
        <v>0</v>
      </c>
      <c r="L717" s="39">
        <f>B717*1.8/100</f>
        <v>1.8</v>
      </c>
      <c r="M717" s="39">
        <f>B717*1.3/100</f>
        <v>1.3</v>
      </c>
      <c r="N717" s="39">
        <f>B717*4/100</f>
        <v>4</v>
      </c>
      <c r="O717" s="36"/>
      <c r="P717" s="36"/>
      <c r="Q717" s="36"/>
      <c r="R717" s="39">
        <f>B717*0.6/100</f>
        <v>0.6</v>
      </c>
      <c r="S717" s="39">
        <f>B717*12/100</f>
        <v>12</v>
      </c>
      <c r="T717" s="39">
        <f>B717*141/100</f>
        <v>141</v>
      </c>
      <c r="U717" s="42"/>
      <c r="V717" s="42"/>
      <c r="W717" s="36"/>
      <c r="X717" s="39">
        <f>B717*0.2/100</f>
        <v>0.2</v>
      </c>
      <c r="Y717" s="42"/>
      <c r="Z717" s="42"/>
      <c r="AA717" s="39">
        <f>B717*0.1/100</f>
        <v>0.1</v>
      </c>
      <c r="AB717" s="39">
        <v>0</v>
      </c>
      <c r="AC717"/>
    </row>
    <row r="718" spans="1:29">
      <c r="A718" s="40" t="s">
        <v>292</v>
      </c>
      <c r="B718" s="41">
        <v>100</v>
      </c>
      <c r="C718" s="38">
        <f>B718*116/100</f>
        <v>116</v>
      </c>
      <c r="D718" s="39">
        <f>B718*9.03/100</f>
        <v>9.0299999999999994</v>
      </c>
      <c r="E718" s="39">
        <f>B718*0.4/100</f>
        <v>0.4</v>
      </c>
      <c r="F718" s="39">
        <f>B718*0.05/100</f>
        <v>0.05</v>
      </c>
      <c r="G718" s="36"/>
      <c r="H718" s="36"/>
      <c r="I718" s="36"/>
      <c r="J718" s="39"/>
      <c r="K718" s="39">
        <v>0</v>
      </c>
      <c r="L718" s="39">
        <f>B718*20.1/100</f>
        <v>20.100000000000001</v>
      </c>
      <c r="M718" s="39">
        <f>B718*4.55/100</f>
        <v>4.55</v>
      </c>
      <c r="N718" s="39">
        <f>B718*19/100</f>
        <v>19</v>
      </c>
      <c r="O718" s="36"/>
      <c r="P718" s="36"/>
      <c r="Q718" s="36"/>
      <c r="R718" s="39">
        <f>B718*3.34/100</f>
        <v>3.34</v>
      </c>
      <c r="S718" s="39">
        <f>B718*2/100</f>
        <v>2</v>
      </c>
      <c r="T718" s="39">
        <f>B718*369/100</f>
        <v>369</v>
      </c>
      <c r="U718" s="42"/>
      <c r="V718" s="42"/>
      <c r="W718" s="36"/>
      <c r="X718" s="39">
        <f>B718*0.17/100</f>
        <v>0.17</v>
      </c>
      <c r="Y718" s="42"/>
      <c r="Z718" s="42"/>
      <c r="AA718" s="39">
        <f>B718*1.06/100</f>
        <v>1.06</v>
      </c>
      <c r="AB718" s="39">
        <f>B718*1.5/100</f>
        <v>1.5</v>
      </c>
      <c r="AC718"/>
    </row>
    <row r="719" spans="1:29">
      <c r="A719" s="40" t="s">
        <v>293</v>
      </c>
      <c r="B719" s="41">
        <v>100</v>
      </c>
      <c r="C719" s="38">
        <f>B719*338/100</f>
        <v>338</v>
      </c>
      <c r="D719" s="39">
        <f>B719*28.1/100</f>
        <v>28.1</v>
      </c>
      <c r="E719" s="39">
        <f>B719*1/100</f>
        <v>1</v>
      </c>
      <c r="F719" s="39">
        <f>B719*0.1/100</f>
        <v>0.1</v>
      </c>
      <c r="G719" s="36"/>
      <c r="H719" s="36"/>
      <c r="I719" s="36"/>
      <c r="J719" s="39"/>
      <c r="K719" s="39">
        <v>0</v>
      </c>
      <c r="L719" s="39">
        <f>B719*57.1/100</f>
        <v>57.1</v>
      </c>
      <c r="M719" s="39">
        <f>B719*13.1/100</f>
        <v>13.1</v>
      </c>
      <c r="N719" s="39">
        <f>B719*51/100</f>
        <v>51</v>
      </c>
      <c r="O719" s="36"/>
      <c r="P719" s="36"/>
      <c r="Q719" s="36"/>
      <c r="R719" s="39">
        <f>B719*9/100</f>
        <v>9</v>
      </c>
      <c r="S719" s="39">
        <f>B719*10/100</f>
        <v>10</v>
      </c>
      <c r="T719" s="39">
        <f>B719*905/100</f>
        <v>905</v>
      </c>
      <c r="U719" s="42"/>
      <c r="V719" s="42"/>
      <c r="W719" s="36"/>
      <c r="X719" s="39">
        <f>B719*0.5/100</f>
        <v>0.5</v>
      </c>
      <c r="Y719" s="42"/>
      <c r="Z719" s="42"/>
      <c r="AA719" s="39">
        <f>B719*2.6/100</f>
        <v>2.6</v>
      </c>
      <c r="AB719" s="39">
        <f>B719*6.2/100</f>
        <v>6.2</v>
      </c>
      <c r="AC719"/>
    </row>
    <row r="720" spans="1:29">
      <c r="A720" s="40" t="s">
        <v>294</v>
      </c>
      <c r="B720" s="41">
        <v>100</v>
      </c>
      <c r="C720" s="38">
        <f>B720*25/100</f>
        <v>25</v>
      </c>
      <c r="D720" s="39">
        <f>B720*0.4/100</f>
        <v>0.4</v>
      </c>
      <c r="E720" s="39">
        <f>B720*0.1/100</f>
        <v>0.1</v>
      </c>
      <c r="F720" s="39">
        <f>B720*0.04/100</f>
        <v>0.04</v>
      </c>
      <c r="G720" s="36"/>
      <c r="H720" s="36"/>
      <c r="I720" s="36"/>
      <c r="J720" s="39"/>
      <c r="K720" s="39">
        <v>0</v>
      </c>
      <c r="L720" s="39">
        <f>B720*8.6/100</f>
        <v>8.6</v>
      </c>
      <c r="M720" s="39">
        <f>B720*0.4/100</f>
        <v>0.4</v>
      </c>
      <c r="N720" s="39">
        <f>B720*7/100</f>
        <v>7</v>
      </c>
      <c r="O720" s="36"/>
      <c r="P720" s="36"/>
      <c r="Q720" s="36"/>
      <c r="R720" s="39">
        <f>B720*0.03/100</f>
        <v>0.03</v>
      </c>
      <c r="S720" s="39">
        <f>B720*1/100</f>
        <v>1</v>
      </c>
      <c r="T720" s="39">
        <f>B720*124/100</f>
        <v>124</v>
      </c>
      <c r="U720" s="42"/>
      <c r="V720" s="42"/>
      <c r="W720" s="36"/>
      <c r="X720" s="39">
        <f>B720*0.03/100</f>
        <v>0.03</v>
      </c>
      <c r="Y720" s="42"/>
      <c r="Z720" s="42"/>
      <c r="AA720" s="39">
        <f>B720*0.1/100</f>
        <v>0.1</v>
      </c>
      <c r="AB720" s="39">
        <f>B720*46/100</f>
        <v>46</v>
      </c>
      <c r="AC720"/>
    </row>
    <row r="721" spans="1:29">
      <c r="A721" s="40" t="s">
        <v>295</v>
      </c>
      <c r="B721" s="41">
        <v>83</v>
      </c>
      <c r="C721" s="38">
        <f>B721*103/83</f>
        <v>103</v>
      </c>
      <c r="D721" s="39">
        <f>B721*14.5/83</f>
        <v>14.5</v>
      </c>
      <c r="E721" s="39">
        <f>B721*4.5/83</f>
        <v>4.5</v>
      </c>
      <c r="F721" s="39">
        <f>B721*1/83</f>
        <v>1</v>
      </c>
      <c r="G721" s="36"/>
      <c r="H721" s="36"/>
      <c r="I721" s="36"/>
      <c r="J721" s="39"/>
      <c r="K721" s="39">
        <f>B721*51/83</f>
        <v>51</v>
      </c>
      <c r="L721" s="39">
        <f>B721*1/83</f>
        <v>1</v>
      </c>
      <c r="M721" s="39">
        <v>0</v>
      </c>
      <c r="N721" s="39">
        <f>B721*21/83</f>
        <v>21</v>
      </c>
      <c r="O721" s="36"/>
      <c r="P721" s="36"/>
      <c r="Q721" s="36"/>
      <c r="R721" s="39">
        <f>B721*0.67/83</f>
        <v>0.67</v>
      </c>
      <c r="S721" s="39">
        <f>B721*758/83</f>
        <v>758</v>
      </c>
      <c r="T721" s="39">
        <v>0</v>
      </c>
      <c r="U721" s="42"/>
      <c r="V721" s="42"/>
      <c r="W721" s="36"/>
      <c r="X721" s="39">
        <v>0</v>
      </c>
      <c r="Y721" s="42"/>
      <c r="Z721" s="42"/>
      <c r="AA721" s="39">
        <v>0</v>
      </c>
      <c r="AB721" s="39">
        <v>0</v>
      </c>
      <c r="AC721"/>
    </row>
    <row r="722" spans="1:29">
      <c r="A722" s="40" t="s">
        <v>296</v>
      </c>
      <c r="B722" s="41">
        <v>110</v>
      </c>
      <c r="C722" s="38">
        <f>B722*270/110</f>
        <v>270</v>
      </c>
      <c r="D722" s="39">
        <f>B722*19/110</f>
        <v>19</v>
      </c>
      <c r="E722" s="39">
        <f>B722*21.5/110</f>
        <v>21.5</v>
      </c>
      <c r="F722" s="39">
        <f>B722*8/110</f>
        <v>8</v>
      </c>
      <c r="G722" s="36"/>
      <c r="H722" s="36"/>
      <c r="I722" s="36"/>
      <c r="J722" s="39"/>
      <c r="K722" s="39">
        <f>B722*69/110</f>
        <v>69</v>
      </c>
      <c r="L722" s="39">
        <v>0</v>
      </c>
      <c r="M722" s="39">
        <v>0</v>
      </c>
      <c r="N722" s="39">
        <f>B722*49/100</f>
        <v>53.9</v>
      </c>
      <c r="O722" s="36"/>
      <c r="P722" s="36"/>
      <c r="Q722" s="36"/>
      <c r="R722" s="39">
        <f>B722*1.25/100</f>
        <v>1.375</v>
      </c>
      <c r="S722" s="39">
        <f>B722*1763/110</f>
        <v>1763</v>
      </c>
      <c r="T722" s="39">
        <v>0</v>
      </c>
      <c r="U722" s="42"/>
      <c r="V722" s="42"/>
      <c r="W722" s="36"/>
      <c r="X722" s="39">
        <v>0</v>
      </c>
      <c r="Y722" s="42"/>
      <c r="Z722" s="42"/>
      <c r="AA722" s="39">
        <v>0</v>
      </c>
      <c r="AB722" s="39">
        <v>0</v>
      </c>
      <c r="AC722"/>
    </row>
    <row r="723" spans="1:29" s="33" customFormat="1">
      <c r="A723" s="40" t="s">
        <v>297</v>
      </c>
      <c r="B723" s="41">
        <v>100</v>
      </c>
      <c r="C723" s="38">
        <f>B723*175/100</f>
        <v>175</v>
      </c>
      <c r="D723" s="39">
        <f>B723*23/100</f>
        <v>23</v>
      </c>
      <c r="E723" s="39">
        <f>B723*9/100</f>
        <v>9</v>
      </c>
      <c r="F723" s="39">
        <f>B723*3.3/100</f>
        <v>3.3</v>
      </c>
      <c r="G723" s="41"/>
      <c r="H723" s="41"/>
      <c r="I723" s="41"/>
      <c r="J723" s="39"/>
      <c r="K723" s="39">
        <f>B723*55/100</f>
        <v>55</v>
      </c>
      <c r="L723" s="39">
        <v>0</v>
      </c>
      <c r="M723" s="39">
        <v>0</v>
      </c>
      <c r="N723" s="39">
        <f>B723*4/100</f>
        <v>4</v>
      </c>
      <c r="O723" s="41"/>
      <c r="P723" s="41"/>
      <c r="Q723" s="41"/>
      <c r="R723" s="39">
        <v>0</v>
      </c>
      <c r="S723" s="39">
        <f>B723*53/100</f>
        <v>53</v>
      </c>
      <c r="T723" s="39">
        <f>B723*334/100</f>
        <v>334</v>
      </c>
      <c r="U723" s="35"/>
      <c r="V723" s="35"/>
      <c r="W723" s="41"/>
      <c r="X723" s="39">
        <f>B723*0.95/100</f>
        <v>0.95</v>
      </c>
      <c r="Y723" s="35"/>
      <c r="Z723" s="35"/>
      <c r="AA723" s="39">
        <f>B723*13.8/100</f>
        <v>13.8</v>
      </c>
      <c r="AB723" s="39">
        <v>0</v>
      </c>
    </row>
    <row r="724" spans="1:29">
      <c r="A724" s="40" t="s">
        <v>298</v>
      </c>
      <c r="B724" s="41">
        <v>100</v>
      </c>
      <c r="C724" s="38">
        <f>B724*181/100</f>
        <v>181</v>
      </c>
      <c r="D724" s="39">
        <f>B724*16.1/100</f>
        <v>16.100000000000001</v>
      </c>
      <c r="E724" s="39">
        <f>B724*11.9/100</f>
        <v>11.9</v>
      </c>
      <c r="F724" s="39">
        <f>B724*3.8/100</f>
        <v>3.8</v>
      </c>
      <c r="G724" s="36"/>
      <c r="H724" s="36"/>
      <c r="I724" s="36"/>
      <c r="J724" s="39"/>
      <c r="K724" s="39">
        <f>B724*51.1/100</f>
        <v>51.1</v>
      </c>
      <c r="L724" s="39">
        <f>B724*1.7/100</f>
        <v>1.7</v>
      </c>
      <c r="M724" s="39">
        <f>B724*0.2/100</f>
        <v>0.2</v>
      </c>
      <c r="N724" s="39">
        <f>B724*18.3/100</f>
        <v>18.3</v>
      </c>
      <c r="O724" s="36"/>
      <c r="P724" s="36"/>
      <c r="Q724" s="36"/>
      <c r="R724" s="39">
        <f>B724*0.7/100</f>
        <v>0.7</v>
      </c>
      <c r="S724" s="39">
        <f>B724*250.5/100</f>
        <v>250.5</v>
      </c>
      <c r="T724" s="39">
        <f>B724*314.7/100</f>
        <v>314.7</v>
      </c>
      <c r="U724" s="42"/>
      <c r="V724" s="42"/>
      <c r="W724" s="36"/>
      <c r="X724" s="39">
        <f>B724*0.7/100</f>
        <v>0.7</v>
      </c>
      <c r="Y724" s="42"/>
      <c r="Z724" s="42"/>
      <c r="AA724" s="39">
        <f>B724*3.7/100</f>
        <v>3.7</v>
      </c>
      <c r="AB724" s="39">
        <f>B724*5.7/100</f>
        <v>5.7</v>
      </c>
      <c r="AC724"/>
    </row>
    <row r="725" spans="1:29">
      <c r="A725" s="40" t="s">
        <v>299</v>
      </c>
      <c r="B725" s="41">
        <v>100</v>
      </c>
      <c r="C725" s="38">
        <f>B725*59/100</f>
        <v>59</v>
      </c>
      <c r="D725" s="39">
        <f>B725*0.19/100</f>
        <v>0.19</v>
      </c>
      <c r="E725" s="39">
        <f>B725*0.36/100</f>
        <v>0.36</v>
      </c>
      <c r="F725" s="39">
        <f>B725*0.06/100</f>
        <v>0.06</v>
      </c>
      <c r="G725" s="36"/>
      <c r="H725" s="36"/>
      <c r="I725" s="36"/>
      <c r="J725" s="39"/>
      <c r="K725" s="39">
        <f>B725*0/100</f>
        <v>0</v>
      </c>
      <c r="L725" s="39">
        <f>B725*15.3/100</f>
        <v>15.3</v>
      </c>
      <c r="M725" s="39">
        <f>B725*1.97/100</f>
        <v>1.97</v>
      </c>
      <c r="N725" s="39">
        <f>B725*7/100</f>
        <v>7</v>
      </c>
      <c r="O725" s="36"/>
      <c r="P725" s="36"/>
      <c r="Q725" s="36"/>
      <c r="R725" s="39">
        <f>B725*0.18/100</f>
        <v>0.18</v>
      </c>
      <c r="S725" s="39">
        <f>B725*0/100</f>
        <v>0</v>
      </c>
      <c r="T725" s="39">
        <f>B725*115/100</f>
        <v>115</v>
      </c>
      <c r="U725" s="42"/>
      <c r="V725" s="42"/>
      <c r="W725" s="36"/>
      <c r="X725" s="39">
        <f>B725*0.02/100</f>
        <v>0.02</v>
      </c>
      <c r="Y725" s="42"/>
      <c r="Z725" s="42"/>
      <c r="AA725" s="39">
        <f>B725*0.08/100</f>
        <v>0.08</v>
      </c>
      <c r="AB725" s="39">
        <f>B725*5.7/100</f>
        <v>5.7</v>
      </c>
      <c r="AC725"/>
    </row>
    <row r="726" spans="1:29">
      <c r="A726" s="40" t="s">
        <v>300</v>
      </c>
      <c r="B726" s="41">
        <v>100</v>
      </c>
      <c r="C726" s="38">
        <f>B726*85/100</f>
        <v>85</v>
      </c>
      <c r="D726" s="39">
        <f>B726*2.65/100</f>
        <v>2.65</v>
      </c>
      <c r="E726" s="39">
        <f>B726*1.45/100</f>
        <v>1.45</v>
      </c>
      <c r="F726" s="39">
        <f>B726*0.21/100</f>
        <v>0.21</v>
      </c>
      <c r="G726" s="36"/>
      <c r="H726" s="36"/>
      <c r="I726" s="36"/>
      <c r="J726" s="39"/>
      <c r="K726" s="39">
        <f>B726*0/100</f>
        <v>0</v>
      </c>
      <c r="L726" s="39">
        <f>B726*15.65/100</f>
        <v>15.65</v>
      </c>
      <c r="M726" s="39">
        <f>B726*1.3/100</f>
        <v>1.3</v>
      </c>
      <c r="N726" s="39">
        <f>B726*7.671/100</f>
        <v>7.6710000000000003</v>
      </c>
      <c r="O726" s="36"/>
      <c r="P726" s="36"/>
      <c r="Q726" s="36"/>
      <c r="R726" s="39">
        <f>B726*0.882/100</f>
        <v>0.88200000000000001</v>
      </c>
      <c r="S726" s="39">
        <f>B726*180.396/100</f>
        <v>180.39599999999999</v>
      </c>
      <c r="T726" s="39">
        <f>B726*129.32/100</f>
        <v>129.32</v>
      </c>
      <c r="U726" s="42"/>
      <c r="V726" s="42"/>
      <c r="W726" s="36"/>
      <c r="X726" s="39">
        <f>B726*0.1/100</f>
        <v>0.1</v>
      </c>
      <c r="Y726" s="42"/>
      <c r="Z726" s="42"/>
      <c r="AA726" s="39">
        <f>B726*1.065/100</f>
        <v>1.0649999999999999</v>
      </c>
      <c r="AB726" s="39">
        <f>B726*8.72/100</f>
        <v>8.7200000000000006</v>
      </c>
      <c r="AC726"/>
    </row>
    <row r="727" spans="1:29">
      <c r="A727" s="43" t="s">
        <v>301</v>
      </c>
      <c r="B727" s="41">
        <v>100</v>
      </c>
      <c r="C727" s="38">
        <f>B727*141/100</f>
        <v>141</v>
      </c>
      <c r="D727" s="39">
        <f>B727*4.8/100</f>
        <v>4.8</v>
      </c>
      <c r="E727" s="39">
        <f>B727*0.7/100</f>
        <v>0.7</v>
      </c>
      <c r="F727" s="39">
        <f>B727*0.1/100</f>
        <v>0.1</v>
      </c>
      <c r="G727" s="36"/>
      <c r="H727" s="36"/>
      <c r="I727" s="36"/>
      <c r="J727" s="39"/>
      <c r="K727" s="39">
        <v>0</v>
      </c>
      <c r="L727" s="39">
        <f>B727*28.3/100</f>
        <v>28.3</v>
      </c>
      <c r="M727" s="39">
        <f>B727*1.5/100</f>
        <v>1.5</v>
      </c>
      <c r="N727" s="39">
        <f>B727*7/100</f>
        <v>7</v>
      </c>
      <c r="O727" s="36"/>
      <c r="P727" s="36"/>
      <c r="Q727" s="36"/>
      <c r="R727" s="39">
        <f>B727*1.4/100</f>
        <v>1.4</v>
      </c>
      <c r="S727" s="39">
        <f>B727*1/100</f>
        <v>1</v>
      </c>
      <c r="T727" s="39">
        <f>B727*31/100</f>
        <v>31</v>
      </c>
      <c r="U727" s="42"/>
      <c r="V727" s="42"/>
      <c r="W727" s="36"/>
      <c r="X727" s="39">
        <f>B727*0.2/100</f>
        <v>0.2</v>
      </c>
      <c r="Y727" s="42"/>
      <c r="Z727" s="42"/>
      <c r="AA727" s="39">
        <f>B727*1.7/100</f>
        <v>1.7</v>
      </c>
      <c r="AB727" s="39">
        <f>B727*0/100</f>
        <v>0</v>
      </c>
      <c r="AC727"/>
    </row>
    <row r="728" spans="1:29">
      <c r="A728" s="40" t="s">
        <v>302</v>
      </c>
      <c r="B728" s="41">
        <v>100</v>
      </c>
      <c r="C728" s="38">
        <f>B728*369/100</f>
        <v>369</v>
      </c>
      <c r="D728" s="39">
        <f>B728*12.5/100</f>
        <v>12.5</v>
      </c>
      <c r="E728" s="39">
        <f>B728*1.2/100</f>
        <v>1.2</v>
      </c>
      <c r="F728" s="39">
        <v>0</v>
      </c>
      <c r="G728" s="36"/>
      <c r="H728" s="36"/>
      <c r="I728" s="36"/>
      <c r="J728" s="39"/>
      <c r="K728" s="39">
        <v>0</v>
      </c>
      <c r="L728" s="39">
        <f>B728*75.2/100</f>
        <v>75.2</v>
      </c>
      <c r="M728" s="39">
        <v>0</v>
      </c>
      <c r="N728" s="39">
        <f>B728*27/100</f>
        <v>27</v>
      </c>
      <c r="O728" s="36"/>
      <c r="P728" s="36"/>
      <c r="Q728" s="36"/>
      <c r="R728" s="39">
        <f>B728*1.3/100</f>
        <v>1.3</v>
      </c>
      <c r="S728" s="39">
        <v>0</v>
      </c>
      <c r="T728" s="39">
        <v>0</v>
      </c>
      <c r="U728" s="42"/>
      <c r="V728" s="42"/>
      <c r="W728" s="36"/>
      <c r="X728" s="39">
        <f>B728*0.09/100</f>
        <v>0.09</v>
      </c>
      <c r="Y728" s="42"/>
      <c r="Z728" s="42"/>
      <c r="AA728" s="39">
        <f>B728*1.7/100</f>
        <v>1.7</v>
      </c>
      <c r="AB728" s="39">
        <v>0</v>
      </c>
      <c r="AC728"/>
    </row>
    <row r="729" spans="1:29">
      <c r="A729" s="40" t="s">
        <v>303</v>
      </c>
      <c r="B729" s="41">
        <v>100</v>
      </c>
      <c r="C729" s="38">
        <f>B729*554/100</f>
        <v>554</v>
      </c>
      <c r="D729" s="39">
        <f>B729*3.67/100</f>
        <v>3.67</v>
      </c>
      <c r="E729" s="39">
        <f>B729*60.39/100</f>
        <v>60.39</v>
      </c>
      <c r="F729" s="39">
        <f>B729*9.18/100</f>
        <v>9.18</v>
      </c>
      <c r="G729" s="36"/>
      <c r="H729" s="36"/>
      <c r="I729" s="36"/>
      <c r="J729" s="39"/>
      <c r="K729" s="39">
        <f>B729*123.13/100</f>
        <v>123.13</v>
      </c>
      <c r="L729" s="39">
        <f>B729*1.37/100</f>
        <v>1.37</v>
      </c>
      <c r="M729" s="39">
        <f>B729*0.05/100</f>
        <v>0.05</v>
      </c>
      <c r="N729" s="39">
        <f>B729*15.42/100</f>
        <v>15.42</v>
      </c>
      <c r="O729" s="36"/>
      <c r="P729" s="36"/>
      <c r="Q729" s="36"/>
      <c r="R729" s="39">
        <f>B729*0.43/100</f>
        <v>0.43</v>
      </c>
      <c r="S729" s="39">
        <f>B729*645.48/100</f>
        <v>645.48</v>
      </c>
      <c r="T729" s="39">
        <f>B729*49.76/100</f>
        <v>49.76</v>
      </c>
      <c r="U729" s="42"/>
      <c r="V729" s="42"/>
      <c r="W729" s="36"/>
      <c r="X729" s="39">
        <f>B729*0.02/100</f>
        <v>0.02</v>
      </c>
      <c r="Y729" s="42"/>
      <c r="Z729" s="42"/>
      <c r="AA729" s="39">
        <f>B729*0.033/100</f>
        <v>3.3000000000000002E-2</v>
      </c>
      <c r="AB729" s="39">
        <f>B729*5.41/100</f>
        <v>5.41</v>
      </c>
      <c r="AC729"/>
    </row>
    <row r="730" spans="1:29">
      <c r="A730" s="40" t="s">
        <v>304</v>
      </c>
      <c r="B730" s="41">
        <v>100</v>
      </c>
      <c r="C730" s="38">
        <f>B730*354/100</f>
        <v>354</v>
      </c>
      <c r="D730" s="39">
        <f>B730*0.3/100</f>
        <v>0.3</v>
      </c>
      <c r="E730" s="39">
        <f>B730*0/100</f>
        <v>0</v>
      </c>
      <c r="F730" s="39">
        <f>B730*0.04/100</f>
        <v>0.04</v>
      </c>
      <c r="G730" s="36"/>
      <c r="H730" s="36"/>
      <c r="I730" s="36"/>
      <c r="J730" s="39"/>
      <c r="K730" s="39">
        <v>0</v>
      </c>
      <c r="L730" s="39">
        <f>B730*88.2/100</f>
        <v>88.2</v>
      </c>
      <c r="M730" s="39">
        <f>B730*0/100</f>
        <v>0</v>
      </c>
      <c r="N730" s="39">
        <f>B730*0/100</f>
        <v>0</v>
      </c>
      <c r="O730" s="36"/>
      <c r="P730" s="36"/>
      <c r="Q730" s="36"/>
      <c r="R730" s="39">
        <f>B730*0/100</f>
        <v>0</v>
      </c>
      <c r="S730" s="39">
        <f>B730*0/100</f>
        <v>0</v>
      </c>
      <c r="T730" s="39">
        <f>B730*0/100</f>
        <v>0</v>
      </c>
      <c r="U730" s="42"/>
      <c r="V730" s="42"/>
      <c r="W730" s="36"/>
      <c r="X730" s="39">
        <f>B730*0.03/100</f>
        <v>0.03</v>
      </c>
      <c r="Y730" s="42"/>
      <c r="Z730" s="42"/>
      <c r="AA730" s="39">
        <f>B730*0/100</f>
        <v>0</v>
      </c>
      <c r="AB730" s="39">
        <f>B730*0/100</f>
        <v>0</v>
      </c>
      <c r="AC730"/>
    </row>
    <row r="731" spans="1:29">
      <c r="A731" s="40" t="s">
        <v>305</v>
      </c>
      <c r="B731" s="41">
        <v>100</v>
      </c>
      <c r="C731" s="38">
        <f>B731*39/100</f>
        <v>39</v>
      </c>
      <c r="D731" s="39">
        <f>B731*0.6/100</f>
        <v>0.6</v>
      </c>
      <c r="E731" s="39">
        <f>B731*0.14/100</f>
        <v>0.14000000000000001</v>
      </c>
      <c r="F731" s="39">
        <f>B731*0.04/100</f>
        <v>0.04</v>
      </c>
      <c r="G731" s="36"/>
      <c r="H731" s="36"/>
      <c r="I731" s="36"/>
      <c r="J731" s="39"/>
      <c r="K731" s="39">
        <v>0</v>
      </c>
      <c r="L731" s="39">
        <f>B731*9.8/100</f>
        <v>9.8000000000000007</v>
      </c>
      <c r="M731" s="39">
        <f>B731*1.8/100</f>
        <v>1.8</v>
      </c>
      <c r="N731" s="39">
        <f>B731*24/100</f>
        <v>24</v>
      </c>
      <c r="O731" s="36"/>
      <c r="P731" s="36"/>
      <c r="Q731" s="36"/>
      <c r="R731" s="39">
        <f>B731*0.1/100</f>
        <v>0.1</v>
      </c>
      <c r="S731" s="39">
        <f>B731*3/100</f>
        <v>3</v>
      </c>
      <c r="T731" s="39">
        <f>B731*257/100</f>
        <v>257</v>
      </c>
      <c r="U731" s="42"/>
      <c r="V731" s="42"/>
      <c r="W731" s="36"/>
      <c r="X731" s="39">
        <f>B731*0.03/100</f>
        <v>0.03</v>
      </c>
      <c r="Y731" s="42"/>
      <c r="Z731" s="42"/>
      <c r="AA731" s="39">
        <f>B731*0.34/100</f>
        <v>0.34</v>
      </c>
      <c r="AB731" s="39">
        <f>B731*61.8/100</f>
        <v>61.8</v>
      </c>
      <c r="AC731"/>
    </row>
    <row r="732" spans="1:29">
      <c r="A732" s="40" t="s">
        <v>306</v>
      </c>
      <c r="B732" s="41">
        <v>100</v>
      </c>
      <c r="C732" s="38">
        <f>B732*120/100</f>
        <v>120</v>
      </c>
      <c r="D732" s="39">
        <f>B732*3.1/100</f>
        <v>3.1</v>
      </c>
      <c r="E732" s="39">
        <f>B732*0.4/100</f>
        <v>0.4</v>
      </c>
      <c r="F732" s="39">
        <f>B732*0.1/100</f>
        <v>0.1</v>
      </c>
      <c r="G732" s="36"/>
      <c r="H732" s="36"/>
      <c r="I732" s="36"/>
      <c r="J732" s="39"/>
      <c r="K732" s="39">
        <v>0</v>
      </c>
      <c r="L732" s="39">
        <f>B732*26.9/100</f>
        <v>26.9</v>
      </c>
      <c r="M732" s="39">
        <f>B732*1.6/100</f>
        <v>1.6</v>
      </c>
      <c r="N732" s="39">
        <f>B732*91/100</f>
        <v>91</v>
      </c>
      <c r="O732" s="36"/>
      <c r="P732" s="36"/>
      <c r="Q732" s="36"/>
      <c r="R732" s="39">
        <f>B732*3.6/100</f>
        <v>3.6</v>
      </c>
      <c r="S732" s="39">
        <f>B732*8/100</f>
        <v>8</v>
      </c>
      <c r="T732" s="39">
        <f>B732*764/100</f>
        <v>764</v>
      </c>
      <c r="U732" s="42"/>
      <c r="V732" s="42"/>
      <c r="W732" s="36"/>
      <c r="X732" s="39">
        <f>B732*0.2/100</f>
        <v>0.2</v>
      </c>
      <c r="Y732" s="42"/>
      <c r="Z732" s="42"/>
      <c r="AA732" s="39">
        <f>B732*1.4/100</f>
        <v>1.4</v>
      </c>
      <c r="AB732" s="39">
        <f>B732*48.2/100</f>
        <v>48.2</v>
      </c>
      <c r="AC732"/>
    </row>
    <row r="733" spans="1:29">
      <c r="A733" s="40" t="s">
        <v>307</v>
      </c>
      <c r="B733" s="41">
        <v>100</v>
      </c>
      <c r="C733" s="38">
        <f>B733*104/100</f>
        <v>104</v>
      </c>
      <c r="D733" s="39">
        <f>B733*0.8/100</f>
        <v>0.8</v>
      </c>
      <c r="E733" s="39">
        <f>B733*0.2/100</f>
        <v>0.2</v>
      </c>
      <c r="F733" s="39">
        <v>0</v>
      </c>
      <c r="G733" s="36"/>
      <c r="H733" s="36"/>
      <c r="I733" s="36"/>
      <c r="J733" s="39"/>
      <c r="K733" s="39">
        <v>0</v>
      </c>
      <c r="L733" s="39">
        <f>B733*24.9/100</f>
        <v>24.9</v>
      </c>
      <c r="M733" s="39">
        <f>B733*0.6/100</f>
        <v>0.6</v>
      </c>
      <c r="N733" s="39">
        <f>B733*29/100</f>
        <v>29</v>
      </c>
      <c r="O733" s="36"/>
      <c r="P733" s="36"/>
      <c r="Q733" s="36"/>
      <c r="R733" s="39">
        <f>B733*1.2/100</f>
        <v>1.2</v>
      </c>
      <c r="S733" s="39">
        <v>0</v>
      </c>
      <c r="T733" s="39">
        <v>0</v>
      </c>
      <c r="U733" s="42"/>
      <c r="V733" s="42"/>
      <c r="W733" s="36"/>
      <c r="X733" s="39">
        <f>B733*0.06/100</f>
        <v>0.06</v>
      </c>
      <c r="Y733" s="42"/>
      <c r="Z733" s="42"/>
      <c r="AA733" s="39">
        <f>B733*3.4/100</f>
        <v>3.4</v>
      </c>
      <c r="AB733" s="39">
        <f>B733*28/100</f>
        <v>28</v>
      </c>
      <c r="AC733"/>
    </row>
    <row r="734" spans="1:29">
      <c r="A734" s="40" t="s">
        <v>308</v>
      </c>
      <c r="B734" s="41">
        <v>100</v>
      </c>
      <c r="C734" s="38">
        <f>B734+65/100</f>
        <v>100.65</v>
      </c>
      <c r="D734" s="39">
        <f>B734*0.5/100</f>
        <v>0.5</v>
      </c>
      <c r="E734" s="39">
        <f>B734*0.3/100</f>
        <v>0.3</v>
      </c>
      <c r="F734" s="39">
        <f>B734*0.07/100</f>
        <v>7.0000000000000007E-2</v>
      </c>
      <c r="G734" s="36"/>
      <c r="H734" s="36"/>
      <c r="I734" s="36"/>
      <c r="J734" s="39"/>
      <c r="K734" s="39">
        <v>0</v>
      </c>
      <c r="L734" s="39">
        <f>B734*17/100</f>
        <v>17</v>
      </c>
      <c r="M734" s="39">
        <f>B734*2.8/100</f>
        <v>2.8</v>
      </c>
      <c r="N734" s="39">
        <f>B734*10/100</f>
        <v>10</v>
      </c>
      <c r="O734" s="36"/>
      <c r="P734" s="36"/>
      <c r="Q734" s="36"/>
      <c r="R734" s="39">
        <f>B734*0.1/100</f>
        <v>0.1</v>
      </c>
      <c r="S734" s="39">
        <f>B734*2/100</f>
        <v>2</v>
      </c>
      <c r="T734" s="39">
        <f>B734*156/100</f>
        <v>156</v>
      </c>
      <c r="U734" s="42"/>
      <c r="V734" s="42"/>
      <c r="W734" s="36"/>
      <c r="X734" s="39">
        <f>B734*0.06/100</f>
        <v>0.06</v>
      </c>
      <c r="Y734" s="42"/>
      <c r="Z734" s="42"/>
      <c r="AA734" s="39">
        <f>B734*0.6/100</f>
        <v>0.6</v>
      </c>
      <c r="AB734" s="39">
        <f>B734*27.7/100</f>
        <v>27.7</v>
      </c>
      <c r="AC734"/>
    </row>
    <row r="735" spans="1:29">
      <c r="A735" s="40" t="s">
        <v>309</v>
      </c>
      <c r="B735" s="41">
        <v>100</v>
      </c>
      <c r="C735" s="38">
        <f>B735*251/100</f>
        <v>251</v>
      </c>
      <c r="D735" s="39">
        <f>B735*14.4/100</f>
        <v>14.4</v>
      </c>
      <c r="E735" s="39">
        <f>B735*4/100</f>
        <v>4</v>
      </c>
      <c r="F735" s="39">
        <v>0</v>
      </c>
      <c r="G735" s="36"/>
      <c r="H735" s="36"/>
      <c r="I735" s="36"/>
      <c r="J735" s="39"/>
      <c r="K735" s="39">
        <v>0</v>
      </c>
      <c r="L735" s="39">
        <f>B735*61/100</f>
        <v>61</v>
      </c>
      <c r="M735" s="39">
        <f>B735*17.7/100</f>
        <v>17.7</v>
      </c>
      <c r="N735" s="39">
        <f>B735*2113/100</f>
        <v>2113</v>
      </c>
      <c r="O735" s="36"/>
      <c r="P735" s="36"/>
      <c r="Q735" s="36"/>
      <c r="R735" s="39">
        <f>B735*42/100</f>
        <v>42</v>
      </c>
      <c r="S735" s="39">
        <f>B735*34.2/100</f>
        <v>34.200000000000003</v>
      </c>
      <c r="T735" s="39">
        <f>B735*3432/100</f>
        <v>3432</v>
      </c>
      <c r="U735" s="42"/>
      <c r="V735" s="42"/>
      <c r="W735" s="36"/>
      <c r="X735" s="39">
        <f>B735*0.15/100</f>
        <v>0.15</v>
      </c>
      <c r="Y735" s="42"/>
      <c r="Z735" s="42"/>
      <c r="AA735" s="39">
        <f>B735*6.9/100</f>
        <v>6.9</v>
      </c>
      <c r="AB735" s="39">
        <f>B735*61.2/100</f>
        <v>61.2</v>
      </c>
      <c r="AC735"/>
    </row>
    <row r="736" spans="1:29">
      <c r="A736" s="40" t="s">
        <v>310</v>
      </c>
      <c r="B736" s="41">
        <v>100</v>
      </c>
      <c r="C736" s="38">
        <f>B736*271/100</f>
        <v>271</v>
      </c>
      <c r="D736" s="39">
        <f>B736*12.7/100</f>
        <v>12.7</v>
      </c>
      <c r="E736" s="39">
        <f>B736*7/100</f>
        <v>7</v>
      </c>
      <c r="F736" s="39">
        <v>0</v>
      </c>
      <c r="G736" s="36"/>
      <c r="H736" s="36"/>
      <c r="I736" s="36"/>
      <c r="J736" s="39"/>
      <c r="K736" s="39">
        <v>0</v>
      </c>
      <c r="L736" s="39">
        <f>B736*60.6/100</f>
        <v>60.6</v>
      </c>
      <c r="M736" s="39">
        <f>B736*18.1/100</f>
        <v>18.100000000000001</v>
      </c>
      <c r="N736" s="39">
        <f>B736*1989/100</f>
        <v>1989</v>
      </c>
      <c r="O736" s="36"/>
      <c r="P736" s="36"/>
      <c r="Q736" s="36"/>
      <c r="R736" s="39">
        <f>B736*82.7/100</f>
        <v>82.7</v>
      </c>
      <c r="S736" s="39">
        <f>B736*77/100</f>
        <v>77</v>
      </c>
      <c r="T736" s="39">
        <f>B736*1522/100</f>
        <v>1522</v>
      </c>
      <c r="U736" s="42"/>
      <c r="V736" s="42"/>
      <c r="W736" s="36"/>
      <c r="X736" s="39">
        <f>B736*0.3/100</f>
        <v>0.3</v>
      </c>
      <c r="Y736" s="42"/>
      <c r="Z736" s="42"/>
      <c r="AA736" s="39">
        <f>B736*4.1/100</f>
        <v>4.0999999999999996</v>
      </c>
      <c r="AB736" s="39">
        <f>B736*51.4/100</f>
        <v>51.4</v>
      </c>
      <c r="AC736"/>
    </row>
    <row r="737" spans="1:29">
      <c r="A737" s="40" t="s">
        <v>311</v>
      </c>
      <c r="B737" s="41">
        <v>100</v>
      </c>
      <c r="C737" s="38">
        <f>B737*717/100</f>
        <v>717</v>
      </c>
      <c r="D737" s="39">
        <f>B737*0.8/100</f>
        <v>0.8</v>
      </c>
      <c r="E737" s="39">
        <f>B737*81/100</f>
        <v>81</v>
      </c>
      <c r="F737" s="39">
        <f>B737*50/100</f>
        <v>50</v>
      </c>
      <c r="G737" s="36"/>
      <c r="H737" s="36"/>
      <c r="I737" s="36"/>
      <c r="J737" s="39"/>
      <c r="K737" s="39">
        <f>B737*219/100</f>
        <v>219</v>
      </c>
      <c r="L737" s="39">
        <f>B737*0.06/100</f>
        <v>0.06</v>
      </c>
      <c r="M737" s="39">
        <v>0</v>
      </c>
      <c r="N737" s="39">
        <f>B737*23.5/100</f>
        <v>23.5</v>
      </c>
      <c r="O737" s="36"/>
      <c r="P737" s="36"/>
      <c r="Q737" s="36"/>
      <c r="R737" s="39">
        <f>B737*0.2/100</f>
        <v>0.2</v>
      </c>
      <c r="S737" s="39">
        <f>B737*11/100</f>
        <v>11</v>
      </c>
      <c r="T737" s="39">
        <f>B737*26/100</f>
        <v>26</v>
      </c>
      <c r="U737" s="42"/>
      <c r="V737" s="42"/>
      <c r="W737" s="36"/>
      <c r="X737" s="39">
        <f>B737*0.01/100</f>
        <v>0.01</v>
      </c>
      <c r="Y737" s="42"/>
      <c r="Z737" s="42"/>
      <c r="AA737" s="39">
        <f>B737*0.04/100</f>
        <v>0.04</v>
      </c>
      <c r="AB737" s="39">
        <v>0</v>
      </c>
      <c r="AC737"/>
    </row>
    <row r="738" spans="1:29">
      <c r="A738" s="40" t="s">
        <v>312</v>
      </c>
      <c r="B738" s="41">
        <v>100</v>
      </c>
      <c r="C738" s="38">
        <f>B738*97/100</f>
        <v>97</v>
      </c>
      <c r="D738" s="39">
        <f>B738*2.2/100</f>
        <v>2.2000000000000002</v>
      </c>
      <c r="E738" s="39">
        <f>B738*0.7/100</f>
        <v>0.7</v>
      </c>
      <c r="F738" s="39">
        <v>0</v>
      </c>
      <c r="G738" s="36"/>
      <c r="H738" s="36"/>
      <c r="I738" s="36"/>
      <c r="J738" s="39"/>
      <c r="K738" s="39">
        <v>0</v>
      </c>
      <c r="L738" s="39">
        <f>B738*23.4/100</f>
        <v>23.4</v>
      </c>
      <c r="M738" s="39">
        <f>B738*10.4/100</f>
        <v>10.4</v>
      </c>
      <c r="N738" s="39">
        <f>B738*12/100</f>
        <v>12</v>
      </c>
      <c r="O738" s="36"/>
      <c r="P738" s="36"/>
      <c r="Q738" s="36"/>
      <c r="R738" s="39">
        <f>B738*1.6/100</f>
        <v>1.6</v>
      </c>
      <c r="S738" s="39">
        <f>B738*28/100</f>
        <v>28</v>
      </c>
      <c r="T738" s="39">
        <f>B738*348/100</f>
        <v>348</v>
      </c>
      <c r="U738" s="42"/>
      <c r="V738" s="42"/>
      <c r="W738" s="36"/>
      <c r="X738" s="39">
        <v>0</v>
      </c>
      <c r="Y738" s="42"/>
      <c r="Z738" s="42"/>
      <c r="AA738" s="39">
        <f>B738*1.5/100</f>
        <v>1.5</v>
      </c>
      <c r="AB738" s="39">
        <f>B738*30/100</f>
        <v>30</v>
      </c>
      <c r="AC738"/>
    </row>
    <row r="739" spans="1:29">
      <c r="A739" s="40" t="s">
        <v>313</v>
      </c>
      <c r="B739" s="41">
        <v>100</v>
      </c>
      <c r="C739" s="38">
        <f>B739*740/100</f>
        <v>740</v>
      </c>
      <c r="D739" s="39">
        <f>B739*0.1/100</f>
        <v>0.1</v>
      </c>
      <c r="E739" s="39">
        <f>B739*82/100</f>
        <v>82</v>
      </c>
      <c r="F739" s="39">
        <v>0</v>
      </c>
      <c r="G739" s="36"/>
      <c r="H739" s="36"/>
      <c r="I739" s="36"/>
      <c r="J739" s="39"/>
      <c r="K739" s="39">
        <v>0</v>
      </c>
      <c r="L739" s="39">
        <f>B739*0.1/100</f>
        <v>0.1</v>
      </c>
      <c r="M739" s="39">
        <v>0</v>
      </c>
      <c r="N739" s="39">
        <v>0</v>
      </c>
      <c r="O739" s="36"/>
      <c r="P739" s="36"/>
      <c r="Q739" s="36"/>
      <c r="R739" s="39">
        <v>0</v>
      </c>
      <c r="S739" s="39">
        <f>B739*520/100</f>
        <v>520</v>
      </c>
      <c r="T739" s="39">
        <v>0</v>
      </c>
      <c r="U739" s="42"/>
      <c r="V739" s="42"/>
      <c r="W739" s="36"/>
      <c r="X739" s="39">
        <v>0</v>
      </c>
      <c r="Y739" s="42"/>
      <c r="Z739" s="42"/>
      <c r="AA739" s="39">
        <v>0</v>
      </c>
      <c r="AB739" s="39">
        <v>0</v>
      </c>
      <c r="AC739"/>
    </row>
    <row r="740" spans="1:29">
      <c r="A740" s="40" t="s">
        <v>314</v>
      </c>
      <c r="B740" s="41">
        <v>100</v>
      </c>
      <c r="C740" s="38">
        <f>B740*750/100</f>
        <v>750</v>
      </c>
      <c r="D740" s="39">
        <f>B740*0.1/100</f>
        <v>0.1</v>
      </c>
      <c r="E740" s="39">
        <f>B740*82/100</f>
        <v>82</v>
      </c>
      <c r="F740" s="39">
        <v>0</v>
      </c>
      <c r="G740" s="36"/>
      <c r="H740" s="36"/>
      <c r="I740" s="36"/>
      <c r="J740" s="39"/>
      <c r="K740" s="39">
        <v>0</v>
      </c>
      <c r="L740" s="39">
        <f>B740*0.1/100</f>
        <v>0.1</v>
      </c>
      <c r="M740" s="39">
        <v>0</v>
      </c>
      <c r="N740" s="39">
        <v>0</v>
      </c>
      <c r="O740" s="36"/>
      <c r="P740" s="36"/>
      <c r="Q740" s="36"/>
      <c r="R740" s="39">
        <v>0</v>
      </c>
      <c r="S740" s="39">
        <f>B740*120/100</f>
        <v>120</v>
      </c>
      <c r="T740" s="39">
        <v>0</v>
      </c>
      <c r="U740" s="42"/>
      <c r="V740" s="42"/>
      <c r="W740" s="36"/>
      <c r="X740" s="39">
        <v>0</v>
      </c>
      <c r="Y740" s="42"/>
      <c r="Z740" s="42"/>
      <c r="AA740" s="39">
        <v>0</v>
      </c>
      <c r="AB740" s="39">
        <v>0</v>
      </c>
      <c r="AC740"/>
    </row>
    <row r="741" spans="1:29">
      <c r="A741" s="40" t="s">
        <v>315</v>
      </c>
      <c r="B741" s="41">
        <v>100</v>
      </c>
      <c r="C741" s="38">
        <f>B741*342/100</f>
        <v>342</v>
      </c>
      <c r="D741" s="39">
        <v>0</v>
      </c>
      <c r="E741" s="39">
        <f>B741*30/100</f>
        <v>30</v>
      </c>
      <c r="F741" s="39">
        <v>0</v>
      </c>
      <c r="G741" s="36"/>
      <c r="H741" s="36"/>
      <c r="I741" s="36"/>
      <c r="J741" s="39"/>
      <c r="K741" s="39">
        <v>0</v>
      </c>
      <c r="L741" s="39">
        <v>0</v>
      </c>
      <c r="M741" s="39">
        <v>0</v>
      </c>
      <c r="N741" s="39">
        <v>0</v>
      </c>
      <c r="O741" s="36"/>
      <c r="P741" s="36"/>
      <c r="Q741" s="36"/>
      <c r="R741" s="39">
        <v>0</v>
      </c>
      <c r="S741" s="39">
        <v>0</v>
      </c>
      <c r="T741" s="39">
        <v>0</v>
      </c>
      <c r="U741" s="42"/>
      <c r="V741" s="42"/>
      <c r="W741" s="36"/>
      <c r="X741" s="39">
        <v>0</v>
      </c>
      <c r="Y741" s="42"/>
      <c r="Z741" s="42"/>
      <c r="AA741" s="39">
        <v>0</v>
      </c>
      <c r="AB741" s="39">
        <v>0</v>
      </c>
      <c r="AC741"/>
    </row>
    <row r="742" spans="1:29">
      <c r="A742" s="40" t="s">
        <v>316</v>
      </c>
      <c r="B742" s="41">
        <v>100</v>
      </c>
      <c r="C742" s="38">
        <f>B742*358/100</f>
        <v>358</v>
      </c>
      <c r="D742" s="39">
        <f>B742*12.5/100</f>
        <v>12.5</v>
      </c>
      <c r="E742" s="39">
        <f>B742*1.5/100</f>
        <v>1.5</v>
      </c>
      <c r="F742" s="39">
        <v>0</v>
      </c>
      <c r="G742" s="36"/>
      <c r="H742" s="36"/>
      <c r="I742" s="36"/>
      <c r="J742" s="39"/>
      <c r="K742" s="39">
        <v>0</v>
      </c>
      <c r="L742" s="39">
        <f>B742*74/100</f>
        <v>74</v>
      </c>
      <c r="M742" s="39">
        <v>0</v>
      </c>
      <c r="N742" s="39">
        <v>0</v>
      </c>
      <c r="O742" s="36"/>
      <c r="P742" s="36"/>
      <c r="Q742" s="36"/>
      <c r="R742" s="39">
        <v>0</v>
      </c>
      <c r="S742" s="39">
        <v>0</v>
      </c>
      <c r="T742" s="39">
        <v>0</v>
      </c>
      <c r="U742" s="42"/>
      <c r="V742" s="42"/>
      <c r="W742" s="36"/>
      <c r="X742" s="39">
        <v>0</v>
      </c>
      <c r="Y742" s="42"/>
      <c r="Z742" s="42"/>
      <c r="AA742" s="39">
        <v>0</v>
      </c>
      <c r="AB742" s="39">
        <v>0</v>
      </c>
      <c r="AC742"/>
    </row>
    <row r="743" spans="1:29">
      <c r="A743" s="40" t="s">
        <v>317</v>
      </c>
      <c r="B743" s="41">
        <v>100</v>
      </c>
      <c r="C743" s="38">
        <f>B743*340/100</f>
        <v>340</v>
      </c>
      <c r="D743" s="39">
        <f>B743*0.3/100</f>
        <v>0.3</v>
      </c>
      <c r="E743" s="39">
        <v>0</v>
      </c>
      <c r="F743" s="39">
        <v>0</v>
      </c>
      <c r="G743" s="36"/>
      <c r="H743" s="36"/>
      <c r="I743" s="36"/>
      <c r="J743" s="39"/>
      <c r="K743" s="39">
        <v>0</v>
      </c>
      <c r="L743" s="39">
        <f>B743*82.4/100</f>
        <v>82.4</v>
      </c>
      <c r="M743" s="39">
        <f>B743*0.2/100</f>
        <v>0.2</v>
      </c>
      <c r="N743" s="39">
        <f>B743*6/100</f>
        <v>6</v>
      </c>
      <c r="O743" s="36"/>
      <c r="P743" s="36"/>
      <c r="Q743" s="36"/>
      <c r="R743" s="39">
        <f>B743*0.4/100</f>
        <v>0.4</v>
      </c>
      <c r="S743" s="39">
        <f>B743*4/100</f>
        <v>4</v>
      </c>
      <c r="T743" s="39">
        <f>B743*52/100</f>
        <v>52</v>
      </c>
      <c r="U743" s="42"/>
      <c r="V743" s="42"/>
      <c r="W743" s="36"/>
      <c r="X743" s="39">
        <v>0</v>
      </c>
      <c r="Y743" s="42"/>
      <c r="Z743" s="42"/>
      <c r="AA743" s="39">
        <f>B743*0.12/100</f>
        <v>0.12</v>
      </c>
      <c r="AB743" s="39">
        <f>B743*2.3/100</f>
        <v>2.2999999999999998</v>
      </c>
      <c r="AC743"/>
    </row>
    <row r="744" spans="1:29">
      <c r="A744" s="40" t="s">
        <v>318</v>
      </c>
      <c r="B744" s="41">
        <v>100</v>
      </c>
      <c r="C744" s="38">
        <f>B744*32/100</f>
        <v>32</v>
      </c>
      <c r="D744" s="39">
        <f>B744*0.6/100</f>
        <v>0.6</v>
      </c>
      <c r="E744" s="39">
        <f>B744*0.4/100</f>
        <v>0.4</v>
      </c>
      <c r="F744" s="39">
        <f>B744*0.1/100</f>
        <v>0.1</v>
      </c>
      <c r="G744" s="36"/>
      <c r="H744" s="36"/>
      <c r="I744" s="36"/>
      <c r="J744" s="39"/>
      <c r="K744" s="39">
        <v>0</v>
      </c>
      <c r="L744" s="39">
        <f>B744*7.2/100</f>
        <v>7.2</v>
      </c>
      <c r="M744" s="39">
        <f>B744*0.2/100</f>
        <v>0.2</v>
      </c>
      <c r="N744" s="39">
        <f>B744*8/100</f>
        <v>8</v>
      </c>
      <c r="O744" s="36"/>
      <c r="P744" s="36"/>
      <c r="Q744" s="36"/>
      <c r="R744" s="39">
        <f>B744*0.2/100</f>
        <v>0.2</v>
      </c>
      <c r="S744" s="39">
        <f>B744*2/100</f>
        <v>2</v>
      </c>
      <c r="T744" s="39">
        <f>B744*116/100</f>
        <v>116</v>
      </c>
      <c r="U744" s="42"/>
      <c r="V744" s="42"/>
      <c r="W744" s="36"/>
      <c r="X744" s="39">
        <f>B744*0.08/100</f>
        <v>0.08</v>
      </c>
      <c r="Y744" s="42"/>
      <c r="Z744" s="42"/>
      <c r="AA744" s="39">
        <f>B744*0.2/100</f>
        <v>0.2</v>
      </c>
      <c r="AB744" s="39">
        <f>B744*9.6/100</f>
        <v>9.6</v>
      </c>
      <c r="AC744"/>
    </row>
    <row r="745" spans="1:29">
      <c r="A745" s="40" t="s">
        <v>319</v>
      </c>
      <c r="B745" s="41">
        <v>100</v>
      </c>
      <c r="C745" s="38">
        <f>B745*25/100</f>
        <v>25</v>
      </c>
      <c r="D745" s="39">
        <f>B745*0.5/100</f>
        <v>0.5</v>
      </c>
      <c r="E745" s="39">
        <f>B745*0.1/100</f>
        <v>0.1</v>
      </c>
      <c r="F745" s="39">
        <v>0</v>
      </c>
      <c r="G745" s="36"/>
      <c r="H745" s="36"/>
      <c r="I745" s="36"/>
      <c r="J745" s="39"/>
      <c r="K745" s="39">
        <v>0</v>
      </c>
      <c r="L745" s="39">
        <f>B745*6.2/100</f>
        <v>6.2</v>
      </c>
      <c r="M745" s="39">
        <f>B745*0.5/100</f>
        <v>0.5</v>
      </c>
      <c r="N745" s="39">
        <f>B745*15/100</f>
        <v>15</v>
      </c>
      <c r="O745" s="36"/>
      <c r="P745" s="36"/>
      <c r="Q745" s="36"/>
      <c r="R745" s="39">
        <f>B745*1.2/100</f>
        <v>1.2</v>
      </c>
      <c r="S745" s="39">
        <v>0</v>
      </c>
      <c r="T745" s="39">
        <v>0</v>
      </c>
      <c r="U745" s="42"/>
      <c r="V745" s="42"/>
      <c r="W745" s="36"/>
      <c r="X745" s="39">
        <f>B745*0.04/100</f>
        <v>0.04</v>
      </c>
      <c r="Y745" s="42"/>
      <c r="Z745" s="42"/>
      <c r="AA745" s="39">
        <f>B745*0.6/100</f>
        <v>0.6</v>
      </c>
      <c r="AB745" s="39">
        <f>B745*29/100</f>
        <v>29</v>
      </c>
      <c r="AC745"/>
    </row>
    <row r="746" spans="1:29">
      <c r="A746" s="40" t="s">
        <v>320</v>
      </c>
      <c r="B746" s="41">
        <v>100</v>
      </c>
      <c r="C746" s="38">
        <f>B746*87/100</f>
        <v>87</v>
      </c>
      <c r="D746" s="39">
        <f>B746*18.9/100</f>
        <v>18.899999999999999</v>
      </c>
      <c r="E746" s="39">
        <f>B746*0.7/100</f>
        <v>0.7</v>
      </c>
      <c r="F746" s="39">
        <f>B746*0.13/100</f>
        <v>0.13</v>
      </c>
      <c r="G746" s="36"/>
      <c r="H746" s="36"/>
      <c r="I746" s="36"/>
      <c r="J746" s="39"/>
      <c r="K746" s="39">
        <f>B746*57/100</f>
        <v>57</v>
      </c>
      <c r="L746" s="39">
        <v>0</v>
      </c>
      <c r="M746" s="39">
        <v>0</v>
      </c>
      <c r="N746" s="39">
        <f>B746*33/100</f>
        <v>33</v>
      </c>
      <c r="O746" s="36"/>
      <c r="P746" s="36"/>
      <c r="Q746" s="36"/>
      <c r="R746" s="39">
        <f>B746*1.06/100</f>
        <v>1.06</v>
      </c>
      <c r="S746" s="39">
        <f>B746*68/100</f>
        <v>68</v>
      </c>
      <c r="T746" s="39">
        <f>B746*311/100</f>
        <v>311</v>
      </c>
      <c r="U746" s="42"/>
      <c r="V746" s="42"/>
      <c r="W746" s="36"/>
      <c r="X746" s="39">
        <f>B746*0.04/100</f>
        <v>0.04</v>
      </c>
      <c r="Y746" s="42"/>
      <c r="Z746" s="42"/>
      <c r="AA746" s="39">
        <f>B746*3.8/100</f>
        <v>3.8</v>
      </c>
      <c r="AB746" s="39">
        <v>0</v>
      </c>
      <c r="AC746"/>
    </row>
    <row r="747" spans="1:29">
      <c r="A747" s="40" t="s">
        <v>321</v>
      </c>
      <c r="B747" s="41">
        <v>100</v>
      </c>
      <c r="C747" s="38">
        <f>B747*109/100</f>
        <v>109</v>
      </c>
      <c r="D747" s="39">
        <f>B747*23.6/100</f>
        <v>23.6</v>
      </c>
      <c r="E747" s="39">
        <f>B747*0.9/100</f>
        <v>0.9</v>
      </c>
      <c r="F747" s="39">
        <f>B747*0.16/100</f>
        <v>0.16</v>
      </c>
      <c r="G747" s="36"/>
      <c r="H747" s="36"/>
      <c r="I747" s="36"/>
      <c r="J747" s="39"/>
      <c r="K747" s="39">
        <f>B747*71.25/100</f>
        <v>71.25</v>
      </c>
      <c r="L747" s="39">
        <v>0</v>
      </c>
      <c r="M747" s="39">
        <v>0</v>
      </c>
      <c r="N747" s="39">
        <f>B747*41.25/100</f>
        <v>41.25</v>
      </c>
      <c r="O747" s="36"/>
      <c r="P747" s="36"/>
      <c r="Q747" s="36"/>
      <c r="R747" s="39">
        <f>B747*1.3/100</f>
        <v>1.3</v>
      </c>
      <c r="S747" s="39">
        <f>B747*76.5/100</f>
        <v>76.5</v>
      </c>
      <c r="T747" s="39">
        <f>B747*330.4/100</f>
        <v>330.4</v>
      </c>
      <c r="U747" s="42"/>
      <c r="V747" s="42"/>
      <c r="W747" s="36"/>
      <c r="X747" s="39">
        <f>B747*0.04/100</f>
        <v>0.04</v>
      </c>
      <c r="Y747" s="42"/>
      <c r="Z747" s="42"/>
      <c r="AA747" s="39">
        <f>B747*4.04/100</f>
        <v>4.04</v>
      </c>
      <c r="AB747" s="39">
        <v>0</v>
      </c>
      <c r="AC747"/>
    </row>
    <row r="748" spans="1:29">
      <c r="A748" s="40" t="s">
        <v>322</v>
      </c>
      <c r="B748" s="41">
        <v>100</v>
      </c>
      <c r="C748" s="38">
        <f>B748*44/100</f>
        <v>44</v>
      </c>
      <c r="D748" s="39">
        <f>B748*0.6/100</f>
        <v>0.6</v>
      </c>
      <c r="E748" s="39">
        <f>B748*0.2/100</f>
        <v>0.2</v>
      </c>
      <c r="F748" s="39">
        <f>B748*0.02/100</f>
        <v>0.02</v>
      </c>
      <c r="G748" s="36"/>
      <c r="H748" s="36"/>
      <c r="I748" s="36"/>
      <c r="J748" s="39"/>
      <c r="K748" s="39">
        <v>0</v>
      </c>
      <c r="L748" s="39">
        <f>B748*11.2/100</f>
        <v>11.2</v>
      </c>
      <c r="M748" s="39">
        <f>B748*1.5/100</f>
        <v>1.5</v>
      </c>
      <c r="N748" s="39">
        <f>B748*14/100</f>
        <v>14</v>
      </c>
      <c r="O748" s="36"/>
      <c r="P748" s="36"/>
      <c r="Q748" s="36"/>
      <c r="R748" s="39">
        <f>B748*0.1/100</f>
        <v>0.1</v>
      </c>
      <c r="S748" s="39">
        <f>B748*1/100</f>
        <v>1</v>
      </c>
      <c r="T748" s="39">
        <f>B748*157/100</f>
        <v>157</v>
      </c>
      <c r="U748" s="42"/>
      <c r="V748" s="42"/>
      <c r="W748" s="36"/>
      <c r="X748" s="39">
        <f>B748*0.1/100</f>
        <v>0.1</v>
      </c>
      <c r="Y748" s="42"/>
      <c r="Z748" s="42"/>
      <c r="AA748" s="39">
        <f>B748*0.2/100</f>
        <v>0.2</v>
      </c>
      <c r="AB748" s="39">
        <f>B748*30.8/100</f>
        <v>30.8</v>
      </c>
      <c r="AC748"/>
    </row>
    <row r="749" spans="1:29">
      <c r="A749" s="40" t="s">
        <v>323</v>
      </c>
      <c r="B749" s="41">
        <v>100</v>
      </c>
      <c r="C749" s="38">
        <f>B749*371/100</f>
        <v>371</v>
      </c>
      <c r="D749" s="39">
        <f>B749*8.8/100</f>
        <v>8.8000000000000007</v>
      </c>
      <c r="E749" s="39">
        <f>B749*1.2/100</f>
        <v>1.2</v>
      </c>
      <c r="F749" s="39">
        <f>B749*0.2/100</f>
        <v>0.2</v>
      </c>
      <c r="G749" s="36"/>
      <c r="H749" s="36"/>
      <c r="I749" s="36"/>
      <c r="J749" s="39"/>
      <c r="K749" s="39">
        <v>0</v>
      </c>
      <c r="L749" s="39">
        <f>B749*79.6/100</f>
        <v>79.599999999999994</v>
      </c>
      <c r="M749" s="39">
        <f>B749*11.5/100</f>
        <v>11.5</v>
      </c>
      <c r="N749" s="39">
        <f>B749*2/100</f>
        <v>2</v>
      </c>
      <c r="O749" s="36"/>
      <c r="P749" s="36"/>
      <c r="Q749" s="36"/>
      <c r="R749" s="39">
        <f>B749*3.9/100</f>
        <v>3.9</v>
      </c>
      <c r="S749" s="39">
        <f>B749*1/100</f>
        <v>1</v>
      </c>
      <c r="T749" s="39">
        <f>B749*137/100</f>
        <v>137</v>
      </c>
      <c r="U749" s="42"/>
      <c r="V749" s="42"/>
      <c r="W749" s="36"/>
      <c r="X749" s="39">
        <f>B749*0.6/100</f>
        <v>0.6</v>
      </c>
      <c r="Y749" s="42"/>
      <c r="Z749" s="42"/>
      <c r="AA749" s="39">
        <f>B749*5/100</f>
        <v>5</v>
      </c>
      <c r="AB749" s="39">
        <v>0</v>
      </c>
      <c r="AC749"/>
    </row>
    <row r="750" spans="1:29">
      <c r="A750" s="40" t="s">
        <v>324</v>
      </c>
      <c r="B750" s="41">
        <v>100</v>
      </c>
      <c r="C750" s="38">
        <f>B750*444/100</f>
        <v>444</v>
      </c>
      <c r="D750" s="39">
        <f>B750*9.9/100</f>
        <v>9.9</v>
      </c>
      <c r="E750" s="39">
        <f>B750*14.5/100</f>
        <v>14.5</v>
      </c>
      <c r="F750" s="39">
        <v>0</v>
      </c>
      <c r="G750" s="36"/>
      <c r="H750" s="36"/>
      <c r="I750" s="36"/>
      <c r="J750" s="39"/>
      <c r="K750" s="39">
        <v>0</v>
      </c>
      <c r="L750" s="39">
        <f>B750*69.4/100</f>
        <v>69.400000000000006</v>
      </c>
      <c r="M750" s="39">
        <v>0</v>
      </c>
      <c r="N750" s="39">
        <f>B750*5/100</f>
        <v>5</v>
      </c>
      <c r="O750" s="36"/>
      <c r="P750" s="36"/>
      <c r="Q750" s="36"/>
      <c r="R750" s="39">
        <f>B750*2.8/100</f>
        <v>2.8</v>
      </c>
      <c r="S750" s="39">
        <v>0</v>
      </c>
      <c r="T750" s="39">
        <v>0</v>
      </c>
      <c r="U750" s="42"/>
      <c r="V750" s="42"/>
      <c r="W750" s="36"/>
      <c r="X750" s="39">
        <f>B750*0.1/100</f>
        <v>0.1</v>
      </c>
      <c r="Y750" s="42"/>
      <c r="Z750" s="42"/>
      <c r="AA750" s="39">
        <v>0</v>
      </c>
      <c r="AB750" s="39">
        <v>0</v>
      </c>
      <c r="AC750"/>
    </row>
    <row r="751" spans="1:29">
      <c r="A751" s="40" t="s">
        <v>325</v>
      </c>
      <c r="B751" s="41">
        <v>100</v>
      </c>
      <c r="C751" s="38">
        <f>B751*109/100</f>
        <v>109</v>
      </c>
      <c r="D751" s="39">
        <f>B751*3.5/100</f>
        <v>3.5</v>
      </c>
      <c r="E751" s="39">
        <f>B751*2.5/100</f>
        <v>2.5</v>
      </c>
      <c r="F751" s="39">
        <v>0</v>
      </c>
      <c r="G751" s="36"/>
      <c r="H751" s="36"/>
      <c r="I751" s="36"/>
      <c r="J751" s="39"/>
      <c r="K751" s="39">
        <v>0</v>
      </c>
      <c r="L751" s="39">
        <f>B751*18/100</f>
        <v>18</v>
      </c>
      <c r="M751" s="39">
        <v>0</v>
      </c>
      <c r="N751" s="39">
        <v>0</v>
      </c>
      <c r="O751" s="36"/>
      <c r="P751" s="36"/>
      <c r="Q751" s="36"/>
      <c r="R751" s="39">
        <v>0</v>
      </c>
      <c r="S751" s="39">
        <f>B751*0.4/100</f>
        <v>0.4</v>
      </c>
      <c r="T751" s="39">
        <v>0</v>
      </c>
      <c r="U751" s="42"/>
      <c r="V751" s="42"/>
      <c r="W751" s="36"/>
      <c r="X751" s="39">
        <v>0</v>
      </c>
      <c r="Y751" s="42"/>
      <c r="Z751" s="42"/>
      <c r="AA751" s="39">
        <v>0</v>
      </c>
      <c r="AB751" s="39">
        <v>0</v>
      </c>
      <c r="AC751"/>
    </row>
    <row r="752" spans="1:29">
      <c r="A752" s="40" t="s">
        <v>326</v>
      </c>
      <c r="B752" s="41">
        <v>100</v>
      </c>
      <c r="C752" s="38">
        <f>B752*129/100</f>
        <v>129</v>
      </c>
      <c r="D752" s="39">
        <f>B752*3.3/100</f>
        <v>3.3</v>
      </c>
      <c r="E752" s="39">
        <f>B752*0.8/100</f>
        <v>0.8</v>
      </c>
      <c r="F752" s="39">
        <v>0</v>
      </c>
      <c r="G752" s="36"/>
      <c r="H752" s="36"/>
      <c r="I752" s="36"/>
      <c r="J752" s="39"/>
      <c r="K752" s="39">
        <v>0</v>
      </c>
      <c r="L752" s="39">
        <f>B752*27.8/100</f>
        <v>27.8</v>
      </c>
      <c r="M752" s="39">
        <f>B752*1.5/100</f>
        <v>1.5</v>
      </c>
      <c r="N752" s="39">
        <f>B752*8/100</f>
        <v>8</v>
      </c>
      <c r="O752" s="36"/>
      <c r="P752" s="36"/>
      <c r="Q752" s="36"/>
      <c r="R752" s="39">
        <f>B752*0.8/100</f>
        <v>0.8</v>
      </c>
      <c r="S752" s="39">
        <v>0</v>
      </c>
      <c r="T752" s="39">
        <v>0</v>
      </c>
      <c r="U752" s="42"/>
      <c r="V752" s="42"/>
      <c r="W752" s="36"/>
      <c r="X752" s="39">
        <f>B752*0.1/100</f>
        <v>0.1</v>
      </c>
      <c r="Y752" s="42"/>
      <c r="Z752" s="42"/>
      <c r="AA752" s="39">
        <f>B752*1.4/100</f>
        <v>1.4</v>
      </c>
      <c r="AB752" s="39">
        <f>B752*48/100</f>
        <v>48</v>
      </c>
      <c r="AC752"/>
    </row>
    <row r="753" spans="1:29">
      <c r="A753" s="40" t="s">
        <v>327</v>
      </c>
      <c r="B753" s="41">
        <v>100</v>
      </c>
      <c r="C753" s="38">
        <f>B753*95/100</f>
        <v>95</v>
      </c>
      <c r="D753" s="39">
        <f>B753*3.8/100</f>
        <v>3.8</v>
      </c>
      <c r="E753" s="39">
        <f>B753*3.3/100</f>
        <v>3.3</v>
      </c>
      <c r="F753" s="39">
        <f>B753*2/100</f>
        <v>2</v>
      </c>
      <c r="G753" s="36"/>
      <c r="H753" s="36"/>
      <c r="I753" s="36"/>
      <c r="J753" s="39"/>
      <c r="K753" s="39">
        <f>B753*12.1/100</f>
        <v>12.1</v>
      </c>
      <c r="L753" s="39">
        <f>B753*12.8/100</f>
        <v>12.8</v>
      </c>
      <c r="M753" s="39">
        <f>B753*0.5/100</f>
        <v>0.5</v>
      </c>
      <c r="N753" s="39">
        <f>B753*109.2/100</f>
        <v>109.2</v>
      </c>
      <c r="O753" s="36"/>
      <c r="P753" s="36"/>
      <c r="Q753" s="36"/>
      <c r="R753" s="39">
        <f>B753*0.3/100</f>
        <v>0.3</v>
      </c>
      <c r="S753" s="39">
        <f>B753*44/100</f>
        <v>44</v>
      </c>
      <c r="T753" s="39">
        <f>B753*155/100</f>
        <v>155</v>
      </c>
      <c r="U753" s="42"/>
      <c r="V753" s="42"/>
      <c r="W753" s="36"/>
      <c r="X753" s="39">
        <f>B753*0.07/100</f>
        <v>7.0000000000000007E-2</v>
      </c>
      <c r="Y753" s="42"/>
      <c r="Z753" s="42"/>
      <c r="AA753" s="39">
        <f>B753*0.1/100</f>
        <v>0.1</v>
      </c>
      <c r="AB753" s="39">
        <f>B753*0.8/100</f>
        <v>0.8</v>
      </c>
      <c r="AC753"/>
    </row>
    <row r="754" spans="1:29">
      <c r="A754" s="40" t="s">
        <v>328</v>
      </c>
      <c r="B754" s="41">
        <v>100</v>
      </c>
      <c r="C754" s="38">
        <f>B754*289/100</f>
        <v>289</v>
      </c>
      <c r="D754" s="39">
        <f>B754*13/100</f>
        <v>13</v>
      </c>
      <c r="E754" s="39">
        <f>B754*17.3/100</f>
        <v>17.3</v>
      </c>
      <c r="F754" s="39">
        <f>B754*6.1/100</f>
        <v>6.1</v>
      </c>
      <c r="G754" s="36"/>
      <c r="H754" s="36"/>
      <c r="I754" s="36"/>
      <c r="J754" s="39"/>
      <c r="K754" s="39">
        <f>B754*36/100</f>
        <v>36</v>
      </c>
      <c r="L754" s="39">
        <f>B754*21.2/100</f>
        <v>21.2</v>
      </c>
      <c r="M754" s="39">
        <f>B754*0.8/100</f>
        <v>0.8</v>
      </c>
      <c r="N754" s="39">
        <f>B754*163.3/100</f>
        <v>163.30000000000001</v>
      </c>
      <c r="O754" s="36"/>
      <c r="P754" s="36"/>
      <c r="Q754" s="36"/>
      <c r="R754" s="39">
        <f>B754*1.4/100</f>
        <v>1.4</v>
      </c>
      <c r="S754" s="39">
        <f>B754*648.4/100</f>
        <v>648.4</v>
      </c>
      <c r="T754" s="39">
        <f>B754*150.8/100</f>
        <v>150.80000000000001</v>
      </c>
      <c r="U754" s="42"/>
      <c r="V754" s="42"/>
      <c r="W754" s="36"/>
      <c r="X754" s="39">
        <f>B754*0.4/100</f>
        <v>0.4</v>
      </c>
      <c r="Y754" s="42"/>
      <c r="Z754" s="42"/>
      <c r="AA754" s="39">
        <f>B754*2.7/100</f>
        <v>2.7</v>
      </c>
      <c r="AB754" s="39">
        <f>B754*7.6/100</f>
        <v>7.6</v>
      </c>
      <c r="AC754"/>
    </row>
    <row r="755" spans="1:29">
      <c r="A755" s="40" t="s">
        <v>329</v>
      </c>
      <c r="B755" s="41">
        <v>100</v>
      </c>
      <c r="C755" s="38">
        <f>B755*39/100</f>
        <v>39</v>
      </c>
      <c r="D755" s="39">
        <f>B755*0.9/100</f>
        <v>0.9</v>
      </c>
      <c r="E755" s="39">
        <f>B755*2.1/100</f>
        <v>2.1</v>
      </c>
      <c r="F755" s="39">
        <f>B755*0.3/100</f>
        <v>0.3</v>
      </c>
      <c r="G755" s="36"/>
      <c r="H755" s="36"/>
      <c r="I755" s="36"/>
      <c r="J755" s="39"/>
      <c r="K755" s="39">
        <v>0</v>
      </c>
      <c r="L755" s="39">
        <f>B755*5.3/100</f>
        <v>5.3</v>
      </c>
      <c r="M755" s="39">
        <f>B755*1.2/100</f>
        <v>1.2</v>
      </c>
      <c r="N755" s="39">
        <f>B755*9.8/100</f>
        <v>9.8000000000000007</v>
      </c>
      <c r="O755" s="36"/>
      <c r="P755" s="36"/>
      <c r="Q755" s="36"/>
      <c r="R755" s="39">
        <f>B755*0.5/100</f>
        <v>0.5</v>
      </c>
      <c r="S755" s="39">
        <f>B755*325.6/100</f>
        <v>325.60000000000002</v>
      </c>
      <c r="T755" s="39">
        <f>B755*214.4/100</f>
        <v>214.4</v>
      </c>
      <c r="U755" s="42"/>
      <c r="V755" s="42"/>
      <c r="W755" s="36"/>
      <c r="X755" s="39">
        <f>B755*0.05/100</f>
        <v>0.05</v>
      </c>
      <c r="Y755" s="42"/>
      <c r="Z755" s="42"/>
      <c r="AA755" s="39">
        <f>B755*0.6/100</f>
        <v>0.6</v>
      </c>
      <c r="AB755" s="39">
        <f>B755*17.1/100</f>
        <v>17.100000000000001</v>
      </c>
      <c r="AC755"/>
    </row>
    <row r="756" spans="1:29">
      <c r="A756" s="40" t="s">
        <v>330</v>
      </c>
      <c r="B756" s="41">
        <v>100</v>
      </c>
      <c r="C756" s="38">
        <f>B756*70/100</f>
        <v>70</v>
      </c>
      <c r="D756" s="39">
        <f>B756*1.4/100</f>
        <v>1.4</v>
      </c>
      <c r="E756" s="39">
        <f>B756*2.7/100</f>
        <v>2.7</v>
      </c>
      <c r="F756" s="39">
        <v>0</v>
      </c>
      <c r="G756" s="36"/>
      <c r="H756" s="36"/>
      <c r="I756" s="36"/>
      <c r="J756" s="39"/>
      <c r="K756" s="39">
        <v>0</v>
      </c>
      <c r="L756" s="39">
        <f>B756*10/100</f>
        <v>10</v>
      </c>
      <c r="M756" s="39">
        <v>0</v>
      </c>
      <c r="N756" s="39">
        <v>0</v>
      </c>
      <c r="O756" s="36"/>
      <c r="P756" s="36"/>
      <c r="Q756" s="36"/>
      <c r="R756" s="39">
        <v>0</v>
      </c>
      <c r="S756" s="39">
        <f>B756*760/100</f>
        <v>760</v>
      </c>
      <c r="T756" s="39">
        <v>0</v>
      </c>
      <c r="U756" s="42"/>
      <c r="V756" s="42"/>
      <c r="W756" s="36"/>
      <c r="X756" s="39">
        <v>0</v>
      </c>
      <c r="Y756" s="42"/>
      <c r="Z756" s="42"/>
      <c r="AA756" s="39">
        <v>0</v>
      </c>
      <c r="AB756" s="39">
        <v>0</v>
      </c>
      <c r="AC756"/>
    </row>
    <row r="757" spans="1:29">
      <c r="A757" s="40" t="s">
        <v>331</v>
      </c>
      <c r="B757" s="41">
        <v>100</v>
      </c>
      <c r="C757" s="38">
        <f>B757*38/100</f>
        <v>38</v>
      </c>
      <c r="D757" s="39">
        <f>B757*1.3/100</f>
        <v>1.3</v>
      </c>
      <c r="E757" s="39">
        <f>B757*0.2/100</f>
        <v>0.2</v>
      </c>
      <c r="F757" s="39">
        <f>B757*0.06/100</f>
        <v>0.06</v>
      </c>
      <c r="G757" s="36"/>
      <c r="H757" s="36"/>
      <c r="I757" s="36"/>
      <c r="J757" s="39"/>
      <c r="K757" s="39">
        <v>0</v>
      </c>
      <c r="L757" s="39">
        <f>B757*9.6/100</f>
        <v>9.6</v>
      </c>
      <c r="M757" s="39">
        <f>B757*2.5/100</f>
        <v>2.5</v>
      </c>
      <c r="N757" s="39">
        <f>B757*61/100</f>
        <v>61</v>
      </c>
      <c r="O757" s="36"/>
      <c r="P757" s="36"/>
      <c r="Q757" s="36"/>
      <c r="R757" s="39">
        <f>B757*0.09/100</f>
        <v>0.09</v>
      </c>
      <c r="S757" s="39">
        <f>B757*96/100</f>
        <v>96</v>
      </c>
      <c r="T757" s="39">
        <f>B757*290/100</f>
        <v>290</v>
      </c>
      <c r="U757" s="42"/>
      <c r="V757" s="42"/>
      <c r="W757" s="36"/>
      <c r="X757" s="39">
        <v>0</v>
      </c>
      <c r="Y757" s="42"/>
      <c r="Z757" s="42"/>
      <c r="AA757" s="39">
        <v>0</v>
      </c>
      <c r="AB757" s="39">
        <v>0</v>
      </c>
      <c r="AC757"/>
    </row>
    <row r="758" spans="1:29">
      <c r="A758" s="40" t="s">
        <v>332</v>
      </c>
      <c r="B758" s="41">
        <v>100</v>
      </c>
      <c r="C758" s="38">
        <f>B758*53/100</f>
        <v>53</v>
      </c>
      <c r="D758" s="39">
        <f>B758*6.7/100</f>
        <v>6.7</v>
      </c>
      <c r="E758" s="39">
        <v>0</v>
      </c>
      <c r="F758" s="39">
        <v>0</v>
      </c>
      <c r="G758" s="36"/>
      <c r="H758" s="36"/>
      <c r="I758" s="36"/>
      <c r="J758" s="39"/>
      <c r="K758" s="39">
        <v>0</v>
      </c>
      <c r="L758" s="39">
        <v>0</v>
      </c>
      <c r="M758" s="39">
        <v>0</v>
      </c>
      <c r="N758" s="39">
        <f>B758*51.7/100</f>
        <v>51.7</v>
      </c>
      <c r="O758" s="36"/>
      <c r="P758" s="36"/>
      <c r="Q758" s="36"/>
      <c r="R758" s="39">
        <f>B758*5/100</f>
        <v>5</v>
      </c>
      <c r="S758" s="39">
        <f>B758*6.7/100</f>
        <v>6.7</v>
      </c>
      <c r="T758" s="39">
        <f>B758*411.7/100</f>
        <v>411.7</v>
      </c>
      <c r="U758" s="42"/>
      <c r="V758" s="42"/>
      <c r="W758" s="36"/>
      <c r="X758" s="39">
        <v>0</v>
      </c>
      <c r="Y758" s="42"/>
      <c r="Z758" s="42"/>
      <c r="AA758" s="39">
        <v>0</v>
      </c>
      <c r="AB758" s="39">
        <v>0</v>
      </c>
      <c r="AC758"/>
    </row>
    <row r="759" spans="1:29">
      <c r="A759" s="40" t="s">
        <v>333</v>
      </c>
      <c r="B759" s="41">
        <v>100</v>
      </c>
      <c r="C759" s="38">
        <f>B759*50/100</f>
        <v>50</v>
      </c>
      <c r="D759" s="39">
        <v>0</v>
      </c>
      <c r="E759" s="39">
        <v>0</v>
      </c>
      <c r="F759" s="39">
        <v>0</v>
      </c>
      <c r="G759" s="36"/>
      <c r="H759" s="36"/>
      <c r="I759" s="36"/>
      <c r="J759" s="39"/>
      <c r="K759" s="39">
        <v>0</v>
      </c>
      <c r="L759" s="39">
        <f>B759*11/100</f>
        <v>11</v>
      </c>
      <c r="M759" s="39">
        <v>0</v>
      </c>
      <c r="N759" s="39">
        <f>B759*240/100</f>
        <v>240</v>
      </c>
      <c r="O759" s="36"/>
      <c r="P759" s="36"/>
      <c r="Q759" s="36"/>
      <c r="R759" s="39">
        <f>B759*1.25/100</f>
        <v>1.25</v>
      </c>
      <c r="S759" s="39">
        <f>B759*570/100</f>
        <v>570</v>
      </c>
      <c r="T759" s="39">
        <v>0</v>
      </c>
      <c r="U759" s="42"/>
      <c r="V759" s="42"/>
      <c r="W759" s="36"/>
      <c r="X759" s="39">
        <v>0</v>
      </c>
      <c r="Y759" s="42"/>
      <c r="Z759" s="42"/>
      <c r="AA759" s="39">
        <v>0</v>
      </c>
      <c r="AB759" s="39">
        <v>0</v>
      </c>
      <c r="AC759"/>
    </row>
    <row r="760" spans="1:29">
      <c r="A760" s="40" t="s">
        <v>334</v>
      </c>
      <c r="B760" s="41">
        <v>100</v>
      </c>
      <c r="C760" s="38">
        <f>B760*30/100</f>
        <v>30</v>
      </c>
      <c r="D760" s="39">
        <f>B760*0.61/100</f>
        <v>0.61</v>
      </c>
      <c r="E760" s="39">
        <f>B760*0.37/100</f>
        <v>0.37</v>
      </c>
      <c r="F760" s="39">
        <f>B760*0.02/100</f>
        <v>0.02</v>
      </c>
      <c r="G760" s="36"/>
      <c r="H760" s="36"/>
      <c r="I760" s="36"/>
      <c r="J760" s="39"/>
      <c r="K760" s="39">
        <v>0</v>
      </c>
      <c r="L760" s="39">
        <f>B760*7.03/100</f>
        <v>7.03</v>
      </c>
      <c r="M760" s="39">
        <f>B760*1.53/100</f>
        <v>1.53</v>
      </c>
      <c r="N760" s="39">
        <f>B760*14/100</f>
        <v>14</v>
      </c>
      <c r="O760" s="36"/>
      <c r="P760" s="36"/>
      <c r="Q760" s="36"/>
      <c r="R760" s="39">
        <f>B760*0.38/100</f>
        <v>0.38</v>
      </c>
      <c r="S760" s="39">
        <f>B760*1/100</f>
        <v>1</v>
      </c>
      <c r="T760" s="39">
        <f>B760*166/100</f>
        <v>166</v>
      </c>
      <c r="U760" s="42"/>
      <c r="V760" s="42"/>
      <c r="W760" s="36"/>
      <c r="X760" s="39">
        <f>B760*0.02/100</f>
        <v>0.02</v>
      </c>
      <c r="Y760" s="42"/>
      <c r="Z760" s="42"/>
      <c r="AA760" s="39">
        <f>B760*0.23/100</f>
        <v>0.23</v>
      </c>
      <c r="AB760" s="39">
        <f>B760*56.7/100</f>
        <v>56.7</v>
      </c>
      <c r="AC760"/>
    </row>
    <row r="761" spans="1:29">
      <c r="A761" s="40" t="s">
        <v>335</v>
      </c>
      <c r="B761" s="41">
        <v>100</v>
      </c>
      <c r="C761" s="38">
        <f>B761*75/100</f>
        <v>75</v>
      </c>
      <c r="D761" s="39">
        <f>B761*4.7/100</f>
        <v>4.7</v>
      </c>
      <c r="E761" s="39">
        <f>B761*4.6/100</f>
        <v>4.5999999999999996</v>
      </c>
      <c r="F761" s="39">
        <f>B761*0.2/100</f>
        <v>0.2</v>
      </c>
      <c r="G761" s="36"/>
      <c r="H761" s="36"/>
      <c r="I761" s="36"/>
      <c r="J761" s="39"/>
      <c r="K761" s="39">
        <v>0</v>
      </c>
      <c r="L761" s="39">
        <f>B761*6.4/100</f>
        <v>6.4</v>
      </c>
      <c r="M761" s="39">
        <f>B761*2.7/100</f>
        <v>2.7</v>
      </c>
      <c r="N761" s="39">
        <f>B761*84/100</f>
        <v>84</v>
      </c>
      <c r="O761" s="36"/>
      <c r="P761" s="36"/>
      <c r="Q761" s="36"/>
      <c r="R761" s="39">
        <f>B761*2/100</f>
        <v>2</v>
      </c>
      <c r="S761" s="39">
        <f>B761*1252/100</f>
        <v>1252</v>
      </c>
      <c r="T761" s="39">
        <f>B761*130/100</f>
        <v>130</v>
      </c>
      <c r="U761" s="42"/>
      <c r="V761" s="42"/>
      <c r="W761" s="36"/>
      <c r="X761" s="39">
        <v>0</v>
      </c>
      <c r="Y761" s="42"/>
      <c r="Z761" s="42"/>
      <c r="AA761" s="39">
        <v>0</v>
      </c>
      <c r="AB761" s="39">
        <v>0</v>
      </c>
      <c r="AC761"/>
    </row>
    <row r="762" spans="1:29">
      <c r="A762" s="40" t="s">
        <v>336</v>
      </c>
      <c r="B762" s="41">
        <v>100</v>
      </c>
      <c r="C762" s="41">
        <f>B762*380/100</f>
        <v>380</v>
      </c>
      <c r="D762" s="41">
        <f>B762*6.6/100</f>
        <v>6.6</v>
      </c>
      <c r="E762" s="41">
        <f>B762*0.6/100</f>
        <v>0.6</v>
      </c>
      <c r="F762" s="41">
        <v>0</v>
      </c>
      <c r="G762" s="36"/>
      <c r="H762" s="36"/>
      <c r="I762" s="36"/>
      <c r="J762" s="41"/>
      <c r="K762" s="41">
        <v>0</v>
      </c>
      <c r="L762" s="41">
        <f>B762*87/100</f>
        <v>87</v>
      </c>
      <c r="M762" s="41">
        <f>B762*2.6/100</f>
        <v>2.6</v>
      </c>
      <c r="N762" s="41">
        <f>B762*270/100</f>
        <v>270</v>
      </c>
      <c r="O762" s="36"/>
      <c r="P762" s="36"/>
      <c r="Q762" s="36"/>
      <c r="R762" s="41">
        <f>B762*7.5/100</f>
        <v>7.5</v>
      </c>
      <c r="S762" s="41">
        <v>0</v>
      </c>
      <c r="T762" s="41">
        <v>0</v>
      </c>
      <c r="U762" s="42"/>
      <c r="V762" s="42"/>
      <c r="W762" s="36"/>
      <c r="X762" s="41">
        <f>B762*0.6/100</f>
        <v>0.6</v>
      </c>
      <c r="Y762" s="42"/>
      <c r="Z762" s="42"/>
      <c r="AA762" s="41">
        <f>B762*9.4/100</f>
        <v>9.4</v>
      </c>
      <c r="AB762" s="41">
        <f>B762*45/100</f>
        <v>45</v>
      </c>
      <c r="AC762"/>
    </row>
    <row r="763" spans="1:29">
      <c r="A763" s="40" t="s">
        <v>337</v>
      </c>
      <c r="B763" s="41">
        <v>100</v>
      </c>
      <c r="C763" s="41">
        <f>B763*27/100</f>
        <v>27</v>
      </c>
      <c r="D763" s="41">
        <f>B763*0.9/100</f>
        <v>0.9</v>
      </c>
      <c r="E763" s="41">
        <f>B763*0.1/100</f>
        <v>0.1</v>
      </c>
      <c r="F763" s="41">
        <f>B763*0.01/100</f>
        <v>0.01</v>
      </c>
      <c r="G763" s="36"/>
      <c r="H763" s="36"/>
      <c r="I763" s="36"/>
      <c r="J763" s="41"/>
      <c r="K763" s="41">
        <v>0</v>
      </c>
      <c r="L763" s="41">
        <f>B763*6.2/100</f>
        <v>6.2</v>
      </c>
      <c r="M763" s="41">
        <f>B763*2.4/100</f>
        <v>2.4</v>
      </c>
      <c r="N763" s="41">
        <f>B763*30/100</f>
        <v>30</v>
      </c>
      <c r="O763" s="36"/>
      <c r="P763" s="36"/>
      <c r="Q763" s="36"/>
      <c r="R763" s="41">
        <f>B763*0.3/100</f>
        <v>0.3</v>
      </c>
      <c r="S763" s="41">
        <f>B763*67/100</f>
        <v>67</v>
      </c>
      <c r="T763" s="41">
        <f>B763*191/100</f>
        <v>191</v>
      </c>
      <c r="U763" s="42"/>
      <c r="V763" s="42"/>
      <c r="W763" s="36"/>
      <c r="X763" s="41">
        <f>B763*0.04/100</f>
        <v>0.04</v>
      </c>
      <c r="Y763" s="42"/>
      <c r="Z763" s="42"/>
      <c r="AA763" s="41">
        <f>B763*0.4/100</f>
        <v>0.4</v>
      </c>
      <c r="AB763" s="41">
        <f>B763*21/100</f>
        <v>21</v>
      </c>
      <c r="AC763"/>
    </row>
    <row r="764" spans="1:29">
      <c r="A764" s="40" t="s">
        <v>338</v>
      </c>
      <c r="B764" s="41">
        <v>100</v>
      </c>
      <c r="C764" s="38">
        <f>B764*381/100</f>
        <v>381</v>
      </c>
      <c r="D764" s="39">
        <f>B764*5/100</f>
        <v>5</v>
      </c>
      <c r="E764" s="39">
        <f>B764*3/100</f>
        <v>3</v>
      </c>
      <c r="F764" s="39">
        <f>B764*0/100</f>
        <v>0</v>
      </c>
      <c r="G764" s="36"/>
      <c r="H764" s="36"/>
      <c r="I764" s="36"/>
      <c r="J764" s="39"/>
      <c r="K764" s="39">
        <f>B764*0/100</f>
        <v>0</v>
      </c>
      <c r="L764" s="39">
        <f>B764*83.5/100</f>
        <v>83.5</v>
      </c>
      <c r="M764" s="39">
        <f>B764*0/100</f>
        <v>0</v>
      </c>
      <c r="N764" s="39">
        <f>B764*0/100</f>
        <v>0</v>
      </c>
      <c r="O764" s="36"/>
      <c r="P764" s="36"/>
      <c r="Q764" s="36"/>
      <c r="R764" s="39">
        <f>B764*0/100</f>
        <v>0</v>
      </c>
      <c r="S764" s="39">
        <f>B764*0/100</f>
        <v>0</v>
      </c>
      <c r="T764" s="39">
        <f>B764*0/100</f>
        <v>0</v>
      </c>
      <c r="U764" s="42"/>
      <c r="V764" s="42"/>
      <c r="W764" s="36"/>
      <c r="X764" s="39">
        <f>B764*1.4/100</f>
        <v>1.4</v>
      </c>
      <c r="Y764" s="42"/>
      <c r="Z764" s="42"/>
      <c r="AA764" s="39">
        <f>B764*19/100</f>
        <v>19</v>
      </c>
      <c r="AB764" s="39">
        <f>B764*73/100</f>
        <v>73</v>
      </c>
      <c r="AC764"/>
    </row>
    <row r="765" spans="1:29">
      <c r="A765" s="40" t="s">
        <v>339</v>
      </c>
      <c r="B765" s="41">
        <v>100</v>
      </c>
      <c r="C765" s="38">
        <f>B765*375/100</f>
        <v>375</v>
      </c>
      <c r="D765" s="39">
        <f>B765*11.8/100</f>
        <v>11.8</v>
      </c>
      <c r="E765" s="39">
        <f>B765*2.2/100</f>
        <v>2.2000000000000002</v>
      </c>
      <c r="F765" s="39">
        <v>0</v>
      </c>
      <c r="G765" s="36"/>
      <c r="H765" s="36"/>
      <c r="I765" s="36"/>
      <c r="J765" s="39"/>
      <c r="K765" s="39">
        <v>0</v>
      </c>
      <c r="L765" s="39">
        <f>B765*76.9/100</f>
        <v>76.900000000000006</v>
      </c>
      <c r="M765" s="39">
        <v>0</v>
      </c>
      <c r="N765" s="39">
        <f>B765*550/100</f>
        <v>550</v>
      </c>
      <c r="O765" s="36"/>
      <c r="P765" s="36"/>
      <c r="Q765" s="36"/>
      <c r="R765" s="39">
        <f>B765*12.5/100</f>
        <v>12.5</v>
      </c>
      <c r="S765" s="39">
        <v>0</v>
      </c>
      <c r="T765" s="39">
        <v>0</v>
      </c>
      <c r="U765" s="42"/>
      <c r="V765" s="42"/>
      <c r="W765" s="36"/>
      <c r="X765" s="39">
        <f>B765*0.6/100</f>
        <v>0.6</v>
      </c>
      <c r="Y765" s="42"/>
      <c r="Z765" s="42"/>
      <c r="AA765" s="39">
        <f>B765*9.4/100</f>
        <v>9.4</v>
      </c>
      <c r="AB765" s="39">
        <f>B765*45/100</f>
        <v>45</v>
      </c>
      <c r="AC765"/>
    </row>
    <row r="766" spans="1:29">
      <c r="A766" s="40" t="s">
        <v>340</v>
      </c>
      <c r="B766" s="41">
        <v>100</v>
      </c>
      <c r="C766" s="38">
        <f>B766*525/100</f>
        <v>525</v>
      </c>
      <c r="D766" s="39">
        <f>B766*5.8/100</f>
        <v>5.8</v>
      </c>
      <c r="E766" s="39">
        <f>B766*36.3/100</f>
        <v>36.299999999999997</v>
      </c>
      <c r="F766" s="39">
        <f>B766*25.9/100</f>
        <v>25.9</v>
      </c>
      <c r="G766" s="36"/>
      <c r="H766" s="36"/>
      <c r="I766" s="36"/>
      <c r="J766" s="39"/>
      <c r="K766" s="39">
        <v>0</v>
      </c>
      <c r="L766" s="39">
        <f>B766*49.3/100</f>
        <v>49.3</v>
      </c>
      <c r="M766" s="39">
        <f>B766*20.8/100</f>
        <v>20.8</v>
      </c>
      <c r="N766" s="39">
        <f>B766*213/100</f>
        <v>213</v>
      </c>
      <c r="O766" s="36"/>
      <c r="P766" s="36"/>
      <c r="Q766" s="36"/>
      <c r="R766" s="39">
        <f>B766*184/100</f>
        <v>184</v>
      </c>
      <c r="S766" s="39">
        <f>B766*16.2/100</f>
        <v>16.2</v>
      </c>
      <c r="T766" s="39">
        <f>B766*350/100</f>
        <v>350</v>
      </c>
      <c r="U766" s="42"/>
      <c r="V766" s="42"/>
      <c r="W766" s="36"/>
      <c r="X766" s="39">
        <f>B766*0.3/100</f>
        <v>0.3</v>
      </c>
      <c r="Y766" s="42"/>
      <c r="Z766" s="42"/>
      <c r="AA766" s="39">
        <f>B766*1.3/100</f>
        <v>1.3</v>
      </c>
      <c r="AB766" s="39">
        <v>0</v>
      </c>
      <c r="AC766"/>
    </row>
    <row r="767" spans="1:29">
      <c r="A767" s="40" t="s">
        <v>341</v>
      </c>
      <c r="B767" s="41">
        <v>25</v>
      </c>
      <c r="C767" s="38">
        <f>B767*53/25</f>
        <v>53</v>
      </c>
      <c r="D767" s="39">
        <f>B767*3.5/25</f>
        <v>3.5</v>
      </c>
      <c r="E767" s="39">
        <f>B767*3/25</f>
        <v>3</v>
      </c>
      <c r="F767" s="39">
        <f>B767*1/25</f>
        <v>1</v>
      </c>
      <c r="G767" s="36"/>
      <c r="H767" s="36"/>
      <c r="I767" s="36"/>
      <c r="J767" s="39"/>
      <c r="K767" s="39">
        <f>B767*10/25</f>
        <v>10</v>
      </c>
      <c r="L767" s="39">
        <f>B767*3/25</f>
        <v>3</v>
      </c>
      <c r="M767" s="39">
        <f>B767*0.5/25</f>
        <v>0.5</v>
      </c>
      <c r="N767" s="39">
        <v>0</v>
      </c>
      <c r="O767" s="36"/>
      <c r="P767" s="36"/>
      <c r="Q767" s="36"/>
      <c r="R767" s="39">
        <f>B767*0.2/25</f>
        <v>0.2</v>
      </c>
      <c r="S767" s="39">
        <f>B767*173/25</f>
        <v>173</v>
      </c>
      <c r="T767" s="39">
        <v>0</v>
      </c>
      <c r="U767" s="42"/>
      <c r="V767" s="42"/>
      <c r="W767" s="36"/>
      <c r="X767" s="39">
        <v>0</v>
      </c>
      <c r="Y767" s="42"/>
      <c r="Z767" s="42"/>
      <c r="AA767" s="39">
        <v>0</v>
      </c>
      <c r="AB767" s="39">
        <v>0</v>
      </c>
      <c r="AC767"/>
    </row>
    <row r="768" spans="1:29">
      <c r="A768" s="40" t="s">
        <v>342</v>
      </c>
      <c r="B768" s="41">
        <v>100</v>
      </c>
      <c r="C768" s="38">
        <f>B768*93/100</f>
        <v>93</v>
      </c>
      <c r="D768" s="39">
        <f>B768*1.2/100</f>
        <v>1.2</v>
      </c>
      <c r="E768" s="39">
        <f>B768*0.6/100</f>
        <v>0.6</v>
      </c>
      <c r="F768" s="39">
        <v>0</v>
      </c>
      <c r="G768" s="36"/>
      <c r="H768" s="36"/>
      <c r="I768" s="36"/>
      <c r="J768" s="39"/>
      <c r="K768" s="39">
        <v>0</v>
      </c>
      <c r="L768" s="39">
        <f>B768*20.6/100</f>
        <v>20.6</v>
      </c>
      <c r="M768" s="39">
        <f>B768*0.2/100</f>
        <v>0.2</v>
      </c>
      <c r="N768" s="39">
        <v>0</v>
      </c>
      <c r="O768" s="36"/>
      <c r="P768" s="36"/>
      <c r="Q768" s="36"/>
      <c r="R768" s="39">
        <v>0</v>
      </c>
      <c r="S768" s="39">
        <v>0</v>
      </c>
      <c r="T768" s="39">
        <v>0</v>
      </c>
      <c r="U768" s="42"/>
      <c r="V768" s="42"/>
      <c r="W768" s="36"/>
      <c r="X768" s="39">
        <v>0</v>
      </c>
      <c r="Y768" s="42"/>
      <c r="Z768" s="42"/>
      <c r="AA768" s="39">
        <v>0</v>
      </c>
      <c r="AB768" s="39">
        <v>0</v>
      </c>
      <c r="AC768"/>
    </row>
    <row r="769" spans="1:29">
      <c r="A769" s="40" t="s">
        <v>35</v>
      </c>
      <c r="B769" s="41">
        <v>100</v>
      </c>
      <c r="C769" s="38">
        <f>B769*884/100</f>
        <v>884</v>
      </c>
      <c r="D769" s="39">
        <v>0</v>
      </c>
      <c r="E769" s="39">
        <f>B769*100/100</f>
        <v>100</v>
      </c>
      <c r="F769" s="39">
        <f>B769*14.4/100</f>
        <v>14.4</v>
      </c>
      <c r="G769" s="36"/>
      <c r="H769" s="36"/>
      <c r="I769" s="36"/>
      <c r="J769" s="39"/>
      <c r="K769" s="39">
        <v>0</v>
      </c>
      <c r="L769" s="39">
        <v>0</v>
      </c>
      <c r="M769" s="39">
        <v>0</v>
      </c>
      <c r="N769" s="39">
        <f>B769*0.04/100</f>
        <v>0.04</v>
      </c>
      <c r="O769" s="36"/>
      <c r="P769" s="36"/>
      <c r="Q769" s="36"/>
      <c r="R769" s="39">
        <f>B769*0.02/100</f>
        <v>0.02</v>
      </c>
      <c r="S769" s="39">
        <v>0</v>
      </c>
      <c r="T769" s="39">
        <v>0</v>
      </c>
      <c r="U769" s="42"/>
      <c r="V769" s="42"/>
      <c r="W769" s="36"/>
      <c r="X769" s="39">
        <v>0</v>
      </c>
      <c r="Y769" s="42"/>
      <c r="Z769" s="42"/>
      <c r="AA769" s="39">
        <v>0</v>
      </c>
      <c r="AB769" s="39">
        <v>0</v>
      </c>
      <c r="AC769"/>
    </row>
    <row r="770" spans="1:29">
      <c r="A770" s="40" t="s">
        <v>343</v>
      </c>
      <c r="B770" s="41">
        <v>100</v>
      </c>
      <c r="C770" s="38">
        <f>B770*884/100</f>
        <v>884</v>
      </c>
      <c r="D770" s="39">
        <v>0</v>
      </c>
      <c r="E770" s="39">
        <f>B770*100/100</f>
        <v>100</v>
      </c>
      <c r="F770" s="39">
        <f>B770*11.7/100</f>
        <v>11.7</v>
      </c>
      <c r="G770" s="36"/>
      <c r="H770" s="36"/>
      <c r="I770" s="36"/>
      <c r="J770" s="39"/>
      <c r="K770" s="39">
        <v>0</v>
      </c>
      <c r="L770" s="39">
        <v>0</v>
      </c>
      <c r="M770" s="39">
        <v>0</v>
      </c>
      <c r="N770" s="39">
        <v>0</v>
      </c>
      <c r="O770" s="36"/>
      <c r="P770" s="36"/>
      <c r="Q770" s="36"/>
      <c r="R770" s="39">
        <v>0</v>
      </c>
      <c r="S770" s="39">
        <v>0</v>
      </c>
      <c r="T770" s="39">
        <v>0</v>
      </c>
      <c r="U770" s="42"/>
      <c r="V770" s="42"/>
      <c r="W770" s="36"/>
      <c r="X770" s="39">
        <v>0</v>
      </c>
      <c r="Y770" s="42"/>
      <c r="Z770" s="42"/>
      <c r="AA770" s="39">
        <v>0</v>
      </c>
      <c r="AB770" s="39">
        <v>0</v>
      </c>
      <c r="AC770"/>
    </row>
    <row r="771" spans="1:29">
      <c r="A771" s="40" t="s">
        <v>344</v>
      </c>
      <c r="B771" s="41">
        <v>100</v>
      </c>
      <c r="C771" s="41">
        <f>B771*388/100</f>
        <v>388</v>
      </c>
      <c r="D771" s="41">
        <v>0</v>
      </c>
      <c r="E771" s="41">
        <v>0</v>
      </c>
      <c r="F771" s="41">
        <v>0</v>
      </c>
      <c r="G771" s="36"/>
      <c r="H771" s="36"/>
      <c r="I771" s="36"/>
      <c r="J771" s="41"/>
      <c r="K771" s="41">
        <v>0</v>
      </c>
      <c r="L771" s="41">
        <f>B771*94.1/100</f>
        <v>94.1</v>
      </c>
      <c r="M771" s="41">
        <v>0</v>
      </c>
      <c r="N771" s="41">
        <v>0</v>
      </c>
      <c r="O771" s="36"/>
      <c r="P771" s="36"/>
      <c r="Q771" s="36"/>
      <c r="R771" s="41">
        <v>0</v>
      </c>
      <c r="S771" s="41">
        <f>B771*14/100</f>
        <v>14</v>
      </c>
      <c r="T771" s="41">
        <f>B771*12/100</f>
        <v>12</v>
      </c>
      <c r="U771" s="42"/>
      <c r="V771" s="42"/>
      <c r="W771" s="36"/>
      <c r="X771" s="41">
        <v>0</v>
      </c>
      <c r="Y771" s="42"/>
      <c r="Z771" s="42"/>
      <c r="AA771" s="41">
        <v>0</v>
      </c>
      <c r="AB771" s="41">
        <v>0</v>
      </c>
      <c r="AC771"/>
    </row>
    <row r="772" spans="1:29">
      <c r="A772" s="40" t="s">
        <v>345</v>
      </c>
      <c r="B772" s="41">
        <v>100</v>
      </c>
      <c r="C772" s="41">
        <f>B772*306/100</f>
        <v>306</v>
      </c>
      <c r="D772" s="41">
        <f>B772*11/100</f>
        <v>11</v>
      </c>
      <c r="E772" s="41">
        <f>B772*10.3/100</f>
        <v>10.3</v>
      </c>
      <c r="F772" s="41">
        <f>B772*2.66/100</f>
        <v>2.66</v>
      </c>
      <c r="G772" s="36"/>
      <c r="H772" s="36"/>
      <c r="I772" s="36"/>
      <c r="J772" s="41"/>
      <c r="K772" s="41">
        <v>0</v>
      </c>
      <c r="L772" s="41">
        <f>B772*64.4/100</f>
        <v>64.400000000000006</v>
      </c>
      <c r="M772" s="41">
        <f>B772*15/100</f>
        <v>15</v>
      </c>
      <c r="N772" s="41">
        <f>B772*1576/100</f>
        <v>1576</v>
      </c>
      <c r="O772" s="36"/>
      <c r="P772" s="36"/>
      <c r="Q772" s="36"/>
      <c r="R772" s="41">
        <f>B772*44/100</f>
        <v>44</v>
      </c>
      <c r="S772" s="41">
        <f>B772*14.7/100</f>
        <v>14.7</v>
      </c>
      <c r="T772" s="41">
        <f>B772*1668/100</f>
        <v>1668</v>
      </c>
      <c r="U772" s="42"/>
      <c r="V772" s="42"/>
      <c r="W772" s="36"/>
      <c r="X772" s="41">
        <f>B772*0.3/100</f>
        <v>0.3</v>
      </c>
      <c r="Y772" s="42"/>
      <c r="Z772" s="42"/>
      <c r="AA772" s="41">
        <f>B772*6.2/100</f>
        <v>6.2</v>
      </c>
      <c r="AB772" s="41">
        <f>B772*66.7/100</f>
        <v>66.7</v>
      </c>
      <c r="AC772"/>
    </row>
    <row r="773" spans="1:29">
      <c r="A773" s="40" t="s">
        <v>346</v>
      </c>
      <c r="B773" s="41">
        <v>100</v>
      </c>
      <c r="C773" s="38">
        <f>B773*149/100</f>
        <v>149</v>
      </c>
      <c r="D773" s="39">
        <f>B773*12.5/100</f>
        <v>12.5</v>
      </c>
      <c r="E773" s="39">
        <f>B773*10/100</f>
        <v>10</v>
      </c>
      <c r="F773" s="39">
        <f>B773*3.1/100</f>
        <v>3.1</v>
      </c>
      <c r="G773" s="36"/>
      <c r="H773" s="36"/>
      <c r="I773" s="36"/>
      <c r="J773" s="39"/>
      <c r="K773" s="39">
        <f>B773*425/100</f>
        <v>425</v>
      </c>
      <c r="L773" s="39">
        <f>B773*1.2/100</f>
        <v>1.2</v>
      </c>
      <c r="M773" s="39">
        <v>0</v>
      </c>
      <c r="N773" s="39">
        <f>B773*49/100</f>
        <v>49</v>
      </c>
      <c r="O773" s="36"/>
      <c r="P773" s="36"/>
      <c r="Q773" s="36"/>
      <c r="R773" s="39">
        <f>B773*1.4/100</f>
        <v>1.4</v>
      </c>
      <c r="S773" s="39">
        <f>B773*126/100</f>
        <v>126</v>
      </c>
      <c r="T773" s="39">
        <f>B773*121/100</f>
        <v>121</v>
      </c>
      <c r="U773" s="42"/>
      <c r="V773" s="42"/>
      <c r="W773" s="36"/>
      <c r="X773" s="39">
        <f>B773*0.06/100</f>
        <v>0.06</v>
      </c>
      <c r="Y773" s="42"/>
      <c r="Z773" s="42"/>
      <c r="AA773" s="39">
        <f>B773*0.07/100</f>
        <v>7.0000000000000007E-2</v>
      </c>
      <c r="AB773" s="39">
        <v>0</v>
      </c>
      <c r="AC773"/>
    </row>
    <row r="774" spans="1:29">
      <c r="A774" s="40" t="s">
        <v>347</v>
      </c>
      <c r="B774" s="41">
        <v>100</v>
      </c>
      <c r="C774" s="38">
        <f>B774*149/100</f>
        <v>149</v>
      </c>
      <c r="D774" s="39">
        <f>B774*12.5/100</f>
        <v>12.5</v>
      </c>
      <c r="E774" s="39">
        <f>B774*10/100</f>
        <v>10</v>
      </c>
      <c r="F774" s="39">
        <f>B774*3.1/100</f>
        <v>3.1</v>
      </c>
      <c r="G774" s="36"/>
      <c r="H774" s="36"/>
      <c r="I774" s="36"/>
      <c r="J774" s="39"/>
      <c r="K774" s="39">
        <f>B774*425/100</f>
        <v>425</v>
      </c>
      <c r="L774" s="39">
        <f>B774*1.23/100</f>
        <v>1.23</v>
      </c>
      <c r="M774" s="39">
        <f>B774*0/100</f>
        <v>0</v>
      </c>
      <c r="N774" s="39">
        <f>B774*49/100</f>
        <v>49</v>
      </c>
      <c r="O774" s="36"/>
      <c r="P774" s="36"/>
      <c r="Q774" s="36"/>
      <c r="R774" s="39">
        <f>B774*1.44/100</f>
        <v>1.44</v>
      </c>
      <c r="S774" s="39">
        <f>B774*126/100</f>
        <v>126</v>
      </c>
      <c r="T774" s="39">
        <f>B774*121/100</f>
        <v>121</v>
      </c>
      <c r="U774" s="42"/>
      <c r="V774" s="42"/>
      <c r="W774" s="36"/>
      <c r="X774" s="39">
        <f>B774*0.06/100</f>
        <v>0.06</v>
      </c>
      <c r="Y774" s="42"/>
      <c r="Z774" s="42"/>
      <c r="AA774" s="39">
        <f>B774*0.07/100</f>
        <v>7.0000000000000007E-2</v>
      </c>
      <c r="AB774" s="39">
        <f>B774*0/100</f>
        <v>0</v>
      </c>
      <c r="AC774"/>
    </row>
    <row r="775" spans="1:29">
      <c r="A775" s="40" t="s">
        <v>348</v>
      </c>
      <c r="B775" s="41">
        <v>100</v>
      </c>
      <c r="C775" s="38">
        <f>B775*150/100</f>
        <v>150</v>
      </c>
      <c r="D775" s="39">
        <f>B775*21/100</f>
        <v>21</v>
      </c>
      <c r="E775" s="39">
        <f>B775*6/100</f>
        <v>6</v>
      </c>
      <c r="F775" s="39">
        <f>B775*2/100</f>
        <v>2</v>
      </c>
      <c r="G775" s="36"/>
      <c r="H775" s="36"/>
      <c r="I775" s="36"/>
      <c r="J775" s="39"/>
      <c r="K775" s="39">
        <f>B775*125/100</f>
        <v>125</v>
      </c>
      <c r="L775" s="39">
        <v>0</v>
      </c>
      <c r="M775" s="39">
        <v>0</v>
      </c>
      <c r="N775" s="39">
        <f>B775*12/100</f>
        <v>12</v>
      </c>
      <c r="O775" s="36"/>
      <c r="P775" s="36"/>
      <c r="Q775" s="36"/>
      <c r="R775" s="39">
        <f>B775*3.2/100</f>
        <v>3.2</v>
      </c>
      <c r="S775" s="39">
        <f>B775*130/100</f>
        <v>130</v>
      </c>
      <c r="T775" s="39">
        <v>0</v>
      </c>
      <c r="U775" s="42"/>
      <c r="V775" s="42"/>
      <c r="W775" s="36"/>
      <c r="X775" s="39">
        <v>0</v>
      </c>
      <c r="Y775" s="42"/>
      <c r="Z775" s="42"/>
      <c r="AA775" s="39">
        <v>0</v>
      </c>
      <c r="AB775" s="39">
        <v>0</v>
      </c>
      <c r="AC775"/>
    </row>
    <row r="776" spans="1:29">
      <c r="A776" s="40" t="s">
        <v>349</v>
      </c>
      <c r="B776" s="41">
        <v>100</v>
      </c>
      <c r="C776" s="38">
        <f>B776*18/100</f>
        <v>18</v>
      </c>
      <c r="D776" s="39">
        <f>B776*1.6/100</f>
        <v>1.6</v>
      </c>
      <c r="E776" s="39">
        <f>B776*0.1/100</f>
        <v>0.1</v>
      </c>
      <c r="F776" s="39">
        <v>0</v>
      </c>
      <c r="G776" s="36"/>
      <c r="H776" s="36"/>
      <c r="I776" s="36"/>
      <c r="J776" s="39"/>
      <c r="K776" s="39">
        <v>0</v>
      </c>
      <c r="L776" s="39">
        <f>B776*3.7/100</f>
        <v>3.7</v>
      </c>
      <c r="M776" s="39">
        <f>B776*0.4/100</f>
        <v>0.4</v>
      </c>
      <c r="N776" s="39">
        <f>B776*61/100</f>
        <v>61</v>
      </c>
      <c r="O776" s="36"/>
      <c r="P776" s="36"/>
      <c r="Q776" s="36"/>
      <c r="R776" s="39">
        <f>B776*0.6/100</f>
        <v>0.6</v>
      </c>
      <c r="S776" s="39">
        <v>0</v>
      </c>
      <c r="T776" s="39">
        <v>0</v>
      </c>
      <c r="U776" s="42"/>
      <c r="V776" s="42"/>
      <c r="W776" s="36"/>
      <c r="X776" s="39">
        <f>B776*0.03/100</f>
        <v>0.03</v>
      </c>
      <c r="Y776" s="42"/>
      <c r="Z776" s="42"/>
      <c r="AA776" s="39">
        <f>B776*0.5/100</f>
        <v>0.5</v>
      </c>
      <c r="AB776" s="39">
        <f>B776*12/100</f>
        <v>12</v>
      </c>
      <c r="AC776"/>
    </row>
    <row r="777" spans="1:29">
      <c r="A777" s="40" t="s">
        <v>28</v>
      </c>
      <c r="B777" s="41">
        <v>100</v>
      </c>
      <c r="C777" s="38">
        <f>B777*286/100</f>
        <v>286</v>
      </c>
      <c r="D777" s="39">
        <f>B777*9.4/100</f>
        <v>9.4</v>
      </c>
      <c r="E777" s="39">
        <f>B777*2.5/100</f>
        <v>2.5</v>
      </c>
      <c r="F777" s="39">
        <v>0</v>
      </c>
      <c r="G777" s="36"/>
      <c r="H777" s="36"/>
      <c r="I777" s="36"/>
      <c r="J777" s="39"/>
      <c r="K777" s="39">
        <v>0</v>
      </c>
      <c r="L777" s="39">
        <f>B777*56.8/100</f>
        <v>56.8</v>
      </c>
      <c r="M777" s="39">
        <f>B777*2.8/100</f>
        <v>2.8</v>
      </c>
      <c r="N777" s="39">
        <f>B777*111/100</f>
        <v>111</v>
      </c>
      <c r="O777" s="36"/>
      <c r="P777" s="36"/>
      <c r="Q777" s="36"/>
      <c r="R777" s="39">
        <f>B777*3.1/100</f>
        <v>3.1</v>
      </c>
      <c r="S777" s="39">
        <f>B777*580/100</f>
        <v>580</v>
      </c>
      <c r="T777" s="39">
        <f>B777*94.2/100</f>
        <v>94.2</v>
      </c>
      <c r="U777" s="42"/>
      <c r="V777" s="42"/>
      <c r="W777" s="36"/>
      <c r="X777" s="39">
        <f>B777*0.45/100</f>
        <v>0.45</v>
      </c>
      <c r="Y777" s="42"/>
      <c r="Z777" s="42"/>
      <c r="AA777" s="39">
        <f>B777*4/100</f>
        <v>4</v>
      </c>
      <c r="AB777" s="39">
        <f>B777*0/100</f>
        <v>0</v>
      </c>
      <c r="AC777"/>
    </row>
    <row r="778" spans="1:29">
      <c r="A778" s="40" t="s">
        <v>350</v>
      </c>
      <c r="B778" s="41">
        <v>100</v>
      </c>
      <c r="C778" s="38">
        <f>B778*271/100</f>
        <v>271</v>
      </c>
      <c r="D778" s="39">
        <f>B778*8.5/100</f>
        <v>8.5</v>
      </c>
      <c r="E778" s="39">
        <f>B778*10.9/100</f>
        <v>10.9</v>
      </c>
      <c r="F778" s="39">
        <f>B778*4.3/100</f>
        <v>4.3</v>
      </c>
      <c r="G778" s="36"/>
      <c r="H778" s="36"/>
      <c r="I778" s="36"/>
      <c r="J778" s="39"/>
      <c r="K778" s="39">
        <f>B778*62.3/100</f>
        <v>62.3</v>
      </c>
      <c r="L778" s="39">
        <f>B778*36.1/100</f>
        <v>36.1</v>
      </c>
      <c r="M778" s="39">
        <f>B778*0.3/100</f>
        <v>0.3</v>
      </c>
      <c r="N778" s="39">
        <f>B778*247.8/100</f>
        <v>247.8</v>
      </c>
      <c r="O778" s="36"/>
      <c r="P778" s="36"/>
      <c r="Q778" s="36"/>
      <c r="R778" s="39">
        <f>B778*0.9/100</f>
        <v>0.9</v>
      </c>
      <c r="S778" s="39">
        <f>B778*424.6/100</f>
        <v>424.6</v>
      </c>
      <c r="T778" s="39">
        <f>B778*54.1/100</f>
        <v>54.1</v>
      </c>
      <c r="U778" s="42"/>
      <c r="V778" s="42"/>
      <c r="W778" s="36"/>
      <c r="X778" s="39">
        <f>B778*0.02/100</f>
        <v>0.02</v>
      </c>
      <c r="Y778" s="42"/>
      <c r="Z778" s="42"/>
      <c r="AA778" s="39">
        <f>B778*0.07/100</f>
        <v>7.0000000000000007E-2</v>
      </c>
      <c r="AB778" s="39">
        <f>B778*0.1/100</f>
        <v>0.1</v>
      </c>
      <c r="AC778"/>
    </row>
    <row r="779" spans="1:29">
      <c r="A779" s="40" t="s">
        <v>351</v>
      </c>
      <c r="B779" s="41">
        <v>100</v>
      </c>
      <c r="C779" s="38">
        <f>B779*339/100</f>
        <v>339</v>
      </c>
      <c r="D779" s="39">
        <f>B779*9.63/100</f>
        <v>9.6300000000000008</v>
      </c>
      <c r="E779" s="39">
        <f>B779*0/100</f>
        <v>0</v>
      </c>
      <c r="F779" s="39">
        <f>B779*0/100</f>
        <v>0</v>
      </c>
      <c r="G779" s="36"/>
      <c r="H779" s="36"/>
      <c r="I779" s="36"/>
      <c r="J779" s="39"/>
      <c r="K779" s="39">
        <f>B779*0/100</f>
        <v>0</v>
      </c>
      <c r="L779" s="39">
        <f>B779*68.81/100</f>
        <v>68.81</v>
      </c>
      <c r="M779" s="39">
        <f>B779*0/100</f>
        <v>0</v>
      </c>
      <c r="N779" s="39">
        <f>B779*0/100</f>
        <v>0</v>
      </c>
      <c r="O779" s="36"/>
      <c r="P779" s="36"/>
      <c r="Q779" s="36"/>
      <c r="R779" s="39">
        <f>B779*0/100</f>
        <v>0</v>
      </c>
      <c r="S779" s="39">
        <f>B779*0/100</f>
        <v>0</v>
      </c>
      <c r="T779" s="39">
        <f>B779*0/100</f>
        <v>0</v>
      </c>
      <c r="U779" s="42"/>
      <c r="V779" s="42"/>
      <c r="W779" s="36"/>
      <c r="X779" s="39">
        <f>B779*0/100</f>
        <v>0</v>
      </c>
      <c r="Y779" s="42"/>
      <c r="Z779" s="42"/>
      <c r="AA779" s="39">
        <f>B779*0/100</f>
        <v>0</v>
      </c>
      <c r="AB779" s="39">
        <f>B779*0/100</f>
        <v>0</v>
      </c>
      <c r="AC779"/>
    </row>
    <row r="780" spans="1:29">
      <c r="A780" s="40" t="s">
        <v>352</v>
      </c>
      <c r="B780" s="41">
        <v>100</v>
      </c>
      <c r="C780" s="38">
        <f>B780*225/100</f>
        <v>225</v>
      </c>
      <c r="D780" s="39">
        <f>B780*14.5/100</f>
        <v>14.5</v>
      </c>
      <c r="E780" s="39">
        <f>B780*2/100</f>
        <v>2</v>
      </c>
      <c r="F780" s="39">
        <v>0</v>
      </c>
      <c r="G780" s="36"/>
      <c r="H780" s="36"/>
      <c r="I780" s="36"/>
      <c r="J780" s="39"/>
      <c r="K780" s="39">
        <v>0</v>
      </c>
      <c r="L780" s="39">
        <f>B780*42/100</f>
        <v>42</v>
      </c>
      <c r="M780" s="39">
        <v>0</v>
      </c>
      <c r="N780" s="39">
        <v>0</v>
      </c>
      <c r="O780" s="36"/>
      <c r="P780" s="36"/>
      <c r="Q780" s="36"/>
      <c r="R780" s="39">
        <v>0</v>
      </c>
      <c r="S780" s="39">
        <v>0</v>
      </c>
      <c r="T780" s="39">
        <v>0</v>
      </c>
      <c r="U780" s="42"/>
      <c r="V780" s="42"/>
      <c r="W780" s="36"/>
      <c r="X780" s="39">
        <v>0</v>
      </c>
      <c r="Y780" s="42"/>
      <c r="Z780" s="42"/>
      <c r="AA780" s="39">
        <v>0</v>
      </c>
      <c r="AB780" s="39">
        <v>0</v>
      </c>
      <c r="AC780"/>
    </row>
    <row r="781" spans="1:29">
      <c r="A781" s="40" t="s">
        <v>353</v>
      </c>
      <c r="B781" s="41">
        <v>100</v>
      </c>
      <c r="C781" s="38">
        <f>B781*180/100</f>
        <v>180</v>
      </c>
      <c r="D781" s="39">
        <f>B781*4.8/100</f>
        <v>4.8</v>
      </c>
      <c r="E781" s="39">
        <f>B781*3.2/100</f>
        <v>3.2</v>
      </c>
      <c r="F781" s="39">
        <v>0</v>
      </c>
      <c r="G781" s="36"/>
      <c r="H781" s="36"/>
      <c r="I781" s="36"/>
      <c r="J781" s="39"/>
      <c r="K781" s="39">
        <v>0</v>
      </c>
      <c r="L781" s="39">
        <f>B781*33.2/100</f>
        <v>33.200000000000003</v>
      </c>
      <c r="M781" s="39">
        <v>0</v>
      </c>
      <c r="N781" s="39">
        <v>0</v>
      </c>
      <c r="O781" s="36"/>
      <c r="P781" s="36"/>
      <c r="Q781" s="36"/>
      <c r="R781" s="39">
        <v>0</v>
      </c>
      <c r="S781" s="39">
        <v>0</v>
      </c>
      <c r="T781" s="39">
        <v>0</v>
      </c>
      <c r="U781" s="42"/>
      <c r="V781" s="42"/>
      <c r="W781" s="36"/>
      <c r="X781" s="39">
        <v>0</v>
      </c>
      <c r="Y781" s="42"/>
      <c r="Z781" s="42"/>
      <c r="AA781" s="39">
        <v>0</v>
      </c>
      <c r="AB781" s="39">
        <v>0</v>
      </c>
      <c r="AC781"/>
    </row>
    <row r="782" spans="1:29">
      <c r="A782" s="40" t="s">
        <v>354</v>
      </c>
      <c r="B782" s="41">
        <v>40</v>
      </c>
      <c r="C782" s="42">
        <v>140.2132380952381</v>
      </c>
      <c r="D782" s="42">
        <v>3.7471428571428569</v>
      </c>
      <c r="E782" s="42">
        <v>2.8926666666666669</v>
      </c>
      <c r="F782" s="42">
        <v>0.38514285714285712</v>
      </c>
      <c r="G782" s="36"/>
      <c r="H782" s="36"/>
      <c r="I782" s="36"/>
      <c r="J782" s="42"/>
      <c r="K782" s="42">
        <v>0</v>
      </c>
      <c r="L782" s="42">
        <v>24.797666666666665</v>
      </c>
      <c r="M782" s="42">
        <v>2.3068571428571429</v>
      </c>
      <c r="N782" s="42">
        <v>28.288019047619052</v>
      </c>
      <c r="O782" s="36"/>
      <c r="P782" s="36"/>
      <c r="Q782" s="36"/>
      <c r="R782" s="42">
        <v>0.90262857142857145</v>
      </c>
      <c r="S782" s="42">
        <v>1.8238095238095238</v>
      </c>
      <c r="T782" s="42">
        <v>81.696190476190466</v>
      </c>
      <c r="U782" s="42"/>
      <c r="V782" s="42"/>
      <c r="W782" s="36"/>
      <c r="X782" s="42">
        <v>0.10505238095238094</v>
      </c>
      <c r="Y782" s="42"/>
      <c r="Z782" s="42"/>
      <c r="AA782" s="42">
        <v>1.1188380952380952</v>
      </c>
      <c r="AB782" s="42">
        <v>0</v>
      </c>
      <c r="AC782"/>
    </row>
    <row r="783" spans="1:29">
      <c r="A783" s="40" t="s">
        <v>355</v>
      </c>
      <c r="B783" s="41">
        <v>40</v>
      </c>
      <c r="C783" s="44">
        <v>113.4374</v>
      </c>
      <c r="D783" s="44">
        <v>3.4906000000000001</v>
      </c>
      <c r="E783" s="44">
        <v>3.6886000000000001</v>
      </c>
      <c r="F783" s="44">
        <v>0.56659999999999999</v>
      </c>
      <c r="G783" s="36"/>
      <c r="H783" s="36"/>
      <c r="I783" s="36"/>
      <c r="J783" s="44"/>
      <c r="K783" s="44">
        <v>30.671999999999997</v>
      </c>
      <c r="L783" s="44">
        <v>16.569399999999998</v>
      </c>
      <c r="M783" s="44">
        <v>3.1029999999999998</v>
      </c>
      <c r="N783" s="44">
        <v>20.6968</v>
      </c>
      <c r="O783" s="36"/>
      <c r="P783" s="36"/>
      <c r="Q783" s="36"/>
      <c r="R783" s="44">
        <v>1.0007999999999999</v>
      </c>
      <c r="S783" s="44">
        <v>83.63600000000001</v>
      </c>
      <c r="T783" s="44">
        <v>87.682019999999994</v>
      </c>
      <c r="U783" s="42"/>
      <c r="V783" s="42"/>
      <c r="W783" s="36"/>
      <c r="X783" s="44">
        <v>7.8019999999999992E-2</v>
      </c>
      <c r="Y783" s="42"/>
      <c r="Z783" s="42"/>
      <c r="AA783" s="44">
        <v>1.0467199999999999</v>
      </c>
      <c r="AB783" s="44">
        <v>0</v>
      </c>
      <c r="AC783"/>
    </row>
    <row r="784" spans="1:29">
      <c r="A784" s="40" t="s">
        <v>356</v>
      </c>
      <c r="B784" s="41">
        <v>100</v>
      </c>
      <c r="C784" s="38">
        <f>B784*185/100</f>
        <v>185</v>
      </c>
      <c r="D784" s="39">
        <f>B784*28.7/100</f>
        <v>28.7</v>
      </c>
      <c r="E784" s="39">
        <f>B784*6.9/100</f>
        <v>6.9</v>
      </c>
      <c r="F784" s="39">
        <f>B784*2.4/100</f>
        <v>2.4</v>
      </c>
      <c r="G784" s="36"/>
      <c r="H784" s="36"/>
      <c r="I784" s="36"/>
      <c r="J784" s="39"/>
      <c r="K784" s="39">
        <f>B784*81.1/100</f>
        <v>81.099999999999994</v>
      </c>
      <c r="L784" s="39">
        <v>0</v>
      </c>
      <c r="M784" s="39">
        <v>0</v>
      </c>
      <c r="N784" s="39">
        <f>B784*5/100</f>
        <v>5</v>
      </c>
      <c r="O784" s="36"/>
      <c r="P784" s="36"/>
      <c r="Q784" s="36"/>
      <c r="R784" s="39">
        <f>B784*2.9/100</f>
        <v>2.9</v>
      </c>
      <c r="S784" s="39">
        <f>B784*65.1/100</f>
        <v>65.099999999999994</v>
      </c>
      <c r="T784" s="39">
        <f>B784*386.4/100</f>
        <v>386.4</v>
      </c>
      <c r="U784" s="42"/>
      <c r="V784" s="42"/>
      <c r="W784" s="36"/>
      <c r="X784" s="39">
        <f>B784*0.1/100</f>
        <v>0.1</v>
      </c>
      <c r="Y784" s="42"/>
      <c r="Z784" s="42"/>
      <c r="AA784" s="39">
        <f>B784*3.7/100</f>
        <v>3.7</v>
      </c>
      <c r="AB784" s="39">
        <v>0</v>
      </c>
      <c r="AC784"/>
    </row>
    <row r="785" spans="1:29">
      <c r="A785" s="40" t="s">
        <v>357</v>
      </c>
      <c r="B785" s="41">
        <v>100</v>
      </c>
      <c r="C785" s="38">
        <f>B785*197/100</f>
        <v>197</v>
      </c>
      <c r="D785" s="39">
        <f>B785*20.6/100</f>
        <v>20.6</v>
      </c>
      <c r="E785" s="39">
        <f>B785*12.1/100</f>
        <v>12.1</v>
      </c>
      <c r="F785" s="39" t="s">
        <v>149</v>
      </c>
      <c r="G785" s="36"/>
      <c r="H785" s="36"/>
      <c r="I785" s="36"/>
      <c r="J785" s="39"/>
      <c r="K785" s="39" t="s">
        <v>149</v>
      </c>
      <c r="L785" s="39">
        <v>0</v>
      </c>
      <c r="M785" s="39">
        <v>0</v>
      </c>
      <c r="N785" s="39">
        <f>B785*32/100</f>
        <v>32</v>
      </c>
      <c r="O785" s="36"/>
      <c r="P785" s="36"/>
      <c r="Q785" s="36"/>
      <c r="R785" s="39">
        <f>B785*2/100</f>
        <v>2</v>
      </c>
      <c r="S785" s="39" t="s">
        <v>149</v>
      </c>
      <c r="T785" s="39" t="s">
        <v>149</v>
      </c>
      <c r="U785" s="42"/>
      <c r="V785" s="42"/>
      <c r="W785" s="36"/>
      <c r="X785" s="39">
        <f>B785*0.5/100</f>
        <v>0.5</v>
      </c>
      <c r="Y785" s="42"/>
      <c r="Z785" s="42"/>
      <c r="AA785" s="39">
        <f>B785*2.8/100</f>
        <v>2.8</v>
      </c>
      <c r="AB785" s="39">
        <v>0</v>
      </c>
      <c r="AC785"/>
    </row>
    <row r="786" spans="1:29">
      <c r="A786" s="40" t="s">
        <v>358</v>
      </c>
      <c r="B786" s="41">
        <v>100</v>
      </c>
      <c r="C786" s="38">
        <f>B786*172/100</f>
        <v>172</v>
      </c>
      <c r="D786" s="39">
        <f>B786*20.9/100</f>
        <v>20.9</v>
      </c>
      <c r="E786" s="39">
        <f>B786*9.3/100</f>
        <v>9.3000000000000007</v>
      </c>
      <c r="F786" s="39">
        <f>B786*2.7/100</f>
        <v>2.7</v>
      </c>
      <c r="G786" s="36"/>
      <c r="H786" s="36"/>
      <c r="I786" s="36"/>
      <c r="J786" s="39"/>
      <c r="K786" s="39">
        <f>B786*64/100</f>
        <v>64</v>
      </c>
      <c r="L786" s="39">
        <v>0</v>
      </c>
      <c r="M786" s="39">
        <v>0</v>
      </c>
      <c r="N786" s="39">
        <f>B786*11/100</f>
        <v>11</v>
      </c>
      <c r="O786" s="36"/>
      <c r="P786" s="36"/>
      <c r="Q786" s="36"/>
      <c r="R786" s="39">
        <f>B786*0.7/100</f>
        <v>0.7</v>
      </c>
      <c r="S786" s="39">
        <f>B786*63/100</f>
        <v>63</v>
      </c>
      <c r="T786" s="39">
        <f>B786*220/100</f>
        <v>220</v>
      </c>
      <c r="U786" s="42"/>
      <c r="V786" s="42"/>
      <c r="W786" s="36"/>
      <c r="X786" s="39">
        <f>B786*0.06/100</f>
        <v>0.06</v>
      </c>
      <c r="Y786" s="42"/>
      <c r="Z786" s="42"/>
      <c r="AA786" s="39">
        <f>B786*9.9/100</f>
        <v>9.9</v>
      </c>
      <c r="AB786" s="39">
        <f>B786*1/100</f>
        <v>1</v>
      </c>
      <c r="AC786"/>
    </row>
    <row r="787" spans="1:29">
      <c r="A787" s="40" t="s">
        <v>359</v>
      </c>
      <c r="B787" s="41">
        <v>100</v>
      </c>
      <c r="C787" s="38">
        <f>B787*110/100</f>
        <v>110</v>
      </c>
      <c r="D787" s="39">
        <f>B787*23/100</f>
        <v>23</v>
      </c>
      <c r="E787" s="39">
        <f>B787*1.2/100</f>
        <v>1.2</v>
      </c>
      <c r="F787" s="39">
        <f>B787*0.3/100</f>
        <v>0.3</v>
      </c>
      <c r="G787" s="36"/>
      <c r="H787" s="36"/>
      <c r="I787" s="36"/>
      <c r="J787" s="39"/>
      <c r="K787" s="39">
        <f>B787*58/100</f>
        <v>58</v>
      </c>
      <c r="L787" s="39">
        <v>0</v>
      </c>
      <c r="M787" s="39">
        <v>0</v>
      </c>
      <c r="N787" s="39">
        <f>B787*11/100</f>
        <v>11</v>
      </c>
      <c r="O787" s="36"/>
      <c r="P787" s="36"/>
      <c r="Q787" s="36"/>
      <c r="R787" s="39">
        <f>B787*0.7/100</f>
        <v>0.7</v>
      </c>
      <c r="S787" s="39">
        <f>B787*65/100</f>
        <v>65</v>
      </c>
      <c r="T787" s="39">
        <f>B787*255/100</f>
        <v>255</v>
      </c>
      <c r="U787" s="42"/>
      <c r="V787" s="42"/>
      <c r="W787" s="36"/>
      <c r="X787" s="39">
        <f>B787*0.07/100</f>
        <v>7.0000000000000007E-2</v>
      </c>
      <c r="Y787" s="42"/>
      <c r="Z787" s="42"/>
      <c r="AA787" s="39">
        <f>B787*11.2/100</f>
        <v>11.2</v>
      </c>
      <c r="AB787" s="39">
        <f>B787*1.2/100</f>
        <v>1.2</v>
      </c>
      <c r="AC787"/>
    </row>
    <row r="788" spans="1:29">
      <c r="A788" s="40" t="s">
        <v>360</v>
      </c>
      <c r="B788" s="41">
        <v>100</v>
      </c>
      <c r="C788" s="41">
        <f>B788*93/100</f>
        <v>93</v>
      </c>
      <c r="D788" s="41">
        <f>B788*21.8/100</f>
        <v>21.8</v>
      </c>
      <c r="E788" s="41">
        <f>B788*0.6/100</f>
        <v>0.6</v>
      </c>
      <c r="F788" s="41">
        <v>0</v>
      </c>
      <c r="G788" s="36"/>
      <c r="H788" s="36"/>
      <c r="I788" s="36"/>
      <c r="J788" s="41"/>
      <c r="K788" s="41">
        <f>B788*20/100</f>
        <v>20</v>
      </c>
      <c r="L788" s="41">
        <v>0</v>
      </c>
      <c r="M788" s="41">
        <v>0</v>
      </c>
      <c r="N788" s="41">
        <f>B788*16.2/100</f>
        <v>16.2</v>
      </c>
      <c r="O788" s="36"/>
      <c r="P788" s="36"/>
      <c r="Q788" s="36"/>
      <c r="R788" s="41">
        <f>B788*1.2/100</f>
        <v>1.2</v>
      </c>
      <c r="S788" s="41">
        <f>B788*883/100</f>
        <v>883</v>
      </c>
      <c r="T788" s="41">
        <f>B788*212/100</f>
        <v>212</v>
      </c>
      <c r="U788" s="42"/>
      <c r="V788" s="42"/>
      <c r="W788" s="36"/>
      <c r="X788" s="41">
        <v>0</v>
      </c>
      <c r="Y788" s="42"/>
      <c r="Z788" s="42"/>
      <c r="AA788" s="41">
        <v>0</v>
      </c>
      <c r="AB788" s="41">
        <v>0</v>
      </c>
      <c r="AC788"/>
    </row>
    <row r="789" spans="1:29">
      <c r="A789" s="40" t="s">
        <v>361</v>
      </c>
      <c r="B789" s="41">
        <v>100</v>
      </c>
      <c r="C789" s="41">
        <f>B789*13/100</f>
        <v>13</v>
      </c>
      <c r="D789" s="41">
        <f>B789*0.7/100</f>
        <v>0.7</v>
      </c>
      <c r="E789" s="41">
        <f>B789*0.1/100</f>
        <v>0.1</v>
      </c>
      <c r="F789" s="41">
        <f>B789*0.04/100</f>
        <v>0.04</v>
      </c>
      <c r="G789" s="36"/>
      <c r="H789" s="36"/>
      <c r="I789" s="36"/>
      <c r="J789" s="41"/>
      <c r="K789" s="41">
        <v>0</v>
      </c>
      <c r="L789" s="41">
        <f>B789*2.8/100</f>
        <v>2.8</v>
      </c>
      <c r="M789" s="41">
        <f>B789*0.7/100</f>
        <v>0.7</v>
      </c>
      <c r="N789" s="41">
        <f>B789*14/100</f>
        <v>14</v>
      </c>
      <c r="O789" s="36"/>
      <c r="P789" s="36"/>
      <c r="Q789" s="36"/>
      <c r="R789" s="41">
        <f>B789*0.3/100</f>
        <v>0.3</v>
      </c>
      <c r="S789" s="41">
        <f>B789*2/100</f>
        <v>2</v>
      </c>
      <c r="T789" s="41">
        <f>B789*144/100</f>
        <v>144</v>
      </c>
      <c r="U789" s="42"/>
      <c r="V789" s="42"/>
      <c r="W789" s="36"/>
      <c r="X789" s="41">
        <f>B789*0.02/100</f>
        <v>0.02</v>
      </c>
      <c r="Y789" s="42"/>
      <c r="Z789" s="42"/>
      <c r="AA789" s="41">
        <f>B789*0.2/100</f>
        <v>0.2</v>
      </c>
      <c r="AB789" s="41">
        <f>B789*5.3/100</f>
        <v>5.3</v>
      </c>
      <c r="AC789"/>
    </row>
    <row r="790" spans="1:29">
      <c r="A790" s="40" t="s">
        <v>362</v>
      </c>
      <c r="B790" s="41">
        <v>100</v>
      </c>
      <c r="C790" s="38">
        <f>B790*59/100</f>
        <v>59</v>
      </c>
      <c r="D790" s="39">
        <f>B790*0.4/100</f>
        <v>0.4</v>
      </c>
      <c r="E790" s="39">
        <f>B790*0.4/100</f>
        <v>0.4</v>
      </c>
      <c r="F790" s="39">
        <f>B790*0.02/100</f>
        <v>0.02</v>
      </c>
      <c r="G790" s="36"/>
      <c r="H790" s="36"/>
      <c r="I790" s="36"/>
      <c r="J790" s="39"/>
      <c r="K790" s="39">
        <v>0</v>
      </c>
      <c r="L790" s="39">
        <f>B790*15.1/100</f>
        <v>15.1</v>
      </c>
      <c r="M790" s="39">
        <f>B790*2.4/100</f>
        <v>2.4</v>
      </c>
      <c r="N790" s="39">
        <f>B790*11/100</f>
        <v>11</v>
      </c>
      <c r="O790" s="36"/>
      <c r="P790" s="36"/>
      <c r="Q790" s="36"/>
      <c r="R790" s="39">
        <f>B790*0.25/100</f>
        <v>0.25</v>
      </c>
      <c r="S790" s="39">
        <v>0</v>
      </c>
      <c r="T790" s="39">
        <f>B790*125/100</f>
        <v>125</v>
      </c>
      <c r="U790" s="42"/>
      <c r="V790" s="42"/>
      <c r="W790" s="36"/>
      <c r="X790" s="39">
        <f>B790*0.02/100</f>
        <v>0.02</v>
      </c>
      <c r="Y790" s="42"/>
      <c r="Z790" s="42"/>
      <c r="AA790" s="39">
        <f>B790*0.1/100</f>
        <v>0.1</v>
      </c>
      <c r="AB790" s="39">
        <f>B790*4/100</f>
        <v>4</v>
      </c>
      <c r="AC790"/>
    </row>
    <row r="791" spans="1:29">
      <c r="A791" s="40" t="s">
        <v>363</v>
      </c>
      <c r="B791" s="41">
        <v>100</v>
      </c>
      <c r="C791" s="38">
        <f>B791*217/100</f>
        <v>217</v>
      </c>
      <c r="D791" s="39">
        <f>B791*20/100</f>
        <v>20</v>
      </c>
      <c r="E791" s="39">
        <f>B791*11.3/100</f>
        <v>11.3</v>
      </c>
      <c r="F791" s="39">
        <f>B791*2.8/100</f>
        <v>2.8</v>
      </c>
      <c r="G791" s="36"/>
      <c r="H791" s="36"/>
      <c r="I791" s="36"/>
      <c r="J791" s="39"/>
      <c r="K791" s="39">
        <f>B791*68.6/100</f>
        <v>68.599999999999994</v>
      </c>
      <c r="L791" s="39">
        <f>B791*7.9/100</f>
        <v>7.9</v>
      </c>
      <c r="M791" s="39">
        <f>B791*0.4/100</f>
        <v>0.4</v>
      </c>
      <c r="N791" s="39">
        <f>B791*34.8/100</f>
        <v>34.799999999999997</v>
      </c>
      <c r="O791" s="36"/>
      <c r="P791" s="36"/>
      <c r="Q791" s="36"/>
      <c r="R791" s="39">
        <f>B791*0.8/100</f>
        <v>0.8</v>
      </c>
      <c r="S791" s="39">
        <f>B791*386.8/100</f>
        <v>386.8</v>
      </c>
      <c r="T791" s="39">
        <f>B791*369.7/100</f>
        <v>369.7</v>
      </c>
      <c r="U791" s="42"/>
      <c r="V791" s="42"/>
      <c r="W791" s="36"/>
      <c r="X791" s="39">
        <f>B791*0.1/100</f>
        <v>0.1</v>
      </c>
      <c r="Y791" s="42"/>
      <c r="Z791" s="42"/>
      <c r="AA791" s="39">
        <f>B791*3.2/100</f>
        <v>3.2</v>
      </c>
      <c r="AB791" s="39">
        <f>B791*1.3/100</f>
        <v>1.3</v>
      </c>
      <c r="AC791"/>
    </row>
    <row r="792" spans="1:29">
      <c r="A792" s="40" t="s">
        <v>364</v>
      </c>
      <c r="B792" s="41">
        <v>100</v>
      </c>
      <c r="C792" s="38">
        <f>B792*217.6/100</f>
        <v>217.6</v>
      </c>
      <c r="D792" s="39">
        <f>B792*20.06/100</f>
        <v>20.059999999999999</v>
      </c>
      <c r="E792" s="39">
        <f>B792*11.3/100</f>
        <v>11.3</v>
      </c>
      <c r="F792" s="39">
        <f>B792*2.85/100</f>
        <v>2.85</v>
      </c>
      <c r="G792" s="36"/>
      <c r="H792" s="36"/>
      <c r="I792" s="36"/>
      <c r="J792" s="39"/>
      <c r="K792" s="39">
        <f>B792*68.63/100</f>
        <v>68.63</v>
      </c>
      <c r="L792" s="39">
        <f>B792*7.88/100</f>
        <v>7.88</v>
      </c>
      <c r="M792" s="39">
        <f>B792*0.44/100</f>
        <v>0.44</v>
      </c>
      <c r="N792" s="39">
        <f>B792*34.83/100</f>
        <v>34.83</v>
      </c>
      <c r="O792" s="36"/>
      <c r="P792" s="36"/>
      <c r="Q792" s="36"/>
      <c r="R792" s="39">
        <f>B792*0.85/100</f>
        <v>0.85</v>
      </c>
      <c r="S792" s="39">
        <f>B792*387.2/100</f>
        <v>387.2</v>
      </c>
      <c r="T792" s="39">
        <f>B792*370.1/100</f>
        <v>370.1</v>
      </c>
      <c r="U792" s="42"/>
      <c r="V792" s="42"/>
      <c r="W792" s="36"/>
      <c r="X792" s="39">
        <f>B792*0.19/100</f>
        <v>0.19</v>
      </c>
      <c r="Y792" s="42"/>
      <c r="Z792" s="42"/>
      <c r="AA792" s="39">
        <f>B792*3.23/100</f>
        <v>3.23</v>
      </c>
      <c r="AB792" s="39">
        <f>B792*1.32/100</f>
        <v>1.32</v>
      </c>
      <c r="AC792"/>
    </row>
    <row r="793" spans="1:29">
      <c r="A793" s="40" t="s">
        <v>365</v>
      </c>
      <c r="B793" s="41">
        <v>100</v>
      </c>
      <c r="C793" s="38">
        <f>B793*255/100</f>
        <v>255</v>
      </c>
      <c r="D793" s="39">
        <f>B793*10.9/100</f>
        <v>10.9</v>
      </c>
      <c r="E793" s="39">
        <f>B793*3.2/100</f>
        <v>3.2</v>
      </c>
      <c r="F793" s="39">
        <f>B793*0.98/100</f>
        <v>0.98</v>
      </c>
      <c r="G793" s="36"/>
      <c r="H793" s="36"/>
      <c r="I793" s="36"/>
      <c r="J793" s="39"/>
      <c r="K793" s="39">
        <v>0</v>
      </c>
      <c r="L793" s="39">
        <f>B793*64.8/100</f>
        <v>64.8</v>
      </c>
      <c r="M793" s="39">
        <f>B793*26.5/100</f>
        <v>26.5</v>
      </c>
      <c r="N793" s="39">
        <f>B793*437/100</f>
        <v>437</v>
      </c>
      <c r="O793" s="36"/>
      <c r="P793" s="36"/>
      <c r="Q793" s="36"/>
      <c r="R793" s="39">
        <f>B793*28.9/100</f>
        <v>28.9</v>
      </c>
      <c r="S793" s="39">
        <f>B793*44/100</f>
        <v>44</v>
      </c>
      <c r="T793" s="39">
        <f>B793*1259/100</f>
        <v>1259</v>
      </c>
      <c r="U793" s="42"/>
      <c r="V793" s="42"/>
      <c r="W793" s="36"/>
      <c r="X793" s="39">
        <f>B793*0.1/100</f>
        <v>0.1</v>
      </c>
      <c r="Y793" s="42"/>
      <c r="Z793" s="42"/>
      <c r="AA793" s="39">
        <f>B793*1.14/100</f>
        <v>1.1399999999999999</v>
      </c>
      <c r="AB793" s="39">
        <v>0</v>
      </c>
      <c r="AC793"/>
    </row>
    <row r="794" spans="1:29">
      <c r="A794" s="40" t="s">
        <v>366</v>
      </c>
      <c r="B794" s="41">
        <v>100</v>
      </c>
      <c r="C794" s="38">
        <f>B794*27/100</f>
        <v>27</v>
      </c>
      <c r="D794" s="39">
        <f>B794*0.9/100</f>
        <v>0.9</v>
      </c>
      <c r="E794" s="39">
        <f>B794*0.2/100</f>
        <v>0.2</v>
      </c>
      <c r="F794" s="39">
        <f>B794*0.03/100</f>
        <v>0.03</v>
      </c>
      <c r="G794" s="36"/>
      <c r="H794" s="36"/>
      <c r="I794" s="36"/>
      <c r="J794" s="39"/>
      <c r="K794" s="39">
        <v>0</v>
      </c>
      <c r="L794" s="39">
        <f>B794*6.4/100</f>
        <v>6.4</v>
      </c>
      <c r="M794" s="39">
        <f>B794*1.7/100</f>
        <v>1.7</v>
      </c>
      <c r="N794" s="39">
        <f>B794*9/100</f>
        <v>9</v>
      </c>
      <c r="O794" s="36"/>
      <c r="P794" s="36"/>
      <c r="Q794" s="36"/>
      <c r="R794" s="39">
        <f>B794*0.5/100</f>
        <v>0.5</v>
      </c>
      <c r="S794" s="39">
        <f>B794*2/100</f>
        <v>2</v>
      </c>
      <c r="T794" s="39">
        <f>B794*177/100</f>
        <v>177</v>
      </c>
      <c r="U794" s="42"/>
      <c r="V794" s="42"/>
      <c r="W794" s="36"/>
      <c r="X794" s="39">
        <f>B794*0.07/100</f>
        <v>7.0000000000000007E-2</v>
      </c>
      <c r="Y794" s="42"/>
      <c r="Z794" s="42"/>
      <c r="AA794" s="39">
        <f>B794*0.5/100</f>
        <v>0.5</v>
      </c>
      <c r="AB794" s="39">
        <f>B794*190/100</f>
        <v>190</v>
      </c>
      <c r="AC794"/>
    </row>
    <row r="795" spans="1:29">
      <c r="A795" s="40" t="s">
        <v>367</v>
      </c>
      <c r="B795" s="41">
        <v>100</v>
      </c>
      <c r="C795" s="38">
        <f>B795*27/100</f>
        <v>27</v>
      </c>
      <c r="D795" s="39">
        <f>B795*0.9/100</f>
        <v>0.9</v>
      </c>
      <c r="E795" s="39">
        <f>B795*0.2/100</f>
        <v>0.2</v>
      </c>
      <c r="F795" s="39">
        <f>B795*0.03/100</f>
        <v>0.03</v>
      </c>
      <c r="G795" s="36"/>
      <c r="H795" s="36"/>
      <c r="I795" s="36"/>
      <c r="J795" s="39"/>
      <c r="K795" s="39">
        <v>0</v>
      </c>
      <c r="L795" s="39">
        <f>B795*6.4/100</f>
        <v>6.4</v>
      </c>
      <c r="M795" s="39">
        <f>B795*1.7/100</f>
        <v>1.7</v>
      </c>
      <c r="N795" s="39">
        <f>B795*9/100</f>
        <v>9</v>
      </c>
      <c r="O795" s="36"/>
      <c r="P795" s="36"/>
      <c r="Q795" s="36"/>
      <c r="R795" s="39">
        <f>B795*0.5/100</f>
        <v>0.5</v>
      </c>
      <c r="S795" s="39">
        <f>B795*2/100</f>
        <v>2</v>
      </c>
      <c r="T795" s="39">
        <f>B795*177/100</f>
        <v>177</v>
      </c>
      <c r="U795" s="42"/>
      <c r="V795" s="42"/>
      <c r="W795" s="36"/>
      <c r="X795" s="39">
        <f>B795*0.07/100</f>
        <v>7.0000000000000007E-2</v>
      </c>
      <c r="Y795" s="42"/>
      <c r="Z795" s="42"/>
      <c r="AA795" s="39">
        <f>B795*0.5/100</f>
        <v>0.5</v>
      </c>
      <c r="AB795" s="39">
        <f>B795*89.3/100</f>
        <v>89.3</v>
      </c>
      <c r="AC795"/>
    </row>
    <row r="796" spans="1:29">
      <c r="A796" s="40" t="s">
        <v>368</v>
      </c>
      <c r="B796" s="41">
        <v>100</v>
      </c>
      <c r="C796" s="38">
        <f>B796*30.6/100</f>
        <v>30.6</v>
      </c>
      <c r="D796" s="39">
        <f>B796*0.7/100</f>
        <v>0.7</v>
      </c>
      <c r="E796" s="39">
        <v>0</v>
      </c>
      <c r="F796" s="39">
        <v>0</v>
      </c>
      <c r="G796" s="36"/>
      <c r="H796" s="36"/>
      <c r="I796" s="36"/>
      <c r="J796" s="39"/>
      <c r="K796" s="39">
        <v>0</v>
      </c>
      <c r="L796" s="39">
        <f>B796*6.9/100</f>
        <v>6.9</v>
      </c>
      <c r="M796" s="39">
        <f>B796*0.6/100</f>
        <v>0.6</v>
      </c>
      <c r="N796" s="39">
        <f>B796*11.7/100</f>
        <v>11.7</v>
      </c>
      <c r="O796" s="36"/>
      <c r="P796" s="36"/>
      <c r="Q796" s="36"/>
      <c r="R796" s="39">
        <f>B796*0.2/100</f>
        <v>0.2</v>
      </c>
      <c r="S796" s="39">
        <v>0</v>
      </c>
      <c r="T796" s="39">
        <f>B796*83/100</f>
        <v>83</v>
      </c>
      <c r="U796" s="42"/>
      <c r="V796" s="42"/>
      <c r="W796" s="36"/>
      <c r="X796" s="39">
        <f>B796*0.03/100</f>
        <v>0.03</v>
      </c>
      <c r="Y796" s="42"/>
      <c r="Z796" s="42"/>
      <c r="AA796" s="39">
        <v>0</v>
      </c>
      <c r="AB796" s="39">
        <f>B796*800/100</f>
        <v>800</v>
      </c>
      <c r="AC796"/>
    </row>
    <row r="797" spans="1:29">
      <c r="A797" s="40" t="s">
        <v>369</v>
      </c>
      <c r="B797" s="41">
        <v>100</v>
      </c>
      <c r="C797" s="38">
        <f>B797*357/100</f>
        <v>357</v>
      </c>
      <c r="D797" s="39">
        <f>B797*0.3/100</f>
        <v>0.3</v>
      </c>
      <c r="E797" s="39">
        <f>B797*0.1/100</f>
        <v>0.1</v>
      </c>
      <c r="F797" s="39">
        <f>B797*0.02/100</f>
        <v>0.02</v>
      </c>
      <c r="G797" s="36"/>
      <c r="H797" s="36"/>
      <c r="I797" s="36"/>
      <c r="J797" s="39"/>
      <c r="K797" s="39">
        <v>0</v>
      </c>
      <c r="L797" s="39">
        <f>B797*88/100</f>
        <v>88</v>
      </c>
      <c r="M797" s="39">
        <f>B797*3/100</f>
        <v>3</v>
      </c>
      <c r="N797" s="39">
        <f>B797*40/100</f>
        <v>40</v>
      </c>
      <c r="O797" s="36"/>
      <c r="P797" s="36"/>
      <c r="Q797" s="36"/>
      <c r="R797" s="39">
        <f>B797*0.3/100</f>
        <v>0.3</v>
      </c>
      <c r="S797" s="39">
        <f>B797*2/100</f>
        <v>2</v>
      </c>
      <c r="T797" s="39">
        <f>B797*11/100</f>
        <v>11</v>
      </c>
      <c r="U797" s="42"/>
      <c r="V797" s="42"/>
      <c r="W797" s="36"/>
      <c r="X797" s="39">
        <v>0</v>
      </c>
      <c r="Y797" s="42"/>
      <c r="Z797" s="42"/>
      <c r="AA797" s="39">
        <v>0</v>
      </c>
      <c r="AB797" s="39">
        <v>0</v>
      </c>
      <c r="AC797"/>
    </row>
    <row r="798" spans="1:29">
      <c r="A798" s="40" t="s">
        <v>370</v>
      </c>
      <c r="B798" s="41">
        <v>250</v>
      </c>
      <c r="C798" s="38">
        <v>515</v>
      </c>
      <c r="D798" s="39">
        <v>35</v>
      </c>
      <c r="E798" s="39">
        <v>15</v>
      </c>
      <c r="F798" s="39">
        <v>3</v>
      </c>
      <c r="G798" s="36"/>
      <c r="H798" s="36"/>
      <c r="I798" s="36"/>
      <c r="J798" s="39"/>
      <c r="K798" s="39">
        <v>82</v>
      </c>
      <c r="L798" s="39">
        <v>60</v>
      </c>
      <c r="M798" s="39">
        <v>5</v>
      </c>
      <c r="N798" s="39">
        <v>175</v>
      </c>
      <c r="O798" s="36"/>
      <c r="P798" s="36"/>
      <c r="Q798" s="36"/>
      <c r="R798" s="39">
        <v>5</v>
      </c>
      <c r="S798" s="39">
        <v>620</v>
      </c>
      <c r="T798" s="39">
        <v>0</v>
      </c>
      <c r="U798" s="42"/>
      <c r="V798" s="42"/>
      <c r="W798" s="36"/>
      <c r="X798" s="39">
        <v>0</v>
      </c>
      <c r="Y798" s="42"/>
      <c r="Z798" s="42"/>
      <c r="AA798" s="39">
        <v>0</v>
      </c>
      <c r="AB798" s="39">
        <v>0</v>
      </c>
      <c r="AC798"/>
    </row>
    <row r="799" spans="1:29">
      <c r="A799" s="40" t="s">
        <v>371</v>
      </c>
      <c r="B799" s="41">
        <v>100</v>
      </c>
      <c r="C799" s="41">
        <f>B799*115/100</f>
        <v>115</v>
      </c>
      <c r="D799" s="41">
        <f>B799*18.4/100</f>
        <v>18.399999999999999</v>
      </c>
      <c r="E799" s="41">
        <f>B799*2.7/100</f>
        <v>2.7</v>
      </c>
      <c r="F799" s="41">
        <v>0</v>
      </c>
      <c r="G799" s="36"/>
      <c r="H799" s="36"/>
      <c r="I799" s="36"/>
      <c r="J799" s="41"/>
      <c r="K799" s="41">
        <v>0</v>
      </c>
      <c r="L799" s="41">
        <v>0</v>
      </c>
      <c r="M799" s="41">
        <v>0</v>
      </c>
      <c r="N799" s="41">
        <v>0</v>
      </c>
      <c r="O799" s="36"/>
      <c r="P799" s="36"/>
      <c r="Q799" s="36"/>
      <c r="R799" s="41">
        <v>0</v>
      </c>
      <c r="S799" s="41">
        <v>0</v>
      </c>
      <c r="T799" s="41">
        <v>0</v>
      </c>
      <c r="U799" s="42"/>
      <c r="V799" s="42"/>
      <c r="W799" s="36"/>
      <c r="X799" s="41">
        <v>0</v>
      </c>
      <c r="Y799" s="42"/>
      <c r="Z799" s="42"/>
      <c r="AA799" s="41">
        <v>0</v>
      </c>
      <c r="AB799" s="41">
        <v>0</v>
      </c>
      <c r="AC799"/>
    </row>
    <row r="800" spans="1:29">
      <c r="A800" s="40" t="s">
        <v>372</v>
      </c>
      <c r="B800" s="41">
        <v>100</v>
      </c>
      <c r="C800" s="41">
        <f>B800*182/100</f>
        <v>182</v>
      </c>
      <c r="D800" s="41">
        <f>B800*17.6/100</f>
        <v>17.600000000000001</v>
      </c>
      <c r="E800" s="41">
        <f>B800*10.6/100</f>
        <v>10.6</v>
      </c>
      <c r="F800" s="41">
        <f>B800*3.4/100</f>
        <v>3.4</v>
      </c>
      <c r="G800" s="36"/>
      <c r="H800" s="36"/>
      <c r="I800" s="36"/>
      <c r="J800" s="41"/>
      <c r="K800" s="41">
        <f>B800*57/100</f>
        <v>57</v>
      </c>
      <c r="L800" s="41">
        <f>B800*3.1/100</f>
        <v>3.1</v>
      </c>
      <c r="M800" s="41">
        <v>0</v>
      </c>
      <c r="N800" s="41">
        <f>B800*7/100</f>
        <v>7</v>
      </c>
      <c r="O800" s="36"/>
      <c r="P800" s="36"/>
      <c r="Q800" s="36"/>
      <c r="R800" s="41">
        <f>B800*1/100</f>
        <v>1</v>
      </c>
      <c r="S800" s="41">
        <f>B800*1317/100</f>
        <v>1317</v>
      </c>
      <c r="T800" s="41">
        <f>B800*332/100</f>
        <v>332</v>
      </c>
      <c r="U800" s="42"/>
      <c r="V800" s="42"/>
      <c r="W800" s="36"/>
      <c r="X800" s="41">
        <f>B800*0.9/100</f>
        <v>0.9</v>
      </c>
      <c r="Y800" s="42"/>
      <c r="Z800" s="42"/>
      <c r="AA800" s="41">
        <f>B800*5.2/100</f>
        <v>5.2</v>
      </c>
      <c r="AB800" s="41">
        <f>B800*28/100</f>
        <v>28</v>
      </c>
      <c r="AC800"/>
    </row>
    <row r="801" spans="1:29">
      <c r="A801" s="40" t="s">
        <v>373</v>
      </c>
      <c r="B801" s="41">
        <v>100</v>
      </c>
      <c r="C801" s="41">
        <f>B801*103/100</f>
        <v>103</v>
      </c>
      <c r="D801" s="41">
        <f>B801*20/100</f>
        <v>20</v>
      </c>
      <c r="E801" s="41">
        <f>B801*2.5/100</f>
        <v>2.5</v>
      </c>
      <c r="F801" s="41">
        <v>0</v>
      </c>
      <c r="G801" s="36"/>
      <c r="H801" s="36"/>
      <c r="I801" s="36"/>
      <c r="J801" s="41"/>
      <c r="K801" s="41">
        <f>B801*29.5/100</f>
        <v>29.5</v>
      </c>
      <c r="L801" s="41">
        <v>0</v>
      </c>
      <c r="M801" s="41">
        <v>0</v>
      </c>
      <c r="N801" s="41">
        <f>B801*32.3/100</f>
        <v>32.299999999999997</v>
      </c>
      <c r="O801" s="36"/>
      <c r="P801" s="36"/>
      <c r="Q801" s="36"/>
      <c r="R801" s="41">
        <f>B801*2.6/100</f>
        <v>2.6</v>
      </c>
      <c r="S801" s="41">
        <f>B801*1121/100</f>
        <v>1121</v>
      </c>
      <c r="T801" s="41">
        <f>B801*301/100</f>
        <v>301</v>
      </c>
      <c r="U801" s="42"/>
      <c r="V801" s="42"/>
      <c r="W801" s="36"/>
      <c r="X801" s="41">
        <v>0</v>
      </c>
      <c r="Y801" s="42"/>
      <c r="Z801" s="42"/>
      <c r="AA801" s="41">
        <v>0</v>
      </c>
      <c r="AB801" s="41">
        <v>0</v>
      </c>
      <c r="AC801"/>
    </row>
    <row r="802" spans="1:29">
      <c r="A802" s="40" t="s">
        <v>374</v>
      </c>
      <c r="B802" s="41">
        <v>100</v>
      </c>
      <c r="C802" s="41">
        <f>B802*343/100</f>
        <v>343</v>
      </c>
      <c r="D802" s="41">
        <f>B802*52.4/100</f>
        <v>52.4</v>
      </c>
      <c r="E802" s="41">
        <f>B802*1.2/100</f>
        <v>1.2</v>
      </c>
      <c r="F802" s="41">
        <v>0</v>
      </c>
      <c r="G802" s="36"/>
      <c r="H802" s="36"/>
      <c r="I802" s="36"/>
      <c r="J802" s="41"/>
      <c r="K802" s="41">
        <v>0</v>
      </c>
      <c r="L802" s="41">
        <f>B802*30.5/100</f>
        <v>30.5</v>
      </c>
      <c r="M802" s="41">
        <v>0</v>
      </c>
      <c r="N802" s="41">
        <v>0</v>
      </c>
      <c r="O802" s="36"/>
      <c r="P802" s="36"/>
      <c r="Q802" s="36"/>
      <c r="R802" s="41">
        <v>0</v>
      </c>
      <c r="S802" s="41">
        <v>0</v>
      </c>
      <c r="T802" s="41">
        <v>0</v>
      </c>
      <c r="U802" s="42"/>
      <c r="V802" s="42"/>
      <c r="W802" s="36"/>
      <c r="X802" s="41">
        <v>0</v>
      </c>
      <c r="Y802" s="42"/>
      <c r="Z802" s="42"/>
      <c r="AA802" s="41">
        <v>0</v>
      </c>
      <c r="AB802" s="41">
        <v>0</v>
      </c>
      <c r="AC802"/>
    </row>
    <row r="803" spans="1:29">
      <c r="A803" s="40" t="s">
        <v>375</v>
      </c>
      <c r="B803" s="41">
        <v>100</v>
      </c>
      <c r="C803" s="38">
        <f>B803*216/100</f>
        <v>216</v>
      </c>
      <c r="D803" s="39">
        <f>B803*6.6/100</f>
        <v>6.6</v>
      </c>
      <c r="E803" s="39">
        <f>B803*6.3/100</f>
        <v>6.3</v>
      </c>
      <c r="F803" s="39">
        <f>B803*3.3/100</f>
        <v>3.3</v>
      </c>
      <c r="G803" s="36"/>
      <c r="H803" s="36"/>
      <c r="I803" s="36"/>
      <c r="J803" s="39"/>
      <c r="K803" s="39">
        <f>B803*106.3/100</f>
        <v>106.3</v>
      </c>
      <c r="L803" s="39">
        <f>B803*34/100</f>
        <v>34</v>
      </c>
      <c r="M803" s="39">
        <v>0</v>
      </c>
      <c r="N803" s="39">
        <f>B803*151.9/100</f>
        <v>151.9</v>
      </c>
      <c r="O803" s="36"/>
      <c r="P803" s="36"/>
      <c r="Q803" s="36"/>
      <c r="R803" s="39">
        <f>B803*0.4/100</f>
        <v>0.4</v>
      </c>
      <c r="S803" s="39">
        <f>B803*88.7/100</f>
        <v>88.7</v>
      </c>
      <c r="T803" s="39">
        <f>B803*209.5/100</f>
        <v>209.5</v>
      </c>
      <c r="U803" s="42"/>
      <c r="V803" s="42"/>
      <c r="W803" s="36"/>
      <c r="X803" s="39">
        <f>B803*0.06/100</f>
        <v>0.06</v>
      </c>
      <c r="Y803" s="42"/>
      <c r="Z803" s="42"/>
      <c r="AA803" s="39">
        <f>B803*0.1/100</f>
        <v>0.1</v>
      </c>
      <c r="AB803" s="39">
        <f>B803*1.2/100</f>
        <v>1.2</v>
      </c>
      <c r="AC803"/>
    </row>
    <row r="804" spans="1:29">
      <c r="A804" s="40" t="s">
        <v>376</v>
      </c>
      <c r="B804" s="41">
        <v>100</v>
      </c>
      <c r="C804" s="38">
        <f>B804*47.6/100</f>
        <v>47.6</v>
      </c>
      <c r="D804" s="39">
        <f>B804*3.3/100</f>
        <v>3.3</v>
      </c>
      <c r="E804" s="39">
        <f>B804*0.08/100</f>
        <v>0.08</v>
      </c>
      <c r="F804" s="39">
        <v>0</v>
      </c>
      <c r="G804" s="36"/>
      <c r="H804" s="36"/>
      <c r="I804" s="36"/>
      <c r="J804" s="39"/>
      <c r="K804" s="39">
        <v>0</v>
      </c>
      <c r="L804" s="39">
        <f>B804*8.9/100</f>
        <v>8.9</v>
      </c>
      <c r="M804" s="39">
        <v>0</v>
      </c>
      <c r="N804" s="39">
        <v>0</v>
      </c>
      <c r="O804" s="36"/>
      <c r="P804" s="36"/>
      <c r="Q804" s="36"/>
      <c r="R804" s="39">
        <v>0</v>
      </c>
      <c r="S804" s="39">
        <v>0</v>
      </c>
      <c r="T804" s="39">
        <v>0</v>
      </c>
      <c r="U804" s="42"/>
      <c r="V804" s="42"/>
      <c r="W804" s="36"/>
      <c r="X804" s="39">
        <v>0</v>
      </c>
      <c r="Y804" s="42"/>
      <c r="Z804" s="42"/>
      <c r="AA804" s="39">
        <v>0</v>
      </c>
      <c r="AB804" s="39">
        <v>0</v>
      </c>
      <c r="AC804"/>
    </row>
    <row r="805" spans="1:29">
      <c r="A805" s="40" t="s">
        <v>377</v>
      </c>
      <c r="B805" s="41">
        <v>100</v>
      </c>
      <c r="C805" s="38">
        <f>B805*63/100</f>
        <v>63</v>
      </c>
      <c r="D805" s="39">
        <f>B805*1.25/100</f>
        <v>1.25</v>
      </c>
      <c r="E805" s="39">
        <f>B805*4.4/100</f>
        <v>4.4000000000000004</v>
      </c>
      <c r="F805" s="39">
        <f>B805*0.04/100</f>
        <v>0.04</v>
      </c>
      <c r="G805" s="36"/>
      <c r="H805" s="36"/>
      <c r="I805" s="36"/>
      <c r="J805" s="39"/>
      <c r="K805" s="39">
        <f>B805*2.3/100</f>
        <v>2.2999999999999998</v>
      </c>
      <c r="L805" s="39">
        <f>B805*5.4/100</f>
        <v>5.4</v>
      </c>
      <c r="M805" s="39">
        <f>B805*0.9/100</f>
        <v>0.9</v>
      </c>
      <c r="N805" s="39">
        <f>B805*35.2/100</f>
        <v>35.200000000000003</v>
      </c>
      <c r="O805" s="36"/>
      <c r="P805" s="36"/>
      <c r="Q805" s="36"/>
      <c r="R805" s="39">
        <f>B805*0.6/100</f>
        <v>0.6</v>
      </c>
      <c r="S805" s="39">
        <f>B805*194.8/100</f>
        <v>194.8</v>
      </c>
      <c r="T805" s="39">
        <f>B805*243.05/100</f>
        <v>243.05</v>
      </c>
      <c r="U805" s="42"/>
      <c r="V805" s="42"/>
      <c r="W805" s="36"/>
      <c r="X805" s="39">
        <f>B805*0.035/100</f>
        <v>3.5000000000000003E-2</v>
      </c>
      <c r="Y805" s="42"/>
      <c r="Z805" s="42"/>
      <c r="AA805" s="39">
        <f>B805*0.4/100</f>
        <v>0.4</v>
      </c>
      <c r="AB805" s="39">
        <f>B805*5.5/100</f>
        <v>5.5</v>
      </c>
      <c r="AC805"/>
    </row>
    <row r="806" spans="1:29">
      <c r="A806" s="40" t="s">
        <v>378</v>
      </c>
      <c r="B806" s="41">
        <v>100</v>
      </c>
      <c r="C806" s="38">
        <f>B806*108/100</f>
        <v>108</v>
      </c>
      <c r="D806" s="39">
        <f>B806*1.9/100</f>
        <v>1.9</v>
      </c>
      <c r="E806" s="39">
        <f>B806*4.3/100</f>
        <v>4.3</v>
      </c>
      <c r="F806" s="39">
        <f>B806*1.1/100</f>
        <v>1.1000000000000001</v>
      </c>
      <c r="G806" s="36"/>
      <c r="H806" s="36"/>
      <c r="I806" s="36"/>
      <c r="J806" s="39"/>
      <c r="K806" s="39">
        <f>B806*2.6/100</f>
        <v>2.6</v>
      </c>
      <c r="L806" s="39">
        <f>B806*15.9/100</f>
        <v>15.9</v>
      </c>
      <c r="M806" s="39">
        <f>B806*1/100</f>
        <v>1</v>
      </c>
      <c r="N806" s="39">
        <f>B806*29.5/100</f>
        <v>29.5</v>
      </c>
      <c r="O806" s="36"/>
      <c r="P806" s="36"/>
      <c r="Q806" s="36"/>
      <c r="R806" s="39">
        <f>B806*0.2/100</f>
        <v>0.2</v>
      </c>
      <c r="S806" s="39">
        <f>B806*596.3/100</f>
        <v>596.29999999999995</v>
      </c>
      <c r="T806" s="39">
        <f>B806*276.6/100</f>
        <v>276.60000000000002</v>
      </c>
      <c r="U806" s="42"/>
      <c r="V806" s="42"/>
      <c r="W806" s="36"/>
      <c r="X806" s="39">
        <f>B806*0.08/100</f>
        <v>0.08</v>
      </c>
      <c r="Y806" s="42"/>
      <c r="Z806" s="42"/>
      <c r="AA806" s="39">
        <f>B806*1/100</f>
        <v>1</v>
      </c>
      <c r="AB806" s="39">
        <f>B806*5.7/100</f>
        <v>5.7</v>
      </c>
      <c r="AC806"/>
    </row>
    <row r="807" spans="1:29">
      <c r="A807" s="40" t="s">
        <v>379</v>
      </c>
      <c r="B807" s="41">
        <v>100</v>
      </c>
      <c r="C807" s="38">
        <f>B807*34/100</f>
        <v>34</v>
      </c>
      <c r="D807" s="39">
        <f>B807*1/100</f>
        <v>1</v>
      </c>
      <c r="E807" s="39">
        <f>B807*1/100</f>
        <v>1</v>
      </c>
      <c r="F807" s="39">
        <v>0</v>
      </c>
      <c r="G807" s="36"/>
      <c r="H807" s="36"/>
      <c r="I807" s="36"/>
      <c r="J807" s="39"/>
      <c r="K807" s="39">
        <v>0</v>
      </c>
      <c r="L807" s="39">
        <f>B807*7.5/100</f>
        <v>7.5</v>
      </c>
      <c r="M807" s="39">
        <v>0</v>
      </c>
      <c r="N807" s="39">
        <v>0</v>
      </c>
      <c r="O807" s="36"/>
      <c r="P807" s="36"/>
      <c r="Q807" s="36"/>
      <c r="R807" s="39">
        <v>0</v>
      </c>
      <c r="S807" s="39">
        <f>B807*280/100</f>
        <v>280</v>
      </c>
      <c r="T807" s="39">
        <v>0</v>
      </c>
      <c r="U807" s="42"/>
      <c r="V807" s="42"/>
      <c r="W807" s="36"/>
      <c r="X807" s="39">
        <v>0</v>
      </c>
      <c r="Y807" s="42"/>
      <c r="Z807" s="42"/>
      <c r="AA807" s="39">
        <v>0</v>
      </c>
      <c r="AB807" s="39">
        <v>0</v>
      </c>
      <c r="AC807"/>
    </row>
    <row r="808" spans="1:29">
      <c r="A808" s="40" t="s">
        <v>380</v>
      </c>
      <c r="B808" s="41">
        <v>100</v>
      </c>
      <c r="C808" s="38">
        <f>B808*72/100</f>
        <v>72</v>
      </c>
      <c r="D808" s="39">
        <f>B808*12.4/100</f>
        <v>12.4</v>
      </c>
      <c r="E808" s="39">
        <f>B808*1/100</f>
        <v>1</v>
      </c>
      <c r="F808" s="39">
        <f>B808*0.65/100</f>
        <v>0.65</v>
      </c>
      <c r="G808" s="36"/>
      <c r="H808" s="36"/>
      <c r="I808" s="36"/>
      <c r="J808" s="39"/>
      <c r="K808" s="39">
        <f>B808*4.4/100</f>
        <v>4.4000000000000004</v>
      </c>
      <c r="L808" s="39">
        <f>B808*2.7/100</f>
        <v>2.7</v>
      </c>
      <c r="M808" s="39">
        <v>0</v>
      </c>
      <c r="N808" s="39">
        <f>B808*60.9/100</f>
        <v>60.9</v>
      </c>
      <c r="O808" s="36"/>
      <c r="P808" s="36"/>
      <c r="Q808" s="36"/>
      <c r="R808" s="39">
        <f>B808*0.14/100</f>
        <v>0.14000000000000001</v>
      </c>
      <c r="S808" s="39">
        <f>B808*406/100</f>
        <v>406</v>
      </c>
      <c r="T808" s="39">
        <f>B808*85/100</f>
        <v>85</v>
      </c>
      <c r="U808" s="42"/>
      <c r="V808" s="42"/>
      <c r="W808" s="36"/>
      <c r="X808" s="39">
        <f>B808*0.02/100</f>
        <v>0.02</v>
      </c>
      <c r="Y808" s="42"/>
      <c r="Z808" s="42"/>
      <c r="AA808" s="39">
        <f>B808*0.13/100</f>
        <v>0.13</v>
      </c>
      <c r="AB808" s="39">
        <v>0</v>
      </c>
      <c r="AC808"/>
    </row>
    <row r="809" spans="1:29">
      <c r="A809" s="40" t="s">
        <v>381</v>
      </c>
      <c r="B809" s="41">
        <v>100</v>
      </c>
      <c r="C809" s="38">
        <f>B809*243/100</f>
        <v>243</v>
      </c>
      <c r="D809" s="39">
        <f>B809*18/100</f>
        <v>18</v>
      </c>
      <c r="E809" s="39">
        <f>B809*19/100</f>
        <v>19</v>
      </c>
      <c r="F809" s="39">
        <f>B809*0/100</f>
        <v>0</v>
      </c>
      <c r="G809" s="36"/>
      <c r="H809" s="36"/>
      <c r="I809" s="36"/>
      <c r="J809" s="39"/>
      <c r="K809" s="39">
        <f>B809*0/100</f>
        <v>0</v>
      </c>
      <c r="L809" s="39">
        <f>B809*0/100</f>
        <v>0</v>
      </c>
      <c r="M809" s="39">
        <f>B809*0/100</f>
        <v>0</v>
      </c>
      <c r="N809" s="39">
        <f>B809*685/100</f>
        <v>685</v>
      </c>
      <c r="O809" s="36"/>
      <c r="P809" s="36"/>
      <c r="Q809" s="36"/>
      <c r="R809" s="39">
        <f>B809*0.4/100</f>
        <v>0.4</v>
      </c>
      <c r="S809" s="39">
        <f>B809*0/100</f>
        <v>0</v>
      </c>
      <c r="T809" s="39">
        <f>B809*0/100</f>
        <v>0</v>
      </c>
      <c r="U809" s="42"/>
      <c r="V809" s="42"/>
      <c r="W809" s="36"/>
      <c r="X809" s="39">
        <f>B809*0.03/100</f>
        <v>0.03</v>
      </c>
      <c r="Y809" s="42"/>
      <c r="Z809" s="42"/>
      <c r="AA809" s="39">
        <f>B809*0.1/100</f>
        <v>0.1</v>
      </c>
      <c r="AB809" s="39">
        <f>B809*0/100</f>
        <v>0</v>
      </c>
      <c r="AC809"/>
    </row>
    <row r="810" spans="1:29">
      <c r="A810" s="40" t="s">
        <v>382</v>
      </c>
      <c r="B810" s="41">
        <v>100</v>
      </c>
      <c r="C810" s="38">
        <f>B810*281/100</f>
        <v>281</v>
      </c>
      <c r="D810" s="39">
        <f>B810*19.4/100</f>
        <v>19.399999999999999</v>
      </c>
      <c r="E810" s="39">
        <f>B810*21.6/100</f>
        <v>21.6</v>
      </c>
      <c r="F810" s="39">
        <f>B810*13.2/100</f>
        <v>13.2</v>
      </c>
      <c r="G810" s="36"/>
      <c r="H810" s="36"/>
      <c r="I810" s="36"/>
      <c r="J810" s="39"/>
      <c r="K810" s="39">
        <f>B810*78.4/100</f>
        <v>78.400000000000006</v>
      </c>
      <c r="L810" s="39">
        <f>B810*2.23/100</f>
        <v>2.23</v>
      </c>
      <c r="M810" s="39">
        <v>0</v>
      </c>
      <c r="N810" s="39">
        <f>B810*517/100</f>
        <v>517</v>
      </c>
      <c r="O810" s="36"/>
      <c r="P810" s="36"/>
      <c r="Q810" s="36"/>
      <c r="R810" s="39">
        <f>B810*0.18/100</f>
        <v>0.18</v>
      </c>
      <c r="S810" s="39">
        <f>B810*373/100</f>
        <v>373</v>
      </c>
      <c r="T810" s="39">
        <f>B810*67.1/100</f>
        <v>67.099999999999994</v>
      </c>
      <c r="U810" s="42"/>
      <c r="V810" s="42"/>
      <c r="W810" s="36"/>
      <c r="X810" s="39">
        <f>B810*0.02/100</f>
        <v>0.02</v>
      </c>
      <c r="Y810" s="42"/>
      <c r="Z810" s="42"/>
      <c r="AA810" s="39">
        <f>B810*0.08/100</f>
        <v>0.08</v>
      </c>
      <c r="AB810" s="39">
        <f>B810*0/100</f>
        <v>0</v>
      </c>
      <c r="AC810"/>
    </row>
    <row r="811" spans="1:29">
      <c r="A811" s="40" t="s">
        <v>383</v>
      </c>
      <c r="B811" s="41">
        <v>100</v>
      </c>
      <c r="C811" s="38">
        <f>B811*266/100</f>
        <v>266</v>
      </c>
      <c r="D811" s="39">
        <f>B811*30/100</f>
        <v>30</v>
      </c>
      <c r="E811" s="39">
        <f>B811*15/100</f>
        <v>15</v>
      </c>
      <c r="F811" s="39">
        <f>B811*13/100</f>
        <v>13</v>
      </c>
      <c r="G811" s="36"/>
      <c r="H811" s="36"/>
      <c r="I811" s="36"/>
      <c r="J811" s="39"/>
      <c r="K811" s="39">
        <f>B811*100/100</f>
        <v>100</v>
      </c>
      <c r="L811" s="39">
        <f>B811*3/100</f>
        <v>3</v>
      </c>
      <c r="M811" s="39">
        <v>0</v>
      </c>
      <c r="N811" s="39">
        <f>B811*799/100</f>
        <v>799</v>
      </c>
      <c r="O811" s="36"/>
      <c r="P811" s="36"/>
      <c r="Q811" s="36"/>
      <c r="R811" s="39">
        <f>B811*0.6/100</f>
        <v>0.6</v>
      </c>
      <c r="S811" s="39">
        <f>B811*300/100</f>
        <v>300</v>
      </c>
      <c r="T811" s="39">
        <v>0</v>
      </c>
      <c r="U811" s="42"/>
      <c r="V811" s="42"/>
      <c r="W811" s="36"/>
      <c r="X811" s="39">
        <v>0</v>
      </c>
      <c r="Y811" s="42"/>
      <c r="Z811" s="42"/>
      <c r="AA811" s="39">
        <v>0</v>
      </c>
      <c r="AB811" s="39">
        <v>0</v>
      </c>
      <c r="AC811"/>
    </row>
    <row r="812" spans="1:29">
      <c r="A812" s="40" t="s">
        <v>384</v>
      </c>
      <c r="B812" s="41">
        <v>100</v>
      </c>
      <c r="C812" s="38">
        <f>B812*456/100</f>
        <v>456</v>
      </c>
      <c r="D812" s="39">
        <f>B812*41.6/100</f>
        <v>41.6</v>
      </c>
      <c r="E812" s="39">
        <f>B812*30/100</f>
        <v>30</v>
      </c>
      <c r="F812" s="39">
        <f>B812*19/100</f>
        <v>19</v>
      </c>
      <c r="G812" s="36"/>
      <c r="H812" s="36"/>
      <c r="I812" s="36"/>
      <c r="J812" s="39"/>
      <c r="K812" s="39">
        <f>B812*78.7/100</f>
        <v>78.7</v>
      </c>
      <c r="L812" s="39">
        <f>B812*3.7/100</f>
        <v>3.7</v>
      </c>
      <c r="M812" s="39">
        <v>0</v>
      </c>
      <c r="N812" s="39">
        <f>B812*1375/100</f>
        <v>1375</v>
      </c>
      <c r="O812" s="36"/>
      <c r="P812" s="36"/>
      <c r="Q812" s="36"/>
      <c r="R812" s="39">
        <f>B812*0.9/100</f>
        <v>0.9</v>
      </c>
      <c r="S812" s="39">
        <f>B812*1861/100</f>
        <v>1861</v>
      </c>
      <c r="T812" s="39">
        <f>B812*107/100</f>
        <v>107</v>
      </c>
      <c r="U812" s="42"/>
      <c r="V812" s="42"/>
      <c r="W812" s="36"/>
      <c r="X812" s="39">
        <f>B812*0.05/100</f>
        <v>0.05</v>
      </c>
      <c r="Y812" s="42"/>
      <c r="Z812" s="42"/>
      <c r="AA812" s="39">
        <f>B812*0.3/100</f>
        <v>0.3</v>
      </c>
      <c r="AB812" s="39">
        <v>0</v>
      </c>
      <c r="AC812"/>
    </row>
    <row r="813" spans="1:29">
      <c r="A813" s="40" t="s">
        <v>385</v>
      </c>
      <c r="B813" s="41">
        <v>100</v>
      </c>
      <c r="C813" s="41">
        <f>B813*357/100</f>
        <v>357</v>
      </c>
      <c r="D813" s="41">
        <f>B813*25/100</f>
        <v>25</v>
      </c>
      <c r="E813" s="41">
        <f>B813*27.8/100</f>
        <v>27.8</v>
      </c>
      <c r="F813" s="41">
        <f>B813*17.6/100</f>
        <v>17.600000000000001</v>
      </c>
      <c r="G813" s="36"/>
      <c r="H813" s="36"/>
      <c r="I813" s="36"/>
      <c r="J813" s="41"/>
      <c r="K813" s="41">
        <f>B813*89.2/100</f>
        <v>89.2</v>
      </c>
      <c r="L813" s="41">
        <f>B813*1.4/100</f>
        <v>1.4</v>
      </c>
      <c r="M813" s="41">
        <v>0</v>
      </c>
      <c r="N813" s="41">
        <f>B813*731/100</f>
        <v>731</v>
      </c>
      <c r="O813" s="36"/>
      <c r="P813" s="36"/>
      <c r="Q813" s="36"/>
      <c r="R813" s="41">
        <f>B813*0.4/100</f>
        <v>0.4</v>
      </c>
      <c r="S813" s="41">
        <f>B813*965/100</f>
        <v>965</v>
      </c>
      <c r="T813" s="41">
        <f>B813*188/100</f>
        <v>188</v>
      </c>
      <c r="U813" s="42"/>
      <c r="V813" s="42"/>
      <c r="W813" s="36"/>
      <c r="X813" s="41">
        <f>B813*0.04/100</f>
        <v>0.04</v>
      </c>
      <c r="Y813" s="42"/>
      <c r="Z813" s="42"/>
      <c r="AA813" s="41">
        <f>B813*0.08/100</f>
        <v>0.08</v>
      </c>
      <c r="AB813" s="41">
        <v>0</v>
      </c>
      <c r="AC813"/>
    </row>
    <row r="814" spans="1:29">
      <c r="A814" s="40" t="s">
        <v>386</v>
      </c>
      <c r="B814" s="41">
        <v>100</v>
      </c>
      <c r="C814" s="38">
        <f>B814*32/100</f>
        <v>32</v>
      </c>
      <c r="D814" s="39">
        <f>B814*1.9/100</f>
        <v>1.9</v>
      </c>
      <c r="E814" s="39">
        <f>B814*0.2/100</f>
        <v>0.2</v>
      </c>
      <c r="F814" s="39">
        <f>B814*0.05/100</f>
        <v>0.05</v>
      </c>
      <c r="G814" s="36"/>
      <c r="H814" s="36"/>
      <c r="I814" s="36"/>
      <c r="J814" s="39"/>
      <c r="K814" s="39">
        <v>0</v>
      </c>
      <c r="L814" s="39">
        <f>B814*7.2/100</f>
        <v>7.2</v>
      </c>
      <c r="M814" s="39">
        <f>B814*2.5/100</f>
        <v>2.5</v>
      </c>
      <c r="N814" s="39">
        <f>B814*63/100</f>
        <v>63</v>
      </c>
      <c r="O814" s="36"/>
      <c r="P814" s="36"/>
      <c r="Q814" s="36"/>
      <c r="R814" s="39">
        <f>B814*0.4/100</f>
        <v>0.4</v>
      </c>
      <c r="S814" s="39">
        <f>B814*5/100</f>
        <v>5</v>
      </c>
      <c r="T814" s="39">
        <f>B814*322/100</f>
        <v>322</v>
      </c>
      <c r="U814" s="42"/>
      <c r="V814" s="42"/>
      <c r="W814" s="36"/>
      <c r="X814" s="39">
        <f>B814*0.1/100</f>
        <v>0.1</v>
      </c>
      <c r="Y814" s="42"/>
      <c r="Z814" s="42"/>
      <c r="AA814" s="39">
        <f>B814*0.9/100</f>
        <v>0.9</v>
      </c>
      <c r="AB814" s="39">
        <f>B814*16.3/100</f>
        <v>16.3</v>
      </c>
      <c r="AC814"/>
    </row>
    <row r="815" spans="1:29">
      <c r="A815" s="40" t="s">
        <v>387</v>
      </c>
      <c r="B815" s="41">
        <v>100</v>
      </c>
      <c r="C815" s="38">
        <f>B815*30/100</f>
        <v>30</v>
      </c>
      <c r="D815" s="39">
        <f>B815*1/100</f>
        <v>1</v>
      </c>
      <c r="E815" s="39">
        <v>0</v>
      </c>
      <c r="F815" s="39">
        <v>0</v>
      </c>
      <c r="G815" s="36"/>
      <c r="H815" s="36"/>
      <c r="I815" s="36"/>
      <c r="J815" s="39"/>
      <c r="K815" s="39">
        <v>0</v>
      </c>
      <c r="L815" s="39">
        <f>B815*6/100</f>
        <v>6</v>
      </c>
      <c r="M815" s="39">
        <f>B815*3/100</f>
        <v>3</v>
      </c>
      <c r="N815" s="39">
        <f>B815*12/100</f>
        <v>12</v>
      </c>
      <c r="O815" s="36"/>
      <c r="P815" s="36"/>
      <c r="Q815" s="36"/>
      <c r="R815" s="39">
        <f>B815*0.4/100</f>
        <v>0.4</v>
      </c>
      <c r="S815" s="39">
        <f>B815*30/100</f>
        <v>30</v>
      </c>
      <c r="T815" s="39">
        <v>0</v>
      </c>
      <c r="U815" s="42"/>
      <c r="V815" s="42"/>
      <c r="W815" s="36"/>
      <c r="X815" s="39">
        <v>0</v>
      </c>
      <c r="Y815" s="42"/>
      <c r="Z815" s="42"/>
      <c r="AA815" s="39">
        <v>0</v>
      </c>
      <c r="AB815" s="39">
        <v>0</v>
      </c>
      <c r="AC815"/>
    </row>
    <row r="816" spans="1:29">
      <c r="A816" s="40" t="s">
        <v>388</v>
      </c>
      <c r="B816" s="41">
        <v>100</v>
      </c>
      <c r="C816" s="38">
        <f>B816*17/100</f>
        <v>17</v>
      </c>
      <c r="D816" s="39">
        <f>B816*0.6/100</f>
        <v>0.6</v>
      </c>
      <c r="E816" s="39">
        <f>B816*0.5/100</f>
        <v>0.5</v>
      </c>
      <c r="F816" s="39">
        <f>B816*0.03/100</f>
        <v>0.03</v>
      </c>
      <c r="G816" s="36"/>
      <c r="H816" s="36"/>
      <c r="I816" s="36"/>
      <c r="J816" s="39"/>
      <c r="K816" s="39">
        <v>0</v>
      </c>
      <c r="L816" s="39">
        <f>B816*3.6/100</f>
        <v>3.6</v>
      </c>
      <c r="M816" s="39">
        <f>B816*1/100</f>
        <v>1</v>
      </c>
      <c r="N816" s="39">
        <f>B816*21/100</f>
        <v>21</v>
      </c>
      <c r="O816" s="36"/>
      <c r="P816" s="36"/>
      <c r="Q816" s="36"/>
      <c r="R816" s="39">
        <f>B816*0.3/100</f>
        <v>0.3</v>
      </c>
      <c r="S816" s="39">
        <f>B816*24/100</f>
        <v>24</v>
      </c>
      <c r="T816" s="39">
        <f>B816*232/100</f>
        <v>232</v>
      </c>
      <c r="U816" s="42"/>
      <c r="V816" s="42"/>
      <c r="W816" s="36"/>
      <c r="X816" s="39">
        <f>B816*0.01/100</f>
        <v>0.01</v>
      </c>
      <c r="Y816" s="42"/>
      <c r="Z816" s="42"/>
      <c r="AA816" s="39">
        <f>B816*0.3/100</f>
        <v>0.3</v>
      </c>
      <c r="AB816" s="39">
        <f>B816*22.8/100</f>
        <v>22.8</v>
      </c>
      <c r="AC816"/>
    </row>
    <row r="817" spans="1:29">
      <c r="A817" s="40" t="s">
        <v>389</v>
      </c>
      <c r="B817" s="41">
        <v>240</v>
      </c>
      <c r="C817" s="38">
        <f>B817*115/240</f>
        <v>115</v>
      </c>
      <c r="D817" s="39">
        <f>B817*1/240</f>
        <v>1</v>
      </c>
      <c r="E817" s="39">
        <f>B817*0/240</f>
        <v>0</v>
      </c>
      <c r="F817" s="39">
        <f>B817*0/240</f>
        <v>0</v>
      </c>
      <c r="G817" s="36"/>
      <c r="H817" s="36"/>
      <c r="I817" s="36"/>
      <c r="J817" s="39"/>
      <c r="K817" s="39">
        <f>B817*0/240</f>
        <v>0</v>
      </c>
      <c r="L817" s="39">
        <f>B817*27.6/100</f>
        <v>66.239999999999995</v>
      </c>
      <c r="M817" s="39">
        <f>B817*0.2/240</f>
        <v>0.2</v>
      </c>
      <c r="N817" s="39">
        <f>B817*0/240</f>
        <v>0</v>
      </c>
      <c r="O817" s="36"/>
      <c r="P817" s="36"/>
      <c r="Q817" s="36"/>
      <c r="R817" s="39">
        <f>B817*0.2/240</f>
        <v>0.2</v>
      </c>
      <c r="S817" s="39">
        <f>B817*0/240</f>
        <v>0</v>
      </c>
      <c r="T817" s="39">
        <f>B817*0/240</f>
        <v>0</v>
      </c>
      <c r="U817" s="42"/>
      <c r="V817" s="42"/>
      <c r="W817" s="36"/>
      <c r="X817" s="39">
        <f>B817*0.2/240</f>
        <v>0.2</v>
      </c>
      <c r="Y817" s="42"/>
      <c r="Z817" s="42"/>
      <c r="AA817" s="39">
        <f>B817*0.7/240</f>
        <v>0.7</v>
      </c>
      <c r="AB817" s="39">
        <f>B817*17.4/240</f>
        <v>17.399999999999999</v>
      </c>
      <c r="AC817"/>
    </row>
    <row r="818" spans="1:29">
      <c r="A818" s="40" t="s">
        <v>390</v>
      </c>
      <c r="B818" s="41">
        <v>100</v>
      </c>
      <c r="C818" s="38">
        <f>B818*25/100</f>
        <v>25</v>
      </c>
      <c r="D818" s="39">
        <f>B818*1.4/100</f>
        <v>1.4</v>
      </c>
      <c r="E818" s="39">
        <f>B818*0.3/100</f>
        <v>0.3</v>
      </c>
      <c r="F818" s="39">
        <f>B818*0.04/100</f>
        <v>0.04</v>
      </c>
      <c r="G818" s="36"/>
      <c r="H818" s="36"/>
      <c r="I818" s="36"/>
      <c r="J818" s="39"/>
      <c r="K818" s="39">
        <v>0</v>
      </c>
      <c r="L818" s="39">
        <f>B818*5.44/100</f>
        <v>5.44</v>
      </c>
      <c r="M818" s="39">
        <f>B818*2/100</f>
        <v>2</v>
      </c>
      <c r="N818" s="39">
        <f>B818*47/100</f>
        <v>47</v>
      </c>
      <c r="O818" s="36"/>
      <c r="P818" s="36"/>
      <c r="Q818" s="36"/>
      <c r="R818" s="39">
        <f>B818*0.6/100</f>
        <v>0.6</v>
      </c>
      <c r="S818" s="39">
        <f>B818*18/100</f>
        <v>18</v>
      </c>
      <c r="T818" s="39">
        <f>B818*246/100</f>
        <v>246</v>
      </c>
      <c r="U818" s="42"/>
      <c r="V818" s="42"/>
      <c r="W818" s="36"/>
      <c r="X818" s="39">
        <f>B818*0.05/100</f>
        <v>0.05</v>
      </c>
      <c r="Y818" s="42"/>
      <c r="Z818" s="42"/>
      <c r="AA818" s="39">
        <v>0</v>
      </c>
      <c r="AB818" s="39">
        <f>B818*32.2/100</f>
        <v>32.200000000000003</v>
      </c>
      <c r="AC818"/>
    </row>
    <row r="819" spans="1:29">
      <c r="A819" s="40" t="s">
        <v>391</v>
      </c>
      <c r="B819" s="41">
        <v>100</v>
      </c>
      <c r="C819" s="38">
        <f>B819*27/100</f>
        <v>27</v>
      </c>
      <c r="D819" s="39">
        <f>B819*1.4/100</f>
        <v>1.4</v>
      </c>
      <c r="E819" s="39">
        <f>B819*0.3/100</f>
        <v>0.3</v>
      </c>
      <c r="F819" s="39">
        <f>B819*0.03/100</f>
        <v>0.03</v>
      </c>
      <c r="G819" s="36"/>
      <c r="H819" s="36"/>
      <c r="I819" s="36"/>
      <c r="J819" s="39"/>
      <c r="K819" s="39">
        <v>0</v>
      </c>
      <c r="L819" s="39">
        <f>B819*6.1/100</f>
        <v>6.1</v>
      </c>
      <c r="M819" s="39">
        <f>B819*2.9/100</f>
        <v>2.9</v>
      </c>
      <c r="N819" s="39">
        <f>B819*51/100</f>
        <v>51</v>
      </c>
      <c r="O819" s="36"/>
      <c r="P819" s="36"/>
      <c r="Q819" s="36"/>
      <c r="R819" s="39">
        <f>B819*0.5/100</f>
        <v>0.5</v>
      </c>
      <c r="S819" s="39">
        <f>B819*11/100</f>
        <v>11</v>
      </c>
      <c r="T819" s="39">
        <f>B819*206/100</f>
        <v>206</v>
      </c>
      <c r="U819" s="42"/>
      <c r="V819" s="42"/>
      <c r="W819" s="36"/>
      <c r="X819" s="39">
        <f>B819*0.05/100</f>
        <v>0.05</v>
      </c>
      <c r="Y819" s="42"/>
      <c r="Z819" s="42"/>
      <c r="AA819" s="39">
        <f>B819*0.3/100</f>
        <v>0.3</v>
      </c>
      <c r="AB819" s="39">
        <f>B819*57/100</f>
        <v>57</v>
      </c>
      <c r="AC819"/>
    </row>
    <row r="820" spans="1:29">
      <c r="A820" s="40" t="s">
        <v>392</v>
      </c>
      <c r="B820" s="41">
        <v>100</v>
      </c>
      <c r="C820" s="38">
        <f>B820*288/100</f>
        <v>288</v>
      </c>
      <c r="D820" s="39">
        <f>B820*12.4/100</f>
        <v>12.4</v>
      </c>
      <c r="E820" s="39">
        <f>B820*25/100</f>
        <v>25</v>
      </c>
      <c r="F820" s="39">
        <f>B820*0/100</f>
        <v>0</v>
      </c>
      <c r="G820" s="36"/>
      <c r="H820" s="36"/>
      <c r="I820" s="36"/>
      <c r="J820" s="39"/>
      <c r="K820" s="39">
        <f>B820*0/100</f>
        <v>0</v>
      </c>
      <c r="L820" s="39">
        <f>B820*1.3/100</f>
        <v>1.3</v>
      </c>
      <c r="M820" s="39">
        <f>B820*0/100</f>
        <v>0</v>
      </c>
      <c r="N820" s="39">
        <f>B820*151/100</f>
        <v>151</v>
      </c>
      <c r="O820" s="36"/>
      <c r="P820" s="36"/>
      <c r="Q820" s="36"/>
      <c r="R820" s="39">
        <f>B820*13.3/100</f>
        <v>13.3</v>
      </c>
      <c r="S820" s="39">
        <f>B820*0/100</f>
        <v>0</v>
      </c>
      <c r="T820" s="39">
        <f>B820*51/100</f>
        <v>51</v>
      </c>
      <c r="U820" s="42"/>
      <c r="V820" s="42"/>
      <c r="W820" s="36"/>
      <c r="X820" s="39">
        <f>B820*0/100</f>
        <v>0</v>
      </c>
      <c r="Y820" s="42"/>
      <c r="Z820" s="42"/>
      <c r="AA820" s="39">
        <f>B820*0/100</f>
        <v>0</v>
      </c>
      <c r="AB820" s="39">
        <f>B820*0/100</f>
        <v>0</v>
      </c>
      <c r="AC820"/>
    </row>
    <row r="821" spans="1:29">
      <c r="A821" s="40" t="s">
        <v>393</v>
      </c>
      <c r="B821" s="41">
        <v>100</v>
      </c>
      <c r="C821" s="38">
        <f>B821*188/100</f>
        <v>188</v>
      </c>
      <c r="D821" s="39">
        <f>B821*13/100</f>
        <v>13</v>
      </c>
      <c r="E821" s="39">
        <f>B821*14/100</f>
        <v>14</v>
      </c>
      <c r="F821" s="39">
        <v>0</v>
      </c>
      <c r="G821" s="36"/>
      <c r="H821" s="36"/>
      <c r="I821" s="36"/>
      <c r="J821" s="39"/>
      <c r="K821" s="39">
        <v>0</v>
      </c>
      <c r="L821" s="39">
        <f>B821*2.5/100</f>
        <v>2.5</v>
      </c>
      <c r="M821" s="39">
        <v>0</v>
      </c>
      <c r="N821" s="39">
        <v>0</v>
      </c>
      <c r="O821" s="36"/>
      <c r="P821" s="36"/>
      <c r="Q821" s="36"/>
      <c r="R821" s="39">
        <v>0</v>
      </c>
      <c r="S821" s="39">
        <f>B821*140/100</f>
        <v>140</v>
      </c>
      <c r="T821" s="39">
        <v>0</v>
      </c>
      <c r="U821" s="42"/>
      <c r="V821" s="42"/>
      <c r="W821" s="36"/>
      <c r="X821" s="39">
        <v>0</v>
      </c>
      <c r="Y821" s="42"/>
      <c r="Z821" s="42"/>
      <c r="AA821" s="39">
        <v>0</v>
      </c>
      <c r="AB821" s="39">
        <v>0</v>
      </c>
      <c r="AC821"/>
    </row>
    <row r="822" spans="1:29">
      <c r="A822" s="40" t="s">
        <v>394</v>
      </c>
      <c r="B822" s="41">
        <v>100</v>
      </c>
      <c r="C822" s="38">
        <f>B822*174/100</f>
        <v>174</v>
      </c>
      <c r="D822" s="39">
        <f>B822*11.3/100</f>
        <v>11.3</v>
      </c>
      <c r="E822" s="39">
        <f>B822*13/100</f>
        <v>13</v>
      </c>
      <c r="F822" s="39">
        <f>B822*8.3/100</f>
        <v>8.3000000000000007</v>
      </c>
      <c r="G822" s="36"/>
      <c r="H822" s="36"/>
      <c r="I822" s="36"/>
      <c r="J822" s="39"/>
      <c r="K822" s="39">
        <f>B822*50.6/100</f>
        <v>50.6</v>
      </c>
      <c r="L822" s="39">
        <f>B822*3.05/100</f>
        <v>3.05</v>
      </c>
      <c r="M822" s="39">
        <v>0</v>
      </c>
      <c r="N822" s="39">
        <f>B822*207/100</f>
        <v>207</v>
      </c>
      <c r="O822" s="36"/>
      <c r="P822" s="36"/>
      <c r="Q822" s="36"/>
      <c r="R822" s="39">
        <f>B822*0.38/100</f>
        <v>0.38</v>
      </c>
      <c r="S822" s="39">
        <f>B822*84.1/100</f>
        <v>84.1</v>
      </c>
      <c r="T822" s="39">
        <f>B822*105/100</f>
        <v>105</v>
      </c>
      <c r="U822" s="42"/>
      <c r="V822" s="42"/>
      <c r="W822" s="36"/>
      <c r="X822" s="39">
        <f>B822*0.01/100</f>
        <v>0.01</v>
      </c>
      <c r="Y822" s="42"/>
      <c r="Z822" s="42"/>
      <c r="AA822" s="39">
        <f>B822*0.1/100</f>
        <v>0.1</v>
      </c>
      <c r="AB822" s="39">
        <v>0</v>
      </c>
      <c r="AC822"/>
    </row>
    <row r="823" spans="1:29">
      <c r="A823" s="40" t="s">
        <v>395</v>
      </c>
      <c r="B823" s="41">
        <v>100</v>
      </c>
      <c r="C823" s="38">
        <f>B823*17.2/100</f>
        <v>17.2</v>
      </c>
      <c r="D823" s="39">
        <f>B823*1.6/100</f>
        <v>1.6</v>
      </c>
      <c r="E823" s="39">
        <f>B823*0.3/100</f>
        <v>0.3</v>
      </c>
      <c r="F823" s="39">
        <v>0</v>
      </c>
      <c r="G823" s="36"/>
      <c r="H823" s="36"/>
      <c r="I823" s="36"/>
      <c r="J823" s="39"/>
      <c r="K823" s="39">
        <v>0</v>
      </c>
      <c r="L823" s="39">
        <f>B823*2.03/100</f>
        <v>2.0299999999999998</v>
      </c>
      <c r="M823" s="39">
        <f>B823*1.5/100</f>
        <v>1.5</v>
      </c>
      <c r="N823" s="39">
        <f>B823*180/100</f>
        <v>180</v>
      </c>
      <c r="O823" s="36"/>
      <c r="P823" s="36"/>
      <c r="Q823" s="36"/>
      <c r="R823" s="39">
        <f>B823*3.1/100</f>
        <v>3.1</v>
      </c>
      <c r="S823" s="39">
        <f>B823*12/100</f>
        <v>12</v>
      </c>
      <c r="T823" s="39">
        <f>B823*276/100</f>
        <v>276</v>
      </c>
      <c r="U823" s="42"/>
      <c r="V823" s="42"/>
      <c r="W823" s="36"/>
      <c r="X823" s="39">
        <f>B823*0.085/100</f>
        <v>8.5000000000000006E-2</v>
      </c>
      <c r="Y823" s="42"/>
      <c r="Z823" s="42"/>
      <c r="AA823" s="39">
        <f>B823*0.65/100</f>
        <v>0.65</v>
      </c>
      <c r="AB823" s="39">
        <f>B823*51/100</f>
        <v>51</v>
      </c>
      <c r="AC823"/>
    </row>
    <row r="824" spans="1:29">
      <c r="A824" s="40" t="s">
        <v>396</v>
      </c>
      <c r="B824" s="41">
        <v>100</v>
      </c>
      <c r="C824" s="38">
        <v>0</v>
      </c>
      <c r="D824" s="39">
        <v>0</v>
      </c>
      <c r="E824" s="39">
        <v>0</v>
      </c>
      <c r="F824" s="39">
        <v>0</v>
      </c>
      <c r="G824" s="36"/>
      <c r="H824" s="36"/>
      <c r="I824" s="36"/>
      <c r="J824" s="39"/>
      <c r="K824" s="39">
        <v>0</v>
      </c>
      <c r="L824" s="39">
        <v>0</v>
      </c>
      <c r="M824" s="39">
        <v>0</v>
      </c>
      <c r="N824" s="39">
        <f>B824*24/100</f>
        <v>24</v>
      </c>
      <c r="O824" s="36"/>
      <c r="P824" s="36"/>
      <c r="Q824" s="36"/>
      <c r="R824" s="39">
        <f>B824*0.1/100</f>
        <v>0.1</v>
      </c>
      <c r="S824" s="39">
        <f>B824*38758/100</f>
        <v>38758</v>
      </c>
      <c r="T824" s="39">
        <f>B824*8.01/100</f>
        <v>8.01</v>
      </c>
      <c r="U824" s="42"/>
      <c r="V824" s="42"/>
      <c r="W824" s="36"/>
      <c r="X824" s="39">
        <v>0</v>
      </c>
      <c r="Y824" s="42"/>
      <c r="Z824" s="42"/>
      <c r="AA824" s="39">
        <v>0</v>
      </c>
      <c r="AB824" s="39">
        <v>0</v>
      </c>
      <c r="AC824"/>
    </row>
    <row r="825" spans="1:29">
      <c r="A825" s="40" t="s">
        <v>397</v>
      </c>
      <c r="B825" s="41">
        <v>100</v>
      </c>
      <c r="C825" s="38">
        <f>B825*53/100</f>
        <v>53</v>
      </c>
      <c r="D825" s="39">
        <f>B825*0.75/100</f>
        <v>0.75</v>
      </c>
      <c r="E825" s="39">
        <f>B825*0.21/100</f>
        <v>0.21</v>
      </c>
      <c r="F825" s="39">
        <f>B825*0.06/100</f>
        <v>0.06</v>
      </c>
      <c r="G825" s="36"/>
      <c r="H825" s="36"/>
      <c r="I825" s="36"/>
      <c r="J825" s="39"/>
      <c r="K825" s="39">
        <v>0</v>
      </c>
      <c r="L825" s="39">
        <f>B825*13.4/100</f>
        <v>13.4</v>
      </c>
      <c r="M825" s="39">
        <f>B825*1.9/100</f>
        <v>1.9</v>
      </c>
      <c r="N825" s="39">
        <f>B825*24.85/100</f>
        <v>24.85</v>
      </c>
      <c r="O825" s="36"/>
      <c r="P825" s="36"/>
      <c r="Q825" s="36"/>
      <c r="R825" s="39">
        <f>B825*0.14/100</f>
        <v>0.14000000000000001</v>
      </c>
      <c r="S825" s="39">
        <f>B825*1.2/100</f>
        <v>1.2</v>
      </c>
      <c r="T825" s="39">
        <f>B825*234.5/100</f>
        <v>234.5</v>
      </c>
      <c r="U825" s="42"/>
      <c r="V825" s="42"/>
      <c r="W825" s="36"/>
      <c r="X825" s="39">
        <f>B825*0.05/100</f>
        <v>0.05</v>
      </c>
      <c r="Y825" s="42"/>
      <c r="Z825" s="42"/>
      <c r="AA825" s="39">
        <f>B825*0.32/100</f>
        <v>0.32</v>
      </c>
      <c r="AB825" s="39">
        <f>B825*43.5/100</f>
        <v>43.5</v>
      </c>
      <c r="AC825"/>
    </row>
    <row r="826" spans="1:29">
      <c r="A826" s="40" t="s">
        <v>398</v>
      </c>
      <c r="B826" s="41">
        <v>100</v>
      </c>
      <c r="C826" s="38">
        <f>B826*97/100</f>
        <v>97</v>
      </c>
      <c r="D826" s="39">
        <f>B826*1.59/100</f>
        <v>1.59</v>
      </c>
      <c r="E826" s="39">
        <f>B826*3.83/100</f>
        <v>3.83</v>
      </c>
      <c r="F826" s="39">
        <f>B826*0.56/100</f>
        <v>0.56000000000000005</v>
      </c>
      <c r="G826" s="36"/>
      <c r="H826" s="36"/>
      <c r="I826" s="36"/>
      <c r="J826" s="39"/>
      <c r="K826" s="39">
        <f>B826*2.73/100</f>
        <v>2.73</v>
      </c>
      <c r="L826" s="39">
        <f>B826*14.87/100</f>
        <v>14.87</v>
      </c>
      <c r="M826" s="39">
        <f>B826*1.81/100</f>
        <v>1.81</v>
      </c>
      <c r="N826" s="39">
        <f>B826*19.96/100</f>
        <v>19.96</v>
      </c>
      <c r="O826" s="36"/>
      <c r="P826" s="36"/>
      <c r="Q826" s="36"/>
      <c r="R826" s="39">
        <f>B826*0.6/100</f>
        <v>0.6</v>
      </c>
      <c r="S826" s="39">
        <f>B826*603.26/100</f>
        <v>603.26</v>
      </c>
      <c r="T826" s="39">
        <f>B826*276.46/100</f>
        <v>276.45999999999998</v>
      </c>
      <c r="U826" s="42"/>
      <c r="V826" s="42"/>
      <c r="W826" s="36"/>
      <c r="X826" s="39">
        <f>B826*0.078/100</f>
        <v>7.8E-2</v>
      </c>
      <c r="Y826" s="42"/>
      <c r="Z826" s="42"/>
      <c r="AA826" s="39">
        <f>B826*0.98/100</f>
        <v>0.98</v>
      </c>
      <c r="AB826" s="39">
        <f>B826*10.06/100</f>
        <v>10.06</v>
      </c>
      <c r="AC826"/>
    </row>
    <row r="827" spans="1:29">
      <c r="A827" s="40" t="s">
        <v>399</v>
      </c>
      <c r="B827" s="41">
        <v>100</v>
      </c>
      <c r="C827" s="38">
        <f>B827*294/100</f>
        <v>294</v>
      </c>
      <c r="D827" s="39">
        <f>B827*20.9/100</f>
        <v>20.9</v>
      </c>
      <c r="E827" s="39">
        <f>B827*23.2/100</f>
        <v>23.2</v>
      </c>
      <c r="F827" s="39" t="s">
        <v>400</v>
      </c>
      <c r="G827" s="36"/>
      <c r="H827" s="36"/>
      <c r="I827" s="36"/>
      <c r="J827" s="39"/>
      <c r="K827" s="39" t="s">
        <v>400</v>
      </c>
      <c r="L827" s="39">
        <f>B827*0.5/100</f>
        <v>0.5</v>
      </c>
      <c r="M827" s="39" t="s">
        <v>400</v>
      </c>
      <c r="N827" s="39">
        <f>B827*402/100</f>
        <v>402</v>
      </c>
      <c r="O827" s="36"/>
      <c r="P827" s="36"/>
      <c r="Q827" s="36"/>
      <c r="R827" s="39">
        <f>B827*3.2/100</f>
        <v>3.2</v>
      </c>
      <c r="S827" s="39" t="s">
        <v>400</v>
      </c>
      <c r="T827" s="39" t="s">
        <v>400</v>
      </c>
      <c r="U827" s="42"/>
      <c r="V827" s="42"/>
      <c r="W827" s="36"/>
      <c r="X827" s="39" t="s">
        <v>400</v>
      </c>
      <c r="Y827" s="42"/>
      <c r="Z827" s="42"/>
      <c r="AA827" s="39" t="s">
        <v>400</v>
      </c>
      <c r="AB827" s="39">
        <v>0</v>
      </c>
      <c r="AC827"/>
    </row>
    <row r="828" spans="1:29">
      <c r="A828" s="40" t="s">
        <v>401</v>
      </c>
      <c r="B828" s="41">
        <v>100</v>
      </c>
      <c r="C828" s="38">
        <f>B828*16/100</f>
        <v>16</v>
      </c>
      <c r="D828" s="39">
        <f>B828*0.7/100</f>
        <v>0.7</v>
      </c>
      <c r="E828" s="39">
        <f>B828*0.1/100</f>
        <v>0.1</v>
      </c>
      <c r="F828" s="39">
        <f>B828*0.04/100</f>
        <v>0.04</v>
      </c>
      <c r="G828" s="36"/>
      <c r="H828" s="36"/>
      <c r="I828" s="36"/>
      <c r="J828" s="39"/>
      <c r="K828" s="39">
        <v>0</v>
      </c>
      <c r="L828" s="39">
        <f>B828*3.7/100</f>
        <v>3.7</v>
      </c>
      <c r="M828" s="39">
        <f>B828*1.5/100</f>
        <v>1.5</v>
      </c>
      <c r="N828" s="39">
        <f>B828*40/100</f>
        <v>40</v>
      </c>
      <c r="O828" s="36"/>
      <c r="P828" s="36"/>
      <c r="Q828" s="36"/>
      <c r="R828" s="39">
        <f>B828*0.4/100</f>
        <v>0.4</v>
      </c>
      <c r="S828" s="39">
        <f>B828*87/100</f>
        <v>87</v>
      </c>
      <c r="T828" s="39">
        <f>B828*287/100</f>
        <v>287</v>
      </c>
      <c r="U828" s="42"/>
      <c r="V828" s="42"/>
      <c r="W828" s="36"/>
      <c r="X828" s="39">
        <f>B828*0.05/100</f>
        <v>0.05</v>
      </c>
      <c r="Y828" s="42"/>
      <c r="Z828" s="42"/>
      <c r="AA828" s="39">
        <f>B828*0.3/100</f>
        <v>0.3</v>
      </c>
      <c r="AB828" s="39">
        <f>B828*7/100</f>
        <v>7</v>
      </c>
      <c r="AC828"/>
    </row>
    <row r="829" spans="1:29">
      <c r="A829" s="40" t="s">
        <v>402</v>
      </c>
      <c r="B829" s="41">
        <v>100</v>
      </c>
      <c r="C829" s="38">
        <f>B829*257/100</f>
        <v>257</v>
      </c>
      <c r="D829" s="39">
        <f>B829*12.9/100</f>
        <v>12.9</v>
      </c>
      <c r="E829" s="39">
        <f>B829*19.5/100</f>
        <v>19.5</v>
      </c>
      <c r="F829" s="39">
        <f>B829*5.5/100</f>
        <v>5.5</v>
      </c>
      <c r="G829" s="36"/>
      <c r="H829" s="36"/>
      <c r="I829" s="36"/>
      <c r="J829" s="39"/>
      <c r="K829" s="39">
        <f>B829*101/100</f>
        <v>101</v>
      </c>
      <c r="L829" s="39">
        <f>B829*6.8/100</f>
        <v>6.8</v>
      </c>
      <c r="M829" s="39">
        <v>0</v>
      </c>
      <c r="N829" s="39">
        <f>B829*95/100</f>
        <v>95</v>
      </c>
      <c r="O829" s="36"/>
      <c r="P829" s="36"/>
      <c r="Q829" s="36"/>
      <c r="R829" s="39">
        <f>B829*2/100</f>
        <v>2</v>
      </c>
      <c r="S829" s="39">
        <f>B829*1370/100</f>
        <v>1370</v>
      </c>
      <c r="T829" s="39">
        <f>B829*84/100</f>
        <v>84</v>
      </c>
      <c r="U829" s="42"/>
      <c r="V829" s="42"/>
      <c r="W829" s="36"/>
      <c r="X829" s="39">
        <f>B829*0.07/100</f>
        <v>7.0000000000000007E-2</v>
      </c>
      <c r="Y829" s="42"/>
      <c r="Z829" s="42"/>
      <c r="AA829" s="39">
        <f>B829*3.1/100</f>
        <v>3.1</v>
      </c>
      <c r="AB829" s="39">
        <v>0</v>
      </c>
      <c r="AC829"/>
    </row>
    <row r="830" spans="1:29">
      <c r="A830" s="40" t="s">
        <v>403</v>
      </c>
      <c r="B830" s="41">
        <v>100</v>
      </c>
      <c r="C830" s="38">
        <f>B830*36/100</f>
        <v>36</v>
      </c>
      <c r="D830" s="39">
        <f>B830*3/100</f>
        <v>3</v>
      </c>
      <c r="E830" s="39">
        <f>B830*0.8/100</f>
        <v>0.8</v>
      </c>
      <c r="F830" s="39">
        <f>B830*0.13/100</f>
        <v>0.13</v>
      </c>
      <c r="G830" s="36"/>
      <c r="H830" s="36"/>
      <c r="I830" s="36"/>
      <c r="J830" s="39"/>
      <c r="K830" s="39">
        <v>0</v>
      </c>
      <c r="L830" s="39">
        <f>B830*6.3/100</f>
        <v>6.3</v>
      </c>
      <c r="M830" s="39">
        <f>B830*4.1/100</f>
        <v>4.0999999999999996</v>
      </c>
      <c r="N830" s="39">
        <f>B830*138/100</f>
        <v>138</v>
      </c>
      <c r="O830" s="36"/>
      <c r="P830" s="36"/>
      <c r="Q830" s="36"/>
      <c r="R830" s="39">
        <f>B830*6.2/100</f>
        <v>6.2</v>
      </c>
      <c r="S830" s="39">
        <f>B830*56/100</f>
        <v>56</v>
      </c>
      <c r="T830" s="39">
        <f>B830*554/100</f>
        <v>554</v>
      </c>
      <c r="U830" s="42"/>
      <c r="V830" s="42"/>
      <c r="W830" s="36"/>
      <c r="X830" s="39">
        <f>B830*0.09/100</f>
        <v>0.09</v>
      </c>
      <c r="Y830" s="42"/>
      <c r="Z830" s="42"/>
      <c r="AA830" s="39">
        <f>B830*1.3/100</f>
        <v>1.3</v>
      </c>
      <c r="AB830" s="39">
        <f>B830*133/100</f>
        <v>133</v>
      </c>
      <c r="AC830"/>
    </row>
    <row r="831" spans="1:29">
      <c r="A831" s="40" t="s">
        <v>404</v>
      </c>
      <c r="B831" s="41">
        <v>100</v>
      </c>
      <c r="C831" s="38">
        <f>B831*315/100</f>
        <v>315</v>
      </c>
      <c r="D831" s="39">
        <f>B831*10.6/100</f>
        <v>10.6</v>
      </c>
      <c r="E831" s="39">
        <f>B831*12.7/100</f>
        <v>12.7</v>
      </c>
      <c r="F831" s="39">
        <f>B831*7/100</f>
        <v>7</v>
      </c>
      <c r="G831" s="36"/>
      <c r="H831" s="36"/>
      <c r="I831" s="36"/>
      <c r="J831" s="39"/>
      <c r="K831" s="39">
        <v>0</v>
      </c>
      <c r="L831" s="39">
        <f>B831*60.7/100</f>
        <v>60.7</v>
      </c>
      <c r="M831" s="39">
        <f>B831*18/100</f>
        <v>18</v>
      </c>
      <c r="N831" s="39">
        <f>B831*1652/100</f>
        <v>1652</v>
      </c>
      <c r="O831" s="36"/>
      <c r="P831" s="36"/>
      <c r="Q831" s="36"/>
      <c r="R831" s="39">
        <f>B831*28.1/100</f>
        <v>28.1</v>
      </c>
      <c r="S831" s="39">
        <f>B831*11/100</f>
        <v>11</v>
      </c>
      <c r="T831" s="39">
        <f>B831*1070/100</f>
        <v>1070</v>
      </c>
      <c r="U831" s="42"/>
      <c r="V831" s="42"/>
      <c r="W831" s="36"/>
      <c r="X831" s="39">
        <f>B831*0.7/100</f>
        <v>0.7</v>
      </c>
      <c r="Y831" s="42"/>
      <c r="Z831" s="42"/>
      <c r="AA831" s="39">
        <f>B831*5.7/100</f>
        <v>5.7</v>
      </c>
      <c r="AB831" s="39">
        <f>B831*32.4/100</f>
        <v>32.4</v>
      </c>
      <c r="AC831"/>
    </row>
    <row r="832" spans="1:29">
      <c r="A832" s="40" t="s">
        <v>405</v>
      </c>
      <c r="B832" s="41">
        <v>100</v>
      </c>
      <c r="C832" s="41">
        <f>B832*246/100</f>
        <v>246</v>
      </c>
      <c r="D832" s="41">
        <f>B832*9.5/100</f>
        <v>9.5</v>
      </c>
      <c r="E832" s="41">
        <f>B832*16.2/100</f>
        <v>16.2</v>
      </c>
      <c r="F832" s="41">
        <f>B832*2.6/100</f>
        <v>2.6</v>
      </c>
      <c r="G832" s="36"/>
      <c r="H832" s="36"/>
      <c r="I832" s="36"/>
      <c r="J832" s="41"/>
      <c r="K832" s="41">
        <f>B832*18.1/100</f>
        <v>18.100000000000001</v>
      </c>
      <c r="L832" s="41">
        <f>B832*16.7/100</f>
        <v>16.7</v>
      </c>
      <c r="M832" s="41">
        <f>B832*1.2/100</f>
        <v>1.2</v>
      </c>
      <c r="N832" s="41">
        <f>B832*34.7/100</f>
        <v>34.700000000000003</v>
      </c>
      <c r="O832" s="36"/>
      <c r="P832" s="36"/>
      <c r="Q832" s="36"/>
      <c r="R832" s="41">
        <f>B832*1.2/100</f>
        <v>1.2</v>
      </c>
      <c r="S832" s="41">
        <f>B832*338/100</f>
        <v>338</v>
      </c>
      <c r="T832" s="41">
        <f>B832*202.9/100</f>
        <v>202.9</v>
      </c>
      <c r="U832" s="42"/>
      <c r="V832" s="42"/>
      <c r="W832" s="36"/>
      <c r="X832" s="41">
        <f>B832*0.1/100</f>
        <v>0.1</v>
      </c>
      <c r="Y832" s="42"/>
      <c r="Z832" s="42"/>
      <c r="AA832" s="41">
        <f>B832*4.1/100</f>
        <v>4.0999999999999996</v>
      </c>
      <c r="AB832" s="41">
        <f>B832*2.4/100</f>
        <v>2.4</v>
      </c>
      <c r="AC832"/>
    </row>
    <row r="833" spans="1:29">
      <c r="A833" s="40" t="s">
        <v>406</v>
      </c>
      <c r="B833" s="41">
        <v>100</v>
      </c>
      <c r="C833" s="38">
        <f>B833*76/100</f>
        <v>76</v>
      </c>
      <c r="D833" s="39">
        <f>B833*4/100</f>
        <v>4</v>
      </c>
      <c r="E833" s="39">
        <f>B833*1/100</f>
        <v>1</v>
      </c>
      <c r="F833" s="39">
        <v>0</v>
      </c>
      <c r="G833" s="36"/>
      <c r="H833" s="36"/>
      <c r="I833" s="36"/>
      <c r="J833" s="39"/>
      <c r="K833" s="39">
        <v>0</v>
      </c>
      <c r="L833" s="39">
        <f>B833*15/100</f>
        <v>15</v>
      </c>
      <c r="M833" s="39">
        <v>0</v>
      </c>
      <c r="N833" s="39">
        <v>0</v>
      </c>
      <c r="O833" s="36"/>
      <c r="P833" s="36"/>
      <c r="Q833" s="36"/>
      <c r="R833" s="39">
        <v>0</v>
      </c>
      <c r="S833" s="39">
        <f>B833*0.6/100</f>
        <v>0.6</v>
      </c>
      <c r="T833" s="39">
        <v>0</v>
      </c>
      <c r="U833" s="42"/>
      <c r="V833" s="42"/>
      <c r="W833" s="36"/>
      <c r="X833" s="39">
        <v>0</v>
      </c>
      <c r="Y833" s="42"/>
      <c r="Z833" s="42"/>
      <c r="AA833" s="39">
        <v>0</v>
      </c>
      <c r="AB833" s="39">
        <v>0</v>
      </c>
      <c r="AC833"/>
    </row>
    <row r="834" spans="1:29">
      <c r="A834" s="40" t="s">
        <v>407</v>
      </c>
      <c r="B834" s="41">
        <v>100</v>
      </c>
      <c r="C834" s="38">
        <f>B834*416/100</f>
        <v>416</v>
      </c>
      <c r="D834" s="39">
        <f>B834*36.5/100</f>
        <v>36.5</v>
      </c>
      <c r="E834" s="39">
        <f>B834*19.9/100</f>
        <v>19.899999999999999</v>
      </c>
      <c r="F834" s="39">
        <f>B834*2.9/100</f>
        <v>2.9</v>
      </c>
      <c r="G834" s="36"/>
      <c r="H834" s="36"/>
      <c r="I834" s="36"/>
      <c r="J834" s="39"/>
      <c r="K834" s="39">
        <v>0</v>
      </c>
      <c r="L834" s="39">
        <f>B834*30.2/100</f>
        <v>30.2</v>
      </c>
      <c r="M834" s="39">
        <f>B834*16.5/100</f>
        <v>16.5</v>
      </c>
      <c r="N834" s="39">
        <f>B834*2.7/100</f>
        <v>2.7</v>
      </c>
      <c r="O834" s="36"/>
      <c r="P834" s="36"/>
      <c r="Q834" s="36"/>
      <c r="R834" s="39">
        <f>B834*15.7/100</f>
        <v>15.7</v>
      </c>
      <c r="S834" s="39">
        <f>B834*2/100</f>
        <v>2</v>
      </c>
      <c r="T834" s="39">
        <f>B834*1797/100</f>
        <v>1797</v>
      </c>
      <c r="U834" s="42"/>
      <c r="V834" s="42"/>
      <c r="W834" s="36"/>
      <c r="X834" s="39">
        <f>B834*0.8/100</f>
        <v>0.8</v>
      </c>
      <c r="Y834" s="42"/>
      <c r="Z834" s="42"/>
      <c r="AA834" s="39">
        <f>B834*1.6/100</f>
        <v>1.6</v>
      </c>
      <c r="AB834" s="39">
        <f>B834*6/100</f>
        <v>6</v>
      </c>
      <c r="AC834"/>
    </row>
    <row r="835" spans="1:29">
      <c r="A835" s="40" t="s">
        <v>408</v>
      </c>
      <c r="B835" s="41">
        <v>200</v>
      </c>
      <c r="C835" s="38">
        <v>150</v>
      </c>
      <c r="D835" s="39">
        <v>9</v>
      </c>
      <c r="E835" s="39">
        <v>3</v>
      </c>
      <c r="F835" s="39">
        <v>1</v>
      </c>
      <c r="G835" s="36"/>
      <c r="H835" s="36"/>
      <c r="I835" s="36"/>
      <c r="J835" s="39"/>
      <c r="K835" s="39">
        <v>11</v>
      </c>
      <c r="L835" s="39">
        <v>22</v>
      </c>
      <c r="M835" s="39">
        <v>3</v>
      </c>
      <c r="N835" s="39">
        <v>70</v>
      </c>
      <c r="O835" s="36"/>
      <c r="P835" s="36"/>
      <c r="Q835" s="36"/>
      <c r="R835" s="39">
        <v>1.5</v>
      </c>
      <c r="S835" s="39">
        <v>260</v>
      </c>
      <c r="T835" s="39">
        <v>0</v>
      </c>
      <c r="U835" s="42"/>
      <c r="V835" s="42"/>
      <c r="W835" s="36"/>
      <c r="X835" s="39">
        <v>0</v>
      </c>
      <c r="Y835" s="42"/>
      <c r="Z835" s="42"/>
      <c r="AA835" s="39">
        <v>0</v>
      </c>
      <c r="AB835" s="39">
        <v>0</v>
      </c>
      <c r="AC835"/>
    </row>
    <row r="836" spans="1:29">
      <c r="A836" s="40" t="s">
        <v>409</v>
      </c>
      <c r="B836" s="41">
        <v>130</v>
      </c>
      <c r="C836" s="38">
        <f>B836*100/130</f>
        <v>100</v>
      </c>
      <c r="D836" s="39">
        <f>B836*8/130</f>
        <v>8</v>
      </c>
      <c r="E836" s="39">
        <f>B836*4/130</f>
        <v>4</v>
      </c>
      <c r="F836" s="39">
        <f>B836*1.2/130</f>
        <v>1.2</v>
      </c>
      <c r="G836" s="36"/>
      <c r="H836" s="36"/>
      <c r="I836" s="36"/>
      <c r="J836" s="39"/>
      <c r="K836" s="39">
        <f>B836*0/130</f>
        <v>0</v>
      </c>
      <c r="L836" s="39">
        <f>B836*8/130</f>
        <v>8</v>
      </c>
      <c r="M836" s="39">
        <f>B836*1.8/130</f>
        <v>1.8</v>
      </c>
      <c r="N836" s="39">
        <f>B836*24/130</f>
        <v>24</v>
      </c>
      <c r="O836" s="36"/>
      <c r="P836" s="36"/>
      <c r="Q836" s="36"/>
      <c r="R836" s="39">
        <f>B836*1.5/130</f>
        <v>1.5</v>
      </c>
      <c r="S836" s="39">
        <f>B836*509.9/130</f>
        <v>509.9</v>
      </c>
      <c r="T836" s="39">
        <f>B836*185.1/130</f>
        <v>185.1</v>
      </c>
      <c r="U836" s="42"/>
      <c r="V836" s="42"/>
      <c r="W836" s="36"/>
      <c r="X836" s="39">
        <f>B836*0.1/130</f>
        <v>0.1</v>
      </c>
      <c r="Y836" s="42"/>
      <c r="Z836" s="42"/>
      <c r="AA836" s="39">
        <f>B836*2.4/130</f>
        <v>2.4</v>
      </c>
      <c r="AB836" s="39">
        <f>B836*11.83/130</f>
        <v>11.83</v>
      </c>
      <c r="AC836"/>
    </row>
    <row r="837" spans="1:29">
      <c r="A837" s="40" t="s">
        <v>410</v>
      </c>
      <c r="B837" s="41">
        <v>100</v>
      </c>
      <c r="C837" s="38">
        <f>B837*67/100</f>
        <v>67</v>
      </c>
      <c r="D837" s="39">
        <f>B837*3.6/100</f>
        <v>3.6</v>
      </c>
      <c r="E837" s="39">
        <f>B837*4.03/100</f>
        <v>4.03</v>
      </c>
      <c r="F837" s="39">
        <f>B837*1.13/100</f>
        <v>1.1299999999999999</v>
      </c>
      <c r="G837" s="36"/>
      <c r="H837" s="36"/>
      <c r="I837" s="36"/>
      <c r="J837" s="39"/>
      <c r="K837" s="39">
        <f>B837*9.8/100</f>
        <v>9.8000000000000007</v>
      </c>
      <c r="L837" s="39">
        <f>B837*4.1/100</f>
        <v>4.0999999999999996</v>
      </c>
      <c r="M837" s="39">
        <f>B837*0.6/100</f>
        <v>0.6</v>
      </c>
      <c r="N837" s="39">
        <f>B837*12.6/100</f>
        <v>12.6</v>
      </c>
      <c r="O837" s="36"/>
      <c r="P837" s="36"/>
      <c r="Q837" s="36"/>
      <c r="R837" s="39">
        <f>B837*0.7/100</f>
        <v>0.7</v>
      </c>
      <c r="S837" s="39">
        <f>B837*218.1/100</f>
        <v>218.1</v>
      </c>
      <c r="T837" s="39">
        <f>B837*131.9/100</f>
        <v>131.9</v>
      </c>
      <c r="U837" s="42"/>
      <c r="V837" s="42"/>
      <c r="W837" s="36"/>
      <c r="X837" s="39">
        <f>B837*0.05/100</f>
        <v>0.05</v>
      </c>
      <c r="Y837" s="42"/>
      <c r="Z837" s="42"/>
      <c r="AA837" s="39">
        <f>B837*0.7/100</f>
        <v>0.7</v>
      </c>
      <c r="AB837" s="39">
        <f>B837*5.3/100</f>
        <v>5.3</v>
      </c>
      <c r="AC837"/>
    </row>
    <row r="838" spans="1:29">
      <c r="A838" s="40" t="s">
        <v>411</v>
      </c>
      <c r="B838" s="41">
        <v>100</v>
      </c>
      <c r="C838" s="38">
        <f>B838*24/100</f>
        <v>24</v>
      </c>
      <c r="D838" s="39">
        <f>B838*0.75/100</f>
        <v>0.75</v>
      </c>
      <c r="E838" s="39">
        <f>B838*0.6/100</f>
        <v>0.6</v>
      </c>
      <c r="F838" s="39">
        <v>0</v>
      </c>
      <c r="G838" s="36"/>
      <c r="H838" s="36"/>
      <c r="I838" s="36"/>
      <c r="J838" s="39"/>
      <c r="K838" s="39">
        <v>0</v>
      </c>
      <c r="L838" s="39">
        <f>B838*3.9/100</f>
        <v>3.9</v>
      </c>
      <c r="M838" s="39">
        <v>0</v>
      </c>
      <c r="N838" s="39">
        <v>0</v>
      </c>
      <c r="O838" s="36"/>
      <c r="P838" s="36"/>
      <c r="Q838" s="36"/>
      <c r="R838" s="39">
        <v>0</v>
      </c>
      <c r="S838" s="39">
        <f>B838*416/100</f>
        <v>416</v>
      </c>
      <c r="T838" s="39">
        <v>0</v>
      </c>
      <c r="U838" s="42"/>
      <c r="V838" s="42"/>
      <c r="W838" s="36"/>
      <c r="X838" s="39">
        <v>0</v>
      </c>
      <c r="Y838" s="42"/>
      <c r="Z838" s="42"/>
      <c r="AA838" s="39">
        <v>0</v>
      </c>
      <c r="AB838" s="39">
        <v>0</v>
      </c>
      <c r="AC838"/>
    </row>
    <row r="839" spans="1:29">
      <c r="A839" s="43" t="s">
        <v>412</v>
      </c>
      <c r="B839" s="41">
        <v>100</v>
      </c>
      <c r="C839" s="38">
        <f>B839*47/100</f>
        <v>47</v>
      </c>
      <c r="D839" s="39">
        <f>B839*5.41/100</f>
        <v>5.41</v>
      </c>
      <c r="E839" s="39">
        <f>B839*1.74/100</f>
        <v>1.74</v>
      </c>
      <c r="F839" s="39">
        <f>B839*0.4/100</f>
        <v>0.4</v>
      </c>
      <c r="G839" s="36"/>
      <c r="H839" s="36"/>
      <c r="I839" s="36"/>
      <c r="J839" s="39"/>
      <c r="K839" s="39">
        <f>B839*12.31/100</f>
        <v>12.31</v>
      </c>
      <c r="L839" s="39">
        <f>B839*2.19/100</f>
        <v>2.19</v>
      </c>
      <c r="M839" s="39">
        <f>B839*0.72/100</f>
        <v>0.72</v>
      </c>
      <c r="N839" s="39">
        <f>B839*6.46/100</f>
        <v>6.46</v>
      </c>
      <c r="O839" s="36"/>
      <c r="P839" s="36"/>
      <c r="Q839" s="36"/>
      <c r="R839" s="39">
        <f>B839*0.64/100</f>
        <v>0.64</v>
      </c>
      <c r="S839" s="39">
        <f>B839*144.16/100</f>
        <v>144.16</v>
      </c>
      <c r="T839" s="39">
        <f>B839*101.64/100</f>
        <v>101.64</v>
      </c>
      <c r="U839" s="42"/>
      <c r="V839" s="42"/>
      <c r="W839" s="36"/>
      <c r="X839" s="39">
        <f>B839*0.054/100</f>
        <v>5.4000000000000006E-2</v>
      </c>
      <c r="Y839" s="42"/>
      <c r="Z839" s="42"/>
      <c r="AA839" s="39">
        <f>B839*1.17/100</f>
        <v>1.17</v>
      </c>
      <c r="AB839" s="39">
        <f>B839*5.53/100</f>
        <v>5.53</v>
      </c>
      <c r="AC839"/>
    </row>
    <row r="840" spans="1:29">
      <c r="A840" s="40" t="s">
        <v>413</v>
      </c>
      <c r="B840" s="41">
        <v>100</v>
      </c>
      <c r="C840" s="38">
        <f>B840*62/100</f>
        <v>62</v>
      </c>
      <c r="D840" s="39">
        <f>B840*2.5/100</f>
        <v>2.5</v>
      </c>
      <c r="E840" s="39">
        <f>B840*2.3/100</f>
        <v>2.2999999999999998</v>
      </c>
      <c r="F840" s="39">
        <v>0</v>
      </c>
      <c r="G840" s="36"/>
      <c r="H840" s="36"/>
      <c r="I840" s="36"/>
      <c r="J840" s="39"/>
      <c r="K840" s="39">
        <v>0</v>
      </c>
      <c r="L840" s="39">
        <f>B840*7.5/100</f>
        <v>7.5</v>
      </c>
      <c r="M840" s="39">
        <v>0</v>
      </c>
      <c r="N840" s="39">
        <v>0</v>
      </c>
      <c r="O840" s="36"/>
      <c r="P840" s="36"/>
      <c r="Q840" s="36"/>
      <c r="R840" s="39">
        <v>0</v>
      </c>
      <c r="S840" s="39">
        <f>B840*348/100</f>
        <v>348</v>
      </c>
      <c r="T840" s="39">
        <v>0</v>
      </c>
      <c r="U840" s="42"/>
      <c r="V840" s="42"/>
      <c r="W840" s="36"/>
      <c r="X840" s="39">
        <v>0</v>
      </c>
      <c r="Y840" s="42"/>
      <c r="Z840" s="42"/>
      <c r="AA840" s="39">
        <v>0</v>
      </c>
      <c r="AB840" s="39">
        <v>0</v>
      </c>
      <c r="AC840"/>
    </row>
    <row r="841" spans="1:29">
      <c r="A841" s="40" t="s">
        <v>414</v>
      </c>
      <c r="B841" s="41">
        <v>100</v>
      </c>
      <c r="C841" s="38">
        <f>B841*60/100</f>
        <v>60</v>
      </c>
      <c r="D841" s="39">
        <f>B841*2.9/100</f>
        <v>2.9</v>
      </c>
      <c r="E841" s="39">
        <f>B841*1.5/100</f>
        <v>1.5</v>
      </c>
      <c r="F841" s="39">
        <f>B841*0.16/100</f>
        <v>0.16</v>
      </c>
      <c r="G841" s="36"/>
      <c r="H841" s="36"/>
      <c r="I841" s="36"/>
      <c r="J841" s="39"/>
      <c r="K841" s="39">
        <f>B841*0.8/100</f>
        <v>0.8</v>
      </c>
      <c r="L841" s="39">
        <f>B841*9.15/100</f>
        <v>9.15</v>
      </c>
      <c r="M841" s="39">
        <f>B841*1.1/100</f>
        <v>1.1000000000000001</v>
      </c>
      <c r="N841" s="39">
        <f>B841*48.6/100</f>
        <v>48.6</v>
      </c>
      <c r="O841" s="36"/>
      <c r="P841" s="36"/>
      <c r="Q841" s="36"/>
      <c r="R841" s="39">
        <f>B841*0.7/100</f>
        <v>0.7</v>
      </c>
      <c r="S841" s="39">
        <f>B841*35.5/100</f>
        <v>35.5</v>
      </c>
      <c r="T841" s="39">
        <f>B841*251.9/100</f>
        <v>251.9</v>
      </c>
      <c r="U841" s="42"/>
      <c r="V841" s="42"/>
      <c r="W841" s="36"/>
      <c r="X841" s="39">
        <f>B841*0.06/100</f>
        <v>0.06</v>
      </c>
      <c r="Y841" s="42"/>
      <c r="Z841" s="42"/>
      <c r="AA841" s="39">
        <f>B841*0.6/100</f>
        <v>0.6</v>
      </c>
      <c r="AB841" s="39">
        <f>B841*9.5/100</f>
        <v>9.5</v>
      </c>
      <c r="AC841"/>
    </row>
    <row r="842" spans="1:29">
      <c r="A842" s="40" t="s">
        <v>415</v>
      </c>
      <c r="B842" s="41">
        <v>100</v>
      </c>
      <c r="C842" s="38">
        <f>B842*45.5/100</f>
        <v>45.5</v>
      </c>
      <c r="D842" s="39">
        <f>B842*0.8/100</f>
        <v>0.8</v>
      </c>
      <c r="E842" s="39">
        <f>B842*1.65/100</f>
        <v>1.65</v>
      </c>
      <c r="F842" s="39">
        <f>B842*0.2/100</f>
        <v>0.2</v>
      </c>
      <c r="G842" s="36"/>
      <c r="H842" s="36"/>
      <c r="I842" s="36"/>
      <c r="J842" s="39"/>
      <c r="K842" s="39">
        <v>0</v>
      </c>
      <c r="L842" s="39">
        <f>B842*7.6/100</f>
        <v>7.6</v>
      </c>
      <c r="M842" s="39">
        <f>B842*1.95/100</f>
        <v>1.95</v>
      </c>
      <c r="N842" s="39">
        <f>B842*20.5/100</f>
        <v>20.5</v>
      </c>
      <c r="O842" s="36"/>
      <c r="P842" s="36"/>
      <c r="Q842" s="36"/>
      <c r="R842" s="39">
        <f>B842*0.4/100</f>
        <v>0.4</v>
      </c>
      <c r="S842" s="39">
        <f>B842*413.8/100</f>
        <v>413.8</v>
      </c>
      <c r="T842" s="39">
        <f>B842*242.3/100</f>
        <v>242.3</v>
      </c>
      <c r="U842" s="42"/>
      <c r="V842" s="42"/>
      <c r="W842" s="36"/>
      <c r="X842" s="39">
        <f>B842*0.075/100</f>
        <v>7.4999999999999997E-2</v>
      </c>
      <c r="Y842" s="42"/>
      <c r="Z842" s="42"/>
      <c r="AA842" s="39">
        <f>B842*0.7/100</f>
        <v>0.7</v>
      </c>
      <c r="AB842" s="39">
        <f>B842*7/100</f>
        <v>7</v>
      </c>
      <c r="AC842"/>
    </row>
    <row r="843" spans="1:29">
      <c r="A843" s="40" t="s">
        <v>416</v>
      </c>
      <c r="B843" s="41">
        <v>100</v>
      </c>
      <c r="C843" s="38">
        <f>B843*113/100</f>
        <v>113</v>
      </c>
      <c r="D843" s="39">
        <f>B843*2.4/100</f>
        <v>2.4</v>
      </c>
      <c r="E843" s="39">
        <f>B843*8.3/100</f>
        <v>8.3000000000000007</v>
      </c>
      <c r="F843" s="39">
        <f>B843*0.06/100</f>
        <v>0.06</v>
      </c>
      <c r="G843" s="36"/>
      <c r="H843" s="36"/>
      <c r="I843" s="36"/>
      <c r="J843" s="39"/>
      <c r="K843" s="39">
        <v>0</v>
      </c>
      <c r="L843" s="39">
        <f>B843*8.3/100</f>
        <v>8.3000000000000007</v>
      </c>
      <c r="M843" s="39">
        <f>B843*1.4/100</f>
        <v>1.4</v>
      </c>
      <c r="N843" s="39">
        <f>B843*12.9/100</f>
        <v>12.9</v>
      </c>
      <c r="O843" s="36"/>
      <c r="P843" s="36"/>
      <c r="Q843" s="36"/>
      <c r="R843" s="39">
        <f>B843*0.3/100</f>
        <v>0.3</v>
      </c>
      <c r="S843" s="39">
        <f>B843*12.4/100</f>
        <v>12.4</v>
      </c>
      <c r="T843" s="39">
        <f>B843*113.7/100</f>
        <v>113.7</v>
      </c>
      <c r="U843" s="42"/>
      <c r="V843" s="42"/>
      <c r="W843" s="36"/>
      <c r="X843" s="39">
        <f>B843*0.03/100</f>
        <v>0.03</v>
      </c>
      <c r="Y843" s="42"/>
      <c r="Z843" s="42"/>
      <c r="AA843" s="39">
        <f>B843*0.3/100</f>
        <v>0.3</v>
      </c>
      <c r="AB843" s="39">
        <f>B843*35.4/100</f>
        <v>35.4</v>
      </c>
      <c r="AC843"/>
    </row>
    <row r="844" spans="1:29">
      <c r="A844" s="40" t="s">
        <v>417</v>
      </c>
      <c r="B844" s="41">
        <v>100</v>
      </c>
      <c r="C844" s="38">
        <f>B844*191/100</f>
        <v>191</v>
      </c>
      <c r="D844" s="39">
        <f>B844*4/100</f>
        <v>4</v>
      </c>
      <c r="E844" s="39">
        <f>B844*7.9/100</f>
        <v>7.9</v>
      </c>
      <c r="F844" s="39">
        <v>0</v>
      </c>
      <c r="G844" s="36"/>
      <c r="H844" s="36"/>
      <c r="I844" s="36"/>
      <c r="J844" s="39"/>
      <c r="K844" s="39">
        <v>0</v>
      </c>
      <c r="L844" s="39">
        <f>B844*26.1/100</f>
        <v>26.1</v>
      </c>
      <c r="M844" s="39">
        <v>0</v>
      </c>
      <c r="N844" s="39">
        <v>0</v>
      </c>
      <c r="O844" s="36"/>
      <c r="P844" s="36"/>
      <c r="Q844" s="36"/>
      <c r="R844" s="39">
        <v>0</v>
      </c>
      <c r="S844" s="39">
        <v>0</v>
      </c>
      <c r="T844" s="39">
        <v>0</v>
      </c>
      <c r="U844" s="42"/>
      <c r="V844" s="42"/>
      <c r="W844" s="36"/>
      <c r="X844" s="39">
        <v>0</v>
      </c>
      <c r="Y844" s="42"/>
      <c r="Z844" s="42"/>
      <c r="AA844" s="39">
        <v>0</v>
      </c>
      <c r="AB844" s="39">
        <v>0</v>
      </c>
      <c r="AC844"/>
    </row>
    <row r="845" spans="1:29">
      <c r="A845" s="40" t="s">
        <v>418</v>
      </c>
      <c r="B845" s="41">
        <v>120</v>
      </c>
      <c r="C845" s="38">
        <f>B845*239/120</f>
        <v>239</v>
      </c>
      <c r="D845" s="39">
        <f>B845*20.9/120</f>
        <v>20.9</v>
      </c>
      <c r="E845" s="39">
        <f>B845*15.98/120</f>
        <v>15.98</v>
      </c>
      <c r="F845" s="39">
        <f>B845*5.41/120</f>
        <v>5.41</v>
      </c>
      <c r="G845" s="36"/>
      <c r="H845" s="36"/>
      <c r="I845" s="36"/>
      <c r="J845" s="39"/>
      <c r="K845" s="39">
        <f>B845*78.48/120</f>
        <v>78.48</v>
      </c>
      <c r="L845" s="39">
        <f>B845*2.98/120</f>
        <v>2.98</v>
      </c>
      <c r="M845" s="39">
        <f>B845*0.27/120</f>
        <v>0.27000000000000007</v>
      </c>
      <c r="N845" s="39">
        <f>B845*46.18/120</f>
        <v>46.18</v>
      </c>
      <c r="O845" s="36"/>
      <c r="P845" s="36"/>
      <c r="Q845" s="36"/>
      <c r="R845" s="39">
        <f>B845*1.48/120</f>
        <v>1.48</v>
      </c>
      <c r="S845" s="39">
        <f>B845*399.85/120</f>
        <v>399.85</v>
      </c>
      <c r="T845" s="39">
        <f>B845*299.67/120</f>
        <v>299.67</v>
      </c>
      <c r="U845" s="42"/>
      <c r="V845" s="42"/>
      <c r="W845" s="36"/>
      <c r="X845" s="39">
        <f>B845*0.09/120</f>
        <v>0.09</v>
      </c>
      <c r="Y845" s="42"/>
      <c r="Z845" s="42"/>
      <c r="AA845" s="39">
        <f>B845*7.49/120</f>
        <v>7.49</v>
      </c>
      <c r="AB845" s="39">
        <f>B845*7.78/120</f>
        <v>7.78</v>
      </c>
      <c r="AC845"/>
    </row>
    <row r="846" spans="1:29">
      <c r="A846" s="40" t="s">
        <v>419</v>
      </c>
      <c r="B846" s="41">
        <v>100</v>
      </c>
      <c r="C846" s="41">
        <f>B846*390/100</f>
        <v>390</v>
      </c>
      <c r="D846" s="41">
        <f>B846*23.5/100</f>
        <v>23.5</v>
      </c>
      <c r="E846" s="41">
        <f>B846*3.5/100</f>
        <v>3.5</v>
      </c>
      <c r="F846" s="41">
        <v>0</v>
      </c>
      <c r="G846" s="36"/>
      <c r="H846" s="36"/>
      <c r="I846" s="36"/>
      <c r="J846" s="41"/>
      <c r="K846" s="41">
        <v>0</v>
      </c>
      <c r="L846" s="41">
        <f>B846*65/100</f>
        <v>65</v>
      </c>
      <c r="M846" s="41">
        <v>0</v>
      </c>
      <c r="N846" s="41">
        <f>B846*0.8/100</f>
        <v>0.8</v>
      </c>
      <c r="O846" s="36"/>
      <c r="P846" s="36"/>
      <c r="Q846" s="36"/>
      <c r="R846" s="41">
        <f>B846*3.3/100</f>
        <v>3.3</v>
      </c>
      <c r="S846" s="41">
        <f>B846*0.3/100</f>
        <v>0.3</v>
      </c>
      <c r="T846" s="41">
        <f>B846*1.1/100</f>
        <v>1.1000000000000001</v>
      </c>
      <c r="U846" s="42"/>
      <c r="V846" s="42"/>
      <c r="W846" s="36"/>
      <c r="X846" s="41">
        <f>B846*1.1/100</f>
        <v>1.1000000000000001</v>
      </c>
      <c r="Y846" s="42"/>
      <c r="Z846" s="42"/>
      <c r="AA846" s="41">
        <f>B846*11/100</f>
        <v>11</v>
      </c>
      <c r="AB846" s="41">
        <f>B846*33/100</f>
        <v>33</v>
      </c>
      <c r="AC846"/>
    </row>
    <row r="847" spans="1:29">
      <c r="A847" s="40" t="s">
        <v>420</v>
      </c>
      <c r="B847" s="41">
        <v>100</v>
      </c>
      <c r="C847" s="38">
        <f>B847*55/100</f>
        <v>55</v>
      </c>
      <c r="D847" s="39">
        <f>B847*0.1/100</f>
        <v>0.1</v>
      </c>
      <c r="E847" s="39">
        <f>B847*0.1/100</f>
        <v>0.1</v>
      </c>
      <c r="F847" s="39">
        <f>B847*0.01/100</f>
        <v>0.01</v>
      </c>
      <c r="G847" s="36"/>
      <c r="H847" s="36"/>
      <c r="I847" s="36"/>
      <c r="J847" s="39"/>
      <c r="K847" s="39">
        <v>0</v>
      </c>
      <c r="L847" s="39">
        <f>B847*14.1/100</f>
        <v>14.1</v>
      </c>
      <c r="M847" s="39">
        <f>B847*0.3/100</f>
        <v>0.3</v>
      </c>
      <c r="N847" s="39">
        <f>B847*3.3/100</f>
        <v>3.3</v>
      </c>
      <c r="O847" s="36"/>
      <c r="P847" s="36"/>
      <c r="Q847" s="36"/>
      <c r="R847" s="39">
        <f>B847*0.1/100</f>
        <v>0.1</v>
      </c>
      <c r="S847" s="39">
        <f>B847*2.2/100</f>
        <v>2.2000000000000002</v>
      </c>
      <c r="T847" s="39">
        <f>B847*32.5/100</f>
        <v>32.5</v>
      </c>
      <c r="U847" s="42"/>
      <c r="V847" s="42"/>
      <c r="W847" s="36"/>
      <c r="X847" s="39">
        <f>B847*0.03/100</f>
        <v>0.03</v>
      </c>
      <c r="Y847" s="42"/>
      <c r="Z847" s="42"/>
      <c r="AA847" s="39">
        <f>B847*0.1/100</f>
        <v>0.1</v>
      </c>
      <c r="AB847" s="39">
        <f>B847*4.4/100</f>
        <v>4.4000000000000004</v>
      </c>
      <c r="AC847"/>
    </row>
    <row r="848" spans="1:29">
      <c r="A848" s="40" t="s">
        <v>421</v>
      </c>
      <c r="B848" s="41">
        <v>100</v>
      </c>
      <c r="C848" s="38">
        <f>B848*62/100</f>
        <v>62</v>
      </c>
      <c r="D848" s="39">
        <f>B848*0.7/100</f>
        <v>0.7</v>
      </c>
      <c r="E848" s="39">
        <f>B848*0.2/100</f>
        <v>0.2</v>
      </c>
      <c r="F848" s="39">
        <f>B848*0.02/100</f>
        <v>0.02</v>
      </c>
      <c r="G848" s="36"/>
      <c r="H848" s="36"/>
      <c r="I848" s="36"/>
      <c r="J848" s="39"/>
      <c r="K848" s="39">
        <v>0</v>
      </c>
      <c r="L848" s="39">
        <f>B848*14.9/100</f>
        <v>14.9</v>
      </c>
      <c r="M848" s="39">
        <f>B848*0.2/100</f>
        <v>0.2</v>
      </c>
      <c r="N848" s="39">
        <f>B848*10.5/100</f>
        <v>10.5</v>
      </c>
      <c r="O848" s="36"/>
      <c r="P848" s="36"/>
      <c r="Q848" s="36"/>
      <c r="R848" s="39">
        <f>B848*0.2/100</f>
        <v>0.2</v>
      </c>
      <c r="S848" s="39">
        <f>B848*1/100</f>
        <v>1</v>
      </c>
      <c r="T848" s="39">
        <f>B848*190.1/100</f>
        <v>190.1</v>
      </c>
      <c r="U848" s="42"/>
      <c r="V848" s="42"/>
      <c r="W848" s="36"/>
      <c r="X848" s="39">
        <f>B848*0.09/100</f>
        <v>0.09</v>
      </c>
      <c r="Y848" s="42"/>
      <c r="Z848" s="42"/>
      <c r="AA848" s="39">
        <f>B848*0.4/100</f>
        <v>0.4</v>
      </c>
      <c r="AB848" s="39">
        <f>B848*47.5/100</f>
        <v>47.5</v>
      </c>
      <c r="AC848"/>
    </row>
    <row r="849" spans="1:29">
      <c r="A849" s="40" t="s">
        <v>422</v>
      </c>
      <c r="B849" s="41">
        <v>100</v>
      </c>
      <c r="C849" s="38">
        <f>B849*45/100</f>
        <v>45</v>
      </c>
      <c r="D849" s="39">
        <f>B849*0.7/100</f>
        <v>0.7</v>
      </c>
      <c r="E849" s="39">
        <f>B849*0.2/100</f>
        <v>0.2</v>
      </c>
      <c r="F849" s="39">
        <f>B849*0.02/100</f>
        <v>0.02</v>
      </c>
      <c r="G849" s="36"/>
      <c r="H849" s="36"/>
      <c r="I849" s="36"/>
      <c r="J849" s="39"/>
      <c r="K849" s="39">
        <f>B849*0/100</f>
        <v>0</v>
      </c>
      <c r="L849" s="39">
        <f>B849*10.41/100</f>
        <v>10.41</v>
      </c>
      <c r="M849" s="39">
        <f>B849*0.2/100</f>
        <v>0.2</v>
      </c>
      <c r="N849" s="39">
        <f>B849*11/100</f>
        <v>11</v>
      </c>
      <c r="O849" s="36"/>
      <c r="P849" s="36"/>
      <c r="Q849" s="36"/>
      <c r="R849" s="39">
        <f>B849*0.2/100</f>
        <v>0.2</v>
      </c>
      <c r="S849" s="39">
        <f>B849*1/100</f>
        <v>1</v>
      </c>
      <c r="T849" s="39">
        <f>B849*200/100</f>
        <v>200</v>
      </c>
      <c r="U849" s="42"/>
      <c r="V849" s="42"/>
      <c r="W849" s="36"/>
      <c r="X849" s="39">
        <f>B849*0.09/100</f>
        <v>0.09</v>
      </c>
      <c r="Y849" s="42"/>
      <c r="Z849" s="42"/>
      <c r="AA849" s="39">
        <f>B849*0.4/100</f>
        <v>0.4</v>
      </c>
      <c r="AB849" s="39">
        <f>B849*50/100</f>
        <v>50</v>
      </c>
      <c r="AC849"/>
    </row>
    <row r="850" spans="1:29">
      <c r="A850" s="40" t="s">
        <v>423</v>
      </c>
      <c r="B850" s="41">
        <v>100</v>
      </c>
      <c r="C850" s="38">
        <f>B850*44/100</f>
        <v>44</v>
      </c>
      <c r="D850" s="39">
        <f>B850*0.83/100</f>
        <v>0.83</v>
      </c>
      <c r="E850" s="39">
        <f>B850*0.19/100</f>
        <v>0.19</v>
      </c>
      <c r="F850" s="39">
        <f>B850*0.03/100</f>
        <v>0.03</v>
      </c>
      <c r="G850" s="36"/>
      <c r="H850" s="36"/>
      <c r="I850" s="36"/>
      <c r="J850" s="39"/>
      <c r="K850" s="39">
        <f>B850*0/100</f>
        <v>0</v>
      </c>
      <c r="L850" s="39">
        <f>B850*10.29/100</f>
        <v>10.29</v>
      </c>
      <c r="M850" s="39">
        <f>B850*1.11/100</f>
        <v>1.1100000000000001</v>
      </c>
      <c r="N850" s="39">
        <f>B850*17.08/100</f>
        <v>17.079999999999998</v>
      </c>
      <c r="O850" s="36"/>
      <c r="P850" s="36"/>
      <c r="Q850" s="36"/>
      <c r="R850" s="39">
        <f>B850*0.31/100</f>
        <v>0.31</v>
      </c>
      <c r="S850" s="39">
        <f>B850*13.92/100</f>
        <v>13.92</v>
      </c>
      <c r="T850" s="39">
        <f>B850*246.83/100</f>
        <v>246.83</v>
      </c>
      <c r="U850" s="42"/>
      <c r="V850" s="42"/>
      <c r="W850" s="36"/>
      <c r="X850" s="39">
        <f>B850*0.092/100</f>
        <v>9.1999999999999998E-2</v>
      </c>
      <c r="Y850" s="42"/>
      <c r="Z850" s="42"/>
      <c r="AA850" s="39">
        <f>B850*0.6/100</f>
        <v>0.6</v>
      </c>
      <c r="AB850" s="39">
        <f>B850*34.55/100</f>
        <v>34.549999999999997</v>
      </c>
      <c r="AC850"/>
    </row>
    <row r="851" spans="1:29">
      <c r="A851" s="40" t="s">
        <v>424</v>
      </c>
      <c r="B851" s="41">
        <v>100</v>
      </c>
      <c r="C851" s="38">
        <f>B851*58/100</f>
        <v>58</v>
      </c>
      <c r="D851" s="39">
        <f>B851*0.07/100</f>
        <v>7.0000000000000007E-2</v>
      </c>
      <c r="E851" s="39">
        <f>B851*0.02/100</f>
        <v>0.02</v>
      </c>
      <c r="F851" s="39">
        <f>B851*0.01/100</f>
        <v>0.01</v>
      </c>
      <c r="G851" s="36"/>
      <c r="H851" s="36"/>
      <c r="I851" s="36"/>
      <c r="J851" s="39"/>
      <c r="K851" s="39">
        <v>0</v>
      </c>
      <c r="L851" s="39">
        <f>B851*14.4/100</f>
        <v>14.4</v>
      </c>
      <c r="M851" s="39">
        <f>B851*0.07/100</f>
        <v>7.0000000000000007E-2</v>
      </c>
      <c r="N851" s="39">
        <f>B851*2.7/100</f>
        <v>2.7</v>
      </c>
      <c r="O851" s="36"/>
      <c r="P851" s="36"/>
      <c r="Q851" s="36"/>
      <c r="R851" s="39">
        <f>B851*0.02/100</f>
        <v>0.02</v>
      </c>
      <c r="S851" s="39">
        <f>B851*2.4/100</f>
        <v>2.4</v>
      </c>
      <c r="T851" s="39">
        <f>B851*21.7/100</f>
        <v>21.7</v>
      </c>
      <c r="U851" s="42"/>
      <c r="V851" s="42"/>
      <c r="W851" s="36"/>
      <c r="X851" s="39">
        <f>B851*0.005/100</f>
        <v>5.0000000000000001E-3</v>
      </c>
      <c r="Y851" s="42"/>
      <c r="Z851" s="42"/>
      <c r="AA851" s="39">
        <f>B851*0.02/100</f>
        <v>0.02</v>
      </c>
      <c r="AB851" s="39">
        <f>B851*8/100</f>
        <v>8</v>
      </c>
      <c r="AC851"/>
    </row>
    <row r="852" spans="1:29">
      <c r="A852" s="40" t="s">
        <v>425</v>
      </c>
      <c r="B852" s="41">
        <v>100</v>
      </c>
      <c r="C852" s="38">
        <f>B852*64/100</f>
        <v>64</v>
      </c>
      <c r="D852" s="39">
        <f>B852*0.06/100</f>
        <v>0.06</v>
      </c>
      <c r="E852" s="39">
        <f>B852*0.02/100</f>
        <v>0.02</v>
      </c>
      <c r="F852" s="39">
        <f>B852*0/100</f>
        <v>0</v>
      </c>
      <c r="G852" s="36"/>
      <c r="H852" s="36"/>
      <c r="I852" s="36"/>
      <c r="J852" s="39"/>
      <c r="K852" s="39">
        <f>B852*0/100</f>
        <v>0</v>
      </c>
      <c r="L852" s="39">
        <f>B852*16.42/100</f>
        <v>16.420000000000002</v>
      </c>
      <c r="M852" s="39">
        <f>B852*0.02/100</f>
        <v>0.02</v>
      </c>
      <c r="N852" s="39">
        <f>B852*2.019/100</f>
        <v>2.0190000000000001</v>
      </c>
      <c r="O852" s="36"/>
      <c r="P852" s="36"/>
      <c r="Q852" s="36"/>
      <c r="R852" s="39">
        <f>B852*0.047/100</f>
        <v>4.7E-2</v>
      </c>
      <c r="S852" s="39">
        <f>B852*2.953/100</f>
        <v>2.9530000000000003</v>
      </c>
      <c r="T852" s="39">
        <f>B852*23.896/100</f>
        <v>23.896000000000001</v>
      </c>
      <c r="U852" s="42"/>
      <c r="V852" s="42"/>
      <c r="W852" s="36"/>
      <c r="X852" s="39">
        <f>B852*0/100</f>
        <v>0</v>
      </c>
      <c r="Y852" s="42"/>
      <c r="Z852" s="42"/>
      <c r="AA852" s="39">
        <f>B852*0.19/100</f>
        <v>0.19</v>
      </c>
      <c r="AB852" s="39">
        <f>B852*1.545/100</f>
        <v>1.5449999999999999</v>
      </c>
      <c r="AC852"/>
    </row>
    <row r="853" spans="1:29">
      <c r="A853" s="40" t="s">
        <v>426</v>
      </c>
      <c r="B853" s="41">
        <v>100</v>
      </c>
      <c r="C853" s="38">
        <f>B853*9.7/100</f>
        <v>9.6999999999999993</v>
      </c>
      <c r="D853" s="39">
        <f>B853*0.2/100</f>
        <v>0.2</v>
      </c>
      <c r="E853" s="39">
        <f>B853*0.07/100</f>
        <v>7.0000000000000007E-2</v>
      </c>
      <c r="F853" s="39">
        <v>0</v>
      </c>
      <c r="G853" s="36"/>
      <c r="H853" s="36"/>
      <c r="I853" s="36"/>
      <c r="J853" s="39"/>
      <c r="K853" s="39">
        <v>0</v>
      </c>
      <c r="L853" s="39">
        <f>B853*2.3/100</f>
        <v>2.2999999999999998</v>
      </c>
      <c r="M853" s="39">
        <f>B853*1.04/100</f>
        <v>1.04</v>
      </c>
      <c r="N853" s="39">
        <f>B853*1.2/100</f>
        <v>1.2</v>
      </c>
      <c r="O853" s="36"/>
      <c r="P853" s="36"/>
      <c r="Q853" s="36"/>
      <c r="R853" s="39">
        <f>B853*0.2/100</f>
        <v>0.2</v>
      </c>
      <c r="S853" s="39">
        <f>B853*2.8/100</f>
        <v>2.8</v>
      </c>
      <c r="T853" s="39">
        <f>B853*34.8/100</f>
        <v>34.799999999999997</v>
      </c>
      <c r="U853" s="42"/>
      <c r="V853" s="42"/>
      <c r="W853" s="36"/>
      <c r="X853" s="39">
        <v>0</v>
      </c>
      <c r="Y853" s="42"/>
      <c r="Z853" s="42"/>
      <c r="AA853" s="39">
        <f>B853*0.1/100</f>
        <v>0.1</v>
      </c>
      <c r="AB853" s="39">
        <f>B853*3/100</f>
        <v>3</v>
      </c>
      <c r="AC853"/>
    </row>
    <row r="854" spans="1:29">
      <c r="A854" s="40" t="s">
        <v>427</v>
      </c>
      <c r="B854" s="41">
        <v>100</v>
      </c>
      <c r="C854" s="38">
        <f>B854*45.45/100</f>
        <v>45.45</v>
      </c>
      <c r="D854" s="39">
        <f>B854*0/100</f>
        <v>0</v>
      </c>
      <c r="E854" s="39">
        <v>0</v>
      </c>
      <c r="F854" s="39">
        <v>0</v>
      </c>
      <c r="G854" s="36"/>
      <c r="H854" s="36"/>
      <c r="I854" s="36"/>
      <c r="J854" s="39"/>
      <c r="K854" s="39">
        <v>0</v>
      </c>
      <c r="L854" s="39">
        <f>B854*9.09/100</f>
        <v>9.09</v>
      </c>
      <c r="M854" s="39">
        <f>B854*0/100</f>
        <v>0</v>
      </c>
      <c r="N854" s="39">
        <f>B854*0/100</f>
        <v>0</v>
      </c>
      <c r="O854" s="36"/>
      <c r="P854" s="36"/>
      <c r="Q854" s="36"/>
      <c r="R854" s="39">
        <f>B854*0/100</f>
        <v>0</v>
      </c>
      <c r="S854" s="39">
        <f>B854*0/100</f>
        <v>0</v>
      </c>
      <c r="T854" s="39">
        <v>0</v>
      </c>
      <c r="U854" s="42"/>
      <c r="V854" s="42"/>
      <c r="W854" s="36"/>
      <c r="X854" s="39">
        <v>0</v>
      </c>
      <c r="Y854" s="42"/>
      <c r="Z854" s="42"/>
      <c r="AA854" s="39">
        <v>0</v>
      </c>
      <c r="AB854" s="39">
        <v>0</v>
      </c>
      <c r="AC854"/>
    </row>
    <row r="855" spans="1:29">
      <c r="A855" s="40" t="s">
        <v>428</v>
      </c>
      <c r="B855" s="41">
        <v>100</v>
      </c>
      <c r="C855" s="38">
        <f>B855*64.17/100</f>
        <v>64.17</v>
      </c>
      <c r="D855" s="39">
        <f>B855*0/100</f>
        <v>0</v>
      </c>
      <c r="E855" s="39">
        <v>0</v>
      </c>
      <c r="F855" s="39">
        <v>0</v>
      </c>
      <c r="G855" s="36"/>
      <c r="H855" s="36"/>
      <c r="I855" s="36"/>
      <c r="J855" s="39"/>
      <c r="K855" s="39">
        <v>0</v>
      </c>
      <c r="L855" s="39">
        <f>B855*14.92/100</f>
        <v>14.92</v>
      </c>
      <c r="M855" s="39">
        <f>B855*1.49/100</f>
        <v>1.49</v>
      </c>
      <c r="N855" s="39">
        <f>B855*8.95/100</f>
        <v>8.9499999999999993</v>
      </c>
      <c r="O855" s="36"/>
      <c r="P855" s="36"/>
      <c r="Q855" s="36"/>
      <c r="R855" s="39">
        <f>B855*0.19/100</f>
        <v>0.19</v>
      </c>
      <c r="S855" s="39">
        <f>B855*12.98/100</f>
        <v>12.98</v>
      </c>
      <c r="T855" s="39">
        <v>0</v>
      </c>
      <c r="U855" s="42"/>
      <c r="V855" s="42"/>
      <c r="W855" s="36"/>
      <c r="X855" s="39">
        <v>0</v>
      </c>
      <c r="Y855" s="42"/>
      <c r="Z855" s="42"/>
      <c r="AA855" s="39">
        <v>0</v>
      </c>
      <c r="AB855" s="39">
        <v>0</v>
      </c>
      <c r="AC855"/>
    </row>
    <row r="856" spans="1:29">
      <c r="A856" s="40" t="s">
        <v>429</v>
      </c>
      <c r="B856" s="41">
        <v>100</v>
      </c>
      <c r="C856" s="38">
        <f>B856*42/100</f>
        <v>42</v>
      </c>
      <c r="D856" s="39">
        <v>0</v>
      </c>
      <c r="E856" s="39">
        <v>0</v>
      </c>
      <c r="F856" s="39">
        <v>0</v>
      </c>
      <c r="G856" s="36"/>
      <c r="H856" s="36"/>
      <c r="I856" s="36"/>
      <c r="J856" s="39"/>
      <c r="K856" s="39">
        <v>0</v>
      </c>
      <c r="L856" s="39">
        <f>B856*10.5/100</f>
        <v>10.5</v>
      </c>
      <c r="M856" s="39">
        <v>0</v>
      </c>
      <c r="N856" s="39">
        <v>0</v>
      </c>
      <c r="O856" s="36"/>
      <c r="P856" s="36"/>
      <c r="Q856" s="36"/>
      <c r="R856" s="39">
        <v>0</v>
      </c>
      <c r="S856" s="39">
        <f>B856*9.5/100</f>
        <v>9.5</v>
      </c>
      <c r="T856" s="39">
        <v>0</v>
      </c>
      <c r="U856" s="42"/>
      <c r="V856" s="42"/>
      <c r="W856" s="36"/>
      <c r="X856" s="39">
        <v>0</v>
      </c>
      <c r="Y856" s="42"/>
      <c r="Z856" s="42"/>
      <c r="AA856" s="39">
        <v>0</v>
      </c>
      <c r="AB856" s="39">
        <v>0</v>
      </c>
      <c r="AC856"/>
    </row>
    <row r="857" spans="1:29">
      <c r="A857" s="40" t="s">
        <v>430</v>
      </c>
      <c r="B857" s="41">
        <v>100</v>
      </c>
      <c r="C857" s="38">
        <f>B857*288/100</f>
        <v>288</v>
      </c>
      <c r="D857" s="39">
        <f>B857*9/100</f>
        <v>9</v>
      </c>
      <c r="E857" s="39">
        <f>B857*2.5/100</f>
        <v>2.5</v>
      </c>
      <c r="F857" s="39">
        <f>B857*1/100</f>
        <v>1</v>
      </c>
      <c r="G857" s="36"/>
      <c r="H857" s="36"/>
      <c r="I857" s="36"/>
      <c r="J857" s="39"/>
      <c r="K857" s="39">
        <f>B857*35/100</f>
        <v>35</v>
      </c>
      <c r="L857" s="39">
        <f>B857*56/100</f>
        <v>56</v>
      </c>
      <c r="M857" s="39">
        <f>B857*3/100</f>
        <v>3</v>
      </c>
      <c r="N857" s="39">
        <f>B857*17/100</f>
        <v>17</v>
      </c>
      <c r="O857" s="36"/>
      <c r="P857" s="36"/>
      <c r="Q857" s="36"/>
      <c r="R857" s="39">
        <f>B857*0.6/100</f>
        <v>0.6</v>
      </c>
      <c r="S857" s="39">
        <f>B857*632/100</f>
        <v>632</v>
      </c>
      <c r="T857" s="39">
        <v>0</v>
      </c>
      <c r="U857" s="42"/>
      <c r="V857" s="42"/>
      <c r="W857" s="36"/>
      <c r="X857" s="39">
        <v>0</v>
      </c>
      <c r="Y857" s="42"/>
      <c r="Z857" s="42"/>
      <c r="AA857" s="39">
        <v>0</v>
      </c>
      <c r="AB857" s="39">
        <v>0</v>
      </c>
      <c r="AC857"/>
    </row>
    <row r="858" spans="1:29">
      <c r="A858" s="40" t="s">
        <v>431</v>
      </c>
      <c r="B858" s="41">
        <v>100</v>
      </c>
      <c r="C858" s="38">
        <f>B858*341/100</f>
        <v>341</v>
      </c>
      <c r="D858" s="39">
        <f>B858*0.2/100</f>
        <v>0.2</v>
      </c>
      <c r="E858" s="39">
        <f>B858*0.02/100</f>
        <v>0.02</v>
      </c>
      <c r="F858" s="39">
        <f>B858*0.01/100</f>
        <v>0.01</v>
      </c>
      <c r="G858" s="36"/>
      <c r="H858" s="36"/>
      <c r="I858" s="36"/>
      <c r="J858" s="39"/>
      <c r="K858" s="39">
        <v>0</v>
      </c>
      <c r="L858" s="39">
        <f>B858*88.7/100</f>
        <v>88.7</v>
      </c>
      <c r="M858" s="39">
        <f>B858*0.7/100</f>
        <v>0.7</v>
      </c>
      <c r="N858" s="39">
        <f>B858*20/100</f>
        <v>20</v>
      </c>
      <c r="O858" s="36"/>
      <c r="P858" s="36"/>
      <c r="Q858" s="36"/>
      <c r="R858" s="39">
        <f>B858*1.6/100</f>
        <v>1.6</v>
      </c>
      <c r="S858" s="39">
        <f>B858*1/100</f>
        <v>1</v>
      </c>
      <c r="T858" s="39">
        <f>B858*11/100</f>
        <v>11</v>
      </c>
      <c r="U858" s="42"/>
      <c r="V858" s="42"/>
      <c r="W858" s="36"/>
      <c r="X858" s="39">
        <v>0</v>
      </c>
      <c r="Y858" s="42"/>
      <c r="Z858" s="42"/>
      <c r="AA858" s="39">
        <v>0</v>
      </c>
      <c r="AB858" s="39">
        <v>0</v>
      </c>
      <c r="AC858"/>
    </row>
    <row r="859" spans="1:29">
      <c r="A859" s="40" t="s">
        <v>432</v>
      </c>
      <c r="B859" s="41">
        <v>100</v>
      </c>
      <c r="C859" s="38">
        <f>B859*73/100</f>
        <v>73</v>
      </c>
      <c r="D859" s="39">
        <f>B859*8.1/100</f>
        <v>8.1</v>
      </c>
      <c r="E859" s="39">
        <f>B859*4.2/100</f>
        <v>4.2</v>
      </c>
      <c r="F859" s="39">
        <f>B859*0.5/100</f>
        <v>0.5</v>
      </c>
      <c r="G859" s="36"/>
      <c r="H859" s="36"/>
      <c r="I859" s="36"/>
      <c r="J859" s="39"/>
      <c r="K859" s="39">
        <v>0</v>
      </c>
      <c r="L859" s="39">
        <f>B859*0.7/100</f>
        <v>0.7</v>
      </c>
      <c r="M859" s="39">
        <f>B859*0.3/100</f>
        <v>0.3</v>
      </c>
      <c r="N859" s="39">
        <f>B859*510/100</f>
        <v>510</v>
      </c>
      <c r="O859" s="36"/>
      <c r="P859" s="36"/>
      <c r="Q859" s="36"/>
      <c r="R859" s="39">
        <f>B859*1.2/100</f>
        <v>1.2</v>
      </c>
      <c r="S859" s="39">
        <f>B859*4/100</f>
        <v>4</v>
      </c>
      <c r="T859" s="39">
        <f>B859*63/100</f>
        <v>63</v>
      </c>
      <c r="U859" s="42"/>
      <c r="V859" s="42"/>
      <c r="W859" s="36"/>
      <c r="X859" s="39">
        <f>B859*0.06/100</f>
        <v>0.06</v>
      </c>
      <c r="Y859" s="42"/>
      <c r="Z859" s="42"/>
      <c r="AA859" s="39">
        <f>B859*0.01/100</f>
        <v>0.01</v>
      </c>
      <c r="AB859" s="39">
        <v>0</v>
      </c>
      <c r="AC859"/>
    </row>
    <row r="860" spans="1:29">
      <c r="A860" s="43" t="s">
        <v>433</v>
      </c>
      <c r="B860" s="41">
        <v>100</v>
      </c>
      <c r="C860" s="38">
        <f>B860*428/100</f>
        <v>428</v>
      </c>
      <c r="D860" s="39">
        <f>B860*14.12/100</f>
        <v>14.12</v>
      </c>
      <c r="E860" s="39">
        <f>B860*2.4/100</f>
        <v>2.4</v>
      </c>
      <c r="F860" s="39">
        <v>0</v>
      </c>
      <c r="G860" s="36"/>
      <c r="H860" s="36"/>
      <c r="I860" s="36"/>
      <c r="J860" s="39"/>
      <c r="K860" s="39">
        <v>0</v>
      </c>
      <c r="L860" s="39">
        <f>B860*85.16/100</f>
        <v>85.16</v>
      </c>
      <c r="M860" s="39">
        <f>B860*4.2/100</f>
        <v>4.2</v>
      </c>
      <c r="N860" s="39">
        <f>B860*166.41/100</f>
        <v>166.41</v>
      </c>
      <c r="O860" s="36"/>
      <c r="P860" s="36"/>
      <c r="Q860" s="36"/>
      <c r="R860" s="39">
        <f>B860*4.61/100</f>
        <v>4.6100000000000003</v>
      </c>
      <c r="S860" s="39">
        <f>B860*869.5/100</f>
        <v>869.5</v>
      </c>
      <c r="T860" s="39">
        <f>B860*141.2/100</f>
        <v>141.19999999999999</v>
      </c>
      <c r="U860" s="42"/>
      <c r="V860" s="42"/>
      <c r="W860" s="36"/>
      <c r="X860" s="39">
        <f>B860*0.685/100</f>
        <v>0.68500000000000005</v>
      </c>
      <c r="Y860" s="42"/>
      <c r="Z860" s="42"/>
      <c r="AA860" s="39">
        <f>B860*5.99/100</f>
        <v>5.99</v>
      </c>
      <c r="AB860" s="39">
        <f>B860*0/100</f>
        <v>0</v>
      </c>
      <c r="AC860"/>
    </row>
    <row r="861" spans="1:29">
      <c r="A861" s="40" t="s">
        <v>434</v>
      </c>
      <c r="B861" s="41">
        <v>100</v>
      </c>
      <c r="C861" s="38">
        <f>B861*21/100</f>
        <v>21</v>
      </c>
      <c r="D861" s="39">
        <f>B861*0.8/100</f>
        <v>0.8</v>
      </c>
      <c r="E861" s="39">
        <f>B861*0.3/100</f>
        <v>0.3</v>
      </c>
      <c r="F861" s="39">
        <f>B861*0.05/100</f>
        <v>0.05</v>
      </c>
      <c r="G861" s="36"/>
      <c r="H861" s="36"/>
      <c r="I861" s="36"/>
      <c r="J861" s="39"/>
      <c r="K861" s="39">
        <f>B861*0/100</f>
        <v>0</v>
      </c>
      <c r="L861" s="39">
        <f>B861*4.6/100</f>
        <v>4.5999999999999996</v>
      </c>
      <c r="M861" s="39">
        <f>B861*1.03/100</f>
        <v>1.03</v>
      </c>
      <c r="N861" s="39">
        <f>B861*5/100</f>
        <v>5</v>
      </c>
      <c r="O861" s="36"/>
      <c r="P861" s="36"/>
      <c r="Q861" s="36"/>
      <c r="R861" s="39">
        <f>B861*0.45/100</f>
        <v>0.45</v>
      </c>
      <c r="S861" s="39">
        <f>B861*9/100</f>
        <v>9</v>
      </c>
      <c r="T861" s="39">
        <f>B861*222/100</f>
        <v>222</v>
      </c>
      <c r="U861" s="42"/>
      <c r="V861" s="42"/>
      <c r="W861" s="36"/>
      <c r="X861" s="39">
        <f>B861*0.06/100</f>
        <v>0.06</v>
      </c>
      <c r="Y861" s="42"/>
      <c r="Z861" s="42"/>
      <c r="AA861" s="39">
        <f>B861*0.63/100</f>
        <v>0.63</v>
      </c>
      <c r="AB861" s="39">
        <f>B861*19.1/100</f>
        <v>19.100000000000001</v>
      </c>
      <c r="AC861"/>
    </row>
    <row r="862" spans="1:29">
      <c r="A862" s="40" t="s">
        <v>435</v>
      </c>
      <c r="B862" s="41">
        <v>100</v>
      </c>
      <c r="C862" s="38">
        <f>B862*799/100</f>
        <v>799</v>
      </c>
      <c r="D862" s="39">
        <f>B862*8/100</f>
        <v>8</v>
      </c>
      <c r="E862" s="39">
        <f>B862*53/100</f>
        <v>53</v>
      </c>
      <c r="F862" s="39">
        <f>B862*7/100</f>
        <v>7</v>
      </c>
      <c r="G862" s="36"/>
      <c r="H862" s="36"/>
      <c r="I862" s="36"/>
      <c r="J862" s="39"/>
      <c r="K862" s="39">
        <v>0</v>
      </c>
      <c r="L862" s="39">
        <f>B862*84/100</f>
        <v>84</v>
      </c>
      <c r="M862" s="39">
        <f>B862*10/100</f>
        <v>10</v>
      </c>
      <c r="N862" s="39">
        <f>B862*63/100</f>
        <v>63</v>
      </c>
      <c r="O862" s="36"/>
      <c r="P862" s="36"/>
      <c r="Q862" s="36"/>
      <c r="R862" s="39">
        <f>B862*5/100</f>
        <v>5</v>
      </c>
      <c r="S862" s="39">
        <f>B862*2222/100</f>
        <v>2222</v>
      </c>
      <c r="T862" s="39">
        <f>B862*2233/100</f>
        <v>2233</v>
      </c>
      <c r="U862" s="42"/>
      <c r="V862" s="42"/>
      <c r="W862" s="36"/>
      <c r="X862" s="39">
        <f>B862*0.6/100</f>
        <v>0.6</v>
      </c>
      <c r="Y862" s="42"/>
      <c r="Z862" s="42"/>
      <c r="AA862" s="39">
        <f>B862*6/100</f>
        <v>6</v>
      </c>
      <c r="AB862" s="39">
        <f>B862*191/100</f>
        <v>191</v>
      </c>
      <c r="AC862"/>
    </row>
    <row r="863" spans="1:29">
      <c r="A863" s="40" t="s">
        <v>436</v>
      </c>
      <c r="B863" s="41">
        <v>100</v>
      </c>
      <c r="C863" s="38">
        <f>B863*276/100</f>
        <v>276</v>
      </c>
      <c r="D863" s="39">
        <f>B863*9.1/100</f>
        <v>9.1</v>
      </c>
      <c r="E863" s="39">
        <f>B863*7.4/100</f>
        <v>7.4</v>
      </c>
      <c r="F863" s="39">
        <f>B863*2.7/100</f>
        <v>2.7</v>
      </c>
      <c r="G863" s="36"/>
      <c r="H863" s="36"/>
      <c r="I863" s="36"/>
      <c r="J863" s="39"/>
      <c r="K863" s="39">
        <v>0</v>
      </c>
      <c r="L863" s="39">
        <f>B863*63.9/100</f>
        <v>63.9</v>
      </c>
      <c r="M863" s="39">
        <f>B863*18.6/100</f>
        <v>18.600000000000001</v>
      </c>
      <c r="N863" s="39">
        <f>B863*1889/100</f>
        <v>1889</v>
      </c>
      <c r="O863" s="36"/>
      <c r="P863" s="36"/>
      <c r="Q863" s="36"/>
      <c r="R863" s="39">
        <f>B863*124/100</f>
        <v>124</v>
      </c>
      <c r="S863" s="39">
        <f>B863*54.7/100</f>
        <v>54.7</v>
      </c>
      <c r="T863" s="39">
        <f>B863*814/100</f>
        <v>814</v>
      </c>
      <c r="U863" s="42"/>
      <c r="V863" s="42"/>
      <c r="W863" s="36"/>
      <c r="X863" s="39">
        <f>B863*0.5/100</f>
        <v>0.5</v>
      </c>
      <c r="Y863" s="42"/>
      <c r="Z863" s="42"/>
      <c r="AA863" s="39">
        <f>B863*4.9/100</f>
        <v>4.9000000000000004</v>
      </c>
      <c r="AB863" s="39">
        <v>0</v>
      </c>
      <c r="AC863"/>
    </row>
    <row r="864" spans="1:29">
      <c r="A864" s="40" t="s">
        <v>437</v>
      </c>
      <c r="B864" s="41">
        <v>100</v>
      </c>
      <c r="C864" s="38">
        <f>B864*737/100</f>
        <v>737</v>
      </c>
      <c r="D864" s="39">
        <f>B864*4.5/100</f>
        <v>4.5</v>
      </c>
      <c r="E864" s="39">
        <f>B864*79.6/100</f>
        <v>79.599999999999994</v>
      </c>
      <c r="F864" s="39" t="s">
        <v>149</v>
      </c>
      <c r="G864" s="36"/>
      <c r="H864" s="36"/>
      <c r="I864" s="36"/>
      <c r="J864" s="39"/>
      <c r="K864" s="39" t="s">
        <v>149</v>
      </c>
      <c r="L864" s="39">
        <v>0</v>
      </c>
      <c r="M864" s="39">
        <v>0</v>
      </c>
      <c r="N864" s="39">
        <f>B864*3/100</f>
        <v>3</v>
      </c>
      <c r="O864" s="36"/>
      <c r="P864" s="36"/>
      <c r="Q864" s="36"/>
      <c r="R864" s="39">
        <f>B864*0.7/100</f>
        <v>0.7</v>
      </c>
      <c r="S864" s="39" t="s">
        <v>149</v>
      </c>
      <c r="T864" s="39" t="s">
        <v>149</v>
      </c>
      <c r="U864" s="42"/>
      <c r="V864" s="42"/>
      <c r="W864" s="36"/>
      <c r="X864" s="39">
        <f>B852*0.2/100</f>
        <v>0.2</v>
      </c>
      <c r="Y864" s="42"/>
      <c r="Z864" s="42"/>
      <c r="AA864" s="39">
        <f>B864*1.2/100</f>
        <v>1.2</v>
      </c>
      <c r="AB864" s="39">
        <v>0</v>
      </c>
      <c r="AC864"/>
    </row>
    <row r="865" spans="1:29">
      <c r="A865" s="40" t="s">
        <v>438</v>
      </c>
      <c r="B865" s="41">
        <v>100</v>
      </c>
      <c r="C865" s="38">
        <f>B865*10/100</f>
        <v>10</v>
      </c>
      <c r="D865" s="39">
        <f>B865*0.6/100</f>
        <v>0.6</v>
      </c>
      <c r="E865" s="39">
        <v>0</v>
      </c>
      <c r="F865" s="39">
        <v>0</v>
      </c>
      <c r="G865" s="36"/>
      <c r="H865" s="36"/>
      <c r="I865" s="36"/>
      <c r="J865" s="39"/>
      <c r="K865" s="39">
        <v>0</v>
      </c>
      <c r="L865" s="39">
        <f>B865*1.9/100</f>
        <v>1.9</v>
      </c>
      <c r="M865" s="39">
        <v>0</v>
      </c>
      <c r="N865" s="39">
        <v>0</v>
      </c>
      <c r="O865" s="36"/>
      <c r="P865" s="36"/>
      <c r="Q865" s="36"/>
      <c r="R865" s="39">
        <v>0</v>
      </c>
      <c r="S865" s="39">
        <v>0</v>
      </c>
      <c r="T865" s="39">
        <v>0</v>
      </c>
      <c r="U865" s="42"/>
      <c r="V865" s="42"/>
      <c r="W865" s="36"/>
      <c r="X865" s="39">
        <v>0</v>
      </c>
      <c r="Y865" s="42"/>
      <c r="Z865" s="42"/>
      <c r="AA865" s="39">
        <v>0</v>
      </c>
      <c r="AB865" s="39">
        <v>0</v>
      </c>
      <c r="AC865"/>
    </row>
    <row r="866" spans="1:29">
      <c r="A866" s="40" t="s">
        <v>439</v>
      </c>
      <c r="B866" s="41">
        <v>100</v>
      </c>
      <c r="C866" s="38">
        <f>B866*342/100</f>
        <v>342</v>
      </c>
      <c r="D866" s="39">
        <f>B866*12.3/100</f>
        <v>12.3</v>
      </c>
      <c r="E866" s="39">
        <f>B866*1.3/100</f>
        <v>1.3</v>
      </c>
      <c r="F866" s="39">
        <f>B866*0.2/100</f>
        <v>0.2</v>
      </c>
      <c r="G866" s="36"/>
      <c r="H866" s="36"/>
      <c r="I866" s="36"/>
      <c r="J866" s="39"/>
      <c r="K866" s="39">
        <v>0</v>
      </c>
      <c r="L866" s="39">
        <f>B866*75.9/100</f>
        <v>75.900000000000006</v>
      </c>
      <c r="M866" s="39">
        <f>B866*18.3/100</f>
        <v>18.3</v>
      </c>
      <c r="N866" s="39">
        <f>B866*35/100</f>
        <v>35</v>
      </c>
      <c r="O866" s="36"/>
      <c r="P866" s="36"/>
      <c r="Q866" s="36"/>
      <c r="R866" s="39">
        <f>B866*2.5/100</f>
        <v>2.5</v>
      </c>
      <c r="S866" s="39">
        <f>B866*17/100</f>
        <v>17</v>
      </c>
      <c r="T866" s="39">
        <f>B866*410/100</f>
        <v>410</v>
      </c>
      <c r="U866" s="42"/>
      <c r="V866" s="42"/>
      <c r="W866" s="36"/>
      <c r="X866" s="39">
        <f>B866*0.2/100</f>
        <v>0.2</v>
      </c>
      <c r="Y866" s="42"/>
      <c r="Z866" s="42"/>
      <c r="AA866" s="39">
        <f>B866*5.1/100</f>
        <v>5.0999999999999996</v>
      </c>
      <c r="AB866" s="39">
        <v>0</v>
      </c>
      <c r="AC866"/>
    </row>
    <row r="867" spans="1:29">
      <c r="A867" s="40" t="s">
        <v>440</v>
      </c>
      <c r="B867" s="41">
        <v>100</v>
      </c>
      <c r="C867" s="38">
        <f>B867*71/100</f>
        <v>71</v>
      </c>
      <c r="D867" s="39">
        <f>B867*0.66/100</f>
        <v>0.66</v>
      </c>
      <c r="E867" s="39">
        <f>B867*0.58/100</f>
        <v>0.57999999999999996</v>
      </c>
      <c r="F867" s="39">
        <f>B867*0.19/100</f>
        <v>0.19</v>
      </c>
      <c r="G867" s="36"/>
      <c r="H867" s="36"/>
      <c r="I867" s="36"/>
      <c r="J867" s="39"/>
      <c r="K867" s="39">
        <v>0</v>
      </c>
      <c r="L867" s="39">
        <f>B867*17.8/100</f>
        <v>17.8</v>
      </c>
      <c r="M867" s="39">
        <f>B867*0.6/100</f>
        <v>0.6</v>
      </c>
      <c r="N867" s="39">
        <f>B867*11/100</f>
        <v>11</v>
      </c>
      <c r="O867" s="36"/>
      <c r="P867" s="36"/>
      <c r="Q867" s="36"/>
      <c r="R867" s="39">
        <f>B867*0.26/100</f>
        <v>0.26</v>
      </c>
      <c r="S867" s="39">
        <f>B867*2/100</f>
        <v>2</v>
      </c>
      <c r="T867" s="39">
        <f>B867*185/100</f>
        <v>185</v>
      </c>
      <c r="U867" s="42"/>
      <c r="V867" s="42"/>
      <c r="W867" s="36"/>
      <c r="X867" s="39">
        <f>B867*0.09/100</f>
        <v>0.09</v>
      </c>
      <c r="Y867" s="42"/>
      <c r="Z867" s="42"/>
      <c r="AA867" s="39">
        <f>B867*0.3/100</f>
        <v>0.3</v>
      </c>
      <c r="AB867" s="39">
        <f>B867*10.8/100</f>
        <v>10.8</v>
      </c>
      <c r="AC867"/>
    </row>
    <row r="868" spans="1:29">
      <c r="A868" s="40" t="s">
        <v>441</v>
      </c>
      <c r="B868" s="41">
        <v>100</v>
      </c>
      <c r="C868" s="38">
        <f>B868*300/100</f>
        <v>300</v>
      </c>
      <c r="D868" s="39">
        <f>B868*3.2/100</f>
        <v>3.2</v>
      </c>
      <c r="E868" s="39">
        <f>B868*0.5/100</f>
        <v>0.5</v>
      </c>
      <c r="F868" s="39">
        <f>B868*0.1/100</f>
        <v>0.1</v>
      </c>
      <c r="G868" s="36"/>
      <c r="H868" s="36"/>
      <c r="I868" s="36"/>
      <c r="J868" s="39"/>
      <c r="K868" s="39">
        <v>0</v>
      </c>
      <c r="L868" s="39">
        <f>B868*79.1/100</f>
        <v>79.099999999999994</v>
      </c>
      <c r="M868" s="39">
        <f>B868*3.5/100</f>
        <v>3.5</v>
      </c>
      <c r="N868" s="39">
        <f>B868*49/100</f>
        <v>49</v>
      </c>
      <c r="O868" s="36"/>
      <c r="P868" s="36"/>
      <c r="Q868" s="36"/>
      <c r="R868" s="39">
        <f>B868*2.1/100</f>
        <v>2.1</v>
      </c>
      <c r="S868" s="39">
        <f>B868*12/100</f>
        <v>12</v>
      </c>
      <c r="T868" s="39">
        <f>B868*751/100</f>
        <v>751</v>
      </c>
      <c r="U868" s="42"/>
      <c r="V868" s="42"/>
      <c r="W868" s="36"/>
      <c r="X868" s="39">
        <f>B868*0.2/100</f>
        <v>0.2</v>
      </c>
      <c r="Y868" s="42"/>
      <c r="Z868" s="42"/>
      <c r="AA868" s="39">
        <f>B868*0.8/100</f>
        <v>0.8</v>
      </c>
      <c r="AB868" s="39">
        <f>B868*3.3/100</f>
        <v>3.3</v>
      </c>
      <c r="AC868"/>
    </row>
    <row r="869" spans="1:29">
      <c r="A869" s="40" t="s">
        <v>442</v>
      </c>
      <c r="B869" s="41">
        <v>100</v>
      </c>
      <c r="C869" s="38">
        <f>B869*126/100</f>
        <v>126</v>
      </c>
      <c r="D869" s="39">
        <f>B869*8.5/100</f>
        <v>8.5</v>
      </c>
      <c r="E869" s="39">
        <f>B869*6.2/100</f>
        <v>6.2</v>
      </c>
      <c r="F869" s="39">
        <v>0</v>
      </c>
      <c r="G869" s="36"/>
      <c r="H869" s="36"/>
      <c r="I869" s="36"/>
      <c r="J869" s="39"/>
      <c r="K869" s="39">
        <v>0</v>
      </c>
      <c r="L869" s="39">
        <f>B869*9.4/100</f>
        <v>9.4</v>
      </c>
      <c r="M869" s="39">
        <f>B869*0.5/100</f>
        <v>0.5</v>
      </c>
      <c r="N869" s="39">
        <f>B869*22/100</f>
        <v>22</v>
      </c>
      <c r="O869" s="36"/>
      <c r="P869" s="36"/>
      <c r="Q869" s="36"/>
      <c r="R869" s="39">
        <f>B869*1/100</f>
        <v>1</v>
      </c>
      <c r="S869" s="39">
        <v>0</v>
      </c>
      <c r="T869" s="39">
        <v>0</v>
      </c>
      <c r="U869" s="42"/>
      <c r="V869" s="42"/>
      <c r="W869" s="36"/>
      <c r="X869" s="39">
        <f>B869*0.05/100</f>
        <v>0.05</v>
      </c>
      <c r="Y869" s="42"/>
      <c r="Z869" s="42"/>
      <c r="AA869" s="39">
        <f>B869*1.6/100</f>
        <v>1.6</v>
      </c>
      <c r="AB869" s="39">
        <f>B869*1/100</f>
        <v>1</v>
      </c>
      <c r="AC869"/>
    </row>
    <row r="870" spans="1:29">
      <c r="A870" s="40" t="s">
        <v>443</v>
      </c>
      <c r="B870" s="41">
        <v>100</v>
      </c>
      <c r="C870" s="38">
        <f>B870*35/100</f>
        <v>35</v>
      </c>
      <c r="D870" s="39">
        <f>B870*1.9/100</f>
        <v>1.9</v>
      </c>
      <c r="E870" s="39">
        <f>B870*0.3/100</f>
        <v>0.3</v>
      </c>
      <c r="F870" s="39">
        <f>B870*0.06/100</f>
        <v>0.06</v>
      </c>
      <c r="G870" s="36"/>
      <c r="H870" s="36"/>
      <c r="I870" s="36"/>
      <c r="J870" s="39"/>
      <c r="K870" s="39">
        <v>0</v>
      </c>
      <c r="L870" s="39">
        <f>B870*7.9/100</f>
        <v>7.9</v>
      </c>
      <c r="M870" s="39">
        <f>B870*3.2/100</f>
        <v>3.2</v>
      </c>
      <c r="N870" s="39">
        <f>B870*46/100</f>
        <v>46</v>
      </c>
      <c r="O870" s="36"/>
      <c r="P870" s="36"/>
      <c r="Q870" s="36"/>
      <c r="R870" s="39">
        <f>B870*1.3/100</f>
        <v>1.3</v>
      </c>
      <c r="S870" s="39">
        <f>B870*3/100</f>
        <v>3</v>
      </c>
      <c r="T870" s="39">
        <f>B870*299/100</f>
        <v>299</v>
      </c>
      <c r="U870" s="42"/>
      <c r="V870" s="42"/>
      <c r="W870" s="36"/>
      <c r="X870" s="39">
        <f>B870*0.07/100</f>
        <v>7.0000000000000007E-2</v>
      </c>
      <c r="Y870" s="42"/>
      <c r="Z870" s="42"/>
      <c r="AA870" s="39">
        <f>B870*0.6/100</f>
        <v>0.6</v>
      </c>
      <c r="AB870" s="39">
        <f>B870*9.7/100</f>
        <v>9.6999999999999993</v>
      </c>
      <c r="AC870"/>
    </row>
    <row r="871" spans="1:29">
      <c r="A871" s="40" t="s">
        <v>444</v>
      </c>
      <c r="B871" s="41">
        <v>100</v>
      </c>
      <c r="C871" s="38">
        <f>B871*81/100</f>
        <v>81</v>
      </c>
      <c r="D871" s="39">
        <f>B871*1.9/100</f>
        <v>1.9</v>
      </c>
      <c r="E871" s="39">
        <f>B871*5.3/100</f>
        <v>5.3</v>
      </c>
      <c r="F871" s="39">
        <f>B871*0.8/100</f>
        <v>0.8</v>
      </c>
      <c r="G871" s="36"/>
      <c r="H871" s="36"/>
      <c r="I871" s="36"/>
      <c r="J871" s="39"/>
      <c r="K871" s="39">
        <v>0</v>
      </c>
      <c r="L871" s="39">
        <f>B871*8.3/100</f>
        <v>8.3000000000000007</v>
      </c>
      <c r="M871" s="39">
        <f>B871*3.3/100</f>
        <v>3.3</v>
      </c>
      <c r="N871" s="39">
        <f>B871*47/100</f>
        <v>47</v>
      </c>
      <c r="O871" s="36"/>
      <c r="P871" s="36"/>
      <c r="Q871" s="36"/>
      <c r="R871" s="39">
        <f>B871*1.3/100</f>
        <v>1.3</v>
      </c>
      <c r="S871" s="39">
        <f>B871*3.15/100</f>
        <v>3.15</v>
      </c>
      <c r="T871" s="39">
        <f>B871*306.85/100</f>
        <v>306.85000000000002</v>
      </c>
      <c r="U871" s="42"/>
      <c r="V871" s="42"/>
      <c r="W871" s="36"/>
      <c r="X871" s="39">
        <f>B871*0.07/100</f>
        <v>7.0000000000000007E-2</v>
      </c>
      <c r="Y871" s="42"/>
      <c r="Z871" s="42"/>
      <c r="AA871" s="39">
        <f>B871*0.6/100</f>
        <v>0.6</v>
      </c>
      <c r="AB871" s="39">
        <f>B871*10/100</f>
        <v>10</v>
      </c>
      <c r="AC871"/>
    </row>
    <row r="872" spans="1:29">
      <c r="A872" s="40" t="s">
        <v>445</v>
      </c>
      <c r="B872" s="41">
        <v>100</v>
      </c>
      <c r="C872" s="38">
        <f>B872*27/100</f>
        <v>27</v>
      </c>
      <c r="D872" s="39">
        <f>B872*2.1/100</f>
        <v>2.1</v>
      </c>
      <c r="E872" s="39">
        <f>B872*0.25/100</f>
        <v>0.25</v>
      </c>
      <c r="F872" s="39">
        <v>0</v>
      </c>
      <c r="G872" s="36"/>
      <c r="H872" s="36"/>
      <c r="I872" s="36"/>
      <c r="J872" s="39"/>
      <c r="K872" s="39">
        <v>0</v>
      </c>
      <c r="L872" s="39">
        <f>B872*4.11/100</f>
        <v>4.1100000000000003</v>
      </c>
      <c r="M872" s="39">
        <f>B872*0.75/100</f>
        <v>0.75</v>
      </c>
      <c r="N872" s="39">
        <f>B872*79.45/100</f>
        <v>79.45</v>
      </c>
      <c r="O872" s="36"/>
      <c r="P872" s="36"/>
      <c r="Q872" s="36"/>
      <c r="R872" s="39">
        <f>B872*1.72/100</f>
        <v>1.72</v>
      </c>
      <c r="S872" s="39">
        <f>B872*56.7/100</f>
        <v>56.7</v>
      </c>
      <c r="T872" s="39">
        <f>B872*225/100</f>
        <v>225</v>
      </c>
      <c r="U872" s="42"/>
      <c r="V872" s="42"/>
      <c r="W872" s="36"/>
      <c r="X872" s="39">
        <f>B872*0.07/100</f>
        <v>7.0000000000000007E-2</v>
      </c>
      <c r="Y872" s="42"/>
      <c r="Z872" s="42"/>
      <c r="AA872" s="39">
        <f>B872*0.95/100</f>
        <v>0.95</v>
      </c>
      <c r="AB872" s="39">
        <f>B872*26.8/100</f>
        <v>26.8</v>
      </c>
      <c r="AC872"/>
    </row>
    <row r="873" spans="1:29">
      <c r="A873" s="40" t="s">
        <v>446</v>
      </c>
      <c r="B873" s="41">
        <v>100</v>
      </c>
      <c r="C873" s="38">
        <f>B873*43/100</f>
        <v>43</v>
      </c>
      <c r="D873" s="39">
        <f>B873*2.35/100</f>
        <v>2.35</v>
      </c>
      <c r="E873" s="39">
        <f>B873*0.45/100</f>
        <v>0.45</v>
      </c>
      <c r="F873" s="39">
        <v>0</v>
      </c>
      <c r="G873" s="36"/>
      <c r="H873" s="36"/>
      <c r="I873" s="36"/>
      <c r="J873" s="39"/>
      <c r="K873" s="39">
        <v>0</v>
      </c>
      <c r="L873" s="39">
        <f>B873*7.46/100</f>
        <v>7.46</v>
      </c>
      <c r="M873" s="39">
        <f>B873*1.2/100</f>
        <v>1.2</v>
      </c>
      <c r="N873" s="39">
        <f>B873*83.95/100</f>
        <v>83.95</v>
      </c>
      <c r="O873" s="36"/>
      <c r="P873" s="36"/>
      <c r="Q873" s="36"/>
      <c r="R873" s="39">
        <f>B873*1.56/100</f>
        <v>1.56</v>
      </c>
      <c r="S873" s="39">
        <f>B873*42.1/100</f>
        <v>42.1</v>
      </c>
      <c r="T873" s="39">
        <f>B873*218.8/100</f>
        <v>218.8</v>
      </c>
      <c r="U873" s="42"/>
      <c r="V873" s="42"/>
      <c r="W873" s="36"/>
      <c r="X873" s="39">
        <f>B873*0.07/100</f>
        <v>7.0000000000000007E-2</v>
      </c>
      <c r="Y873" s="42"/>
      <c r="Z873" s="42"/>
      <c r="AA873" s="39">
        <f>B873*0.7/100</f>
        <v>0.7</v>
      </c>
      <c r="AB873" s="39">
        <f>B873*41.86/100</f>
        <v>41.86</v>
      </c>
      <c r="AC873"/>
    </row>
    <row r="874" spans="1:29">
      <c r="A874" s="40" t="s">
        <v>447</v>
      </c>
      <c r="B874" s="41">
        <v>100</v>
      </c>
      <c r="C874" s="38">
        <f>B874*124/100</f>
        <v>124</v>
      </c>
      <c r="D874" s="39">
        <f>B874*2.14/100</f>
        <v>2.14</v>
      </c>
      <c r="E874" s="39">
        <f>B874*0.39/100</f>
        <v>0.39</v>
      </c>
      <c r="F874" s="39">
        <v>0</v>
      </c>
      <c r="G874" s="36"/>
      <c r="H874" s="36"/>
      <c r="I874" s="36"/>
      <c r="J874" s="39"/>
      <c r="K874" s="39">
        <v>0</v>
      </c>
      <c r="L874" s="39">
        <f>B874*28.06/100</f>
        <v>28.06</v>
      </c>
      <c r="M874" s="39">
        <f>B874*0.8/100</f>
        <v>0.8</v>
      </c>
      <c r="N874" s="39">
        <f>B874*34.84/100</f>
        <v>34.840000000000003</v>
      </c>
      <c r="O874" s="36"/>
      <c r="P874" s="36"/>
      <c r="Q874" s="36"/>
      <c r="R874" s="39">
        <f>B874*1.56/100</f>
        <v>1.56</v>
      </c>
      <c r="S874" s="39">
        <f>B874*40.6/100</f>
        <v>40.6</v>
      </c>
      <c r="T874" s="39">
        <f>B874*343.7/100</f>
        <v>343.7</v>
      </c>
      <c r="U874" s="42"/>
      <c r="V874" s="42"/>
      <c r="W874" s="36"/>
      <c r="X874" s="39">
        <f>B874*0.1/100</f>
        <v>0.1</v>
      </c>
      <c r="Y874" s="42"/>
      <c r="Z874" s="42"/>
      <c r="AA874" s="39">
        <f>B874*1/100</f>
        <v>1</v>
      </c>
      <c r="AB874" s="39">
        <f>B874*37.83/100</f>
        <v>37.83</v>
      </c>
      <c r="AC874"/>
    </row>
    <row r="875" spans="1:29">
      <c r="A875" s="40" t="s">
        <v>448</v>
      </c>
      <c r="B875" s="41">
        <v>100</v>
      </c>
      <c r="C875" s="38">
        <f>B875*14/100</f>
        <v>14</v>
      </c>
      <c r="D875" s="39">
        <v>0</v>
      </c>
      <c r="E875" s="39">
        <v>0</v>
      </c>
      <c r="F875" s="39">
        <v>0</v>
      </c>
      <c r="G875" s="36"/>
      <c r="H875" s="36"/>
      <c r="I875" s="36"/>
      <c r="J875" s="39"/>
      <c r="K875" s="39">
        <v>0</v>
      </c>
      <c r="L875" s="39">
        <f>B875*5.9/100</f>
        <v>5.9</v>
      </c>
      <c r="M875" s="39">
        <v>0</v>
      </c>
      <c r="N875" s="39">
        <f>B875*6/100</f>
        <v>6</v>
      </c>
      <c r="O875" s="36"/>
      <c r="P875" s="36"/>
      <c r="Q875" s="36"/>
      <c r="R875" s="39">
        <f>B875*0.6/100</f>
        <v>0.6</v>
      </c>
      <c r="S875" s="39">
        <f>B875*1/100</f>
        <v>1</v>
      </c>
      <c r="T875" s="39">
        <f>B875*100/100</f>
        <v>100</v>
      </c>
      <c r="U875" s="42"/>
      <c r="V875" s="42"/>
      <c r="W875" s="36"/>
      <c r="X875" s="39">
        <v>0</v>
      </c>
      <c r="Y875" s="42"/>
      <c r="Z875" s="42"/>
      <c r="AA875" s="39">
        <v>0</v>
      </c>
      <c r="AB875" s="39">
        <v>0</v>
      </c>
      <c r="AC875"/>
    </row>
    <row r="876" spans="1:29">
      <c r="A876" s="40" t="s">
        <v>449</v>
      </c>
      <c r="B876" s="41">
        <v>100</v>
      </c>
      <c r="C876" s="38">
        <f>B876*66.4/100</f>
        <v>66.400000000000006</v>
      </c>
      <c r="D876" s="39">
        <f>B876*0.1/100</f>
        <v>0.1</v>
      </c>
      <c r="E876" s="39">
        <v>0</v>
      </c>
      <c r="F876" s="39">
        <v>0</v>
      </c>
      <c r="G876" s="36"/>
      <c r="H876" s="36"/>
      <c r="I876" s="36"/>
      <c r="J876" s="39"/>
      <c r="K876" s="39">
        <v>0</v>
      </c>
      <c r="L876" s="39">
        <f>B876*0.61/100</f>
        <v>0.61</v>
      </c>
      <c r="M876" s="39">
        <v>0</v>
      </c>
      <c r="N876" s="39">
        <f>B876*9.2/100</f>
        <v>9.1999999999999993</v>
      </c>
      <c r="O876" s="36"/>
      <c r="P876" s="36"/>
      <c r="Q876" s="36"/>
      <c r="R876" s="39">
        <f>B876*0.3/100</f>
        <v>0.3</v>
      </c>
      <c r="S876" s="39">
        <f>B876*4.2/100</f>
        <v>4.2</v>
      </c>
      <c r="T876" s="39">
        <f>B876*61.3/100</f>
        <v>61.3</v>
      </c>
      <c r="U876" s="42"/>
      <c r="V876" s="42"/>
      <c r="W876" s="36"/>
      <c r="X876" s="39">
        <v>0</v>
      </c>
      <c r="Y876" s="42"/>
      <c r="Z876" s="42"/>
      <c r="AA876" s="39">
        <f>B876*0.07/100</f>
        <v>7.0000000000000007E-2</v>
      </c>
      <c r="AB876" s="39">
        <v>0</v>
      </c>
      <c r="AC876"/>
    </row>
    <row r="877" spans="1:29">
      <c r="A877" s="40" t="s">
        <v>450</v>
      </c>
      <c r="B877" s="41">
        <v>100</v>
      </c>
      <c r="C877" s="38">
        <f>B877*72/100</f>
        <v>72</v>
      </c>
      <c r="D877" s="39">
        <f>B877*0.2/100</f>
        <v>0.2</v>
      </c>
      <c r="E877" s="39">
        <v>0</v>
      </c>
      <c r="F877" s="39">
        <v>0</v>
      </c>
      <c r="G877" s="36"/>
      <c r="H877" s="36"/>
      <c r="I877" s="36"/>
      <c r="J877" s="39"/>
      <c r="K877" s="39">
        <v>0</v>
      </c>
      <c r="L877" s="39">
        <f>B877*17/100</f>
        <v>17</v>
      </c>
      <c r="M877" s="39">
        <v>0</v>
      </c>
      <c r="N877" s="39">
        <f>B877*8/100</f>
        <v>8</v>
      </c>
      <c r="O877" s="36"/>
      <c r="P877" s="36"/>
      <c r="Q877" s="36"/>
      <c r="R877" s="39">
        <f>B877*0.4/100</f>
        <v>0.4</v>
      </c>
      <c r="S877" s="39">
        <f>B877*5/100</f>
        <v>5</v>
      </c>
      <c r="T877" s="39">
        <f>B877*112/100</f>
        <v>112</v>
      </c>
      <c r="U877" s="42"/>
      <c r="V877" s="42"/>
      <c r="W877" s="36"/>
      <c r="X877" s="39">
        <f>B877*0.01/100</f>
        <v>0.01</v>
      </c>
      <c r="Y877" s="42"/>
      <c r="Z877" s="42"/>
      <c r="AA877" s="39">
        <f>B877*0.08/100</f>
        <v>0.08</v>
      </c>
      <c r="AB877" s="39">
        <v>0</v>
      </c>
      <c r="AC877"/>
    </row>
    <row r="878" spans="1:29">
      <c r="A878" s="40" t="s">
        <v>451</v>
      </c>
      <c r="B878" s="41">
        <v>100</v>
      </c>
      <c r="C878" s="38">
        <f>B878*65/100</f>
        <v>65</v>
      </c>
      <c r="D878" s="39">
        <f>B878*2/100</f>
        <v>2</v>
      </c>
      <c r="E878" s="39">
        <f>B878*1.9/100</f>
        <v>1.9</v>
      </c>
      <c r="F878" s="39">
        <f>B878*0.01/100</f>
        <v>0.01</v>
      </c>
      <c r="G878" s="36"/>
      <c r="H878" s="36"/>
      <c r="I878" s="36"/>
      <c r="J878" s="39"/>
      <c r="K878" s="39">
        <f>B878*7.5/100</f>
        <v>7.5</v>
      </c>
      <c r="L878" s="39">
        <f>B878*10.5/100</f>
        <v>10.5</v>
      </c>
      <c r="M878" s="39">
        <f>B878*0.5/100</f>
        <v>0.5</v>
      </c>
      <c r="N878" s="39">
        <f>B878*72.7/100</f>
        <v>72.7</v>
      </c>
      <c r="O878" s="36"/>
      <c r="P878" s="36"/>
      <c r="Q878" s="36"/>
      <c r="R878" s="39">
        <f>B878*0.06/100</f>
        <v>0.06</v>
      </c>
      <c r="S878" s="39">
        <f>B878*27.9/100</f>
        <v>27.9</v>
      </c>
      <c r="T878" s="39">
        <f>B878*160.8/100</f>
        <v>160.80000000000001</v>
      </c>
      <c r="U878" s="42"/>
      <c r="V878" s="42"/>
      <c r="W878" s="36"/>
      <c r="X878" s="39">
        <f>B878*0.03/100</f>
        <v>0.03</v>
      </c>
      <c r="Y878" s="42"/>
      <c r="Z878" s="42"/>
      <c r="AA878" s="39">
        <f>B878*0.1/100</f>
        <v>0.1</v>
      </c>
      <c r="AB878" s="39">
        <f>B878*19/100</f>
        <v>19</v>
      </c>
      <c r="AC878"/>
    </row>
    <row r="879" spans="1:29">
      <c r="A879" s="40" t="s">
        <v>452</v>
      </c>
      <c r="B879" s="41">
        <v>100</v>
      </c>
      <c r="C879" s="38">
        <f>B879*45/100</f>
        <v>45</v>
      </c>
      <c r="D879" s="39">
        <f>B879*2/100</f>
        <v>2</v>
      </c>
      <c r="E879" s="39">
        <f>B879*1.9/100</f>
        <v>1.9</v>
      </c>
      <c r="F879" s="39">
        <f>B879*0.01/100</f>
        <v>0.01</v>
      </c>
      <c r="G879" s="36"/>
      <c r="H879" s="36"/>
      <c r="I879" s="36"/>
      <c r="J879" s="39"/>
      <c r="K879" s="39">
        <f>B879*7.5/100</f>
        <v>7.5</v>
      </c>
      <c r="L879" s="39">
        <f>B879*5.5/100</f>
        <v>5.5</v>
      </c>
      <c r="M879" s="39">
        <f>B879*0.5/100</f>
        <v>0.5</v>
      </c>
      <c r="N879" s="39">
        <f>B879*72.6/100</f>
        <v>72.599999999999994</v>
      </c>
      <c r="O879" s="36"/>
      <c r="P879" s="36"/>
      <c r="Q879" s="36"/>
      <c r="R879" s="39">
        <f>B879*0.06/100</f>
        <v>0.06</v>
      </c>
      <c r="S879" s="39">
        <f>B879*27.8/100</f>
        <v>27.8</v>
      </c>
      <c r="T879" s="39">
        <f>B879*160.7/100</f>
        <v>160.69999999999999</v>
      </c>
      <c r="U879" s="42"/>
      <c r="V879" s="42"/>
      <c r="W879" s="36"/>
      <c r="X879" s="39">
        <f>B879*0.03/100</f>
        <v>0.03</v>
      </c>
      <c r="Y879" s="42"/>
      <c r="Z879" s="42"/>
      <c r="AA879" s="39">
        <f>B879*0.1/100</f>
        <v>0.1</v>
      </c>
      <c r="AB879" s="39">
        <f>B879*19/100</f>
        <v>19</v>
      </c>
      <c r="AC879"/>
    </row>
    <row r="882" spans="1:29">
      <c r="A882" s="45" t="s">
        <v>453</v>
      </c>
    </row>
    <row r="883" spans="1:29">
      <c r="A883" s="8" t="s">
        <v>24</v>
      </c>
      <c r="B883" s="9">
        <v>90</v>
      </c>
      <c r="C883" s="9">
        <f>B883*394/100</f>
        <v>354.6</v>
      </c>
      <c r="D883" s="9">
        <f>B883*14/100</f>
        <v>12.6</v>
      </c>
      <c r="E883" s="9">
        <f>B883*8/100</f>
        <v>7.2</v>
      </c>
      <c r="F883" s="9"/>
      <c r="G883" s="9"/>
      <c r="H883" s="9"/>
      <c r="I883" s="9"/>
      <c r="J883" s="9"/>
      <c r="K883" s="9">
        <v>0</v>
      </c>
      <c r="L883" s="9">
        <f>B883*67/100</f>
        <v>60.3</v>
      </c>
      <c r="M883" s="9">
        <f>B883*9.1/100</f>
        <v>8.19</v>
      </c>
      <c r="N883" s="9">
        <f>B883*48/100</f>
        <v>43.2</v>
      </c>
      <c r="O883" s="9">
        <f>B883*119/100</f>
        <v>107.1</v>
      </c>
      <c r="P883" s="9"/>
      <c r="Q883" s="9">
        <f>B883*153/100</f>
        <v>137.69999999999999</v>
      </c>
      <c r="R883" s="9">
        <f>B883*4.4/100</f>
        <v>3.9600000000000004</v>
      </c>
      <c r="S883" s="9">
        <f>B883*5/100</f>
        <v>4.5</v>
      </c>
      <c r="T883" s="9">
        <f>B883*336/100</f>
        <v>302.39999999999998</v>
      </c>
      <c r="U883" s="9">
        <f>B883*0.44/100</f>
        <v>0.39600000000000002</v>
      </c>
      <c r="V883" s="9">
        <f>B883*2.6/100</f>
        <v>2.34</v>
      </c>
      <c r="W883" s="9">
        <v>0</v>
      </c>
      <c r="X883" s="9">
        <f>B883*0.55/100</f>
        <v>0.49500000000000005</v>
      </c>
      <c r="Y883" s="9">
        <f>B883*0.03/100</f>
        <v>2.6999999999999996E-2</v>
      </c>
      <c r="Z883" s="9" t="s">
        <v>455</v>
      </c>
      <c r="AA883" s="9">
        <f>B883*4.5/100</f>
        <v>4.05</v>
      </c>
      <c r="AB883" s="9"/>
    </row>
    <row r="884" spans="1:29">
      <c r="A884" s="40" t="s">
        <v>112</v>
      </c>
      <c r="B884" s="41">
        <v>56</v>
      </c>
      <c r="C884" s="41">
        <f>B884*376/100</f>
        <v>210.56</v>
      </c>
      <c r="D884" s="41">
        <v>0</v>
      </c>
      <c r="E884" s="41">
        <v>0</v>
      </c>
      <c r="F884" s="41">
        <v>0</v>
      </c>
      <c r="G884" s="36"/>
      <c r="H884" s="36"/>
      <c r="I884" s="36"/>
      <c r="J884" s="41"/>
      <c r="K884" s="41">
        <v>0</v>
      </c>
      <c r="L884" s="41">
        <f>B884*97.3/100</f>
        <v>54.488</v>
      </c>
      <c r="M884" s="41">
        <v>0</v>
      </c>
      <c r="N884" s="41">
        <f>B884*85/100</f>
        <v>47.6</v>
      </c>
      <c r="O884" s="36"/>
      <c r="P884" s="36"/>
      <c r="Q884" s="36"/>
      <c r="R884" s="41">
        <f>B884*1.9/100</f>
        <v>1.0639999999999998</v>
      </c>
      <c r="S884" s="41">
        <f>B884*39/100</f>
        <v>21.84</v>
      </c>
      <c r="T884" s="41">
        <f>B884*346/100</f>
        <v>193.76</v>
      </c>
      <c r="U884" s="42"/>
      <c r="V884" s="42"/>
      <c r="W884" s="36"/>
      <c r="X884" s="41">
        <f>B884*0.01/100</f>
        <v>5.6000000000000008E-3</v>
      </c>
      <c r="Y884" s="42"/>
      <c r="Z884" s="42"/>
      <c r="AA884" s="41">
        <f>B884*0.08/100</f>
        <v>4.4800000000000006E-2</v>
      </c>
      <c r="AB884" s="41">
        <v>0</v>
      </c>
      <c r="AC884"/>
    </row>
    <row r="885" spans="1:29">
      <c r="A885" s="8" t="s">
        <v>29</v>
      </c>
      <c r="B885" s="9">
        <v>120</v>
      </c>
      <c r="C885" s="9">
        <f>B885*360/100</f>
        <v>432</v>
      </c>
      <c r="D885" s="9">
        <f>B885*10/100</f>
        <v>12</v>
      </c>
      <c r="E885" s="9">
        <f>B885*1/100</f>
        <v>1.2</v>
      </c>
      <c r="F885" s="9"/>
      <c r="G885" s="9"/>
      <c r="H885" s="9"/>
      <c r="I885" s="9"/>
      <c r="J885" s="9"/>
      <c r="K885" s="9">
        <v>0</v>
      </c>
      <c r="L885" s="9">
        <f>B885*75/100</f>
        <v>90</v>
      </c>
      <c r="M885" s="9">
        <f>B885*2.3/100</f>
        <v>2.76</v>
      </c>
      <c r="N885" s="9">
        <f>B885*18/100</f>
        <v>21.6</v>
      </c>
      <c r="O885" s="9">
        <f>B885*31/100</f>
        <v>37.200000000000003</v>
      </c>
      <c r="P885" s="9"/>
      <c r="Q885" s="9">
        <f>B885*115/100</f>
        <v>138</v>
      </c>
      <c r="R885" s="9">
        <f>B885*1/100</f>
        <v>1.2</v>
      </c>
      <c r="S885" s="9">
        <f>B885*1/100</f>
        <v>1.2</v>
      </c>
      <c r="T885" s="9">
        <f>B885*151/100</f>
        <v>181.2</v>
      </c>
      <c r="U885" s="9">
        <f>B885*0.15/100</f>
        <v>0.18</v>
      </c>
      <c r="V885" s="9">
        <f>B885*0.8/100</f>
        <v>0.96</v>
      </c>
      <c r="W885" s="9">
        <v>0</v>
      </c>
      <c r="X885" s="9">
        <f>B885*0.31/100</f>
        <v>0.37200000000000005</v>
      </c>
      <c r="Y885" s="9" t="s">
        <v>455</v>
      </c>
      <c r="Z885" s="9"/>
      <c r="AA885" s="9">
        <f>B885*0.9/100</f>
        <v>1.08</v>
      </c>
      <c r="AB885" s="9"/>
    </row>
    <row r="886" spans="1:29">
      <c r="A886" s="12" t="s">
        <v>42</v>
      </c>
      <c r="B886" s="9">
        <v>10</v>
      </c>
      <c r="C886" s="9">
        <f>B886*151/100</f>
        <v>15.1</v>
      </c>
      <c r="D886" s="9">
        <v>0</v>
      </c>
      <c r="E886" s="9">
        <v>0</v>
      </c>
      <c r="F886" s="9"/>
      <c r="G886" s="9"/>
      <c r="H886" s="9"/>
      <c r="I886" s="9"/>
      <c r="J886" s="9"/>
      <c r="K886" s="9">
        <v>0</v>
      </c>
      <c r="L886" s="9">
        <f>B886*44/100</f>
        <v>4.4000000000000004</v>
      </c>
      <c r="M886" s="9"/>
      <c r="N886" s="9"/>
      <c r="O886" s="9"/>
      <c r="P886" s="9"/>
      <c r="Q886" s="9"/>
      <c r="R886" s="9"/>
      <c r="S886" s="9">
        <f>B886*10052/100</f>
        <v>1005.2</v>
      </c>
      <c r="T886" s="9"/>
      <c r="U886" s="9"/>
      <c r="V886" s="9"/>
      <c r="W886" s="9"/>
      <c r="X886" s="9"/>
      <c r="Y886" s="9"/>
      <c r="Z886" s="9"/>
      <c r="AA886" s="9"/>
      <c r="AB886" s="9"/>
    </row>
    <row r="887" spans="1:29">
      <c r="A887" s="40" t="s">
        <v>180</v>
      </c>
      <c r="B887" s="41">
        <v>5</v>
      </c>
      <c r="C887" s="38">
        <f>B887*261/100</f>
        <v>13.05</v>
      </c>
      <c r="D887" s="39">
        <f>B887*3.9/100</f>
        <v>0.19500000000000001</v>
      </c>
      <c r="E887" s="39">
        <f>B887*3.2/100</f>
        <v>0.16</v>
      </c>
      <c r="F887" s="39">
        <f>B887*0.65/100</f>
        <v>3.2500000000000001E-2</v>
      </c>
      <c r="G887" s="36"/>
      <c r="H887" s="36"/>
      <c r="I887" s="36"/>
      <c r="J887" s="39"/>
      <c r="K887" s="39">
        <v>0</v>
      </c>
      <c r="L887" s="39">
        <f>B887*79.8/100</f>
        <v>3.99</v>
      </c>
      <c r="M887" s="39">
        <f>B887*54.3/100</f>
        <v>2.7149999999999999</v>
      </c>
      <c r="N887" s="39">
        <f>B887*1228/100</f>
        <v>61.4</v>
      </c>
      <c r="O887" s="36"/>
      <c r="P887" s="36"/>
      <c r="Q887" s="36"/>
      <c r="R887" s="39">
        <f>B887*38.2/100</f>
        <v>1.91</v>
      </c>
      <c r="S887" s="39">
        <f>B887*26.3/100</f>
        <v>1.3149999999999999</v>
      </c>
      <c r="T887" s="39">
        <f>B887*500/100</f>
        <v>25</v>
      </c>
      <c r="U887" s="42"/>
      <c r="V887" s="42"/>
      <c r="W887" s="36"/>
      <c r="X887" s="39">
        <f>B887*0.08/100</f>
        <v>4.0000000000000001E-3</v>
      </c>
      <c r="Y887" s="42"/>
      <c r="Z887" s="42"/>
      <c r="AA887" s="39">
        <f>B887*1.3/100</f>
        <v>6.5000000000000002E-2</v>
      </c>
      <c r="AB887" s="39">
        <f>B887*28.5/100</f>
        <v>1.425</v>
      </c>
      <c r="AC887"/>
    </row>
    <row r="888" spans="1:29">
      <c r="A888" s="12" t="s">
        <v>39</v>
      </c>
      <c r="B888" s="9">
        <v>100</v>
      </c>
      <c r="C888" s="9">
        <f>B888*143/100</f>
        <v>143</v>
      </c>
      <c r="D888" s="9">
        <f>B888*13/100</f>
        <v>13</v>
      </c>
      <c r="E888" s="9">
        <f>B888*9/100</f>
        <v>9</v>
      </c>
      <c r="F888" s="9">
        <f>B888*2.6/100</f>
        <v>2.6</v>
      </c>
      <c r="G888" s="9">
        <f>B888*3.6/100</f>
        <v>3.6</v>
      </c>
      <c r="H888" s="9">
        <f>B888*1.2/100</f>
        <v>1.2</v>
      </c>
      <c r="I888" s="9">
        <f>B888*0.88/100</f>
        <v>0.88</v>
      </c>
      <c r="J888" s="9">
        <f>B888*0.02/100</f>
        <v>0.02</v>
      </c>
      <c r="K888" s="9">
        <f>B888*356/100</f>
        <v>356</v>
      </c>
      <c r="L888" s="9">
        <f>B888*2/100</f>
        <v>2</v>
      </c>
      <c r="M888" s="9">
        <v>0</v>
      </c>
      <c r="N888" s="9">
        <f>B888*42/100</f>
        <v>42</v>
      </c>
      <c r="O888" s="9">
        <f>B888*13/100</f>
        <v>13</v>
      </c>
      <c r="P888" s="9">
        <v>0</v>
      </c>
      <c r="Q888" s="9">
        <f>B888*164/100</f>
        <v>164</v>
      </c>
      <c r="R888" s="9">
        <f>B888*1.6/100</f>
        <v>1.6</v>
      </c>
      <c r="S888" s="9">
        <f>B888*168/100</f>
        <v>168</v>
      </c>
      <c r="T888" s="9">
        <f>B888*150/100</f>
        <v>150</v>
      </c>
      <c r="U888" s="9">
        <f>B888*0.06/100</f>
        <v>0.06</v>
      </c>
      <c r="V888" s="9">
        <f>B888*1.1/100</f>
        <v>1.1000000000000001</v>
      </c>
      <c r="W888" s="9">
        <f>B888*72/100</f>
        <v>72</v>
      </c>
      <c r="X888" s="9">
        <f>B888*0.07/100</f>
        <v>7.0000000000000007E-2</v>
      </c>
      <c r="Y888" s="9">
        <f>B888*0.58/100</f>
        <v>0.57999999999999996</v>
      </c>
      <c r="Z888" s="9" t="s">
        <v>455</v>
      </c>
      <c r="AA888" s="9">
        <f>B888*0.8/100</f>
        <v>0.8</v>
      </c>
      <c r="AB888" s="9"/>
    </row>
    <row r="889" spans="1:29">
      <c r="A889" s="12" t="s">
        <v>34</v>
      </c>
      <c r="B889" s="9">
        <v>90</v>
      </c>
      <c r="C889" s="9">
        <f>B889*900/100</f>
        <v>810</v>
      </c>
      <c r="D889" s="9"/>
      <c r="E889" s="9">
        <f>B889*100/100</f>
        <v>90</v>
      </c>
      <c r="F889" s="9">
        <f>B889*7.9/100</f>
        <v>7.11</v>
      </c>
      <c r="G889" s="9">
        <f>B889*62.6/100</f>
        <v>56.34</v>
      </c>
      <c r="H889" s="9">
        <f>B889*28.4/100</f>
        <v>25.56</v>
      </c>
      <c r="I889" s="9">
        <f>B889*20.87/100</f>
        <v>18.783000000000001</v>
      </c>
      <c r="J889" s="9">
        <f>B889*6.78/100</f>
        <v>6.1020000000000003</v>
      </c>
      <c r="K889" s="9"/>
      <c r="L889" s="9"/>
      <c r="M889" s="9">
        <v>0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9">
      <c r="C890" s="1">
        <f>SUM(C883:C889)</f>
        <v>1978.3100000000002</v>
      </c>
      <c r="D890" s="1">
        <f t="shared" ref="D890:AB890" si="5">SUM(D883:D889)</f>
        <v>37.795000000000002</v>
      </c>
      <c r="E890" s="1">
        <f t="shared" si="5"/>
        <v>107.56</v>
      </c>
      <c r="F890" s="1">
        <f t="shared" si="5"/>
        <v>9.7424999999999997</v>
      </c>
      <c r="G890" s="1">
        <f t="shared" si="5"/>
        <v>59.940000000000005</v>
      </c>
      <c r="H890" s="1">
        <f t="shared" si="5"/>
        <v>26.759999999999998</v>
      </c>
      <c r="I890" s="1">
        <f t="shared" si="5"/>
        <v>19.663</v>
      </c>
      <c r="J890" s="1">
        <f t="shared" si="5"/>
        <v>6.1219999999999999</v>
      </c>
      <c r="K890" s="1">
        <f t="shared" si="5"/>
        <v>356</v>
      </c>
      <c r="L890" s="1">
        <f t="shared" si="5"/>
        <v>215.17800000000003</v>
      </c>
      <c r="M890" s="1">
        <f t="shared" si="5"/>
        <v>13.664999999999999</v>
      </c>
      <c r="N890" s="1">
        <f t="shared" si="5"/>
        <v>215.8</v>
      </c>
      <c r="O890" s="1">
        <f t="shared" si="5"/>
        <v>157.30000000000001</v>
      </c>
      <c r="P890" s="1">
        <f t="shared" si="5"/>
        <v>0</v>
      </c>
      <c r="Q890" s="1">
        <f t="shared" si="5"/>
        <v>439.7</v>
      </c>
      <c r="R890" s="1">
        <f t="shared" si="5"/>
        <v>9.734</v>
      </c>
      <c r="S890" s="1">
        <f t="shared" si="5"/>
        <v>1202.0550000000001</v>
      </c>
      <c r="T890" s="1">
        <f t="shared" si="5"/>
        <v>852.3599999999999</v>
      </c>
      <c r="U890" s="1">
        <f t="shared" si="5"/>
        <v>0.63600000000000012</v>
      </c>
      <c r="V890" s="1">
        <f t="shared" si="5"/>
        <v>4.4000000000000004</v>
      </c>
      <c r="W890" s="1">
        <f t="shared" si="5"/>
        <v>72</v>
      </c>
      <c r="X890" s="1">
        <f t="shared" si="5"/>
        <v>0.94660000000000011</v>
      </c>
      <c r="Y890" s="1">
        <f t="shared" si="5"/>
        <v>0.60699999999999998</v>
      </c>
      <c r="Z890" s="1">
        <f t="shared" si="5"/>
        <v>0</v>
      </c>
      <c r="AA890" s="1">
        <f t="shared" si="5"/>
        <v>6.0398000000000005</v>
      </c>
      <c r="AB890" s="1">
        <f t="shared" si="5"/>
        <v>1.425</v>
      </c>
    </row>
    <row r="891" spans="1:29">
      <c r="C891" s="1">
        <f>C890/15</f>
        <v>131.88733333333334</v>
      </c>
      <c r="D891" s="1">
        <f>D890/15</f>
        <v>2.5196666666666667</v>
      </c>
      <c r="E891" s="1">
        <f t="shared" ref="E891:AB891" si="6">E890/15</f>
        <v>7.1706666666666665</v>
      </c>
      <c r="F891" s="1">
        <f t="shared" si="6"/>
        <v>0.64949999999999997</v>
      </c>
      <c r="G891" s="1">
        <f t="shared" si="6"/>
        <v>3.9960000000000004</v>
      </c>
      <c r="H891" s="1">
        <f t="shared" si="6"/>
        <v>1.7839999999999998</v>
      </c>
      <c r="I891" s="1">
        <f t="shared" si="6"/>
        <v>1.3108666666666666</v>
      </c>
      <c r="J891" s="1">
        <f t="shared" si="6"/>
        <v>0.40813333333333335</v>
      </c>
      <c r="K891" s="1">
        <f t="shared" si="6"/>
        <v>23.733333333333334</v>
      </c>
      <c r="L891" s="1">
        <f t="shared" si="6"/>
        <v>14.345200000000002</v>
      </c>
      <c r="M891" s="1">
        <f t="shared" si="6"/>
        <v>0.91099999999999992</v>
      </c>
      <c r="N891" s="1">
        <f t="shared" si="6"/>
        <v>14.386666666666667</v>
      </c>
      <c r="O891" s="1">
        <f t="shared" si="6"/>
        <v>10.486666666666668</v>
      </c>
      <c r="P891" s="1">
        <f t="shared" si="6"/>
        <v>0</v>
      </c>
      <c r="Q891" s="1">
        <f t="shared" si="6"/>
        <v>29.313333333333333</v>
      </c>
      <c r="R891" s="1">
        <f t="shared" si="6"/>
        <v>0.64893333333333336</v>
      </c>
      <c r="S891" s="1">
        <f t="shared" si="6"/>
        <v>80.137</v>
      </c>
      <c r="T891" s="1">
        <f t="shared" si="6"/>
        <v>56.823999999999991</v>
      </c>
      <c r="U891" s="1">
        <f t="shared" si="6"/>
        <v>4.2400000000000007E-2</v>
      </c>
      <c r="V891" s="1">
        <f t="shared" si="6"/>
        <v>0.29333333333333333</v>
      </c>
      <c r="W891" s="1">
        <f t="shared" si="6"/>
        <v>4.8</v>
      </c>
      <c r="X891" s="1">
        <f t="shared" si="6"/>
        <v>6.3106666666666672E-2</v>
      </c>
      <c r="Y891" s="1">
        <f t="shared" si="6"/>
        <v>4.0466666666666665E-2</v>
      </c>
      <c r="Z891" s="1">
        <f t="shared" si="6"/>
        <v>0</v>
      </c>
      <c r="AA891" s="1">
        <f t="shared" si="6"/>
        <v>0.40265333333333336</v>
      </c>
      <c r="AB891" s="1">
        <f t="shared" si="6"/>
        <v>9.5000000000000001E-2</v>
      </c>
    </row>
    <row r="893" spans="1:29">
      <c r="B893" s="5"/>
      <c r="C893" s="5"/>
      <c r="D893" s="5"/>
      <c r="E893" s="5"/>
      <c r="F893" s="5"/>
      <c r="G893" s="5"/>
      <c r="H893" s="5"/>
      <c r="I893" s="5"/>
    </row>
    <row r="894" spans="1:29">
      <c r="B894" s="5"/>
      <c r="C894" s="5"/>
      <c r="D894" s="5"/>
      <c r="E894" s="5"/>
      <c r="F894" s="5"/>
      <c r="G894" s="5"/>
      <c r="H894" s="5"/>
      <c r="I894" s="5"/>
    </row>
    <row r="895" spans="1:29">
      <c r="B895" s="7"/>
      <c r="C895" s="7"/>
      <c r="D895" s="7"/>
      <c r="E895" s="7"/>
      <c r="F895" s="7"/>
      <c r="G895" s="7"/>
      <c r="H895" s="7"/>
      <c r="I895" s="7"/>
    </row>
    <row r="896" spans="1:29">
      <c r="B896" s="33"/>
      <c r="C896" s="33"/>
      <c r="D896" s="33"/>
      <c r="E896" s="33"/>
      <c r="F896" s="33"/>
      <c r="G896" s="33"/>
      <c r="H896" s="33"/>
      <c r="I896" s="33"/>
    </row>
    <row r="897" spans="2:9">
      <c r="B897" s="33"/>
      <c r="C897" s="33"/>
      <c r="D897" s="33"/>
      <c r="E897" s="33"/>
      <c r="F897" s="33"/>
      <c r="G897" s="33"/>
      <c r="H897" s="33"/>
      <c r="I897" s="33"/>
    </row>
    <row r="898" spans="2:9">
      <c r="B898" s="33"/>
      <c r="C898" s="33"/>
      <c r="D898" s="33"/>
      <c r="E898" s="33"/>
      <c r="F898" s="33"/>
      <c r="G898" s="33"/>
      <c r="H898" s="33"/>
      <c r="I898" s="33"/>
    </row>
    <row r="899" spans="2:9">
      <c r="B899" s="33"/>
      <c r="C899" s="33"/>
      <c r="D899" s="33"/>
      <c r="E899" s="33"/>
      <c r="F899" s="33"/>
      <c r="G899" s="33"/>
      <c r="H899" s="33"/>
      <c r="I899" s="33"/>
    </row>
    <row r="900" spans="2:9">
      <c r="B900" s="33"/>
      <c r="C900" s="33"/>
      <c r="D900" s="33"/>
      <c r="E900" s="33"/>
      <c r="F900" s="33"/>
      <c r="G900" s="33"/>
      <c r="H900" s="33"/>
      <c r="I900" s="33"/>
    </row>
    <row r="901" spans="2:9">
      <c r="B901" s="33"/>
      <c r="C901" s="33"/>
      <c r="D901" s="33"/>
      <c r="E901" s="33"/>
      <c r="F901" s="33"/>
      <c r="G901" s="33"/>
      <c r="H901" s="33"/>
      <c r="I901" s="75"/>
    </row>
    <row r="902" spans="2:9">
      <c r="B902" s="33"/>
      <c r="C902" s="33"/>
      <c r="D902" s="33"/>
      <c r="E902" s="33"/>
      <c r="F902" s="33"/>
      <c r="G902" s="33"/>
      <c r="H902" s="33"/>
      <c r="I902" s="33"/>
    </row>
    <row r="903" spans="2:9">
      <c r="B903" s="33"/>
      <c r="C903" s="33"/>
      <c r="D903" s="33"/>
      <c r="E903" s="33"/>
      <c r="F903" s="33"/>
      <c r="G903" s="33"/>
      <c r="H903" s="33"/>
      <c r="I903" s="33"/>
    </row>
  </sheetData>
  <sheetProtection sheet="1" objects="1" scenarios="1"/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B8C4-B219-4C61-BD5D-CD591282DEA6}">
  <dimension ref="A1:DV622"/>
  <sheetViews>
    <sheetView topLeftCell="P1" zoomScaleNormal="100" workbookViewId="0">
      <pane ySplit="1" topLeftCell="P224" activePane="bottomLeft" state="frozen"/>
      <selection activeCell="P1" sqref="P1"/>
      <selection pane="bottomLeft" activeCell="Z229" sqref="Z229"/>
    </sheetView>
  </sheetViews>
  <sheetFormatPr defaultColWidth="9.16796875" defaultRowHeight="12.75"/>
  <cols>
    <col min="1" max="1" width="56.09765625" style="236" bestFit="1" customWidth="1"/>
    <col min="2" max="2" width="14.5625" style="191" bestFit="1" customWidth="1"/>
    <col min="3" max="3" width="13.6171875" style="164" bestFit="1" customWidth="1"/>
    <col min="4" max="5" width="11.59375" style="164" bestFit="1" customWidth="1"/>
    <col min="6" max="6" width="12.13671875" style="164" bestFit="1" customWidth="1"/>
    <col min="7" max="7" width="13.34765625" style="164" bestFit="1" customWidth="1"/>
    <col min="8" max="8" width="11.19140625" style="164" bestFit="1" customWidth="1"/>
    <col min="9" max="10" width="9.16796875" style="164"/>
    <col min="11" max="11" width="14.83203125" style="164" bestFit="1" customWidth="1"/>
    <col min="12" max="12" width="9.16796875" style="164"/>
    <col min="13" max="13" width="9.4375" style="164" bestFit="1" customWidth="1"/>
    <col min="14" max="14" width="11.32421875" style="164" bestFit="1" customWidth="1"/>
    <col min="15" max="15" width="9.16796875" style="164"/>
    <col min="16" max="16" width="8.8984375" style="164" customWidth="1"/>
    <col min="17" max="17" width="9.57421875" style="164" bestFit="1" customWidth="1"/>
    <col min="18" max="18" width="10.3828125" style="164" bestFit="1" customWidth="1"/>
    <col min="19" max="19" width="10.78515625" style="164" bestFit="1" customWidth="1"/>
    <col min="20" max="20" width="13.34765625" style="164" bestFit="1" customWidth="1"/>
    <col min="21" max="21" width="11.0546875" style="164" bestFit="1" customWidth="1"/>
    <col min="22" max="22" width="10.3828125" style="164" bestFit="1" customWidth="1"/>
    <col min="23" max="24" width="13.078125" style="164" bestFit="1" customWidth="1"/>
    <col min="25" max="25" width="16.046875" style="164" bestFit="1" customWidth="1"/>
    <col min="26" max="26" width="15.1015625" style="164" bestFit="1" customWidth="1"/>
    <col min="27" max="27" width="12.40625" style="164" bestFit="1" customWidth="1"/>
    <col min="28" max="28" width="10.3828125" style="164" bestFit="1" customWidth="1"/>
    <col min="29" max="16384" width="9.16796875" style="164"/>
  </cols>
  <sheetData>
    <row r="1" spans="1:126" s="63" customFormat="1">
      <c r="A1" s="230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49</v>
      </c>
      <c r="G1" s="62" t="s">
        <v>50</v>
      </c>
      <c r="H1" s="62" t="s">
        <v>51</v>
      </c>
      <c r="I1" s="62" t="s">
        <v>52</v>
      </c>
      <c r="J1" s="62" t="s">
        <v>53</v>
      </c>
      <c r="K1" s="62" t="s">
        <v>5</v>
      </c>
      <c r="L1" s="62" t="s">
        <v>6</v>
      </c>
      <c r="M1" s="62" t="s">
        <v>7</v>
      </c>
      <c r="N1" s="62" t="s">
        <v>8</v>
      </c>
      <c r="O1" s="62" t="s">
        <v>9</v>
      </c>
      <c r="P1" s="62" t="s">
        <v>10</v>
      </c>
      <c r="Q1" s="62" t="s">
        <v>11</v>
      </c>
      <c r="R1" s="62" t="s">
        <v>12</v>
      </c>
      <c r="S1" s="62" t="s">
        <v>13</v>
      </c>
      <c r="T1" s="62" t="s">
        <v>14</v>
      </c>
      <c r="U1" s="62" t="s">
        <v>15</v>
      </c>
      <c r="V1" s="62" t="s">
        <v>16</v>
      </c>
      <c r="W1" s="62" t="s">
        <v>17</v>
      </c>
      <c r="X1" s="62" t="s">
        <v>18</v>
      </c>
      <c r="Y1" s="62" t="s">
        <v>19</v>
      </c>
      <c r="Z1" s="62" t="s">
        <v>20</v>
      </c>
      <c r="AA1" s="62" t="s">
        <v>21</v>
      </c>
      <c r="AB1" s="62" t="s">
        <v>22</v>
      </c>
      <c r="AC1" s="4"/>
      <c r="AD1" s="5"/>
      <c r="AE1" s="5"/>
      <c r="AF1" s="5"/>
      <c r="AG1" s="5"/>
      <c r="AH1" s="5"/>
      <c r="AI1" s="5"/>
      <c r="AJ1" s="5"/>
      <c r="AK1" s="5"/>
      <c r="AL1" s="5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</row>
    <row r="2" spans="1:126" s="220" customFormat="1">
      <c r="A2" s="228" t="s">
        <v>25</v>
      </c>
      <c r="B2" s="237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</row>
    <row r="3" spans="1:126">
      <c r="A3" s="231" t="s">
        <v>459</v>
      </c>
      <c r="B3" s="72">
        <v>100</v>
      </c>
      <c r="C3" s="238">
        <f>B3*123.5348925/100</f>
        <v>123.53489250000001</v>
      </c>
      <c r="D3" s="238">
        <f>B3*2.58825/100</f>
        <v>2.5882499999999999</v>
      </c>
      <c r="E3" s="238">
        <f>B3*1.00033333333333/100</f>
        <v>1.00033333333333</v>
      </c>
      <c r="F3" s="252">
        <f>B3*0.3/100</f>
        <v>0.3</v>
      </c>
      <c r="G3" s="252">
        <f>B3*0.4/100</f>
        <v>0.4</v>
      </c>
      <c r="H3" s="252">
        <f>B3*0.3/100</f>
        <v>0.3</v>
      </c>
      <c r="I3" s="263">
        <f>B3*0.31/100</f>
        <v>0.31</v>
      </c>
      <c r="J3" s="263">
        <f>B3*0.01/100</f>
        <v>0.01</v>
      </c>
      <c r="K3" s="242" t="s">
        <v>454</v>
      </c>
      <c r="L3" s="242">
        <f>B3*25.80975/100</f>
        <v>25.809749999999998</v>
      </c>
      <c r="M3" s="238">
        <f>B3*2.74933333333333/100</f>
        <v>2.7493333333333299</v>
      </c>
      <c r="N3" s="238">
        <f>B3*5.204/100</f>
        <v>5.2039999999999997</v>
      </c>
      <c r="O3" s="238">
        <f>B3*58.702/100</f>
        <v>58.701999999999998</v>
      </c>
      <c r="P3" s="238">
        <f>B3*0.627333333333333/100</f>
        <v>0.62733333333333297</v>
      </c>
      <c r="Q3" s="238">
        <f>B3*105.853/100</f>
        <v>105.85299999999999</v>
      </c>
      <c r="R3" s="238">
        <f>B3*0.262/100</f>
        <v>0.26200000000000001</v>
      </c>
      <c r="S3" s="238">
        <f>B3*1.24466666666667/100</f>
        <v>1.2446666666666699</v>
      </c>
      <c r="T3" s="238">
        <f>B3*75.1516666666667/100</f>
        <v>75.151666666666699</v>
      </c>
      <c r="U3" s="238">
        <f>B3*0.0203333333333333/100</f>
        <v>2.0333333333333301E-2</v>
      </c>
      <c r="V3" s="238">
        <f>B3*0.682666666666667/100</f>
        <v>0.68266666666666698</v>
      </c>
      <c r="W3" s="242" t="s">
        <v>454</v>
      </c>
      <c r="X3" s="238">
        <f>B3*0.08/100</f>
        <v>0.08</v>
      </c>
      <c r="Y3" s="245" t="s">
        <v>455</v>
      </c>
      <c r="Z3" s="238">
        <f>B3*0.08/100</f>
        <v>0.08</v>
      </c>
      <c r="AA3" s="245" t="s">
        <v>455</v>
      </c>
      <c r="AB3" s="238"/>
    </row>
    <row r="4" spans="1:126">
      <c r="A4" s="232" t="s">
        <v>460</v>
      </c>
      <c r="B4" s="72">
        <v>100</v>
      </c>
      <c r="C4" s="252">
        <f>B4*359.678002032609/100</f>
        <v>359.67800203260902</v>
      </c>
      <c r="D4" s="242">
        <f>B4*7.32328586956522/100</f>
        <v>7.3232858695652201</v>
      </c>
      <c r="E4" s="238">
        <f>B4*1.86483333333333/100</f>
        <v>1.86483333333333</v>
      </c>
      <c r="F4" s="252">
        <f>B4*0.3/100</f>
        <v>0.3</v>
      </c>
      <c r="G4" s="252">
        <f>B4*0.5/100</f>
        <v>0.5</v>
      </c>
      <c r="H4" s="252">
        <f>B4*0.4/100</f>
        <v>0.4</v>
      </c>
      <c r="I4" s="263">
        <f>B4*0.38/100</f>
        <v>0.38</v>
      </c>
      <c r="J4" s="263">
        <f>B4*0.02/100</f>
        <v>0.02</v>
      </c>
      <c r="K4" s="252" t="s">
        <v>454</v>
      </c>
      <c r="L4" s="242">
        <f>B4*77.4507141304348/100</f>
        <v>77.450714130434804</v>
      </c>
      <c r="M4" s="238">
        <f>B4*4.81916666666667/100</f>
        <v>4.8191666666666704</v>
      </c>
      <c r="N4" s="238">
        <f>B4*7.818/100</f>
        <v>7.8179999999999996</v>
      </c>
      <c r="O4" s="238">
        <f>B4*109.71/100</f>
        <v>109.71</v>
      </c>
      <c r="P4" s="238">
        <f>B4*2.99333333333333/100</f>
        <v>2.9933333333333305</v>
      </c>
      <c r="Q4" s="238">
        <f>B4*250.865/100</f>
        <v>250.86500000000001</v>
      </c>
      <c r="R4" s="238">
        <f>B4*0.948333333333333/100</f>
        <v>0.94833333333333303</v>
      </c>
      <c r="S4" s="238">
        <f>B4*1.64566666666667/100</f>
        <v>1.6456666666666699</v>
      </c>
      <c r="T4" s="238">
        <f>B4*173.34/100</f>
        <v>173.34</v>
      </c>
      <c r="U4" s="238">
        <f>B4*0.0748333333333333/100</f>
        <v>7.4833333333333293E-2</v>
      </c>
      <c r="V4" s="238">
        <f>B4*1.39516666666667/100</f>
        <v>1.39516666666667</v>
      </c>
      <c r="W4" s="240" t="s">
        <v>454</v>
      </c>
      <c r="X4" s="238">
        <f>B4*0.261666666666667/100</f>
        <v>0.26166666666666699</v>
      </c>
      <c r="Y4" s="238" t="s">
        <v>455</v>
      </c>
      <c r="Z4" s="252">
        <f>B4*0.175/100</f>
        <v>0.17499999999999999</v>
      </c>
      <c r="AA4" s="252">
        <f>B4*4.18333333333333/100</f>
        <v>4.18333333333333</v>
      </c>
      <c r="AB4" s="252"/>
    </row>
    <row r="5" spans="1:126">
      <c r="A5" s="232" t="s">
        <v>461</v>
      </c>
      <c r="B5" s="59">
        <v>100</v>
      </c>
      <c r="C5" s="252">
        <f>B5*128.258485666667/100</f>
        <v>128.25848566666701</v>
      </c>
      <c r="D5" s="242">
        <f>B5*2.52081666666667/100</f>
        <v>2.5208166666666698</v>
      </c>
      <c r="E5" s="264">
        <f>B5*0.227/100</f>
        <v>0.22699999999999998</v>
      </c>
      <c r="F5" s="252">
        <f>B5*0.2/100</f>
        <v>0.2</v>
      </c>
      <c r="G5" s="252" t="s">
        <v>455</v>
      </c>
      <c r="H5" s="252" t="s">
        <v>455</v>
      </c>
      <c r="I5" s="263">
        <f>B5*0.06/100</f>
        <v>0.06</v>
      </c>
      <c r="J5" s="263"/>
      <c r="K5" s="252" t="s">
        <v>454</v>
      </c>
      <c r="L5" s="242">
        <f>B5*28.05985/100</f>
        <v>28.059850000000001</v>
      </c>
      <c r="M5" s="238">
        <f>B5*1.561/100</f>
        <v>1.5609999999999999</v>
      </c>
      <c r="N5" s="238">
        <f>B5*3.54433333333333/100</f>
        <v>3.5443333333333298</v>
      </c>
      <c r="O5" s="238">
        <f>B5*2.25333333333333/100</f>
        <v>2.2533333333333299</v>
      </c>
      <c r="P5" s="238">
        <f>B5*0.296666666666667/100</f>
        <v>0.29666666666666702</v>
      </c>
      <c r="Q5" s="238">
        <f>B5*17.945/100</f>
        <v>17.945</v>
      </c>
      <c r="R5" s="238">
        <f>B5*0.0766666666666667/100</f>
        <v>7.6666666666666702E-2</v>
      </c>
      <c r="S5" s="238">
        <f>B5*1.20066666666667/100</f>
        <v>1.2006666666666701</v>
      </c>
      <c r="T5" s="238">
        <f>B5*14.6736666666667/100</f>
        <v>14.673666666666699</v>
      </c>
      <c r="U5" s="238">
        <f>B5*0.015/100</f>
        <v>1.4999999999999999E-2</v>
      </c>
      <c r="V5" s="238">
        <f>B5*0.491333333333333/100</f>
        <v>0.49133333333333307</v>
      </c>
      <c r="W5" s="240" t="s">
        <v>454</v>
      </c>
      <c r="X5" s="242" t="s">
        <v>455</v>
      </c>
      <c r="Y5" s="242" t="s">
        <v>455</v>
      </c>
      <c r="Z5" s="242" t="s">
        <v>455</v>
      </c>
      <c r="AA5" s="242" t="s">
        <v>455</v>
      </c>
      <c r="AB5" s="252"/>
    </row>
    <row r="6" spans="1:126">
      <c r="A6" s="232" t="s">
        <v>462</v>
      </c>
      <c r="B6" s="59">
        <v>100</v>
      </c>
      <c r="C6" s="238">
        <f>B6*357.789273115942/100</f>
        <v>357.78927311594202</v>
      </c>
      <c r="D6" s="238">
        <f>B6*7.15853985507246/100</f>
        <v>7.1585398550724593</v>
      </c>
      <c r="E6" s="242">
        <f>B6*0.335/100</f>
        <v>0.33500000000000002</v>
      </c>
      <c r="F6" s="252">
        <f>B6*0.1/100</f>
        <v>0.1</v>
      </c>
      <c r="G6" s="252">
        <f>B6*0.1/100</f>
        <v>0.1</v>
      </c>
      <c r="H6" s="252">
        <f>B6*0.1/100</f>
        <v>0.1</v>
      </c>
      <c r="I6" s="263">
        <f>B6*0.08/100</f>
        <v>0.08</v>
      </c>
      <c r="J6" s="263" t="s">
        <v>455</v>
      </c>
      <c r="K6" s="242" t="s">
        <v>454</v>
      </c>
      <c r="L6" s="242">
        <f>B6*78.7595434782609/100</f>
        <v>78.759543478260895</v>
      </c>
      <c r="M6" s="238">
        <f>B6*1.63916666666667/100</f>
        <v>1.63916666666667</v>
      </c>
      <c r="N6" s="238">
        <f>B6*4.41433333333333/100</f>
        <v>4.4143333333333299</v>
      </c>
      <c r="O6" s="238">
        <f>B6*30.3836666666667/100</f>
        <v>30.383666666666699</v>
      </c>
      <c r="P6" s="238">
        <f>B6*1.03233333333333/100</f>
        <v>1.03233333333333</v>
      </c>
      <c r="Q6" s="238">
        <f>B6*104.207583333333/100</f>
        <v>104.20758333333301</v>
      </c>
      <c r="R6" s="238">
        <f>B6*0.6777475/100</f>
        <v>0.67774749999999995</v>
      </c>
      <c r="S6" s="238">
        <f>B6*1.01916666666667/100</f>
        <v>1.0191666666666701</v>
      </c>
      <c r="T6" s="238">
        <f>B6*62.4994166666667/100</f>
        <v>62.49941666666669</v>
      </c>
      <c r="U6" s="238">
        <f>B6*0.114833333333333/100</f>
        <v>0.11483333333333298</v>
      </c>
      <c r="V6" s="238">
        <f>B6*1.22483333333333/100</f>
        <v>1.2248333333333301</v>
      </c>
      <c r="W6" s="242" t="s">
        <v>454</v>
      </c>
      <c r="X6" s="238">
        <f>B6*0.163333333333333/100</f>
        <v>0.163333333333333</v>
      </c>
      <c r="Y6" s="242" t="s">
        <v>455</v>
      </c>
      <c r="Z6" s="238">
        <f>B6*0.0691666666666667/100</f>
        <v>6.9166666666666696E-2</v>
      </c>
      <c r="AA6" s="238">
        <f>B6*1.11666666666667/100</f>
        <v>1.11666666666667</v>
      </c>
      <c r="AB6" s="238"/>
    </row>
    <row r="7" spans="1:126">
      <c r="A7" s="232" t="s">
        <v>463</v>
      </c>
      <c r="B7" s="59">
        <v>100</v>
      </c>
      <c r="C7" s="238">
        <f>B7*130.119648333333/100</f>
        <v>130.119648333333</v>
      </c>
      <c r="D7" s="238">
        <f>B7*2.56841666666667/100</f>
        <v>2.5684166666666699</v>
      </c>
      <c r="E7" s="248">
        <f>B7*0.361666666666667/100</f>
        <v>0.36166666666666702</v>
      </c>
      <c r="F7" s="252">
        <f>B7*0.1/100</f>
        <v>0.1</v>
      </c>
      <c r="G7" s="252">
        <f>B7*0.1/100</f>
        <v>0.1</v>
      </c>
      <c r="H7" s="252">
        <f>B7*0.1/100</f>
        <v>0.1</v>
      </c>
      <c r="I7" s="263">
        <f>B7*0.09/100</f>
        <v>0.09</v>
      </c>
      <c r="J7" s="263" t="s">
        <v>455</v>
      </c>
      <c r="K7" s="242" t="s">
        <v>454</v>
      </c>
      <c r="L7" s="242">
        <f>B7*28.1925833333333/100</f>
        <v>28.1925833333333</v>
      </c>
      <c r="M7" s="238">
        <f>B7*1.06966666666667/100</f>
        <v>1.0696666666666701</v>
      </c>
      <c r="N7" s="238">
        <f>B7*3.33366666666667/100</f>
        <v>3.3336666666666703</v>
      </c>
      <c r="O7" s="238">
        <f>B7*6.05333333333333/100</f>
        <v>6.0533333333333301</v>
      </c>
      <c r="P7" s="238">
        <f>B7*0.371/100</f>
        <v>0.371</v>
      </c>
      <c r="Q7" s="238">
        <f>B7*21.5213333333333/100</f>
        <v>21.521333333333299</v>
      </c>
      <c r="R7" s="238">
        <f>B7*0.0503333333333333/100</f>
        <v>5.0333333333333299E-2</v>
      </c>
      <c r="S7" s="238">
        <f>B7*1.95966666666667/100</f>
        <v>1.95966666666667</v>
      </c>
      <c r="T7" s="238">
        <f>B7*20.2033333333333/100</f>
        <v>20.203333333333301</v>
      </c>
      <c r="U7" s="238">
        <f>B7*0.041/100</f>
        <v>4.1000000000000009E-2</v>
      </c>
      <c r="V7" s="238">
        <f>B7*0.549333333333333/100</f>
        <v>0.54933333333333301</v>
      </c>
      <c r="W7" s="240" t="s">
        <v>454</v>
      </c>
      <c r="X7" s="245" t="s">
        <v>455</v>
      </c>
      <c r="Y7" s="245" t="s">
        <v>455</v>
      </c>
      <c r="Z7" s="245" t="s">
        <v>455</v>
      </c>
      <c r="AA7" s="245" t="s">
        <v>455</v>
      </c>
      <c r="AB7" s="242"/>
    </row>
    <row r="8" spans="1:126">
      <c r="A8" s="232" t="s">
        <v>464</v>
      </c>
      <c r="B8" s="59">
        <v>100</v>
      </c>
      <c r="C8" s="238">
        <f>B8*358.116761456522/100</f>
        <v>358.116761456522</v>
      </c>
      <c r="D8" s="238">
        <f>B8*7.24188297101449/100</f>
        <v>7.2418829710144896</v>
      </c>
      <c r="E8" s="239">
        <f>B8*0.2755/100</f>
        <v>0.27550000000000002</v>
      </c>
      <c r="F8" s="252">
        <f>B8*0.1/100</f>
        <v>0.1</v>
      </c>
      <c r="G8" s="252">
        <f>B8*0.1/100</f>
        <v>0.1</v>
      </c>
      <c r="H8" s="252">
        <f>B8*0.1/100</f>
        <v>0.1</v>
      </c>
      <c r="I8" s="263">
        <f>B8*0.09/100</f>
        <v>0.09</v>
      </c>
      <c r="J8" s="263" t="s">
        <v>455</v>
      </c>
      <c r="K8" s="239" t="s">
        <v>454</v>
      </c>
      <c r="L8" s="242">
        <f>B8*78.8814503623188/100</f>
        <v>78.881450362318802</v>
      </c>
      <c r="M8" s="239">
        <f>B8*1.71983333333333/100</f>
        <v>1.71983333333333</v>
      </c>
      <c r="N8" s="239">
        <f>B8*4.8335/100</f>
        <v>4.8334999999999999</v>
      </c>
      <c r="O8" s="239">
        <f>B8*29.2390833333333/100</f>
        <v>29.239083333333301</v>
      </c>
      <c r="P8" s="238">
        <f>B8*0.828/100</f>
        <v>0.82799999999999996</v>
      </c>
      <c r="Q8" s="239">
        <f>B8*82.0439166666667/100</f>
        <v>82.043916666666703</v>
      </c>
      <c r="R8" s="239">
        <f>B8*0.597833333333333/100</f>
        <v>0.59783333333333299</v>
      </c>
      <c r="S8" s="239">
        <f>B8*0.568833333333333/100</f>
        <v>0.56883333333333297</v>
      </c>
      <c r="T8" s="239">
        <f>B8*57.2845833333333/100</f>
        <v>57.284583333333302</v>
      </c>
      <c r="U8" s="239">
        <f>B8*0.052/100</f>
        <v>5.2000000000000005E-2</v>
      </c>
      <c r="V8" s="239">
        <f>B8*1.27208333333333/100</f>
        <v>1.2720833333333299</v>
      </c>
      <c r="W8" s="239" t="s">
        <v>454</v>
      </c>
      <c r="X8" s="239">
        <f>B8*0.163333333333333/100</f>
        <v>0.163333333333333</v>
      </c>
      <c r="Y8" s="238" t="s">
        <v>455</v>
      </c>
      <c r="Z8" s="239">
        <f>B8*0.0491666666666667/100</f>
        <v>4.9166666666666699E-2</v>
      </c>
      <c r="AA8" s="238">
        <f>B8*0.918333333333333/100</f>
        <v>0.918333333333333</v>
      </c>
      <c r="AB8" s="239"/>
    </row>
    <row r="9" spans="1:126">
      <c r="A9" s="232" t="s">
        <v>465</v>
      </c>
      <c r="B9" s="59">
        <v>100</v>
      </c>
      <c r="C9" s="239">
        <f>B9*393.822689449275/100</f>
        <v>393.822689449275</v>
      </c>
      <c r="D9" s="239">
        <f>B9*13.9210260869565/100</f>
        <v>13.921026086956498</v>
      </c>
      <c r="E9" s="239">
        <f>B9*8.49666666666667/100</f>
        <v>8.4966666666666697</v>
      </c>
      <c r="F9" s="252">
        <f>B9*1.54/100</f>
        <v>1.54</v>
      </c>
      <c r="G9" s="252">
        <f>B9*3.15566666666667/100</f>
        <v>3.15566666666667</v>
      </c>
      <c r="H9" s="252">
        <f>B9*3.01633333333333/100</f>
        <v>3.0163333333333302</v>
      </c>
      <c r="I9" s="263">
        <f>B9*2.95433333333333/100</f>
        <v>2.9543333333333299</v>
      </c>
      <c r="J9" s="263">
        <f>B9*0.062/100</f>
        <v>6.2E-2</v>
      </c>
      <c r="K9" s="239" t="s">
        <v>454</v>
      </c>
      <c r="L9" s="242">
        <f>B9*66.6356405797102/100</f>
        <v>66.635640579710198</v>
      </c>
      <c r="M9" s="239">
        <f>B9*9.13/100</f>
        <v>9.1300000000000008</v>
      </c>
      <c r="N9" s="239">
        <f>B9*47.89/100</f>
        <v>47.89</v>
      </c>
      <c r="O9" s="239">
        <f>B9*118.762333333333/100</f>
        <v>118.762333333333</v>
      </c>
      <c r="P9" s="239">
        <f>B9*1.89466666666667/100</f>
        <v>1.8946666666666701</v>
      </c>
      <c r="Q9" s="239">
        <f>B9*153.396666666667/100</f>
        <v>153.39666666666699</v>
      </c>
      <c r="R9" s="239">
        <f>B9*4.44666666666667/100</f>
        <v>4.4466666666666699</v>
      </c>
      <c r="S9" s="239">
        <f>B9*4.62666666666667/100</f>
        <v>4.6266666666666696</v>
      </c>
      <c r="T9" s="239">
        <f>B9*336.333333333333/100</f>
        <v>336.33333333333297</v>
      </c>
      <c r="U9" s="239">
        <f>B9*0.44/100</f>
        <v>0.44</v>
      </c>
      <c r="V9" s="239">
        <f>B9*2.63/100</f>
        <v>2.63</v>
      </c>
      <c r="W9" s="240" t="s">
        <v>454</v>
      </c>
      <c r="X9" s="239">
        <f>B9*0.553333333333333/100</f>
        <v>0.55333333333333301</v>
      </c>
      <c r="Y9" s="239">
        <f>B9*0.03/100</f>
        <v>0.03</v>
      </c>
      <c r="Z9" s="239" t="s">
        <v>455</v>
      </c>
      <c r="AA9" s="239">
        <f>B9*4.47/100</f>
        <v>4.47</v>
      </c>
      <c r="AB9" s="265">
        <f>B9*1.35/100</f>
        <v>1.35</v>
      </c>
    </row>
    <row r="10" spans="1:126">
      <c r="A10" s="232" t="s">
        <v>466</v>
      </c>
      <c r="B10" s="59">
        <v>100</v>
      </c>
      <c r="C10" s="240">
        <f>B10*442.819390144928/100</f>
        <v>442.81939014492798</v>
      </c>
      <c r="D10" s="239">
        <f>B10*8.07252173913043/100</f>
        <v>8.0725217391304298</v>
      </c>
      <c r="E10" s="240">
        <f>B10*11.9666666666667/100</f>
        <v>11.966666666666702</v>
      </c>
      <c r="F10" s="252">
        <f>B10*3.9/100</f>
        <v>3.9</v>
      </c>
      <c r="G10" s="252">
        <f>B10*3.7/100</f>
        <v>3.7</v>
      </c>
      <c r="H10" s="252">
        <f>B10*2.2/100</f>
        <v>2.2000000000000002</v>
      </c>
      <c r="I10" s="263">
        <f>B10*2.13/100</f>
        <v>2.13</v>
      </c>
      <c r="J10" s="263">
        <f>B10*0.1/100</f>
        <v>0.1</v>
      </c>
      <c r="K10" s="240" t="s">
        <v>454</v>
      </c>
      <c r="L10" s="242">
        <f>B10*75.2341449275362/100</f>
        <v>75.234144927536207</v>
      </c>
      <c r="M10" s="240">
        <f>B10*2.1/100</f>
        <v>2.1</v>
      </c>
      <c r="N10" s="240">
        <f>B10*54.45/100</f>
        <v>54.45</v>
      </c>
      <c r="O10" s="240">
        <f>B10*37.1433333333333/100</f>
        <v>37.143333333333302</v>
      </c>
      <c r="P10" s="240">
        <f>B10*0.778333333333333/100</f>
        <v>0.77833333333333299</v>
      </c>
      <c r="Q10" s="240">
        <f>B10*166.103333333333/100</f>
        <v>166.10333333333298</v>
      </c>
      <c r="R10" s="240">
        <f>B10*1.76/100</f>
        <v>1.76</v>
      </c>
      <c r="S10" s="240">
        <f>B10*352.026666666667/100</f>
        <v>352.02666666666698</v>
      </c>
      <c r="T10" s="240">
        <f>B10*141.64/100</f>
        <v>141.63999999999999</v>
      </c>
      <c r="U10" s="240">
        <f>B10*0.17/100</f>
        <v>0.17</v>
      </c>
      <c r="V10" s="240">
        <f>B10*1.03/100</f>
        <v>1.03</v>
      </c>
      <c r="W10" s="240" t="s">
        <v>454</v>
      </c>
      <c r="X10" s="240">
        <f>B10*1.01/100</f>
        <v>1.01</v>
      </c>
      <c r="Y10" s="240">
        <f>B10*0.416666666666667/100</f>
        <v>0.41666666666666702</v>
      </c>
      <c r="Z10" s="240">
        <f>B10*0.23/100</f>
        <v>0.23</v>
      </c>
      <c r="AA10" s="240">
        <f>B10*3.90666666666667/100</f>
        <v>3.9066666666666698</v>
      </c>
      <c r="AB10" s="240">
        <f>B10*6.21666666666667/100</f>
        <v>6.2166666666666712</v>
      </c>
    </row>
    <row r="11" spans="1:126">
      <c r="A11" s="232" t="s">
        <v>467</v>
      </c>
      <c r="B11" s="59">
        <v>100</v>
      </c>
      <c r="C11" s="240">
        <f>B11*471.824779710145/100</f>
        <v>471.82477971014504</v>
      </c>
      <c r="D11" s="239">
        <f>B11*6.39721739130435/100</f>
        <v>6.3972173913043502</v>
      </c>
      <c r="E11" s="240">
        <f>B11*19.5833333333333/100</f>
        <v>19.5833333333333</v>
      </c>
      <c r="F11" s="252">
        <f>B11*6.2/100</f>
        <v>6.2</v>
      </c>
      <c r="G11" s="252">
        <f>B11*6.6/100</f>
        <v>6.6</v>
      </c>
      <c r="H11" s="252">
        <f>B11*1.7/100</f>
        <v>1.7</v>
      </c>
      <c r="I11" s="263">
        <f>B11*1.68/100</f>
        <v>1.68</v>
      </c>
      <c r="J11" s="263">
        <f>B11*0.06/100</f>
        <v>0.06</v>
      </c>
      <c r="K11" s="257" t="s">
        <v>455</v>
      </c>
      <c r="L11" s="242">
        <f>B11*70.5494492753623/100</f>
        <v>70.549449275362306</v>
      </c>
      <c r="M11" s="240">
        <f>B11*2.95666666666667/100</f>
        <v>2.9566666666666701</v>
      </c>
      <c r="N11" s="240">
        <f>B11*27.23/100</f>
        <v>27.23</v>
      </c>
      <c r="O11" s="240">
        <f>B11*47.9766666666667/100</f>
        <v>47.976666666666709</v>
      </c>
      <c r="P11" s="240">
        <f>B11*0.588/100</f>
        <v>0.58799999999999997</v>
      </c>
      <c r="Q11" s="240">
        <f>B11*139.45/100</f>
        <v>139.44999999999999</v>
      </c>
      <c r="R11" s="240">
        <f>B11*2.27/100</f>
        <v>2.27</v>
      </c>
      <c r="S11" s="240">
        <f>B11*239.2/100</f>
        <v>239.2</v>
      </c>
      <c r="T11" s="240">
        <f>B11*232.4/100</f>
        <v>232.4</v>
      </c>
      <c r="U11" s="240">
        <f>B11*0.273333333333333/100</f>
        <v>0.27333333333333298</v>
      </c>
      <c r="V11" s="240">
        <f>B11*0.993333333333333/100</f>
        <v>0.99333333333333296</v>
      </c>
      <c r="W11" s="240" t="s">
        <v>455</v>
      </c>
      <c r="X11" s="240">
        <f>B11*0.316666666666667/100</f>
        <v>0.31666666666666698</v>
      </c>
      <c r="Y11" s="240">
        <f>B11*0.393333333333333/100</f>
        <v>0.39333333333333298</v>
      </c>
      <c r="Z11" s="240">
        <f>B11*0.456666666666667/100</f>
        <v>0.456666666666667</v>
      </c>
      <c r="AA11" s="240">
        <f>B11*2.52333333333333/100</f>
        <v>2.5233333333333299</v>
      </c>
      <c r="AB11" s="240">
        <f>B11*3.52666666666667/100</f>
        <v>3.5266666666666695</v>
      </c>
    </row>
    <row r="12" spans="1:126">
      <c r="A12" s="232" t="s">
        <v>468</v>
      </c>
      <c r="B12" s="59">
        <v>100</v>
      </c>
      <c r="C12" s="239">
        <f>B12*471.174736231884/100</f>
        <v>471.17473623188403</v>
      </c>
      <c r="D12" s="239">
        <f>B12*5.71982608695652/100</f>
        <v>5.7198260869565196</v>
      </c>
      <c r="E12" s="239">
        <f>B12*19.5733333333333/100</f>
        <v>19.573333333333299</v>
      </c>
      <c r="F12" s="252">
        <f>B12*6.1/100</f>
        <v>6.1</v>
      </c>
      <c r="G12" s="252">
        <f>B12*6.5/100</f>
        <v>6.5</v>
      </c>
      <c r="H12" s="252">
        <f>B12*1.7/100</f>
        <v>1.7</v>
      </c>
      <c r="I12" s="263">
        <f>B12*1.61/100</f>
        <v>1.61</v>
      </c>
      <c r="J12" s="263">
        <f>B12*0.06/100</f>
        <v>0.06</v>
      </c>
      <c r="K12" s="239" t="s">
        <v>455</v>
      </c>
      <c r="L12" s="242">
        <f>B12*71.0135072463768/100</f>
        <v>71.013507246376804</v>
      </c>
      <c r="M12" s="239">
        <f>B12*1.53333333333333/100</f>
        <v>1.5333333333333301</v>
      </c>
      <c r="N12" s="239">
        <f>B12*35.78/100</f>
        <v>35.78</v>
      </c>
      <c r="O12" s="239">
        <f>B12*27.1/100</f>
        <v>27.1</v>
      </c>
      <c r="P12" s="239">
        <f>B12*(0.663+0.666+0.648)/3/100</f>
        <v>0.65900000000000025</v>
      </c>
      <c r="Q12" s="239">
        <f>B12*137.743333333333/100</f>
        <v>137.743333333333</v>
      </c>
      <c r="R12" s="239">
        <f>B12*1.48/100</f>
        <v>1.48</v>
      </c>
      <c r="S12" s="239">
        <f>B12*229.816666666667/100</f>
        <v>229.816666666667</v>
      </c>
      <c r="T12" s="239">
        <f>B12*113.013333333333/100</f>
        <v>113.01333333333299</v>
      </c>
      <c r="U12" s="239">
        <f>B12*0.126666666666667/100</f>
        <v>0.12666666666666701</v>
      </c>
      <c r="V12" s="239">
        <f>B12*0.726666666666667/100</f>
        <v>0.72666666666666702</v>
      </c>
      <c r="W12" s="239" t="s">
        <v>455</v>
      </c>
      <c r="X12" s="239">
        <f>B12*0.896666666666667/100</f>
        <v>0.89666666666666694</v>
      </c>
      <c r="Y12" s="239">
        <f>B12*0.42/100</f>
        <v>0.42</v>
      </c>
      <c r="Z12" s="239">
        <f>B12*0.21/100</f>
        <v>0.21</v>
      </c>
      <c r="AA12" s="239">
        <f>B12*1.49666666666667/100</f>
        <v>1.4966666666666699</v>
      </c>
      <c r="AB12" s="239" t="s">
        <v>455</v>
      </c>
    </row>
    <row r="13" spans="1:126">
      <c r="A13" s="232" t="s">
        <v>469</v>
      </c>
      <c r="B13" s="59">
        <v>100</v>
      </c>
      <c r="C13" s="240">
        <f>B13*502.456857971014/100</f>
        <v>502.45685797101402</v>
      </c>
      <c r="D13" s="239">
        <f>B13*5.56452173913044/100</f>
        <v>5.5645217391304387</v>
      </c>
      <c r="E13" s="240">
        <f>B13*24.6733333333333/100</f>
        <v>24.6733333333333</v>
      </c>
      <c r="F13" s="252">
        <f>B13*6.5/100</f>
        <v>6.5</v>
      </c>
      <c r="G13" s="252">
        <f>B13*8.1/100</f>
        <v>8.1</v>
      </c>
      <c r="H13" s="252">
        <f>B13*1.9/100</f>
        <v>1.9</v>
      </c>
      <c r="I13" s="263">
        <f>B13*1.84/100</f>
        <v>1.84</v>
      </c>
      <c r="J13" s="263">
        <f>B13*0.09/100</f>
        <v>0.09</v>
      </c>
      <c r="K13" s="257" t="s">
        <v>455</v>
      </c>
      <c r="L13" s="242">
        <f>B13*67.5354782608696/100</f>
        <v>67.535478260869596</v>
      </c>
      <c r="M13" s="240">
        <f>B13*1.80333333333333/100</f>
        <v>1.8033333333333301</v>
      </c>
      <c r="N13" s="240">
        <f>B13*23.3433333333333/100</f>
        <v>23.343333333333302</v>
      </c>
      <c r="O13" s="240">
        <f>B13*47.8533333333333/100</f>
        <v>47.853333333333303</v>
      </c>
      <c r="P13" s="240">
        <f>B13*0.435/100</f>
        <v>0.435</v>
      </c>
      <c r="Q13" s="240">
        <f>B13*124.203333333333/100</f>
        <v>124.20333333333301</v>
      </c>
      <c r="R13" s="240">
        <f>B13*2.44333333333333/100</f>
        <v>2.4433333333333298</v>
      </c>
      <c r="S13" s="240">
        <f>B13*137.24/100</f>
        <v>137.24</v>
      </c>
      <c r="T13" s="240">
        <f>B13*240.453333333333/100</f>
        <v>240.45333333333301</v>
      </c>
      <c r="U13" s="240">
        <f>B13*0.263333333333333/100</f>
        <v>0.26333333333333298</v>
      </c>
      <c r="V13" s="240">
        <f>B13*0.873333333333333/100</f>
        <v>0.87333333333333296</v>
      </c>
      <c r="W13" s="240" t="s">
        <v>455</v>
      </c>
      <c r="X13" s="240">
        <f>B13*0.366666666666667/100</f>
        <v>0.36666666666666697</v>
      </c>
      <c r="Y13" s="240">
        <f>B13*0.03/100</f>
        <v>0.03</v>
      </c>
      <c r="Z13" s="240">
        <f>B13*0.296666666666667/100</f>
        <v>0.29666666666666702</v>
      </c>
      <c r="AA13" s="240">
        <f>B13*1.12/100</f>
        <v>1.1200000000000001</v>
      </c>
      <c r="AB13" s="240" t="s">
        <v>455</v>
      </c>
    </row>
    <row r="14" spans="1:126">
      <c r="A14" s="232" t="s">
        <v>3066</v>
      </c>
      <c r="B14" s="59">
        <v>100</v>
      </c>
      <c r="C14" s="240">
        <f>B14*513.446182608696/100</f>
        <v>513.44618260869595</v>
      </c>
      <c r="D14" s="239">
        <f>B14*4.51704347826087/100</f>
        <v>4.5170434782608702</v>
      </c>
      <c r="E14" s="240">
        <f>B14*26.4/100</f>
        <v>26.4</v>
      </c>
      <c r="F14" s="252">
        <f>B14*6.7/100</f>
        <v>6.7</v>
      </c>
      <c r="G14" s="252">
        <f>B14*8.9/100</f>
        <v>8.9</v>
      </c>
      <c r="H14" s="252">
        <f>B14*1.8/100</f>
        <v>1.8</v>
      </c>
      <c r="I14" s="263">
        <f>B14*1.77/100</f>
        <v>1.77</v>
      </c>
      <c r="J14" s="263">
        <f>B14*0.08/100</f>
        <v>0.08</v>
      </c>
      <c r="K14" s="240">
        <f>B14*1.26733333333333/100</f>
        <v>1.2673333333333301</v>
      </c>
      <c r="L14" s="242">
        <f>B14*67.3529565217391/100</f>
        <v>67.352956521739102</v>
      </c>
      <c r="M14" s="240">
        <f>B14*0.82/100</f>
        <v>0.82</v>
      </c>
      <c r="N14" s="240">
        <f>B14*13.7066666666667/100</f>
        <v>13.706666666666701</v>
      </c>
      <c r="O14" s="240">
        <f>B14*18.54/100</f>
        <v>18.54</v>
      </c>
      <c r="P14" s="240">
        <f>B14*0.279666666666667/100</f>
        <v>0.27966666666666701</v>
      </c>
      <c r="Q14" s="240">
        <f>B14*73.1633333333333/100</f>
        <v>73.163333333333298</v>
      </c>
      <c r="R14" s="240">
        <f>B14*1.09333333333333/100</f>
        <v>1.0933333333333299</v>
      </c>
      <c r="S14" s="240">
        <f>B14*119.9/100</f>
        <v>119.9</v>
      </c>
      <c r="T14" s="240">
        <f>B14*74.8433333333333/100</f>
        <v>74.843333333333305</v>
      </c>
      <c r="U14" s="240">
        <f>B14*0.0833333333333333/100</f>
        <v>8.3333333333333301E-2</v>
      </c>
      <c r="V14" s="240">
        <f>B14*0.513333333333333/100</f>
        <v>0.51333333333333298</v>
      </c>
      <c r="W14" s="240" t="s">
        <v>455</v>
      </c>
      <c r="X14" s="240">
        <f>B14*0.356666666666667/100</f>
        <v>0.35666666666666702</v>
      </c>
      <c r="Y14" s="240" t="s">
        <v>455</v>
      </c>
      <c r="Z14" s="240">
        <f>B14*0.94/100</f>
        <v>0.94</v>
      </c>
      <c r="AA14" s="240">
        <f>B14*0.373333333333333/100</f>
        <v>0.37333333333333302</v>
      </c>
      <c r="AB14" s="240"/>
    </row>
    <row r="15" spans="1:126">
      <c r="A15" s="232" t="s">
        <v>3067</v>
      </c>
      <c r="B15" s="59">
        <v>100</v>
      </c>
      <c r="C15" s="240">
        <f>B15*431.73228115942/100</f>
        <v>431.73228115942004</v>
      </c>
      <c r="D15" s="239">
        <f>B15*10.0551304347826/100</f>
        <v>10.055130434782599</v>
      </c>
      <c r="E15" s="240">
        <f>B15*14.4366666666667/100</f>
        <v>14.436666666666699</v>
      </c>
      <c r="F15" s="252">
        <f>B15*4.4/100</f>
        <v>4.4000000000000004</v>
      </c>
      <c r="G15" s="252">
        <f>B15*4.6/100</f>
        <v>4.5999999999999996</v>
      </c>
      <c r="H15" s="252">
        <f>B15*2.9/100</f>
        <v>2.9</v>
      </c>
      <c r="I15" s="263">
        <f>B15*2.79/100</f>
        <v>2.79</v>
      </c>
      <c r="J15" s="263">
        <f>B15*0.01/100</f>
        <v>0.01</v>
      </c>
      <c r="K15" s="240" t="s">
        <v>454</v>
      </c>
      <c r="L15" s="242">
        <f>B15*68.731536231884/100</f>
        <v>68.731536231883993</v>
      </c>
      <c r="M15" s="240">
        <f>B15*2.51/100</f>
        <v>2.5099999999999998</v>
      </c>
      <c r="N15" s="240">
        <f>B15*20.0033333333333/100</f>
        <v>20.003333333333298</v>
      </c>
      <c r="O15" s="240">
        <f>B15*39.7466666666667/100</f>
        <v>39.746666666666698</v>
      </c>
      <c r="P15" s="240">
        <f>B15*0.689666666666667/100</f>
        <v>0.68966666666666698</v>
      </c>
      <c r="Q15" s="240">
        <f>B15*148.26/100</f>
        <v>148.26</v>
      </c>
      <c r="R15" s="240">
        <f>B15*2.2/100</f>
        <v>2.2000000000000002</v>
      </c>
      <c r="S15" s="240">
        <f>B15*854.356666666667/100</f>
        <v>854.35666666666702</v>
      </c>
      <c r="T15" s="240">
        <f>B15*180.613333333333/100</f>
        <v>180.613333333333</v>
      </c>
      <c r="U15" s="240">
        <f>B15*0.18/100</f>
        <v>0.18</v>
      </c>
      <c r="V15" s="240">
        <f>B15*1.13666666666667/100</f>
        <v>1.13666666666667</v>
      </c>
      <c r="W15" s="240" t="s">
        <v>454</v>
      </c>
      <c r="X15" s="240">
        <f>B15*0.71/100</f>
        <v>0.71</v>
      </c>
      <c r="Y15" s="240">
        <f>B15*0.13/100</f>
        <v>0.13</v>
      </c>
      <c r="Z15" s="240">
        <f>B15*0.17/100</f>
        <v>0.17</v>
      </c>
      <c r="AA15" s="240">
        <f>B15*7.13666666666667/100</f>
        <v>7.1366666666666694</v>
      </c>
      <c r="AB15" s="239"/>
    </row>
    <row r="16" spans="1:126">
      <c r="A16" s="232" t="s">
        <v>472</v>
      </c>
      <c r="B16" s="59">
        <v>100</v>
      </c>
      <c r="C16" s="240">
        <f>B16*418.633333333333/100</f>
        <v>418.63333333333298</v>
      </c>
      <c r="D16" s="239">
        <f>B16*6.15942028985507/100</f>
        <v>6.1594202898550687</v>
      </c>
      <c r="E16" s="240">
        <f>B16*6.12666666666667/100</f>
        <v>6.1266666666666696</v>
      </c>
      <c r="F16" s="252">
        <f>B16*2.095/100</f>
        <v>2.0950000000000002</v>
      </c>
      <c r="G16" s="252">
        <f>B16*1.89016666666667/100</f>
        <v>1.8901666666666701</v>
      </c>
      <c r="H16" s="252">
        <f>B16*0.813/100</f>
        <v>0.81299999999999994</v>
      </c>
      <c r="I16" s="263">
        <f>B16*0.778166666666667/100</f>
        <v>0.77816666666666701</v>
      </c>
      <c r="J16" s="263">
        <f>B16*0.0348333333333333/100</f>
        <v>3.48333333333333E-2</v>
      </c>
      <c r="K16" s="240" t="s">
        <v>455</v>
      </c>
      <c r="L16" s="242">
        <f>B16*84.7139130434783/100</f>
        <v>84.7139130434783</v>
      </c>
      <c r="M16" s="240">
        <f>B16*1.70333333333333/100</f>
        <v>1.70333333333333</v>
      </c>
      <c r="N16" s="240">
        <f>B16*58.879/100</f>
        <v>58.878999999999998</v>
      </c>
      <c r="O16" s="240">
        <f>B16*27.922/100</f>
        <v>27.922000000000004</v>
      </c>
      <c r="P16" s="240">
        <f>B16*0.462666666666667/100</f>
        <v>0.462666666666667</v>
      </c>
      <c r="Q16" s="240">
        <f>B16*332.657666666667/100</f>
        <v>332.65766666666701</v>
      </c>
      <c r="R16" s="240">
        <f>B16*1.21066666666667/100</f>
        <v>1.2106666666666701</v>
      </c>
      <c r="S16" s="240">
        <f>B16*462.88/100</f>
        <v>462.88</v>
      </c>
      <c r="T16" s="240">
        <f>B16*75.363/100</f>
        <v>75.363</v>
      </c>
      <c r="U16" s="240">
        <f>B16*0.153333333333333/100</f>
        <v>0.15333333333333299</v>
      </c>
      <c r="V16" s="240">
        <f>B16*0.582666666666667/100</f>
        <v>0.582666666666667</v>
      </c>
      <c r="W16" s="240" t="s">
        <v>454</v>
      </c>
      <c r="X16" s="240">
        <f>B16*0.176666666666667/100</f>
        <v>0.176666666666667</v>
      </c>
      <c r="Y16" s="240" t="s">
        <v>455</v>
      </c>
      <c r="Z16" s="240">
        <f>B16*1.50333333333333/100</f>
        <v>1.5033333333333301</v>
      </c>
      <c r="AA16" s="252">
        <f>B16*1.51666666666667/100</f>
        <v>1.5166666666666699</v>
      </c>
      <c r="AB16" s="240" t="s">
        <v>455</v>
      </c>
    </row>
    <row r="17" spans="1:28">
      <c r="A17" s="232" t="s">
        <v>473</v>
      </c>
      <c r="B17" s="59">
        <v>100</v>
      </c>
      <c r="C17" s="238">
        <f>B17*323.851666666667/100</f>
        <v>323.85166666666697</v>
      </c>
      <c r="D17" s="238">
        <f>B17*4.41666666666667/100</f>
        <v>4.4166666666666696</v>
      </c>
      <c r="E17" s="238">
        <f>B17*12.7476666666667/100</f>
        <v>12.747666666666698</v>
      </c>
      <c r="F17" s="252">
        <f>B17*5/100</f>
        <v>5</v>
      </c>
      <c r="G17" s="252">
        <f>B17*3.9/100</f>
        <v>3.9</v>
      </c>
      <c r="H17" s="252">
        <f>B17*1.1/100</f>
        <v>1.1000000000000001</v>
      </c>
      <c r="I17" s="263">
        <f>B17*1.04/100</f>
        <v>1.04</v>
      </c>
      <c r="J17" s="263">
        <f>B17*0.06/100</f>
        <v>0.06</v>
      </c>
      <c r="K17" s="238">
        <f>B17*73.204/100</f>
        <v>73.203999999999994</v>
      </c>
      <c r="L17" s="242">
        <f>B17*47.864/100</f>
        <v>47.863999999999997</v>
      </c>
      <c r="M17" s="238">
        <f>B17*0.690666666666667/100</f>
        <v>0.69066666666666687</v>
      </c>
      <c r="N17" s="238">
        <f>B17*85.0223333333333/100</f>
        <v>85.022333333333293</v>
      </c>
      <c r="O17" s="238">
        <f>B17*10.344/100</f>
        <v>10.343999999999999</v>
      </c>
      <c r="P17" s="238">
        <f>B17*0.107/100</f>
        <v>0.107</v>
      </c>
      <c r="Q17" s="238">
        <f>B17*122.194/100</f>
        <v>122.194</v>
      </c>
      <c r="R17" s="238">
        <f>B17*0.489/100</f>
        <v>0.48899999999999999</v>
      </c>
      <c r="S17" s="238">
        <f>B17*111.008333333333/100</f>
        <v>111.008333333333</v>
      </c>
      <c r="T17" s="238">
        <f>B17*134.822666666667/100</f>
        <v>134.822666666667</v>
      </c>
      <c r="U17" s="238">
        <f>B17*0.0516666666666667/100</f>
        <v>5.1666666666666708E-2</v>
      </c>
      <c r="V17" s="238">
        <f>B17*0.415666666666667/100</f>
        <v>0.41566666666666696</v>
      </c>
      <c r="W17" s="245" t="s">
        <v>455</v>
      </c>
      <c r="X17" s="238">
        <f>B17*0.13/100</f>
        <v>0.13</v>
      </c>
      <c r="Y17" s="238">
        <f>B17*0.07/100</f>
        <v>7.0000000000000007E-2</v>
      </c>
      <c r="Z17" s="245" t="s">
        <v>455</v>
      </c>
      <c r="AA17" s="245" t="s">
        <v>455</v>
      </c>
      <c r="AB17" s="245" t="s">
        <v>455</v>
      </c>
    </row>
    <row r="18" spans="1:28">
      <c r="A18" s="232" t="s">
        <v>474</v>
      </c>
      <c r="B18" s="59">
        <v>100</v>
      </c>
      <c r="C18" s="238">
        <f>B18*410.013666666667/100</f>
        <v>410.01366666666695</v>
      </c>
      <c r="D18" s="238">
        <f>B18*6.22291666666667/100</f>
        <v>6.22291666666667</v>
      </c>
      <c r="E18" s="238">
        <f>B18*18.4723333333333/100</f>
        <v>18.4723333333333</v>
      </c>
      <c r="F18" s="252">
        <f>B18*5.5/100</f>
        <v>5.5</v>
      </c>
      <c r="G18" s="252">
        <f>B18*6.2/100</f>
        <v>6.2</v>
      </c>
      <c r="H18" s="252">
        <f>B18*3/100</f>
        <v>3</v>
      </c>
      <c r="I18" s="263">
        <f>B18*2.85/100</f>
        <v>2.85</v>
      </c>
      <c r="J18" s="263">
        <f>B18*0.04/100</f>
        <v>0.04</v>
      </c>
      <c r="K18" s="238">
        <f>B18*76.7976666666667/100</f>
        <v>76.7976666666667</v>
      </c>
      <c r="L18" s="242">
        <f>B18*54.71775/100</f>
        <v>54.717750000000002</v>
      </c>
      <c r="M18" s="238">
        <f>B18*1.43/100</f>
        <v>1.43</v>
      </c>
      <c r="N18" s="238">
        <f>B18*74.5846666666667/100</f>
        <v>74.584666666666706</v>
      </c>
      <c r="O18" s="238">
        <f>B18*27.6866666666667/100</f>
        <v>27.686666666666703</v>
      </c>
      <c r="P18" s="238">
        <f>B18*0.379333333333333/100</f>
        <v>0.37933333333333302</v>
      </c>
      <c r="Q18" s="238">
        <f>B18*196.976666666667/100</f>
        <v>196.976666666667</v>
      </c>
      <c r="R18" s="238">
        <f>B18*2.13233333333333/100</f>
        <v>2.1323333333333299</v>
      </c>
      <c r="S18" s="238">
        <f>B18*283.3/100</f>
        <v>283.3</v>
      </c>
      <c r="T18" s="238">
        <f>B18*211.763333333333/100</f>
        <v>211.76333333333298</v>
      </c>
      <c r="U18" s="238">
        <f>B18*0.0463333333333333/100</f>
        <v>4.6333333333333303E-2</v>
      </c>
      <c r="V18" s="238">
        <f>B18*0.713666666666667/100</f>
        <v>0.713666666666667</v>
      </c>
      <c r="W18" s="245" t="s">
        <v>455</v>
      </c>
      <c r="X18" s="238">
        <f>B18*0.133333333333333/100</f>
        <v>0.133333333333333</v>
      </c>
      <c r="Y18" s="238">
        <f>B18*0.0933333333333333/100</f>
        <v>9.333333333333331E-2</v>
      </c>
      <c r="Z18" s="238">
        <f>B18*0.05/100</f>
        <v>0.05</v>
      </c>
      <c r="AA18" s="243" t="s">
        <v>455</v>
      </c>
      <c r="AB18" s="245" t="s">
        <v>455</v>
      </c>
    </row>
    <row r="19" spans="1:28">
      <c r="A19" s="232" t="s">
        <v>475</v>
      </c>
      <c r="B19" s="59">
        <v>100</v>
      </c>
      <c r="C19" s="238">
        <f>B19*333.437666666667/100</f>
        <v>333.43766666666698</v>
      </c>
      <c r="D19" s="238">
        <f>B19*5.66666666666667/100</f>
        <v>5.6666666666666696</v>
      </c>
      <c r="E19" s="238">
        <f>B19*11.2963333333333/100</f>
        <v>11.296333333333301</v>
      </c>
      <c r="F19" s="252">
        <f>B19*4.9/100</f>
        <v>4.9000000000000004</v>
      </c>
      <c r="G19" s="252">
        <f>B19*3/100</f>
        <v>3</v>
      </c>
      <c r="H19" s="252">
        <f>B19*1.8/100</f>
        <v>1.8</v>
      </c>
      <c r="I19" s="263">
        <f>B19*1.71/100</f>
        <v>1.71</v>
      </c>
      <c r="J19" s="263">
        <f>B19*0.06/100</f>
        <v>0.06</v>
      </c>
      <c r="K19" s="243">
        <f>B19*63.2076666666667/100</f>
        <v>63.207666666666704</v>
      </c>
      <c r="L19" s="242">
        <f>B19*52.276/100</f>
        <v>52.276000000000003</v>
      </c>
      <c r="M19" s="238">
        <f>B19*1.055/100</f>
        <v>1.0549999999999999</v>
      </c>
      <c r="N19" s="238">
        <f>B19*57.1053333333333/100</f>
        <v>57.105333333333299</v>
      </c>
      <c r="O19" s="238">
        <f>B19*16.2516666666667/100</f>
        <v>16.251666666666701</v>
      </c>
      <c r="P19" s="238">
        <f>B19*0.399/100</f>
        <v>0.39900000000000008</v>
      </c>
      <c r="Q19" s="238">
        <f>B19*303.396333333333/100</f>
        <v>303.39633333333302</v>
      </c>
      <c r="R19" s="238">
        <f>B19*0.848/100</f>
        <v>0.84799999999999998</v>
      </c>
      <c r="S19" s="238">
        <f>B19*190.338666666667/100</f>
        <v>190.33866666666697</v>
      </c>
      <c r="T19" s="238">
        <f>B19*143.294/100</f>
        <v>143.29400000000001</v>
      </c>
      <c r="U19" s="238">
        <f>B19*0.089/100</f>
        <v>8.900000000000001E-2</v>
      </c>
      <c r="V19" s="238">
        <f>B19*0.675666666666667/100</f>
        <v>0.67566666666666686</v>
      </c>
      <c r="W19" s="245" t="s">
        <v>455</v>
      </c>
      <c r="X19" s="238">
        <f>B19*0.153333333333333/100</f>
        <v>0.15333333333333299</v>
      </c>
      <c r="Y19" s="238">
        <f>B19*0.0566666666666667/100</f>
        <v>5.6666666666666698E-2</v>
      </c>
      <c r="Z19" s="245" t="s">
        <v>455</v>
      </c>
      <c r="AA19" s="245" t="s">
        <v>455</v>
      </c>
      <c r="AB19" s="245" t="s">
        <v>455</v>
      </c>
    </row>
    <row r="20" spans="1:28">
      <c r="A20" s="232" t="s">
        <v>476</v>
      </c>
      <c r="B20" s="59">
        <v>100</v>
      </c>
      <c r="C20" s="238">
        <f>B20*311.387/100</f>
        <v>311.387</v>
      </c>
      <c r="D20" s="238">
        <f>B20*4.80416666666667/100</f>
        <v>4.8041666666666698</v>
      </c>
      <c r="E20" s="238">
        <f>B20*12.415/100</f>
        <v>12.414999999999999</v>
      </c>
      <c r="F20" s="252">
        <f>B20*4.5/100</f>
        <v>4.5</v>
      </c>
      <c r="G20" s="252">
        <f>B20*3.9/100</f>
        <v>3.9</v>
      </c>
      <c r="H20" s="252">
        <f>B20*1.5/100</f>
        <v>1.5</v>
      </c>
      <c r="I20" s="263">
        <f>B20*1.38/100</f>
        <v>1.38</v>
      </c>
      <c r="J20" s="263">
        <f>B20*0.08/100</f>
        <v>0.08</v>
      </c>
      <c r="K20" s="238">
        <f>B20*81.6873333333333/100</f>
        <v>81.687333333333299</v>
      </c>
      <c r="L20" s="242">
        <f>B20*45.1088333333333/100</f>
        <v>45.108833333333308</v>
      </c>
      <c r="M20" s="238">
        <f>B20*0.71/100</f>
        <v>0.71</v>
      </c>
      <c r="N20" s="238">
        <f>B20*82.5846666666667/100</f>
        <v>82.584666666666706</v>
      </c>
      <c r="O20" s="238">
        <f>B20*10.249/100</f>
        <v>10.249000000000001</v>
      </c>
      <c r="P20" s="238">
        <f>B20*0.107666666666667/100</f>
        <v>0.10766666666666699</v>
      </c>
      <c r="Q20" s="238">
        <f>B20*128.196333333333/100</f>
        <v>128.196333333333</v>
      </c>
      <c r="R20" s="238">
        <f>B20*0.65/100</f>
        <v>0.65</v>
      </c>
      <c r="S20" s="238">
        <f>B20*133.811/100</f>
        <v>133.81100000000001</v>
      </c>
      <c r="T20" s="238">
        <f>B20*118.427333333333/100</f>
        <v>118.427333333333</v>
      </c>
      <c r="U20" s="238">
        <f>B20*0.04/100</f>
        <v>0.04</v>
      </c>
      <c r="V20" s="238">
        <f>B20*0.435/100</f>
        <v>0.435</v>
      </c>
      <c r="W20" s="238">
        <f>B20*56.8866666666667/100</f>
        <v>56.886666666666699</v>
      </c>
      <c r="X20" s="238">
        <f>B20*0.11/100</f>
        <v>0.11</v>
      </c>
      <c r="Y20" s="238">
        <f>B20*0.05/100</f>
        <v>0.05</v>
      </c>
      <c r="Z20" s="245" t="s">
        <v>455</v>
      </c>
      <c r="AA20" s="245" t="s">
        <v>455</v>
      </c>
      <c r="AB20" s="245" t="s">
        <v>455</v>
      </c>
    </row>
    <row r="21" spans="1:28">
      <c r="A21" s="232" t="s">
        <v>477</v>
      </c>
      <c r="B21" s="59">
        <v>100</v>
      </c>
      <c r="C21" s="238">
        <f>B21*357.60259/100</f>
        <v>357.60259000000008</v>
      </c>
      <c r="D21" s="238">
        <f>B21*7.2/100</f>
        <v>7.2</v>
      </c>
      <c r="E21" s="238">
        <f>B21*0.971/100</f>
        <v>0.97099999999999997</v>
      </c>
      <c r="F21" s="252">
        <f>B21*0.3/100</f>
        <v>0.3</v>
      </c>
      <c r="G21" s="252">
        <f>B21*0.2/100</f>
        <v>0.2</v>
      </c>
      <c r="H21" s="252">
        <f>B21*0.4/100</f>
        <v>0.4</v>
      </c>
      <c r="I21" s="263">
        <f>B21*0.38/100</f>
        <v>0.38</v>
      </c>
      <c r="J21" s="263">
        <f>B21*0.01/100</f>
        <v>0.01</v>
      </c>
      <c r="K21" s="242" t="s">
        <v>454</v>
      </c>
      <c r="L21" s="242">
        <f>B21*78.061/100</f>
        <v>78.061000000000007</v>
      </c>
      <c r="M21" s="238">
        <f>B21*5.49933333333333/100</f>
        <v>5.499333333333329</v>
      </c>
      <c r="N21" s="238">
        <f>B21*1.96466666666667/100</f>
        <v>1.9646666666666699</v>
      </c>
      <c r="O21" s="238">
        <f>B21*12.325/100</f>
        <v>12.324999999999999</v>
      </c>
      <c r="P21" s="238">
        <f>B21*0.0863333333333333/100</f>
        <v>8.6333333333333317E-2</v>
      </c>
      <c r="Q21" s="238">
        <f>B21*48.498/100</f>
        <v>48.498000000000005</v>
      </c>
      <c r="R21" s="238">
        <f>B21*0.321666666666667/100</f>
        <v>0.32166666666666699</v>
      </c>
      <c r="S21" s="238">
        <f>B21*0.789666666666667/100</f>
        <v>0.78966666666666696</v>
      </c>
      <c r="T21" s="238">
        <f>B21*92.9473333333333/100</f>
        <v>92.947333333333304</v>
      </c>
      <c r="U21" s="238">
        <f>B21*0.045/100</f>
        <v>4.4999999999999998E-2</v>
      </c>
      <c r="V21" s="238">
        <f>B21*0.362333333333333/100</f>
        <v>0.36233333333333301</v>
      </c>
      <c r="W21" s="242" t="s">
        <v>454</v>
      </c>
      <c r="X21" s="245" t="s">
        <v>455</v>
      </c>
      <c r="Y21" s="245" t="s">
        <v>455</v>
      </c>
      <c r="Z21" s="245" t="s">
        <v>455</v>
      </c>
      <c r="AA21" s="253" t="s">
        <v>455</v>
      </c>
      <c r="AB21" s="245" t="s">
        <v>455</v>
      </c>
    </row>
    <row r="22" spans="1:28">
      <c r="A22" s="221" t="s">
        <v>3068</v>
      </c>
      <c r="B22" s="59">
        <v>100</v>
      </c>
      <c r="C22" s="247">
        <f>B22*112.456777220465/100</f>
        <v>112.45677722046499</v>
      </c>
      <c r="D22" s="247">
        <f>B22*2.36060004234314/100</f>
        <v>2.3606000423431399</v>
      </c>
      <c r="E22" s="241">
        <f>B22*1.24433333333333/100</f>
        <v>1.24433333333333</v>
      </c>
      <c r="F22" s="258">
        <f>B22*0.603666666666667/100</f>
        <v>0.60366666666666702</v>
      </c>
      <c r="G22" s="258">
        <f>B22*0.365666666666667/100</f>
        <v>0.36566666666666697</v>
      </c>
      <c r="H22" s="258">
        <f>B22*0.149666666666667/100</f>
        <v>0.149666666666667</v>
      </c>
      <c r="I22" s="263">
        <f>B22*0.149666666666667/100</f>
        <v>0.149666666666667</v>
      </c>
      <c r="J22" s="263" t="s">
        <v>455</v>
      </c>
      <c r="K22" s="241">
        <f>B22*1.35066666666667/100</f>
        <v>1.35066666666667</v>
      </c>
      <c r="L22" s="247">
        <f>B22*23.6277332909902/100</f>
        <v>23.6277332909902</v>
      </c>
      <c r="M22" s="241">
        <f>B22*1.21666666666667/100</f>
        <v>1.2166666666666699</v>
      </c>
      <c r="N22" s="241">
        <f>B22*42.5626666666667/100</f>
        <v>42.562666666666701</v>
      </c>
      <c r="O22" s="241">
        <f>B22*5.83833333333333/100</f>
        <v>5.8383333333333303</v>
      </c>
      <c r="P22" s="241">
        <f>B22*0.02/100</f>
        <v>0.02</v>
      </c>
      <c r="Q22" s="241">
        <f>B22*40.5833333333333/100</f>
        <v>40.5833333333333</v>
      </c>
      <c r="R22" s="241">
        <f>B22*0.056/100</f>
        <v>5.6000000000000008E-2</v>
      </c>
      <c r="S22" s="241">
        <f>B22*27.5866666666667/100</f>
        <v>27.586666666666702</v>
      </c>
      <c r="T22" s="241">
        <f>B22*69.809/100</f>
        <v>69.808999999999997</v>
      </c>
      <c r="U22" s="241">
        <f>B22*0.0256666666666667/100</f>
        <v>2.5666666666666699E-2</v>
      </c>
      <c r="V22" s="241">
        <f>B22*0.278/100</f>
        <v>0.27800000000000002</v>
      </c>
      <c r="W22" s="241" t="s">
        <v>455</v>
      </c>
      <c r="X22" s="241" t="s">
        <v>455</v>
      </c>
      <c r="Y22" s="241">
        <f>B22*0.04/100</f>
        <v>0.04</v>
      </c>
      <c r="Z22" s="241" t="s">
        <v>455</v>
      </c>
      <c r="AA22" s="241" t="s">
        <v>455</v>
      </c>
      <c r="AB22" s="241" t="s">
        <v>455</v>
      </c>
    </row>
    <row r="23" spans="1:28">
      <c r="A23" s="232" t="s">
        <v>478</v>
      </c>
      <c r="B23" s="59">
        <v>100</v>
      </c>
      <c r="C23" s="238">
        <f>B23*369.59975/100</f>
        <v>369.59974999999997</v>
      </c>
      <c r="D23" s="238">
        <f>B23*7.29166666666667/100</f>
        <v>7.2916666666666696</v>
      </c>
      <c r="E23" s="238">
        <f>B23*1.60333333333333/100</f>
        <v>1.6033333333333299</v>
      </c>
      <c r="F23" s="252">
        <f>B23*0.5/100</f>
        <v>0.5</v>
      </c>
      <c r="G23" s="252">
        <f>B23*0.6/100</f>
        <v>0.6</v>
      </c>
      <c r="H23" s="252">
        <f>B23*0.9/100</f>
        <v>0.9</v>
      </c>
      <c r="I23" s="263">
        <f>B23*0.89/100</f>
        <v>0.89</v>
      </c>
      <c r="J23" s="263">
        <f>B23*0.03/100</f>
        <v>0.03</v>
      </c>
      <c r="K23" s="242" t="s">
        <v>454</v>
      </c>
      <c r="L23" s="242">
        <f>B23*80.835/100</f>
        <v>80.834999999999994</v>
      </c>
      <c r="M23" s="238">
        <f>B23*5.29333333333333/100</f>
        <v>5.2933333333333303</v>
      </c>
      <c r="N23" s="238">
        <f>B23*1.81366666666667/100</f>
        <v>1.8136666666666701</v>
      </c>
      <c r="O23" s="238">
        <f>B23*20.096/100</f>
        <v>20.096</v>
      </c>
      <c r="P23" s="242" t="s">
        <v>455</v>
      </c>
      <c r="Q23" s="238">
        <f>B23*90.7703333333333/100</f>
        <v>90.770333333333298</v>
      </c>
      <c r="R23" s="238">
        <f>B23*0.524333333333333/100</f>
        <v>0.52433333333333298</v>
      </c>
      <c r="S23" s="238">
        <f>B23*271.737666666667/100</f>
        <v>271.737666666667</v>
      </c>
      <c r="T23" s="238">
        <f>B23*68.66/100</f>
        <v>68.66</v>
      </c>
      <c r="U23" s="242" t="s">
        <v>455</v>
      </c>
      <c r="V23" s="238">
        <f>B23*0.611/100</f>
        <v>0.61099999999999999</v>
      </c>
      <c r="W23" s="242" t="s">
        <v>454</v>
      </c>
      <c r="X23" s="238">
        <f>B23*0.12/100</f>
        <v>0.12</v>
      </c>
      <c r="Y23" s="245" t="s">
        <v>455</v>
      </c>
      <c r="Z23" s="238">
        <f>B23*0.06/100</f>
        <v>0.06</v>
      </c>
      <c r="AA23" s="245" t="s">
        <v>455</v>
      </c>
      <c r="AB23" s="245" t="s">
        <v>455</v>
      </c>
    </row>
    <row r="24" spans="1:28">
      <c r="A24" s="232" t="s">
        <v>479</v>
      </c>
      <c r="B24" s="59">
        <v>100</v>
      </c>
      <c r="C24" s="242">
        <f>B24*363.338316666667/100</f>
        <v>363.33831666666703</v>
      </c>
      <c r="D24" s="238">
        <f>B24*6.875/100</f>
        <v>6.875</v>
      </c>
      <c r="E24" s="238">
        <f>B24*1.18333333333333/100</f>
        <v>1.18333333333333</v>
      </c>
      <c r="F24" s="252">
        <f>B24*0.3/100</f>
        <v>0.3</v>
      </c>
      <c r="G24" s="252">
        <f>B24*0.3/100</f>
        <v>0.3</v>
      </c>
      <c r="H24" s="252">
        <f>B24*0.6/100</f>
        <v>0.6</v>
      </c>
      <c r="I24" s="263">
        <f>B24*0.6/100</f>
        <v>0.6</v>
      </c>
      <c r="J24" s="263">
        <f>B24*0.02/100</f>
        <v>0.02</v>
      </c>
      <c r="K24" s="242" t="s">
        <v>454</v>
      </c>
      <c r="L24" s="242">
        <f>B24*80.4483333333333/100</f>
        <v>80.448333333333295</v>
      </c>
      <c r="M24" s="238">
        <f>B24*1.83666666666667/100</f>
        <v>1.83666666666667</v>
      </c>
      <c r="N24" s="238">
        <f>B24*1.97466666666667/100</f>
        <v>1.9746666666666699</v>
      </c>
      <c r="O24" s="238">
        <f>B24*16.5486666666667/100</f>
        <v>16.548666666666701</v>
      </c>
      <c r="P24" s="242" t="s">
        <v>455</v>
      </c>
      <c r="Q24" s="242">
        <f>B24*58.3596666666667/100</f>
        <v>58.359666666666698</v>
      </c>
      <c r="R24" s="238">
        <f>B24*1.69333333333333/100</f>
        <v>1.69333333333333</v>
      </c>
      <c r="S24" s="238">
        <f>B24*30.9703333333333/100</f>
        <v>30.970333333333301</v>
      </c>
      <c r="T24" s="242">
        <f>B24*28.6973333333333/100</f>
        <v>28.697333333333301</v>
      </c>
      <c r="U24" s="242">
        <f>B24*0.240333333333333/100</f>
        <v>0.24033333333333298</v>
      </c>
      <c r="V24" s="242">
        <f>B24*0.325666666666667/100</f>
        <v>0.32566666666666699</v>
      </c>
      <c r="W24" s="242" t="s">
        <v>454</v>
      </c>
      <c r="X24" s="242">
        <f>B24*0.05/100</f>
        <v>0.05</v>
      </c>
      <c r="Y24" s="242" t="s">
        <v>455</v>
      </c>
      <c r="Z24" s="242">
        <f>B24*0.04/100</f>
        <v>0.04</v>
      </c>
      <c r="AA24" s="242" t="s">
        <v>455</v>
      </c>
      <c r="AB24" s="242" t="s">
        <v>455</v>
      </c>
    </row>
    <row r="25" spans="1:28">
      <c r="A25" s="232" t="s">
        <v>480</v>
      </c>
      <c r="B25" s="59">
        <v>100</v>
      </c>
      <c r="C25" s="240">
        <f>B25*394.42752173913/100</f>
        <v>394.42752173912993</v>
      </c>
      <c r="D25" s="239">
        <f>B25*6.43115942028986/100</f>
        <v>6.4311594202898599</v>
      </c>
      <c r="E25" s="240">
        <f>B25*1.09333333333333/100</f>
        <v>1.0933333333333299</v>
      </c>
      <c r="F25" s="252">
        <f>B25*0.3/100</f>
        <v>0.3</v>
      </c>
      <c r="G25" s="252">
        <f>B25*0.3/100</f>
        <v>0.3</v>
      </c>
      <c r="H25" s="252">
        <f>B25*0.5/100</f>
        <v>0.5</v>
      </c>
      <c r="I25" s="263">
        <f>B25*0.45/100</f>
        <v>0.45</v>
      </c>
      <c r="J25" s="263">
        <f>B25*0.01/100</f>
        <v>0.01</v>
      </c>
      <c r="K25" s="249" t="s">
        <v>454</v>
      </c>
      <c r="L25" s="242">
        <f>B25*87.2655072463768/100</f>
        <v>87.265507246376799</v>
      </c>
      <c r="M25" s="240">
        <f>B25*3.21333333333333/100</f>
        <v>3.2133333333333298</v>
      </c>
      <c r="N25" s="240">
        <f>B25*218.806666666667/100</f>
        <v>218.80666666666701</v>
      </c>
      <c r="O25" s="240">
        <f>B25*16.03/100</f>
        <v>16.03</v>
      </c>
      <c r="P25" s="240">
        <f>B25*0.106333333333333/100</f>
        <v>0.106333333333333</v>
      </c>
      <c r="Q25" s="240">
        <f>B25*169.163333333333/100</f>
        <v>169.16333333333299</v>
      </c>
      <c r="R25" s="240">
        <f>B25*3.03/100</f>
        <v>3.03</v>
      </c>
      <c r="S25" s="240">
        <f>B25*399.403333333333/100</f>
        <v>399.40333333333297</v>
      </c>
      <c r="T25" s="240">
        <f>B25*82.0166666666667/100</f>
        <v>82.016666666666694</v>
      </c>
      <c r="U25" s="240">
        <f>B25*0.0433333333333333/100</f>
        <v>4.3333333333333307E-2</v>
      </c>
      <c r="V25" s="240">
        <f>B25*0.363333333333333/100</f>
        <v>0.36333333333333301</v>
      </c>
      <c r="W25" s="240">
        <f>B25*21.4166666666667/100</f>
        <v>21.4166666666667</v>
      </c>
      <c r="X25" s="240">
        <f>B25*3.72333333333333/100</f>
        <v>3.7233333333333305</v>
      </c>
      <c r="Y25" s="240">
        <f>B25*0.466666666666667/100</f>
        <v>0.46666666666666701</v>
      </c>
      <c r="Z25" s="240">
        <f>B25*5.07666666666667/100</f>
        <v>5.0766666666666698</v>
      </c>
      <c r="AA25" s="240">
        <f>B25*24.1633333333333/100</f>
        <v>24.163333333333298</v>
      </c>
      <c r="AB25" s="240">
        <f>B25*109.366666666667/100</f>
        <v>109.366666666667</v>
      </c>
    </row>
    <row r="26" spans="1:28">
      <c r="A26" s="232" t="s">
        <v>3069</v>
      </c>
      <c r="B26" s="59">
        <v>100</v>
      </c>
      <c r="C26" s="238">
        <f>B26*381.133333333333/100</f>
        <v>381.13333333333298</v>
      </c>
      <c r="D26" s="238">
        <f>B26*8.89583333333333/100</f>
        <v>8.8958333333333304</v>
      </c>
      <c r="E26" s="238">
        <f>B26*2.12/100</f>
        <v>2.12</v>
      </c>
      <c r="F26" s="252">
        <f>B26*0.5/100</f>
        <v>0.5</v>
      </c>
      <c r="G26" s="252">
        <f>B26*0.4/100</f>
        <v>0.4</v>
      </c>
      <c r="H26" s="252">
        <f>B26*1/100</f>
        <v>1</v>
      </c>
      <c r="I26" s="263">
        <f>B26*0.93/100</f>
        <v>0.93</v>
      </c>
      <c r="J26" s="263">
        <f>B26*0.06/100</f>
        <v>0.06</v>
      </c>
      <c r="K26" s="242" t="s">
        <v>454</v>
      </c>
      <c r="L26" s="242">
        <f>B26*81.6175/100</f>
        <v>81.617500000000007</v>
      </c>
      <c r="M26" s="238">
        <f>B26*4.98333333333333/100</f>
        <v>4.9833333333333298</v>
      </c>
      <c r="N26" s="238">
        <f>B26*584.251333333333/100</f>
        <v>584.25133333333304</v>
      </c>
      <c r="O26" s="238">
        <f>B26*72.268/100</f>
        <v>72.268000000000001</v>
      </c>
      <c r="P26" s="238">
        <f>B26*2.284/100</f>
        <v>2.2839999999999998</v>
      </c>
      <c r="Q26" s="238">
        <f>B26*515.036/100</f>
        <v>515.03599999999994</v>
      </c>
      <c r="R26" s="238">
        <f>B26*12.6413333333333/100</f>
        <v>12.6413333333333</v>
      </c>
      <c r="S26" s="238">
        <f>B26*1163.257/100</f>
        <v>1163.2570000000001</v>
      </c>
      <c r="T26" s="238">
        <f>B26*244.361/100</f>
        <v>244.36099999999999</v>
      </c>
      <c r="U26" s="238">
        <f>B26*0.206333333333333/100</f>
        <v>0.20633333333333301</v>
      </c>
      <c r="V26" s="238">
        <f>B26*2.02233333333333/100</f>
        <v>2.02233333333333</v>
      </c>
      <c r="W26" s="242" t="s">
        <v>455</v>
      </c>
      <c r="X26" s="242">
        <f>B26*0.76/100</f>
        <v>0.76</v>
      </c>
      <c r="Y26" s="242">
        <f>B26*0.876666666666667/100</f>
        <v>0.87666666666666704</v>
      </c>
      <c r="Z26" s="242">
        <f>B26*1.48666666666667/100</f>
        <v>1.4866666666666699</v>
      </c>
      <c r="AA26" s="242">
        <f>B26*7.45666666666667/100</f>
        <v>7.4566666666666697</v>
      </c>
      <c r="AB26" s="242">
        <f>B26*13.1066666666667/100</f>
        <v>13.106666666666699</v>
      </c>
    </row>
    <row r="27" spans="1:28">
      <c r="A27" s="232" t="s">
        <v>482</v>
      </c>
      <c r="B27" s="59">
        <v>100</v>
      </c>
      <c r="C27" s="239">
        <f>B27*365.354163768116/100</f>
        <v>365.354163768116</v>
      </c>
      <c r="D27" s="239">
        <f>B27*7.15579710144928/100</f>
        <v>7.1557971014492798</v>
      </c>
      <c r="E27" s="239">
        <f>B27*0.956666666666667/100</f>
        <v>0.956666666666667</v>
      </c>
      <c r="F27" s="252">
        <f>B27*0.356666666666667/100</f>
        <v>0.35666666666666702</v>
      </c>
      <c r="G27" s="252">
        <f>B27*0.319666666666667/100</f>
        <v>0.31966666666666699</v>
      </c>
      <c r="H27" s="252">
        <f>B27*0.328666666666667/100</f>
        <v>0.32866666666666705</v>
      </c>
      <c r="I27" s="263">
        <f>B27*0.313333333333333/100</f>
        <v>0.31333333333333302</v>
      </c>
      <c r="J27" s="263" t="s">
        <v>455</v>
      </c>
      <c r="K27" s="239" t="s">
        <v>454</v>
      </c>
      <c r="L27" s="242">
        <f>B27*83.8242028985507/100</f>
        <v>83.824202898550709</v>
      </c>
      <c r="M27" s="239">
        <f>B27*4.11666666666667/100</f>
        <v>4.1166666666666698</v>
      </c>
      <c r="N27" s="239">
        <f>B27*142.923333333333/100</f>
        <v>142.92333333333301</v>
      </c>
      <c r="O27" s="239">
        <f>B27*10.9333333333333/100</f>
        <v>10.933333333333302</v>
      </c>
      <c r="P27" s="239">
        <f>B27*0.059/100</f>
        <v>5.8999999999999997E-2</v>
      </c>
      <c r="Q27" s="239">
        <f>B27*100.8/100</f>
        <v>100.8</v>
      </c>
      <c r="R27" s="239">
        <f>B27*3.05/100</f>
        <v>3.05</v>
      </c>
      <c r="S27" s="239">
        <f>B27*654.543333333333/100</f>
        <v>654.54333333333295</v>
      </c>
      <c r="T27" s="239">
        <f>B27*83.0866666666667/100</f>
        <v>83.086666666666702</v>
      </c>
      <c r="U27" s="239">
        <f>B27*0.06/100</f>
        <v>0.06</v>
      </c>
      <c r="V27" s="239">
        <f>B27*7.63/100</f>
        <v>7.63</v>
      </c>
      <c r="W27" s="239" t="s">
        <v>454</v>
      </c>
      <c r="X27" s="239">
        <f>B27*0.76/100</f>
        <v>0.76</v>
      </c>
      <c r="Y27" s="239">
        <f>B27*1.02/100</f>
        <v>1.02</v>
      </c>
      <c r="Z27" s="239">
        <f>B27*2.24666666666667/100</f>
        <v>2.2466666666666701</v>
      </c>
      <c r="AA27" s="239">
        <f>B27*11.04/100</f>
        <v>11.04</v>
      </c>
      <c r="AB27" s="239">
        <f>B27*17.2933333333333/100</f>
        <v>17.293333333333301</v>
      </c>
    </row>
    <row r="28" spans="1:28">
      <c r="A28" s="232" t="s">
        <v>483</v>
      </c>
      <c r="B28" s="59">
        <v>100</v>
      </c>
      <c r="C28" s="239">
        <f>B28*376.555253623188/100</f>
        <v>376.55525362318798</v>
      </c>
      <c r="D28" s="239">
        <f>B28*4.74275362318841/100</f>
        <v>4.7427536231884098</v>
      </c>
      <c r="E28" s="239">
        <f>B28*0.666666666666667/100</f>
        <v>0.66666666666666696</v>
      </c>
      <c r="F28" s="266">
        <f>B28*0.23/100</f>
        <v>0.23</v>
      </c>
      <c r="G28" s="266">
        <f>B28*0.286333333333333/100</f>
        <v>0.286333333333333</v>
      </c>
      <c r="H28" s="266">
        <f>B28*0.329/100</f>
        <v>0.32899999999999996</v>
      </c>
      <c r="I28" s="263">
        <f>B28*0.329/100</f>
        <v>0.32899999999999996</v>
      </c>
      <c r="J28" s="263" t="s">
        <v>455</v>
      </c>
      <c r="K28" s="239" t="s">
        <v>454</v>
      </c>
      <c r="L28" s="242">
        <f>B28*88.8405797101449/100</f>
        <v>88.840579710144908</v>
      </c>
      <c r="M28" s="239">
        <f>B28*2.10666666666667/100</f>
        <v>2.10666666666667</v>
      </c>
      <c r="N28" s="239">
        <f>B28*56.4233333333333/100</f>
        <v>56.423333333333296</v>
      </c>
      <c r="O28" s="239">
        <f>B28*7.94/100</f>
        <v>7.94</v>
      </c>
      <c r="P28" s="239">
        <f>B28*0.134333333333333/100</f>
        <v>0.134333333333333</v>
      </c>
      <c r="Q28" s="239">
        <f>B28*43.18/100</f>
        <v>43.18</v>
      </c>
      <c r="R28" s="239">
        <f>B28*3.90333333333333/100</f>
        <v>3.9033333333333302</v>
      </c>
      <c r="S28" s="239">
        <f>B28*405.313333333333/100</f>
        <v>405.31333333333299</v>
      </c>
      <c r="T28" s="239">
        <f>B28*51.5966666666667/100</f>
        <v>51.5966666666667</v>
      </c>
      <c r="U28" s="239">
        <f>B28*0.04/100</f>
        <v>0.04</v>
      </c>
      <c r="V28" s="239">
        <f>B28*8.48/100</f>
        <v>8.48</v>
      </c>
      <c r="W28" s="239" t="s">
        <v>454</v>
      </c>
      <c r="X28" s="239">
        <f>B28*0.726666666666667/100</f>
        <v>0.72666666666666702</v>
      </c>
      <c r="Y28" s="239">
        <f>B28*1.11/100</f>
        <v>1.1100000000000001</v>
      </c>
      <c r="Z28" s="239">
        <f>B28*0.786666666666667/100</f>
        <v>0.78666666666666696</v>
      </c>
      <c r="AA28" s="239">
        <f>B28*10.1333333333333/100</f>
        <v>10.133333333333301</v>
      </c>
      <c r="AB28" s="239">
        <f>B28*14.55/100</f>
        <v>14.55</v>
      </c>
    </row>
    <row r="29" spans="1:28">
      <c r="A29" s="232" t="s">
        <v>3070</v>
      </c>
      <c r="B29" s="59">
        <v>100</v>
      </c>
      <c r="C29" s="238">
        <f>B29*386.001190336398/100</f>
        <v>386.001190336398</v>
      </c>
      <c r="D29" s="238">
        <f>B29*7.02694977474213/100</f>
        <v>7.0269497747421301</v>
      </c>
      <c r="E29" s="238">
        <f>B29*1.226/100</f>
        <v>1.226</v>
      </c>
      <c r="F29" s="252">
        <f>B29*0.4/100</f>
        <v>0.4</v>
      </c>
      <c r="G29" s="252">
        <f>B29*0.3/100</f>
        <v>0.3</v>
      </c>
      <c r="H29" s="252">
        <f>B29*0.4/100</f>
        <v>0.4</v>
      </c>
      <c r="I29" s="263">
        <f>B29*0.43/100</f>
        <v>0.43</v>
      </c>
      <c r="J29" s="263">
        <f>B29*0.01/100</f>
        <v>0.01</v>
      </c>
      <c r="K29" s="242" t="s">
        <v>454</v>
      </c>
      <c r="L29" s="242">
        <f>B29*83.8693835585912/100</f>
        <v>83.869383558591196</v>
      </c>
      <c r="M29" s="238">
        <f>B29*1.07133333333333/100</f>
        <v>1.0713333333333299</v>
      </c>
      <c r="N29" s="238">
        <f>B29*7.08533333333333/100</f>
        <v>7.0853333333333293</v>
      </c>
      <c r="O29" s="238">
        <f>B29*50.5033333333333/100</f>
        <v>50.503333333333302</v>
      </c>
      <c r="P29" s="238">
        <f>B29*1.23733333333333/100</f>
        <v>1.2373333333333301</v>
      </c>
      <c r="Q29" s="238">
        <f>B29*153.02/100</f>
        <v>153.02000000000001</v>
      </c>
      <c r="R29" s="238">
        <f>B29*0.632333333333333/100</f>
        <v>0.63233333333333297</v>
      </c>
      <c r="S29" s="238">
        <f>B29*1.03033333333333/100</f>
        <v>1.03033333333333</v>
      </c>
      <c r="T29" s="238">
        <f>B29*114.680333333333/100</f>
        <v>114.680333333333</v>
      </c>
      <c r="U29" s="238">
        <f>B29*0.038/100</f>
        <v>3.7999999999999999E-2</v>
      </c>
      <c r="V29" s="238">
        <f>B29*1.86366666666667/100</f>
        <v>1.8636666666666699</v>
      </c>
      <c r="W29" s="242" t="s">
        <v>454</v>
      </c>
      <c r="X29" s="238">
        <f>B29*0.216666666666667/100</f>
        <v>0.21666666666666701</v>
      </c>
      <c r="Y29" s="245" t="s">
        <v>455</v>
      </c>
      <c r="Z29" s="238">
        <f>B29*0.0533333333333333/100</f>
        <v>5.3333333333333302E-2</v>
      </c>
      <c r="AA29" s="245" t="s">
        <v>455</v>
      </c>
      <c r="AB29" s="245" t="s">
        <v>455</v>
      </c>
    </row>
    <row r="30" spans="1:28">
      <c r="A30" s="232" t="s">
        <v>3071</v>
      </c>
      <c r="B30" s="59">
        <v>100</v>
      </c>
      <c r="C30" s="238">
        <f>B30*333.034192670544/100</f>
        <v>333.03419267054397</v>
      </c>
      <c r="D30" s="238">
        <f>B30*4.82083333333333/100</f>
        <v>4.8208333333333302</v>
      </c>
      <c r="E30" s="238">
        <f>B30*1.63933333333333/100</f>
        <v>1.63933333333333</v>
      </c>
      <c r="F30" s="252">
        <f>B30*0.3/100</f>
        <v>0.3</v>
      </c>
      <c r="G30" s="252">
        <f>B30*0.5/100</f>
        <v>0.5</v>
      </c>
      <c r="H30" s="252">
        <f>B30*0.8/100</f>
        <v>0.8</v>
      </c>
      <c r="I30" s="263">
        <f>B30*0.75/100</f>
        <v>0.75</v>
      </c>
      <c r="J30" s="263">
        <f>B30*0.02/100</f>
        <v>0.02</v>
      </c>
      <c r="K30" s="242" t="s">
        <v>454</v>
      </c>
      <c r="L30" s="242">
        <f>B30*86.1485/100</f>
        <v>86.148499999999999</v>
      </c>
      <c r="M30" s="238">
        <f>B30*3.72233333333333/100</f>
        <v>3.7223333333333302</v>
      </c>
      <c r="N30" s="243">
        <f>B30*323.163333333333/100</f>
        <v>323.16333333333301</v>
      </c>
      <c r="O30" s="243">
        <f>B30*30.0623333333333/100</f>
        <v>30.062333333333299</v>
      </c>
      <c r="P30" s="243">
        <f>B30*0.2/100</f>
        <v>0.2</v>
      </c>
      <c r="Q30" s="243">
        <f>B30*303.266666666667/100</f>
        <v>303.26666666666699</v>
      </c>
      <c r="R30" s="243">
        <f>B30*4.257/100</f>
        <v>4.2569999999999997</v>
      </c>
      <c r="S30" s="243">
        <f>B30*593.793666666667/100</f>
        <v>593.79366666666704</v>
      </c>
      <c r="T30" s="243">
        <f>B30*165.723666666667/100</f>
        <v>165.72366666666699</v>
      </c>
      <c r="U30" s="243">
        <f>B30*0.0426666666666667/100</f>
        <v>4.26666666666667E-2</v>
      </c>
      <c r="V30" s="243">
        <f>B30*0.780666666666667/100</f>
        <v>0.78066666666666695</v>
      </c>
      <c r="W30" s="242" t="s">
        <v>454</v>
      </c>
      <c r="X30" s="238">
        <f>B30*0.74/100</f>
        <v>0.74</v>
      </c>
      <c r="Y30" s="245" t="s">
        <v>455</v>
      </c>
      <c r="Z30" s="238">
        <f>B30*2.05333333333333/100</f>
        <v>2.0533333333333301</v>
      </c>
      <c r="AA30" s="245" t="s">
        <v>455</v>
      </c>
      <c r="AB30" s="242">
        <f>B30*96.34/100</f>
        <v>96.34</v>
      </c>
    </row>
    <row r="31" spans="1:28">
      <c r="A31" s="222" t="s">
        <v>3072</v>
      </c>
      <c r="B31" s="59">
        <v>100</v>
      </c>
      <c r="C31" s="247">
        <f>B31*78.4338183136558/100</f>
        <v>78.433818313655806</v>
      </c>
      <c r="D31" s="247">
        <f>B31*2.36060004234314/100</f>
        <v>2.3606000423431399</v>
      </c>
      <c r="E31" s="244">
        <f>B31*1.637/100</f>
        <v>1.6369999999999998</v>
      </c>
      <c r="F31" s="258">
        <f>B31*0.817333333333333/100</f>
        <v>0.81733333333333302</v>
      </c>
      <c r="G31" s="258">
        <f>B31*0.468/100</f>
        <v>0.46800000000000003</v>
      </c>
      <c r="H31" s="258">
        <f>B31*0.174666666666667/100</f>
        <v>0.174666666666667</v>
      </c>
      <c r="I31" s="263">
        <f>B31*0.174666666666667/100</f>
        <v>0.174666666666667</v>
      </c>
      <c r="J31" s="263" t="s">
        <v>455</v>
      </c>
      <c r="K31" s="244">
        <f>B31*4.742/100</f>
        <v>4.742</v>
      </c>
      <c r="L31" s="247">
        <f>B31*13.9443999576569/100</f>
        <v>13.944399957656902</v>
      </c>
      <c r="M31" s="244">
        <f>B31*0.456666666666667/100</f>
        <v>0.456666666666667</v>
      </c>
      <c r="N31" s="244">
        <f>B31*52.596/100</f>
        <v>52.595999999999997</v>
      </c>
      <c r="O31" s="244">
        <f>B31*15.9613333333333/100</f>
        <v>15.9613333333333</v>
      </c>
      <c r="P31" s="244">
        <f>B31*0.0556666666666667/100</f>
        <v>5.5666666666666698E-2</v>
      </c>
      <c r="Q31" s="244">
        <f>B31*74.6563333333333/100</f>
        <v>74.656333333333293</v>
      </c>
      <c r="R31" s="244">
        <f>B31*0.449333333333333/100</f>
        <v>0.44933333333333292</v>
      </c>
      <c r="S31" s="244">
        <f>B31*20.512/100</f>
        <v>20.511999999999997</v>
      </c>
      <c r="T31" s="244">
        <f>B31*161.842333333333/100</f>
        <v>161.84233333333299</v>
      </c>
      <c r="U31" s="244">
        <f>B31*0.0253333333333333/100</f>
        <v>2.5333333333333301E-2</v>
      </c>
      <c r="V31" s="244">
        <f>B31*0.4/100</f>
        <v>0.4</v>
      </c>
      <c r="W31" s="244">
        <f>B31*12.07/100</f>
        <v>12.07</v>
      </c>
      <c r="X31" s="244">
        <f>B31*0.0366666666666667/100</f>
        <v>3.6666666666666702E-2</v>
      </c>
      <c r="Y31" s="244">
        <f>B31*0.07/100</f>
        <v>7.0000000000000007E-2</v>
      </c>
      <c r="Z31" s="244" t="s">
        <v>455</v>
      </c>
      <c r="AA31" s="244" t="s">
        <v>455</v>
      </c>
      <c r="AB31" s="244" t="s">
        <v>455</v>
      </c>
    </row>
    <row r="32" spans="1:28">
      <c r="A32" s="232" t="s">
        <v>3073</v>
      </c>
      <c r="B32" s="59">
        <v>100</v>
      </c>
      <c r="C32" s="242">
        <f>B32*402.286577435315/100</f>
        <v>402.286577435315</v>
      </c>
      <c r="D32" s="238">
        <f>B32*2.22291666666667/100</f>
        <v>2.22291666666667</v>
      </c>
      <c r="E32" s="238">
        <f>B32*13.3713333333333/100</f>
        <v>13.3713333333333</v>
      </c>
      <c r="F32" s="252">
        <f>B32*3/100</f>
        <v>3</v>
      </c>
      <c r="G32" s="252">
        <f>B32*4.9/100</f>
        <v>4.9000000000000004</v>
      </c>
      <c r="H32" s="252">
        <f>B32*1.4/100</f>
        <v>1.4</v>
      </c>
      <c r="I32" s="263">
        <f>B32*1.38/100</f>
        <v>1.38</v>
      </c>
      <c r="J32" s="263">
        <f>B32*0.03/100</f>
        <v>0.03</v>
      </c>
      <c r="K32" s="242" t="s">
        <v>454</v>
      </c>
      <c r="L32" s="242">
        <f>B32*79.8164166666667/100</f>
        <v>79.816416666666697</v>
      </c>
      <c r="M32" s="238">
        <f>B32*2.52266666666667/100</f>
        <v>2.5226666666666699</v>
      </c>
      <c r="N32" s="238">
        <f>B32*30.878/100</f>
        <v>30.878</v>
      </c>
      <c r="O32" s="238">
        <f>B32*8.50066666666667/100</f>
        <v>8.5006666666666693</v>
      </c>
      <c r="P32" s="238">
        <f>B32*0.0546666666666667/100</f>
        <v>5.4666666666666697E-2</v>
      </c>
      <c r="Q32" s="238">
        <f>B32*44.619/100</f>
        <v>44.619</v>
      </c>
      <c r="R32" s="238">
        <f>B32*0.862666666666667/100</f>
        <v>0.86266666666666714</v>
      </c>
      <c r="S32" s="238">
        <f>B32*222.925666666667/100</f>
        <v>222.92566666666701</v>
      </c>
      <c r="T32" s="238">
        <f>B32*55.3353333333333/100</f>
        <v>55.335333333333303</v>
      </c>
      <c r="U32" s="238">
        <f>B32*0.0293333333333333/100</f>
        <v>2.9333333333333302E-2</v>
      </c>
      <c r="V32" s="238">
        <f>B32*0.240666666666667/100</f>
        <v>0.24066666666666697</v>
      </c>
      <c r="W32" s="242" t="s">
        <v>454</v>
      </c>
      <c r="X32" s="238">
        <f>B32*0.133333333333333/100</f>
        <v>0.133333333333333</v>
      </c>
      <c r="Y32" s="245" t="s">
        <v>455</v>
      </c>
      <c r="Z32" s="245" t="s">
        <v>455</v>
      </c>
      <c r="AA32" s="245" t="s">
        <v>455</v>
      </c>
      <c r="AB32" s="245" t="s">
        <v>455</v>
      </c>
    </row>
    <row r="33" spans="1:28">
      <c r="A33" s="232" t="s">
        <v>3074</v>
      </c>
      <c r="B33" s="59">
        <v>100</v>
      </c>
      <c r="C33" s="239">
        <f>B33*363.056480181223/100</f>
        <v>363.05648018122304</v>
      </c>
      <c r="D33" s="239">
        <f>B33*1.26933329264323/100</f>
        <v>1.2693332926432299</v>
      </c>
      <c r="E33" s="248">
        <f>B33*0.3/100</f>
        <v>0.3</v>
      </c>
      <c r="F33" s="252">
        <f>B33*0.2/100</f>
        <v>0.2</v>
      </c>
      <c r="G33" s="252">
        <f>B33*0.1/100</f>
        <v>0.1</v>
      </c>
      <c r="H33" s="252">
        <f>B33*0.2/100</f>
        <v>0.2</v>
      </c>
      <c r="I33" s="263">
        <f>B33*0.17/100</f>
        <v>0.17</v>
      </c>
      <c r="J33" s="263">
        <f>B33*0.01/100</f>
        <v>0.01</v>
      </c>
      <c r="K33" s="239" t="s">
        <v>454</v>
      </c>
      <c r="L33" s="242">
        <f>B33*85.5040000406901/100</f>
        <v>85.504000040690102</v>
      </c>
      <c r="M33" s="238">
        <f>B33*0.58/100</f>
        <v>0.57999999999999996</v>
      </c>
      <c r="N33" s="238">
        <f>B33*1.12266666666667/100</f>
        <v>1.12266666666667</v>
      </c>
      <c r="O33" s="238">
        <f>B33*4.3/100</f>
        <v>4.3</v>
      </c>
      <c r="P33" s="238">
        <f>B33*0.0423333333333333/100</f>
        <v>4.2333333333333299E-2</v>
      </c>
      <c r="Q33" s="238">
        <f>B33*35.9586666666667/100</f>
        <v>35.958666666666701</v>
      </c>
      <c r="R33" s="238">
        <f>B33*31.3833333333333/100</f>
        <v>31.383333333333304</v>
      </c>
      <c r="S33" s="238">
        <f>B33*17.1016666666667/100</f>
        <v>17.101666666666699</v>
      </c>
      <c r="T33" s="238">
        <f>B33*12.5406666666667/100</f>
        <v>12.5406666666667</v>
      </c>
      <c r="U33" s="242" t="s">
        <v>455</v>
      </c>
      <c r="V33" s="238">
        <f>B33*8.48/100</f>
        <v>8.48</v>
      </c>
      <c r="W33" s="242" t="s">
        <v>454</v>
      </c>
      <c r="X33" s="238">
        <f>B33*3.23333333333333/100</f>
        <v>3.2333333333333298</v>
      </c>
      <c r="Y33" s="242" t="s">
        <v>455</v>
      </c>
      <c r="Z33" s="238">
        <f>B33*3.46666666666667/100</f>
        <v>3.4666666666666699</v>
      </c>
      <c r="AA33" s="238">
        <f>B33*24.4233333333333/100</f>
        <v>24.4233333333333</v>
      </c>
      <c r="AB33" s="238">
        <f>B33*173.586666666667/100</f>
        <v>173.58666666666701</v>
      </c>
    </row>
    <row r="34" spans="1:28">
      <c r="A34" s="232" t="s">
        <v>578</v>
      </c>
      <c r="B34" s="59">
        <v>100</v>
      </c>
      <c r="C34" s="238">
        <f>B34*335.777662799327/100</f>
        <v>335.777662799327</v>
      </c>
      <c r="D34" s="238">
        <f>B34*12.515066502889/100</f>
        <v>12.515066502889001</v>
      </c>
      <c r="E34" s="243">
        <f>B34*1.75333333333333/100</f>
        <v>1.7533333333333301</v>
      </c>
      <c r="F34" s="252">
        <f>B34*0.3/100</f>
        <v>0.3</v>
      </c>
      <c r="G34" s="252">
        <f>B34*0.3/100</f>
        <v>0.3</v>
      </c>
      <c r="H34" s="252">
        <f>B34*0.8/100</f>
        <v>0.8</v>
      </c>
      <c r="I34" s="263">
        <f>B34*0.73/100</f>
        <v>0.73</v>
      </c>
      <c r="J34" s="263"/>
      <c r="K34" s="242" t="s">
        <v>454</v>
      </c>
      <c r="L34" s="242">
        <f>B34*73.2982668304443/100</f>
        <v>73.298266830444305</v>
      </c>
      <c r="M34" s="243">
        <f>B34*15.48/100</f>
        <v>15.48</v>
      </c>
      <c r="N34" s="242">
        <f>B34*33.9166666666667/100</f>
        <v>33.9166666666667</v>
      </c>
      <c r="O34" s="242">
        <f>B34*120.233333333333/100</f>
        <v>120.23333333333299</v>
      </c>
      <c r="P34" s="242">
        <f>B34*3.85666666666667/100</f>
        <v>3.8566666666666705</v>
      </c>
      <c r="Q34" s="242">
        <f>B34*339.986666666667/100</f>
        <v>339.98666666666702</v>
      </c>
      <c r="R34" s="242">
        <f>B34*4.73/100</f>
        <v>4.7300000000000004</v>
      </c>
      <c r="S34" s="242">
        <f>B34*41.3766666666667/100</f>
        <v>41.376666666666694</v>
      </c>
      <c r="T34" s="242">
        <f>B34*333.62/100</f>
        <v>333.62</v>
      </c>
      <c r="U34" s="242">
        <f>B34*0.563333333333333/100</f>
        <v>0.56333333333333302</v>
      </c>
      <c r="V34" s="242">
        <f>B34*2.66333333333333/100</f>
        <v>2.6633333333333296</v>
      </c>
      <c r="W34" s="242" t="s">
        <v>454</v>
      </c>
      <c r="X34" s="238">
        <f>B34*0.286666666666667/100</f>
        <v>0.28666666666666701</v>
      </c>
      <c r="Y34" s="238">
        <f>B34*0.03/100</f>
        <v>0.03</v>
      </c>
      <c r="Z34" s="243">
        <f>B34*0.08/100</f>
        <v>0.08</v>
      </c>
      <c r="AA34" s="243" t="s">
        <v>455</v>
      </c>
      <c r="AB34" s="243" t="s">
        <v>455</v>
      </c>
    </row>
    <row r="35" spans="1:28">
      <c r="A35" s="232" t="s">
        <v>579</v>
      </c>
      <c r="B35" s="59">
        <v>100</v>
      </c>
      <c r="C35" s="238">
        <f>B35*350.58693322738/100</f>
        <v>350.58693322737997</v>
      </c>
      <c r="D35" s="238">
        <f>B35*7.1875/100</f>
        <v>7.1875</v>
      </c>
      <c r="E35" s="243">
        <f>B35*1.46666666666667/100</f>
        <v>1.4666666666666699</v>
      </c>
      <c r="F35" s="252">
        <f>B35*0.4/100</f>
        <v>0.4</v>
      </c>
      <c r="G35" s="252">
        <f>B35*0.4/100</f>
        <v>0.4</v>
      </c>
      <c r="H35" s="252">
        <f>B35*0.6/100</f>
        <v>0.6</v>
      </c>
      <c r="I35" s="263">
        <f>B35*0.63/100</f>
        <v>0.63</v>
      </c>
      <c r="J35" s="263">
        <f>B35*0.02/100</f>
        <v>0.02</v>
      </c>
      <c r="K35" s="242" t="s">
        <v>454</v>
      </c>
      <c r="L35" s="242">
        <f>B35*79.0791666666667/100</f>
        <v>79.079166666666694</v>
      </c>
      <c r="M35" s="238">
        <f>B35*5.49/100</f>
        <v>5.49</v>
      </c>
      <c r="N35" s="238">
        <f>B35*1.285/100</f>
        <v>1.2849999999999999</v>
      </c>
      <c r="O35" s="238">
        <f>B35*30.955/100</f>
        <v>30.954999999999998</v>
      </c>
      <c r="P35" s="242" t="s">
        <v>455</v>
      </c>
      <c r="Q35" s="238">
        <f>B35*84.2213333333333/100</f>
        <v>84.22133333333332</v>
      </c>
      <c r="R35" s="238">
        <f>B35*2.25266666666667/100</f>
        <v>2.2526666666666699</v>
      </c>
      <c r="S35" s="238">
        <f>B35*44.9323333333333/100</f>
        <v>44.932333333333297</v>
      </c>
      <c r="T35" s="238">
        <f>B35*57.8536666666667/100</f>
        <v>57.853666666666697</v>
      </c>
      <c r="U35" s="238">
        <f>B35*0.266666666666667/100</f>
        <v>0.266666666666667</v>
      </c>
      <c r="V35" s="238">
        <f>B35*0.598333333333333/100</f>
        <v>0.59833333333333305</v>
      </c>
      <c r="W35" s="242" t="s">
        <v>454</v>
      </c>
      <c r="X35" s="238">
        <f>B35*0.253333333333333/100</f>
        <v>0.25333333333333302</v>
      </c>
      <c r="Y35" s="242" t="s">
        <v>455</v>
      </c>
      <c r="Z35" s="238">
        <f>B35*0.253333333333333/100</f>
        <v>0.25333333333333302</v>
      </c>
      <c r="AA35" s="242" t="s">
        <v>455</v>
      </c>
      <c r="AB35" s="242" t="s">
        <v>455</v>
      </c>
    </row>
    <row r="36" spans="1:28">
      <c r="A36" s="232" t="s">
        <v>486</v>
      </c>
      <c r="B36" s="59">
        <v>100</v>
      </c>
      <c r="C36" s="238">
        <f>B36*370.578096666667/100</f>
        <v>370.57809666666702</v>
      </c>
      <c r="D36" s="238">
        <f>B36*11.3809996191661/100</f>
        <v>11.380999619166101</v>
      </c>
      <c r="E36" s="238">
        <f>B36*1.46333333333333/100</f>
        <v>1.46333333333333</v>
      </c>
      <c r="F36" s="252">
        <f>B36*0.6/100</f>
        <v>0.6</v>
      </c>
      <c r="G36" s="252">
        <f>B36*0.4/100</f>
        <v>0.4</v>
      </c>
      <c r="H36" s="252">
        <f>B36*0.8/100</f>
        <v>0.8</v>
      </c>
      <c r="I36" s="263">
        <f>B36*0.74/100</f>
        <v>0.74</v>
      </c>
      <c r="J36" s="263">
        <f>B36*0.05/100</f>
        <v>0.05</v>
      </c>
      <c r="K36" s="242" t="s">
        <v>454</v>
      </c>
      <c r="L36" s="242">
        <f>B36*75.7856666666667/100</f>
        <v>75.7856666666667</v>
      </c>
      <c r="M36" s="238">
        <f>B36*4.82333333333333/100</f>
        <v>4.8233333333333297</v>
      </c>
      <c r="N36" s="238">
        <f>B36*35.2993333333333/100</f>
        <v>35.299333333333301</v>
      </c>
      <c r="O36" s="238">
        <f>B36*56.8796666666667/100</f>
        <v>56.879666666666701</v>
      </c>
      <c r="P36" s="238">
        <f>B36*1.62066666666667/100</f>
        <v>1.62066666666667</v>
      </c>
      <c r="Q36" s="238">
        <f>B36*194.958333333333/100</f>
        <v>194.958333333333</v>
      </c>
      <c r="R36" s="238">
        <f>B36*6.73366666666667/100</f>
        <v>6.7336666666666698</v>
      </c>
      <c r="S36" s="243">
        <f>B36*332.5/100</f>
        <v>332.5</v>
      </c>
      <c r="T36" s="238">
        <f>B36*212.144/100</f>
        <v>212.14400000000001</v>
      </c>
      <c r="U36" s="238">
        <f>B36*0.263/100</f>
        <v>0.26300000000000001</v>
      </c>
      <c r="V36" s="238">
        <f>B36*1.67133333333333/100</f>
        <v>1.6713333333333302</v>
      </c>
      <c r="W36" s="242" t="s">
        <v>454</v>
      </c>
      <c r="X36" s="243">
        <f>B36*0.253333333333333/100</f>
        <v>0.25333333333333302</v>
      </c>
      <c r="Y36" s="243" t="s">
        <v>455</v>
      </c>
      <c r="Z36" s="243">
        <f>B36*0.09/100</f>
        <v>0.09</v>
      </c>
      <c r="AA36" s="243" t="s">
        <v>455</v>
      </c>
      <c r="AB36" s="243" t="s">
        <v>455</v>
      </c>
    </row>
    <row r="37" spans="1:28">
      <c r="A37" s="232" t="s">
        <v>487</v>
      </c>
      <c r="B37" s="59">
        <v>100</v>
      </c>
      <c r="C37" s="239">
        <f>B37*360.472978550725/100</f>
        <v>360.47297855072497</v>
      </c>
      <c r="D37" s="239">
        <f>B37*9.79078260869565/100</f>
        <v>9.7907826086956504</v>
      </c>
      <c r="E37" s="239">
        <f>B37*1.36666666666667/100</f>
        <v>1.36666666666667</v>
      </c>
      <c r="F37" s="252">
        <f>B37*0.31/100</f>
        <v>0.31</v>
      </c>
      <c r="G37" s="252">
        <f>B37*0.155/100</f>
        <v>0.155</v>
      </c>
      <c r="H37" s="252">
        <f>B37*0.445/100</f>
        <v>0.44500000000000001</v>
      </c>
      <c r="I37" s="263">
        <f>B37*0.431/100</f>
        <v>0.43099999999999999</v>
      </c>
      <c r="J37" s="263">
        <f>B37*0.01/100</f>
        <v>0.01</v>
      </c>
      <c r="K37" s="239" t="s">
        <v>454</v>
      </c>
      <c r="L37" s="242">
        <f>B37*75.0925507246377/100</f>
        <v>75.092550724637704</v>
      </c>
      <c r="M37" s="239">
        <f>B37*2.34666666666667/100</f>
        <v>2.3466666666666698</v>
      </c>
      <c r="N37" s="239">
        <f>B37*17.8633333333333/100</f>
        <v>17.863333333333301</v>
      </c>
      <c r="O37" s="239">
        <f>B37*31.0033333333333/100</f>
        <v>31.003333333333298</v>
      </c>
      <c r="P37" s="239">
        <f>B37*0.460333333333333/100</f>
        <v>0.46033333333333298</v>
      </c>
      <c r="Q37" s="239">
        <f>B37*114.74/100</f>
        <v>114.74</v>
      </c>
      <c r="R37" s="239">
        <f>B37*0.95/100</f>
        <v>0.95</v>
      </c>
      <c r="S37" s="239">
        <f>B37*0.736666666666667/100</f>
        <v>0.73666666666666702</v>
      </c>
      <c r="T37" s="239">
        <f>B37*151.366666666667/100</f>
        <v>151.36666666666699</v>
      </c>
      <c r="U37" s="239">
        <f>B37*0.15/100</f>
        <v>0.15</v>
      </c>
      <c r="V37" s="239">
        <f>B37*0.826666666666667/100</f>
        <v>0.82666666666666699</v>
      </c>
      <c r="W37" s="239" t="s">
        <v>454</v>
      </c>
      <c r="X37" s="239">
        <f>B37*0.313333333333333/100</f>
        <v>0.31333333333333302</v>
      </c>
      <c r="Y37" s="239" t="s">
        <v>455</v>
      </c>
      <c r="Z37" s="239" t="s">
        <v>455</v>
      </c>
      <c r="AA37" s="239">
        <f>B37*0.89/100</f>
        <v>0.89</v>
      </c>
      <c r="AB37" s="239" t="s">
        <v>455</v>
      </c>
    </row>
    <row r="38" spans="1:28">
      <c r="A38" s="232" t="s">
        <v>488</v>
      </c>
      <c r="B38" s="59">
        <v>100</v>
      </c>
      <c r="C38" s="240">
        <f>B38*414.850517391304/100</f>
        <v>414.85051739130392</v>
      </c>
      <c r="D38" s="239">
        <f>B38*11.8791304347826/100</f>
        <v>11.879130434782599</v>
      </c>
      <c r="E38" s="240">
        <f>B38*5.79/100</f>
        <v>5.79</v>
      </c>
      <c r="F38" s="252">
        <f>B38*3.3/100</f>
        <v>3.3</v>
      </c>
      <c r="G38" s="252">
        <f>B38*1.4/100</f>
        <v>1.4</v>
      </c>
      <c r="H38" s="252">
        <f>B38*0.6/100</f>
        <v>0.6</v>
      </c>
      <c r="I38" s="263">
        <f>B38*0.59/100</f>
        <v>0.59</v>
      </c>
      <c r="J38" s="263">
        <f>B38*0.03/100</f>
        <v>0.03</v>
      </c>
      <c r="K38" s="240">
        <f>B38*11.2718/100</f>
        <v>11.271800000000001</v>
      </c>
      <c r="L38" s="242">
        <f>B38*77.7708695652174/100</f>
        <v>77.770869565217396</v>
      </c>
      <c r="M38" s="240">
        <f>B38*1.94/100</f>
        <v>1.94</v>
      </c>
      <c r="N38" s="240">
        <f>B38*196.063333333333/100</f>
        <v>196.06333333333299</v>
      </c>
      <c r="O38" s="240">
        <f>B38*57.6866666666667/100</f>
        <v>57.686666666666703</v>
      </c>
      <c r="P38" s="240">
        <f>B38*1.489/100</f>
        <v>1.4890000000000001</v>
      </c>
      <c r="Q38" s="240">
        <f>B38*296.443333333333/100</f>
        <v>296.44333333333299</v>
      </c>
      <c r="R38" s="240">
        <f>B38*8.72333333333333/100</f>
        <v>8.7233333333333292</v>
      </c>
      <c r="S38" s="240">
        <f>B38*125.073333333333/100</f>
        <v>125.073333333333</v>
      </c>
      <c r="T38" s="240">
        <f>B38*365.603333333333/100</f>
        <v>365.60333333333301</v>
      </c>
      <c r="U38" s="240">
        <f>B38*0.193333333333333/100</f>
        <v>0.193333333333333</v>
      </c>
      <c r="V38" s="240">
        <f>B38*1.72666666666667/100</f>
        <v>1.7266666666666699</v>
      </c>
      <c r="W38" s="240">
        <f>B38*492.246666666667/100</f>
        <v>492.24666666666701</v>
      </c>
      <c r="X38" s="240">
        <f>B38*1.43/100</f>
        <v>1.43</v>
      </c>
      <c r="Y38" s="240">
        <f>B38*1.13333333333333/100</f>
        <v>1.13333333333333</v>
      </c>
      <c r="Z38" s="240">
        <f>B38*1.13666666666667/100</f>
        <v>1.13666666666667</v>
      </c>
      <c r="AA38" s="240">
        <f>B38*9.5/100</f>
        <v>9.5</v>
      </c>
      <c r="AB38" s="240">
        <f>B38*24.31/100</f>
        <v>24.31</v>
      </c>
    </row>
    <row r="39" spans="1:28">
      <c r="A39" s="232" t="s">
        <v>489</v>
      </c>
      <c r="B39" s="59">
        <v>100</v>
      </c>
      <c r="C39" s="238">
        <f>B39*163.763666666667/100</f>
        <v>163.76366666666701</v>
      </c>
      <c r="D39" s="238">
        <f>B39*5.8125/100</f>
        <v>5.8125</v>
      </c>
      <c r="E39" s="238">
        <f>B39*1.15833333333333/100</f>
        <v>1.1583333333333301</v>
      </c>
      <c r="F39" s="252">
        <f>B39*0.6/100</f>
        <v>0.6</v>
      </c>
      <c r="G39" s="252">
        <f>B39*0.4/100</f>
        <v>0.4</v>
      </c>
      <c r="H39" s="252">
        <f>B39*0.1/100</f>
        <v>0.1</v>
      </c>
      <c r="I39" s="263">
        <f>B39*0.1/100</f>
        <v>0.1</v>
      </c>
      <c r="J39" s="263"/>
      <c r="K39" s="242" t="s">
        <v>454</v>
      </c>
      <c r="L39" s="242">
        <f>B39*32.5221666666667/100</f>
        <v>32.522166666666699</v>
      </c>
      <c r="M39" s="238">
        <f>B39*1.63633333333333/100</f>
        <v>1.6363333333333301</v>
      </c>
      <c r="N39" s="238">
        <f>B39*9.97166666666667/100</f>
        <v>9.9716666666666693</v>
      </c>
      <c r="O39" s="238">
        <f>B39*3.539/100</f>
        <v>3.5390000000000001</v>
      </c>
      <c r="P39" s="242">
        <f>B39*0.195/100</f>
        <v>0.19500000000000001</v>
      </c>
      <c r="Q39" s="238">
        <f>B39*42.384/100</f>
        <v>42.383999999999993</v>
      </c>
      <c r="R39" s="238">
        <f>B39*1.18866666666667/100</f>
        <v>1.1886666666666701</v>
      </c>
      <c r="S39" s="238">
        <f>B39*206.769333333333/100</f>
        <v>206.76933333333301</v>
      </c>
      <c r="T39" s="238">
        <f>B39*53.9146666666667/100</f>
        <v>53.914666666666697</v>
      </c>
      <c r="U39" s="238">
        <f>B39*0.0706666666666667/100</f>
        <v>7.0666666666666697E-2</v>
      </c>
      <c r="V39" s="238">
        <f>B39*0.405/100</f>
        <v>0.40500000000000003</v>
      </c>
      <c r="W39" s="242" t="s">
        <v>454</v>
      </c>
      <c r="X39" s="238">
        <f>B39*0.04/100</f>
        <v>0.04</v>
      </c>
      <c r="Y39" s="245" t="s">
        <v>455</v>
      </c>
      <c r="Z39" s="245" t="s">
        <v>455</v>
      </c>
      <c r="AA39" s="238">
        <f>B39*3.96/100</f>
        <v>3.96</v>
      </c>
      <c r="AB39" s="242" t="s">
        <v>3254</v>
      </c>
    </row>
    <row r="40" spans="1:28">
      <c r="A40" s="232" t="s">
        <v>598</v>
      </c>
      <c r="B40" s="59">
        <v>100</v>
      </c>
      <c r="C40" s="238">
        <f>B40*220.305666666667/100</f>
        <v>220.30566666666701</v>
      </c>
      <c r="D40" s="238">
        <f>B40*7.00833333333333/100</f>
        <v>7.0083333333333302</v>
      </c>
      <c r="E40" s="238">
        <f>B40*1.33766666666667/100</f>
        <v>1.3376666666666699</v>
      </c>
      <c r="F40" s="252">
        <f>B40*0.5/100</f>
        <v>0.5</v>
      </c>
      <c r="G40" s="252">
        <f>B40*0.4/100</f>
        <v>0.4</v>
      </c>
      <c r="H40" s="252">
        <f>B40*0.4/100</f>
        <v>0.4</v>
      </c>
      <c r="I40" s="263">
        <f>B40*0.38/100</f>
        <v>0.38</v>
      </c>
      <c r="J40" s="263">
        <f>B40*0.01/100</f>
        <v>0.01</v>
      </c>
      <c r="K40" s="242" t="s">
        <v>454</v>
      </c>
      <c r="L40" s="242">
        <f>B40*45.0583333333333/100</f>
        <v>45.058333333333302</v>
      </c>
      <c r="M40" s="238">
        <f>B40*1.60633333333333/100</f>
        <v>1.6063333333333301</v>
      </c>
      <c r="N40" s="238">
        <f>B40*16.5456666666667/100</f>
        <v>16.545666666666701</v>
      </c>
      <c r="O40" s="238">
        <f>B40*12.5916666666667/100</f>
        <v>12.591666666666702</v>
      </c>
      <c r="P40" s="238">
        <f>B40*0.344666666666667/100</f>
        <v>0.34466666666666707</v>
      </c>
      <c r="Q40" s="238">
        <f>B40*81.9613333333333/100</f>
        <v>81.9613333333333</v>
      </c>
      <c r="R40" s="238">
        <f>B40*1.87233333333333/100</f>
        <v>1.8723333333333301</v>
      </c>
      <c r="S40" s="238">
        <f>B40*666.710333333333/100</f>
        <v>666.71033333333298</v>
      </c>
      <c r="T40" s="238">
        <f>B40*136.607/100</f>
        <v>136.607</v>
      </c>
      <c r="U40" s="238">
        <f>B40*0.0976666666666667/100</f>
        <v>9.7666666666666693E-2</v>
      </c>
      <c r="V40" s="238">
        <f>B40*0.755666666666667/100</f>
        <v>0.75566666666666704</v>
      </c>
      <c r="W40" s="242" t="s">
        <v>454</v>
      </c>
      <c r="X40" s="238">
        <f>B40*0.08/100</f>
        <v>0.08</v>
      </c>
      <c r="Y40" s="245" t="s">
        <v>455</v>
      </c>
      <c r="Z40" s="245" t="s">
        <v>455</v>
      </c>
      <c r="AA40" s="245" t="s">
        <v>455</v>
      </c>
      <c r="AB40" s="242" t="s">
        <v>3254</v>
      </c>
    </row>
    <row r="41" spans="1:28">
      <c r="A41" s="232" t="s">
        <v>490</v>
      </c>
      <c r="B41" s="59">
        <v>100</v>
      </c>
      <c r="C41" s="239">
        <f>B41*435.864780533333/100</f>
        <v>435.86478053333298</v>
      </c>
      <c r="D41" s="239">
        <f>B41*8.79168/100</f>
        <v>8.7916799999999995</v>
      </c>
      <c r="E41" s="239">
        <f>B41*17.2366666666667/100</f>
        <v>17.2366666666667</v>
      </c>
      <c r="F41" s="252"/>
      <c r="G41" s="252"/>
      <c r="H41" s="252"/>
      <c r="I41" s="263"/>
      <c r="J41" s="263"/>
      <c r="K41" s="239" t="s">
        <v>454</v>
      </c>
      <c r="L41" s="242">
        <f>B41*62.4316533333333/100</f>
        <v>62.431653333333294</v>
      </c>
      <c r="M41" s="239">
        <f>B41*5.61/100</f>
        <v>5.61</v>
      </c>
      <c r="N41" s="239">
        <f>B41*17.6266666666667/100</f>
        <v>17.626666666666701</v>
      </c>
      <c r="O41" s="239">
        <f>B41*19.3666666666667/100</f>
        <v>19.366666666666699</v>
      </c>
      <c r="P41" s="239">
        <f>B41*0.253/100</f>
        <v>0.253</v>
      </c>
      <c r="Q41" s="239">
        <f>B41*112.15/100</f>
        <v>112.15</v>
      </c>
      <c r="R41" s="239">
        <f>B41*0.8/100</f>
        <v>0.8</v>
      </c>
      <c r="S41" s="239">
        <f>B41*1515.52666666667/100</f>
        <v>1515.5266666666701</v>
      </c>
      <c r="T41" s="239">
        <f>B41*147.92/100</f>
        <v>147.91999999999999</v>
      </c>
      <c r="U41" s="239">
        <f>B41*0.103333333333333/100</f>
        <v>0.103333333333333</v>
      </c>
      <c r="V41" s="239">
        <f>B41*0.503333333333333/100</f>
        <v>0.50333333333333297</v>
      </c>
      <c r="W41" s="239" t="s">
        <v>454</v>
      </c>
      <c r="X41" s="239">
        <f>B41*1.18/100</f>
        <v>1.18</v>
      </c>
      <c r="Y41" s="239">
        <f>B41*0.04/100</f>
        <v>0.04</v>
      </c>
      <c r="Z41" s="239">
        <f>B41*0.533333333333333/100</f>
        <v>0.53333333333333299</v>
      </c>
      <c r="AA41" s="239">
        <f>B41*9.36666666666667/100</f>
        <v>9.3666666666666707</v>
      </c>
      <c r="AB41" s="239" t="s">
        <v>455</v>
      </c>
    </row>
    <row r="42" spans="1:28">
      <c r="A42" s="232" t="s">
        <v>491</v>
      </c>
      <c r="B42" s="59">
        <v>100</v>
      </c>
      <c r="C42" s="239">
        <f>B42*371.122613043478/100</f>
        <v>371.122613043478</v>
      </c>
      <c r="D42" s="239">
        <f>B42*9.99565217391304/100</f>
        <v>9.9956521739130402</v>
      </c>
      <c r="E42" s="239">
        <f>B42*1.30333333333333/100</f>
        <v>1.3033333333333301</v>
      </c>
      <c r="F42" s="252"/>
      <c r="G42" s="252"/>
      <c r="H42" s="252"/>
      <c r="I42" s="263"/>
      <c r="J42" s="263"/>
      <c r="K42" s="239" t="s">
        <v>454</v>
      </c>
      <c r="L42" s="242">
        <f>B42*77.944347826087/100</f>
        <v>77.944347826086997</v>
      </c>
      <c r="M42" s="239">
        <f>B42*2.92666666666667/100</f>
        <v>2.9266666666666699</v>
      </c>
      <c r="N42" s="239">
        <f>B42*17.3/100</f>
        <v>17.3</v>
      </c>
      <c r="O42" s="239">
        <f>B42*27.69/100</f>
        <v>27.69</v>
      </c>
      <c r="P42" s="240">
        <f>B42*0.528333333333333/100</f>
        <v>0.52833333333333299</v>
      </c>
      <c r="Q42" s="239">
        <f>B42*99.81/100</f>
        <v>99.81</v>
      </c>
      <c r="R42" s="239">
        <f>B42*0.88/100</f>
        <v>0.88</v>
      </c>
      <c r="S42" s="239">
        <f>B42*7.17/100</f>
        <v>7.17</v>
      </c>
      <c r="T42" s="239">
        <f>B42*147.06/100</f>
        <v>147.06</v>
      </c>
      <c r="U42" s="239">
        <f>B42*0.15/100</f>
        <v>0.15</v>
      </c>
      <c r="V42" s="239">
        <f>B42*0.776666666666667/100</f>
        <v>0.77666666666666695</v>
      </c>
      <c r="W42" s="239" t="s">
        <v>454</v>
      </c>
      <c r="X42" s="239">
        <f>B42*0.176666666666667/100</f>
        <v>0.176666666666667</v>
      </c>
      <c r="Y42" s="239">
        <f>B42*0.02/100</f>
        <v>0.02</v>
      </c>
      <c r="Z42" s="239" t="s">
        <v>455</v>
      </c>
      <c r="AA42" s="239">
        <f>B42*3.56666666666667/100</f>
        <v>3.5666666666666695</v>
      </c>
      <c r="AB42" s="239" t="s">
        <v>455</v>
      </c>
    </row>
    <row r="43" spans="1:28">
      <c r="A43" s="232" t="s">
        <v>492</v>
      </c>
      <c r="B43" s="59">
        <v>100</v>
      </c>
      <c r="C43" s="239">
        <f>B43*370.567113333333/100</f>
        <v>370.56711333333294</v>
      </c>
      <c r="D43" s="239">
        <f>B43*10.3208/100</f>
        <v>10.320799999999998</v>
      </c>
      <c r="E43" s="239">
        <f>B43*1.97/100</f>
        <v>1.97</v>
      </c>
      <c r="F43" s="266">
        <f>B43*0.535333333333333/100</f>
        <v>0.53533333333333299</v>
      </c>
      <c r="G43" s="266">
        <f>B43*0.377666666666667/100</f>
        <v>0.37766666666666704</v>
      </c>
      <c r="H43" s="266">
        <f>B43*0.756666666666667/100</f>
        <v>0.75666666666666704</v>
      </c>
      <c r="I43" s="263">
        <f>B43*0.730333333333333/100</f>
        <v>0.73033333333333283</v>
      </c>
      <c r="J43" s="263">
        <f>B43*0.0263333333333333/100</f>
        <v>2.6333333333333299E-2</v>
      </c>
      <c r="K43" s="239">
        <f>B43*17.568/100</f>
        <v>17.568000000000001</v>
      </c>
      <c r="L43" s="242">
        <f>B43*76.6225333333334/100</f>
        <v>76.622533333333394</v>
      </c>
      <c r="M43" s="239">
        <f>B43*2.29666666666667/100</f>
        <v>2.29666666666667</v>
      </c>
      <c r="N43" s="239">
        <f>B43*19.4533333333333/100</f>
        <v>19.453333333333301</v>
      </c>
      <c r="O43" s="239" t="s">
        <v>455</v>
      </c>
      <c r="P43" s="240">
        <f>B43*0.397/100</f>
        <v>0.39700000000000002</v>
      </c>
      <c r="Q43" s="239">
        <f>B43*118.476666666667/100</f>
        <v>118.476666666667</v>
      </c>
      <c r="R43" s="239">
        <f>B43*0.916666666666667/100</f>
        <v>0.91666666666666696</v>
      </c>
      <c r="S43" s="239">
        <f>B43*14.74/100</f>
        <v>14.74</v>
      </c>
      <c r="T43" s="239">
        <f>B43*134.096666666667/100</f>
        <v>134.09666666666701</v>
      </c>
      <c r="U43" s="239">
        <f>B43*0.136666666666667/100</f>
        <v>0.13666666666666699</v>
      </c>
      <c r="V43" s="239">
        <f>B43*0.813333333333333/100</f>
        <v>0.81333333333333302</v>
      </c>
      <c r="W43" s="239" t="s">
        <v>455</v>
      </c>
      <c r="X43" s="239">
        <f>B43*0.106666666666667/100</f>
        <v>0.10666666666666699</v>
      </c>
      <c r="Y43" s="239">
        <f>B43*0.05/100</f>
        <v>0.05</v>
      </c>
      <c r="Z43" s="239">
        <f>B43*0.03/100</f>
        <v>0.03</v>
      </c>
      <c r="AA43" s="239">
        <f>B43*4.37/100</f>
        <v>4.37</v>
      </c>
      <c r="AB43" s="239" t="s">
        <v>455</v>
      </c>
    </row>
    <row r="44" spans="1:28">
      <c r="A44" s="232" t="s">
        <v>493</v>
      </c>
      <c r="B44" s="59">
        <v>100</v>
      </c>
      <c r="C44" s="239">
        <f>B44*361.366823878261/100</f>
        <v>361.36682387826096</v>
      </c>
      <c r="D44" s="239">
        <f>B44*0.597826086956522/100</f>
        <v>0.59782608695652195</v>
      </c>
      <c r="E44" s="239" t="s">
        <v>455</v>
      </c>
      <c r="F44" s="266"/>
      <c r="G44" s="266"/>
      <c r="H44" s="266"/>
      <c r="I44" s="263"/>
      <c r="J44" s="263"/>
      <c r="K44" s="239" t="s">
        <v>454</v>
      </c>
      <c r="L44" s="242">
        <f>B44*87.1488439130435/100</f>
        <v>87.148843913043507</v>
      </c>
      <c r="M44" s="239">
        <f>B44*0.7433333/100</f>
        <v>0.74333330000000009</v>
      </c>
      <c r="N44" s="239">
        <f>B44*1.05766666666667/100</f>
        <v>1.0576666666666701</v>
      </c>
      <c r="O44" s="239">
        <f>B44*3.02766666666667/100</f>
        <v>3.0276666666666698</v>
      </c>
      <c r="P44" s="239">
        <f>B44*0.0183333333333333/100</f>
        <v>1.8333333333333299E-2</v>
      </c>
      <c r="Q44" s="239">
        <f>B44*12.603/100</f>
        <v>12.603</v>
      </c>
      <c r="R44" s="239">
        <f>B44*0.127666666666667/100</f>
        <v>0.12766666666666701</v>
      </c>
      <c r="S44" s="239">
        <f>B44*8.083/100</f>
        <v>8.0830000000000002</v>
      </c>
      <c r="T44" s="239">
        <f>B44*8.535/100</f>
        <v>8.5350000000000001</v>
      </c>
      <c r="U44" s="239">
        <f>B44*0.0153333333333333/100</f>
        <v>1.53333333333333E-2</v>
      </c>
      <c r="V44" s="239">
        <f>B44*0.0796666666666667/100</f>
        <v>7.9666666666666705E-2</v>
      </c>
      <c r="W44" s="239" t="s">
        <v>454</v>
      </c>
      <c r="X44" s="239" t="s">
        <v>455</v>
      </c>
      <c r="Y44" s="239" t="s">
        <v>455</v>
      </c>
      <c r="Z44" s="239" t="s">
        <v>455</v>
      </c>
      <c r="AA44" s="239" t="s">
        <v>455</v>
      </c>
      <c r="AB44" s="239" t="s">
        <v>455</v>
      </c>
    </row>
    <row r="45" spans="1:28">
      <c r="A45" s="232" t="s">
        <v>3075</v>
      </c>
      <c r="B45" s="59">
        <v>100</v>
      </c>
      <c r="C45" s="239">
        <f>B45*353.482268115942/100</f>
        <v>353.48226811594196</v>
      </c>
      <c r="D45" s="239">
        <f>B45*7.21376811594203/100</f>
        <v>7.2137681159420302</v>
      </c>
      <c r="E45" s="239">
        <f>B45*1.90333333333333/100</f>
        <v>1.90333333333333</v>
      </c>
      <c r="F45" s="252">
        <f>B45*0.430333333333333/100</f>
        <v>0.43033333333333301</v>
      </c>
      <c r="G45" s="252">
        <f>B45*0.892/100</f>
        <v>0.89200000000000002</v>
      </c>
      <c r="H45" s="252">
        <f>B45*1.317/100</f>
        <v>1.3169999999999999</v>
      </c>
      <c r="I45" s="263">
        <f>B45*1.28933333333333/100</f>
        <v>1.2893333333333299</v>
      </c>
      <c r="J45" s="263">
        <f>B45*0.03/100</f>
        <v>0.03</v>
      </c>
      <c r="K45" s="239" t="s">
        <v>454</v>
      </c>
      <c r="L45" s="242">
        <f>B45*78.8728985507246/100</f>
        <v>78.872898550724599</v>
      </c>
      <c r="M45" s="239">
        <f>B45*4.71333333333333/100</f>
        <v>4.7133333333333303</v>
      </c>
      <c r="N45" s="239">
        <f>B45*2.66666666666667/100</f>
        <v>2.6666666666666701</v>
      </c>
      <c r="O45" s="239">
        <f>B45*41.23/100</f>
        <v>41.23</v>
      </c>
      <c r="P45" s="239">
        <f>B45*0.338666666666667/100</f>
        <v>0.338666666666667</v>
      </c>
      <c r="Q45" s="239">
        <f>B45*107.836666666667/100</f>
        <v>107.836666666667</v>
      </c>
      <c r="R45" s="239">
        <f>B45*0.85/100</f>
        <v>0.85</v>
      </c>
      <c r="S45" s="239" t="s">
        <v>455</v>
      </c>
      <c r="T45" s="239">
        <f>B45*168.333333333333/100</f>
        <v>168.333333333333</v>
      </c>
      <c r="U45" s="239">
        <f>B45*0.08/100</f>
        <v>0.08</v>
      </c>
      <c r="V45" s="239">
        <f>B45*1.09333333333333/100</f>
        <v>1.0933333333333299</v>
      </c>
      <c r="W45" s="239" t="s">
        <v>454</v>
      </c>
      <c r="X45" s="239">
        <f>B45*0.253333333333333/100</f>
        <v>0.25333333333333302</v>
      </c>
      <c r="Y45" s="250" t="s">
        <v>455</v>
      </c>
      <c r="Z45" s="250" t="s">
        <v>455</v>
      </c>
      <c r="AA45" s="239">
        <f>B45*0.746666666666667/100</f>
        <v>0.74666666666666703</v>
      </c>
      <c r="AB45" s="239" t="s">
        <v>455</v>
      </c>
    </row>
    <row r="46" spans="1:28">
      <c r="A46" s="232" t="s">
        <v>3076</v>
      </c>
      <c r="B46" s="59">
        <v>100</v>
      </c>
      <c r="C46" s="239">
        <f>B46*138.166565/100</f>
        <v>138.16656499999999</v>
      </c>
      <c r="D46" s="239">
        <f>B46*6.58958333333333/100</f>
        <v>6.58958333333333</v>
      </c>
      <c r="E46" s="239">
        <f>B46*0.609/100</f>
        <v>0.60899999999999999</v>
      </c>
      <c r="F46" s="252">
        <f>B46*0.2/100</f>
        <v>0.2</v>
      </c>
      <c r="G46" s="252">
        <f>B46*0.2/100</f>
        <v>0.2</v>
      </c>
      <c r="H46" s="252">
        <f>B46*0.6/100</f>
        <v>0.6</v>
      </c>
      <c r="I46" s="263">
        <f>B46*0.53/100</f>
        <v>0.53</v>
      </c>
      <c r="J46" s="263">
        <f>B46*0.02/100</f>
        <v>0.02</v>
      </c>
      <c r="K46" s="239" t="s">
        <v>454</v>
      </c>
      <c r="L46" s="242">
        <f>B46*28.55575/100</f>
        <v>28.55575</v>
      </c>
      <c r="M46" s="239">
        <f>B46*3.918/100</f>
        <v>3.9180000000000001</v>
      </c>
      <c r="N46" s="238">
        <f>B46*1.61233333333333/100</f>
        <v>1.6123333333333301</v>
      </c>
      <c r="O46" s="238">
        <f>B46*32.575/100</f>
        <v>32.575000000000003</v>
      </c>
      <c r="P46" s="238">
        <f>B46*0.118/100</f>
        <v>0.11799999999999999</v>
      </c>
      <c r="Q46" s="238">
        <f>B46*112.705/100</f>
        <v>112.705</v>
      </c>
      <c r="R46" s="238">
        <f>B46*0.411/100</f>
        <v>0.41099999999999992</v>
      </c>
      <c r="S46" s="238">
        <f>B46*1.11566666666667/100</f>
        <v>1.1156666666666699</v>
      </c>
      <c r="T46" s="238">
        <f>B46*184.822333333333/100</f>
        <v>184.82233333333301</v>
      </c>
      <c r="U46" s="238">
        <f>B46*0.0503333333333333/100</f>
        <v>5.0333333333333299E-2</v>
      </c>
      <c r="V46" s="238">
        <f>B46*0.517666666666667/100</f>
        <v>0.51766666666666705</v>
      </c>
      <c r="W46" s="242" t="s">
        <v>454</v>
      </c>
      <c r="X46" s="238">
        <f>B46*0.3/100</f>
        <v>0.3</v>
      </c>
      <c r="Y46" s="242" t="s">
        <v>455</v>
      </c>
      <c r="Z46" s="238">
        <f>B46*0.04/100</f>
        <v>0.04</v>
      </c>
      <c r="AA46" s="242" t="s">
        <v>455</v>
      </c>
      <c r="AB46" s="242" t="s">
        <v>455</v>
      </c>
    </row>
    <row r="47" spans="1:28">
      <c r="A47" s="232" t="s">
        <v>496</v>
      </c>
      <c r="B47" s="59">
        <v>100</v>
      </c>
      <c r="C47" s="240">
        <f>B47*97.5648942028985/100</f>
        <v>97.5648942028985</v>
      </c>
      <c r="D47" s="239">
        <f>B47*3.22826086956522/100</f>
        <v>3.22826086956522</v>
      </c>
      <c r="E47" s="240">
        <f>B47*2.35333333333333/100</f>
        <v>2.3533333333333299</v>
      </c>
      <c r="F47" s="252">
        <f>B47*0.6/100</f>
        <v>0.6</v>
      </c>
      <c r="G47" s="252">
        <f>B47*0.8/100</f>
        <v>0.8</v>
      </c>
      <c r="H47" s="252">
        <f>B47*0.9/100</f>
        <v>0.9</v>
      </c>
      <c r="I47" s="263">
        <f>B47*0.88/100</f>
        <v>0.88</v>
      </c>
      <c r="J47" s="263">
        <f>B47*0.03/100</f>
        <v>0.03</v>
      </c>
      <c r="K47" s="240" t="s">
        <v>454</v>
      </c>
      <c r="L47" s="242">
        <f>B47*17.1350724637681/100</f>
        <v>17.1350724637681</v>
      </c>
      <c r="M47" s="240">
        <f>B47*4.64333333333333/100</f>
        <v>4.64333333333333</v>
      </c>
      <c r="N47" s="240">
        <f>B47*2.16733333333333/100</f>
        <v>2.16733333333333</v>
      </c>
      <c r="O47" s="240">
        <f>B47*20.3763333333333/100</f>
        <v>20.376333333333299</v>
      </c>
      <c r="P47" s="240">
        <f>B47*0.093/100</f>
        <v>9.3000000000000013E-2</v>
      </c>
      <c r="Q47" s="240">
        <f>B47*61.3073333333333/100</f>
        <v>61.307333333333297</v>
      </c>
      <c r="R47" s="240">
        <f>B47*0.585666666666667/100</f>
        <v>0.585666666666667</v>
      </c>
      <c r="S47" s="240">
        <f>B47*260.3499/100</f>
        <v>260.34989999999999</v>
      </c>
      <c r="T47" s="240">
        <f>B47*162.023333333333/100</f>
        <v>162.023333333333</v>
      </c>
      <c r="U47" s="240">
        <f>B47*0.0456666666666667/100</f>
        <v>4.5666666666666703E-2</v>
      </c>
      <c r="V47" s="240">
        <f>B47*0.498333333333333/100</f>
        <v>0.49833333333333302</v>
      </c>
      <c r="W47" s="240" t="s">
        <v>454</v>
      </c>
      <c r="X47" s="249" t="s">
        <v>455</v>
      </c>
      <c r="Y47" s="240">
        <f>B47*0.05/100</f>
        <v>0.05</v>
      </c>
      <c r="Z47" s="249" t="s">
        <v>455</v>
      </c>
      <c r="AA47" s="240">
        <f>B47*3.73666666666667/100</f>
        <v>3.7366666666666699</v>
      </c>
      <c r="AB47" s="240">
        <f>B47*1.74333333333333/100</f>
        <v>1.7433333333333301</v>
      </c>
    </row>
    <row r="48" spans="1:28">
      <c r="A48" s="232" t="s">
        <v>583</v>
      </c>
      <c r="B48" s="59">
        <v>100</v>
      </c>
      <c r="C48" s="238">
        <f>B48*373.421466666667/100</f>
        <v>373.42146666666702</v>
      </c>
      <c r="D48" s="238">
        <f>B48*0.583333333333333/100</f>
        <v>0.58333333333333304</v>
      </c>
      <c r="E48" s="242">
        <f>B48*0.37/100</f>
        <v>0.37</v>
      </c>
      <c r="F48" s="252">
        <f>B48*0.1/100</f>
        <v>0.1</v>
      </c>
      <c r="G48" s="252" t="s">
        <v>455</v>
      </c>
      <c r="H48" s="252">
        <f>B48*0.1/100</f>
        <v>0.1</v>
      </c>
      <c r="I48" s="263">
        <f>B48*0.13/100</f>
        <v>0.13</v>
      </c>
      <c r="J48" s="263">
        <f>B48*0.01/100</f>
        <v>0.01</v>
      </c>
      <c r="K48" s="242" t="s">
        <v>454</v>
      </c>
      <c r="L48" s="242">
        <f>B48*89.3366666666667/100</f>
        <v>89.336666666666702</v>
      </c>
      <c r="M48" s="238">
        <f>B48*0.88/100</f>
        <v>0.88</v>
      </c>
      <c r="N48" s="238">
        <f>B48*522.046666666667/100</f>
        <v>522.04666666666697</v>
      </c>
      <c r="O48" s="238">
        <f>B48*4.28066666666667/100</f>
        <v>4.2806666666666704</v>
      </c>
      <c r="P48" s="245" t="s">
        <v>455</v>
      </c>
      <c r="Q48" s="238">
        <f>B48*273.319/100</f>
        <v>273.31900000000002</v>
      </c>
      <c r="R48" s="238">
        <f>B48*41.9913333333333/100</f>
        <v>41.991333333333301</v>
      </c>
      <c r="S48" s="238">
        <f>B48*14.8553333333333/100</f>
        <v>14.8553333333333</v>
      </c>
      <c r="T48" s="245" t="s">
        <v>455</v>
      </c>
      <c r="U48" s="245" t="s">
        <v>455</v>
      </c>
      <c r="V48" s="238">
        <f>B48*15.2093333333333/100</f>
        <v>15.2093333333333</v>
      </c>
      <c r="W48" s="238">
        <f>B48*1533.24333333333/100</f>
        <v>1533.2433333333299</v>
      </c>
      <c r="X48" s="238">
        <f>B48*3.40666666666667/100</f>
        <v>3.4066666666666698</v>
      </c>
      <c r="Y48" s="245" t="s">
        <v>455</v>
      </c>
      <c r="Z48" s="238">
        <f>B48*3.11/100</f>
        <v>3.11</v>
      </c>
      <c r="AA48" s="238">
        <f>B48*19.3933333333333/100</f>
        <v>19.393333333333299</v>
      </c>
      <c r="AB48" s="245" t="s">
        <v>455</v>
      </c>
    </row>
    <row r="49" spans="1:28">
      <c r="A49" s="232" t="s">
        <v>497</v>
      </c>
      <c r="B49" s="59">
        <v>100</v>
      </c>
      <c r="C49" s="238">
        <f>B49*171.219111666667/100</f>
        <v>171.219111666667</v>
      </c>
      <c r="D49" s="238">
        <f>B49*2.55208333333333/100</f>
        <v>2.5520833333333299</v>
      </c>
      <c r="E49" s="238">
        <f>B49*4.84966666666667/100</f>
        <v>4.8496666666666703</v>
      </c>
      <c r="F49" s="252">
        <f>B49*0.5/100</f>
        <v>0.5</v>
      </c>
      <c r="G49" s="252">
        <f>B49*0.7/100</f>
        <v>0.7</v>
      </c>
      <c r="H49" s="252">
        <f>B49*1.4/100</f>
        <v>1.4</v>
      </c>
      <c r="I49" s="263">
        <f>B49*1.32/100</f>
        <v>1.32</v>
      </c>
      <c r="J49" s="263">
        <f>B49*0.09/100</f>
        <v>0.09</v>
      </c>
      <c r="K49" s="242" t="s">
        <v>454</v>
      </c>
      <c r="L49" s="242">
        <f>B49*30.6849166666667/100</f>
        <v>30.684916666666698</v>
      </c>
      <c r="M49" s="238">
        <f>B49*2.371/100</f>
        <v>2.371</v>
      </c>
      <c r="N49" s="238">
        <f>B49*4.16433333333333/100</f>
        <v>4.1643333333333299</v>
      </c>
      <c r="O49" s="238">
        <f>B49*15.347/100</f>
        <v>15.347000000000001</v>
      </c>
      <c r="P49" s="238">
        <f>B49*0.124666666666667/100</f>
        <v>0.12466666666666698</v>
      </c>
      <c r="Q49" s="238">
        <f>B49*54.585/100</f>
        <v>54.585000000000001</v>
      </c>
      <c r="R49" s="238">
        <f>B49*0.356666666666667/100</f>
        <v>0.35666666666666702</v>
      </c>
      <c r="S49" s="238">
        <f>B49*131.993/100</f>
        <v>131.99299999999999</v>
      </c>
      <c r="T49" s="238">
        <f>B49*125.349333333333/100</f>
        <v>125.34933333333302</v>
      </c>
      <c r="U49" s="238">
        <f>B49*0.034/100</f>
        <v>3.4000000000000002E-2</v>
      </c>
      <c r="V49" s="238">
        <f>B49*0.423666666666667/100</f>
        <v>0.42366666666666702</v>
      </c>
      <c r="W49" s="242" t="s">
        <v>454</v>
      </c>
      <c r="X49" s="242" t="s">
        <v>455</v>
      </c>
      <c r="Y49" s="242" t="s">
        <v>455</v>
      </c>
      <c r="Z49" s="242" t="s">
        <v>455</v>
      </c>
      <c r="AA49" s="242" t="s">
        <v>455</v>
      </c>
      <c r="AB49" s="242" t="s">
        <v>455</v>
      </c>
    </row>
    <row r="50" spans="1:28">
      <c r="A50" s="232" t="s">
        <v>3077</v>
      </c>
      <c r="B50" s="59">
        <v>100</v>
      </c>
      <c r="C50" s="238">
        <f>B50*343.085366666667/100</f>
        <v>343.08536666666703</v>
      </c>
      <c r="D50" s="238">
        <f>B50*12.35/100</f>
        <v>12.35</v>
      </c>
      <c r="E50" s="243">
        <f>B50*5.69333333333333/100</f>
        <v>5.6933333333333307</v>
      </c>
      <c r="F50" s="252">
        <f>B50*1.1/100</f>
        <v>1.1000000000000001</v>
      </c>
      <c r="G50" s="252">
        <f>B50*1/100</f>
        <v>1</v>
      </c>
      <c r="H50" s="252">
        <f>B50*1.6/100</f>
        <v>1.6</v>
      </c>
      <c r="I50" s="263">
        <f>B50*1.06/100</f>
        <v>1.06</v>
      </c>
      <c r="J50" s="263">
        <f>B50*0.59/100</f>
        <v>0.59</v>
      </c>
      <c r="K50" s="242" t="s">
        <v>455</v>
      </c>
      <c r="L50" s="242">
        <f>B50*59.5666666666667/100</f>
        <v>59.566666666666698</v>
      </c>
      <c r="M50" s="243">
        <f>B50*5.98/100</f>
        <v>5.98</v>
      </c>
      <c r="N50" s="243">
        <f>B50*108.691/100</f>
        <v>108.691</v>
      </c>
      <c r="O50" s="243">
        <f>B50*56.6803333333333/100</f>
        <v>56.680333333333301</v>
      </c>
      <c r="P50" s="243">
        <f>B50*1.082/100</f>
        <v>1.0820000000000001</v>
      </c>
      <c r="Q50" s="243">
        <f>B50*182.197666666667/100</f>
        <v>182.197666666667</v>
      </c>
      <c r="R50" s="243">
        <f>B50*4.732/100</f>
        <v>4.7320000000000002</v>
      </c>
      <c r="S50" s="243">
        <f>B50*605.763/100</f>
        <v>605.76300000000003</v>
      </c>
      <c r="T50" s="243">
        <f>B50*210.083333333333/100</f>
        <v>210.083333333333</v>
      </c>
      <c r="U50" s="243">
        <f>B50*0.135666666666667/100</f>
        <v>0.13566666666666699</v>
      </c>
      <c r="V50" s="243">
        <f>B50*1.73066666666667/100</f>
        <v>1.7306666666666701</v>
      </c>
      <c r="W50" s="243" t="s">
        <v>455</v>
      </c>
      <c r="X50" s="243">
        <f>B50*0.0866666666666667/100</f>
        <v>8.6666666666666697E-2</v>
      </c>
      <c r="Y50" s="243">
        <f>B50*0.03/100</f>
        <v>0.03</v>
      </c>
      <c r="Z50" s="243">
        <f>B50*0.0833333333333333/100</f>
        <v>8.3333333333333301E-2</v>
      </c>
      <c r="AA50" s="243" t="s">
        <v>455</v>
      </c>
      <c r="AB50" s="243" t="s">
        <v>455</v>
      </c>
    </row>
    <row r="51" spans="1:28">
      <c r="A51" s="232" t="s">
        <v>499</v>
      </c>
      <c r="B51" s="59">
        <v>100</v>
      </c>
      <c r="C51" s="238">
        <f>B51*308.726323333333/100</f>
        <v>308.72632333333303</v>
      </c>
      <c r="D51" s="238">
        <f>B51*11.343/100</f>
        <v>11.343</v>
      </c>
      <c r="E51" s="243">
        <f>B51*3.58/100</f>
        <v>3.58</v>
      </c>
      <c r="F51" s="267">
        <f>B51*0.7/100</f>
        <v>0.7</v>
      </c>
      <c r="G51" s="267">
        <f>B51*0.6/100</f>
        <v>0.6</v>
      </c>
      <c r="H51" s="267">
        <f>B51*1.6/100</f>
        <v>1.6</v>
      </c>
      <c r="I51" s="263">
        <f>B51*1.41/100</f>
        <v>1.41</v>
      </c>
      <c r="J51" s="263">
        <f>B51*0.14/100</f>
        <v>0.14000000000000001</v>
      </c>
      <c r="K51" s="256" t="s">
        <v>454</v>
      </c>
      <c r="L51" s="242">
        <f>B51*56.5103333333333/100</f>
        <v>56.5103333333333</v>
      </c>
      <c r="M51" s="243">
        <f>B51*5.70666666666667/100</f>
        <v>5.7066666666666697</v>
      </c>
      <c r="N51" s="243">
        <f>B51*90.2373333333333/100</f>
        <v>90.237333333333297</v>
      </c>
      <c r="O51" s="243">
        <f>B51*48.3183333333333/100</f>
        <v>48.3183333333333</v>
      </c>
      <c r="P51" s="243">
        <f>B51*0.569333333333333/100</f>
        <v>0.56933333333333302</v>
      </c>
      <c r="Q51" s="243">
        <f>B51*153.18/100</f>
        <v>153.18</v>
      </c>
      <c r="R51" s="243">
        <f>B51*3.33033333333333/100</f>
        <v>3.3303333333333298</v>
      </c>
      <c r="S51" s="243">
        <f>B51*662.541333333333/100</f>
        <v>662.541333333333</v>
      </c>
      <c r="T51" s="243">
        <f>B51*296.348/100</f>
        <v>296.34800000000001</v>
      </c>
      <c r="U51" s="243">
        <f>B51*0.162666666666667/100</f>
        <v>0.16266666666666699</v>
      </c>
      <c r="V51" s="243">
        <f>B51*1.45866666666667/100</f>
        <v>1.4586666666666701</v>
      </c>
      <c r="W51" s="256" t="s">
        <v>454</v>
      </c>
      <c r="X51" s="243">
        <f>B51*0.07/100</f>
        <v>7.0000000000000007E-2</v>
      </c>
      <c r="Y51" s="243">
        <f>B51*0.04/100</f>
        <v>0.04</v>
      </c>
      <c r="Z51" s="243">
        <f>B51*0.793333333333333/100</f>
        <v>0.793333333333333</v>
      </c>
      <c r="AA51" s="242" t="s">
        <v>455</v>
      </c>
      <c r="AB51" s="242" t="s">
        <v>455</v>
      </c>
    </row>
    <row r="52" spans="1:28">
      <c r="A52" s="232" t="s">
        <v>3078</v>
      </c>
      <c r="B52" s="59">
        <v>100</v>
      </c>
      <c r="C52" s="238">
        <f>B52*252.99403/100</f>
        <v>252.99403000000001</v>
      </c>
      <c r="D52" s="238">
        <f>B52*11.9509996000926/100</f>
        <v>11.950999600092601</v>
      </c>
      <c r="E52" s="238">
        <f>B52*2.72666666666667/100</f>
        <v>2.7266666666666701</v>
      </c>
      <c r="F52" s="252">
        <f>B52*0.5/100</f>
        <v>0.5</v>
      </c>
      <c r="G52" s="252">
        <f>B52*0.6/100</f>
        <v>0.6</v>
      </c>
      <c r="H52" s="252">
        <f>B52*0.7/100</f>
        <v>0.7</v>
      </c>
      <c r="I52" s="263">
        <f>B52*0.69/100</f>
        <v>0.69</v>
      </c>
      <c r="J52" s="263">
        <f>B52*0.04/100</f>
        <v>0.04</v>
      </c>
      <c r="K52" s="242" t="s">
        <v>454</v>
      </c>
      <c r="L52" s="242">
        <f>B52*44.119/100</f>
        <v>44.119</v>
      </c>
      <c r="M52" s="238">
        <f>B52*2.48/100</f>
        <v>2.48</v>
      </c>
      <c r="N52" s="243">
        <f>B52*155.721/100</f>
        <v>155.721</v>
      </c>
      <c r="O52" s="243">
        <f>B52*24.2436666666667/100</f>
        <v>24.243666666666698</v>
      </c>
      <c r="P52" s="243">
        <f>B52*0.51/100</f>
        <v>0.51</v>
      </c>
      <c r="Q52" s="243">
        <f>B52*105.260666666667/100</f>
        <v>105.26066666666701</v>
      </c>
      <c r="R52" s="243">
        <f>B52*5.71033333333333/100</f>
        <v>5.7103333333333293</v>
      </c>
      <c r="S52" s="243">
        <f>B52*22.0453333333333/100</f>
        <v>22.0453333333333</v>
      </c>
      <c r="T52" s="243">
        <f>B52*64.7323333333333/100</f>
        <v>64.732333333333301</v>
      </c>
      <c r="U52" s="243">
        <f>B52*0.062/100</f>
        <v>6.2E-2</v>
      </c>
      <c r="V52" s="243">
        <f>B52*1.28433333333333/100</f>
        <v>1.28433333333333</v>
      </c>
      <c r="W52" s="242" t="s">
        <v>454</v>
      </c>
      <c r="X52" s="243">
        <f>B52*0.0433333333333333/100</f>
        <v>4.3333333333333307E-2</v>
      </c>
      <c r="Y52" s="243">
        <f>B52*0.03/100</f>
        <v>0.03</v>
      </c>
      <c r="Z52" s="243" t="s">
        <v>455</v>
      </c>
      <c r="AA52" s="243" t="s">
        <v>455</v>
      </c>
      <c r="AB52" s="243" t="s">
        <v>455</v>
      </c>
    </row>
    <row r="53" spans="1:28">
      <c r="A53" s="232" t="s">
        <v>3079</v>
      </c>
      <c r="B53" s="59">
        <v>100</v>
      </c>
      <c r="C53" s="238">
        <f>B53*292.01349/100</f>
        <v>292.01348999999999</v>
      </c>
      <c r="D53" s="238">
        <f>B53*8.303/100</f>
        <v>8.3030000000000008</v>
      </c>
      <c r="E53" s="238">
        <f>B53*3.11/100</f>
        <v>3.11</v>
      </c>
      <c r="F53" s="252">
        <f>B53*0.6/100</f>
        <v>0.6</v>
      </c>
      <c r="G53" s="252">
        <f>B53*0.6/100</f>
        <v>0.6</v>
      </c>
      <c r="H53" s="252">
        <f>B53*1/100</f>
        <v>1</v>
      </c>
      <c r="I53" s="263">
        <f>B53*0.98/100</f>
        <v>0.98</v>
      </c>
      <c r="J53" s="263">
        <f>B53*0.03/100</f>
        <v>0.03</v>
      </c>
      <c r="K53" s="238">
        <f>B53*5.685/100</f>
        <v>5.6849999999999996</v>
      </c>
      <c r="L53" s="242">
        <f>B53*56.397/100</f>
        <v>56.396999999999998</v>
      </c>
      <c r="M53" s="238">
        <f>B53*4.29666666666667/100</f>
        <v>4.2966666666666704</v>
      </c>
      <c r="N53" s="238">
        <f>B53*77.8486666666667/100</f>
        <v>77.848666666666702</v>
      </c>
      <c r="O53" s="238">
        <f>B53*29.4156666666667/100</f>
        <v>29.415666666666699</v>
      </c>
      <c r="P53" s="238">
        <f>B53*0.366/100</f>
        <v>0.36599999999999999</v>
      </c>
      <c r="Q53" s="238">
        <f>B53*110.098/100</f>
        <v>110.098</v>
      </c>
      <c r="R53" s="238">
        <f>B53*3.04433333333333/100</f>
        <v>3.0443333333333298</v>
      </c>
      <c r="S53" s="238">
        <f>B53*506.644/100</f>
        <v>506.64400000000001</v>
      </c>
      <c r="T53" s="238">
        <f>B53*89.0246666666667/100</f>
        <v>89.024666666666704</v>
      </c>
      <c r="U53" s="238">
        <f>B53*0.0996666666666667/100</f>
        <v>9.9666666666666709E-2</v>
      </c>
      <c r="V53" s="238">
        <f>B53*0.817666666666667/100</f>
        <v>0.81766666666666699</v>
      </c>
      <c r="W53" s="242" t="s">
        <v>455</v>
      </c>
      <c r="X53" s="238">
        <f>B53*0.08/100</f>
        <v>0.08</v>
      </c>
      <c r="Y53" s="242" t="s">
        <v>455</v>
      </c>
      <c r="Z53" s="238">
        <f>B53*0.0833333333333333/100</f>
        <v>8.3333333333333301E-2</v>
      </c>
      <c r="AA53" s="242" t="s">
        <v>455</v>
      </c>
      <c r="AB53" s="242" t="s">
        <v>455</v>
      </c>
    </row>
    <row r="54" spans="1:28">
      <c r="A54" s="232" t="s">
        <v>502</v>
      </c>
      <c r="B54" s="59">
        <v>100</v>
      </c>
      <c r="C54" s="238">
        <f>B54*253.193618333333/100</f>
        <v>253.19361833333301</v>
      </c>
      <c r="D54" s="238">
        <f>B54*9.42516666666667/100</f>
        <v>9.4251666666666694</v>
      </c>
      <c r="E54" s="238">
        <f>B54*3.65333333333333/100</f>
        <v>3.6533333333333302</v>
      </c>
      <c r="F54" s="252">
        <f>B54*0.7/100</f>
        <v>0.7</v>
      </c>
      <c r="G54" s="252">
        <f>B54*0.8/100</f>
        <v>0.8</v>
      </c>
      <c r="H54" s="252">
        <f>B54*1.1/100</f>
        <v>1.1000000000000001</v>
      </c>
      <c r="I54" s="263">
        <f>B54*0.98/100</f>
        <v>0.98</v>
      </c>
      <c r="J54" s="263">
        <f>B54*0.08/100</f>
        <v>0.08</v>
      </c>
      <c r="K54" s="242" t="s">
        <v>454</v>
      </c>
      <c r="L54" s="242">
        <f>B54*49.9415/100</f>
        <v>49.941499999999998</v>
      </c>
      <c r="M54" s="238">
        <f>B54*6.88333333333333/100</f>
        <v>6.8833333333333302</v>
      </c>
      <c r="N54" s="243">
        <f>B54*131.759666666667/100</f>
        <v>131.75966666666699</v>
      </c>
      <c r="O54" s="243">
        <f>B54*60.4283333333333/100</f>
        <v>60.428333333333306</v>
      </c>
      <c r="P54" s="243">
        <f>B54*1.61633333333333/100</f>
        <v>1.6163333333333301</v>
      </c>
      <c r="Q54" s="243">
        <f>B54*193.439/100</f>
        <v>193.43899999999996</v>
      </c>
      <c r="R54" s="243">
        <f>B54*2.98533333333333/100</f>
        <v>2.9853333333333301</v>
      </c>
      <c r="S54" s="243">
        <f>B54*506.103333333333/100</f>
        <v>506.10333333333301</v>
      </c>
      <c r="T54" s="243">
        <f>B54*162.871/100</f>
        <v>162.87100000000001</v>
      </c>
      <c r="U54" s="243">
        <f>B54*0.146/100</f>
        <v>0.14599999999999999</v>
      </c>
      <c r="V54" s="243">
        <f>B54*1.58566666666667/100</f>
        <v>1.5856666666666701</v>
      </c>
      <c r="W54" s="256" t="s">
        <v>454</v>
      </c>
      <c r="X54" s="243">
        <f>B54*0.0766666666666667/100</f>
        <v>7.6666666666666702E-2</v>
      </c>
      <c r="Y54" s="243">
        <f>B54*0.04/100</f>
        <v>0.04</v>
      </c>
      <c r="Z54" s="243">
        <f>B54*0.146666666666667/100</f>
        <v>0.146666666666667</v>
      </c>
      <c r="AA54" s="243" t="s">
        <v>455</v>
      </c>
      <c r="AB54" s="243" t="s">
        <v>455</v>
      </c>
    </row>
    <row r="55" spans="1:28">
      <c r="A55" s="232" t="s">
        <v>503</v>
      </c>
      <c r="B55" s="59">
        <v>100</v>
      </c>
      <c r="C55" s="240">
        <f>B55*299.810150434783/100</f>
        <v>299.810150434783</v>
      </c>
      <c r="D55" s="239">
        <f>B55*7.9535652173913/100</f>
        <v>7.9535652173912998</v>
      </c>
      <c r="E55" s="240">
        <f>B55*3.10333333333333/100</f>
        <v>3.1033333333333299</v>
      </c>
      <c r="F55" s="252">
        <f>B55*1/100</f>
        <v>1</v>
      </c>
      <c r="G55" s="252">
        <f>B55*0.9/100</f>
        <v>0.9</v>
      </c>
      <c r="H55" s="252">
        <f>B55*0.7/100</f>
        <v>0.7</v>
      </c>
      <c r="I55" s="263">
        <f>B55*0.7/100</f>
        <v>0.7</v>
      </c>
      <c r="J55" s="263">
        <f>B55*0.04/100</f>
        <v>0.04</v>
      </c>
      <c r="K55" s="240" t="s">
        <v>454</v>
      </c>
      <c r="L55" s="242">
        <f>B55*58.6464347826087/100</f>
        <v>58.646434782608701</v>
      </c>
      <c r="M55" s="240">
        <f>B55*2.30666666666667/100</f>
        <v>2.3066666666666702</v>
      </c>
      <c r="N55" s="240">
        <f>B55*15.7533333333333/100</f>
        <v>15.7533333333333</v>
      </c>
      <c r="O55" s="240">
        <f>B55*25.4633333333333/100</f>
        <v>25.463333333333299</v>
      </c>
      <c r="P55" s="240">
        <f>B55*0.463333333333333/100</f>
        <v>0.46333333333333299</v>
      </c>
      <c r="Q55" s="240">
        <f>B55*94.74/100</f>
        <v>94.74</v>
      </c>
      <c r="R55" s="240">
        <f>B55*1/100</f>
        <v>1</v>
      </c>
      <c r="S55" s="240">
        <f>B55*647.673333333333/100</f>
        <v>647.67333333333295</v>
      </c>
      <c r="T55" s="240">
        <f>B55*142.2/100</f>
        <v>142.19999999999999</v>
      </c>
      <c r="U55" s="240">
        <f>B55*0.13/100</f>
        <v>0.13</v>
      </c>
      <c r="V55" s="240">
        <f>B55*0.763333333333333/100</f>
        <v>0.76333333333333298</v>
      </c>
      <c r="W55" s="240">
        <f>B55*2.98666666666667/100</f>
        <v>2.9866666666666699</v>
      </c>
      <c r="X55" s="240">
        <f>B55*0.386666666666667/100</f>
        <v>0.38666666666666699</v>
      </c>
      <c r="Y55" s="240">
        <f>B55*0.67/100</f>
        <v>0.67</v>
      </c>
      <c r="Z55" s="240">
        <f>B55*0.6/100</f>
        <v>0.6</v>
      </c>
      <c r="AA55" s="240">
        <f>B55*2.33666666666667/100</f>
        <v>2.33666666666667</v>
      </c>
      <c r="AB55" s="240" t="s">
        <v>3254</v>
      </c>
    </row>
    <row r="56" spans="1:28">
      <c r="A56" s="232" t="s">
        <v>3080</v>
      </c>
      <c r="B56" s="59">
        <v>100</v>
      </c>
      <c r="C56" s="238">
        <f>B56*310.96494/100</f>
        <v>310.96494000000001</v>
      </c>
      <c r="D56" s="238">
        <f>B56*8.398/100</f>
        <v>8.3979999999999997</v>
      </c>
      <c r="E56" s="238">
        <f>B56*2.84/100</f>
        <v>2.84</v>
      </c>
      <c r="F56" s="252">
        <f>B56*0.8/100</f>
        <v>0.8</v>
      </c>
      <c r="G56" s="252">
        <f>B56*0.7/100</f>
        <v>0.7</v>
      </c>
      <c r="H56" s="252">
        <f>B56*0.7/100</f>
        <v>0.7</v>
      </c>
      <c r="I56" s="263">
        <f>B56*0.68/100</f>
        <v>0.68</v>
      </c>
      <c r="J56" s="263">
        <f>B56*0.04/100</f>
        <v>0.04</v>
      </c>
      <c r="K56" s="238">
        <f>B56*16.562/100</f>
        <v>16.562000000000001</v>
      </c>
      <c r="L56" s="242">
        <f>B56*61.452/100</f>
        <v>61.451999999999998</v>
      </c>
      <c r="M56" s="238">
        <f>B56*2.43333333333333/100</f>
        <v>2.43333333333333</v>
      </c>
      <c r="N56" s="238">
        <f>B56*51.618/100</f>
        <v>51.618000000000002</v>
      </c>
      <c r="O56" s="238">
        <f>B56*22.2203333333333/100</f>
        <v>22.220333333333301</v>
      </c>
      <c r="P56" s="238">
        <f>B56*0.313666666666667/100</f>
        <v>0.31366666666666698</v>
      </c>
      <c r="Q56" s="238">
        <f>B56*100.662666666667/100</f>
        <v>100.66266666666699</v>
      </c>
      <c r="R56" s="238">
        <f>B56*2.26866666666667/100</f>
        <v>2.2686666666666699</v>
      </c>
      <c r="S56" s="238">
        <f>B56*430.792/100</f>
        <v>430.79199999999997</v>
      </c>
      <c r="T56" s="238">
        <f>B56*91.166/100</f>
        <v>91.165999999999997</v>
      </c>
      <c r="U56" s="242" t="s">
        <v>455</v>
      </c>
      <c r="V56" s="238">
        <f>B56*2.66166666666667/100</f>
        <v>2.6616666666666702</v>
      </c>
      <c r="W56" s="242" t="s">
        <v>455</v>
      </c>
      <c r="X56" s="238">
        <f>B56*0.08/100</f>
        <v>0.08</v>
      </c>
      <c r="Y56" s="238">
        <f>B56*0.0433333333333333/100</f>
        <v>4.3333333333333307E-2</v>
      </c>
      <c r="Z56" s="238">
        <f>B56*0.146666666666667/100</f>
        <v>0.146666666666667</v>
      </c>
      <c r="AA56" s="242" t="s">
        <v>455</v>
      </c>
      <c r="AB56" s="242" t="s">
        <v>455</v>
      </c>
    </row>
    <row r="57" spans="1:28">
      <c r="A57" s="222" t="s">
        <v>3081</v>
      </c>
      <c r="B57" s="59">
        <v>100</v>
      </c>
      <c r="C57" s="247">
        <f>B57*288.70207151599/100</f>
        <v>288.70207151598999</v>
      </c>
      <c r="D57" s="247">
        <f>B57*10.7406996405919/100</f>
        <v>10.740699640591902</v>
      </c>
      <c r="E57" s="244">
        <f>B57*8.793/100</f>
        <v>8.7929999999999993</v>
      </c>
      <c r="F57" s="258">
        <f>B57*3.69266666666667/100</f>
        <v>3.6926666666666699</v>
      </c>
      <c r="G57" s="258">
        <f>B57*2.90933333333333/100</f>
        <v>2.90933333333333</v>
      </c>
      <c r="H57" s="258">
        <f>B57*1.104/100</f>
        <v>1.1040000000000001</v>
      </c>
      <c r="I57" s="263">
        <f>B57*1.06466666666667/100</f>
        <v>1.06466666666667</v>
      </c>
      <c r="J57" s="263">
        <f>B57*0.0393333333333333/100</f>
        <v>3.9333333333333297E-2</v>
      </c>
      <c r="K57" s="244">
        <f>B57*18.2006666666667/100</f>
        <v>18.200666666666699</v>
      </c>
      <c r="L57" s="247">
        <f>B57*42.0166336927414/100</f>
        <v>42.016633692741401</v>
      </c>
      <c r="M57" s="258">
        <f>B57*1.04/100</f>
        <v>1.04</v>
      </c>
      <c r="N57" s="244">
        <f>B57*16.6916666666667/100</f>
        <v>16.691666666666698</v>
      </c>
      <c r="O57" s="244">
        <f>B57*17.705/100</f>
        <v>17.704999999999998</v>
      </c>
      <c r="P57" s="244">
        <f>B57*0.343333333333333/100</f>
        <v>0.34333333333333299</v>
      </c>
      <c r="Q57" s="244">
        <f>B57*117.376666666667/100</f>
        <v>117.37666666666701</v>
      </c>
      <c r="R57" s="244">
        <f>B57*1.991/100</f>
        <v>1.9910000000000003</v>
      </c>
      <c r="S57" s="244">
        <f>B57*1309.265/100</f>
        <v>1309.2650000000001</v>
      </c>
      <c r="T57" s="244">
        <f>B57*165.610333333333/100</f>
        <v>165.61033333333299</v>
      </c>
      <c r="U57" s="244">
        <f>B57*0.11/100</f>
        <v>0.11</v>
      </c>
      <c r="V57" s="244">
        <f>B57*1.659/100</f>
        <v>1.659</v>
      </c>
      <c r="W57" s="244" t="s">
        <v>455</v>
      </c>
      <c r="X57" s="244">
        <f>B57*0.06/100</f>
        <v>0.06</v>
      </c>
      <c r="Y57" s="244">
        <f>B57*0.03/100</f>
        <v>0.03</v>
      </c>
      <c r="Z57" s="244" t="s">
        <v>455</v>
      </c>
      <c r="AA57" s="244">
        <f>B57*1.58/100</f>
        <v>1.58</v>
      </c>
      <c r="AB57" s="244" t="s">
        <v>455</v>
      </c>
    </row>
    <row r="58" spans="1:28">
      <c r="A58" s="222" t="s">
        <v>3082</v>
      </c>
      <c r="B58" s="59">
        <v>100</v>
      </c>
      <c r="C58" s="247">
        <f>B58*388.374651624968/100</f>
        <v>388.37465162496801</v>
      </c>
      <c r="D58" s="247">
        <f>B58*10.1041996618907/100</f>
        <v>10.1041996618907</v>
      </c>
      <c r="E58" s="244">
        <f>B58*20.1366666666667/100</f>
        <v>20.136666666666699</v>
      </c>
      <c r="F58" s="258">
        <f>B58*4.83166666666667/100</f>
        <v>4.8316666666666697</v>
      </c>
      <c r="G58" s="258">
        <f>B58*5.87766666666667/100</f>
        <v>5.8776666666666699</v>
      </c>
      <c r="H58" s="258">
        <f>B58*7.59666666666667/100</f>
        <v>7.5966666666666693</v>
      </c>
      <c r="I58" s="263">
        <f>B58*6.98766666666667/100</f>
        <v>6.9876666666666702</v>
      </c>
      <c r="J58" s="263">
        <f>B58*0.59/100</f>
        <v>0.59</v>
      </c>
      <c r="K58" s="244">
        <f>B58*25.336/100</f>
        <v>25.335999999999999</v>
      </c>
      <c r="L58" s="247">
        <f>B58*43.7678003381093/100</f>
        <v>43.767800338109303</v>
      </c>
      <c r="M58" s="244">
        <f>B58*0.986666666666667/100</f>
        <v>0.98666666666666702</v>
      </c>
      <c r="N58" s="244">
        <f>B58*12.5546666666667/100</f>
        <v>12.554666666666698</v>
      </c>
      <c r="O58" s="244">
        <f>B58*14.4446666666667/100</f>
        <v>14.4446666666667</v>
      </c>
      <c r="P58" s="244">
        <f>B58*0.215666666666667/100</f>
        <v>0.21566666666666701</v>
      </c>
      <c r="Q58" s="244">
        <f>B58*90.032/100</f>
        <v>90.031999999999982</v>
      </c>
      <c r="R58" s="244">
        <f>B58*2.50766666666667/100</f>
        <v>2.5076666666666698</v>
      </c>
      <c r="S58" s="244">
        <f>B58*1039.88866666667/100</f>
        <v>1039.8886666666699</v>
      </c>
      <c r="T58" s="244">
        <f>B58*155.643/100</f>
        <v>155.643</v>
      </c>
      <c r="U58" s="244">
        <f>B58*0.116/100</f>
        <v>0.11600000000000002</v>
      </c>
      <c r="V58" s="244">
        <f>B58*1.15/100</f>
        <v>1.1499999999999999</v>
      </c>
      <c r="W58" s="244" t="s">
        <v>455</v>
      </c>
      <c r="X58" s="244">
        <f>B58*0.0633333333333333/100</f>
        <v>6.3333333333333297E-2</v>
      </c>
      <c r="Y58" s="244">
        <f>B58*0.05/100</f>
        <v>0.05</v>
      </c>
      <c r="Z58" s="244" t="s">
        <v>455</v>
      </c>
      <c r="AA58" s="244">
        <f>B58*1.83/100</f>
        <v>1.83</v>
      </c>
      <c r="AB58" s="258"/>
    </row>
    <row r="59" spans="1:28">
      <c r="A59" s="222" t="s">
        <v>3083</v>
      </c>
      <c r="B59" s="59">
        <v>100</v>
      </c>
      <c r="C59" s="247">
        <f>B59*308.474433887374/100</f>
        <v>308.474433887374</v>
      </c>
      <c r="D59" s="247">
        <f>B59*9.853399670283/100</f>
        <v>9.8533996702830002</v>
      </c>
      <c r="E59" s="244">
        <f>B59*9.63466666666667/100</f>
        <v>9.6346666666666696</v>
      </c>
      <c r="F59" s="258"/>
      <c r="G59" s="258"/>
      <c r="H59" s="258"/>
      <c r="I59" s="263"/>
      <c r="J59" s="263"/>
      <c r="K59" s="244">
        <f>B59*14.349/100</f>
        <v>14.349</v>
      </c>
      <c r="L59" s="247">
        <f>B59*45.9479336630503/100</f>
        <v>45.9479336630503</v>
      </c>
      <c r="M59" s="244">
        <f>B59*1.10666666666667/100</f>
        <v>1.10666666666667</v>
      </c>
      <c r="N59" s="244">
        <f>B59*154.698/100</f>
        <v>154.69800000000001</v>
      </c>
      <c r="O59" s="244">
        <f>B59*15.8053333333333/100</f>
        <v>15.8053333333333</v>
      </c>
      <c r="P59" s="244">
        <f>B59*0.244666666666667/100</f>
        <v>0.244666666666667</v>
      </c>
      <c r="Q59" s="244">
        <f>B59*168.123333333333/100</f>
        <v>168.12333333333299</v>
      </c>
      <c r="R59" s="244">
        <f>B59*0.990666666666667/100</f>
        <v>0.99066666666666703</v>
      </c>
      <c r="S59" s="244">
        <f>B59*984.569666666667/100</f>
        <v>984.56966666666699</v>
      </c>
      <c r="T59" s="244">
        <f>B59*102.578333333333/100</f>
        <v>102.57833333333301</v>
      </c>
      <c r="U59" s="244">
        <f>B59*0.0993333333333333/100</f>
        <v>9.9333333333333301E-2</v>
      </c>
      <c r="V59" s="244">
        <f>B59*0.966333333333333/100</f>
        <v>0.96633333333333293</v>
      </c>
      <c r="W59" s="244" t="s">
        <v>455</v>
      </c>
      <c r="X59" s="244">
        <f>B59*0.0733333333333333/100</f>
        <v>7.3333333333333306E-2</v>
      </c>
      <c r="Y59" s="244">
        <f>B59*0.0333333333333333/100</f>
        <v>3.3333333333333298E-2</v>
      </c>
      <c r="Z59" s="244" t="s">
        <v>455</v>
      </c>
      <c r="AA59" s="244" t="s">
        <v>455</v>
      </c>
      <c r="AB59" s="244" t="s">
        <v>455</v>
      </c>
    </row>
    <row r="60" spans="1:28">
      <c r="A60" s="222" t="s">
        <v>3084</v>
      </c>
      <c r="B60" s="59">
        <v>100</v>
      </c>
      <c r="C60" s="247">
        <f>B60*422.112080039319/100</f>
        <v>422.11208003931898</v>
      </c>
      <c r="D60" s="247">
        <f>B60*8.70959970855713/100</f>
        <v>8.7095997085571302</v>
      </c>
      <c r="E60" s="244">
        <f>B60*22.6703333333333/100</f>
        <v>22.6703333333333</v>
      </c>
      <c r="F60" s="258"/>
      <c r="G60" s="258"/>
      <c r="H60" s="258"/>
      <c r="I60" s="263"/>
      <c r="J60" s="263"/>
      <c r="K60" s="258">
        <f>B60*15/100</f>
        <v>15</v>
      </c>
      <c r="L60" s="247">
        <f>B60*48.1327336247762/100</f>
        <v>48.132733624776201</v>
      </c>
      <c r="M60" s="244">
        <f>B60*0.943333333333333/100</f>
        <v>0.94333333333333302</v>
      </c>
      <c r="N60" s="244">
        <f>B60*126.127666666667/100</f>
        <v>126.127666666667</v>
      </c>
      <c r="O60" s="244">
        <f>B60*14.7383333333333/100</f>
        <v>14.738333333333298</v>
      </c>
      <c r="P60" s="244">
        <f>B60*0.200666666666667/100</f>
        <v>0.20066666666666699</v>
      </c>
      <c r="Q60" s="244">
        <f>B60*123.809666666667/100</f>
        <v>123.809666666667</v>
      </c>
      <c r="R60" s="244">
        <f>B60*1.34233333333333/100</f>
        <v>1.34233333333333</v>
      </c>
      <c r="S60" s="244">
        <f>B60*821.382333333333/100</f>
        <v>821.38233333333312</v>
      </c>
      <c r="T60" s="244">
        <f>B60*123.754666666667/100</f>
        <v>123.75466666666699</v>
      </c>
      <c r="U60" s="244">
        <f>B60*0.0993333333333333/100</f>
        <v>9.9333333333333301E-2</v>
      </c>
      <c r="V60" s="244">
        <f>B60*0.762333333333333/100</f>
        <v>0.76233333333333286</v>
      </c>
      <c r="W60" s="244">
        <f>B60*17.5833333333333/100</f>
        <v>17.5833333333333</v>
      </c>
      <c r="X60" s="244">
        <f>B60*0.09/100</f>
        <v>0.09</v>
      </c>
      <c r="Y60" s="244">
        <f>B60*0.04/100</f>
        <v>0.04</v>
      </c>
      <c r="Z60" s="244" t="s">
        <v>455</v>
      </c>
      <c r="AA60" s="244" t="s">
        <v>455</v>
      </c>
      <c r="AB60" s="244" t="s">
        <v>455</v>
      </c>
    </row>
    <row r="61" spans="1:28">
      <c r="A61" s="232" t="s">
        <v>504</v>
      </c>
      <c r="B61" s="59">
        <v>100</v>
      </c>
      <c r="C61" s="238">
        <f>B61*310.202514333333/100</f>
        <v>310.202514333333</v>
      </c>
      <c r="D61" s="238">
        <f>B61*6.9027/100</f>
        <v>6.9026999999999994</v>
      </c>
      <c r="E61" s="238">
        <f>B61*5.477/100</f>
        <v>5.4770000000000003</v>
      </c>
      <c r="F61" s="252">
        <f>B61*2.1/100</f>
        <v>2.1</v>
      </c>
      <c r="G61" s="252">
        <f>B61*1.7/100</f>
        <v>1.7</v>
      </c>
      <c r="H61" s="252">
        <f>B61*0.9/100</f>
        <v>0.9</v>
      </c>
      <c r="I61" s="263">
        <f>B61*0.91/100</f>
        <v>0.91</v>
      </c>
      <c r="J61" s="263">
        <f>B61*0.03/100</f>
        <v>0.03</v>
      </c>
      <c r="K61" s="242" t="s">
        <v>454</v>
      </c>
      <c r="L61" s="242">
        <f>B61*57.3796333333333/100</f>
        <v>57.379633333333302</v>
      </c>
      <c r="M61" s="238">
        <f>B61*1.41333333333333/100</f>
        <v>1.41333333333333</v>
      </c>
      <c r="N61" s="238">
        <f>B61*12.614/100</f>
        <v>12.614000000000001</v>
      </c>
      <c r="O61" s="238">
        <f>B61*14.4306666666667/100</f>
        <v>14.430666666666701</v>
      </c>
      <c r="P61" s="238">
        <f>B61*0.382666666666667/100</f>
        <v>0.38266666666666699</v>
      </c>
      <c r="Q61" s="238">
        <f>B61*72.551/100</f>
        <v>72.551000000000002</v>
      </c>
      <c r="R61" s="238">
        <f>B61*1.05533333333333/100</f>
        <v>1.0553333333333299</v>
      </c>
      <c r="S61" s="238">
        <f>B61*1344.20133333333/100</f>
        <v>1344.20133333333</v>
      </c>
      <c r="T61" s="238">
        <f>B61*166.681666666667/100</f>
        <v>166.68166666666701</v>
      </c>
      <c r="U61" s="238">
        <f>B61*0.105333333333333/100</f>
        <v>0.105333333333333</v>
      </c>
      <c r="V61" s="238">
        <f>B61*0.607333333333333/100</f>
        <v>0.60733333333333295</v>
      </c>
      <c r="W61" s="242" t="s">
        <v>454</v>
      </c>
      <c r="X61" s="238">
        <f>B61*0.146666666666667/100</f>
        <v>0.146666666666667</v>
      </c>
      <c r="Y61" s="245" t="s">
        <v>455</v>
      </c>
      <c r="Z61" s="245" t="s">
        <v>455</v>
      </c>
      <c r="AA61" s="245" t="s">
        <v>455</v>
      </c>
      <c r="AB61" s="242" t="s">
        <v>3254</v>
      </c>
    </row>
    <row r="62" spans="1:28">
      <c r="A62" s="232" t="s">
        <v>506</v>
      </c>
      <c r="B62" s="59">
        <v>100</v>
      </c>
      <c r="C62" s="238">
        <f>B62*569.672459333333/100</f>
        <v>569.67245933333299</v>
      </c>
      <c r="D62" s="238">
        <f>B62*6.0192/100</f>
        <v>6.0191999999999997</v>
      </c>
      <c r="E62" s="238">
        <f>B62*40.8603333333333/100</f>
        <v>40.860333333333301</v>
      </c>
      <c r="F62" s="252">
        <f>B62*6.9/100</f>
        <v>6.9</v>
      </c>
      <c r="G62" s="252">
        <f>B62*10.1/100</f>
        <v>10.1</v>
      </c>
      <c r="H62" s="252">
        <f>B62*21.2/100</f>
        <v>21.2</v>
      </c>
      <c r="I62" s="263">
        <f>B62*19.61/100</f>
        <v>19.61</v>
      </c>
      <c r="J62" s="263">
        <f>B62*1.32/100</f>
        <v>1.32</v>
      </c>
      <c r="K62" s="242" t="s">
        <v>454</v>
      </c>
      <c r="L62" s="242">
        <f>B62*49.3431333333333/100</f>
        <v>49.343133333333299</v>
      </c>
      <c r="M62" s="238">
        <f>B62*1.30933333333333/100</f>
        <v>1.3093333333333299</v>
      </c>
      <c r="N62" s="238">
        <f>B62*11.2656666666667/100</f>
        <v>11.2656666666667</v>
      </c>
      <c r="O62" s="238">
        <f>B62*12.7403333333333/100</f>
        <v>12.740333333333302</v>
      </c>
      <c r="P62" s="238">
        <f>B62*0.356333333333333/100</f>
        <v>0.35633333333333295</v>
      </c>
      <c r="Q62" s="238">
        <f>B62*62.3623333333333/100</f>
        <v>62.362333333333297</v>
      </c>
      <c r="R62" s="238">
        <f>B62*1.44666666666667/100</f>
        <v>1.4466666666666699</v>
      </c>
      <c r="S62" s="238">
        <f>B62*1174.667/100</f>
        <v>1174.6669999999999</v>
      </c>
      <c r="T62" s="238">
        <f>B62*142.554/100</f>
        <v>142.554</v>
      </c>
      <c r="U62" s="238">
        <f>B62*0.0793333333333333/100</f>
        <v>7.9333333333333297E-2</v>
      </c>
      <c r="V62" s="238">
        <f>B62*0.521666666666667/100</f>
        <v>0.52166666666666694</v>
      </c>
      <c r="W62" s="242" t="s">
        <v>454</v>
      </c>
      <c r="X62" s="238">
        <f>B62*0.163333333333333/100</f>
        <v>0.163333333333333</v>
      </c>
      <c r="Y62" s="245" t="s">
        <v>455</v>
      </c>
      <c r="Z62" s="245" t="s">
        <v>455</v>
      </c>
      <c r="AA62" s="245" t="s">
        <v>455</v>
      </c>
      <c r="AB62" s="242" t="s">
        <v>3254</v>
      </c>
    </row>
    <row r="63" spans="1:28">
      <c r="A63" s="222" t="s">
        <v>3085</v>
      </c>
      <c r="B63" s="59">
        <v>100</v>
      </c>
      <c r="C63" s="247">
        <f>B63*448.334261847198/100</f>
        <v>448.33426184719798</v>
      </c>
      <c r="D63" s="247">
        <f>B63*9.92708333333334/100</f>
        <v>9.9270833333333393</v>
      </c>
      <c r="E63" s="244">
        <f>B63*15.941/100</f>
        <v>15.941000000000001</v>
      </c>
      <c r="F63" s="258">
        <f>B63*2.35733333333333/100</f>
        <v>2.3573333333333299</v>
      </c>
      <c r="G63" s="258">
        <f>B63*3.69333333333333/100</f>
        <v>3.6933333333333298</v>
      </c>
      <c r="H63" s="258">
        <f>B63*9.189/100</f>
        <v>9.1890000000000001</v>
      </c>
      <c r="I63" s="263">
        <f>B63*8.483/100</f>
        <v>8.4830000000000005</v>
      </c>
      <c r="J63" s="263">
        <f>B63*0.691/100</f>
        <v>0.69099999999999995</v>
      </c>
      <c r="K63" s="258" t="s">
        <v>454</v>
      </c>
      <c r="L63" s="247">
        <f>B63*70.3125833333333/100</f>
        <v>70.312583333333293</v>
      </c>
      <c r="M63" s="244">
        <f>B63*14.3366666666667/100</f>
        <v>14.3366666666667</v>
      </c>
      <c r="N63" s="244">
        <f>B63*2.82533333333333/100</f>
        <v>2.8253333333333304</v>
      </c>
      <c r="O63" s="244">
        <f>B63*90.7573333333333/100</f>
        <v>90.757333333333293</v>
      </c>
      <c r="P63" s="244">
        <f>B63*0.653666666666667/100</f>
        <v>0.65366666666666684</v>
      </c>
      <c r="Q63" s="244">
        <f>B63*225.134666666667/100</f>
        <v>225.13466666666699</v>
      </c>
      <c r="R63" s="244">
        <f>B63*1.15733333333333/100</f>
        <v>1.15733333333333</v>
      </c>
      <c r="S63" s="244">
        <f>B63*4.32033333333333/100</f>
        <v>4.3203333333333296</v>
      </c>
      <c r="T63" s="244">
        <f>B63*255.956666666667/100</f>
        <v>255.95666666666702</v>
      </c>
      <c r="U63" s="244">
        <f>B63*0.460666666666667/100</f>
        <v>0.460666666666667</v>
      </c>
      <c r="V63" s="244">
        <f>B63*2.04633333333333/100</f>
        <v>2.04633333333333</v>
      </c>
      <c r="W63" s="258" t="s">
        <v>454</v>
      </c>
      <c r="X63" s="244">
        <f>B63*0.0333333333333333/100</f>
        <v>3.3333333333333298E-2</v>
      </c>
      <c r="Y63" s="244">
        <f>B63*0.03/100</f>
        <v>0.03</v>
      </c>
      <c r="Z63" s="244" t="s">
        <v>455</v>
      </c>
      <c r="AA63" s="244" t="s">
        <v>455</v>
      </c>
      <c r="AB63" s="244" t="s">
        <v>455</v>
      </c>
    </row>
    <row r="64" spans="1:28">
      <c r="A64" s="232" t="s">
        <v>3086</v>
      </c>
      <c r="B64" s="59">
        <v>100</v>
      </c>
      <c r="C64" s="238">
        <f>B64*102.741166666667/100</f>
        <v>102.741166666667</v>
      </c>
      <c r="D64" s="238">
        <f>B64*2.29166666666667/100</f>
        <v>2.2916666666666701</v>
      </c>
      <c r="E64" s="248">
        <f>B64*0.303333333333333/100</f>
        <v>0.30333333333333301</v>
      </c>
      <c r="F64" s="258"/>
      <c r="G64" s="258"/>
      <c r="H64" s="258"/>
      <c r="I64" s="263"/>
      <c r="J64" s="263"/>
      <c r="K64" s="242" t="s">
        <v>454</v>
      </c>
      <c r="L64" s="242">
        <f>B64*23.3116666666667/100</f>
        <v>23.311666666666703</v>
      </c>
      <c r="M64" s="238">
        <f>B64*2.40333333333333/100</f>
        <v>2.4033333333333302</v>
      </c>
      <c r="N64" s="238">
        <f>B64*1.094/100</f>
        <v>1.0940000000000001</v>
      </c>
      <c r="O64" s="238">
        <f>B64*4.429/100</f>
        <v>4.4290000000000003</v>
      </c>
      <c r="P64" s="242" t="s">
        <v>455</v>
      </c>
      <c r="Q64" s="238">
        <f>B64*16.786/100</f>
        <v>16.786000000000001</v>
      </c>
      <c r="R64" s="242" t="s">
        <v>455</v>
      </c>
      <c r="S64" s="238">
        <f>B64*441.889333333333/100</f>
        <v>441.88933333333296</v>
      </c>
      <c r="T64" s="238">
        <f>B64*99.637/100</f>
        <v>99.637</v>
      </c>
      <c r="U64" s="238">
        <f>B64*0.044/100</f>
        <v>4.3999999999999997E-2</v>
      </c>
      <c r="V64" s="238">
        <f>B64*0.0506666666666667/100</f>
        <v>5.06666666666667E-2</v>
      </c>
      <c r="W64" s="242" t="s">
        <v>454</v>
      </c>
      <c r="X64" s="238">
        <f>B64*0.0433333333333333/100</f>
        <v>4.3333333333333307E-2</v>
      </c>
      <c r="Y64" s="242" t="s">
        <v>455</v>
      </c>
      <c r="Z64" s="242" t="s">
        <v>455</v>
      </c>
      <c r="AA64" s="242" t="s">
        <v>455</v>
      </c>
      <c r="AB64" s="242" t="s">
        <v>455</v>
      </c>
    </row>
    <row r="65" spans="1:28">
      <c r="A65" s="232" t="s">
        <v>505</v>
      </c>
      <c r="B65" s="59">
        <v>100</v>
      </c>
      <c r="C65" s="238">
        <f>B65*377.422283/100</f>
        <v>377.42228300000005</v>
      </c>
      <c r="D65" s="238">
        <f>B65*10.5241/100</f>
        <v>10.524100000000001</v>
      </c>
      <c r="E65" s="238">
        <f>B65*3.301/100</f>
        <v>3.3010000000000002</v>
      </c>
      <c r="F65" s="252">
        <f>B65*0.9/100</f>
        <v>0.9</v>
      </c>
      <c r="G65" s="252">
        <f>B65*0.8/100</f>
        <v>0.8</v>
      </c>
      <c r="H65" s="252">
        <f>B65*1/100</f>
        <v>1</v>
      </c>
      <c r="I65" s="263">
        <f>B65*0.99/100</f>
        <v>0.99</v>
      </c>
      <c r="J65" s="263">
        <f>B65*0.05/100</f>
        <v>0.05</v>
      </c>
      <c r="K65" s="242" t="s">
        <v>454</v>
      </c>
      <c r="L65" s="242">
        <f>B65*74.5559/100</f>
        <v>74.555899999999994</v>
      </c>
      <c r="M65" s="238">
        <f>B65*3.395/100</f>
        <v>3.395</v>
      </c>
      <c r="N65" s="238">
        <f>B65*18.7446666666667/100</f>
        <v>18.744666666666699</v>
      </c>
      <c r="O65" s="238">
        <f>B65*31.5973333333333/100</f>
        <v>31.5973333333333</v>
      </c>
      <c r="P65" s="238">
        <f>B65*0.553333333333333/100</f>
        <v>0.55333333333333301</v>
      </c>
      <c r="Q65" s="238">
        <f>B65*113.916666666667/100</f>
        <v>113.91666666666701</v>
      </c>
      <c r="R65" s="238">
        <f>B65*1.23866666666667/100</f>
        <v>1.2386666666666699</v>
      </c>
      <c r="S65" s="238">
        <f>B65*829.492333333333/100</f>
        <v>829.49233333333314</v>
      </c>
      <c r="T65" s="238">
        <f>B65*189.489333333333/100</f>
        <v>189.48933333333301</v>
      </c>
      <c r="U65" s="238">
        <f>B65*0.161/100</f>
        <v>0.161</v>
      </c>
      <c r="V65" s="238">
        <f>B65*0.905/100</f>
        <v>0.90500000000000003</v>
      </c>
      <c r="W65" s="242" t="s">
        <v>454</v>
      </c>
      <c r="X65" s="238">
        <f>B65*0.376666666666667/100</f>
        <v>0.37666666666666698</v>
      </c>
      <c r="Y65" s="242" t="s">
        <v>455</v>
      </c>
      <c r="Z65" s="242" t="s">
        <v>455</v>
      </c>
      <c r="AA65" s="242" t="s">
        <v>455</v>
      </c>
      <c r="AB65" s="242" t="s">
        <v>455</v>
      </c>
    </row>
    <row r="66" spans="1:28" s="220" customFormat="1">
      <c r="A66" s="229" t="s">
        <v>508</v>
      </c>
      <c r="B66" s="237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</row>
    <row r="67" spans="1:28">
      <c r="A67" s="232" t="s">
        <v>954</v>
      </c>
      <c r="B67" s="59">
        <v>100</v>
      </c>
      <c r="C67" s="238">
        <f>B67*48.0437425/100</f>
        <v>48.0437425</v>
      </c>
      <c r="D67" s="238">
        <f>B67*1.44375/100</f>
        <v>1.4437500000000001</v>
      </c>
      <c r="E67" s="242">
        <f>B67*0.729333333333333/100</f>
        <v>0.72933333333333294</v>
      </c>
      <c r="F67" s="252">
        <f>B67*0.1/100</f>
        <v>0.1</v>
      </c>
      <c r="G67" s="252">
        <f>B67*0.2/100</f>
        <v>0.2</v>
      </c>
      <c r="H67" s="252">
        <f>B67*0.2/100</f>
        <v>0.2</v>
      </c>
      <c r="I67" s="263">
        <f>B67*0.15/100</f>
        <v>0.15</v>
      </c>
      <c r="J67" s="263">
        <f>B67*0.08/100</f>
        <v>0.08</v>
      </c>
      <c r="K67" s="269" t="s">
        <v>454</v>
      </c>
      <c r="L67" s="242">
        <f>B67*10.7609166666667/100</f>
        <v>10.7609166666667</v>
      </c>
      <c r="M67" s="242">
        <f>B67*2.46266666666667/100</f>
        <v>2.4626666666666699</v>
      </c>
      <c r="N67" s="243">
        <f>B67*7.62566666666667/100</f>
        <v>7.625666666666671</v>
      </c>
      <c r="O67" s="238">
        <f>B67*9.111/100</f>
        <v>9.1110000000000007</v>
      </c>
      <c r="P67" s="242">
        <f>B67*0.260666666666667/100</f>
        <v>0.26066666666666699</v>
      </c>
      <c r="Q67" s="242">
        <f>B67*32.595/100</f>
        <v>32.594999999999999</v>
      </c>
      <c r="R67" s="242">
        <f>B67*0.345333333333333/100</f>
        <v>0.34533333333333294</v>
      </c>
      <c r="S67" s="242">
        <f>B67*1.45166666666667/100</f>
        <v>1.45166666666667</v>
      </c>
      <c r="T67" s="242">
        <f>B67*199.102333333333/100</f>
        <v>199.10233333333301</v>
      </c>
      <c r="U67" s="242">
        <f>B67*0.0613333333333333/100</f>
        <v>6.1333333333333302E-2</v>
      </c>
      <c r="V67" s="242">
        <f>B67*0.286333333333333/100</f>
        <v>0.286333333333333</v>
      </c>
      <c r="W67" s="269" t="s">
        <v>454</v>
      </c>
      <c r="X67" s="242">
        <f>B67*0.0766666666666667/100</f>
        <v>7.6666666666666702E-2</v>
      </c>
      <c r="Y67" s="245" t="s">
        <v>455</v>
      </c>
      <c r="Z67" s="242">
        <f>B67*0.07/100</f>
        <v>7.0000000000000007E-2</v>
      </c>
      <c r="AA67" s="245" t="s">
        <v>455</v>
      </c>
      <c r="AB67" s="242">
        <f>B67*7.46333333333333/100</f>
        <v>7.4633333333333303</v>
      </c>
    </row>
    <row r="68" spans="1:28">
      <c r="A68" s="232" t="s">
        <v>955</v>
      </c>
      <c r="B68" s="59">
        <v>100</v>
      </c>
      <c r="C68" s="239">
        <f>B68*38.5992942028986/100</f>
        <v>38.599294202898598</v>
      </c>
      <c r="D68" s="239">
        <f>B68*1.7463768115942/100</f>
        <v>1.7463768115942</v>
      </c>
      <c r="E68" s="239">
        <f>B68*0.536666666666667/100</f>
        <v>0.53666666666666696</v>
      </c>
      <c r="F68" s="270">
        <f>B68*0.120333333333333/100</f>
        <v>0.120333333333333</v>
      </c>
      <c r="G68" s="270">
        <f>B68*0.082/100</f>
        <v>8.2000000000000017E-2</v>
      </c>
      <c r="H68" s="270">
        <f>B68*0.0486666666666667/100</f>
        <v>4.8666666666666698E-2</v>
      </c>
      <c r="I68" s="263">
        <f>B68*0.035/100</f>
        <v>3.5000000000000003E-2</v>
      </c>
      <c r="J68" s="263">
        <f>B68*0.0136666666666667/100</f>
        <v>1.36666666666667E-2</v>
      </c>
      <c r="K68" s="269" t="s">
        <v>454</v>
      </c>
      <c r="L68" s="242">
        <f>B68*8.36028985507247/100</f>
        <v>8.3602898550724696</v>
      </c>
      <c r="M68" s="239">
        <f>B68*2.16666666666667/100</f>
        <v>2.1666666666666701</v>
      </c>
      <c r="N68" s="239">
        <f>B68*17.9633333333333/100</f>
        <v>17.963333333333299</v>
      </c>
      <c r="O68" s="239">
        <f>B68*8.82/100</f>
        <v>8.82</v>
      </c>
      <c r="P68" s="239">
        <f>B68*0.11/100</f>
        <v>0.11</v>
      </c>
      <c r="Q68" s="239">
        <f>B68*25.7666666666667/100</f>
        <v>25.766666666666701</v>
      </c>
      <c r="R68" s="239">
        <f>B68*0.373333333333333/100</f>
        <v>0.37333333333333302</v>
      </c>
      <c r="S68" s="239" t="s">
        <v>455</v>
      </c>
      <c r="T68" s="239">
        <f>B68*350.56/100</f>
        <v>350.56</v>
      </c>
      <c r="U68" s="239">
        <f>B68*0.06/100</f>
        <v>0.06</v>
      </c>
      <c r="V68" s="239">
        <f>B68*0.32/100</f>
        <v>0.32</v>
      </c>
      <c r="W68" s="269" t="s">
        <v>454</v>
      </c>
      <c r="X68" s="239" t="s">
        <v>455</v>
      </c>
      <c r="Y68" s="239" t="s">
        <v>455</v>
      </c>
      <c r="Z68" s="239">
        <f>B68*0.1/100</f>
        <v>0.1</v>
      </c>
      <c r="AA68" s="239" t="s">
        <v>455</v>
      </c>
      <c r="AB68" s="239">
        <f>B68*5.09/100</f>
        <v>5.09</v>
      </c>
    </row>
    <row r="69" spans="1:28">
      <c r="A69" s="232" t="s">
        <v>509</v>
      </c>
      <c r="B69" s="59">
        <v>100</v>
      </c>
      <c r="C69" s="239">
        <f>B69*13.6056739130435/100</f>
        <v>13.6056739130435</v>
      </c>
      <c r="D69" s="239">
        <f>B69*0.608695652173913/100</f>
        <v>0.60869565217391297</v>
      </c>
      <c r="E69" s="246" t="s">
        <v>455</v>
      </c>
      <c r="F69" s="270"/>
      <c r="G69" s="270"/>
      <c r="H69" s="270"/>
      <c r="I69" s="263"/>
      <c r="J69" s="263"/>
      <c r="K69" s="269" t="s">
        <v>454</v>
      </c>
      <c r="L69" s="242">
        <f>B69*3.30130434782609/100</f>
        <v>3.3013043478260902</v>
      </c>
      <c r="M69" s="239">
        <f>B69*1.17/100</f>
        <v>1.17</v>
      </c>
      <c r="N69" s="239">
        <f>B69*8.74/100</f>
        <v>8.74</v>
      </c>
      <c r="O69" s="239">
        <f>B69*4.09/100</f>
        <v>4.09</v>
      </c>
      <c r="P69" s="246">
        <f>B69*0.01/100</f>
        <v>0.01</v>
      </c>
      <c r="Q69" s="239">
        <f>B69*11.62/100</f>
        <v>11.62</v>
      </c>
      <c r="R69" s="239">
        <f>B69*0.15/100</f>
        <v>0.15</v>
      </c>
      <c r="S69" s="239" t="s">
        <v>455</v>
      </c>
      <c r="T69" s="239">
        <f>B69*164.6/100</f>
        <v>164.6</v>
      </c>
      <c r="U69" s="239">
        <f>B69*0.02/100</f>
        <v>0.02</v>
      </c>
      <c r="V69" s="239" t="s">
        <v>455</v>
      </c>
      <c r="W69" s="269" t="s">
        <v>454</v>
      </c>
      <c r="X69" s="239">
        <f>B69*0.07/100</f>
        <v>7.0000000000000007E-2</v>
      </c>
      <c r="Y69" s="239" t="s">
        <v>455</v>
      </c>
      <c r="Z69" s="239">
        <f>B69*0.04/100</f>
        <v>0.04</v>
      </c>
      <c r="AA69" s="239" t="s">
        <v>455</v>
      </c>
      <c r="AB69" s="239">
        <f>B69*1.5/100</f>
        <v>1.5</v>
      </c>
    </row>
    <row r="70" spans="1:28">
      <c r="A70" s="232" t="s">
        <v>510</v>
      </c>
      <c r="B70" s="59">
        <v>100</v>
      </c>
      <c r="C70" s="239">
        <f>B70*12.364436231884/100</f>
        <v>12.364436231884</v>
      </c>
      <c r="D70" s="239">
        <f>B70*0.960144927536232/100</f>
        <v>0.96014492753623204</v>
      </c>
      <c r="E70" s="246">
        <f>B70*0.06/100</f>
        <v>0.06</v>
      </c>
      <c r="F70" s="270"/>
      <c r="G70" s="270"/>
      <c r="H70" s="270"/>
      <c r="I70" s="263"/>
      <c r="J70" s="263"/>
      <c r="K70" s="269" t="s">
        <v>454</v>
      </c>
      <c r="L70" s="242">
        <f>B70*2.66652173913043/100</f>
        <v>2.6665217391304297</v>
      </c>
      <c r="M70" s="239">
        <f>B70*1.70333333333333/100</f>
        <v>1.70333333333333</v>
      </c>
      <c r="N70" s="239">
        <f>B70*3.04766666666667/100</f>
        <v>3.0476666666666699</v>
      </c>
      <c r="O70" s="239">
        <f>B70*1.84766666666667/100</f>
        <v>1.8476666666666699</v>
      </c>
      <c r="P70" s="246">
        <f>B70*0.01/100</f>
        <v>0.01</v>
      </c>
      <c r="Q70" s="252">
        <f>B70*7.91466666666667/100</f>
        <v>7.9146666666666707</v>
      </c>
      <c r="R70" s="239" t="s">
        <v>455</v>
      </c>
      <c r="S70" s="239" t="s">
        <v>455</v>
      </c>
      <c r="T70" s="239">
        <f>B70*124.865333333333/100</f>
        <v>124.865333333333</v>
      </c>
      <c r="U70" s="239">
        <f>B70*0.05/100</f>
        <v>0.05</v>
      </c>
      <c r="V70" s="239">
        <f>B70*0.07/100</f>
        <v>7.0000000000000007E-2</v>
      </c>
      <c r="W70" s="269" t="s">
        <v>454</v>
      </c>
      <c r="X70" s="239" t="s">
        <v>455</v>
      </c>
      <c r="Y70" s="239" t="s">
        <v>455</v>
      </c>
      <c r="Z70" s="239">
        <f>B70*0.0633333333333333/100</f>
        <v>6.3333333333333297E-2</v>
      </c>
      <c r="AA70" s="239" t="s">
        <v>455</v>
      </c>
      <c r="AB70" s="239">
        <f>B70*9.64666666666667/100</f>
        <v>9.6466666666666701</v>
      </c>
    </row>
    <row r="71" spans="1:28">
      <c r="A71" s="221" t="s">
        <v>3087</v>
      </c>
      <c r="B71" s="59">
        <v>100</v>
      </c>
      <c r="C71" s="247">
        <f>B71*29.0038220317562/100</f>
        <v>29.003822031756201</v>
      </c>
      <c r="D71" s="247">
        <f>B71*0.39375/100</f>
        <v>0.39374999999999999</v>
      </c>
      <c r="E71" s="247">
        <f>B71*0.799/100</f>
        <v>0.79900000000000004</v>
      </c>
      <c r="F71" s="258">
        <f>B71*0.12/100</f>
        <v>0.12</v>
      </c>
      <c r="G71" s="258">
        <f>B71*0.191333333333333/100</f>
        <v>0.19133333333333302</v>
      </c>
      <c r="H71" s="258">
        <f>B71*0.447/100</f>
        <v>0.44700000000000001</v>
      </c>
      <c r="I71" s="263">
        <f>B71*0.398/100</f>
        <v>0.39800000000000002</v>
      </c>
      <c r="J71" s="263">
        <f>B71*0.049/100</f>
        <v>4.9000000000000002E-2</v>
      </c>
      <c r="K71" s="258" t="s">
        <v>454</v>
      </c>
      <c r="L71" s="247">
        <f>B71*5.98191666666666/100</f>
        <v>5.9819166666666597</v>
      </c>
      <c r="M71" s="247">
        <f>B71*1.54666666666667/100</f>
        <v>1.54666666666667</v>
      </c>
      <c r="N71" s="247">
        <f>B71*19.08/100</f>
        <v>19.079999999999998</v>
      </c>
      <c r="O71" s="247">
        <f>B71*7.49233333333333/100</f>
        <v>7.4923333333333302</v>
      </c>
      <c r="P71" s="247">
        <f>B71*0.016/100</f>
        <v>1.6E-2</v>
      </c>
      <c r="Q71" s="247">
        <f>B71*11.6506666666667/100</f>
        <v>11.6506666666667</v>
      </c>
      <c r="R71" s="247">
        <f>B71*0.113/100</f>
        <v>0.113</v>
      </c>
      <c r="S71" s="247">
        <f>B71*3.02766666666667/100</f>
        <v>3.0276666666666698</v>
      </c>
      <c r="T71" s="247">
        <f>B71*183.193333333333/100</f>
        <v>183.19333333333299</v>
      </c>
      <c r="U71" s="247">
        <f>B71*0.0426666666666667/100</f>
        <v>4.26666666666667E-2</v>
      </c>
      <c r="V71" s="247">
        <f>B71*0.0826666666666667/100</f>
        <v>8.2666666666666694E-2</v>
      </c>
      <c r="W71" s="247" t="s">
        <v>454</v>
      </c>
      <c r="X71" s="247">
        <f>B71*0.0533333333333333/100</f>
        <v>5.3333333333333302E-2</v>
      </c>
      <c r="Y71" s="247" t="s">
        <v>455</v>
      </c>
      <c r="Z71" s="247">
        <f>B71*0.05/100</f>
        <v>0.05</v>
      </c>
      <c r="AA71" s="247" t="s">
        <v>455</v>
      </c>
      <c r="AB71" s="247">
        <f>B71*6.72666666666667/100</f>
        <v>6.7266666666666701</v>
      </c>
    </row>
    <row r="72" spans="1:28">
      <c r="A72" s="232" t="s">
        <v>3088</v>
      </c>
      <c r="B72" s="59">
        <v>100</v>
      </c>
      <c r="C72" s="238">
        <f>B72*24.4662679497004/100</f>
        <v>24.466267949700399</v>
      </c>
      <c r="D72" s="238">
        <f>B72*0.670833333333333/100</f>
        <v>0.67083333333333295</v>
      </c>
      <c r="E72" s="248">
        <f>B72*0.116/100</f>
        <v>0.11600000000000002</v>
      </c>
      <c r="F72" s="258"/>
      <c r="G72" s="258"/>
      <c r="H72" s="258"/>
      <c r="I72" s="263"/>
      <c r="J72" s="263"/>
      <c r="K72" s="269" t="s">
        <v>454</v>
      </c>
      <c r="L72" s="242">
        <f>B72*6.12283333333334/100</f>
        <v>6.1228333333333396</v>
      </c>
      <c r="M72" s="238">
        <f>B72*2.30033333333333/100</f>
        <v>2.30033333333333</v>
      </c>
      <c r="N72" s="243">
        <f>B72*8.808/100</f>
        <v>8.8079999999999998</v>
      </c>
      <c r="O72" s="243">
        <f>B72*7.421/100</f>
        <v>7.4210000000000003</v>
      </c>
      <c r="P72" s="243">
        <f>B72*0.0713333333333333/100</f>
        <v>7.1333333333333304E-2</v>
      </c>
      <c r="Q72" s="243">
        <f>B72*31.6193333333333/100</f>
        <v>31.619333333333302</v>
      </c>
      <c r="R72" s="243">
        <f>B72*0.275/100</f>
        <v>0.27500000000000002</v>
      </c>
      <c r="S72" s="243">
        <f>B72*0.745/100</f>
        <v>0.745</v>
      </c>
      <c r="T72" s="243">
        <f>B72*263.876/100</f>
        <v>263.87599999999998</v>
      </c>
      <c r="U72" s="243">
        <f>B72*0.0913333333333333/100</f>
        <v>9.1333333333333294E-2</v>
      </c>
      <c r="V72" s="243">
        <f>B72*0.176666666666667/100</f>
        <v>0.176666666666667</v>
      </c>
      <c r="W72" s="256" t="s">
        <v>454</v>
      </c>
      <c r="X72" s="243" t="s">
        <v>455</v>
      </c>
      <c r="Y72" s="243" t="s">
        <v>455</v>
      </c>
      <c r="Z72" s="243">
        <f>B72*0.06/100</f>
        <v>0.06</v>
      </c>
      <c r="AA72" s="243" t="s">
        <v>455</v>
      </c>
      <c r="AB72" s="243">
        <f>B72*2.09/100</f>
        <v>2.09</v>
      </c>
    </row>
    <row r="73" spans="1:28">
      <c r="A73" s="232" t="s">
        <v>511</v>
      </c>
      <c r="B73" s="59">
        <v>100</v>
      </c>
      <c r="C73" s="238">
        <f>B73*15.03852/100</f>
        <v>15.03852</v>
      </c>
      <c r="D73" s="238">
        <f>B73*1.125/100</f>
        <v>1.125</v>
      </c>
      <c r="E73" s="248">
        <f>B73*0.199/100</f>
        <v>0.19900000000000001</v>
      </c>
      <c r="F73" s="252">
        <f>B73*0.1/100</f>
        <v>0.1</v>
      </c>
      <c r="G73" s="252" t="s">
        <v>455</v>
      </c>
      <c r="H73" s="252">
        <f>B73*0.1/100</f>
        <v>0.1</v>
      </c>
      <c r="I73" s="263">
        <f>B73*0.03/100</f>
        <v>0.03</v>
      </c>
      <c r="J73" s="263">
        <f>B73*0.03/100</f>
        <v>0.03</v>
      </c>
      <c r="K73" s="269" t="s">
        <v>454</v>
      </c>
      <c r="L73" s="242">
        <f>B73*2.97700000000001/100</f>
        <v>2.9770000000000101</v>
      </c>
      <c r="M73" s="238">
        <f>B73*1.588/100</f>
        <v>1.5880000000000001</v>
      </c>
      <c r="N73" s="238">
        <f>B73*16.7256666666667/100</f>
        <v>16.725666666666701</v>
      </c>
      <c r="O73" s="238">
        <f>B73*16.8596666666667/100</f>
        <v>16.859666666666701</v>
      </c>
      <c r="P73" s="238">
        <f>B73*0.106/100</f>
        <v>0.106</v>
      </c>
      <c r="Q73" s="238">
        <f>B73*22.4873333333333/100</f>
        <v>22.4873333333333</v>
      </c>
      <c r="R73" s="238">
        <f>B73*0.159666666666667/100</f>
        <v>0.15966666666666701</v>
      </c>
      <c r="S73" s="238">
        <f>B73*0.832666666666667/100</f>
        <v>0.83266666666666689</v>
      </c>
      <c r="T73" s="238">
        <f>B73*125.879/100</f>
        <v>125.87899999999999</v>
      </c>
      <c r="U73" s="238">
        <f>B73*0.0123333333333333/100</f>
        <v>1.23333333333333E-2</v>
      </c>
      <c r="V73" s="238">
        <f>B73*0.257333333333333/100</f>
        <v>0.25733333333333303</v>
      </c>
      <c r="W73" s="269" t="s">
        <v>454</v>
      </c>
      <c r="X73" s="238">
        <f>B73*0.05/100</f>
        <v>0.05</v>
      </c>
      <c r="Y73" s="245" t="s">
        <v>455</v>
      </c>
      <c r="Z73" s="238">
        <f>B73*0.06/100</f>
        <v>0.06</v>
      </c>
      <c r="AA73" s="245" t="s">
        <v>455</v>
      </c>
      <c r="AB73" s="238">
        <f>B73*2.13/100</f>
        <v>2.13</v>
      </c>
    </row>
    <row r="74" spans="1:28">
      <c r="A74" s="232" t="s">
        <v>512</v>
      </c>
      <c r="B74" s="59">
        <v>100</v>
      </c>
      <c r="C74" s="239">
        <f>B74*19.2791260869565/100</f>
        <v>19.279126086956499</v>
      </c>
      <c r="D74" s="239">
        <f>B74*1.14130434782609/100</f>
        <v>1.14130434782609</v>
      </c>
      <c r="E74" s="246">
        <f>B74*0.14/100</f>
        <v>0.14000000000000001</v>
      </c>
      <c r="F74" s="252"/>
      <c r="G74" s="252"/>
      <c r="H74" s="252"/>
      <c r="I74" s="263"/>
      <c r="J74" s="263"/>
      <c r="K74" s="269" t="s">
        <v>454</v>
      </c>
      <c r="L74" s="242">
        <f>B74*4.29202898550724/100</f>
        <v>4.2920289855072404</v>
      </c>
      <c r="M74" s="239">
        <f>B74*1.35333333333333/100</f>
        <v>1.3533333333333299</v>
      </c>
      <c r="N74" s="239">
        <f>B74*15.1266666666667/100</f>
        <v>15.126666666666701</v>
      </c>
      <c r="O74" s="239">
        <f>B74*19.9466666666667/100</f>
        <v>19.946666666666701</v>
      </c>
      <c r="P74" s="239">
        <f>B74*0.09/100</f>
        <v>0.09</v>
      </c>
      <c r="Q74" s="239">
        <f>B74*32.0166666666667/100</f>
        <v>32.016666666666701</v>
      </c>
      <c r="R74" s="239">
        <f>B74*0.243333333333333/100</f>
        <v>0.24333333333333301</v>
      </c>
      <c r="S74" s="239" t="s">
        <v>455</v>
      </c>
      <c r="T74" s="239">
        <f>B74*253.38/100</f>
        <v>253.38</v>
      </c>
      <c r="U74" s="239">
        <f>B74*0.0466666666666667/100</f>
        <v>4.6666666666666697E-2</v>
      </c>
      <c r="V74" s="239">
        <f>B74*0.166666666666667/100</f>
        <v>0.16666666666666699</v>
      </c>
      <c r="W74" s="269" t="s">
        <v>454</v>
      </c>
      <c r="X74" s="239" t="s">
        <v>455</v>
      </c>
      <c r="Y74" s="239">
        <f>B74*0.0566666666666667/100</f>
        <v>5.6666666666666698E-2</v>
      </c>
      <c r="Z74" s="239">
        <f>B74*0.03/100</f>
        <v>0.03</v>
      </c>
      <c r="AA74" s="239" t="s">
        <v>455</v>
      </c>
      <c r="AB74" s="239">
        <f>B74*6.87333333333333/100</f>
        <v>6.8733333333333304</v>
      </c>
    </row>
    <row r="75" spans="1:28">
      <c r="A75" s="221" t="s">
        <v>3089</v>
      </c>
      <c r="B75" s="59">
        <v>100</v>
      </c>
      <c r="C75" s="247">
        <f>B75*24.4296021876534/100</f>
        <v>24.429602187653401</v>
      </c>
      <c r="D75" s="247">
        <f>B75*1.06875/100</f>
        <v>1.0687500000000001</v>
      </c>
      <c r="E75" s="247">
        <f>B75*0.821333333333333/100</f>
        <v>0.82133333333333303</v>
      </c>
      <c r="F75" s="258">
        <f>B75*0.133333333333333/100</f>
        <v>0.133333333333333</v>
      </c>
      <c r="G75" s="258">
        <f>B75*0.180666666666667/100</f>
        <v>0.18066666666666703</v>
      </c>
      <c r="H75" s="258">
        <f>B75*0.460666666666667/100</f>
        <v>0.460666666666667</v>
      </c>
      <c r="I75" s="263">
        <f>B75*0.397/100</f>
        <v>0.39700000000000002</v>
      </c>
      <c r="J75" s="263">
        <f>B75*0.0636666666666667/100</f>
        <v>6.3666666666666705E-2</v>
      </c>
      <c r="K75" s="247" t="s">
        <v>454</v>
      </c>
      <c r="L75" s="247">
        <f>B75*4.18691666666666/100</f>
        <v>4.1869166666666597</v>
      </c>
      <c r="M75" s="247">
        <f>B75*1.38/100</f>
        <v>1.38</v>
      </c>
      <c r="N75" s="247">
        <f>B75*20.672/100</f>
        <v>20.672000000000004</v>
      </c>
      <c r="O75" s="247">
        <f>B75*12.667/100</f>
        <v>12.667</v>
      </c>
      <c r="P75" s="247">
        <f>B75*0.135333333333333/100</f>
        <v>0.135333333333333</v>
      </c>
      <c r="Q75" s="247">
        <f>B75*31.8283333333333/100</f>
        <v>31.828333333333305</v>
      </c>
      <c r="R75" s="247">
        <f>B75*0.358/100</f>
        <v>0.35799999999999998</v>
      </c>
      <c r="S75" s="247">
        <f>B75*2.209/100</f>
        <v>2.2090000000000001</v>
      </c>
      <c r="T75" s="247">
        <f>B75*193.626666666667/100</f>
        <v>193.62666666666701</v>
      </c>
      <c r="U75" s="247">
        <f>B75*0.0226666666666667/100</f>
        <v>2.2666666666666703E-2</v>
      </c>
      <c r="V75" s="247">
        <f>B75*0.272/100</f>
        <v>0.27200000000000002</v>
      </c>
      <c r="W75" s="247" t="s">
        <v>454</v>
      </c>
      <c r="X75" s="247">
        <f>B75*0.0433333333333333/100</f>
        <v>4.3333333333333307E-2</v>
      </c>
      <c r="Y75" s="247" t="s">
        <v>455</v>
      </c>
      <c r="Z75" s="247" t="s">
        <v>455</v>
      </c>
      <c r="AA75" s="247" t="s">
        <v>455</v>
      </c>
      <c r="AB75" s="247">
        <f>B75*7.53/100</f>
        <v>7.53</v>
      </c>
    </row>
    <row r="76" spans="1:28">
      <c r="A76" s="232" t="s">
        <v>513</v>
      </c>
      <c r="B76" s="59">
        <v>100</v>
      </c>
      <c r="C76" s="238">
        <f>B76*30.8107022288163/100</f>
        <v>30.8107022288163</v>
      </c>
      <c r="D76" s="238">
        <f>B76*0.639583333333333/100</f>
        <v>0.63958333333333295</v>
      </c>
      <c r="E76" s="248">
        <f>B76*0.139/100</f>
        <v>0.13900000000000001</v>
      </c>
      <c r="F76" s="263"/>
      <c r="G76" s="263"/>
      <c r="H76" s="263"/>
      <c r="I76" s="263"/>
      <c r="J76" s="263"/>
      <c r="K76" s="269" t="s">
        <v>454</v>
      </c>
      <c r="L76" s="242">
        <f>B76*7.86742/100</f>
        <v>7.8674199999999992</v>
      </c>
      <c r="M76" s="238">
        <f>B76*2.605/100</f>
        <v>2.605</v>
      </c>
      <c r="N76" s="238">
        <f>B76*18.67/100</f>
        <v>18.670000000000002</v>
      </c>
      <c r="O76" s="238">
        <f>B76*9.39/100</f>
        <v>9.39</v>
      </c>
      <c r="P76" s="238">
        <f>B76*0.111/100</f>
        <v>0.111</v>
      </c>
      <c r="Q76" s="238">
        <f>B76*32.7456666666667/100</f>
        <v>32.7456666666667</v>
      </c>
      <c r="R76" s="238">
        <f>B76*0.17/100</f>
        <v>0.17</v>
      </c>
      <c r="S76" s="238">
        <f>B76*0.500666666666667/100</f>
        <v>0.50066666666666704</v>
      </c>
      <c r="T76" s="238">
        <f>B76*212.871333333333/100</f>
        <v>212.87133333333301</v>
      </c>
      <c r="U76" s="238">
        <f>B76*0.0956666666666667/100</f>
        <v>9.5666666666666705E-2</v>
      </c>
      <c r="V76" s="238">
        <f>B76*0.177/100</f>
        <v>0.17699999999999999</v>
      </c>
      <c r="W76" s="269" t="s">
        <v>454</v>
      </c>
      <c r="X76" s="245" t="s">
        <v>455</v>
      </c>
      <c r="Y76" s="245" t="s">
        <v>455</v>
      </c>
      <c r="Z76" s="238">
        <f>B76*0.0333333333333333/100</f>
        <v>3.3333333333333298E-2</v>
      </c>
      <c r="AA76" s="245" t="s">
        <v>455</v>
      </c>
      <c r="AB76" s="243">
        <f>B76*17.5466666666667/100</f>
        <v>17.546666666666699</v>
      </c>
    </row>
    <row r="77" spans="1:28">
      <c r="A77" s="232" t="s">
        <v>515</v>
      </c>
      <c r="B77" s="59">
        <v>100</v>
      </c>
      <c r="C77" s="238">
        <f>B77*20.9423424999999/100</f>
        <v>20.942342499999899</v>
      </c>
      <c r="D77" s="238">
        <f>B77*1.44375/100</f>
        <v>1.4437500000000001</v>
      </c>
      <c r="E77" s="248">
        <f>B77*0.106/100</f>
        <v>0.106</v>
      </c>
      <c r="F77" s="263"/>
      <c r="G77" s="263"/>
      <c r="H77" s="263"/>
      <c r="I77" s="263"/>
      <c r="J77" s="263"/>
      <c r="K77" s="269" t="s">
        <v>454</v>
      </c>
      <c r="L77" s="242">
        <f>B77*4.63091666666666/100</f>
        <v>4.6309166666666597</v>
      </c>
      <c r="M77" s="238">
        <f>B77*1.122/100</f>
        <v>1.1220000000000001</v>
      </c>
      <c r="N77" s="238">
        <f>B77*42.985/100</f>
        <v>42.984999999999999</v>
      </c>
      <c r="O77" s="238">
        <f>B77*10.3953333333333/100</f>
        <v>10.3953333333333</v>
      </c>
      <c r="P77" s="238">
        <f>B77*0.107/100</f>
        <v>0.107</v>
      </c>
      <c r="Q77" s="238">
        <f>B77*40.026/100</f>
        <v>40.026000000000003</v>
      </c>
      <c r="R77" s="238">
        <f>B77*0.269333333333333/100</f>
        <v>0.26933333333333298</v>
      </c>
      <c r="S77" s="238">
        <f>B77*1.18066666666667/100</f>
        <v>1.1806666666666701</v>
      </c>
      <c r="T77" s="238">
        <f>B77*239.816666666667/100</f>
        <v>239.816666666667</v>
      </c>
      <c r="U77" s="238">
        <f>B77*0.104333333333333/100</f>
        <v>0.104333333333333</v>
      </c>
      <c r="V77" s="238">
        <f>B77*0.306333333333333/100</f>
        <v>0.30633333333333301</v>
      </c>
      <c r="W77" s="269" t="s">
        <v>454</v>
      </c>
      <c r="X77" s="238">
        <f>B77*0.04/100</f>
        <v>0.04</v>
      </c>
      <c r="Y77" s="245" t="s">
        <v>455</v>
      </c>
      <c r="Z77" s="238">
        <f>B77*0.156666666666667/100</f>
        <v>0.15666666666666701</v>
      </c>
      <c r="AA77" s="245" t="s">
        <v>455</v>
      </c>
      <c r="AB77" s="238">
        <f>B77*22.55/100</f>
        <v>22.55</v>
      </c>
    </row>
    <row r="78" spans="1:28">
      <c r="A78" s="232" t="s">
        <v>516</v>
      </c>
      <c r="B78" s="59">
        <v>100</v>
      </c>
      <c r="C78" s="239">
        <f>B78*16.5788014492753/100</f>
        <v>16.5788014492753</v>
      </c>
      <c r="D78" s="239">
        <f>B78*2.68840579710145/100</f>
        <v>2.6884057971014501</v>
      </c>
      <c r="E78" s="246">
        <f>B78*0.236666666666667/100</f>
        <v>0.236666666666667</v>
      </c>
      <c r="F78" s="263"/>
      <c r="G78" s="263"/>
      <c r="H78" s="263"/>
      <c r="I78" s="263"/>
      <c r="J78" s="263"/>
      <c r="K78" s="269" t="s">
        <v>454</v>
      </c>
      <c r="L78" s="242">
        <f>B78*2.25159420289854/100</f>
        <v>2.2515942028985401</v>
      </c>
      <c r="M78" s="239">
        <f>B78*2.13666666666667/100</f>
        <v>2.1366666666666698</v>
      </c>
      <c r="N78" s="239">
        <f>B78*132.53/100</f>
        <v>132.53</v>
      </c>
      <c r="O78" s="239">
        <f>B78*18.1633333333333/100</f>
        <v>18.163333333333298</v>
      </c>
      <c r="P78" s="239">
        <f>B78*0.28/100</f>
        <v>0.28000000000000003</v>
      </c>
      <c r="Q78" s="239">
        <f>B78*50.5866666666667/100</f>
        <v>50.586666666666694</v>
      </c>
      <c r="R78" s="239">
        <f>B78*3.10666666666667/100</f>
        <v>3.1066666666666705</v>
      </c>
      <c r="S78" s="239">
        <f>B78*7.46233333333333/100</f>
        <v>7.4623333333333299</v>
      </c>
      <c r="T78" s="239">
        <f>B78*217.66/100</f>
        <v>217.66</v>
      </c>
      <c r="U78" s="239">
        <f>B78*0.103333333333333/100</f>
        <v>0.103333333333333</v>
      </c>
      <c r="V78" s="239">
        <f>B78*0.723333333333333/100</f>
        <v>0.72333333333333305</v>
      </c>
      <c r="W78" s="269" t="s">
        <v>454</v>
      </c>
      <c r="X78" s="239">
        <f>B78*0.106666666666667/100</f>
        <v>0.10666666666666699</v>
      </c>
      <c r="Y78" s="239">
        <f>B78*0.23/100</f>
        <v>0.23</v>
      </c>
      <c r="Z78" s="239">
        <f>B78*0.0933333333333333/100</f>
        <v>9.333333333333331E-2</v>
      </c>
      <c r="AA78" s="239">
        <f>B78*1.19333333333333/100</f>
        <v>1.19333333333333</v>
      </c>
      <c r="AB78" s="239">
        <f>B78*60.1/100</f>
        <v>60.1</v>
      </c>
    </row>
    <row r="79" spans="1:28">
      <c r="A79" s="232" t="s">
        <v>517</v>
      </c>
      <c r="B79" s="59">
        <v>100</v>
      </c>
      <c r="C79" s="238">
        <f>B79*19.0914566449706/100</f>
        <v>19.091456644970599</v>
      </c>
      <c r="D79" s="238">
        <f>B79*0.758333333333333/100</f>
        <v>0.75833333333333297</v>
      </c>
      <c r="E79" s="248">
        <f>B79*0.069/100</f>
        <v>6.9000000000000006E-2</v>
      </c>
      <c r="F79" s="263"/>
      <c r="G79" s="263"/>
      <c r="H79" s="263"/>
      <c r="I79" s="263"/>
      <c r="J79" s="263"/>
      <c r="K79" s="269" t="s">
        <v>454</v>
      </c>
      <c r="L79" s="242">
        <f>B79*4.27233333333334/100</f>
        <v>4.2723333333333402</v>
      </c>
      <c r="M79" s="238">
        <f>B79*0.957/100</f>
        <v>0.95700000000000007</v>
      </c>
      <c r="N79" s="243">
        <f>B79*65.2246666666667/100</f>
        <v>65.224666666666707</v>
      </c>
      <c r="O79" s="243">
        <f>B79*8.86033333333333/100</f>
        <v>8.8603333333333296</v>
      </c>
      <c r="P79" s="243">
        <f>B79*0.178/100</f>
        <v>0.17800000000000002</v>
      </c>
      <c r="Q79" s="243">
        <f>B79*28.0456666666667/100</f>
        <v>28.045666666666701</v>
      </c>
      <c r="R79" s="243">
        <f>B79*0.720333333333333/100</f>
        <v>0.72033333333333305</v>
      </c>
      <c r="S79" s="243">
        <f>B79*9.51566666666667/100</f>
        <v>9.5156666666666698</v>
      </c>
      <c r="T79" s="243">
        <f>B79*273.603666666667/100</f>
        <v>273.60366666666698</v>
      </c>
      <c r="U79" s="243">
        <f>B79*0.314333333333333/100</f>
        <v>0.31433333333333302</v>
      </c>
      <c r="V79" s="243">
        <f>B79*0.142666666666667/100</f>
        <v>0.142666666666667</v>
      </c>
      <c r="W79" s="269" t="s">
        <v>454</v>
      </c>
      <c r="X79" s="243" t="s">
        <v>455</v>
      </c>
      <c r="Y79" s="243" t="s">
        <v>455</v>
      </c>
      <c r="Z79" s="243">
        <f>B79*0.18/100</f>
        <v>0.18</v>
      </c>
      <c r="AA79" s="243" t="s">
        <v>455</v>
      </c>
      <c r="AB79" s="243">
        <f>B79*5.88/100</f>
        <v>5.88</v>
      </c>
    </row>
    <row r="80" spans="1:28">
      <c r="A80" s="232" t="s">
        <v>518</v>
      </c>
      <c r="B80" s="59">
        <v>100</v>
      </c>
      <c r="C80" s="238">
        <f>B80*8.79490323686605/100</f>
        <v>8.79490323686605</v>
      </c>
      <c r="D80" s="238">
        <f>B80*0.608333333333333/100</f>
        <v>0.60833333333333295</v>
      </c>
      <c r="E80" s="248">
        <f>B80*0.129/100</f>
        <v>0.129</v>
      </c>
      <c r="F80" s="263"/>
      <c r="G80" s="263"/>
      <c r="H80" s="263"/>
      <c r="I80" s="263"/>
      <c r="J80" s="263"/>
      <c r="K80" s="269" t="s">
        <v>454</v>
      </c>
      <c r="L80" s="242">
        <f>B80*1.74533333333335/100</f>
        <v>1.7453333333333501</v>
      </c>
      <c r="M80" s="238">
        <f>B80*1.02166666666667/100</f>
        <v>1.0216666666666701</v>
      </c>
      <c r="N80" s="238">
        <f>B80*14.4446666666667/100</f>
        <v>14.4446666666667</v>
      </c>
      <c r="O80" s="238">
        <f>B80*5.73666666666667/100</f>
        <v>5.7366666666666699</v>
      </c>
      <c r="P80" s="238">
        <f>B80*0.117666666666667/100</f>
        <v>0.11766666666666699</v>
      </c>
      <c r="Q80" s="238">
        <f>B80*19.377/100</f>
        <v>19.376999999999999</v>
      </c>
      <c r="R80" s="238">
        <f>B80*0.266666666666667/100</f>
        <v>0.266666666666667</v>
      </c>
      <c r="S80" s="238">
        <f>B80*7.30833333333333/100</f>
        <v>7.30833333333333</v>
      </c>
      <c r="T80" s="238">
        <f>B80*136.003/100</f>
        <v>136.00299999999999</v>
      </c>
      <c r="U80" s="238">
        <f>B80*0.0216666666666667/100</f>
        <v>2.1666666666666702E-2</v>
      </c>
      <c r="V80" s="238">
        <f>B80*0.226333333333333/100</f>
        <v>0.226333333333333</v>
      </c>
      <c r="W80" s="269" t="s">
        <v>454</v>
      </c>
      <c r="X80" s="238">
        <f>B80*0.03/100</f>
        <v>0.03</v>
      </c>
      <c r="Y80" s="245" t="s">
        <v>455</v>
      </c>
      <c r="Z80" s="238">
        <f>B80*0.0366666666666667/100</f>
        <v>3.6666666666666702E-2</v>
      </c>
      <c r="AA80" s="245" t="s">
        <v>455</v>
      </c>
      <c r="AB80" s="238">
        <f>B80*10.96/100</f>
        <v>10.96</v>
      </c>
    </row>
    <row r="81" spans="1:28">
      <c r="A81" s="232" t="s">
        <v>519</v>
      </c>
      <c r="B81" s="59">
        <v>100</v>
      </c>
      <c r="C81" s="239">
        <f>B81*10.6808565217392/100</f>
        <v>10.6808565217392</v>
      </c>
      <c r="D81" s="239">
        <f>B81*1.34782608695652/100</f>
        <v>1.34782608695652</v>
      </c>
      <c r="E81" s="246">
        <f>B81*0.16/100</f>
        <v>0.16</v>
      </c>
      <c r="F81" s="263"/>
      <c r="G81" s="263"/>
      <c r="H81" s="263"/>
      <c r="I81" s="263"/>
      <c r="J81" s="263"/>
      <c r="K81" s="269" t="s">
        <v>454</v>
      </c>
      <c r="L81" s="242">
        <f>B81*1.69550724637683/100</f>
        <v>1.6955072463768301</v>
      </c>
      <c r="M81" s="239">
        <f>B81*1.82666666666667/100</f>
        <v>1.82666666666667</v>
      </c>
      <c r="N81" s="239">
        <f>B81*37.98/100</f>
        <v>37.979999999999997</v>
      </c>
      <c r="O81" s="239">
        <f>B81*10.97/100</f>
        <v>10.97</v>
      </c>
      <c r="P81" s="239">
        <f>B81*0.2/100</f>
        <v>0.2</v>
      </c>
      <c r="Q81" s="239">
        <f>B81*25.8066666666667/100</f>
        <v>25.8066666666667</v>
      </c>
      <c r="R81" s="239">
        <f>B81*0.396666666666667/100</f>
        <v>0.396666666666667</v>
      </c>
      <c r="S81" s="239">
        <f>B81*3.38/100</f>
        <v>3.38</v>
      </c>
      <c r="T81" s="239">
        <f>B81*267.133333333333/100</f>
        <v>267.13333333333298</v>
      </c>
      <c r="U81" s="239">
        <f>B81*0.03/100</f>
        <v>0.03</v>
      </c>
      <c r="V81" s="239">
        <f>B81*0.253333333333333/100</f>
        <v>0.25333333333333302</v>
      </c>
      <c r="W81" s="269" t="s">
        <v>454</v>
      </c>
      <c r="X81" s="239">
        <f>B81*0.11/100</f>
        <v>0.11</v>
      </c>
      <c r="Y81" s="239">
        <f>B81*0.123333333333333/100</f>
        <v>0.123333333333333</v>
      </c>
      <c r="Z81" s="239" t="s">
        <v>455</v>
      </c>
      <c r="AA81" s="239">
        <f>B81*1.09333333333333/100</f>
        <v>1.0933333333333299</v>
      </c>
      <c r="AB81" s="239">
        <f>B81*15.5766666666667/100</f>
        <v>15.5766666666667</v>
      </c>
    </row>
    <row r="82" spans="1:28">
      <c r="A82" s="232" t="s">
        <v>520</v>
      </c>
      <c r="B82" s="59">
        <v>100</v>
      </c>
      <c r="C82" s="239">
        <f>B82*13.8209014492753/100</f>
        <v>13.820901449275301</v>
      </c>
      <c r="D82" s="239">
        <f>B82*1.68840579710145/100</f>
        <v>1.6884057971014499</v>
      </c>
      <c r="E82" s="246">
        <f>B82*0.123333333333333/100</f>
        <v>0.123333333333333</v>
      </c>
      <c r="F82" s="263"/>
      <c r="G82" s="263"/>
      <c r="H82" s="263"/>
      <c r="I82" s="263"/>
      <c r="J82" s="263"/>
      <c r="K82" s="269" t="s">
        <v>454</v>
      </c>
      <c r="L82" s="242">
        <f>B82*2.42826086956522/100</f>
        <v>2.4282608695652201</v>
      </c>
      <c r="M82" s="239">
        <f>B82*2.33/100</f>
        <v>2.33</v>
      </c>
      <c r="N82" s="239">
        <f>B82*27.5133333333333/100</f>
        <v>27.5133333333333</v>
      </c>
      <c r="O82" s="239">
        <f>B82*9.10666666666667/100</f>
        <v>9.1066666666666691</v>
      </c>
      <c r="P82" s="239">
        <f>B82*0.333666666666667/100</f>
        <v>0.333666666666667</v>
      </c>
      <c r="Q82" s="239">
        <f>B82*26.1333333333333/100</f>
        <v>26.133333333333304</v>
      </c>
      <c r="R82" s="239">
        <f>B82*0.61/100</f>
        <v>0.61</v>
      </c>
      <c r="S82" s="239">
        <f>B82*4.23333333333333/100</f>
        <v>4.2333333333333298</v>
      </c>
      <c r="T82" s="239">
        <f>B82*348.71/100</f>
        <v>348.71</v>
      </c>
      <c r="U82" s="239">
        <f>B82*0.0333333333333333/100</f>
        <v>3.3333333333333298E-2</v>
      </c>
      <c r="V82" s="239">
        <f>B82*0.346666666666667/100</f>
        <v>0.34666666666666701</v>
      </c>
      <c r="W82" s="269" t="s">
        <v>454</v>
      </c>
      <c r="X82" s="239">
        <f>B82*0.0866666666666667/100</f>
        <v>8.6666666666666697E-2</v>
      </c>
      <c r="Y82" s="239">
        <f>B82*0.0833333333333333/100</f>
        <v>8.3333333333333301E-2</v>
      </c>
      <c r="Z82" s="239">
        <f>B82*0.07/100</f>
        <v>7.0000000000000007E-2</v>
      </c>
      <c r="AA82" s="252">
        <f>B82*0.75/100</f>
        <v>0.75</v>
      </c>
      <c r="AB82" s="239">
        <f>B82*21.39/100</f>
        <v>21.39</v>
      </c>
    </row>
    <row r="83" spans="1:28">
      <c r="A83" s="222" t="s">
        <v>3090</v>
      </c>
      <c r="B83" s="59">
        <v>100</v>
      </c>
      <c r="C83" s="247">
        <f>B83*12.716997363468/100</f>
        <v>12.716997363468</v>
      </c>
      <c r="D83" s="247">
        <f>B83*0.90625/100</f>
        <v>0.90625</v>
      </c>
      <c r="E83" s="247">
        <f>B83*0.191666666666667/100</f>
        <v>0.19166666666666698</v>
      </c>
      <c r="F83" s="263"/>
      <c r="G83" s="263"/>
      <c r="H83" s="263"/>
      <c r="I83" s="263"/>
      <c r="J83" s="263"/>
      <c r="K83" s="247" t="s">
        <v>454</v>
      </c>
      <c r="L83" s="247">
        <f>B83*2.49341666666666/100</f>
        <v>2.49341666666666</v>
      </c>
      <c r="M83" s="247">
        <f>B83*2.01333333333333/100</f>
        <v>2.0133333333333301</v>
      </c>
      <c r="N83" s="247">
        <f>B83*33.8283333333333/100</f>
        <v>33.828333333333298</v>
      </c>
      <c r="O83" s="247">
        <f>B83*9.311/100</f>
        <v>9.3109999999999999</v>
      </c>
      <c r="P83" s="247">
        <f>B83*0.116333333333333/100</f>
        <v>0.116333333333333</v>
      </c>
      <c r="Q83" s="247">
        <f>B83*51.1293333333333/100</f>
        <v>51.1293333333333</v>
      </c>
      <c r="R83" s="247">
        <f>B83*2.477/100</f>
        <v>2.4769999999999999</v>
      </c>
      <c r="S83" s="247">
        <f>B83*7.12433333333333/100</f>
        <v>7.124333333333329</v>
      </c>
      <c r="T83" s="247">
        <f>B83*308.435333333333/100</f>
        <v>308.43533333333301</v>
      </c>
      <c r="U83" s="247">
        <f>B83*0.0366666666666667/100</f>
        <v>3.6666666666666702E-2</v>
      </c>
      <c r="V83" s="247">
        <f>B83*0.234666666666667/100</f>
        <v>0.234666666666667</v>
      </c>
      <c r="W83" s="247" t="s">
        <v>454</v>
      </c>
      <c r="X83" s="247" t="s">
        <v>455</v>
      </c>
      <c r="Y83" s="247" t="s">
        <v>455</v>
      </c>
      <c r="Z83" s="247" t="s">
        <v>455</v>
      </c>
      <c r="AA83" s="247" t="s">
        <v>455</v>
      </c>
      <c r="AB83" s="247">
        <f>B83*13.4733333333333/100</f>
        <v>13.473333333333301</v>
      </c>
    </row>
    <row r="84" spans="1:28">
      <c r="A84" s="232" t="s">
        <v>521</v>
      </c>
      <c r="B84" s="59">
        <v>100</v>
      </c>
      <c r="C84" s="238">
        <f>B84*29.1836130810579/100</f>
        <v>29.183613081057903</v>
      </c>
      <c r="D84" s="238">
        <f>B84*2.65833333333333/100</f>
        <v>2.6583333333333301</v>
      </c>
      <c r="E84" s="248">
        <f>B84*0.476333333333333/100</f>
        <v>0.476333333333333</v>
      </c>
      <c r="F84" s="252">
        <f>B84*0.1/100</f>
        <v>0.1</v>
      </c>
      <c r="G84" s="252" t="s">
        <v>455</v>
      </c>
      <c r="H84" s="252">
        <f>B84*0.2/100</f>
        <v>0.2</v>
      </c>
      <c r="I84" s="263">
        <f>B84*0.04/100</f>
        <v>0.04</v>
      </c>
      <c r="J84" s="263">
        <f>B84*0.16/100</f>
        <v>0.16</v>
      </c>
      <c r="K84" s="269" t="s">
        <v>454</v>
      </c>
      <c r="L84" s="242">
        <f>B84*5.241/100</f>
        <v>5.2409999999999988</v>
      </c>
      <c r="M84" s="238">
        <f>B84*4.14033333333333/100</f>
        <v>4.1403333333333299</v>
      </c>
      <c r="N84" s="238">
        <f>B84*258.497666666667/100</f>
        <v>258.49766666666699</v>
      </c>
      <c r="O84" s="238">
        <f>B84*84.2383333333333/100</f>
        <v>84.238333333333301</v>
      </c>
      <c r="P84" s="238">
        <f>B84*0.145333333333333/100</f>
        <v>0.14533333333333301</v>
      </c>
      <c r="Q84" s="238">
        <f>B84*49.743/100</f>
        <v>49.743000000000002</v>
      </c>
      <c r="R84" s="238">
        <f>B84*1.25633333333333/100</f>
        <v>1.25633333333333</v>
      </c>
      <c r="S84" s="238">
        <f>B84*4.55033333333333/100</f>
        <v>4.55033333333333</v>
      </c>
      <c r="T84" s="238">
        <f>B84*260.717666666667/100</f>
        <v>260.71766666666701</v>
      </c>
      <c r="U84" s="238">
        <f>B84*0.151666666666667/100</f>
        <v>0.151666666666667</v>
      </c>
      <c r="V84" s="238">
        <f>B84*0.706/100</f>
        <v>0.70599999999999996</v>
      </c>
      <c r="W84" s="269" t="s">
        <v>454</v>
      </c>
      <c r="X84" s="245" t="s">
        <v>455</v>
      </c>
      <c r="Y84" s="238">
        <f>B84*0.12/100</f>
        <v>0.12</v>
      </c>
      <c r="Z84" s="238">
        <f>B84*0.556666666666667/100</f>
        <v>0.55666666666666698</v>
      </c>
      <c r="AA84" s="245" t="s">
        <v>455</v>
      </c>
      <c r="AB84" s="245" t="s">
        <v>455</v>
      </c>
    </row>
    <row r="85" spans="1:28">
      <c r="A85" s="232" t="s">
        <v>522</v>
      </c>
      <c r="B85" s="59">
        <v>100</v>
      </c>
      <c r="C85" s="239">
        <f>B85*113.12987826087/100</f>
        <v>113.12987826087002</v>
      </c>
      <c r="D85" s="239">
        <f>B85*7.01086956521739/100</f>
        <v>7.0108695652173898</v>
      </c>
      <c r="E85" s="246">
        <f>B85*0.22/100</f>
        <v>0.22</v>
      </c>
      <c r="F85" s="263"/>
      <c r="G85" s="252"/>
      <c r="H85" s="252"/>
      <c r="I85" s="263"/>
      <c r="J85" s="263"/>
      <c r="K85" s="269" t="s">
        <v>454</v>
      </c>
      <c r="L85" s="242">
        <f>B85*23.9057971014493/100</f>
        <v>23.905797101449298</v>
      </c>
      <c r="M85" s="239">
        <f>B85*4.32333333333333/100</f>
        <v>4.3233333333333297</v>
      </c>
      <c r="N85" s="239">
        <f>B85*13.56/100</f>
        <v>13.56</v>
      </c>
      <c r="O85" s="239">
        <f>B85*21.2933333333333/100</f>
        <v>21.293333333333305</v>
      </c>
      <c r="P85" s="239">
        <f>B85*0.24/100</f>
        <v>0.24</v>
      </c>
      <c r="Q85" s="239">
        <f>B85*149.09/100</f>
        <v>149.09</v>
      </c>
      <c r="R85" s="239">
        <f>B85*0.8/100</f>
        <v>0.8</v>
      </c>
      <c r="S85" s="239">
        <f>B85*5.36/100</f>
        <v>5.36</v>
      </c>
      <c r="T85" s="239">
        <f>B85*534.886666666667/100</f>
        <v>534.886666666667</v>
      </c>
      <c r="U85" s="239">
        <f>B85*0.15/100</f>
        <v>0.15</v>
      </c>
      <c r="V85" s="239">
        <f>B85*0.82/100</f>
        <v>0.82</v>
      </c>
      <c r="W85" s="269" t="s">
        <v>454</v>
      </c>
      <c r="X85" s="239">
        <f>B85*0.183333333333333/100</f>
        <v>0.18333333333333302</v>
      </c>
      <c r="Y85" s="239" t="s">
        <v>455</v>
      </c>
      <c r="Z85" s="239">
        <f>B85*0.443333333333333/100</f>
        <v>0.44333333333333302</v>
      </c>
      <c r="AA85" s="239" t="s">
        <v>455</v>
      </c>
      <c r="AB85" s="239" t="s">
        <v>23</v>
      </c>
    </row>
    <row r="86" spans="1:28">
      <c r="A86" s="221" t="s">
        <v>3091</v>
      </c>
      <c r="B86" s="59">
        <v>100</v>
      </c>
      <c r="C86" s="247">
        <f>B86*31.5079193532467/100</f>
        <v>31.507919353246699</v>
      </c>
      <c r="D86" s="247">
        <f>B86*1.4125/100</f>
        <v>1.4125000000000001</v>
      </c>
      <c r="E86" s="241">
        <f>B86*0.139666666666667/100</f>
        <v>0.13966666666666699</v>
      </c>
      <c r="F86" s="263"/>
      <c r="G86" s="252"/>
      <c r="H86" s="252"/>
      <c r="I86" s="263"/>
      <c r="J86" s="263"/>
      <c r="K86" s="247" t="s">
        <v>454</v>
      </c>
      <c r="L86" s="247">
        <f>B86*6.87816666666667/100</f>
        <v>6.8781666666666696</v>
      </c>
      <c r="M86" s="241">
        <f>B86*2.50666666666667/100</f>
        <v>2.5066666666666699</v>
      </c>
      <c r="N86" s="241">
        <f>B86*33.6163333333333/100</f>
        <v>33.616333333333301</v>
      </c>
      <c r="O86" s="241">
        <f>B86*10.6946666666667/100</f>
        <v>10.6946666666667</v>
      </c>
      <c r="P86" s="241">
        <f>B86*0.102333333333333/100</f>
        <v>0.102333333333333</v>
      </c>
      <c r="Q86" s="241">
        <f>B86*36.4863333333333/100</f>
        <v>36.486333333333299</v>
      </c>
      <c r="R86" s="241">
        <f>B86*0.640666666666667/100</f>
        <v>0.64066666666666705</v>
      </c>
      <c r="S86" s="241">
        <f>B86*1.76233333333333/100</f>
        <v>1.76233333333333</v>
      </c>
      <c r="T86" s="241">
        <f>B86*224.466333333333/100</f>
        <v>224.46633333333301</v>
      </c>
      <c r="U86" s="241">
        <f>B86*0.288/100</f>
        <v>0.28799999999999998</v>
      </c>
      <c r="V86" s="241">
        <f>B86*0.240666666666667</f>
        <v>24.066666666666698</v>
      </c>
      <c r="W86" s="247" t="s">
        <v>454</v>
      </c>
      <c r="X86" s="241">
        <f>B86*0.0633333333333333/100</f>
        <v>6.3333333333333297E-2</v>
      </c>
      <c r="Y86" s="241" t="s">
        <v>455</v>
      </c>
      <c r="Z86" s="241">
        <f>B86*0.0833333333333333/100</f>
        <v>8.3333333333333301E-2</v>
      </c>
      <c r="AA86" s="241">
        <f>B86*0.34/100</f>
        <v>0.34</v>
      </c>
      <c r="AB86" s="241">
        <f>B86*14.1466666666667/100</f>
        <v>14.146666666666698</v>
      </c>
    </row>
    <row r="87" spans="1:28">
      <c r="A87" s="232" t="s">
        <v>523</v>
      </c>
      <c r="B87" s="59">
        <v>100</v>
      </c>
      <c r="C87" s="239">
        <f>B87*18.0344289855072/100</f>
        <v>18.034428985507201</v>
      </c>
      <c r="D87" s="239">
        <f>B87*1.76811594202899/100</f>
        <v>1.7681159420289903</v>
      </c>
      <c r="E87" s="246">
        <f>B87*0.216666666666667/100</f>
        <v>0.21666666666666701</v>
      </c>
      <c r="F87" s="263"/>
      <c r="G87" s="252"/>
      <c r="H87" s="252"/>
      <c r="I87" s="263"/>
      <c r="J87" s="263"/>
      <c r="K87" s="269" t="s">
        <v>454</v>
      </c>
      <c r="L87" s="242">
        <f>B87*3.33521739130435/100</f>
        <v>3.3352173913043499</v>
      </c>
      <c r="M87" s="239">
        <f>B87*2.58666666666667/100</f>
        <v>2.5866666666666704</v>
      </c>
      <c r="N87" s="239">
        <f>B87*19.4953333333333/100</f>
        <v>19.495333333333299</v>
      </c>
      <c r="O87" s="239">
        <f>B87*21.11/100</f>
        <v>21.11</v>
      </c>
      <c r="P87" s="239">
        <f>B87*0.166666666666667/100</f>
        <v>0.16666666666666699</v>
      </c>
      <c r="Q87" s="239">
        <f>B87*39.66/100</f>
        <v>39.659999999999997</v>
      </c>
      <c r="R87" s="239">
        <f>B87*0.743333333333333/100</f>
        <v>0.74333333333333296</v>
      </c>
      <c r="S87" s="239">
        <f>B87*2.35066666666667/100</f>
        <v>2.3506666666666698</v>
      </c>
      <c r="T87" s="239">
        <f>B87*369.12/100</f>
        <v>369.12</v>
      </c>
      <c r="U87" s="239">
        <f>B87*0.1/100</f>
        <v>0.1</v>
      </c>
      <c r="V87" s="239">
        <f>B87*0.286666666666667/100</f>
        <v>0.28666666666666701</v>
      </c>
      <c r="W87" s="269" t="s">
        <v>454</v>
      </c>
      <c r="X87" s="239">
        <f>B87*0.0966666666666667/100</f>
        <v>9.666666666666672E-2</v>
      </c>
      <c r="Y87" s="239">
        <f>B87*0.176666666666667/100</f>
        <v>0.176666666666667</v>
      </c>
      <c r="Z87" s="239" t="s">
        <v>455</v>
      </c>
      <c r="AA87" s="239">
        <f>B87*0.626666666666667/100</f>
        <v>0.62666666666666704</v>
      </c>
      <c r="AB87" s="239">
        <f>B87*1.68666666666667/100</f>
        <v>1.6866666666666701</v>
      </c>
    </row>
    <row r="88" spans="1:28">
      <c r="A88" s="232" t="s">
        <v>524</v>
      </c>
      <c r="B88" s="59">
        <v>100</v>
      </c>
      <c r="C88" s="238">
        <f>B88*65.0819108288685/100</f>
        <v>65.081910828868502</v>
      </c>
      <c r="D88" s="238">
        <f>B88*1.70416666666667/100</f>
        <v>1.7041666666666699</v>
      </c>
      <c r="E88" s="238">
        <f>B88*4.847/100</f>
        <v>4.8470000000000004</v>
      </c>
      <c r="F88" s="252">
        <f>B88*0.8/100</f>
        <v>0.8</v>
      </c>
      <c r="G88" s="252">
        <f>B88*1.1/100</f>
        <v>1.1000000000000001</v>
      </c>
      <c r="H88" s="252">
        <f>B88*2.6/100</f>
        <v>2.6</v>
      </c>
      <c r="I88" s="263">
        <f>B88*2.3/100</f>
        <v>2.2999999999999998</v>
      </c>
      <c r="J88" s="263">
        <f>B88*0.35/100</f>
        <v>0.35</v>
      </c>
      <c r="K88" s="269" t="s">
        <v>454</v>
      </c>
      <c r="L88" s="242">
        <f>B88*5.70149999999999/100</f>
        <v>5.7014999999999896</v>
      </c>
      <c r="M88" s="238">
        <f>B88*3.42766666666667/100</f>
        <v>3.4276666666666697</v>
      </c>
      <c r="N88" s="238">
        <f>B88*63.4036666666667/100</f>
        <v>63.403666666666702</v>
      </c>
      <c r="O88" s="238">
        <f>B88*17.284/100</f>
        <v>17.283999999999999</v>
      </c>
      <c r="P88" s="238">
        <f>B88*0.278666666666667/100</f>
        <v>0.27866666666666701</v>
      </c>
      <c r="Q88" s="242">
        <f>B88*30.8716666666667/100</f>
        <v>30.871666666666702</v>
      </c>
      <c r="R88" s="238">
        <f>B88*1.55066666666667/100</f>
        <v>1.55066666666667</v>
      </c>
      <c r="S88" s="238">
        <f>B88*14.515/100</f>
        <v>14.515000000000001</v>
      </c>
      <c r="T88" s="238">
        <f>B88*315.355666666667/100</f>
        <v>315.35566666666699</v>
      </c>
      <c r="U88" s="238">
        <f>B88*0.058/100</f>
        <v>5.800000000000001E-2</v>
      </c>
      <c r="V88" s="238">
        <f>B88*0.191/100</f>
        <v>0.191</v>
      </c>
      <c r="W88" s="269" t="s">
        <v>454</v>
      </c>
      <c r="X88" s="238">
        <f>B88*0.03/100</f>
        <v>0.03</v>
      </c>
      <c r="Y88" s="238">
        <f>B88*0.06/100</f>
        <v>0.06</v>
      </c>
      <c r="Z88" s="238">
        <f>B88*0.0466666666666667/100</f>
        <v>4.6666666666666697E-2</v>
      </c>
      <c r="AA88" s="238">
        <f>B88*4.03333333333333/100</f>
        <v>4.0333333333333297</v>
      </c>
      <c r="AB88" s="238">
        <f>B88*1.47/100</f>
        <v>1.47</v>
      </c>
    </row>
    <row r="89" spans="1:28">
      <c r="A89" s="232" t="s">
        <v>525</v>
      </c>
      <c r="B89" s="59">
        <v>100</v>
      </c>
      <c r="C89" s="238">
        <f>B89*80.1197625/100</f>
        <v>80.119762499999993</v>
      </c>
      <c r="D89" s="238">
        <f>B89*0.852083333333333/100</f>
        <v>0.85208333333333297</v>
      </c>
      <c r="E89" s="248">
        <f>B89*0.166333333333333/100</f>
        <v>0.166333333333333</v>
      </c>
      <c r="F89" s="252"/>
      <c r="G89" s="252"/>
      <c r="H89" s="252"/>
      <c r="I89" s="263"/>
      <c r="J89" s="263"/>
      <c r="K89" s="269" t="s">
        <v>454</v>
      </c>
      <c r="L89" s="242">
        <f>B89*18.9475833333333/100</f>
        <v>18.947583333333299</v>
      </c>
      <c r="M89" s="238">
        <f>B89*1.758/100</f>
        <v>1.758</v>
      </c>
      <c r="N89" s="238">
        <f>B89*11.85/100</f>
        <v>11.85</v>
      </c>
      <c r="O89" s="238">
        <f>B89*7.576/100</f>
        <v>7.5759999999999987</v>
      </c>
      <c r="P89" s="238">
        <f>B89*0.218/100</f>
        <v>0.218</v>
      </c>
      <c r="Q89" s="238">
        <f>B89*29.475/100</f>
        <v>29.475000000000001</v>
      </c>
      <c r="R89" s="238">
        <f>B89*0.423666666666667/100</f>
        <v>0.42366666666666702</v>
      </c>
      <c r="S89" s="238">
        <f>B89*2.098/100</f>
        <v>2.0979999999999999</v>
      </c>
      <c r="T89" s="238">
        <f>B89*258.326666666667/100</f>
        <v>258.32666666666699</v>
      </c>
      <c r="U89" s="238">
        <f>B89*0.147/100</f>
        <v>0.14699999999999999</v>
      </c>
      <c r="V89" s="238">
        <f>B89*0.378666666666667/100</f>
        <v>0.37866666666666693</v>
      </c>
      <c r="W89" s="269" t="s">
        <v>454</v>
      </c>
      <c r="X89" s="238">
        <f>B89*0.06/100</f>
        <v>0.06</v>
      </c>
      <c r="Y89" s="245" t="s">
        <v>455</v>
      </c>
      <c r="Z89" s="245" t="s">
        <v>455</v>
      </c>
      <c r="AA89" s="238">
        <f>B89*1.98/100</f>
        <v>1.98</v>
      </c>
      <c r="AB89" s="238">
        <f>B89*17.1/100</f>
        <v>17.100000000000001</v>
      </c>
    </row>
    <row r="90" spans="1:28">
      <c r="A90" s="232" t="s">
        <v>526</v>
      </c>
      <c r="B90" s="59">
        <v>100</v>
      </c>
      <c r="C90" s="239">
        <f>B90*100.984923188406/100</f>
        <v>100.98492318840599</v>
      </c>
      <c r="D90" s="239">
        <f>B90*1.04710144927536/100</f>
        <v>1.0471014492753601</v>
      </c>
      <c r="E90" s="246">
        <f>B90*0.17/100</f>
        <v>0.17</v>
      </c>
      <c r="F90" s="252"/>
      <c r="G90" s="252"/>
      <c r="H90" s="252"/>
      <c r="I90" s="263"/>
      <c r="J90" s="263"/>
      <c r="K90" s="269" t="s">
        <v>454</v>
      </c>
      <c r="L90" s="242">
        <f>B90*23.9828985507246/100</f>
        <v>23.982898550724599</v>
      </c>
      <c r="M90" s="239">
        <f>B90*2.06333333333333/100</f>
        <v>2.0633333333333299</v>
      </c>
      <c r="N90" s="239">
        <f>B90*17.1266666666667/100</f>
        <v>17.126666666666701</v>
      </c>
      <c r="O90" s="239">
        <f>B90*11.9933333333333/100</f>
        <v>11.9933333333333</v>
      </c>
      <c r="P90" s="239">
        <f>B90*0.0666666666666667/100</f>
        <v>6.6666666666666693E-2</v>
      </c>
      <c r="Q90" s="239">
        <f>B90*45.2/100</f>
        <v>45.2</v>
      </c>
      <c r="R90" s="239">
        <f>B90*0.303333333333333/100</f>
        <v>0.30333333333333301</v>
      </c>
      <c r="S90" s="239" t="s">
        <v>455</v>
      </c>
      <c r="T90" s="239">
        <f>B90*505.183333333333/100</f>
        <v>505.183333333333</v>
      </c>
      <c r="U90" s="239">
        <f>B90*0.0466666666666667/100</f>
        <v>4.6666666666666697E-2</v>
      </c>
      <c r="V90" s="239">
        <f>B90*0.203333333333333/100</f>
        <v>0.20333333333333301</v>
      </c>
      <c r="W90" s="269" t="s">
        <v>454</v>
      </c>
      <c r="X90" s="239">
        <f>B90*0.0466666666666667/100</f>
        <v>4.6666666666666697E-2</v>
      </c>
      <c r="Y90" s="239" t="s">
        <v>455</v>
      </c>
      <c r="Z90" s="239">
        <f>B90*0.123333333333333/100</f>
        <v>0.123333333333333</v>
      </c>
      <c r="AA90" s="239" t="s">
        <v>455</v>
      </c>
      <c r="AB90" s="239">
        <f>B90*7.55/100</f>
        <v>7.55</v>
      </c>
    </row>
    <row r="91" spans="1:28">
      <c r="A91" s="232" t="s">
        <v>527</v>
      </c>
      <c r="B91" s="59">
        <v>100</v>
      </c>
      <c r="C91" s="238">
        <f>B91*76.7596105034352/100</f>
        <v>76.759610503435198</v>
      </c>
      <c r="D91" s="238">
        <f>B91*0.641666666666667/100</f>
        <v>0.64166666666666705</v>
      </c>
      <c r="E91" s="248">
        <f>B91*0.0876666666666667/100</f>
        <v>8.7666666666666698E-2</v>
      </c>
      <c r="F91" s="252"/>
      <c r="G91" s="252"/>
      <c r="H91" s="252"/>
      <c r="I91" s="263"/>
      <c r="J91" s="263"/>
      <c r="K91" s="269" t="s">
        <v>454</v>
      </c>
      <c r="L91" s="242">
        <f>B91*18.4223333333333/100</f>
        <v>18.422333333333299</v>
      </c>
      <c r="M91" s="238">
        <f>B91*2.212/100</f>
        <v>2.2120000000000002</v>
      </c>
      <c r="N91" s="238">
        <f>B91*17.153/100</f>
        <v>17.152999999999999</v>
      </c>
      <c r="O91" s="238">
        <f>B91*11.1596666666667/100</f>
        <v>11.159666666666702</v>
      </c>
      <c r="P91" s="238">
        <f>B91*0.139333333333333/100</f>
        <v>0.139333333333333</v>
      </c>
      <c r="Q91" s="238">
        <f>B91*15.394/100</f>
        <v>15.394</v>
      </c>
      <c r="R91" s="238">
        <f>B91*0.187/100</f>
        <v>0.187</v>
      </c>
      <c r="S91" s="238">
        <f>B91*2.699/100</f>
        <v>2.6989999999999998</v>
      </c>
      <c r="T91" s="238">
        <f>B91*148.44/100</f>
        <v>148.44</v>
      </c>
      <c r="U91" s="238">
        <f>B91*0.06/100</f>
        <v>0.06</v>
      </c>
      <c r="V91" s="238">
        <f>B91*0.123333333333333/100</f>
        <v>0.123333333333333</v>
      </c>
      <c r="W91" s="269" t="s">
        <v>454</v>
      </c>
      <c r="X91" s="238">
        <f>B91*0.0833333333333333/100</f>
        <v>8.3333333333333301E-2</v>
      </c>
      <c r="Y91" s="245" t="s">
        <v>455</v>
      </c>
      <c r="Z91" s="238">
        <f>B91*0.05/100</f>
        <v>0.05</v>
      </c>
      <c r="AA91" s="238">
        <f>B91*2.57333333333333/100</f>
        <v>2.5733333333333301</v>
      </c>
      <c r="AB91" s="238">
        <f>B91*23.7866666666667/100</f>
        <v>23.786666666666701</v>
      </c>
    </row>
    <row r="92" spans="1:28">
      <c r="A92" s="232" t="s">
        <v>528</v>
      </c>
      <c r="B92" s="59">
        <v>100</v>
      </c>
      <c r="C92" s="239">
        <f>B92*118.241375362319/100</f>
        <v>118.24137536231902</v>
      </c>
      <c r="D92" s="239">
        <f>B92*1.25724637681159/100</f>
        <v>1.25724637681159</v>
      </c>
      <c r="E92" s="246">
        <f>B92*0.133333333333333/100</f>
        <v>0.133333333333333</v>
      </c>
      <c r="F92" s="252"/>
      <c r="G92" s="252"/>
      <c r="H92" s="252"/>
      <c r="I92" s="263"/>
      <c r="J92" s="263"/>
      <c r="K92" s="269" t="s">
        <v>454</v>
      </c>
      <c r="L92" s="242">
        <f>B92*28.1960869565217/100</f>
        <v>28.1960869565217</v>
      </c>
      <c r="M92" s="239">
        <f>B92*2.57333333333333/100</f>
        <v>2.5733333333333301</v>
      </c>
      <c r="N92" s="239">
        <f>B92*21.11/100</f>
        <v>21.11</v>
      </c>
      <c r="O92" s="239">
        <f>B92*16.8933333333333/100</f>
        <v>16.893333333333299</v>
      </c>
      <c r="P92" s="239">
        <f>B92*0.176666666666667/100</f>
        <v>0.176666666666667</v>
      </c>
      <c r="Q92" s="239">
        <f>B92*36.46/100</f>
        <v>36.46</v>
      </c>
      <c r="R92" s="239">
        <f>B92*0.386666666666667/100</f>
        <v>0.38666666666666699</v>
      </c>
      <c r="S92" s="239">
        <f>B92*8.77333333333333/100</f>
        <v>8.7733333333333299</v>
      </c>
      <c r="T92" s="239">
        <f>B92*340.203333333333/100</f>
        <v>340.20333333333298</v>
      </c>
      <c r="U92" s="239">
        <f>B92*0.11/100</f>
        <v>0.11</v>
      </c>
      <c r="V92" s="239">
        <f>B92*0.2/100</f>
        <v>0.2</v>
      </c>
      <c r="W92" s="269" t="s">
        <v>454</v>
      </c>
      <c r="X92" s="239">
        <f>B92*0.0566666666666667/100</f>
        <v>5.6666666666666698E-2</v>
      </c>
      <c r="Y92" s="239" t="s">
        <v>455</v>
      </c>
      <c r="Z92" s="239">
        <f>B92*0.1/100</f>
        <v>0.1</v>
      </c>
      <c r="AA92" s="239" t="s">
        <v>455</v>
      </c>
      <c r="AB92" s="239">
        <f>B92*16.48/100</f>
        <v>16.48</v>
      </c>
    </row>
    <row r="93" spans="1:28">
      <c r="A93" s="232" t="s">
        <v>530</v>
      </c>
      <c r="B93" s="59">
        <v>100</v>
      </c>
      <c r="C93" s="238">
        <f>B93*542.73467338419/100</f>
        <v>542.73467338419005</v>
      </c>
      <c r="D93" s="238">
        <f>B93*5.58333333333333/100</f>
        <v>5.5833333333333304</v>
      </c>
      <c r="E93" s="238">
        <f>B93*36.615/100</f>
        <v>36.615000000000002</v>
      </c>
      <c r="F93" s="252">
        <f>B93*12.9/100</f>
        <v>12.9</v>
      </c>
      <c r="G93" s="252">
        <f>B93*11.9/100</f>
        <v>11.9</v>
      </c>
      <c r="H93" s="252">
        <f>B93*4/100</f>
        <v>4</v>
      </c>
      <c r="I93" s="263">
        <f>B93*3.85/100</f>
        <v>3.85</v>
      </c>
      <c r="J93" s="263">
        <f>B93*0.09/100</f>
        <v>0.09</v>
      </c>
      <c r="K93" s="242" t="s">
        <v>454</v>
      </c>
      <c r="L93" s="242">
        <f>B93*51.2223333333333/100</f>
        <v>51.222333333333296</v>
      </c>
      <c r="M93" s="238">
        <f>B93*2.45566666666667/100</f>
        <v>2.4556666666666702</v>
      </c>
      <c r="N93" s="243">
        <f>B93*11.5976666666667/100</f>
        <v>11.597666666666701</v>
      </c>
      <c r="O93" s="243">
        <f>B93*24.2393333333333/100</f>
        <v>24.239333333333299</v>
      </c>
      <c r="P93" s="243">
        <f>B93*0.231333333333333/100</f>
        <v>0.231333333333333</v>
      </c>
      <c r="Q93" s="243">
        <f>B93*96.4983333333333/100</f>
        <v>96.498333333333306</v>
      </c>
      <c r="R93" s="243">
        <f>B93*0.695666666666667/100</f>
        <v>0.6956666666666671</v>
      </c>
      <c r="S93" s="243">
        <f>B93*607.399333333333/100</f>
        <v>607.39933333333295</v>
      </c>
      <c r="T93" s="243">
        <f>B93*1014.325/100</f>
        <v>1014.325</v>
      </c>
      <c r="U93" s="243">
        <f>B93*0.121/100</f>
        <v>0.121</v>
      </c>
      <c r="V93" s="243">
        <f>B93*0.587666666666667/100</f>
        <v>0.587666666666667</v>
      </c>
      <c r="W93" s="242" t="s">
        <v>454</v>
      </c>
      <c r="X93" s="238">
        <f>B93*0.196666666666667/100</f>
        <v>0.19666666666666699</v>
      </c>
      <c r="Y93" s="245" t="s">
        <v>455</v>
      </c>
      <c r="Z93" s="238">
        <f>B93*0.13/100</f>
        <v>0.13</v>
      </c>
      <c r="AA93" s="238">
        <f>B93*2.61333333333333/100</f>
        <v>2.6133333333333302</v>
      </c>
      <c r="AB93" s="245" t="s">
        <v>455</v>
      </c>
    </row>
    <row r="94" spans="1:28">
      <c r="A94" s="232" t="s">
        <v>531</v>
      </c>
      <c r="B94" s="59">
        <v>100</v>
      </c>
      <c r="C94" s="238">
        <f>B94*51.5884766362707/100</f>
        <v>51.588476636270698</v>
      </c>
      <c r="D94" s="238">
        <f>B94*1.16458333333333/100</f>
        <v>1.16458333333333</v>
      </c>
      <c r="E94" s="251" t="s">
        <v>455</v>
      </c>
      <c r="F94" s="252"/>
      <c r="G94" s="252"/>
      <c r="H94" s="252"/>
      <c r="I94" s="263"/>
      <c r="J94" s="263"/>
      <c r="K94" s="269" t="s">
        <v>454</v>
      </c>
      <c r="L94" s="242">
        <f>B94*11.94375/100</f>
        <v>11.94375</v>
      </c>
      <c r="M94" s="238">
        <f>B94*1.34333333333333/100</f>
        <v>1.3433333333333299</v>
      </c>
      <c r="N94" s="243">
        <f>B94*3.52/100</f>
        <v>3.52</v>
      </c>
      <c r="O94" s="243">
        <f>B94*5.425/100</f>
        <v>5.4249999999999998</v>
      </c>
      <c r="P94" s="243">
        <f>B94*0.0663333333333333/100</f>
        <v>6.63333333333333E-2</v>
      </c>
      <c r="Q94" s="243">
        <f>B94*24.3423333333333/100</f>
        <v>24.342333333333301</v>
      </c>
      <c r="R94" s="243">
        <f>B94*0.194/100</f>
        <v>0.19400000000000003</v>
      </c>
      <c r="S94" s="243">
        <f>B94*2.29366666666667/100</f>
        <v>2.2936666666666699</v>
      </c>
      <c r="T94" s="243">
        <f>B94*161.331666666667/100</f>
        <v>161.33166666666699</v>
      </c>
      <c r="U94" s="243">
        <f>B94*0.0576666666666667/100</f>
        <v>5.7666666666666699E-2</v>
      </c>
      <c r="V94" s="243">
        <f>B94*0.187666666666667/100</f>
        <v>0.18766666666666701</v>
      </c>
      <c r="W94" s="269" t="s">
        <v>454</v>
      </c>
      <c r="X94" s="243">
        <f>B94*0.05/100</f>
        <v>0.05</v>
      </c>
      <c r="Y94" s="243" t="s">
        <v>455</v>
      </c>
      <c r="Z94" s="243">
        <f>B94*0.0833333333333333/100</f>
        <v>8.3333333333333301E-2</v>
      </c>
      <c r="AA94" s="243" t="s">
        <v>455</v>
      </c>
      <c r="AB94" s="243">
        <f>B94*3.76/100</f>
        <v>3.76</v>
      </c>
    </row>
    <row r="95" spans="1:28">
      <c r="A95" s="232" t="s">
        <v>532</v>
      </c>
      <c r="B95" s="59">
        <v>100</v>
      </c>
      <c r="C95" s="239">
        <f>B95*64.3702260869565/100</f>
        <v>64.370226086956507</v>
      </c>
      <c r="D95" s="239">
        <f>B95*1.77173913043478/100</f>
        <v>1.77173913043478</v>
      </c>
      <c r="E95" s="246" t="s">
        <v>455</v>
      </c>
      <c r="F95" s="252"/>
      <c r="G95" s="252"/>
      <c r="H95" s="252"/>
      <c r="I95" s="263"/>
      <c r="J95" s="263"/>
      <c r="K95" s="269" t="s">
        <v>454</v>
      </c>
      <c r="L95" s="242">
        <f>B95*14.6882608695652/100</f>
        <v>14.6882608695652</v>
      </c>
      <c r="M95" s="239">
        <f>B95*1.16333333333333/100</f>
        <v>1.16333333333333</v>
      </c>
      <c r="N95" s="239">
        <f>B95*3.55/100</f>
        <v>3.55</v>
      </c>
      <c r="O95" s="239">
        <f>B95*14.58/100</f>
        <v>14.58</v>
      </c>
      <c r="P95" s="239">
        <f>B95*0.1/100</f>
        <v>0.1</v>
      </c>
      <c r="Q95" s="239">
        <f>B95*38.5366666666667/100</f>
        <v>38.536666666666697</v>
      </c>
      <c r="R95" s="239">
        <f>B95*0.36/100</f>
        <v>0.36</v>
      </c>
      <c r="S95" s="239" t="s">
        <v>455</v>
      </c>
      <c r="T95" s="239">
        <f>B95*302.053333333333/100</f>
        <v>302.053333333333</v>
      </c>
      <c r="U95" s="239">
        <f>B95*0.0933333333333333/100</f>
        <v>9.333333333333331E-2</v>
      </c>
      <c r="V95" s="239">
        <f>B95*0.24/100</f>
        <v>0.24</v>
      </c>
      <c r="W95" s="269" t="s">
        <v>454</v>
      </c>
      <c r="X95" s="239">
        <f>B95*0.1/100</f>
        <v>0.1</v>
      </c>
      <c r="Y95" s="239" t="s">
        <v>455</v>
      </c>
      <c r="Z95" s="239">
        <f>B95*0.15/100</f>
        <v>0.15</v>
      </c>
      <c r="AA95" s="239" t="s">
        <v>455</v>
      </c>
      <c r="AB95" s="239">
        <f>B95*31.0833333333333/100</f>
        <v>31.0833333333333</v>
      </c>
    </row>
    <row r="96" spans="1:28">
      <c r="A96" s="232" t="s">
        <v>533</v>
      </c>
      <c r="B96" s="59">
        <v>100</v>
      </c>
      <c r="C96" s="238">
        <f>B96*267.157422502041/100</f>
        <v>267.15742250204102</v>
      </c>
      <c r="D96" s="238">
        <f>B96*4.96666666666667/100</f>
        <v>4.9666666666666703</v>
      </c>
      <c r="E96" s="238">
        <f>B96*13.1086666666667/100</f>
        <v>13.1086666666667</v>
      </c>
      <c r="F96" s="252">
        <f>B96*2.1/100</f>
        <v>2.1</v>
      </c>
      <c r="G96" s="252">
        <f>B96*3.4/100</f>
        <v>3.4</v>
      </c>
      <c r="H96" s="252">
        <f>B96*6.6/100</f>
        <v>6.6</v>
      </c>
      <c r="I96" s="263">
        <f>B96*6.29/100</f>
        <v>6.29</v>
      </c>
      <c r="J96" s="263">
        <f>B96*0.3/100</f>
        <v>0.3</v>
      </c>
      <c r="K96" s="269" t="s">
        <v>454</v>
      </c>
      <c r="L96" s="242">
        <f>B96*35.6403333333333/100</f>
        <v>35.640333333333302</v>
      </c>
      <c r="M96" s="238">
        <f>B96*8.05933333333333/100</f>
        <v>8.0593333333333295</v>
      </c>
      <c r="N96" s="238">
        <f>B96*6.27633333333333/100</f>
        <v>6.27633333333333</v>
      </c>
      <c r="O96" s="238">
        <f>B96*14.1143333333333/100</f>
        <v>14.114333333333299</v>
      </c>
      <c r="P96" s="238">
        <f>B96*0.147666666666667/100</f>
        <v>0.147666666666667</v>
      </c>
      <c r="Q96" s="238">
        <f>B96*69.6676666666667/100</f>
        <v>69.667666666666705</v>
      </c>
      <c r="R96" s="238">
        <f>B96*0.444333333333333/100</f>
        <v>0.44433333333333302</v>
      </c>
      <c r="S96" s="238">
        <f>B96*1.913/100</f>
        <v>1.913</v>
      </c>
      <c r="T96" s="238">
        <f>B96*488.941666666667/100</f>
        <v>488.941666666667</v>
      </c>
      <c r="U96" s="238">
        <f>B96*0.103333333333333/100</f>
        <v>0.103333333333333</v>
      </c>
      <c r="V96" s="238">
        <f>B96*0.376/100</f>
        <v>0.376</v>
      </c>
      <c r="W96" s="242" t="s">
        <v>454</v>
      </c>
      <c r="X96" s="238">
        <f>B96*0.173333333333333/100</f>
        <v>0.17333333333333301</v>
      </c>
      <c r="Y96" s="242" t="s">
        <v>455</v>
      </c>
      <c r="Z96" s="238">
        <f>B96*0.103333333333333/100</f>
        <v>0.103333333333333</v>
      </c>
      <c r="AA96" s="238">
        <f>B96*2.50666666666667/100</f>
        <v>2.5066666666666699</v>
      </c>
      <c r="AB96" s="238">
        <f>B96*16.3433333333333/100</f>
        <v>16.343333333333302</v>
      </c>
    </row>
    <row r="97" spans="1:28">
      <c r="A97" s="232" t="s">
        <v>529</v>
      </c>
      <c r="B97" s="59">
        <v>100</v>
      </c>
      <c r="C97" s="238">
        <f>B97*67.8879361506303/100</f>
        <v>67.887936150630296</v>
      </c>
      <c r="D97" s="238">
        <f>B97*1.29166666666667/100</f>
        <v>1.2916666666666701</v>
      </c>
      <c r="E97" s="238">
        <f>B97*0.896333333333333/100</f>
        <v>0.89633333333333298</v>
      </c>
      <c r="F97" s="252">
        <f>B97*0.3/100</f>
        <v>0.3</v>
      </c>
      <c r="G97" s="252">
        <f>B97*0.2/100</f>
        <v>0.2</v>
      </c>
      <c r="H97" s="252">
        <f>B97*0.4/100</f>
        <v>0.4</v>
      </c>
      <c r="I97" s="263">
        <f>B97*0.33/100</f>
        <v>0.33</v>
      </c>
      <c r="J97" s="263">
        <f>B97*0.03/100</f>
        <v>0.03</v>
      </c>
      <c r="K97" s="269" t="s">
        <v>454</v>
      </c>
      <c r="L97" s="242">
        <f>B97*14.093/100</f>
        <v>14.093</v>
      </c>
      <c r="M97" s="238">
        <f>B97*1.377/100</f>
        <v>1.3769999999999998</v>
      </c>
      <c r="N97" s="238">
        <f>B97*4.181/100</f>
        <v>4.181</v>
      </c>
      <c r="O97" s="238">
        <f>B97*6.45633333333333/100</f>
        <v>6.4563333333333297</v>
      </c>
      <c r="P97" s="238">
        <f>B97*0.0843333333333333/100</f>
        <v>8.4333333333333302E-2</v>
      </c>
      <c r="Q97" s="238">
        <f>B97*31.968/100</f>
        <v>31.968000000000004</v>
      </c>
      <c r="R97" s="238">
        <f>B97*0.25/100</f>
        <v>0.25</v>
      </c>
      <c r="S97" s="238">
        <f>B97*8.182/100</f>
        <v>8.1820000000000004</v>
      </c>
      <c r="T97" s="238">
        <f>B97*199.481666666667/100</f>
        <v>199.481666666667</v>
      </c>
      <c r="U97" s="238">
        <f>B97*0.0506666666666667/100</f>
        <v>5.06666666666667E-2</v>
      </c>
      <c r="V97" s="238">
        <f>B97*0.208333333333333/100</f>
        <v>0.20833333333333301</v>
      </c>
      <c r="W97" s="269" t="s">
        <v>454</v>
      </c>
      <c r="X97" s="238">
        <f>B97*0.0666666666666667/100</f>
        <v>6.6666666666666693E-2</v>
      </c>
      <c r="Y97" s="245" t="s">
        <v>455</v>
      </c>
      <c r="Z97" s="238">
        <f>B97*0.0933333333333333/100</f>
        <v>9.333333333333331E-2</v>
      </c>
      <c r="AA97" s="238">
        <f>B97*1.38333333333333/100</f>
        <v>1.38333333333333</v>
      </c>
      <c r="AB97" s="245" t="s">
        <v>455</v>
      </c>
    </row>
    <row r="98" spans="1:28">
      <c r="A98" s="232" t="s">
        <v>534</v>
      </c>
      <c r="B98" s="59">
        <v>100</v>
      </c>
      <c r="C98" s="238">
        <f>B98*18.8452855568131/100</f>
        <v>18.845285556813099</v>
      </c>
      <c r="D98" s="238">
        <f>B98*0.677083333333333/100</f>
        <v>0.67708333333333304</v>
      </c>
      <c r="E98" s="248">
        <f>B98*0.148333333333333/100</f>
        <v>0.14833333333333301</v>
      </c>
      <c r="F98" s="252"/>
      <c r="G98" s="252"/>
      <c r="H98" s="252"/>
      <c r="I98" s="263"/>
      <c r="J98" s="263"/>
      <c r="K98" s="269" t="s">
        <v>454</v>
      </c>
      <c r="L98" s="242">
        <f>B98*4.46824999999999/100</f>
        <v>4.4682499999999896</v>
      </c>
      <c r="M98" s="238">
        <f>B98*2.52433333333333/100</f>
        <v>2.5243333333333302</v>
      </c>
      <c r="N98" s="238">
        <f>B98*10.7713333333333/100</f>
        <v>10.771333333333301</v>
      </c>
      <c r="O98" s="238">
        <f>B98*8.81566666666667/100</f>
        <v>8.8156666666666705</v>
      </c>
      <c r="P98" s="238">
        <f>B98*0.111/100</f>
        <v>0.111</v>
      </c>
      <c r="Q98" s="238">
        <f>B98*15.0266666666667/100</f>
        <v>15.026666666666699</v>
      </c>
      <c r="R98" s="238">
        <f>B98*0.220333333333333/100</f>
        <v>0.22033333333333299</v>
      </c>
      <c r="S98" s="238">
        <f>B98*1.325/100</f>
        <v>1.325</v>
      </c>
      <c r="T98" s="238">
        <f>B98*105.48/100</f>
        <v>105.48</v>
      </c>
      <c r="U98" s="238">
        <f>B98*0.0436666666666667/100</f>
        <v>4.3666666666666701E-2</v>
      </c>
      <c r="V98" s="238">
        <f>B98*0.132333333333333/100</f>
        <v>0.132333333333333</v>
      </c>
      <c r="W98" s="269" t="s">
        <v>454</v>
      </c>
      <c r="X98" s="238">
        <f>B98*0.04/100</f>
        <v>0.04</v>
      </c>
      <c r="Y98" s="245" t="s">
        <v>455</v>
      </c>
      <c r="Z98" s="245" t="s">
        <v>455</v>
      </c>
      <c r="AA98" s="245" t="s">
        <v>455</v>
      </c>
      <c r="AB98" s="245" t="s">
        <v>455</v>
      </c>
    </row>
    <row r="99" spans="1:28">
      <c r="A99" s="232" t="s">
        <v>535</v>
      </c>
      <c r="B99" s="59">
        <v>100</v>
      </c>
      <c r="C99" s="239">
        <f>B99*19.6277536231884/100</f>
        <v>19.627753623188401</v>
      </c>
      <c r="D99" s="239">
        <f>B99*1.22101449275362/100</f>
        <v>1.22101449275362</v>
      </c>
      <c r="E99" s="246">
        <f>B99*0.1/100</f>
        <v>0.1</v>
      </c>
      <c r="F99" s="252"/>
      <c r="G99" s="252"/>
      <c r="H99" s="252"/>
      <c r="I99" s="263"/>
      <c r="J99" s="263"/>
      <c r="K99" s="269" t="s">
        <v>454</v>
      </c>
      <c r="L99" s="242">
        <f>B99*4.42898550724637/100</f>
        <v>4.4289855072463702</v>
      </c>
      <c r="M99" s="239">
        <f>B99*2.87333333333333/100</f>
        <v>2.8733333333333295</v>
      </c>
      <c r="N99" s="239">
        <f>B99*9.22/100</f>
        <v>9.2200000000000006</v>
      </c>
      <c r="O99" s="239">
        <f>B99*12.9133333333333/100</f>
        <v>12.9133333333333</v>
      </c>
      <c r="P99" s="239">
        <f>B99*0.1/100</f>
        <v>0.1</v>
      </c>
      <c r="Q99" s="239">
        <f>B99*20.4633333333333/100</f>
        <v>20.463333333333299</v>
      </c>
      <c r="R99" s="239">
        <f>B99*0.246666666666667/100</f>
        <v>0.24666666666666701</v>
      </c>
      <c r="S99" s="239" t="s">
        <v>455</v>
      </c>
      <c r="T99" s="239">
        <f>B99*204.546666666667/100</f>
        <v>204.54666666666699</v>
      </c>
      <c r="U99" s="239">
        <f>B99*0.0633333333333333/100</f>
        <v>6.3333333333333297E-2</v>
      </c>
      <c r="V99" s="239">
        <f>B99*0.12/100</f>
        <v>0.12</v>
      </c>
      <c r="W99" s="269" t="s">
        <v>454</v>
      </c>
      <c r="X99" s="239">
        <f>B99*0.0433333333333333/100</f>
        <v>4.3333333333333307E-2</v>
      </c>
      <c r="Y99" s="239">
        <f>B99*0.0466666666666667/100</f>
        <v>4.6666666666666697E-2</v>
      </c>
      <c r="Z99" s="239" t="s">
        <v>455</v>
      </c>
      <c r="AA99" s="239" t="s">
        <v>455</v>
      </c>
      <c r="AB99" s="239">
        <f>B99*3.01/100</f>
        <v>3.01</v>
      </c>
    </row>
    <row r="100" spans="1:28">
      <c r="A100" s="232" t="s">
        <v>536</v>
      </c>
      <c r="B100" s="59">
        <v>100</v>
      </c>
      <c r="C100" s="238">
        <f>B100*32.1543243314028/100</f>
        <v>32.154324331402798</v>
      </c>
      <c r="D100" s="238">
        <f>B100*1.29375/100</f>
        <v>1.29375</v>
      </c>
      <c r="E100" s="248">
        <f>B100*0.0926666666666667/100</f>
        <v>9.2666666666666717E-2</v>
      </c>
      <c r="F100" s="252"/>
      <c r="G100" s="252"/>
      <c r="H100" s="252"/>
      <c r="I100" s="263"/>
      <c r="J100" s="263"/>
      <c r="K100" s="269" t="s">
        <v>454</v>
      </c>
      <c r="L100" s="242">
        <f>B100*7.23491666666666/100</f>
        <v>7.2349166666666598</v>
      </c>
      <c r="M100" s="238">
        <f>B100*1.87866666666667/100</f>
        <v>1.8786666666666703</v>
      </c>
      <c r="N100" s="238">
        <f>B100*15.2553333333333/100</f>
        <v>15.255333333333301</v>
      </c>
      <c r="O100" s="238">
        <f>B100*16.5416666666667/100</f>
        <v>16.5416666666667</v>
      </c>
      <c r="P100" s="238">
        <f>B100*0.188666666666667/100</f>
        <v>0.18866666666666704</v>
      </c>
      <c r="Q100" s="238">
        <f>B100*30.1306666666667/100</f>
        <v>30.130666666666698</v>
      </c>
      <c r="R100" s="238">
        <f>B100*0.238666666666667/100</f>
        <v>0.238666666666667</v>
      </c>
      <c r="S100" s="238">
        <f>B100*22.7616666666667/100</f>
        <v>22.761666666666699</v>
      </c>
      <c r="T100" s="238">
        <f>B100*245.483333333333/100</f>
        <v>245.48333333333301</v>
      </c>
      <c r="U100" s="238">
        <f>B100*0.039/100</f>
        <v>3.9E-2</v>
      </c>
      <c r="V100" s="238">
        <f>B100*0.353666666666667/100</f>
        <v>0.35366666666666702</v>
      </c>
      <c r="W100" s="269" t="s">
        <v>454</v>
      </c>
      <c r="X100" s="238">
        <f>B100*0.09/100</f>
        <v>0.09</v>
      </c>
      <c r="Y100" s="245" t="s">
        <v>455</v>
      </c>
      <c r="Z100" s="245" t="s">
        <v>455</v>
      </c>
      <c r="AA100" s="245" t="s">
        <v>455</v>
      </c>
      <c r="AB100" s="238">
        <f>B100*1.24/100</f>
        <v>1.24</v>
      </c>
    </row>
    <row r="101" spans="1:28">
      <c r="A101" s="232" t="s">
        <v>537</v>
      </c>
      <c r="B101" s="59">
        <v>100</v>
      </c>
      <c r="C101" s="239">
        <f>B101*48.8285086956521/100</f>
        <v>48.828508695652097</v>
      </c>
      <c r="D101" s="239">
        <f>B101*1.94565217391304/100</f>
        <v>1.9456521739130401</v>
      </c>
      <c r="E101" s="246">
        <f>B101*0.09/100</f>
        <v>0.09</v>
      </c>
      <c r="F101" s="252"/>
      <c r="G101" s="252"/>
      <c r="H101" s="252"/>
      <c r="I101" s="263"/>
      <c r="J101" s="263"/>
      <c r="K101" s="269" t="s">
        <v>454</v>
      </c>
      <c r="L101" s="242">
        <f>B101*11.1110144927536/100</f>
        <v>11.111014492753601</v>
      </c>
      <c r="M101" s="239">
        <f>B101*3.37333333333333/100</f>
        <v>3.3733333333333295</v>
      </c>
      <c r="N101" s="239">
        <f>B101*18.1133333333333/100</f>
        <v>18.113333333333301</v>
      </c>
      <c r="O101" s="239">
        <f>B101*24.4333333333333/100</f>
        <v>24.433333333333302</v>
      </c>
      <c r="P101" s="239">
        <f>B101*1.23/100</f>
        <v>1.23</v>
      </c>
      <c r="Q101" s="239">
        <f>B101*19.3866666666667/100</f>
        <v>19.386666666666699</v>
      </c>
      <c r="R101" s="239">
        <f>B101*0.32/100</f>
        <v>0.32</v>
      </c>
      <c r="S101" s="239">
        <f>B101*9.72/100</f>
        <v>9.7200000000000006</v>
      </c>
      <c r="T101" s="239">
        <f>B101*375.073333333333/100</f>
        <v>375.07333333333298</v>
      </c>
      <c r="U101" s="239">
        <f>B101*0.0766666666666667/100</f>
        <v>7.6666666666666702E-2</v>
      </c>
      <c r="V101" s="239">
        <f>B101*0.516666666666667/100</f>
        <v>0.51666666666666705</v>
      </c>
      <c r="W101" s="269" t="s">
        <v>454</v>
      </c>
      <c r="X101" s="239">
        <f>B101*0.04/100</f>
        <v>0.04</v>
      </c>
      <c r="Y101" s="239" t="s">
        <v>455</v>
      </c>
      <c r="Z101" s="239">
        <f>B101*0.0433333333333333/100</f>
        <v>4.3333333333333307E-2</v>
      </c>
      <c r="AA101" s="239" t="s">
        <v>455</v>
      </c>
      <c r="AB101" s="239">
        <f>B101*3.11666666666667/100</f>
        <v>3.1166666666666698</v>
      </c>
    </row>
    <row r="102" spans="1:28">
      <c r="A102" s="232" t="s">
        <v>853</v>
      </c>
      <c r="B102" s="59">
        <v>100</v>
      </c>
      <c r="C102" s="238">
        <f>B102*437.549/100</f>
        <v>437.54899999999992</v>
      </c>
      <c r="D102" s="238">
        <f>B102*1.29166666666667/100</f>
        <v>1.2916666666666701</v>
      </c>
      <c r="E102" s="238">
        <f>B102*12.249/100</f>
        <v>12.249000000000001</v>
      </c>
      <c r="F102" s="252">
        <f>B102*2.4/100</f>
        <v>2.4</v>
      </c>
      <c r="G102" s="252">
        <f>B102*4.3/100</f>
        <v>4.3</v>
      </c>
      <c r="H102" s="252">
        <f>B102*0.6/100</f>
        <v>0.6</v>
      </c>
      <c r="I102" s="263">
        <f>B102*0.56/100</f>
        <v>0.56000000000000005</v>
      </c>
      <c r="J102" s="263"/>
      <c r="K102" s="238">
        <f>B102*9.385/100</f>
        <v>9.3849999999999998</v>
      </c>
      <c r="L102" s="242">
        <f>B102*80.5353333333333/100</f>
        <v>80.535333333333298</v>
      </c>
      <c r="M102" s="238">
        <f>B102*1.159/100</f>
        <v>1.159</v>
      </c>
      <c r="N102" s="238">
        <f>B102*30.4543333333333/100</f>
        <v>30.454333333333299</v>
      </c>
      <c r="O102" s="238">
        <f>B102*5.845/100</f>
        <v>5.8449999999999998</v>
      </c>
      <c r="P102" s="238">
        <f>B102*0.0813333333333333/100</f>
        <v>8.1333333333333299E-2</v>
      </c>
      <c r="Q102" s="238">
        <f>B102*23.319/100</f>
        <v>23.319000000000003</v>
      </c>
      <c r="R102" s="238">
        <f>B102*1.76633333333333/100</f>
        <v>1.7663333333333298</v>
      </c>
      <c r="S102" s="238">
        <f>B102*97.8013333333333/100</f>
        <v>97.801333333333289</v>
      </c>
      <c r="T102" s="238">
        <f>B102*53.5793333333333/100</f>
        <v>53.579333333333309</v>
      </c>
      <c r="U102" s="238">
        <f>B102*0.035/100</f>
        <v>3.5000000000000003E-2</v>
      </c>
      <c r="V102" s="238">
        <f>B102*0.145/100</f>
        <v>0.14499999999999999</v>
      </c>
      <c r="W102" s="245" t="s">
        <v>455</v>
      </c>
      <c r="X102" s="245" t="s">
        <v>455</v>
      </c>
      <c r="Y102" s="238">
        <f>B102*0.03/100</f>
        <v>0.03</v>
      </c>
      <c r="Z102" s="238">
        <f>B102*0.0666666666666667/100</f>
        <v>6.6666666666666693E-2</v>
      </c>
      <c r="AA102" s="245" t="s">
        <v>455</v>
      </c>
      <c r="AB102" s="245" t="s">
        <v>455</v>
      </c>
    </row>
    <row r="103" spans="1:28">
      <c r="A103" s="232" t="s">
        <v>538</v>
      </c>
      <c r="B103" s="59">
        <v>100</v>
      </c>
      <c r="C103" s="238">
        <f>B103*24.6361631113688/100</f>
        <v>24.636163111368795</v>
      </c>
      <c r="D103" s="238">
        <f>B103*2.13333333333333/100</f>
        <v>2.1333333333333302</v>
      </c>
      <c r="E103" s="248">
        <f>B103*0.459/100</f>
        <v>0.45899999999999996</v>
      </c>
      <c r="F103" s="252">
        <f>B103*0.1/100</f>
        <v>0.1</v>
      </c>
      <c r="G103" s="252" t="s">
        <v>455</v>
      </c>
      <c r="H103" s="252">
        <f>B103*0.2/100</f>
        <v>0.2</v>
      </c>
      <c r="I103" s="263">
        <f>B103*0.06/100</f>
        <v>0.06</v>
      </c>
      <c r="J103" s="263">
        <f>B103*0.1/100</f>
        <v>0.1</v>
      </c>
      <c r="K103" s="269" t="s">
        <v>454</v>
      </c>
      <c r="L103" s="242">
        <f>B103*4.36666666666666/100</f>
        <v>4.36666666666666</v>
      </c>
      <c r="M103" s="238">
        <f>B103*3.41666666666667/100</f>
        <v>3.4166666666666701</v>
      </c>
      <c r="N103" s="238">
        <f>B103*50.754/100</f>
        <v>50.753999999999998</v>
      </c>
      <c r="O103" s="238">
        <f>B103*14.5466666666667/100</f>
        <v>14.546666666666702</v>
      </c>
      <c r="P103" s="238">
        <f>B103*0.118333333333333/100</f>
        <v>0.118333333333333</v>
      </c>
      <c r="Q103" s="238">
        <f>B103*33.1593333333333/100</f>
        <v>33.159333333333301</v>
      </c>
      <c r="R103" s="238">
        <f>B103*0.535/100</f>
        <v>0.53500000000000003</v>
      </c>
      <c r="S103" s="238">
        <f>B103*2.122/100</f>
        <v>2.1219999999999999</v>
      </c>
      <c r="T103" s="238">
        <f>B103*118.543333333333/100</f>
        <v>118.543333333333</v>
      </c>
      <c r="U103" s="238">
        <f>B103*0.0753333333333333/100</f>
        <v>7.5333333333333294E-2</v>
      </c>
      <c r="V103" s="238">
        <f>B103*0.239/100</f>
        <v>0.23899999999999999</v>
      </c>
      <c r="W103" s="269" t="s">
        <v>454</v>
      </c>
      <c r="X103" s="238">
        <f>B103*0.0433333333333333/100</f>
        <v>4.3333333333333307E-2</v>
      </c>
      <c r="Y103" s="238">
        <f>B103*0.03/100</f>
        <v>0.03</v>
      </c>
      <c r="Z103" s="245" t="s">
        <v>455</v>
      </c>
      <c r="AA103" s="245" t="s">
        <v>455</v>
      </c>
      <c r="AB103" s="238">
        <f>B103*42.0033333333333/100</f>
        <v>42.003333333333302</v>
      </c>
    </row>
    <row r="104" spans="1:28">
      <c r="A104" s="232" t="s">
        <v>539</v>
      </c>
      <c r="B104" s="59">
        <v>100</v>
      </c>
      <c r="C104" s="239">
        <f>B104*25.495131884058/100</f>
        <v>25.495131884058001</v>
      </c>
      <c r="D104" s="239">
        <f>B104*3.64492753623188/100</f>
        <v>3.6449275362318798</v>
      </c>
      <c r="E104" s="246">
        <f>B104*0.266666666666667/100</f>
        <v>0.266666666666667</v>
      </c>
      <c r="F104" s="252">
        <f>B104*0.136666666666667/100</f>
        <v>0.13666666666666699</v>
      </c>
      <c r="G104" s="252">
        <f>B104*0.0576666666666667/100</f>
        <v>5.7666666666666699E-2</v>
      </c>
      <c r="H104" s="252">
        <f>B104*0.186/100</f>
        <v>0.18600000000000003</v>
      </c>
      <c r="I104" s="263">
        <f>B104*0.0676666666666667/100</f>
        <v>6.7666666666666694E-2</v>
      </c>
      <c r="J104" s="263">
        <f>B104*0.118333333333333/100</f>
        <v>0.118333333333333</v>
      </c>
      <c r="K104" s="269" t="s">
        <v>454</v>
      </c>
      <c r="L104" s="242">
        <f>B104*4.02507246376812/100</f>
        <v>4.0250724637681197</v>
      </c>
      <c r="M104" s="239">
        <f>B104*2.88/100</f>
        <v>2.88</v>
      </c>
      <c r="N104" s="239">
        <f>B104*85.87/100</f>
        <v>85.87</v>
      </c>
      <c r="O104" s="239">
        <f>B104*29.5666666666667/100</f>
        <v>29.566666666666698</v>
      </c>
      <c r="P104" s="239">
        <f>B104*0.26/100</f>
        <v>0.26</v>
      </c>
      <c r="Q104" s="239">
        <f>B104*78.46/100</f>
        <v>78.459999999999994</v>
      </c>
      <c r="R104" s="239">
        <f>B104*0.61/100</f>
        <v>0.61</v>
      </c>
      <c r="S104" s="239">
        <f>B104*3.33333333333333/100</f>
        <v>3.3333333333333299</v>
      </c>
      <c r="T104" s="239">
        <f>B104*322.11/100</f>
        <v>322.11</v>
      </c>
      <c r="U104" s="239">
        <f>B104*0.0566666666666667/100</f>
        <v>5.6666666666666698E-2</v>
      </c>
      <c r="V104" s="239">
        <f>B104*0.476666666666667/100</f>
        <v>0.47666666666666702</v>
      </c>
      <c r="W104" s="269" t="s">
        <v>454</v>
      </c>
      <c r="X104" s="239">
        <f>B104*0.116666666666667/100</f>
        <v>0.116666666666667</v>
      </c>
      <c r="Y104" s="239">
        <f>B104*0.183333333333333/100</f>
        <v>0.18333333333333302</v>
      </c>
      <c r="Z104" s="239">
        <f>B104*0.0766666666666667/100</f>
        <v>7.6666666666666702E-2</v>
      </c>
      <c r="AA104" s="239">
        <f>B104*1.39/100</f>
        <v>1.39</v>
      </c>
      <c r="AB104" s="239">
        <f>B104*34.2833333333333/100</f>
        <v>34.283333333333303</v>
      </c>
    </row>
    <row r="105" spans="1:28">
      <c r="A105" s="232" t="s">
        <v>540</v>
      </c>
      <c r="B105" s="59">
        <v>100</v>
      </c>
      <c r="C105" s="238">
        <f>B105*77.5849133333334/100</f>
        <v>77.584913333333404</v>
      </c>
      <c r="D105" s="238">
        <f>B105*1.52916666666667/100</f>
        <v>1.5291666666666699</v>
      </c>
      <c r="E105" s="248">
        <f>B105*0.112333333333333/100</f>
        <v>0.11233333333333299</v>
      </c>
      <c r="F105" s="252"/>
      <c r="G105" s="252"/>
      <c r="H105" s="252"/>
      <c r="I105" s="263"/>
      <c r="J105" s="263"/>
      <c r="K105" s="269" t="s">
        <v>454</v>
      </c>
      <c r="L105" s="242">
        <f>B105*18.8525/100</f>
        <v>18.852499999999999</v>
      </c>
      <c r="M105" s="238">
        <f>B105*2.63466666666667/100</f>
        <v>2.6346666666666696</v>
      </c>
      <c r="N105" s="238">
        <f>B105*5.16833333333333/100</f>
        <v>5.1683333333333303</v>
      </c>
      <c r="O105" s="238">
        <f>B105*14.8386666666667/100</f>
        <v>14.8386666666667</v>
      </c>
      <c r="P105" s="248">
        <f>B105*0.0216666666666667/100</f>
        <v>2.1666666666666702E-2</v>
      </c>
      <c r="Q105" s="238">
        <f>B105*27.8013333333333/100</f>
        <v>27.8013333333333</v>
      </c>
      <c r="R105" s="238">
        <f>B105*0.308333333333333/100</f>
        <v>0.30833333333333302</v>
      </c>
      <c r="S105" s="238">
        <f>B105*1.00633333333333/100</f>
        <v>1.00633333333333</v>
      </c>
      <c r="T105" s="238">
        <f>B105*203.252333333333/100</f>
        <v>203.25233333333301</v>
      </c>
      <c r="U105" s="238">
        <f>B105*0.112666666666667/100</f>
        <v>0.112666666666667</v>
      </c>
      <c r="V105" s="238">
        <f>B105*0.237666666666667/100</f>
        <v>0.23766666666666703</v>
      </c>
      <c r="W105" s="269" t="s">
        <v>454</v>
      </c>
      <c r="X105" s="238">
        <f>B105*0.116666666666667/100</f>
        <v>0.116666666666667</v>
      </c>
      <c r="Y105" s="245" t="s">
        <v>455</v>
      </c>
      <c r="Z105" s="238">
        <f>B105*0.12/100</f>
        <v>0.12</v>
      </c>
      <c r="AA105" s="245" t="s">
        <v>455</v>
      </c>
      <c r="AB105" s="245" t="s">
        <v>455</v>
      </c>
    </row>
    <row r="106" spans="1:28">
      <c r="A106" s="232" t="s">
        <v>541</v>
      </c>
      <c r="B106" s="59">
        <v>100</v>
      </c>
      <c r="C106" s="239">
        <f>B106*95.6331347826087/100</f>
        <v>95.633134782608707</v>
      </c>
      <c r="D106" s="239">
        <f>B106*2.28260869565217/100</f>
        <v>2.2826086956521698</v>
      </c>
      <c r="E106" s="246">
        <f>B106*0.136666666666667/100</f>
        <v>0.13666666666666699</v>
      </c>
      <c r="F106" s="252"/>
      <c r="G106" s="252"/>
      <c r="H106" s="252"/>
      <c r="I106" s="263"/>
      <c r="J106" s="263"/>
      <c r="K106" s="269" t="s">
        <v>454</v>
      </c>
      <c r="L106" s="242">
        <f>B106*22.9540579710145/100</f>
        <v>22.9540579710145</v>
      </c>
      <c r="M106" s="239">
        <f>B106*7.27333333333333/100</f>
        <v>7.2733333333333299</v>
      </c>
      <c r="N106" s="239">
        <f>B106*3.91133333333333/100</f>
        <v>3.9113333333333302</v>
      </c>
      <c r="O106" s="239">
        <f>B106*11.4666666666667/100</f>
        <v>11.466666666666702</v>
      </c>
      <c r="P106" s="246">
        <f>B106*0.01/100</f>
        <v>0.01</v>
      </c>
      <c r="Q106" s="239">
        <f>B106*34.72/100</f>
        <v>34.72</v>
      </c>
      <c r="R106" s="239">
        <f>B106*0.213333333333333/100</f>
        <v>0.21333333333333301</v>
      </c>
      <c r="S106" s="239" t="s">
        <v>455</v>
      </c>
      <c r="T106" s="239">
        <f>B106*211.665666666667/100</f>
        <v>211.66566666666699</v>
      </c>
      <c r="U106" s="239">
        <f>B106*0.06/100</f>
        <v>0.06</v>
      </c>
      <c r="V106" s="239">
        <f>B106*0.18/100</f>
        <v>0.18</v>
      </c>
      <c r="W106" s="269" t="s">
        <v>454</v>
      </c>
      <c r="X106" s="239">
        <f>B106*0.113333333333333/100</f>
        <v>0.11333333333333301</v>
      </c>
      <c r="Y106" s="239" t="s">
        <v>455</v>
      </c>
      <c r="Z106" s="239">
        <f>B106*0.02/100</f>
        <v>0.02</v>
      </c>
      <c r="AA106" s="239" t="s">
        <v>455</v>
      </c>
      <c r="AB106" s="239">
        <f>B106*8.78666666666667/100</f>
        <v>8.7866666666666706</v>
      </c>
    </row>
    <row r="107" spans="1:28">
      <c r="A107" s="232" t="s">
        <v>542</v>
      </c>
      <c r="B107" s="59">
        <v>100</v>
      </c>
      <c r="C107" s="238">
        <f>B107*34.03162971735/100</f>
        <v>34.03162971735</v>
      </c>
      <c r="D107" s="238">
        <f>B107*3.2/100</f>
        <v>3.2</v>
      </c>
      <c r="E107" s="238">
        <f>B107*0.585/100</f>
        <v>0.58499999999999996</v>
      </c>
      <c r="F107" s="252">
        <f>B107*0.1/100</f>
        <v>0.1</v>
      </c>
      <c r="G107" s="252" t="s">
        <v>455</v>
      </c>
      <c r="H107" s="252">
        <f>B107*0.3/100</f>
        <v>0.3</v>
      </c>
      <c r="I107" s="263">
        <f>B107*0.09/100</f>
        <v>0.09</v>
      </c>
      <c r="J107" s="263">
        <f>B107*0.17/100</f>
        <v>0.17</v>
      </c>
      <c r="K107" s="269" t="s">
        <v>454</v>
      </c>
      <c r="L107" s="242">
        <f>B107*5.97399999999999/100</f>
        <v>5.9739999999999904</v>
      </c>
      <c r="M107" s="238">
        <f>B107*4.469/100</f>
        <v>4.4690000000000003</v>
      </c>
      <c r="N107" s="238">
        <f>B107*455.303666666667/100</f>
        <v>455.30366666666703</v>
      </c>
      <c r="O107" s="242">
        <f>B107*197.435666666667/100</f>
        <v>197.43566666666703</v>
      </c>
      <c r="P107" s="238">
        <f>B107*0.894333333333333/100</f>
        <v>0.89433333333333298</v>
      </c>
      <c r="Q107" s="238">
        <f>B107*77.2613333333333/100</f>
        <v>77.261333333333297</v>
      </c>
      <c r="R107" s="238">
        <f>B107*4.46233333333333/100</f>
        <v>4.4623333333333299</v>
      </c>
      <c r="S107" s="238">
        <f>B107*13.665/100</f>
        <v>13.664999999999999</v>
      </c>
      <c r="T107" s="238">
        <f>B107*278.979666666667/100</f>
        <v>278.97966666666701</v>
      </c>
      <c r="U107" s="238">
        <f>B107*0.371333333333333/100</f>
        <v>0.37133333333333307</v>
      </c>
      <c r="V107" s="238">
        <f>B107*6.034/100</f>
        <v>6.0339999999999998</v>
      </c>
      <c r="W107" s="269" t="s">
        <v>454</v>
      </c>
      <c r="X107" s="245" t="s">
        <v>455</v>
      </c>
      <c r="Y107" s="238">
        <f>B107*0.1/100</f>
        <v>0.1</v>
      </c>
      <c r="Z107" s="238">
        <f>B107*0.11/100</f>
        <v>0.11</v>
      </c>
      <c r="AA107" s="245" t="s">
        <v>455</v>
      </c>
      <c r="AB107" s="242" t="s">
        <v>3259</v>
      </c>
    </row>
    <row r="108" spans="1:28">
      <c r="A108" s="232" t="s">
        <v>543</v>
      </c>
      <c r="B108" s="59">
        <v>100</v>
      </c>
      <c r="C108" s="238">
        <f>B108*23.8884122573733/100</f>
        <v>23.888412257373304</v>
      </c>
      <c r="D108" s="238">
        <f>B108*1.86875/100</f>
        <v>1.8687499999999999</v>
      </c>
      <c r="E108" s="248">
        <f>B108*0.282333333333333/100</f>
        <v>0.28233333333333299</v>
      </c>
      <c r="F108" s="252">
        <f>B108*0.1/100</f>
        <v>0.1</v>
      </c>
      <c r="G108" s="252" t="s">
        <v>455</v>
      </c>
      <c r="H108" s="252">
        <f>B108*0.1/100</f>
        <v>0.1</v>
      </c>
      <c r="I108" s="263">
        <f>B108*0.04/100</f>
        <v>0.04</v>
      </c>
      <c r="J108" s="263">
        <f>B108*0.1/100</f>
        <v>0.1</v>
      </c>
      <c r="K108" s="269" t="s">
        <v>454</v>
      </c>
      <c r="L108" s="242">
        <f>B108*4.75224999999999/100</f>
        <v>4.7522499999999903</v>
      </c>
      <c r="M108" s="238">
        <f>B108*2.04833333333333/100</f>
        <v>2.0483333333333298</v>
      </c>
      <c r="N108" s="238">
        <f>B108*56.7953333333333/100</f>
        <v>56.795333333333303</v>
      </c>
      <c r="O108" s="238">
        <f>B108*17.2956666666667/100</f>
        <v>17.295666666666701</v>
      </c>
      <c r="P108" s="238">
        <f>B108*0.336666666666667/100</f>
        <v>0.336666666666667</v>
      </c>
      <c r="Q108" s="238">
        <f>B108*32.0013333333333/100</f>
        <v>32.001333333333299</v>
      </c>
      <c r="R108" s="238">
        <f>B108*3.07666666666667/100</f>
        <v>3.0766666666666702</v>
      </c>
      <c r="S108" s="238">
        <f>B108*9.39366666666667/100</f>
        <v>9.3936666666666699</v>
      </c>
      <c r="T108" s="238">
        <f>B108*411.792333333333/100</f>
        <v>411.79233333333303</v>
      </c>
      <c r="U108" s="238">
        <f>B108*0.273333333333333/100</f>
        <v>0.27333333333333298</v>
      </c>
      <c r="V108" s="238">
        <f>B108*0.481/100</f>
        <v>0.48100000000000004</v>
      </c>
      <c r="W108" s="269" t="s">
        <v>454</v>
      </c>
      <c r="X108" s="245" t="s">
        <v>455</v>
      </c>
      <c r="Y108" s="238">
        <f>B108*0.03/100</f>
        <v>0.03</v>
      </c>
      <c r="Z108" s="238">
        <f>B108*0.36/100</f>
        <v>0.36</v>
      </c>
      <c r="AA108" s="238">
        <f>B108*1.53666666666667/100</f>
        <v>1.53666666666667</v>
      </c>
      <c r="AB108" s="238">
        <f>B108*7.33333333333333/100</f>
        <v>7.3333333333333304</v>
      </c>
    </row>
    <row r="109" spans="1:28">
      <c r="A109" s="233" t="s">
        <v>3092</v>
      </c>
      <c r="B109" s="59">
        <v>100</v>
      </c>
      <c r="C109" s="247">
        <f>B109*63.4492691488266/100</f>
        <v>63.449269148826609</v>
      </c>
      <c r="D109" s="247">
        <f>B109*1.95/100</f>
        <v>1.95</v>
      </c>
      <c r="E109" s="244">
        <f>B109*4.80566666666667/100</f>
        <v>4.8056666666666699</v>
      </c>
      <c r="F109" s="258">
        <f>B109*0.71/100</f>
        <v>0.71</v>
      </c>
      <c r="G109" s="258">
        <f>B109*1.07/100</f>
        <v>1.07</v>
      </c>
      <c r="H109" s="258">
        <f>B109*2.97666666666667/100</f>
        <v>2.9766666666666701</v>
      </c>
      <c r="I109" s="263">
        <f>B109*2.48333333333333/100</f>
        <v>2.4833333333333298</v>
      </c>
      <c r="J109" s="263">
        <f>B109*0.483333333333333/100</f>
        <v>0.483333333333333</v>
      </c>
      <c r="K109" s="258" t="s">
        <v>454</v>
      </c>
      <c r="L109" s="247">
        <f>B109*4.80933333333334/100</f>
        <v>4.8093333333333401</v>
      </c>
      <c r="M109" s="244">
        <f>B109*3.65/100</f>
        <v>3.65</v>
      </c>
      <c r="N109" s="244">
        <f>B109*63.2246666666667/100</f>
        <v>63.2246666666667</v>
      </c>
      <c r="O109" s="244">
        <f>B109*16.3456666666667/100</f>
        <v>16.345666666666698</v>
      </c>
      <c r="P109" s="244">
        <f>B109*0.639333333333333/100</f>
        <v>0.63933333333333298</v>
      </c>
      <c r="Q109" s="244">
        <f>B109*35.3616666666667/100</f>
        <v>35.3616666666667</v>
      </c>
      <c r="R109" s="244">
        <f>B109*1.17633333333333/100</f>
        <v>1.1763333333333299</v>
      </c>
      <c r="S109" s="244">
        <f>B109*24.7193333333333/100</f>
        <v>24.719333333333296</v>
      </c>
      <c r="T109" s="244">
        <f>B109*452.281333333333/100</f>
        <v>452.28133333333301</v>
      </c>
      <c r="U109" s="244">
        <f>B109*0.178333333333333/100</f>
        <v>0.17833333333333301</v>
      </c>
      <c r="V109" s="244">
        <f>B109*0.440333333333333/100</f>
        <v>0.44033333333333302</v>
      </c>
      <c r="W109" s="258" t="s">
        <v>454</v>
      </c>
      <c r="X109" s="244">
        <f>B109*0.0433333333333333/100</f>
        <v>4.3333333333333307E-2</v>
      </c>
      <c r="Y109" s="244" t="s">
        <v>455</v>
      </c>
      <c r="Z109" s="244">
        <f>B109*0.03/100</f>
        <v>0.03</v>
      </c>
      <c r="AA109" s="244">
        <f>B109*0.6/100</f>
        <v>0.6</v>
      </c>
      <c r="AB109" s="244" t="s">
        <v>455</v>
      </c>
    </row>
    <row r="110" spans="1:28">
      <c r="A110" s="232" t="s">
        <v>544</v>
      </c>
      <c r="B110" s="59">
        <v>100</v>
      </c>
      <c r="C110" s="239">
        <f>B110*39.4200463768116/100</f>
        <v>39.420046376811598</v>
      </c>
      <c r="D110" s="239">
        <f>B110*1.71014492753623/100</f>
        <v>1.7101449275362299</v>
      </c>
      <c r="E110" s="246">
        <f>B110*0.08/100</f>
        <v>0.08</v>
      </c>
      <c r="F110" s="258"/>
      <c r="G110" s="258"/>
      <c r="H110" s="258"/>
      <c r="I110" s="263"/>
      <c r="J110" s="263"/>
      <c r="K110" s="269" t="s">
        <v>454</v>
      </c>
      <c r="L110" s="242">
        <f>B110*8.8531884057971/100</f>
        <v>8.8531884057971002</v>
      </c>
      <c r="M110" s="239">
        <f>B110*2.18666666666667/100</f>
        <v>2.1866666666666701</v>
      </c>
      <c r="N110" s="239">
        <f>B110*14/100</f>
        <v>14</v>
      </c>
      <c r="O110" s="239">
        <f>B110*11.91666667/100</f>
        <v>11.91666667</v>
      </c>
      <c r="P110" s="239">
        <f>B110*0.13/100</f>
        <v>0.13</v>
      </c>
      <c r="Q110" s="239">
        <f>B110*37.8666666666667/100</f>
        <v>37.866666666666703</v>
      </c>
      <c r="R110" s="239">
        <f>B110*0.203333333333333/100</f>
        <v>0.20333333333333301</v>
      </c>
      <c r="S110" s="239">
        <f>B110*0.596666666666667/100</f>
        <v>0.59666666666666701</v>
      </c>
      <c r="T110" s="239">
        <f>B110*176.116666666667/100</f>
        <v>176.11666666666696</v>
      </c>
      <c r="U110" s="239">
        <f>B110*0.05/100</f>
        <v>0.05</v>
      </c>
      <c r="V110" s="239">
        <f>B110*0.173333333333333/100</f>
        <v>0.17333333333333301</v>
      </c>
      <c r="W110" s="269" t="s">
        <v>454</v>
      </c>
      <c r="X110" s="239">
        <f>B110*0.0433333333333333/100</f>
        <v>4.3333333333333307E-2</v>
      </c>
      <c r="Y110" s="239" t="s">
        <v>455</v>
      </c>
      <c r="Z110" s="239">
        <f>B110*0.143333333333333/100</f>
        <v>0.14333333333333301</v>
      </c>
      <c r="AA110" s="239" t="s">
        <v>455</v>
      </c>
      <c r="AB110" s="239">
        <f>B110*4.66666666666667/100</f>
        <v>4.6666666666666696</v>
      </c>
    </row>
    <row r="111" spans="1:28">
      <c r="A111" s="232" t="s">
        <v>545</v>
      </c>
      <c r="B111" s="59">
        <v>100</v>
      </c>
      <c r="C111" s="239">
        <f>B111*19.5158855072464/100</f>
        <v>19.515885507246399</v>
      </c>
      <c r="D111" s="239">
        <f>B111*1.86594202898551/100</f>
        <v>1.86594202898551</v>
      </c>
      <c r="E111" s="246">
        <f>B111*0.35/100</f>
        <v>0.35</v>
      </c>
      <c r="F111" s="258"/>
      <c r="G111" s="258"/>
      <c r="H111" s="258"/>
      <c r="I111" s="263"/>
      <c r="J111" s="263"/>
      <c r="K111" s="269" t="s">
        <v>454</v>
      </c>
      <c r="L111" s="242">
        <f>B111*3.37072463768116/100</f>
        <v>3.3707246376811599</v>
      </c>
      <c r="M111" s="239">
        <f>B111*3.55/100</f>
        <v>3.55</v>
      </c>
      <c r="N111" s="239">
        <f>B111*79.8533333333333/100</f>
        <v>79.853333333333296</v>
      </c>
      <c r="O111" s="239">
        <f>B111*24.5933333333333/100</f>
        <v>24.593333333333302</v>
      </c>
      <c r="P111" s="239">
        <f>B111*0.126666666666667/100</f>
        <v>0.12666666666666701</v>
      </c>
      <c r="Q111" s="239">
        <f>B111*26.89/100</f>
        <v>26.89</v>
      </c>
      <c r="R111" s="239">
        <f>B111*0.646666666666667/100</f>
        <v>0.64666666666666694</v>
      </c>
      <c r="S111" s="239">
        <f>B111*1.60333333333333/100</f>
        <v>1.6033333333333299</v>
      </c>
      <c r="T111" s="239">
        <f>B111*206.436666666667/100</f>
        <v>206.43666666666701</v>
      </c>
      <c r="U111" s="239">
        <f>B111*0.0433333333333333/100</f>
        <v>4.3333333333333307E-2</v>
      </c>
      <c r="V111" s="239">
        <f>B111*0.303333333333333/100</f>
        <v>0.30333333333333301</v>
      </c>
      <c r="W111" s="269" t="s">
        <v>454</v>
      </c>
      <c r="X111" s="239">
        <f>B111*0.0333333333333333/100</f>
        <v>3.3333333333333298E-2</v>
      </c>
      <c r="Y111" s="239">
        <f>B111*0.0433333333333333/100</f>
        <v>4.3333333333333307E-2</v>
      </c>
      <c r="Z111" s="239">
        <f>B111*0.0833333333333333/100</f>
        <v>8.3333333333333301E-2</v>
      </c>
      <c r="AA111" s="239" t="s">
        <v>455</v>
      </c>
      <c r="AB111" s="239">
        <f>B111*31.78/100</f>
        <v>31.78</v>
      </c>
    </row>
    <row r="112" spans="1:28">
      <c r="A112" s="232" t="s">
        <v>546</v>
      </c>
      <c r="B112" s="59">
        <v>100</v>
      </c>
      <c r="C112" s="238">
        <f>B112*29.8617777101596/100</f>
        <v>29.8617777101596</v>
      </c>
      <c r="D112" s="238">
        <f>B112*0.847916666666667/100</f>
        <v>0.84791666666666698</v>
      </c>
      <c r="E112" s="248">
        <f>B112*0.218333333333333/100</f>
        <v>0.21833333333333299</v>
      </c>
      <c r="F112" s="252" t="s">
        <v>455</v>
      </c>
      <c r="G112" s="252" t="s">
        <v>455</v>
      </c>
      <c r="H112" s="252">
        <f>B112*0.1/100</f>
        <v>0.1</v>
      </c>
      <c r="I112" s="263">
        <f>B112*0.12/100</f>
        <v>0.12</v>
      </c>
      <c r="J112" s="263" t="s">
        <v>455</v>
      </c>
      <c r="K112" s="269" t="s">
        <v>454</v>
      </c>
      <c r="L112" s="242">
        <f>B112*6.68674999999999/100</f>
        <v>6.6867499999999902</v>
      </c>
      <c r="M112" s="238">
        <f>B112*2.629/100</f>
        <v>2.6289999999999996</v>
      </c>
      <c r="N112" s="238">
        <f>B112*25.617/100</f>
        <v>25.617000000000004</v>
      </c>
      <c r="O112" s="238">
        <f>B112*14.4753333333333/100</f>
        <v>14.4753333333333</v>
      </c>
      <c r="P112" s="248">
        <f>B112*0.045/100</f>
        <v>4.4999999999999998E-2</v>
      </c>
      <c r="Q112" s="238">
        <f>B112*26.744/100</f>
        <v>26.744</v>
      </c>
      <c r="R112" s="238">
        <f>B112*0.0936666666666667/100</f>
        <v>9.3666666666666704E-2</v>
      </c>
      <c r="S112" s="238">
        <f>B112*7.881/100</f>
        <v>7.8810000000000002</v>
      </c>
      <c r="T112" s="238">
        <f>B112*175.509/100</f>
        <v>175.50899999999999</v>
      </c>
      <c r="U112" s="238">
        <f>B112*0.015/100</f>
        <v>1.4999999999999999E-2</v>
      </c>
      <c r="V112" s="238">
        <f>B112*0.232/100</f>
        <v>0.23200000000000004</v>
      </c>
      <c r="W112" s="269" t="s">
        <v>454</v>
      </c>
      <c r="X112" s="238">
        <f>B112*0.07/100</f>
        <v>7.0000000000000007E-2</v>
      </c>
      <c r="Y112" s="245" t="s">
        <v>455</v>
      </c>
      <c r="Z112" s="238">
        <f>B112*0.06/100</f>
        <v>0.06</v>
      </c>
      <c r="AA112" s="238">
        <f>B112*2.68333333333333/100</f>
        <v>2.6833333333333305</v>
      </c>
      <c r="AB112" s="242" t="s">
        <v>455</v>
      </c>
    </row>
    <row r="113" spans="1:28">
      <c r="A113" s="232" t="s">
        <v>547</v>
      </c>
      <c r="B113" s="59">
        <v>100</v>
      </c>
      <c r="C113" s="239">
        <f>B113*34.1353884057971/100</f>
        <v>34.135388405797102</v>
      </c>
      <c r="D113" s="239">
        <f>B113*1.32246376811594/100</f>
        <v>1.3224637681159399</v>
      </c>
      <c r="E113" s="246">
        <f>B113*0.173333333333333/100</f>
        <v>0.17333333333333301</v>
      </c>
      <c r="F113" s="252"/>
      <c r="G113" s="252"/>
      <c r="H113" s="252"/>
      <c r="I113" s="263"/>
      <c r="J113" s="263"/>
      <c r="K113" s="269" t="s">
        <v>454</v>
      </c>
      <c r="L113" s="242">
        <f>B113*7.66/100</f>
        <v>7.66</v>
      </c>
      <c r="M113" s="239">
        <f>B113*3.18333333333333/100</f>
        <v>3.1833333333333305</v>
      </c>
      <c r="N113" s="239">
        <f>B113*22.54/100</f>
        <v>22.54</v>
      </c>
      <c r="O113" s="239">
        <f>B113*11.2266666666667/100</f>
        <v>11.226666666666699</v>
      </c>
      <c r="P113" s="239">
        <f>B113*0.05/100</f>
        <v>0.05</v>
      </c>
      <c r="Q113" s="239">
        <f>B113*27.85/100</f>
        <v>27.85</v>
      </c>
      <c r="R113" s="239">
        <f>B113*0.183333333333333/100</f>
        <v>0.18333333333333302</v>
      </c>
      <c r="S113" s="239">
        <f>B113*3.33333333333333/100</f>
        <v>3.3333333333333299</v>
      </c>
      <c r="T113" s="239">
        <f>B113*314.813333333333/100</f>
        <v>314.81333333333299</v>
      </c>
      <c r="U113" s="239">
        <f>B113*0.0466666666666667/100</f>
        <v>4.6666666666666697E-2</v>
      </c>
      <c r="V113" s="239">
        <f>B113*0.223333333333333/100</f>
        <v>0.223333333333333</v>
      </c>
      <c r="W113" s="269" t="s">
        <v>454</v>
      </c>
      <c r="X113" s="239" t="s">
        <v>455</v>
      </c>
      <c r="Y113" s="239" t="s">
        <v>455</v>
      </c>
      <c r="Z113" s="239">
        <f>B113*0.05/100</f>
        <v>0.05</v>
      </c>
      <c r="AA113" s="239" t="s">
        <v>455</v>
      </c>
      <c r="AB113" s="239">
        <f>B113*5.11666666666667/100</f>
        <v>5.1166666666666698</v>
      </c>
    </row>
    <row r="114" spans="1:28">
      <c r="A114" s="232" t="s">
        <v>548</v>
      </c>
      <c r="B114" s="59">
        <v>100</v>
      </c>
      <c r="C114" s="239">
        <f>B114*13.8371202898551/100</f>
        <v>13.8371202898551</v>
      </c>
      <c r="D114" s="239">
        <f>B114*1.13768115942029/100</f>
        <v>1.13768115942029</v>
      </c>
      <c r="E114" s="246">
        <f>B114*0.143333333333333/100</f>
        <v>0.14333333333333301</v>
      </c>
      <c r="F114" s="252"/>
      <c r="G114" s="252"/>
      <c r="H114" s="252"/>
      <c r="I114" s="263"/>
      <c r="J114" s="263"/>
      <c r="K114" s="269" t="s">
        <v>454</v>
      </c>
      <c r="L114" s="242">
        <f>B114*2.85333333333334/100</f>
        <v>2.8533333333333402</v>
      </c>
      <c r="M114" s="239">
        <f>B114*2.2/100</f>
        <v>2.2000000000000002</v>
      </c>
      <c r="N114" s="239">
        <f>B114*44.8266666666667/100</f>
        <v>44.826666666666704</v>
      </c>
      <c r="O114" s="239">
        <f>B114*14.1366666666667/100</f>
        <v>14.136666666666702</v>
      </c>
      <c r="P114" s="239">
        <f>B114*0.133333333333333/100</f>
        <v>0.133333333333333</v>
      </c>
      <c r="Q114" s="239">
        <f>B114*13.3776666666667/100</f>
        <v>13.3776666666667</v>
      </c>
      <c r="R114" s="239">
        <f>B114*0.453333333333333/100</f>
        <v>0.45333333333333298</v>
      </c>
      <c r="S114" s="239">
        <f>B114*13.5223333333333/100</f>
        <v>13.5223333333333</v>
      </c>
      <c r="T114" s="239">
        <f>B114*424.896666666667/100</f>
        <v>424.89666666666699</v>
      </c>
      <c r="U114" s="239">
        <f>B114*0.04/100</f>
        <v>0.04</v>
      </c>
      <c r="V114" s="239">
        <f>B114*0.0903333333333333/100</f>
        <v>9.0333333333333293E-2</v>
      </c>
      <c r="W114" s="269" t="s">
        <v>454</v>
      </c>
      <c r="X114" s="239">
        <f>B114*0.03/100</f>
        <v>0.03</v>
      </c>
      <c r="Y114" s="239">
        <f>B114*0.103333333333333/100</f>
        <v>0.103333333333333</v>
      </c>
      <c r="Z114" s="239" t="s">
        <v>455</v>
      </c>
      <c r="AA114" s="239">
        <f>B114*0.683333333333333/100</f>
        <v>0.68333333333333302</v>
      </c>
      <c r="AB114" s="239">
        <f>B114*6.54333333333333/100</f>
        <v>6.5433333333333303</v>
      </c>
    </row>
    <row r="115" spans="1:28">
      <c r="A115" s="232" t="s">
        <v>549</v>
      </c>
      <c r="B115" s="59">
        <v>100</v>
      </c>
      <c r="C115" s="238">
        <f>B115*18.539790531377/100</f>
        <v>18.539790531377001</v>
      </c>
      <c r="D115" s="242">
        <f>B115*0.414583333333333/100</f>
        <v>0.41458333333333303</v>
      </c>
      <c r="E115" s="251" t="s">
        <v>455</v>
      </c>
      <c r="F115" s="252"/>
      <c r="G115" s="252"/>
      <c r="H115" s="252"/>
      <c r="I115" s="263"/>
      <c r="J115" s="263"/>
      <c r="K115" s="269" t="s">
        <v>454</v>
      </c>
      <c r="L115" s="242">
        <f>B115*4.79341666666667/100</f>
        <v>4.79341666666667</v>
      </c>
      <c r="M115" s="238">
        <f>B115*1.03966666666667/100</f>
        <v>1.0396666666666701</v>
      </c>
      <c r="N115" s="238">
        <f>B115*7.82733333333333/100</f>
        <v>7.8273333333333301</v>
      </c>
      <c r="O115" s="238">
        <f>B115*6.932/100</f>
        <v>6.9320000000000004</v>
      </c>
      <c r="P115" s="238">
        <f>B115*0.0653333333333333/100</f>
        <v>6.5333333333333299E-2</v>
      </c>
      <c r="Q115" s="238">
        <f>B115*12.805/100</f>
        <v>12.805</v>
      </c>
      <c r="R115" s="238">
        <f>B115*0.062/100</f>
        <v>6.2E-2</v>
      </c>
      <c r="S115" s="238">
        <f>B115*1.80733333333333/100</f>
        <v>1.8073333333333297</v>
      </c>
      <c r="T115" s="238">
        <f>B115*54.3526666666667/100</f>
        <v>54.3526666666667</v>
      </c>
      <c r="U115" s="245" t="s">
        <v>455</v>
      </c>
      <c r="V115" s="238">
        <f>B115*0.0933333333333333/100</f>
        <v>9.333333333333331E-2</v>
      </c>
      <c r="W115" s="269" t="s">
        <v>454</v>
      </c>
      <c r="X115" s="238">
        <f>B115*0.03/100</f>
        <v>0.03</v>
      </c>
      <c r="Y115" s="245" t="s">
        <v>455</v>
      </c>
      <c r="Z115" s="245" t="s">
        <v>455</v>
      </c>
      <c r="AA115" s="245" t="s">
        <v>455</v>
      </c>
      <c r="AB115" s="238">
        <f>B115*5.56666666666667/100</f>
        <v>5.56666666666667</v>
      </c>
    </row>
    <row r="116" spans="1:28">
      <c r="A116" s="232" t="s">
        <v>550</v>
      </c>
      <c r="B116" s="59">
        <v>100</v>
      </c>
      <c r="C116" s="239">
        <f>B116*16.9789188405797/100</f>
        <v>16.978918840579698</v>
      </c>
      <c r="D116" s="239">
        <f>B116*0.699275362318841/100</f>
        <v>0.69927536231884102</v>
      </c>
      <c r="E116" s="246">
        <f>B116*0.06/100</f>
        <v>0.06</v>
      </c>
      <c r="F116" s="252"/>
      <c r="G116" s="252"/>
      <c r="H116" s="252"/>
      <c r="I116" s="263"/>
      <c r="J116" s="263"/>
      <c r="K116" s="269" t="s">
        <v>454</v>
      </c>
      <c r="L116" s="242">
        <f>B116*4.13739130434783/100</f>
        <v>4.1373913043478296</v>
      </c>
      <c r="M116" s="239">
        <f>B116*1.28/100</f>
        <v>1.28</v>
      </c>
      <c r="N116" s="239">
        <f>B116*11.5066666666667/100</f>
        <v>11.5066666666667</v>
      </c>
      <c r="O116" s="239">
        <f>B116*7.22666666666667/100</f>
        <v>7.2266666666666701</v>
      </c>
      <c r="P116" s="239">
        <f>B116*0.08/100</f>
        <v>0.08</v>
      </c>
      <c r="Q116" s="239">
        <f>B116*17.7433333333333/100</f>
        <v>17.7433333333333</v>
      </c>
      <c r="R116" s="239">
        <f>B116*0.17/100</f>
        <v>0.17</v>
      </c>
      <c r="S116" s="239" t="s">
        <v>455</v>
      </c>
      <c r="T116" s="239">
        <f>B116*125.99/100</f>
        <v>125.99</v>
      </c>
      <c r="U116" s="239">
        <f>B116*0.03/100</f>
        <v>0.03</v>
      </c>
      <c r="V116" s="239">
        <f>B116*0.103333333333333/100</f>
        <v>0.103333333333333</v>
      </c>
      <c r="W116" s="269" t="s">
        <v>454</v>
      </c>
      <c r="X116" s="239" t="s">
        <v>455</v>
      </c>
      <c r="Y116" s="239" t="s">
        <v>455</v>
      </c>
      <c r="Z116" s="239" t="s">
        <v>455</v>
      </c>
      <c r="AA116" s="239" t="s">
        <v>455</v>
      </c>
      <c r="AB116" s="239">
        <f>B116*10.6133333333333/100</f>
        <v>10.613333333333298</v>
      </c>
    </row>
    <row r="117" spans="1:28">
      <c r="A117" s="232" t="s">
        <v>457</v>
      </c>
      <c r="B117" s="59">
        <v>100</v>
      </c>
      <c r="C117" s="239">
        <f>B117*309.070746804476/100</f>
        <v>309.07074680447602</v>
      </c>
      <c r="D117" s="239">
        <f>B117*20.875/100</f>
        <v>20.875</v>
      </c>
      <c r="E117" s="239">
        <f>B117*10.3866666666667/100</f>
        <v>10.386666666666702</v>
      </c>
      <c r="F117" s="252"/>
      <c r="G117" s="252"/>
      <c r="H117" s="252"/>
      <c r="I117" s="263"/>
      <c r="J117" s="263"/>
      <c r="K117" s="269" t="s">
        <v>454</v>
      </c>
      <c r="L117" s="242">
        <f>B117*47.955/100</f>
        <v>47.954999999999998</v>
      </c>
      <c r="M117" s="239">
        <f>B117*37.29/100</f>
        <v>37.29</v>
      </c>
      <c r="N117" s="239">
        <f>B117*783.813666666667/100</f>
        <v>783.81366666666702</v>
      </c>
      <c r="O117" s="239">
        <f>B117*392.788333333333/100</f>
        <v>392.78833333333301</v>
      </c>
      <c r="P117" s="239">
        <f>B117*10.4796666666667/100</f>
        <v>10.4796666666667</v>
      </c>
      <c r="Q117" s="239">
        <f>B117*388.063666666667/100</f>
        <v>388.06366666666707</v>
      </c>
      <c r="R117" s="239">
        <f>B117*81.4313333333333/100</f>
        <v>81.431333333333299</v>
      </c>
      <c r="S117" s="239">
        <f>B117*18.2553333333333/100</f>
        <v>18.255333333333301</v>
      </c>
      <c r="T117" s="239">
        <f>B117*3222.76566666667/100</f>
        <v>3222.7656666666699</v>
      </c>
      <c r="U117" s="239">
        <f>B117*4.09333333333333/100</f>
        <v>4.0933333333333302</v>
      </c>
      <c r="V117" s="239">
        <f>B117*4.70066666666667/100</f>
        <v>4.7006666666666703</v>
      </c>
      <c r="W117" s="269" t="s">
        <v>454</v>
      </c>
      <c r="X117" s="239">
        <f>B117*0.0966666666666667/100</f>
        <v>9.666666666666672E-2</v>
      </c>
      <c r="Y117" s="239">
        <f>B117*0.113333333333333/100</f>
        <v>0.11333333333333301</v>
      </c>
      <c r="Z117" s="239">
        <f>B117*0.0933333333333333/100</f>
        <v>9.333333333333331E-2</v>
      </c>
      <c r="AA117" s="239" t="s">
        <v>455</v>
      </c>
      <c r="AB117" s="239">
        <f>B117*40.7733333333333/100</f>
        <v>40.773333333333298</v>
      </c>
    </row>
    <row r="118" spans="1:28">
      <c r="A118" s="232" t="s">
        <v>551</v>
      </c>
      <c r="B118" s="59">
        <v>100</v>
      </c>
      <c r="C118" s="239">
        <f>B118*27.0566971014493/100</f>
        <v>27.056697101449299</v>
      </c>
      <c r="D118" s="239">
        <f>B118*2.8731884057971/100</f>
        <v>2.8731884057971002</v>
      </c>
      <c r="E118" s="239">
        <f>B118*0.546666666666667/100</f>
        <v>0.54666666666666697</v>
      </c>
      <c r="F118" s="252">
        <f>B118*0.12/100</f>
        <v>0.12</v>
      </c>
      <c r="G118" s="252" t="s">
        <v>455</v>
      </c>
      <c r="H118" s="252">
        <f>B118*0.128666666666667/100</f>
        <v>0.12866666666666701</v>
      </c>
      <c r="I118" s="263">
        <f>B118*0.0526666666666667/100</f>
        <v>5.2666666666666702E-2</v>
      </c>
      <c r="J118" s="263">
        <f>B118*0.076/100</f>
        <v>7.5999999999999998E-2</v>
      </c>
      <c r="K118" s="269" t="s">
        <v>454</v>
      </c>
      <c r="L118" s="242">
        <f>B118*4.33347826086956/100</f>
        <v>4.3334782608695601</v>
      </c>
      <c r="M118" s="239">
        <f>B118*3.12/100</f>
        <v>3.12</v>
      </c>
      <c r="N118" s="239">
        <f>B118*130.866/100</f>
        <v>130.86600000000001</v>
      </c>
      <c r="O118" s="239">
        <f>B118*34.6566666666667/100</f>
        <v>34.656666666666702</v>
      </c>
      <c r="P118" s="239">
        <f>B118*1.01666666666667/100</f>
        <v>1.0166666666666699</v>
      </c>
      <c r="Q118" s="239">
        <f>B118*48.667/100</f>
        <v>48.667000000000002</v>
      </c>
      <c r="R118" s="239">
        <f>B118*0.453666666666667/100</f>
        <v>0.45366666666666705</v>
      </c>
      <c r="S118" s="239">
        <f>B118*6.171/100</f>
        <v>6.1710000000000003</v>
      </c>
      <c r="T118" s="239">
        <f>B118*403.446666666667/100</f>
        <v>403.446666666667</v>
      </c>
      <c r="U118" s="239">
        <f>B118*0.06/100</f>
        <v>0.06</v>
      </c>
      <c r="V118" s="239">
        <f>B118*0.396666666666667/100</f>
        <v>0.396666666666667</v>
      </c>
      <c r="W118" s="269" t="s">
        <v>454</v>
      </c>
      <c r="X118" s="239">
        <f>B118*0.2/100</f>
        <v>0.2</v>
      </c>
      <c r="Y118" s="239">
        <f>B118*0.31/100</f>
        <v>0.31</v>
      </c>
      <c r="Z118" s="239">
        <f>B118*0.0633333333333333/100</f>
        <v>6.3333333333333297E-2</v>
      </c>
      <c r="AA118" s="239">
        <f>B118*2.29/100</f>
        <v>2.29</v>
      </c>
      <c r="AB118" s="239">
        <f>B118*96.6833333333333/100</f>
        <v>96.683333333333309</v>
      </c>
    </row>
    <row r="119" spans="1:28">
      <c r="A119" s="232" t="s">
        <v>3093</v>
      </c>
      <c r="B119" s="59">
        <v>100</v>
      </c>
      <c r="C119" s="238">
        <f>B119*90.3448154261112/100</f>
        <v>90.344815426111197</v>
      </c>
      <c r="D119" s="238">
        <f>B119*1.66666666666667/100</f>
        <v>1.6666666666666701</v>
      </c>
      <c r="E119" s="238">
        <f>B119*6.594/100</f>
        <v>6.5939999999999994</v>
      </c>
      <c r="F119" s="252">
        <f>B119*1/100</f>
        <v>1</v>
      </c>
      <c r="G119" s="252">
        <f>B119*1.6/100</f>
        <v>1.6</v>
      </c>
      <c r="H119" s="252">
        <f>B119*3.6/100</f>
        <v>3.6</v>
      </c>
      <c r="I119" s="263">
        <f>B119*3.16/100</f>
        <v>3.16</v>
      </c>
      <c r="J119" s="263">
        <f>B119*0.38/100</f>
        <v>0.38</v>
      </c>
      <c r="K119" s="269" t="s">
        <v>454</v>
      </c>
      <c r="L119" s="242">
        <f>B119*8.70766666666667/100</f>
        <v>8.70766666666667</v>
      </c>
      <c r="M119" s="238">
        <f>B119*5.73633333333333/100</f>
        <v>5.73633333333333</v>
      </c>
      <c r="N119" s="243">
        <f>B119*177.332333333333/100</f>
        <v>177.332333333333</v>
      </c>
      <c r="O119" s="243">
        <f>B119*26.2046666666667/100</f>
        <v>26.2046666666667</v>
      </c>
      <c r="P119" s="243">
        <f>B119*0.123333333333333/100</f>
        <v>0.123333333333333</v>
      </c>
      <c r="Q119" s="243">
        <f>B119*33.4066666666667/100</f>
        <v>33.406666666666702</v>
      </c>
      <c r="R119" s="243">
        <f>B119*0.495333333333333/100</f>
        <v>0.49533333333333301</v>
      </c>
      <c r="S119" s="243">
        <f>B119*11.4466666666667/100</f>
        <v>11.446666666666699</v>
      </c>
      <c r="T119" s="243">
        <f>B119*314.889/100</f>
        <v>314.88900000000001</v>
      </c>
      <c r="U119" s="243">
        <f>B119*0.0203333333333333/100</f>
        <v>2.0333333333333301E-2</v>
      </c>
      <c r="V119" s="243">
        <f>B119*0.193666666666667/100</f>
        <v>0.19366666666666699</v>
      </c>
      <c r="W119" s="269" t="s">
        <v>454</v>
      </c>
      <c r="X119" s="245" t="s">
        <v>455</v>
      </c>
      <c r="Y119" s="238">
        <f>B119*0.05/100</f>
        <v>0.05</v>
      </c>
      <c r="Z119" s="238">
        <f>B119*0.07/100</f>
        <v>7.0000000000000007E-2</v>
      </c>
      <c r="AA119" s="245" t="s">
        <v>455</v>
      </c>
      <c r="AB119" s="238">
        <f>B119*76.9433333333333/100</f>
        <v>76.9433333333333</v>
      </c>
    </row>
    <row r="120" spans="1:28">
      <c r="A120" s="232" t="s">
        <v>553</v>
      </c>
      <c r="B120" s="59">
        <v>100</v>
      </c>
      <c r="C120" s="239">
        <f>B120*22.5633492753623/100</f>
        <v>22.563349275362299</v>
      </c>
      <c r="D120" s="239">
        <f>B120*1.90579710144928/100</f>
        <v>1.9057971014492801</v>
      </c>
      <c r="E120" s="246">
        <f>B120*0.213333333333333/100</f>
        <v>0.21333333333333301</v>
      </c>
      <c r="F120" s="252"/>
      <c r="G120" s="252"/>
      <c r="H120" s="252"/>
      <c r="I120" s="263"/>
      <c r="J120" s="263"/>
      <c r="K120" s="269" t="s">
        <v>454</v>
      </c>
      <c r="L120" s="242">
        <f>B120*4.51753623188406/100</f>
        <v>4.5175362318840602</v>
      </c>
      <c r="M120" s="239">
        <f>B120*2.35/100</f>
        <v>2.35</v>
      </c>
      <c r="N120" s="239">
        <f>B120*17.82/100</f>
        <v>17.82</v>
      </c>
      <c r="O120" s="239">
        <f>B120*11.9933333333333/100</f>
        <v>11.9933333333333</v>
      </c>
      <c r="P120" s="239">
        <f>B120*0.16/100</f>
        <v>0.16</v>
      </c>
      <c r="Q120" s="239">
        <f>B120*57.08/100</f>
        <v>57.08</v>
      </c>
      <c r="R120" s="239">
        <f>B120*0.533333333333333/100</f>
        <v>0.53333333333333299</v>
      </c>
      <c r="S120" s="239">
        <f>B120*3.43666666666667/100</f>
        <v>3.4366666666666701</v>
      </c>
      <c r="T120" s="239">
        <f>B120*256.013333333333/100</f>
        <v>256.01333333333298</v>
      </c>
      <c r="U120" s="239">
        <f>B120*0.03/100</f>
        <v>0.03</v>
      </c>
      <c r="V120" s="239">
        <f>B120*0.313333333333333/100</f>
        <v>0.31333333333333302</v>
      </c>
      <c r="W120" s="269" t="s">
        <v>454</v>
      </c>
      <c r="X120" s="239">
        <f>B120*0.03/100</f>
        <v>0.03</v>
      </c>
      <c r="Y120" s="239">
        <f>B120*0.0933333333333333/100</f>
        <v>9.333333333333331E-2</v>
      </c>
      <c r="Z120" s="239">
        <f>B120*0.1/100</f>
        <v>0.1</v>
      </c>
      <c r="AA120" s="239" t="s">
        <v>455</v>
      </c>
      <c r="AB120" s="239">
        <f>B120*36.05/100</f>
        <v>36.049999999999997</v>
      </c>
    </row>
    <row r="121" spans="1:28">
      <c r="A121" s="232" t="s">
        <v>554</v>
      </c>
      <c r="B121" s="59">
        <v>100</v>
      </c>
      <c r="C121" s="238">
        <f>B121*19.1141406147282/100</f>
        <v>19.1141406147282</v>
      </c>
      <c r="D121" s="238">
        <f>B121*1.23958333333333/100</f>
        <v>1.2395833333333299</v>
      </c>
      <c r="E121" s="248">
        <f>B121*0.269333333333333/100</f>
        <v>0.26933333333333298</v>
      </c>
      <c r="F121" s="252">
        <f>B121*0.1/100</f>
        <v>0.1</v>
      </c>
      <c r="G121" s="252" t="s">
        <v>455</v>
      </c>
      <c r="H121" s="252">
        <f>B121*0.1/100</f>
        <v>0.1</v>
      </c>
      <c r="I121" s="263">
        <f>B121*0.06/100</f>
        <v>0.06</v>
      </c>
      <c r="J121" s="263">
        <f>B121*0.06/100</f>
        <v>0.06</v>
      </c>
      <c r="K121" s="269" t="s">
        <v>454</v>
      </c>
      <c r="L121" s="242">
        <f>B121*3.87541666666668/100</f>
        <v>3.8754166666666801</v>
      </c>
      <c r="M121" s="238">
        <f>B121*2.13033333333333/100</f>
        <v>2.1303333333333301</v>
      </c>
      <c r="N121" s="238">
        <f>B121*16.1443333333333/100</f>
        <v>16.1443333333333</v>
      </c>
      <c r="O121" s="238">
        <f>B121*5.44466666666667/100</f>
        <v>5.4446666666666701</v>
      </c>
      <c r="P121" s="238">
        <f>B121*0.102/100</f>
        <v>0.10199999999999999</v>
      </c>
      <c r="Q121" s="238">
        <f>B121*25.4316666666667/100</f>
        <v>25.4316666666667</v>
      </c>
      <c r="R121" s="238">
        <f>B121*0.130333333333333/100</f>
        <v>0.130333333333333</v>
      </c>
      <c r="S121" s="243">
        <f>B121*1.78766666666667/100</f>
        <v>1.7876666666666698</v>
      </c>
      <c r="T121" s="238">
        <f>B121*80.492/100</f>
        <v>80.492000000000004</v>
      </c>
      <c r="U121" s="245" t="s">
        <v>455</v>
      </c>
      <c r="V121" s="238">
        <f>B121*0.259/100</f>
        <v>0.25900000000000001</v>
      </c>
      <c r="W121" s="269" t="s">
        <v>454</v>
      </c>
      <c r="X121" s="238">
        <f>B121*0.0366666666666667/100</f>
        <v>3.6666666666666702E-2</v>
      </c>
      <c r="Y121" s="245" t="s">
        <v>455</v>
      </c>
      <c r="Z121" s="245" t="s">
        <v>455</v>
      </c>
      <c r="AA121" s="245" t="s">
        <v>455</v>
      </c>
      <c r="AB121" s="238">
        <f>B121*23.6966666666667/100</f>
        <v>23.696666666666701</v>
      </c>
    </row>
    <row r="122" spans="1:28">
      <c r="A122" s="232" t="s">
        <v>3094</v>
      </c>
      <c r="B122" s="59">
        <v>100</v>
      </c>
      <c r="C122" s="239">
        <f>B122*16.0956942028985/100</f>
        <v>16.0956942028985</v>
      </c>
      <c r="D122" s="239">
        <f>B122*1.9963768115942/100</f>
        <v>1.9963768115942</v>
      </c>
      <c r="E122" s="246">
        <f>B122*0.243333333333333/100</f>
        <v>0.24333333333333301</v>
      </c>
      <c r="F122" s="252"/>
      <c r="G122" s="252"/>
      <c r="H122" s="252"/>
      <c r="I122" s="263"/>
      <c r="J122" s="263"/>
      <c r="K122" s="269" t="s">
        <v>454</v>
      </c>
      <c r="L122" s="242">
        <f>B122*2.5736231884058/100</f>
        <v>2.5736231884057998</v>
      </c>
      <c r="M122" s="239">
        <f>B122*2.1/100</f>
        <v>2.1</v>
      </c>
      <c r="N122" s="239">
        <f>B122*97.5066666666667/100</f>
        <v>97.506666666666703</v>
      </c>
      <c r="O122" s="239">
        <f>B122*81.6433333333333/100</f>
        <v>81.643333333333302</v>
      </c>
      <c r="P122" s="239">
        <f>B122*0.71/100</f>
        <v>0.71</v>
      </c>
      <c r="Q122" s="239">
        <f>B122*25.4333333333333/100</f>
        <v>25.433333333333302</v>
      </c>
      <c r="R122" s="239">
        <f>B122*0.357333333333333/100</f>
        <v>0.357333333333333</v>
      </c>
      <c r="S122" s="239">
        <f>B122*17.0948333333333/100</f>
        <v>17.094833333333298</v>
      </c>
      <c r="T122" s="239">
        <f>B122*336.006666666667/100</f>
        <v>336.006666666667</v>
      </c>
      <c r="U122" s="239">
        <f>B122*0.06/100</f>
        <v>0.06</v>
      </c>
      <c r="V122" s="239">
        <f>B122*0.273333333333333/100</f>
        <v>0.27333333333333298</v>
      </c>
      <c r="W122" s="269" t="s">
        <v>454</v>
      </c>
      <c r="X122" s="239">
        <f>B122*0.0966666666666667/100</f>
        <v>9.666666666666672E-2</v>
      </c>
      <c r="Y122" s="239">
        <f>B122*0.206666666666667/100</f>
        <v>0.206666666666667</v>
      </c>
      <c r="Z122" s="239">
        <f>B122*0.06/100</f>
        <v>0.06</v>
      </c>
      <c r="AA122" s="239" t="s">
        <v>455</v>
      </c>
      <c r="AB122" s="239">
        <f>B122*2.42/100</f>
        <v>2.42</v>
      </c>
    </row>
    <row r="123" spans="1:28">
      <c r="A123" s="232" t="s">
        <v>3095</v>
      </c>
      <c r="B123" s="59">
        <v>100</v>
      </c>
      <c r="C123" s="238">
        <f>B123*67.2536517506639/100</f>
        <v>67.253651750663906</v>
      </c>
      <c r="D123" s="238">
        <f>B123*2.71875/100</f>
        <v>2.71875</v>
      </c>
      <c r="E123" s="238">
        <f>B123*5.43466666666667/100</f>
        <v>5.4346666666666703</v>
      </c>
      <c r="F123" s="252">
        <f>B123*0.9/100</f>
        <v>0.9</v>
      </c>
      <c r="G123" s="252">
        <f>B123*1.3/100</f>
        <v>1.3</v>
      </c>
      <c r="H123" s="252">
        <f>B123*2.9/100</f>
        <v>2.9</v>
      </c>
      <c r="I123" s="263">
        <f>B123*2.55/100</f>
        <v>2.5499999999999998</v>
      </c>
      <c r="J123" s="263">
        <f>B123*0.38/100</f>
        <v>0.38</v>
      </c>
      <c r="K123" s="269" t="s">
        <v>454</v>
      </c>
      <c r="L123" s="242">
        <f>B123*4.23858333333334/100</f>
        <v>4.2385833333333398</v>
      </c>
      <c r="M123" s="238">
        <f>B123*2.51833333333333/100</f>
        <v>2.51833333333333</v>
      </c>
      <c r="N123" s="243">
        <f>B123*112.382333333333/100</f>
        <v>112.38233333333299</v>
      </c>
      <c r="O123" s="243">
        <f>B123*122.712333333333/100</f>
        <v>122.71233333333301</v>
      </c>
      <c r="P123" s="243">
        <f>B123*0.613333333333333/100</f>
        <v>0.61333333333333295</v>
      </c>
      <c r="Q123" s="243">
        <f>B123*33.5056666666667/100</f>
        <v>33.505666666666698</v>
      </c>
      <c r="R123" s="243">
        <f>B123*0.649333333333333/100</f>
        <v>0.64933333333333298</v>
      </c>
      <c r="S123" s="243">
        <f>B123*47.0243333333333/100</f>
        <v>47.02433333333331</v>
      </c>
      <c r="T123" s="243">
        <f>B123*149.225666666667/100</f>
        <v>149.225666666667</v>
      </c>
      <c r="U123" s="243">
        <f>B123*0.0366666666666667/100</f>
        <v>3.6666666666666702E-2</v>
      </c>
      <c r="V123" s="238">
        <f>B123*0.592666666666667/100</f>
        <v>0.59266666666666701</v>
      </c>
      <c r="W123" s="269" t="s">
        <v>454</v>
      </c>
      <c r="X123" s="238">
        <f>B123*0.0833333333333333/100</f>
        <v>8.3333333333333301E-2</v>
      </c>
      <c r="Y123" s="238">
        <f>B123*0.126666666666667/100</f>
        <v>0.12666666666666701</v>
      </c>
      <c r="Z123" s="238">
        <f>B123*0.133333333333333/100</f>
        <v>0.133333333333333</v>
      </c>
      <c r="AA123" s="239" t="s">
        <v>455</v>
      </c>
      <c r="AB123" s="238">
        <f>B123*5.26666666666667/100</f>
        <v>5.2666666666666693</v>
      </c>
    </row>
    <row r="124" spans="1:28">
      <c r="A124" s="232" t="s">
        <v>3096</v>
      </c>
      <c r="B124" s="59">
        <v>100</v>
      </c>
      <c r="C124" s="240">
        <f>B124*360.869698550725/100</f>
        <v>360.86969855072499</v>
      </c>
      <c r="D124" s="239">
        <f>B124*1.55434782608696/100</f>
        <v>1.5543478260869599</v>
      </c>
      <c r="E124" s="240">
        <f>B124*0.276666666666667/100</f>
        <v>0.276666666666667</v>
      </c>
      <c r="F124" s="252">
        <f>B124*0.1/100</f>
        <v>0.1</v>
      </c>
      <c r="G124" s="252">
        <f>B124*0.1/100</f>
        <v>0.1</v>
      </c>
      <c r="H124" s="252" t="s">
        <v>455</v>
      </c>
      <c r="I124" s="263">
        <f>B124*0.03/100</f>
        <v>0.03</v>
      </c>
      <c r="J124" s="263">
        <f>B124*0.01/100</f>
        <v>0.01</v>
      </c>
      <c r="K124" s="269" t="s">
        <v>454</v>
      </c>
      <c r="L124" s="242">
        <f>B124*87.8989855072464/100</f>
        <v>87.898985507246394</v>
      </c>
      <c r="M124" s="240">
        <f>B124*6.39/100</f>
        <v>6.39</v>
      </c>
      <c r="N124" s="240">
        <f>B124*64.8733333333333/100</f>
        <v>64.873333333333306</v>
      </c>
      <c r="O124" s="240">
        <f>B124*37/100</f>
        <v>37</v>
      </c>
      <c r="P124" s="240" t="s">
        <v>455</v>
      </c>
      <c r="Q124" s="240">
        <f>B124*41.61/100</f>
        <v>41.61</v>
      </c>
      <c r="R124" s="240">
        <f>B124*1.09333333333333/100</f>
        <v>1.0933333333333299</v>
      </c>
      <c r="S124" s="240">
        <f>B124*1.02333333333333/100</f>
        <v>1.0233333333333301</v>
      </c>
      <c r="T124" s="240">
        <f>B124*340.13/100</f>
        <v>340.13</v>
      </c>
      <c r="U124" s="240">
        <f>B124*0.08/100</f>
        <v>0.08</v>
      </c>
      <c r="V124" s="240">
        <f>B124*0.393333333333333/100</f>
        <v>0.39333333333333298</v>
      </c>
      <c r="W124" s="269" t="s">
        <v>454</v>
      </c>
      <c r="X124" s="240">
        <f>B124*0.136666666666667/100</f>
        <v>0.13666666666666699</v>
      </c>
      <c r="Y124" s="240" t="s">
        <v>455</v>
      </c>
      <c r="Z124" s="240">
        <f>B124*0.04/100</f>
        <v>0.04</v>
      </c>
      <c r="AA124" s="240" t="s">
        <v>455</v>
      </c>
      <c r="AB124" s="240" t="s">
        <v>455</v>
      </c>
    </row>
    <row r="125" spans="1:28">
      <c r="A125" s="232" t="s">
        <v>558</v>
      </c>
      <c r="B125" s="59">
        <v>100</v>
      </c>
      <c r="C125" s="238">
        <f>B125*365.268975/100</f>
        <v>365.26897500000001</v>
      </c>
      <c r="D125" s="238">
        <f>B125*1.22916666666667/100</f>
        <v>1.2291666666666701</v>
      </c>
      <c r="E125" s="248">
        <f>B125*0.286666666666667/100</f>
        <v>0.28666666666666701</v>
      </c>
      <c r="F125" s="252">
        <f>B125*0.1/100</f>
        <v>0.1</v>
      </c>
      <c r="G125" s="252">
        <f>B125*0.1/100</f>
        <v>0.1</v>
      </c>
      <c r="H125" s="252" t="s">
        <v>455</v>
      </c>
      <c r="I125" s="263">
        <f>B125*0.03/100</f>
        <v>0.03</v>
      </c>
      <c r="J125" s="263">
        <f>B125*0.01/100</f>
        <v>0.01</v>
      </c>
      <c r="K125" s="269" t="s">
        <v>454</v>
      </c>
      <c r="L125" s="242">
        <f>B125*89.1941666666667/100</f>
        <v>89.194166666666703</v>
      </c>
      <c r="M125" s="238">
        <f>B125*6.54/100</f>
        <v>6.54</v>
      </c>
      <c r="N125" s="238">
        <f>B125*75.5273333333333/100</f>
        <v>75.527333333333303</v>
      </c>
      <c r="O125" s="238">
        <f>B125*40.0126666666667/100</f>
        <v>40.012666666666703</v>
      </c>
      <c r="P125" s="238">
        <f>B125*0.366333333333333/100</f>
        <v>0.36633333333333307</v>
      </c>
      <c r="Q125" s="238">
        <f>B125*38.626/100</f>
        <v>38.625999999999998</v>
      </c>
      <c r="R125" s="238">
        <f>B125*1.19366666666667/100</f>
        <v>1.19366666666667</v>
      </c>
      <c r="S125" s="238">
        <f>B125*10.31/100</f>
        <v>10.31</v>
      </c>
      <c r="T125" s="238">
        <f>B125*327.735/100</f>
        <v>327.73500000000001</v>
      </c>
      <c r="U125" s="245" t="s">
        <v>455</v>
      </c>
      <c r="V125" s="238">
        <f>B125*0.36/100</f>
        <v>0.36</v>
      </c>
      <c r="W125" s="269" t="s">
        <v>454</v>
      </c>
      <c r="X125" s="245" t="s">
        <v>455</v>
      </c>
      <c r="Y125" s="245" t="s">
        <v>455</v>
      </c>
      <c r="Z125" s="238">
        <f>B125*0.806666666666667/100</f>
        <v>0.80666666666666698</v>
      </c>
      <c r="AA125" s="245" t="s">
        <v>455</v>
      </c>
      <c r="AB125" s="243" t="s">
        <v>455</v>
      </c>
    </row>
    <row r="126" spans="1:28">
      <c r="A126" s="233" t="s">
        <v>3097</v>
      </c>
      <c r="B126" s="59">
        <v>100</v>
      </c>
      <c r="C126" s="247">
        <f>B126*360.179774879932/100</f>
        <v>360.17977487993198</v>
      </c>
      <c r="D126" s="247">
        <f>B126*1.61666666666667/100</f>
        <v>1.61666666666667</v>
      </c>
      <c r="E126" s="244">
        <f>B126*0.469/100</f>
        <v>0.46899999999999997</v>
      </c>
      <c r="F126" s="258">
        <f>B126*0.227/100</f>
        <v>0.22699999999999998</v>
      </c>
      <c r="G126" s="258">
        <f>B126*0.185333333333333/100</f>
        <v>0.18533333333333299</v>
      </c>
      <c r="H126" s="258" t="s">
        <v>455</v>
      </c>
      <c r="I126" s="263">
        <f>B126*0.036/100</f>
        <v>3.5999999999999997E-2</v>
      </c>
      <c r="J126" s="263"/>
      <c r="K126" s="258" t="s">
        <v>454</v>
      </c>
      <c r="L126" s="247">
        <f>B126*87.2853333333333/100</f>
        <v>87.285333333333298</v>
      </c>
      <c r="M126" s="258">
        <f>B126*4.24/100</f>
        <v>4.24</v>
      </c>
      <c r="N126" s="244">
        <f>B126*41.3956666666667/100</f>
        <v>41.395666666666699</v>
      </c>
      <c r="O126" s="244">
        <f>B126*27.4866666666667/100</f>
        <v>27.4866666666667</v>
      </c>
      <c r="P126" s="244">
        <f>B126*0.162666666666667/100</f>
        <v>0.16266666666666699</v>
      </c>
      <c r="Q126" s="244">
        <f>B126*32.6396666666667/100</f>
        <v>32.639666666666699</v>
      </c>
      <c r="R126" s="244">
        <f>B126*1.433/100</f>
        <v>1.4330000000000001</v>
      </c>
      <c r="S126" s="244">
        <f>B126*3.60766666666667/100</f>
        <v>3.6076666666666699</v>
      </c>
      <c r="T126" s="244">
        <f>B126*337.764333333333/100</f>
        <v>337.76433333333296</v>
      </c>
      <c r="U126" s="244">
        <f>B126*0.0696666666666667/100</f>
        <v>6.9666666666666696E-2</v>
      </c>
      <c r="V126" s="244">
        <f>B126*0.337/100</f>
        <v>0.33700000000000002</v>
      </c>
      <c r="W126" s="258" t="s">
        <v>454</v>
      </c>
      <c r="X126" s="244">
        <f>B126*0.0933333333333333/100</f>
        <v>9.333333333333331E-2</v>
      </c>
      <c r="Y126" s="244" t="s">
        <v>455</v>
      </c>
      <c r="Z126" s="244" t="s">
        <v>455</v>
      </c>
      <c r="AA126" s="244" t="s">
        <v>455</v>
      </c>
      <c r="AB126" s="258" t="s">
        <v>455</v>
      </c>
    </row>
    <row r="127" spans="1:28">
      <c r="A127" s="232" t="s">
        <v>3098</v>
      </c>
      <c r="B127" s="59">
        <v>100</v>
      </c>
      <c r="C127" s="238">
        <f>B127*330.850558333333/100</f>
        <v>330.85055833333303</v>
      </c>
      <c r="D127" s="238">
        <f>B127*0.520833333333333/100</f>
        <v>0.52083333333333304</v>
      </c>
      <c r="E127" s="248">
        <f>B127*0.283333333333333/100</f>
        <v>0.28333333333333299</v>
      </c>
      <c r="F127" s="258"/>
      <c r="G127" s="258"/>
      <c r="H127" s="258"/>
      <c r="I127" s="263"/>
      <c r="J127" s="263"/>
      <c r="K127" s="269" t="s">
        <v>454</v>
      </c>
      <c r="L127" s="242">
        <f>B127*81.1491666666667/100</f>
        <v>81.149166666666702</v>
      </c>
      <c r="M127" s="238">
        <f>B127*0.646666666666667/100</f>
        <v>0.64666666666666694</v>
      </c>
      <c r="N127" s="238">
        <f>B127*11.889/100</f>
        <v>11.888999999999999</v>
      </c>
      <c r="O127" s="238">
        <f>B127*3.017/100</f>
        <v>3.0169999999999999</v>
      </c>
      <c r="P127" s="245" t="s">
        <v>455</v>
      </c>
      <c r="Q127" s="238">
        <f>B127*60.385/100</f>
        <v>60.384999999999998</v>
      </c>
      <c r="R127" s="238">
        <f>B127*0.107/100</f>
        <v>0.107</v>
      </c>
      <c r="S127" s="238">
        <f>B127*2.449/100</f>
        <v>2.4489999999999998</v>
      </c>
      <c r="T127" s="238">
        <f>B127*48.127/100</f>
        <v>48.126999999999995</v>
      </c>
      <c r="U127" s="245" t="s">
        <v>455</v>
      </c>
      <c r="V127" s="245" t="s">
        <v>455</v>
      </c>
      <c r="W127" s="269" t="s">
        <v>454</v>
      </c>
      <c r="X127" s="242">
        <f>B127*0.03/100</f>
        <v>0.03</v>
      </c>
      <c r="Y127" s="242" t="s">
        <v>455</v>
      </c>
      <c r="Z127" s="242" t="s">
        <v>455</v>
      </c>
      <c r="AA127" s="242" t="s">
        <v>455</v>
      </c>
      <c r="AB127" s="242" t="s">
        <v>455</v>
      </c>
    </row>
    <row r="128" spans="1:28">
      <c r="A128" s="232" t="s">
        <v>560</v>
      </c>
      <c r="B128" s="59">
        <v>100</v>
      </c>
      <c r="C128" s="238">
        <f>B128*38.7232363754113/100</f>
        <v>38.723236375411297</v>
      </c>
      <c r="D128" s="238">
        <f>B128*4.16666666666667/100</f>
        <v>4.1666666666666696</v>
      </c>
      <c r="E128" s="248">
        <f>B128*0.102666666666667/100</f>
        <v>0.10266666666666699</v>
      </c>
      <c r="F128" s="258"/>
      <c r="G128" s="258"/>
      <c r="H128" s="258"/>
      <c r="I128" s="263"/>
      <c r="J128" s="263"/>
      <c r="K128" s="242" t="s">
        <v>454</v>
      </c>
      <c r="L128" s="242">
        <f>B128*7.75833333333333/100</f>
        <v>7.7583333333333302</v>
      </c>
      <c r="M128" s="238">
        <f>B128*1.966/100</f>
        <v>1.966</v>
      </c>
      <c r="N128" s="238">
        <f>B128*14.4826666666667/100</f>
        <v>14.482666666666701</v>
      </c>
      <c r="O128" s="238">
        <f>B128*25.126/100</f>
        <v>25.125999999999998</v>
      </c>
      <c r="P128" s="238">
        <f>B128*0.187/100</f>
        <v>0.187</v>
      </c>
      <c r="Q128" s="243">
        <f>B128*74.7523333333333/100</f>
        <v>74.752333333333297</v>
      </c>
      <c r="R128" s="238">
        <f>B128*0.820333333333333/100</f>
        <v>0.82033333333333303</v>
      </c>
      <c r="S128" s="243">
        <f>B128*1.793/100</f>
        <v>1.7929999999999999</v>
      </c>
      <c r="T128" s="238">
        <f>B128*189.215333333333/100</f>
        <v>189.21533333333301</v>
      </c>
      <c r="U128" s="238">
        <f>B128*0.172333333333333/100</f>
        <v>0.17233333333333298</v>
      </c>
      <c r="V128" s="238">
        <f>B128*0.571333333333333/100</f>
        <v>0.57133333333333303</v>
      </c>
      <c r="W128" s="242" t="s">
        <v>454</v>
      </c>
      <c r="X128" s="245" t="s">
        <v>455</v>
      </c>
      <c r="Y128" s="238">
        <f>B128*0.0366666666666667/100</f>
        <v>3.6666666666666702E-2</v>
      </c>
      <c r="Z128" s="238">
        <f>B128*0.146666666666667/100</f>
        <v>0.146666666666667</v>
      </c>
      <c r="AA128" s="245" t="s">
        <v>455</v>
      </c>
      <c r="AB128" s="238">
        <f>B128*12/100</f>
        <v>12</v>
      </c>
    </row>
    <row r="129" spans="1:28">
      <c r="A129" s="232" t="s">
        <v>561</v>
      </c>
      <c r="B129" s="59">
        <v>100</v>
      </c>
      <c r="C129" s="239">
        <f>B129*96.699831884058/100</f>
        <v>96.699831884058</v>
      </c>
      <c r="D129" s="239">
        <f>B129*2.05072463768116/100</f>
        <v>2.0507246376811601</v>
      </c>
      <c r="E129" s="246">
        <f>B129*0.213333333333333/100</f>
        <v>0.21333333333333301</v>
      </c>
      <c r="F129" s="266">
        <f>B129*0.077/100</f>
        <v>7.6999999999999999E-2</v>
      </c>
      <c r="G129" s="270" t="s">
        <v>455</v>
      </c>
      <c r="H129" s="266">
        <f>B129*0.078/100</f>
        <v>7.8E-2</v>
      </c>
      <c r="I129" s="263">
        <f>B129*0.078/100</f>
        <v>7.8E-2</v>
      </c>
      <c r="J129" s="263" t="s">
        <v>455</v>
      </c>
      <c r="K129" s="269" t="s">
        <v>454</v>
      </c>
      <c r="L129" s="242">
        <f>B129*23.2326086956522/100</f>
        <v>23.232608695652196</v>
      </c>
      <c r="M129" s="239">
        <f>B129*1.65333333333333/100</f>
        <v>1.65333333333333</v>
      </c>
      <c r="N129" s="239">
        <f>B129*11.7966666666667/100</f>
        <v>11.796666666666702</v>
      </c>
      <c r="O129" s="239">
        <f>B129*28.7633333333333/100</f>
        <v>28.7633333333333</v>
      </c>
      <c r="P129" s="239">
        <f>B129*0.153333333333333/100</f>
        <v>0.15333333333333299</v>
      </c>
      <c r="Q129" s="239">
        <f>B129*64.7233333333333/100</f>
        <v>64.723333333333301</v>
      </c>
      <c r="R129" s="239">
        <f>B129*0.36/100</f>
        <v>0.36</v>
      </c>
      <c r="S129" s="239" t="s">
        <v>455</v>
      </c>
      <c r="T129" s="239">
        <f>B129*567.743333333333/100</f>
        <v>567.743333333333</v>
      </c>
      <c r="U129" s="239">
        <f>B129*0.17/100</f>
        <v>0.17</v>
      </c>
      <c r="V129" s="239">
        <f>B129*0.3/100</f>
        <v>0.3</v>
      </c>
      <c r="W129" s="269" t="s">
        <v>454</v>
      </c>
      <c r="X129" s="239">
        <f>B129*0.08/100</f>
        <v>0.08</v>
      </c>
      <c r="Y129" s="239" t="s">
        <v>455</v>
      </c>
      <c r="Z129" s="239">
        <f>B129*0.106666666666667/100</f>
        <v>0.10666666666666699</v>
      </c>
      <c r="AA129" s="239" t="s">
        <v>455</v>
      </c>
      <c r="AB129" s="239">
        <f>B129*5.62333333333333/100</f>
        <v>5.6233333333333304</v>
      </c>
    </row>
    <row r="130" spans="1:28">
      <c r="A130" s="232" t="s">
        <v>562</v>
      </c>
      <c r="B130" s="59">
        <v>100</v>
      </c>
      <c r="C130" s="240">
        <f>B130*27.3651434782609/100</f>
        <v>27.365143478260901</v>
      </c>
      <c r="D130" s="239">
        <f>B130*1.40217391304348/100</f>
        <v>1.40217391304348</v>
      </c>
      <c r="E130" s="246">
        <f>B130*0.22/100</f>
        <v>0.22</v>
      </c>
      <c r="F130" s="266">
        <f>B130*0.0746666666666667/100</f>
        <v>7.4666666666666701E-2</v>
      </c>
      <c r="G130" s="266">
        <f>B130*0.0506666666666667/100</f>
        <v>5.06666666666667E-2</v>
      </c>
      <c r="H130" s="266">
        <f>B130*0.199333333333333/100</f>
        <v>0.19933333333333303</v>
      </c>
      <c r="I130" s="263">
        <f>B130*0.199333333333333/100</f>
        <v>0.19933333333333303</v>
      </c>
      <c r="J130" s="263" t="s">
        <v>455</v>
      </c>
      <c r="K130" s="269" t="s">
        <v>454</v>
      </c>
      <c r="L130" s="242">
        <f>B130*6.19115942028986/100</f>
        <v>6.1911594202898597</v>
      </c>
      <c r="M130" s="239">
        <f>B130*4.82666666666667/100</f>
        <v>4.8266666666666698</v>
      </c>
      <c r="N130" s="239">
        <f>B130*19.97/100</f>
        <v>19.97</v>
      </c>
      <c r="O130" s="239">
        <f>B130*20.6266666666667/100</f>
        <v>20.626666666666701</v>
      </c>
      <c r="P130" s="239">
        <f>B130*0.14/100</f>
        <v>0.14000000000000001</v>
      </c>
      <c r="Q130" s="239">
        <f>B130*29.02/100</f>
        <v>29.02</v>
      </c>
      <c r="R130" s="239">
        <f>B130*0.336666666666667/100</f>
        <v>0.336666666666667</v>
      </c>
      <c r="S130" s="239" t="s">
        <v>455</v>
      </c>
      <c r="T130" s="239">
        <f>B130*212.95/100</f>
        <v>212.95</v>
      </c>
      <c r="U130" s="239">
        <f>B130*0.07/100</f>
        <v>7.0000000000000007E-2</v>
      </c>
      <c r="V130" s="239">
        <f>B130*0.14/100</f>
        <v>0.14000000000000001</v>
      </c>
      <c r="W130" s="269" t="s">
        <v>454</v>
      </c>
      <c r="X130" s="239">
        <f>B130*0.07/100</f>
        <v>7.0000000000000007E-2</v>
      </c>
      <c r="Y130" s="239">
        <f>B130*0.04/100</f>
        <v>0.04</v>
      </c>
      <c r="Z130" s="239" t="s">
        <v>455</v>
      </c>
      <c r="AA130" s="239" t="s">
        <v>455</v>
      </c>
      <c r="AB130" s="239">
        <f>B130*6.79333333333333/100</f>
        <v>6.7933333333333303</v>
      </c>
    </row>
    <row r="131" spans="1:28">
      <c r="A131" s="232" t="s">
        <v>458</v>
      </c>
      <c r="B131" s="59">
        <v>100</v>
      </c>
      <c r="C131" s="238">
        <f>B131*125.811635/100</f>
        <v>125.81163499999998</v>
      </c>
      <c r="D131" s="238">
        <f>B131*4.4125/100</f>
        <v>4.4124999999999996</v>
      </c>
      <c r="E131" s="238">
        <f>B131*3.90966666666667/100</f>
        <v>3.90966666666667</v>
      </c>
      <c r="F131" s="252">
        <f>B131*0.5/100</f>
        <v>0.5</v>
      </c>
      <c r="G131" s="252">
        <f>B131*0.5/100</f>
        <v>0.5</v>
      </c>
      <c r="H131" s="252">
        <f>B131*2.1/100</f>
        <v>2.1</v>
      </c>
      <c r="I131" s="263">
        <f>B131*2.09/100</f>
        <v>2.09</v>
      </c>
      <c r="J131" s="263">
        <f>B131*0.03/100</f>
        <v>0.03</v>
      </c>
      <c r="K131" s="269" t="s">
        <v>454</v>
      </c>
      <c r="L131" s="242">
        <f>B131*23.0591666666667/100</f>
        <v>23.059166666666702</v>
      </c>
      <c r="M131" s="238">
        <f>B131*23.9213333333333/100</f>
        <v>23.921333333333301</v>
      </c>
      <c r="N131" s="238">
        <f>B131*151.017/100</f>
        <v>151.017</v>
      </c>
      <c r="O131" s="238">
        <f>B131*65.323/100</f>
        <v>65.322999999999993</v>
      </c>
      <c r="P131" s="238">
        <f>B131*0.522/100</f>
        <v>0.52200000000000002</v>
      </c>
      <c r="Q131" s="238">
        <f>B131*155.122666666667/100</f>
        <v>155.12266666666699</v>
      </c>
      <c r="R131" s="238">
        <f>B131*0.946/100</f>
        <v>0.94599999999999995</v>
      </c>
      <c r="S131" s="238">
        <f>B131*0.771/100</f>
        <v>0.77100000000000013</v>
      </c>
      <c r="T131" s="238">
        <f>B131*619.397/100</f>
        <v>619.39700000000005</v>
      </c>
      <c r="U131" s="238">
        <f>B131*1.162/100</f>
        <v>1.1619999999999999</v>
      </c>
      <c r="V131" s="238">
        <f>B131*0.633666666666667/100</f>
        <v>0.63366666666666704</v>
      </c>
      <c r="W131" s="269" t="s">
        <v>454</v>
      </c>
      <c r="X131" s="238">
        <f>B131*0.13/100</f>
        <v>0.13</v>
      </c>
      <c r="Y131" s="238">
        <f>B131*0.02/100</f>
        <v>0.02</v>
      </c>
      <c r="Z131" s="238">
        <f>B131*0.203333333333333/100</f>
        <v>0.20333333333333301</v>
      </c>
      <c r="AA131" s="242" t="s">
        <v>455</v>
      </c>
      <c r="AB131" s="238">
        <f>B131*13.8333333333333/100</f>
        <v>13.8333333333333</v>
      </c>
    </row>
    <row r="132" spans="1:28">
      <c r="A132" s="232" t="s">
        <v>563</v>
      </c>
      <c r="B132" s="59">
        <v>100</v>
      </c>
      <c r="C132" s="238">
        <f>B132*125.35825/100</f>
        <v>125.35825000000001</v>
      </c>
      <c r="D132" s="238">
        <f>B132*0.575/100</f>
        <v>0.57499999999999996</v>
      </c>
      <c r="E132" s="248">
        <f>B132*0.298333333333333/100</f>
        <v>0.29833333333333301</v>
      </c>
      <c r="F132" s="252">
        <f>B132*0.1/100</f>
        <v>0.1</v>
      </c>
      <c r="G132" s="252">
        <f>B132*0.1/100</f>
        <v>0.1</v>
      </c>
      <c r="H132" s="252">
        <f>B132*0.1/100</f>
        <v>0.1</v>
      </c>
      <c r="I132" s="263">
        <f>B132*0.05/100</f>
        <v>0.05</v>
      </c>
      <c r="J132" s="263">
        <f>B132*0.01/100</f>
        <v>0.01</v>
      </c>
      <c r="K132" s="269" t="s">
        <v>454</v>
      </c>
      <c r="L132" s="242">
        <f>B132*30.09/100</f>
        <v>30.09</v>
      </c>
      <c r="M132" s="238">
        <f>B132*1.55666666666667/100</f>
        <v>1.55666666666667</v>
      </c>
      <c r="N132" s="238">
        <f>B132*18.6283333333333/100</f>
        <v>18.628333333333298</v>
      </c>
      <c r="O132" s="238">
        <f>B132*26.8156666666667/100</f>
        <v>26.815666666666701</v>
      </c>
      <c r="P132" s="238">
        <f>B132*0.0636666666666667/100</f>
        <v>6.3666666666666705E-2</v>
      </c>
      <c r="Q132" s="238">
        <f>B132*22.4103333333333/100</f>
        <v>22.410333333333298</v>
      </c>
      <c r="R132" s="243">
        <f>B132*0.0746666666666667/100</f>
        <v>7.4666666666666701E-2</v>
      </c>
      <c r="S132" s="238">
        <f>B132*0.906666666666667/100</f>
        <v>0.90666666666666695</v>
      </c>
      <c r="T132" s="238">
        <f>B132*100.362333333333/100</f>
        <v>100.36233333333298</v>
      </c>
      <c r="U132" s="238">
        <f>B132*0.014/100</f>
        <v>1.4000000000000002E-2</v>
      </c>
      <c r="V132" s="238">
        <f>B132*0.174333333333333/100</f>
        <v>0.17433333333333301</v>
      </c>
      <c r="W132" s="269" t="s">
        <v>454</v>
      </c>
      <c r="X132" s="238">
        <f>B132*0.06/100</f>
        <v>0.06</v>
      </c>
      <c r="Y132" s="245" t="s">
        <v>455</v>
      </c>
      <c r="Z132" s="238">
        <f>B132*0.03/100</f>
        <v>0.03</v>
      </c>
      <c r="AA132" s="245" t="s">
        <v>455</v>
      </c>
      <c r="AB132" s="238">
        <f>B132*11.0666666666667/100</f>
        <v>11.066666666666698</v>
      </c>
    </row>
    <row r="133" spans="1:28">
      <c r="A133" s="232" t="s">
        <v>564</v>
      </c>
      <c r="B133" s="59">
        <v>100</v>
      </c>
      <c r="C133" s="239">
        <f>B133*151.416956521739/100</f>
        <v>151.416956521739</v>
      </c>
      <c r="D133" s="239">
        <f>B133*1.1304347826087/100</f>
        <v>1.1304347826087</v>
      </c>
      <c r="E133" s="246">
        <f>B133*0.3/100</f>
        <v>0.3</v>
      </c>
      <c r="F133" s="266">
        <f>B133*0.062/100</f>
        <v>6.2E-2</v>
      </c>
      <c r="G133" s="266">
        <f>B133*0.122333333333333/100</f>
        <v>0.122333333333333</v>
      </c>
      <c r="H133" s="270" t="s">
        <v>455</v>
      </c>
      <c r="I133" s="263">
        <f>B133*0.04/100</f>
        <v>0.04</v>
      </c>
      <c r="J133" s="263" t="s">
        <v>455</v>
      </c>
      <c r="K133" s="269" t="s">
        <v>454</v>
      </c>
      <c r="L133" s="242">
        <f>B133*36.1695652173913/100</f>
        <v>36.169565217391302</v>
      </c>
      <c r="M133" s="239">
        <f>B133*1.87666666666667/100</f>
        <v>1.87666666666667</v>
      </c>
      <c r="N133" s="239">
        <f>B133*15.19/100</f>
        <v>15.19</v>
      </c>
      <c r="O133" s="239">
        <f>B133*44.4966666666667/100</f>
        <v>44.496666666666698</v>
      </c>
      <c r="P133" s="239">
        <f>B133*0.05/100</f>
        <v>0.05</v>
      </c>
      <c r="Q133" s="239">
        <f>B133*29.4266666666667/100</f>
        <v>29.426666666666701</v>
      </c>
      <c r="R133" s="239">
        <f>B133*0.27/100</f>
        <v>0.27</v>
      </c>
      <c r="S133" s="239">
        <f>B133*2.15/100</f>
        <v>2.15</v>
      </c>
      <c r="T133" s="239">
        <f>B133*208.06/100</f>
        <v>208.06</v>
      </c>
      <c r="U133" s="239">
        <f>B133*0.0666666666666667/100</f>
        <v>6.6666666666666693E-2</v>
      </c>
      <c r="V133" s="239">
        <f>B133*0.203333333333333/100</f>
        <v>0.20333333333333301</v>
      </c>
      <c r="W133" s="269" t="s">
        <v>454</v>
      </c>
      <c r="X133" s="239" t="s">
        <v>455</v>
      </c>
      <c r="Y133" s="239" t="s">
        <v>455</v>
      </c>
      <c r="Z133" s="239">
        <f>B133*0.04/100</f>
        <v>0.04</v>
      </c>
      <c r="AA133" s="239" t="s">
        <v>455</v>
      </c>
      <c r="AB133" s="239">
        <f>B133*16.5266666666667/100</f>
        <v>16.526666666666699</v>
      </c>
    </row>
    <row r="134" spans="1:28">
      <c r="A134" s="232" t="s">
        <v>566</v>
      </c>
      <c r="B134" s="59">
        <v>100</v>
      </c>
      <c r="C134" s="238">
        <f>B134*405.693941666667/100</f>
        <v>405.693941666667</v>
      </c>
      <c r="D134" s="238">
        <f>B134*2.0625/100</f>
        <v>2.0625</v>
      </c>
      <c r="E134" s="248">
        <f>B134*9.12/100</f>
        <v>9.1199999999999992</v>
      </c>
      <c r="F134" s="252">
        <f>B134*1.9/100</f>
        <v>1.9</v>
      </c>
      <c r="G134" s="252">
        <f>B134*2.4/100</f>
        <v>2.4</v>
      </c>
      <c r="H134" s="252">
        <f>B134*2.5/100</f>
        <v>2.5</v>
      </c>
      <c r="I134" s="263">
        <f>B134*2.29/100</f>
        <v>2.29</v>
      </c>
      <c r="J134" s="263">
        <f>B134*0.19/100</f>
        <v>0.19</v>
      </c>
      <c r="K134" s="269" t="s">
        <v>454</v>
      </c>
      <c r="L134" s="242">
        <f>B134*80.3041666666667/100</f>
        <v>80.304166666666703</v>
      </c>
      <c r="M134" s="238">
        <f>B134*7.81666666666667/100</f>
        <v>7.81666666666667</v>
      </c>
      <c r="N134" s="238">
        <f>B134*65.6923333333333/100</f>
        <v>65.692333333333295</v>
      </c>
      <c r="O134" s="238">
        <f>B134*34.3356666666667/100</f>
        <v>34.335666666666697</v>
      </c>
      <c r="P134" s="238">
        <f>B134*0.289/100</f>
        <v>0.28899999999999998</v>
      </c>
      <c r="Q134" s="238">
        <f>B134*44.5156666666667/100</f>
        <v>44.515666666666696</v>
      </c>
      <c r="R134" s="238">
        <f>B134*1.35633333333333/100</f>
        <v>1.3563333333333301</v>
      </c>
      <c r="S134" s="238">
        <f>B134*574.508/100</f>
        <v>574.50800000000004</v>
      </c>
      <c r="T134" s="238">
        <f>B134*201.376666666667/100</f>
        <v>201.37666666666701</v>
      </c>
      <c r="U134" s="245" t="s">
        <v>455</v>
      </c>
      <c r="V134" s="238">
        <f>B134*0.172/100</f>
        <v>0.17199999999999999</v>
      </c>
      <c r="W134" s="269" t="s">
        <v>454</v>
      </c>
      <c r="X134" s="238">
        <f>B134*0.1/100</f>
        <v>0.1</v>
      </c>
      <c r="Y134" s="245" t="s">
        <v>455</v>
      </c>
      <c r="Z134" s="238">
        <f>B134*0.153333333333333/100</f>
        <v>0.15333333333333299</v>
      </c>
      <c r="AA134" s="245" t="s">
        <v>455</v>
      </c>
      <c r="AB134" s="245" t="s">
        <v>455</v>
      </c>
    </row>
    <row r="135" spans="1:28">
      <c r="A135" s="222" t="s">
        <v>3099</v>
      </c>
      <c r="B135" s="59">
        <v>100</v>
      </c>
      <c r="C135" s="247">
        <f>B135*300.055243389149/100</f>
        <v>300.05524338914898</v>
      </c>
      <c r="D135" s="247">
        <f>B135*1.38125/100</f>
        <v>1.3812500000000001</v>
      </c>
      <c r="E135" s="244">
        <f>B135*11.195/100</f>
        <v>11.195</v>
      </c>
      <c r="F135" s="258">
        <f>B135*1.6961/100</f>
        <v>1.6960999999999999</v>
      </c>
      <c r="G135" s="258">
        <f>B135*2.77166666666667/100</f>
        <v>2.7716666666666701</v>
      </c>
      <c r="H135" s="258">
        <f>B135*6.18233333333333/100</f>
        <v>6.1823333333333297</v>
      </c>
      <c r="I135" s="263">
        <f>B135*5.576/100</f>
        <v>5.5759999999999987</v>
      </c>
      <c r="J135" s="263">
        <f>B135*0.574/100</f>
        <v>0.57399999999999995</v>
      </c>
      <c r="K135" s="258" t="s">
        <v>454</v>
      </c>
      <c r="L135" s="247">
        <f>B135*50.2514166666667/100</f>
        <v>50.251416666666699</v>
      </c>
      <c r="M135" s="244">
        <f>B135*1.87/100</f>
        <v>1.87</v>
      </c>
      <c r="N135" s="244">
        <f>B135*23.0533333333333/100</f>
        <v>23.053333333333299</v>
      </c>
      <c r="O135" s="244">
        <f>B135*94.8666666666667/100</f>
        <v>94.866666666666703</v>
      </c>
      <c r="P135" s="244">
        <f>B135*0.181666666666667/100</f>
        <v>0.181666666666667</v>
      </c>
      <c r="Q135" s="244">
        <f>B135*56.5436666666667/100</f>
        <v>56.543666666666702</v>
      </c>
      <c r="R135" s="244">
        <f>B135*0.320333333333333/100</f>
        <v>0.32033333333333303</v>
      </c>
      <c r="S135" s="244">
        <f>B135*8.936/100</f>
        <v>8.9359999999999999</v>
      </c>
      <c r="T135" s="244">
        <f>B135*176.064/100</f>
        <v>176.06399999999996</v>
      </c>
      <c r="U135" s="244">
        <f>B135*0.121/100</f>
        <v>0.121</v>
      </c>
      <c r="V135" s="244">
        <f>B135*0.437/100</f>
        <v>0.43700000000000006</v>
      </c>
      <c r="W135" s="269" t="s">
        <v>454</v>
      </c>
      <c r="X135" s="244">
        <f>B135*0.0533333333333333/100</f>
        <v>5.3333333333333302E-2</v>
      </c>
      <c r="Y135" s="244" t="s">
        <v>455</v>
      </c>
      <c r="Z135" s="244">
        <f>B135*0.0366666666666667/100</f>
        <v>3.6666666666666702E-2</v>
      </c>
      <c r="AA135" s="244" t="s">
        <v>455</v>
      </c>
      <c r="AB135" s="244" t="s">
        <v>455</v>
      </c>
    </row>
    <row r="136" spans="1:28">
      <c r="A136" s="232" t="s">
        <v>565</v>
      </c>
      <c r="B136" s="59">
        <v>100</v>
      </c>
      <c r="C136" s="239">
        <f>B136*21.1476768115942/100</f>
        <v>21.147676811594195</v>
      </c>
      <c r="D136" s="239">
        <f>B136*1.98550724637681/100</f>
        <v>1.9855072463768098</v>
      </c>
      <c r="E136" s="246">
        <f>B136*0.393333333333333/100</f>
        <v>0.39333333333333298</v>
      </c>
      <c r="F136" s="266">
        <f>B136*0.129333333333333/100</f>
        <v>0.12933333333333299</v>
      </c>
      <c r="G136" s="270" t="s">
        <v>455</v>
      </c>
      <c r="H136" s="266">
        <f>B136*0.265666666666667/100</f>
        <v>0.265666666666667</v>
      </c>
      <c r="I136" s="263">
        <f>B136*0.052/100</f>
        <v>5.2000000000000005E-2</v>
      </c>
      <c r="J136" s="263">
        <f>B136*0.213666666666667/100</f>
        <v>0.213666666666667</v>
      </c>
      <c r="K136" s="269" t="s">
        <v>454</v>
      </c>
      <c r="L136" s="242">
        <f>B136*3.64449275362319/100</f>
        <v>3.6444927536231897</v>
      </c>
      <c r="M136" s="239">
        <f>B136*3.30666666666667/100</f>
        <v>3.3066666666666702</v>
      </c>
      <c r="N136" s="239">
        <f>B136*210.916666666667/100</f>
        <v>210.916666666667</v>
      </c>
      <c r="O136" s="239">
        <f>B136*57.8133333333333/100</f>
        <v>57.813333333333297</v>
      </c>
      <c r="P136" s="239">
        <f>B136*0.173333333333333/100</f>
        <v>0.17333333333333301</v>
      </c>
      <c r="Q136" s="239">
        <f>B136*39.9233333333333/100</f>
        <v>39.923333333333296</v>
      </c>
      <c r="R136" s="239">
        <f>B136*0.973333333333333/100</f>
        <v>0.97333333333333305</v>
      </c>
      <c r="S136" s="239">
        <f>B136*3.88666666666667/100</f>
        <v>3.8866666666666698</v>
      </c>
      <c r="T136" s="239">
        <f>B136*251.546666666667/100</f>
        <v>251.54666666666699</v>
      </c>
      <c r="U136" s="239">
        <f>B136*0.163333333333333/100</f>
        <v>0.163333333333333</v>
      </c>
      <c r="V136" s="239">
        <f>B136*0.463333333333333/100</f>
        <v>0.46333333333333299</v>
      </c>
      <c r="W136" s="269" t="s">
        <v>454</v>
      </c>
      <c r="X136" s="239">
        <f>B136*0.06/100</f>
        <v>0.06</v>
      </c>
      <c r="Y136" s="239">
        <f>B136*0.21/100</f>
        <v>0.21</v>
      </c>
      <c r="Z136" s="239">
        <f>B136*0.06/100</f>
        <v>0.06</v>
      </c>
      <c r="AA136" s="239">
        <f>B136*0.896666666666667/100</f>
        <v>0.89666666666666694</v>
      </c>
      <c r="AB136" s="239">
        <f>B136*2.33666666666667/100</f>
        <v>2.33666666666667</v>
      </c>
    </row>
    <row r="137" spans="1:28">
      <c r="A137" s="232" t="s">
        <v>567</v>
      </c>
      <c r="B137" s="59">
        <v>100</v>
      </c>
      <c r="C137" s="239">
        <f>B137*13.7472360869565/100</f>
        <v>13.7472360869565</v>
      </c>
      <c r="D137" s="239">
        <f>B137*1.39130434782609/100</f>
        <v>1.39130434782609</v>
      </c>
      <c r="E137" s="246">
        <f>B137*0.073/100</f>
        <v>7.2999999999999995E-2</v>
      </c>
      <c r="F137" s="266"/>
      <c r="G137" s="270"/>
      <c r="H137" s="266"/>
      <c r="I137" s="263"/>
      <c r="J137" s="263"/>
      <c r="K137" s="269" t="s">
        <v>454</v>
      </c>
      <c r="L137" s="242">
        <f>B137*2.72869565217391/100</f>
        <v>2.7286956521739101</v>
      </c>
      <c r="M137" s="239">
        <f>B137*2.193/100</f>
        <v>2.1930000000000001</v>
      </c>
      <c r="N137" s="239">
        <f>B137*20.867/100</f>
        <v>20.867000000000004</v>
      </c>
      <c r="O137" s="239">
        <f>B137*9.613/100</f>
        <v>9.6129999999999995</v>
      </c>
      <c r="P137" s="239">
        <f>B137*0.07/100</f>
        <v>7.0000000000000007E-2</v>
      </c>
      <c r="Q137" s="239">
        <f>B137*24.983/100</f>
        <v>24.983000000000001</v>
      </c>
      <c r="R137" s="239">
        <f>B137*0.35/100</f>
        <v>0.35</v>
      </c>
      <c r="S137" s="239">
        <f>B137*10.993/100</f>
        <v>10.993</v>
      </c>
      <c r="T137" s="239">
        <f>B137*327.697/100</f>
        <v>327.69699999999995</v>
      </c>
      <c r="U137" s="239">
        <f>B137*0.02/100</f>
        <v>0.02</v>
      </c>
      <c r="V137" s="239">
        <f>B137*0.18/100</f>
        <v>0.18</v>
      </c>
      <c r="W137" s="269" t="s">
        <v>454</v>
      </c>
      <c r="X137" s="239">
        <f>B137*0.057/100</f>
        <v>5.7000000000000002E-2</v>
      </c>
      <c r="Y137" s="239">
        <f>B137*0.02/100</f>
        <v>0.02</v>
      </c>
      <c r="Z137" s="239">
        <f>B137*0.04/100</f>
        <v>0.04</v>
      </c>
      <c r="AA137" s="239" t="s">
        <v>455</v>
      </c>
      <c r="AB137" s="239">
        <f>B137*9.633/100</f>
        <v>9.6329999999999991</v>
      </c>
    </row>
    <row r="138" spans="1:28">
      <c r="A138" s="234" t="s">
        <v>568</v>
      </c>
      <c r="B138" s="59">
        <v>100</v>
      </c>
      <c r="C138" s="238">
        <f>B138*18.1073890521725/100</f>
        <v>18.1073890521725</v>
      </c>
      <c r="D138" s="238">
        <f>B138*2.11041666666667/100</f>
        <v>2.1104166666666702</v>
      </c>
      <c r="E138" s="248">
        <f>B138*0.167666666666667/100</f>
        <v>0.16766666666666696</v>
      </c>
      <c r="F138" s="266"/>
      <c r="G138" s="270"/>
      <c r="H138" s="266"/>
      <c r="I138" s="263"/>
      <c r="J138" s="263"/>
      <c r="K138" s="269" t="s">
        <v>454</v>
      </c>
      <c r="L138" s="242">
        <f>B138*3.23658333333333/100</f>
        <v>3.2365833333333298</v>
      </c>
      <c r="M138" s="243">
        <f>B138*1.891/100</f>
        <v>1.891</v>
      </c>
      <c r="N138" s="243">
        <f>B138*68.1783333333333/100</f>
        <v>68.178333333333299</v>
      </c>
      <c r="O138" s="243">
        <f>B138*15.6183333333333/100</f>
        <v>15.6183333333333</v>
      </c>
      <c r="P138" s="243">
        <f>B138*0.138666666666667/100</f>
        <v>0.13866666666666699</v>
      </c>
      <c r="Q138" s="243">
        <f>B138*58.3983333333333/100</f>
        <v>58.398333333333291</v>
      </c>
      <c r="R138" s="243">
        <f>B138*1.097/100</f>
        <v>1.097</v>
      </c>
      <c r="S138" s="243">
        <f>B138*2.87933333333333/100</f>
        <v>2.8793333333333297</v>
      </c>
      <c r="T138" s="243">
        <f>B138*363.566333333333/100</f>
        <v>363.56633333333298</v>
      </c>
      <c r="U138" s="243">
        <f>B138*0.0483333333333333/100</f>
        <v>4.8333333333333298E-2</v>
      </c>
      <c r="V138" s="243">
        <f>B138*0.284/100</f>
        <v>0.28399999999999997</v>
      </c>
      <c r="W138" s="269" t="s">
        <v>454</v>
      </c>
      <c r="X138" s="243">
        <f>B138*0.0466666666666667/100</f>
        <v>4.6666666666666697E-2</v>
      </c>
      <c r="Y138" s="243">
        <f>B138*0.04/100</f>
        <v>0.04</v>
      </c>
      <c r="Z138" s="243">
        <f>B138*0.05/100</f>
        <v>0.05</v>
      </c>
      <c r="AA138" s="245" t="s">
        <v>455</v>
      </c>
      <c r="AB138" s="243">
        <f>B138*38.5533333333333/100</f>
        <v>38.553333333333299</v>
      </c>
    </row>
    <row r="139" spans="1:28">
      <c r="A139" s="222" t="s">
        <v>3100</v>
      </c>
      <c r="B139" s="59">
        <v>100</v>
      </c>
      <c r="C139" s="247">
        <f>B139*180.775273993413/100</f>
        <v>180.77527399341298</v>
      </c>
      <c r="D139" s="247">
        <f>B139*5.85833333333333/100</f>
        <v>5.8583333333333307</v>
      </c>
      <c r="E139" s="244">
        <f>B139*1.94333333333333/100</f>
        <v>1.94333333333333</v>
      </c>
      <c r="F139" s="258">
        <f>B139*0.558666666666667/100</f>
        <v>0.55866666666666698</v>
      </c>
      <c r="G139" s="258">
        <f>B139*0.474666666666667/100</f>
        <v>0.47466666666666701</v>
      </c>
      <c r="H139" s="258">
        <f>B139*0.778/100</f>
        <v>0.77800000000000002</v>
      </c>
      <c r="I139" s="263">
        <f>B139*0.72/100</f>
        <v>0.72</v>
      </c>
      <c r="J139" s="263">
        <f>B139*0.0536666666666667/100</f>
        <v>5.366666666666671E-2</v>
      </c>
      <c r="K139" s="244">
        <f>B139*15.0776666666667/100</f>
        <v>15.077666666666698</v>
      </c>
      <c r="L139" s="247">
        <f>B139*36.78/100</f>
        <v>36.78</v>
      </c>
      <c r="M139" s="244">
        <f>B139*1.78/100</f>
        <v>1.78</v>
      </c>
      <c r="N139" s="244">
        <f>B139*11.4213333333333/100</f>
        <v>11.421333333333301</v>
      </c>
      <c r="O139" s="244">
        <f>B139*17.898/100</f>
        <v>17.898</v>
      </c>
      <c r="P139" s="244">
        <f>B139*0.298/100</f>
        <v>0.29799999999999999</v>
      </c>
      <c r="Q139" s="244">
        <f>B139*68.3723333333333/100</f>
        <v>68.372333333333302</v>
      </c>
      <c r="R139" s="244">
        <f>B139*1.64966666666667/100</f>
        <v>1.6496666666666697</v>
      </c>
      <c r="S139" s="244">
        <f>B139*7.068/100</f>
        <v>7.0679999999999996</v>
      </c>
      <c r="T139" s="244">
        <f>B139*163.700333333333/100</f>
        <v>163.70033333333299</v>
      </c>
      <c r="U139" s="244">
        <f>B139*0.103666666666667/100</f>
        <v>0.103666666666667</v>
      </c>
      <c r="V139" s="244">
        <f>B139*0.480333333333333/100</f>
        <v>0.48033333333333306</v>
      </c>
      <c r="W139" s="244">
        <f>B139*15.4733333333333/100</f>
        <v>15.473333333333301</v>
      </c>
      <c r="X139" s="244">
        <f>B139*0.0766666666666667/100</f>
        <v>7.6666666666666702E-2</v>
      </c>
      <c r="Y139" s="244" t="s">
        <v>455</v>
      </c>
      <c r="Z139" s="244">
        <f>B139*0.0366666666666667/100</f>
        <v>3.6666666666666702E-2</v>
      </c>
      <c r="AA139" s="244" t="s">
        <v>455</v>
      </c>
      <c r="AB139" s="244" t="s">
        <v>455</v>
      </c>
    </row>
    <row r="140" spans="1:28">
      <c r="A140" s="232" t="s">
        <v>569</v>
      </c>
      <c r="B140" s="59">
        <v>100</v>
      </c>
      <c r="C140" s="239">
        <f>B140*18.1866246376812/100</f>
        <v>18.186624637681199</v>
      </c>
      <c r="D140" s="239">
        <f>B140*1.20289855072464/100</f>
        <v>1.2028985507246399</v>
      </c>
      <c r="E140" s="246">
        <f>B140*0.0533333333333333/100</f>
        <v>5.3333333333333302E-2</v>
      </c>
      <c r="F140" s="258"/>
      <c r="G140" s="258"/>
      <c r="H140" s="258"/>
      <c r="I140" s="263"/>
      <c r="J140" s="263"/>
      <c r="K140" s="269" t="s">
        <v>454</v>
      </c>
      <c r="L140" s="242">
        <f>B140*4.14710144927538/100</f>
        <v>4.1471014492753797</v>
      </c>
      <c r="M140" s="239">
        <f>B140*2.64333333333333/100</f>
        <v>2.6433333333333295</v>
      </c>
      <c r="N140" s="239">
        <f>B140*42.3933333333333/100</f>
        <v>42.393333333333302</v>
      </c>
      <c r="O140" s="239">
        <f>B140*14.6/100</f>
        <v>14.6</v>
      </c>
      <c r="P140" s="239">
        <f>B140*4.41666666666667/100</f>
        <v>4.4166666666666696</v>
      </c>
      <c r="Q140" s="239">
        <f>B140*16.5666666666667/100</f>
        <v>16.566666666666698</v>
      </c>
      <c r="R140" s="239">
        <f>B140*0.223333333333333/100</f>
        <v>0.223333333333333</v>
      </c>
      <c r="S140" s="239">
        <f>B140*2.46/100</f>
        <v>2.46</v>
      </c>
      <c r="T140" s="239">
        <f>B140*279.653333333333/100</f>
        <v>279.65333333333302</v>
      </c>
      <c r="U140" s="239">
        <f>B140*0.02/100</f>
        <v>0.02</v>
      </c>
      <c r="V140" s="239">
        <f>B140*0.19/100</f>
        <v>0.19</v>
      </c>
      <c r="W140" s="269" t="s">
        <v>454</v>
      </c>
      <c r="X140" s="239">
        <f>B140*0.0666666666666667/100</f>
        <v>6.6666666666666693E-2</v>
      </c>
      <c r="Y140" s="239" t="s">
        <v>455</v>
      </c>
      <c r="Z140" s="239">
        <f>B140*0.03/100</f>
        <v>0.03</v>
      </c>
      <c r="AA140" s="239" t="s">
        <v>455</v>
      </c>
      <c r="AB140" s="239">
        <f>B140*9.55/100</f>
        <v>9.5500000000000007</v>
      </c>
    </row>
    <row r="141" spans="1:28">
      <c r="A141" s="232" t="s">
        <v>3101</v>
      </c>
      <c r="B141" s="59">
        <v>100</v>
      </c>
      <c r="C141" s="238">
        <f>B141*23.1997164340813/100</f>
        <v>23.199716434081303</v>
      </c>
      <c r="D141" s="238">
        <f>B141*1.79166666666667/100</f>
        <v>1.7916666666666701</v>
      </c>
      <c r="E141" s="248">
        <f>B141*0.403333333333333/100</f>
        <v>0.40333333333333299</v>
      </c>
      <c r="F141" s="252">
        <f>B141*0.1/100</f>
        <v>0.1</v>
      </c>
      <c r="G141" s="252" t="s">
        <v>455</v>
      </c>
      <c r="H141" s="252">
        <f>B141*0.1/100</f>
        <v>0.1</v>
      </c>
      <c r="I141" s="263">
        <f>B141*0.09/100</f>
        <v>0.09</v>
      </c>
      <c r="J141" s="263">
        <f>B141*0.01/100</f>
        <v>0.01</v>
      </c>
      <c r="K141" s="269" t="s">
        <v>454</v>
      </c>
      <c r="L141" s="242">
        <f>B141*4.32833333333333/100</f>
        <v>4.3283333333333296</v>
      </c>
      <c r="M141" s="238">
        <f>B141*3.15/100</f>
        <v>3.15</v>
      </c>
      <c r="N141" s="238">
        <f>B141*58.289/100</f>
        <v>58.289000000000009</v>
      </c>
      <c r="O141" s="238">
        <f>B141*33.7026666666667/100</f>
        <v>33.702666666666701</v>
      </c>
      <c r="P141" s="238">
        <f>B141*10.819/100</f>
        <v>10.819000000000001</v>
      </c>
      <c r="Q141" s="238">
        <f>B141*40.2646666666667/100</f>
        <v>40.264666666666699</v>
      </c>
      <c r="R141" s="238">
        <f>B141*0.303333333333333/100</f>
        <v>0.30333333333333301</v>
      </c>
      <c r="S141" s="238">
        <f>B141*513.820333333333/100</f>
        <v>513.820333333333</v>
      </c>
      <c r="T141" s="238">
        <f>B141*243.969333333333/100</f>
        <v>243.96933333333297</v>
      </c>
      <c r="U141" s="238">
        <f>B141*0.227333333333333/100</f>
        <v>0.227333333333333</v>
      </c>
      <c r="V141" s="238">
        <f>B141*0.731666666666667/100</f>
        <v>0.73166666666666702</v>
      </c>
      <c r="W141" s="269" t="s">
        <v>454</v>
      </c>
      <c r="X141" s="254">
        <f>B141*0.06/100</f>
        <v>0.06</v>
      </c>
      <c r="Y141" s="254">
        <f>B141*0.04/100</f>
        <v>0.04</v>
      </c>
      <c r="Z141" s="254" t="s">
        <v>455</v>
      </c>
      <c r="AA141" s="254" t="s">
        <v>455</v>
      </c>
      <c r="AB141" s="238">
        <f>B141*1.98/100</f>
        <v>1.98</v>
      </c>
    </row>
    <row r="142" spans="1:28">
      <c r="A142" s="232" t="s">
        <v>3102</v>
      </c>
      <c r="B142" s="59">
        <v>100</v>
      </c>
      <c r="C142" s="238">
        <f>B142*29.4319633333333/100</f>
        <v>29.4319633333333</v>
      </c>
      <c r="D142" s="238">
        <f>B142*2.45833333333333/100</f>
        <v>2.4583333333333299</v>
      </c>
      <c r="E142" s="248">
        <f>B142*0.45/100</f>
        <v>0.45</v>
      </c>
      <c r="F142" s="252"/>
      <c r="G142" s="252"/>
      <c r="H142" s="252"/>
      <c r="I142" s="263"/>
      <c r="J142" s="263"/>
      <c r="K142" s="269" t="s">
        <v>454</v>
      </c>
      <c r="L142" s="242">
        <f>B142*5.509/100</f>
        <v>5.5090000000000012</v>
      </c>
      <c r="M142" s="238">
        <f>B142*2.55/100</f>
        <v>2.5499999999999998</v>
      </c>
      <c r="N142" s="238">
        <f>B142*32.439/100</f>
        <v>32.439</v>
      </c>
      <c r="O142" s="238">
        <f>B142*25.4923333333333/100</f>
        <v>25.492333333333299</v>
      </c>
      <c r="P142" s="238">
        <f>B142*0.141333333333333/100</f>
        <v>0.14133333333333301</v>
      </c>
      <c r="Q142" s="238">
        <f>B142*54.962/100</f>
        <v>54.96200000000001</v>
      </c>
      <c r="R142" s="238">
        <f>B142*0.177666666666667/100</f>
        <v>0.177666666666667</v>
      </c>
      <c r="S142" s="238">
        <f>B142*562.685333333333/100</f>
        <v>562.68533333333301</v>
      </c>
      <c r="T142" s="238">
        <f>B142*206.416/100</f>
        <v>206.416</v>
      </c>
      <c r="U142" s="238">
        <f>B142*0.0796666666666667/100</f>
        <v>7.9666666666666705E-2</v>
      </c>
      <c r="V142" s="238">
        <f>B142*0.356/100</f>
        <v>0.35600000000000004</v>
      </c>
      <c r="W142" s="269" t="s">
        <v>454</v>
      </c>
      <c r="X142" s="238">
        <f>B142*0.03/100</f>
        <v>0.03</v>
      </c>
      <c r="Y142" s="242" t="s">
        <v>455</v>
      </c>
      <c r="Z142" s="242" t="s">
        <v>455</v>
      </c>
      <c r="AA142" s="242" t="s">
        <v>455</v>
      </c>
      <c r="AB142" s="238">
        <f>B142*8.66333333333333/100</f>
        <v>8.6633333333333304</v>
      </c>
    </row>
    <row r="143" spans="1:28">
      <c r="A143" s="234" t="s">
        <v>572</v>
      </c>
      <c r="B143" s="59">
        <v>100</v>
      </c>
      <c r="C143" s="238">
        <f>B143*363.077913333333/100</f>
        <v>363.07791333333296</v>
      </c>
      <c r="D143" s="238">
        <f>B143*5.12083333333333/100</f>
        <v>5.12083333333333</v>
      </c>
      <c r="E143" s="243">
        <f>B143*24.5673333333333/100</f>
        <v>24.567333333333298</v>
      </c>
      <c r="F143" s="252"/>
      <c r="G143" s="252"/>
      <c r="H143" s="252"/>
      <c r="I143" s="263"/>
      <c r="J143" s="263"/>
      <c r="K143" s="243">
        <f>B143*67.7266666666667/100</f>
        <v>67.726666666666702</v>
      </c>
      <c r="L143" s="242">
        <f>B143*34.2415/100</f>
        <v>34.241500000000002</v>
      </c>
      <c r="M143" s="243">
        <f>B143*0.558333333333333/100</f>
        <v>0.55833333333333302</v>
      </c>
      <c r="N143" s="243">
        <f>B143*102.493666666667/100</f>
        <v>102.493666666667</v>
      </c>
      <c r="O143" s="243">
        <f>B143*8.239/100</f>
        <v>8.2390000000000008</v>
      </c>
      <c r="P143" s="248">
        <f>B143*0.0326666666666667/100</f>
        <v>3.2666666666666698E-2</v>
      </c>
      <c r="Q143" s="243">
        <f>B143*93.7366666666667/100</f>
        <v>93.736666666666693</v>
      </c>
      <c r="R143" s="243">
        <f>B143*0.276666666666667/100</f>
        <v>0.276666666666667</v>
      </c>
      <c r="S143" s="243">
        <f>B143*773.493333333333/100</f>
        <v>773.493333333333</v>
      </c>
      <c r="T143" s="243">
        <f>B143*93.093/100</f>
        <v>93.093000000000018</v>
      </c>
      <c r="U143" s="243">
        <f>B143*0.00566666666666667/100</f>
        <v>5.6666666666666697E-3</v>
      </c>
      <c r="V143" s="243">
        <f>B143*0.63/100</f>
        <v>0.63</v>
      </c>
      <c r="W143" s="243">
        <f>B143*61.31/100</f>
        <v>61.31</v>
      </c>
      <c r="X143" s="243">
        <f>B143*0.0366666666666667/100</f>
        <v>3.6666666666666702E-2</v>
      </c>
      <c r="Y143" s="243">
        <f>B143*0.0966666666666667/100</f>
        <v>9.666666666666672E-2</v>
      </c>
      <c r="Z143" s="243">
        <f>B143*0.0366666666666667/100</f>
        <v>3.6666666666666702E-2</v>
      </c>
      <c r="AA143" s="242" t="s">
        <v>455</v>
      </c>
      <c r="AB143" s="256" t="s">
        <v>3254</v>
      </c>
    </row>
    <row r="144" spans="1:28">
      <c r="A144" s="232" t="s">
        <v>573</v>
      </c>
      <c r="B144" s="59">
        <v>100</v>
      </c>
      <c r="C144" s="238">
        <f>B144*294.538/100</f>
        <v>294.53800000000001</v>
      </c>
      <c r="D144" s="238">
        <f>B144*3.648/100</f>
        <v>3.6480000000000001</v>
      </c>
      <c r="E144" s="238">
        <f>B144*13.9886666666667/100</f>
        <v>13.988666666666699</v>
      </c>
      <c r="F144" s="252">
        <f>B144*3.4/100</f>
        <v>3.4</v>
      </c>
      <c r="G144" s="252">
        <f>B144*3/100</f>
        <v>3</v>
      </c>
      <c r="H144" s="252">
        <f>B144*4.1/100</f>
        <v>4.0999999999999996</v>
      </c>
      <c r="I144" s="263">
        <f>B144*3.67/100</f>
        <v>3.67</v>
      </c>
      <c r="J144" s="263">
        <f>B144*0.36/100</f>
        <v>0.36</v>
      </c>
      <c r="K144" s="242">
        <f>B144*63.0543333333333/100</f>
        <v>63.054333333333297</v>
      </c>
      <c r="L144" s="242">
        <f>B144*38.512/100</f>
        <v>38.512</v>
      </c>
      <c r="M144" s="238">
        <f>B144*0.976333333333333/100</f>
        <v>0.97633333333333316</v>
      </c>
      <c r="N144" s="238">
        <f>B144*87.5636666666667/100</f>
        <v>87.563666666666705</v>
      </c>
      <c r="O144" s="238">
        <f>B144*6.82566666666667/100</f>
        <v>6.8256666666666703</v>
      </c>
      <c r="P144" s="242" t="s">
        <v>455</v>
      </c>
      <c r="Q144" s="238">
        <f>B144*78.8426666666667/100</f>
        <v>78.842666666666702</v>
      </c>
      <c r="R144" s="238">
        <f>B144*0.287666666666667/100</f>
        <v>0.28766666666666701</v>
      </c>
      <c r="S144" s="238">
        <f>B144*404.994/100</f>
        <v>404.99400000000003</v>
      </c>
      <c r="T144" s="238">
        <f>B144*58.0803333333333/100</f>
        <v>58.0803333333333</v>
      </c>
      <c r="U144" s="242" t="s">
        <v>455</v>
      </c>
      <c r="V144" s="238">
        <f>B144*0.426666666666667/100</f>
        <v>0.42666666666666697</v>
      </c>
      <c r="W144" s="242">
        <f>B144*47.5033333333333/100</f>
        <v>47.503333333333302</v>
      </c>
      <c r="X144" s="242" t="s">
        <v>455</v>
      </c>
      <c r="Y144" s="242">
        <f>B144*0.0766666666666667/100</f>
        <v>7.6666666666666702E-2</v>
      </c>
      <c r="Z144" s="242" t="s">
        <v>455</v>
      </c>
      <c r="AA144" s="242" t="s">
        <v>455</v>
      </c>
      <c r="AB144" s="242" t="s">
        <v>3254</v>
      </c>
    </row>
    <row r="145" spans="1:28">
      <c r="A145" s="232" t="s">
        <v>570</v>
      </c>
      <c r="B145" s="59">
        <v>100</v>
      </c>
      <c r="C145" s="239">
        <f>B145*9.53369130434782/100</f>
        <v>9.5336913043478209</v>
      </c>
      <c r="D145" s="239">
        <f>B145*0.869565217391304/100</f>
        <v>0.86956521739130399</v>
      </c>
      <c r="E145" s="246" t="s">
        <v>455</v>
      </c>
      <c r="F145" s="252"/>
      <c r="G145" s="252"/>
      <c r="H145" s="252"/>
      <c r="I145" s="263"/>
      <c r="J145" s="263"/>
      <c r="K145" s="269" t="s">
        <v>454</v>
      </c>
      <c r="L145" s="242">
        <f>B145*2.03710144927535/100</f>
        <v>2.0371014492753501</v>
      </c>
      <c r="M145" s="239">
        <f>B145*1.12/100</f>
        <v>1.1200000000000001</v>
      </c>
      <c r="N145" s="239">
        <f>B145*9.61666666666667/100</f>
        <v>9.6166666666666707</v>
      </c>
      <c r="O145" s="239">
        <f>B145*9.34/100</f>
        <v>9.34</v>
      </c>
      <c r="P145" s="239">
        <f>B145*0.0833333333333333/100</f>
        <v>8.3333333333333301E-2</v>
      </c>
      <c r="Q145" s="239">
        <f>B145*12.3233333333333/100</f>
        <v>12.3233333333333</v>
      </c>
      <c r="R145" s="239">
        <f>B145*0.146666666666667/100</f>
        <v>0.146666666666667</v>
      </c>
      <c r="S145" s="239" t="s">
        <v>455</v>
      </c>
      <c r="T145" s="239">
        <f>B145*153.693333333333/100</f>
        <v>153.69333333333299</v>
      </c>
      <c r="U145" s="239">
        <f>B145*0.0366666666666667/100</f>
        <v>3.6666666666666702E-2</v>
      </c>
      <c r="V145" s="239">
        <f>B145*0.126666666666667/100</f>
        <v>0.12666666666666701</v>
      </c>
      <c r="W145" s="269" t="s">
        <v>454</v>
      </c>
      <c r="X145" s="239" t="s">
        <v>455</v>
      </c>
      <c r="Y145" s="239">
        <f>B145*0.03/100</f>
        <v>0.03</v>
      </c>
      <c r="Z145" s="239" t="s">
        <v>455</v>
      </c>
      <c r="AA145" s="239" t="s">
        <v>455</v>
      </c>
      <c r="AB145" s="239">
        <f>B145*4.98666666666667/100</f>
        <v>4.9866666666666699</v>
      </c>
    </row>
    <row r="146" spans="1:28">
      <c r="A146" s="232" t="s">
        <v>574</v>
      </c>
      <c r="B146" s="59">
        <v>100</v>
      </c>
      <c r="C146" s="239">
        <f>B146*27.9274594202898/100</f>
        <v>27.9274594202898</v>
      </c>
      <c r="D146" s="239">
        <f>B146*1.22463768115942/100</f>
        <v>1.22463768115942</v>
      </c>
      <c r="E146" s="246">
        <f>B146*0.436666666666667/100</f>
        <v>0.43666666666666698</v>
      </c>
      <c r="F146" s="252"/>
      <c r="G146" s="252"/>
      <c r="H146" s="252"/>
      <c r="I146" s="263"/>
      <c r="J146" s="263"/>
      <c r="K146" s="269" t="s">
        <v>454</v>
      </c>
      <c r="L146" s="242">
        <f>B146*5.96202898550725/100</f>
        <v>5.9620289855072492</v>
      </c>
      <c r="M146" s="239">
        <f>B146*1.92/100</f>
        <v>1.92</v>
      </c>
      <c r="N146" s="239">
        <f>B146*9.61/100</f>
        <v>9.61</v>
      </c>
      <c r="O146" s="239">
        <f>B146*10.9/100</f>
        <v>10.9</v>
      </c>
      <c r="P146" s="239">
        <f>B146*0.0833333333333333/100</f>
        <v>8.3333333333333301E-2</v>
      </c>
      <c r="Q146" s="239">
        <f>B146*22.3833333333333/100</f>
        <v>22.383333333333304</v>
      </c>
      <c r="R146" s="239">
        <f>B146*0.413333333333333/100</f>
        <v>0.413333333333333</v>
      </c>
      <c r="S146" s="239" t="s">
        <v>455</v>
      </c>
      <c r="T146" s="239">
        <f>B146*221.333333333333/100</f>
        <v>221.333333333333</v>
      </c>
      <c r="U146" s="239">
        <f>B146*0.04/100</f>
        <v>0.04</v>
      </c>
      <c r="V146" s="239">
        <f>B146*0.15/100</f>
        <v>0.15</v>
      </c>
      <c r="W146" s="269" t="s">
        <v>454</v>
      </c>
      <c r="X146" s="239">
        <f>B146*0.04/100</f>
        <v>0.04</v>
      </c>
      <c r="Y146" s="239">
        <f>B146*0.03/100</f>
        <v>0.03</v>
      </c>
      <c r="Z146" s="239">
        <f>B146*0.06/100</f>
        <v>0.06</v>
      </c>
      <c r="AA146" s="239" t="s">
        <v>455</v>
      </c>
      <c r="AB146" s="239">
        <f>B146*201.36/100</f>
        <v>201.36</v>
      </c>
    </row>
    <row r="147" spans="1:28">
      <c r="A147" s="232" t="s">
        <v>575</v>
      </c>
      <c r="B147" s="59">
        <v>100</v>
      </c>
      <c r="C147" s="239">
        <f>B147*21.2858811594203/100</f>
        <v>21.285881159420299</v>
      </c>
      <c r="D147" s="239">
        <f>B147*1.05072463768116/100</f>
        <v>1.0507246376811601</v>
      </c>
      <c r="E147" s="246">
        <f>B147*0.15/100</f>
        <v>0.15</v>
      </c>
      <c r="F147" s="252"/>
      <c r="G147" s="252"/>
      <c r="H147" s="252"/>
      <c r="I147" s="263"/>
      <c r="J147" s="263"/>
      <c r="K147" s="269" t="s">
        <v>454</v>
      </c>
      <c r="L147" s="242">
        <f>B147*4.89260869565218/100</f>
        <v>4.8926086956521804</v>
      </c>
      <c r="M147" s="239">
        <f>B147*2.56333333333333/100</f>
        <v>2.5633333333333299</v>
      </c>
      <c r="N147" s="239">
        <f>B147*8.76333333333333/100</f>
        <v>8.7633333333333301</v>
      </c>
      <c r="O147" s="239">
        <f>B147*7.79/100</f>
        <v>7.79</v>
      </c>
      <c r="P147" s="239">
        <f>B147*0.143333333333333/100</f>
        <v>0.14333333333333301</v>
      </c>
      <c r="Q147" s="239">
        <f>B147*16.5133333333333/100</f>
        <v>16.5133333333333</v>
      </c>
      <c r="R147" s="239">
        <f>B147*0.41/100</f>
        <v>0.41</v>
      </c>
      <c r="S147" s="239" t="s">
        <v>455</v>
      </c>
      <c r="T147" s="239">
        <f>B147*174.33/100</f>
        <v>174.33</v>
      </c>
      <c r="U147" s="239">
        <f>B147*0.07/100</f>
        <v>7.0000000000000007E-2</v>
      </c>
      <c r="V147" s="239">
        <f>B147*0.14/100</f>
        <v>0.14000000000000001</v>
      </c>
      <c r="W147" s="269" t="s">
        <v>454</v>
      </c>
      <c r="X147" s="239" t="s">
        <v>455</v>
      </c>
      <c r="Y147" s="239" t="s">
        <v>455</v>
      </c>
      <c r="Z147" s="239" t="s">
        <v>455</v>
      </c>
      <c r="AA147" s="239" t="s">
        <v>455</v>
      </c>
      <c r="AB147" s="239">
        <f>B147*100.21/100</f>
        <v>100.21</v>
      </c>
    </row>
    <row r="148" spans="1:28">
      <c r="A148" s="232" t="s">
        <v>576</v>
      </c>
      <c r="B148" s="59">
        <v>100</v>
      </c>
      <c r="C148" s="239">
        <f>B148*23.281363768116/100</f>
        <v>23.281363768116002</v>
      </c>
      <c r="D148" s="239">
        <f>B148*1.03985507246377/100</f>
        <v>1.0398550724637701</v>
      </c>
      <c r="E148" s="246">
        <f>B148*0.146666666666667/100</f>
        <v>0.146666666666667</v>
      </c>
      <c r="F148" s="252"/>
      <c r="G148" s="252"/>
      <c r="H148" s="252"/>
      <c r="I148" s="263"/>
      <c r="J148" s="263"/>
      <c r="K148" s="269" t="s">
        <v>454</v>
      </c>
      <c r="L148" s="242">
        <f>B148*5.46681159420291/100</f>
        <v>5.4668115942029099</v>
      </c>
      <c r="M148" s="239">
        <f>B148*1.59333333333333/100</f>
        <v>1.5933333333333299</v>
      </c>
      <c r="N148" s="239">
        <f>B148*6.37/100</f>
        <v>6.37</v>
      </c>
      <c r="O148" s="239">
        <f>B148*11.13/100</f>
        <v>11.13</v>
      </c>
      <c r="P148" s="239">
        <f>B148*0.0633333333333333/100</f>
        <v>6.3333333333333297E-2</v>
      </c>
      <c r="Q148" s="239">
        <f>B148*19.96/100</f>
        <v>19.96</v>
      </c>
      <c r="R148" s="239">
        <f>B148*0.333333333333333/100</f>
        <v>0.33333333333333298</v>
      </c>
      <c r="S148" s="239" t="s">
        <v>455</v>
      </c>
      <c r="T148" s="239">
        <f>B148*210.916666666667/100</f>
        <v>210.916666666667</v>
      </c>
      <c r="U148" s="239">
        <f>B148*0.0433333333333333/100</f>
        <v>4.3333333333333307E-2</v>
      </c>
      <c r="V148" s="239">
        <f>B148*0.153333333333333/100</f>
        <v>0.15333333333333299</v>
      </c>
      <c r="W148" s="269" t="s">
        <v>454</v>
      </c>
      <c r="X148" s="239">
        <f>B148*0.0466666666666667/100</f>
        <v>4.6666666666666697E-2</v>
      </c>
      <c r="Y148" s="239">
        <f>B148*0.0566666666666667/100</f>
        <v>5.6666666666666698E-2</v>
      </c>
      <c r="Z148" s="239">
        <f>B148*0.02/100</f>
        <v>0.02</v>
      </c>
      <c r="AA148" s="239" t="s">
        <v>455</v>
      </c>
      <c r="AB148" s="239">
        <f>B148*158.21/100</f>
        <v>158.21</v>
      </c>
    </row>
    <row r="149" spans="1:28">
      <c r="A149" s="232" t="s">
        <v>577</v>
      </c>
      <c r="B149" s="59">
        <v>100</v>
      </c>
      <c r="C149" s="239">
        <f>B149*351.226733333333/100</f>
        <v>351.22673333333302</v>
      </c>
      <c r="D149" s="239">
        <f>B149*0.43/100</f>
        <v>0.43</v>
      </c>
      <c r="E149" s="246" t="s">
        <v>455</v>
      </c>
      <c r="F149" s="252"/>
      <c r="G149" s="252"/>
      <c r="H149" s="252"/>
      <c r="I149" s="263"/>
      <c r="J149" s="263"/>
      <c r="K149" s="269" t="s">
        <v>454</v>
      </c>
      <c r="L149" s="242">
        <f>B149*86.7733333333333/100</f>
        <v>86.773333333333298</v>
      </c>
      <c r="M149" s="239">
        <f>B149*0.236666666666667/100</f>
        <v>0.236666666666667</v>
      </c>
      <c r="N149" s="239">
        <f>B149*27.4133333333333/100</f>
        <v>27.413333333333298</v>
      </c>
      <c r="O149" s="239">
        <f>B149*4.1/100</f>
        <v>4.0999999999999996</v>
      </c>
      <c r="P149" s="239">
        <f>B149*0.0876666666666667/100</f>
        <v>8.7666666666666698E-2</v>
      </c>
      <c r="Q149" s="239">
        <f>B149*8.38/100</f>
        <v>8.3800000000000008</v>
      </c>
      <c r="R149" s="239">
        <f>B149*0.51/100</f>
        <v>0.51</v>
      </c>
      <c r="S149" s="239">
        <f>B149*1.57666666666667/100</f>
        <v>1.57666666666667</v>
      </c>
      <c r="T149" s="239">
        <f>B149*37.6333333333333/100</f>
        <v>37.633333333333297</v>
      </c>
      <c r="U149" s="239" t="s">
        <v>455</v>
      </c>
      <c r="V149" s="239" t="s">
        <v>455</v>
      </c>
      <c r="W149" s="269" t="s">
        <v>454</v>
      </c>
      <c r="X149" s="239" t="s">
        <v>455</v>
      </c>
      <c r="Y149" s="239" t="s">
        <v>455</v>
      </c>
      <c r="Z149" s="239" t="s">
        <v>455</v>
      </c>
      <c r="AA149" s="239" t="s">
        <v>455</v>
      </c>
      <c r="AB149" s="239" t="s">
        <v>455</v>
      </c>
    </row>
    <row r="150" spans="1:28">
      <c r="A150" s="222" t="s">
        <v>3103</v>
      </c>
      <c r="B150" s="59">
        <v>100</v>
      </c>
      <c r="C150" s="247">
        <f>B150*29.9392621500691/100</f>
        <v>29.939262150069101</v>
      </c>
      <c r="D150" s="247">
        <f>B150*1.91875/100</f>
        <v>1.91875</v>
      </c>
      <c r="E150" s="244">
        <f>B150*0.299/100</f>
        <v>0.29899999999999999</v>
      </c>
      <c r="F150" s="252"/>
      <c r="G150" s="252"/>
      <c r="H150" s="252"/>
      <c r="I150" s="263"/>
      <c r="J150" s="263"/>
      <c r="K150" s="258" t="s">
        <v>454</v>
      </c>
      <c r="L150" s="247">
        <f>B150*6.37391666666667/100</f>
        <v>6.3739166666666698</v>
      </c>
      <c r="M150" s="244">
        <f>B150*4.55333333333333/100</f>
        <v>4.5533333333333301</v>
      </c>
      <c r="N150" s="244">
        <f>B150*112.159666666667/100</f>
        <v>112.15966666666699</v>
      </c>
      <c r="O150" s="244">
        <f>B150*49.969/100</f>
        <v>49.969000000000008</v>
      </c>
      <c r="P150" s="244">
        <f>B150*0.464/100</f>
        <v>0.46400000000000008</v>
      </c>
      <c r="Q150" s="244">
        <f>B150*55.825/100</f>
        <v>55.825000000000003</v>
      </c>
      <c r="R150" s="244">
        <f>B150*0.369/100</f>
        <v>0.36899999999999999</v>
      </c>
      <c r="S150" s="244">
        <f>B150*0.891/100</f>
        <v>0.8909999999999999</v>
      </c>
      <c r="T150" s="244">
        <f>B150*248.804333333333/100</f>
        <v>248.80433333333301</v>
      </c>
      <c r="U150" s="244">
        <f>B150*0.166666666666667/100</f>
        <v>0.16666666666666699</v>
      </c>
      <c r="V150" s="244">
        <f>B150*0.589/100</f>
        <v>0.58899999999999997</v>
      </c>
      <c r="W150" s="258" t="s">
        <v>454</v>
      </c>
      <c r="X150" s="244">
        <f>B150*0.103333333333333/100</f>
        <v>0.103333333333333</v>
      </c>
      <c r="Y150" s="244" t="s">
        <v>455</v>
      </c>
      <c r="Z150" s="244">
        <f>B150*0.03/100</f>
        <v>0.03</v>
      </c>
      <c r="AA150" s="244" t="s">
        <v>455</v>
      </c>
      <c r="AB150" s="244">
        <f>B150*5.59666666666667/100</f>
        <v>5.5966666666666693</v>
      </c>
    </row>
    <row r="151" spans="1:28">
      <c r="A151" s="232" t="s">
        <v>584</v>
      </c>
      <c r="B151" s="59">
        <v>100</v>
      </c>
      <c r="C151" s="239">
        <f>B151*13.7381260869565/100</f>
        <v>13.7381260869565</v>
      </c>
      <c r="D151" s="239">
        <f>B151*1.39130434782609/100</f>
        <v>1.39130434782609</v>
      </c>
      <c r="E151" s="246">
        <f>B151*0.0733333333333333/100</f>
        <v>7.3333333333333306E-2</v>
      </c>
      <c r="F151" s="252"/>
      <c r="G151" s="252"/>
      <c r="H151" s="252"/>
      <c r="I151" s="263"/>
      <c r="J151" s="263"/>
      <c r="K151" s="269" t="s">
        <v>454</v>
      </c>
      <c r="L151" s="242">
        <f>B151*2.72536231884058/100</f>
        <v>2.7253623188405798</v>
      </c>
      <c r="M151" s="239">
        <f>B151*2.19333333333333/100</f>
        <v>2.1933333333333298</v>
      </c>
      <c r="N151" s="239">
        <f>B151*20.8666666666667/100</f>
        <v>20.866666666666696</v>
      </c>
      <c r="O151" s="239">
        <f>B151*9.61333333333333/100</f>
        <v>9.6133333333333297</v>
      </c>
      <c r="P151" s="239">
        <f>B151*0.07/100</f>
        <v>7.0000000000000007E-2</v>
      </c>
      <c r="Q151" s="239">
        <f>B151*24.9833333333333/100</f>
        <v>24.983333333333299</v>
      </c>
      <c r="R151" s="239">
        <f>B151*0.35/100</f>
        <v>0.35</v>
      </c>
      <c r="S151" s="239">
        <f>B151*10.9933333333333/100</f>
        <v>10.9933333333333</v>
      </c>
      <c r="T151" s="239">
        <f>B151*327.696666666667/100</f>
        <v>327.696666666667</v>
      </c>
      <c r="U151" s="239">
        <f>B151*0.02/100</f>
        <v>0.02</v>
      </c>
      <c r="V151" s="239">
        <f>B151*0.18/100</f>
        <v>0.18</v>
      </c>
      <c r="W151" s="269" t="s">
        <v>454</v>
      </c>
      <c r="X151" s="239">
        <f>B151*0.0566666666666667/100</f>
        <v>5.6666666666666698E-2</v>
      </c>
      <c r="Y151" s="239">
        <f>B151*0.02/100</f>
        <v>0.02</v>
      </c>
      <c r="Z151" s="239">
        <f>B151*0.04/100</f>
        <v>0.04</v>
      </c>
      <c r="AA151" s="239" t="s">
        <v>455</v>
      </c>
      <c r="AB151" s="239">
        <f>B151*9.63333333333333/100</f>
        <v>9.6333333333333293</v>
      </c>
    </row>
    <row r="152" spans="1:28">
      <c r="A152" s="232" t="s">
        <v>585</v>
      </c>
      <c r="B152" s="59">
        <v>100</v>
      </c>
      <c r="C152" s="239">
        <f>B152*17.1188028985507/100</f>
        <v>17.118802898550701</v>
      </c>
      <c r="D152" s="239">
        <f>B152*0.876811594202899/100</f>
        <v>0.876811594202899</v>
      </c>
      <c r="E152" s="246">
        <f>B152*0.143333333333333/100</f>
        <v>0.14333333333333301</v>
      </c>
      <c r="F152" s="252"/>
      <c r="G152" s="252"/>
      <c r="H152" s="252"/>
      <c r="I152" s="263"/>
      <c r="J152" s="263"/>
      <c r="K152" s="269" t="s">
        <v>454</v>
      </c>
      <c r="L152" s="242">
        <f>B152*3.85985507246377/100</f>
        <v>3.8598550724637706</v>
      </c>
      <c r="M152" s="239">
        <f>B152*1.89/100</f>
        <v>1.89</v>
      </c>
      <c r="N152" s="239">
        <f>B152*34.5466666666667/100</f>
        <v>34.546666666666702</v>
      </c>
      <c r="O152" s="239">
        <f>B152*8.51333333333333/100</f>
        <v>8.5133333333333301</v>
      </c>
      <c r="P152" s="239">
        <f>B152*0.126666666666667/100</f>
        <v>0.12666666666666701</v>
      </c>
      <c r="Q152" s="239">
        <f>B152*14.2/100</f>
        <v>14.2</v>
      </c>
      <c r="R152" s="239">
        <f>B152*0.15/100</f>
        <v>0.15</v>
      </c>
      <c r="S152" s="239">
        <f>B152*3.64333333333333/100</f>
        <v>3.6433333333333295</v>
      </c>
      <c r="T152" s="239">
        <f>B152*150.09/100</f>
        <v>150.09</v>
      </c>
      <c r="U152" s="239">
        <f>B152*0.0166666666666667/100</f>
        <v>1.6666666666666701E-2</v>
      </c>
      <c r="V152" s="239">
        <f>B152*0.15/100</f>
        <v>0.15</v>
      </c>
      <c r="W152" s="269" t="s">
        <v>454</v>
      </c>
      <c r="X152" s="239" t="s">
        <v>455</v>
      </c>
      <c r="Y152" s="239">
        <f>B152*0.03/100</f>
        <v>0.03</v>
      </c>
      <c r="Z152" s="239">
        <f>B152*0.0566666666666667/100</f>
        <v>5.6666666666666698E-2</v>
      </c>
      <c r="AA152" s="239" t="s">
        <v>455</v>
      </c>
      <c r="AB152" s="239">
        <f>B152*18.7166666666667/100</f>
        <v>18.716666666666701</v>
      </c>
    </row>
    <row r="153" spans="1:28">
      <c r="A153" s="235" t="s">
        <v>3104</v>
      </c>
      <c r="B153" s="59">
        <v>100</v>
      </c>
      <c r="C153" s="247">
        <f>B153*30.9075029543241/100</f>
        <v>30.907502954324102</v>
      </c>
      <c r="D153" s="247">
        <f>B153*1.90833333333333/100</f>
        <v>1.9083333333333301</v>
      </c>
      <c r="E153" s="241">
        <f>B153*0.0636666666666667/100</f>
        <v>6.3666666666666705E-2</v>
      </c>
      <c r="F153" s="252"/>
      <c r="G153" s="252"/>
      <c r="H153" s="252"/>
      <c r="I153" s="263"/>
      <c r="J153" s="263"/>
      <c r="K153" s="258" t="s">
        <v>454</v>
      </c>
      <c r="L153" s="247">
        <f>B153*7.204/100</f>
        <v>7.2039999999999997</v>
      </c>
      <c r="M153" s="241">
        <f>B153*1.97333333333333/100</f>
        <v>1.9733333333333301</v>
      </c>
      <c r="N153" s="241">
        <f>B153*43.6703333333333/100</f>
        <v>43.670333333333303</v>
      </c>
      <c r="O153" s="241">
        <f>B153*18.0243333333333/100</f>
        <v>18.024333333333299</v>
      </c>
      <c r="P153" s="241">
        <f>B153*0.252666666666667/100</f>
        <v>0.25266666666666698</v>
      </c>
      <c r="Q153" s="241">
        <f>B153*57.7123333333333/100</f>
        <v>57.712333333333298</v>
      </c>
      <c r="R153" s="241">
        <f>B153*0.516333333333333/100</f>
        <v>0.51633333333333298</v>
      </c>
      <c r="S153" s="241">
        <f>B153*2.33766666666667/100</f>
        <v>2.3376666666666699</v>
      </c>
      <c r="T153" s="241">
        <f>B153*328.068666666667/100</f>
        <v>328.06866666666696</v>
      </c>
      <c r="U153" s="241">
        <f>B153*0.901666666666667/100</f>
        <v>0.90166666666666695</v>
      </c>
      <c r="V153" s="241">
        <f>B153*0.254666666666667/100</f>
        <v>0.25466666666666699</v>
      </c>
      <c r="W153" s="247" t="s">
        <v>454</v>
      </c>
      <c r="X153" s="241">
        <f>B153*0.07/100</f>
        <v>7.0000000000000007E-2</v>
      </c>
      <c r="Y153" s="241" t="s">
        <v>455</v>
      </c>
      <c r="Z153" s="241">
        <f>B153*0.0933333333333333/100</f>
        <v>9.333333333333331E-2</v>
      </c>
      <c r="AA153" s="241" t="s">
        <v>455</v>
      </c>
      <c r="AB153" s="241">
        <f>B153*43.2/100</f>
        <v>43.2</v>
      </c>
    </row>
    <row r="154" spans="1:28">
      <c r="A154" s="235" t="s">
        <v>3105</v>
      </c>
      <c r="B154" s="59">
        <v>100</v>
      </c>
      <c r="C154" s="247">
        <f>B154*41.7735252897143/100</f>
        <v>41.7735252897143</v>
      </c>
      <c r="D154" s="247">
        <f>B154*1.80208333333333/100</f>
        <v>1.8020833333333299</v>
      </c>
      <c r="E154" s="241">
        <f>B154*1.24033333333333/100</f>
        <v>1.24033333333333</v>
      </c>
      <c r="F154" s="247">
        <f>B154*0.193333333333333/100</f>
        <v>0.193333333333333</v>
      </c>
      <c r="G154" s="247">
        <f>B154*0.284/100</f>
        <v>0.28399999999999997</v>
      </c>
      <c r="H154" s="247">
        <f>B154*0.680666666666667/100</f>
        <v>0.68066666666666686</v>
      </c>
      <c r="I154" s="263">
        <f>B154*0.608666666666667/100</f>
        <v>0.60866666666666702</v>
      </c>
      <c r="J154" s="263">
        <f>B154*0.072/100</f>
        <v>7.1999999999999995E-2</v>
      </c>
      <c r="K154" s="258" t="s">
        <v>454</v>
      </c>
      <c r="L154" s="247">
        <f>B154*7.56158333333333/100</f>
        <v>7.5615833333333304</v>
      </c>
      <c r="M154" s="241">
        <f>B154*1.75/100</f>
        <v>1.75</v>
      </c>
      <c r="N154" s="241">
        <f>B154*42.588/100</f>
        <v>42.588000000000001</v>
      </c>
      <c r="O154" s="241">
        <f>B154*17.248/100</f>
        <v>17.248000000000001</v>
      </c>
      <c r="P154" s="241">
        <f>B154*0.261/100</f>
        <v>0.26100000000000001</v>
      </c>
      <c r="Q154" s="241">
        <f>B154*59.383/100</f>
        <v>59.383000000000003</v>
      </c>
      <c r="R154" s="241">
        <f>B154*0.466333333333333/100</f>
        <v>0.46633333333333299</v>
      </c>
      <c r="S154" s="241">
        <f>B154*3.41666666666667/100</f>
        <v>3.4166666666666701</v>
      </c>
      <c r="T154" s="241">
        <f>B154*321.453/100</f>
        <v>321.45299999999997</v>
      </c>
      <c r="U154" s="241">
        <f>B154*0.0223333333333333/100</f>
        <v>2.2333333333333299E-2</v>
      </c>
      <c r="V154" s="241">
        <f>B154*0.256333333333333/100</f>
        <v>0.25633333333333302</v>
      </c>
      <c r="W154" s="247" t="s">
        <v>454</v>
      </c>
      <c r="X154" s="241">
        <f>B154*0.0666666666666667/100</f>
        <v>6.6666666666666693E-2</v>
      </c>
      <c r="Y154" s="241" t="s">
        <v>455</v>
      </c>
      <c r="Z154" s="241">
        <f>B154*0.0733333333333333/100</f>
        <v>7.3333333333333306E-2</v>
      </c>
      <c r="AA154" s="241">
        <f>B154*0.626/100</f>
        <v>0.626</v>
      </c>
      <c r="AB154" s="241">
        <f>B154*40.52/100</f>
        <v>40.520000000000003</v>
      </c>
    </row>
    <row r="155" spans="1:28">
      <c r="A155" s="235" t="s">
        <v>3106</v>
      </c>
      <c r="B155" s="59">
        <v>100</v>
      </c>
      <c r="C155" s="247">
        <f>B155*13.1332566072941/100</f>
        <v>13.133256607294102</v>
      </c>
      <c r="D155" s="247">
        <f>B155*1.76666666666667/100</f>
        <v>1.7666666666666699</v>
      </c>
      <c r="E155" s="241">
        <f>B155*0.107333333333333/100</f>
        <v>0.107333333333333</v>
      </c>
      <c r="F155" s="247"/>
      <c r="G155" s="247"/>
      <c r="H155" s="247"/>
      <c r="I155" s="263"/>
      <c r="J155" s="263"/>
      <c r="K155" s="258" t="s">
        <v>454</v>
      </c>
      <c r="L155" s="247">
        <f>B155*2.21966666666666/100</f>
        <v>2.2196666666666598</v>
      </c>
      <c r="M155" s="241">
        <f>B155*1.74/100</f>
        <v>1.74</v>
      </c>
      <c r="N155" s="241">
        <f>B155*116.563333333333/100</f>
        <v>116.56333333333301</v>
      </c>
      <c r="O155" s="241">
        <f>B155*17.7906666666667/100</f>
        <v>17.790666666666699</v>
      </c>
      <c r="P155" s="241">
        <f>B155*0.235666666666667/100</f>
        <v>0.235666666666667</v>
      </c>
      <c r="Q155" s="241">
        <f>B155*25.1656666666667/100</f>
        <v>25.165666666666699</v>
      </c>
      <c r="R155" s="241">
        <f>B155*0.939/100</f>
        <v>0.93899999999999995</v>
      </c>
      <c r="S155" s="241">
        <f>B155*9.418/100</f>
        <v>9.4179999999999993</v>
      </c>
      <c r="T155" s="241">
        <f>B155*233.400333333333/100</f>
        <v>233.40033333333301</v>
      </c>
      <c r="U155" s="241">
        <f>B155*0.041/100</f>
        <v>4.1000000000000009E-2</v>
      </c>
      <c r="V155" s="241">
        <f>B155*0.228666666666667/100</f>
        <v>0.22866666666666699</v>
      </c>
      <c r="W155" s="247" t="s">
        <v>454</v>
      </c>
      <c r="X155" s="241">
        <f>B155*0.0433333333333333/100</f>
        <v>4.3333333333333307E-2</v>
      </c>
      <c r="Y155" s="241" t="s">
        <v>455</v>
      </c>
      <c r="Z155" s="241" t="s">
        <v>455</v>
      </c>
      <c r="AA155" s="241">
        <f>B155*0.35/100</f>
        <v>0.35</v>
      </c>
      <c r="AB155" s="241">
        <f>B155*46.2933333333333/100</f>
        <v>46.293333333333301</v>
      </c>
    </row>
    <row r="156" spans="1:28">
      <c r="A156" s="232" t="s">
        <v>586</v>
      </c>
      <c r="B156" s="59">
        <v>100</v>
      </c>
      <c r="C156" s="239">
        <f>B156*33.4241115942029/100</f>
        <v>33.424111594202898</v>
      </c>
      <c r="D156" s="239">
        <f>B156*3.25724637681159/100</f>
        <v>3.2572463768115898</v>
      </c>
      <c r="E156" s="239">
        <f>B156*0.61/100</f>
        <v>0.61</v>
      </c>
      <c r="F156" s="252">
        <f>B156*0.0813333333333333/100</f>
        <v>8.1333333333333299E-2</v>
      </c>
      <c r="G156" s="252" t="s">
        <v>455</v>
      </c>
      <c r="H156" s="252">
        <f>B156*0.195666666666667/100</f>
        <v>0.19566666666666699</v>
      </c>
      <c r="I156" s="263">
        <f>B156*0.108333333333333/100</f>
        <v>0.108333333333333</v>
      </c>
      <c r="J156" s="263">
        <f>B156*0.09/100</f>
        <v>0.09</v>
      </c>
      <c r="K156" s="269" t="s">
        <v>454</v>
      </c>
      <c r="L156" s="242">
        <f>B156*5.70608695652173/100</f>
        <v>5.7060869565217311</v>
      </c>
      <c r="M156" s="239">
        <f>B156*1.85/100</f>
        <v>1.85</v>
      </c>
      <c r="N156" s="239">
        <f>B156*179.413333333333/100</f>
        <v>179.41333333333299</v>
      </c>
      <c r="O156" s="239">
        <f>B156*20.896666667/100</f>
        <v>20.896666666999998</v>
      </c>
      <c r="P156" s="239">
        <f>B156*1.87666666666667/100</f>
        <v>1.87666666666667</v>
      </c>
      <c r="Q156" s="239">
        <f>B156*49.35/100</f>
        <v>49.35</v>
      </c>
      <c r="R156" s="239">
        <f>B156*3.18/100</f>
        <v>3.18</v>
      </c>
      <c r="S156" s="239">
        <f>B156*2.3/100</f>
        <v>2.2999999999999998</v>
      </c>
      <c r="T156" s="239">
        <f>B156*711.296666666667/100</f>
        <v>711.29666666666697</v>
      </c>
      <c r="U156" s="239">
        <f>B156*0.2/100</f>
        <v>0.2</v>
      </c>
      <c r="V156" s="239">
        <f>B156*1.32333333333333/100</f>
        <v>1.3233333333333299</v>
      </c>
      <c r="W156" s="269" t="s">
        <v>454</v>
      </c>
      <c r="X156" s="239">
        <f>B156*0.116666666666667/100</f>
        <v>0.116666666666667</v>
      </c>
      <c r="Y156" s="239">
        <f>B156*0.15/100</f>
        <v>0.15</v>
      </c>
      <c r="Z156" s="239">
        <f>B156*0.466666666666667/100</f>
        <v>0.46666666666666701</v>
      </c>
      <c r="AA156" s="239">
        <f>B156*0.72/100</f>
        <v>0.72</v>
      </c>
      <c r="AB156" s="239">
        <f>B156*51.6933333333333/100</f>
        <v>51.6933333333333</v>
      </c>
    </row>
    <row r="157" spans="1:28">
      <c r="A157" s="232" t="s">
        <v>587</v>
      </c>
      <c r="B157" s="59">
        <v>100</v>
      </c>
      <c r="C157" s="239">
        <f>B157*56.5337724637681/100</f>
        <v>56.533772463768102</v>
      </c>
      <c r="D157" s="239">
        <f>B157*3.42028985507246/100</f>
        <v>3.4202898550724599</v>
      </c>
      <c r="E157" s="246">
        <f>B157*0.353333333333333/100</f>
        <v>0.353333333333333</v>
      </c>
      <c r="F157" s="252">
        <f>B157*0.124333333333333/100</f>
        <v>0.124333333333333</v>
      </c>
      <c r="G157" s="252">
        <f>B157*0.222333333333333/100</f>
        <v>0.22233333333333299</v>
      </c>
      <c r="H157" s="252">
        <f>B157*0.211333333333333/100</f>
        <v>0.21133333333333301</v>
      </c>
      <c r="I157" s="263">
        <f>B157*0.198333333333333/100</f>
        <v>0.198333333333333</v>
      </c>
      <c r="J157" s="263">
        <f>B157*0.013/100</f>
        <v>1.3000000000000001E-2</v>
      </c>
      <c r="K157" s="269" t="s">
        <v>454</v>
      </c>
      <c r="L157" s="242">
        <f>B157*12.6697101449275/100</f>
        <v>12.6697101449275</v>
      </c>
      <c r="M157" s="239">
        <f>B157*3.09/100</f>
        <v>3.09</v>
      </c>
      <c r="N157" s="239">
        <f>B157*16.1566666666667/100</f>
        <v>16.156666666666698</v>
      </c>
      <c r="O157" s="239">
        <f>B157*15.6133333333333/100</f>
        <v>15.613333333333298</v>
      </c>
      <c r="P157" s="239">
        <f>B157*0.131/100</f>
        <v>0.13100000000000001</v>
      </c>
      <c r="Q157" s="239">
        <f>B157*49.0333333333333/100</f>
        <v>49.033333333333303</v>
      </c>
      <c r="R157" s="239">
        <f>B157*1.06/100</f>
        <v>1.06</v>
      </c>
      <c r="S157" s="239">
        <f>B157*398.136666666667/100</f>
        <v>398.136666666667</v>
      </c>
      <c r="T157" s="239">
        <f>B157*122.213333333333/100</f>
        <v>122.213333333333</v>
      </c>
      <c r="U157" s="239">
        <f>B157*0.0833333333333333/100</f>
        <v>8.3333333333333301E-2</v>
      </c>
      <c r="V157" s="239">
        <f>B157*0.526666666666667/100</f>
        <v>0.52666666666666695</v>
      </c>
      <c r="W157" s="269" t="s">
        <v>454</v>
      </c>
      <c r="X157" s="239">
        <f>B57*0.03/100</f>
        <v>0.03</v>
      </c>
      <c r="Y157" s="250" t="s">
        <v>455</v>
      </c>
      <c r="Z157" s="250" t="s">
        <v>455</v>
      </c>
      <c r="AA157" s="239">
        <f>B157*3.71666666666667/100</f>
        <v>3.7166666666666699</v>
      </c>
      <c r="AB157" s="239" t="s">
        <v>455</v>
      </c>
    </row>
    <row r="158" spans="1:28">
      <c r="A158" s="232" t="s">
        <v>588</v>
      </c>
      <c r="B158" s="59">
        <v>100</v>
      </c>
      <c r="C158" s="238">
        <f>B158*30.3979341666666/100</f>
        <v>30.397934166666602</v>
      </c>
      <c r="D158" s="238">
        <f>B158*2.67291666666667/100</f>
        <v>2.6729166666666702</v>
      </c>
      <c r="E158" s="238">
        <f>B158*0.742666666666667/100</f>
        <v>0.74266666666666703</v>
      </c>
      <c r="F158" s="252">
        <f>B158*0.1/100</f>
        <v>0.1</v>
      </c>
      <c r="G158" s="252">
        <f>B158*0.1/100</f>
        <v>0.1</v>
      </c>
      <c r="H158" s="252">
        <f>B158*0.3/100</f>
        <v>0.3</v>
      </c>
      <c r="I158" s="263">
        <f>B158*0.07/100</f>
        <v>7.0000000000000007E-2</v>
      </c>
      <c r="J158" s="263">
        <f>B158*0.26/100</f>
        <v>0.26</v>
      </c>
      <c r="K158" s="269" t="s">
        <v>454</v>
      </c>
      <c r="L158" s="242">
        <f>B158*4.94675/100</f>
        <v>4.9467499999999998</v>
      </c>
      <c r="M158" s="238">
        <f>B158*3.5185/100</f>
        <v>3.5185000000000004</v>
      </c>
      <c r="N158" s="238">
        <f>B158*126.023666666667/100</f>
        <v>126.023666666667</v>
      </c>
      <c r="O158" s="238">
        <f>B158*29.5516666666667/100</f>
        <v>29.551666666666701</v>
      </c>
      <c r="P158" s="238">
        <f>B158*0.23/100</f>
        <v>0.23</v>
      </c>
      <c r="Q158" s="238">
        <f>B158*48.256/100</f>
        <v>48.256</v>
      </c>
      <c r="R158" s="238">
        <f>B158*1.26933333333333/100</f>
        <v>1.2693333333333301</v>
      </c>
      <c r="S158" s="238">
        <f>B158*19.347/100</f>
        <v>19.347000000000001</v>
      </c>
      <c r="T158" s="238">
        <f>B158*265.266333333333/100</f>
        <v>265.26633333333302</v>
      </c>
      <c r="U158" s="238">
        <f>B158*0.202666666666667/100</f>
        <v>0.20266666666666702</v>
      </c>
      <c r="V158" s="238">
        <f>B158*1.33166666666667/100</f>
        <v>1.3316666666666699</v>
      </c>
      <c r="W158" s="269" t="s">
        <v>454</v>
      </c>
      <c r="X158" s="242" t="s">
        <v>455</v>
      </c>
      <c r="Y158" s="238">
        <f>B158*0.113333333333333/100</f>
        <v>0.11333333333333301</v>
      </c>
      <c r="Z158" s="238">
        <f>B158*0.08/100</f>
        <v>0.08</v>
      </c>
      <c r="AA158" s="242" t="s">
        <v>455</v>
      </c>
      <c r="AB158" s="238">
        <f>B158*1.51/100</f>
        <v>1.51</v>
      </c>
    </row>
    <row r="159" spans="1:28">
      <c r="A159" s="232" t="s">
        <v>589</v>
      </c>
      <c r="B159" s="59">
        <v>100</v>
      </c>
      <c r="C159" s="238">
        <f>B159*34.2089183333333/100</f>
        <v>34.208918333333301</v>
      </c>
      <c r="D159" s="238">
        <f>B159*2.89583333333333/100</f>
        <v>2.8958333333333299</v>
      </c>
      <c r="E159" s="248">
        <f>B159*0.926666666666667/100</f>
        <v>0.92666666666666697</v>
      </c>
      <c r="F159" s="252">
        <f>B159*0.2/100</f>
        <v>0.2</v>
      </c>
      <c r="G159" s="252">
        <f>B159*0.1/100</f>
        <v>0.1</v>
      </c>
      <c r="H159" s="252">
        <f>B159*0.4/100</f>
        <v>0.4</v>
      </c>
      <c r="I159" s="263">
        <f>B159*0.12/100</f>
        <v>0.12</v>
      </c>
      <c r="J159" s="263">
        <f>B159*0.25/100</f>
        <v>0.25</v>
      </c>
      <c r="K159" s="269" t="s">
        <v>454</v>
      </c>
      <c r="L159" s="242">
        <f>B159*5.43049999999999/100</f>
        <v>5.4304999999999897</v>
      </c>
      <c r="M159" s="238">
        <f>B159*4.45366666666667/100</f>
        <v>4.4536666666666704</v>
      </c>
      <c r="N159" s="238">
        <f>B159*141.087/100</f>
        <v>141.08699999999999</v>
      </c>
      <c r="O159" s="238">
        <f>B159*37.9226666666667/100</f>
        <v>37.9226666666667</v>
      </c>
      <c r="P159" s="238">
        <f>B159*0.661666666666667/100</f>
        <v>0.66166666666666696</v>
      </c>
      <c r="Q159" s="238">
        <f>B159*52.7633333333333/100</f>
        <v>52.7633333333333</v>
      </c>
      <c r="R159" s="238">
        <f>B159*1.90666666666667/100</f>
        <v>1.9066666666666701</v>
      </c>
      <c r="S159" s="238">
        <f>B159*1.16066666666667/100</f>
        <v>1.1606666666666701</v>
      </c>
      <c r="T159" s="238">
        <f>B159*290.319666666667/100</f>
        <v>290.31966666666699</v>
      </c>
      <c r="U159" s="238">
        <f>B159*0.158666666666667/100</f>
        <v>0.15866666666666701</v>
      </c>
      <c r="V159" s="238">
        <f>B159*0.606333333333333/100</f>
        <v>0.60633333333333295</v>
      </c>
      <c r="W159" s="269" t="s">
        <v>454</v>
      </c>
      <c r="X159" s="242" t="s">
        <v>455</v>
      </c>
      <c r="Y159" s="238">
        <f>B159*0.103333333333333/100</f>
        <v>0.103333333333333</v>
      </c>
      <c r="Z159" s="238">
        <f>B159*0.0966666666666667/100</f>
        <v>9.666666666666672E-2</v>
      </c>
      <c r="AA159" s="242" t="s">
        <v>455</v>
      </c>
      <c r="AB159" s="238">
        <f>B159*17.94/100</f>
        <v>17.940000000000001</v>
      </c>
    </row>
    <row r="160" spans="1:28">
      <c r="A160" s="232" t="s">
        <v>590</v>
      </c>
      <c r="B160" s="59">
        <v>100</v>
      </c>
      <c r="C160" s="239">
        <f>B160*15.3351565217392/100</f>
        <v>15.335156521739201</v>
      </c>
      <c r="D160" s="239">
        <f>B160*1.09782608695652/100</f>
        <v>1.09782608695652</v>
      </c>
      <c r="E160" s="246">
        <f>B160*0.173333333333333/100</f>
        <v>0.17333333333333301</v>
      </c>
      <c r="F160" s="252"/>
      <c r="G160" s="252"/>
      <c r="H160" s="252"/>
      <c r="I160" s="263"/>
      <c r="J160" s="263"/>
      <c r="K160" s="269" t="s">
        <v>454</v>
      </c>
      <c r="L160" s="242">
        <f>B160*3.13884057971015/100</f>
        <v>3.1388405797101502</v>
      </c>
      <c r="M160" s="239">
        <f>B160*1.17333333333333/100</f>
        <v>1.17333333333333</v>
      </c>
      <c r="N160" s="239">
        <f>B160*6.94/100</f>
        <v>6.94</v>
      </c>
      <c r="O160" s="239">
        <f>B160*10.54/100</f>
        <v>10.54</v>
      </c>
      <c r="P160" s="239">
        <f>B160*0.0666666666666667/100</f>
        <v>6.6666666666666693E-2</v>
      </c>
      <c r="Q160" s="239">
        <f>B160*20.1933333333333/100</f>
        <v>20.1933333333333</v>
      </c>
      <c r="R160" s="239">
        <f>B160*0.236666666666667/100</f>
        <v>0.236666666666667</v>
      </c>
      <c r="S160" s="239">
        <f>B160*1.02/100</f>
        <v>1.02</v>
      </c>
      <c r="T160" s="239">
        <f>B160*222.386666666667/100</f>
        <v>222.386666666667</v>
      </c>
      <c r="U160" s="239">
        <f>B160*0.0366666666666667/100</f>
        <v>3.6666666666666702E-2</v>
      </c>
      <c r="V160" s="239">
        <f>B160*0.136666666666667/100</f>
        <v>0.13666666666666699</v>
      </c>
      <c r="W160" s="269" t="s">
        <v>454</v>
      </c>
      <c r="X160" s="239">
        <f>B160*0.116666666666667/100</f>
        <v>0.116666666666667</v>
      </c>
      <c r="Y160" s="239" t="s">
        <v>455</v>
      </c>
      <c r="Z160" s="239">
        <f>B160*0.0233333333333333/100</f>
        <v>2.33333333333333E-2</v>
      </c>
      <c r="AA160" s="239" t="s">
        <v>455</v>
      </c>
      <c r="AB160" s="239">
        <f>B160*21.2133333333333/100</f>
        <v>21.213333333333299</v>
      </c>
    </row>
    <row r="161" spans="1:28">
      <c r="A161" s="232" t="s">
        <v>591</v>
      </c>
      <c r="B161" s="59">
        <v>100</v>
      </c>
      <c r="C161" s="239">
        <f>B161*60.9334336521739/100</f>
        <v>60.933433652173896</v>
      </c>
      <c r="D161" s="239">
        <f>B161*2.43478260869565/100</f>
        <v>2.4347826086956501</v>
      </c>
      <c r="E161" s="246">
        <f>B161*0.19/100</f>
        <v>0.19</v>
      </c>
      <c r="F161" s="252"/>
      <c r="G161" s="252"/>
      <c r="H161" s="252"/>
      <c r="I161" s="263"/>
      <c r="J161" s="263"/>
      <c r="K161" s="269" t="s">
        <v>454</v>
      </c>
      <c r="L161" s="242">
        <f>B161*14.9586173913043/100</f>
        <v>14.958617391304299</v>
      </c>
      <c r="M161" s="239">
        <f>B161*2.80333/100</f>
        <v>2.8033299999999999</v>
      </c>
      <c r="N161" s="239">
        <f>B161*29.0766/100</f>
        <v>29.076599999999999</v>
      </c>
      <c r="O161" s="239">
        <f>B161*29.3266/100</f>
        <v>29.326599999999999</v>
      </c>
      <c r="P161" s="239">
        <f>B161*0.177/100</f>
        <v>0.17699999999999999</v>
      </c>
      <c r="Q161" s="239">
        <f>B161*47.1566666666667/100</f>
        <v>47.156666666666709</v>
      </c>
      <c r="R161" s="239">
        <f>B161*2.09333333333333/100</f>
        <v>2.0933333333333302</v>
      </c>
      <c r="S161" s="239">
        <f>B161*497.933333333333/100</f>
        <v>497.933333333333</v>
      </c>
      <c r="T161" s="239">
        <f>B161*679.91/100</f>
        <v>679.91</v>
      </c>
      <c r="U161" s="239">
        <f>B161*0.203333333333333/100</f>
        <v>0.20333333333333301</v>
      </c>
      <c r="V161" s="239">
        <f>B161*0.366666666666667/100</f>
        <v>0.36666666666666697</v>
      </c>
      <c r="W161" s="269" t="s">
        <v>454</v>
      </c>
      <c r="X161" s="250" t="s">
        <v>455</v>
      </c>
      <c r="Y161" s="250" t="s">
        <v>455</v>
      </c>
      <c r="Z161" s="239">
        <f>B161*0.11/100</f>
        <v>0.11</v>
      </c>
      <c r="AA161" s="252">
        <f>B161*2.42/100</f>
        <v>2.42</v>
      </c>
      <c r="AB161" s="239">
        <f>B161*18.01/100</f>
        <v>18.010000000000002</v>
      </c>
    </row>
    <row r="162" spans="1:28">
      <c r="A162" s="232" t="s">
        <v>592</v>
      </c>
      <c r="B162" s="59">
        <v>100</v>
      </c>
      <c r="C162" s="238">
        <f>B162*38.4465494604906/100</f>
        <v>38.446549460490601</v>
      </c>
      <c r="D162" s="238">
        <f>B162*1.375/100</f>
        <v>1.375</v>
      </c>
      <c r="E162" s="238">
        <f>B162*0.903333333333333/100</f>
        <v>0.90333333333333299</v>
      </c>
      <c r="F162" s="252">
        <f>B162*0.1/100</f>
        <v>0.1</v>
      </c>
      <c r="G162" s="252">
        <f>B162*0.1/100</f>
        <v>0.1</v>
      </c>
      <c r="H162" s="252">
        <f>B162*0.2/100</f>
        <v>0.2</v>
      </c>
      <c r="I162" s="263">
        <f>B162*0.17/100</f>
        <v>0.17</v>
      </c>
      <c r="J162" s="263">
        <f>B162*0.02/100</f>
        <v>0.02</v>
      </c>
      <c r="K162" s="242" t="s">
        <v>454</v>
      </c>
      <c r="L162" s="242">
        <f>B162*7.71166666666668/100</f>
        <v>7.7116666666666802</v>
      </c>
      <c r="M162" s="238">
        <f>B162*3.11666666666667/100</f>
        <v>3.1166666666666698</v>
      </c>
      <c r="N162" s="238">
        <f>B162*11.7293333333333/100</f>
        <v>11.729333333333299</v>
      </c>
      <c r="O162" s="238">
        <f>B162*16.7893333333333/100</f>
        <v>16.7893333333333</v>
      </c>
      <c r="P162" s="238">
        <f>B162*0.0826666666666667/100</f>
        <v>8.2666666666666694E-2</v>
      </c>
      <c r="Q162" s="238">
        <f>B162*27.2103333333333/100</f>
        <v>27.210333333333303</v>
      </c>
      <c r="R162" s="238">
        <f>B162*1.57733333333333/100</f>
        <v>1.5773333333333297</v>
      </c>
      <c r="S162" s="238">
        <f>B162*418.280666666667/100</f>
        <v>418.280666666667</v>
      </c>
      <c r="T162" s="238">
        <f>B162*388.195/100</f>
        <v>388.19499999999999</v>
      </c>
      <c r="U162" s="238">
        <f>B162*0.0776666666666667/100</f>
        <v>7.7666666666666703E-2</v>
      </c>
      <c r="V162" s="238">
        <f>B162*0.129/100</f>
        <v>0.129</v>
      </c>
      <c r="W162" s="242" t="s">
        <v>454</v>
      </c>
      <c r="X162" s="245" t="s">
        <v>455</v>
      </c>
      <c r="Y162" s="245" t="s">
        <v>455</v>
      </c>
      <c r="Z162" s="242">
        <f>B162*0.0633333333333333/100</f>
        <v>6.3333333333333297E-2</v>
      </c>
      <c r="AA162" s="245" t="s">
        <v>455</v>
      </c>
      <c r="AB162" s="238">
        <f>B162*2.70666666666667/100</f>
        <v>2.7066666666666701</v>
      </c>
    </row>
    <row r="163" spans="1:28">
      <c r="A163" s="232" t="s">
        <v>593</v>
      </c>
      <c r="B163" s="59">
        <v>100</v>
      </c>
      <c r="C163" s="239">
        <f>B163*27.9368797101449/100</f>
        <v>27.9368797101449</v>
      </c>
      <c r="D163" s="239">
        <f>B163*1.36231884057971/100</f>
        <v>1.36231884057971</v>
      </c>
      <c r="E163" s="246" t="s">
        <v>455</v>
      </c>
      <c r="F163" s="263"/>
      <c r="G163" s="263"/>
      <c r="H163" s="263"/>
      <c r="I163" s="263"/>
      <c r="J163" s="263"/>
      <c r="K163" s="269" t="s">
        <v>454</v>
      </c>
      <c r="L163" s="242">
        <f>B163*6.89434782608695/100</f>
        <v>6.8943478260869497</v>
      </c>
      <c r="M163" s="239">
        <f>B163*1.02666666666667/100</f>
        <v>1.0266666666666699</v>
      </c>
      <c r="N163" s="239">
        <f>B163*13.2433333333333/100</f>
        <v>13.2433333333333</v>
      </c>
      <c r="O163" s="239">
        <f>B163*15.4366666666667/100</f>
        <v>15.436666666666699</v>
      </c>
      <c r="P163" s="239" t="s">
        <v>3254</v>
      </c>
      <c r="Q163" s="239">
        <f>B163*30.01/100</f>
        <v>30.01</v>
      </c>
      <c r="R163" s="239">
        <f>B163*1.25/100</f>
        <v>1.25</v>
      </c>
      <c r="S163" s="239">
        <f>B163*103.93/100</f>
        <v>103.93</v>
      </c>
      <c r="T163" s="239">
        <f>B163*308.243333333333/100</f>
        <v>308.243333333333</v>
      </c>
      <c r="U163" s="239">
        <f>B163*0.0933333333333333/100</f>
        <v>9.333333333333331E-2</v>
      </c>
      <c r="V163" s="239">
        <f>B163*0.333333333333333/100</f>
        <v>0.33333333333333298</v>
      </c>
      <c r="W163" s="269" t="s">
        <v>454</v>
      </c>
      <c r="X163" s="250" t="s">
        <v>455</v>
      </c>
      <c r="Y163" s="250" t="s">
        <v>455</v>
      </c>
      <c r="Z163" s="239">
        <f>B163*0.07/100</f>
        <v>7.0000000000000007E-2</v>
      </c>
      <c r="AA163" s="239">
        <f>B163*1.18/100</f>
        <v>1.18</v>
      </c>
      <c r="AB163" s="239">
        <f>B163*5.38333333333333/100</f>
        <v>5.3833333333333302</v>
      </c>
    </row>
    <row r="164" spans="1:28">
      <c r="A164" s="232" t="s">
        <v>594</v>
      </c>
      <c r="B164" s="59">
        <v>100</v>
      </c>
      <c r="C164" s="238">
        <f>B164*20.5469091666666/100</f>
        <v>20.546909166666602</v>
      </c>
      <c r="D164" s="238">
        <f>B164*0.810416666666667/100</f>
        <v>0.81041666666666701</v>
      </c>
      <c r="E164" s="251" t="s">
        <v>455</v>
      </c>
      <c r="F164" s="263"/>
      <c r="G164" s="263"/>
      <c r="H164" s="263"/>
      <c r="I164" s="263"/>
      <c r="J164" s="263"/>
      <c r="K164" s="269" t="s">
        <v>454</v>
      </c>
      <c r="L164" s="242">
        <f>B164*5.11791666666666/100</f>
        <v>5.1179166666666598</v>
      </c>
      <c r="M164" s="238">
        <f>B164*2.26833333333333/100</f>
        <v>2.26833333333333</v>
      </c>
      <c r="N164" s="243">
        <f>B164*6.94633333333333/100</f>
        <v>6.9463333333333299</v>
      </c>
      <c r="O164" s="238">
        <f>B164*9.50366666666667/100</f>
        <v>9.5036666666666694</v>
      </c>
      <c r="P164" s="248">
        <f>B164*0.044</f>
        <v>4.3999999999999995</v>
      </c>
      <c r="Q164" s="238">
        <f>B164*23.3776666666667/100</f>
        <v>23.377666666666702</v>
      </c>
      <c r="R164" s="238">
        <f>B164*0.290333333333333/100</f>
        <v>0.290333333333333</v>
      </c>
      <c r="S164" s="243">
        <f>B164*5.243/100</f>
        <v>5.2430000000000003</v>
      </c>
      <c r="T164" s="243">
        <f>B164*161.155/100</f>
        <v>161.155</v>
      </c>
      <c r="U164" s="238">
        <f>B164*0.072/100</f>
        <v>7.1999999999999995E-2</v>
      </c>
      <c r="V164" s="238">
        <f>B164*0.173/100</f>
        <v>0.17299999999999996</v>
      </c>
      <c r="W164" s="269" t="s">
        <v>454</v>
      </c>
      <c r="X164" s="238">
        <f>B164*0.0573333333333333/100</f>
        <v>5.7333333333333299E-2</v>
      </c>
      <c r="Y164" s="238">
        <f>B164*0.0423333333333333/100</f>
        <v>4.2333333333333299E-2</v>
      </c>
      <c r="Z164" s="238">
        <f>B164*0.05/100</f>
        <v>0.05</v>
      </c>
      <c r="AA164" s="242" t="s">
        <v>455</v>
      </c>
      <c r="AB164" s="238">
        <f>B164*12.804/100</f>
        <v>12.804</v>
      </c>
    </row>
    <row r="165" spans="1:28">
      <c r="A165" s="232" t="s">
        <v>597</v>
      </c>
      <c r="B165" s="59">
        <v>100</v>
      </c>
      <c r="C165" s="239">
        <f>B165*24.8983579710145/100</f>
        <v>24.898357971014502</v>
      </c>
      <c r="D165" s="239">
        <f>B165*1.78623188405797/100</f>
        <v>1.7862318840579701</v>
      </c>
      <c r="E165" s="246">
        <f>B165*0.173333333333333/100</f>
        <v>0.17333333333333301</v>
      </c>
      <c r="F165" s="263"/>
      <c r="G165" s="263"/>
      <c r="H165" s="263"/>
      <c r="I165" s="263"/>
      <c r="J165" s="263"/>
      <c r="K165" s="269" t="s">
        <v>454</v>
      </c>
      <c r="L165" s="242">
        <f>B165*5.34710144927536/100</f>
        <v>5.3471014492753604</v>
      </c>
      <c r="M165" s="239">
        <f>B165*2.38333333333333/100</f>
        <v>2.3833333333333302</v>
      </c>
      <c r="N165" s="239">
        <f>B165*41.1/100</f>
        <v>41.1</v>
      </c>
      <c r="O165" s="239">
        <f>B165*17.8333333333333/100</f>
        <v>17.8333333333333</v>
      </c>
      <c r="P165" s="239">
        <f>B165*0.5/100</f>
        <v>0.5</v>
      </c>
      <c r="Q165" s="239">
        <f>B165*27.99/100</f>
        <v>27.99</v>
      </c>
      <c r="R165" s="239">
        <f>B165*0.43/100</f>
        <v>0.43</v>
      </c>
      <c r="S165" s="239" t="s">
        <v>455</v>
      </c>
      <c r="T165" s="239">
        <f>B165*208.203333333333/100</f>
        <v>208.20333333333301</v>
      </c>
      <c r="U165" s="239">
        <f>B165*0.0566666666666667/100</f>
        <v>5.6666666666666698E-2</v>
      </c>
      <c r="V165" s="239">
        <f>B165*0.33/100</f>
        <v>0.33</v>
      </c>
      <c r="W165" s="269" t="s">
        <v>454</v>
      </c>
      <c r="X165" s="239" t="s">
        <v>455</v>
      </c>
      <c r="Y165" s="239">
        <f>B165*0.08/100</f>
        <v>0.08</v>
      </c>
      <c r="Z165" s="239" t="s">
        <v>455</v>
      </c>
      <c r="AA165" s="239" t="s">
        <v>455</v>
      </c>
      <c r="AB165" s="239">
        <f>B165*1.15333333333333/100</f>
        <v>1.15333333333333</v>
      </c>
    </row>
    <row r="166" spans="1:28" s="220" customFormat="1">
      <c r="A166" s="228" t="s">
        <v>31</v>
      </c>
      <c r="B166" s="237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 t="s">
        <v>3254</v>
      </c>
    </row>
    <row r="167" spans="1:28">
      <c r="A167" s="232" t="s">
        <v>599</v>
      </c>
      <c r="B167" s="59">
        <v>100</v>
      </c>
      <c r="C167" s="240">
        <f>B167*96.1547086956522/100</f>
        <v>96.154708695652204</v>
      </c>
      <c r="D167" s="239">
        <f>B167*1.23913043478261/100</f>
        <v>1.23913043478261</v>
      </c>
      <c r="E167" s="240">
        <f>B167*8.39666666666667/100</f>
        <v>8.3966666666666701</v>
      </c>
      <c r="F167" s="252">
        <f>B167*2.3/100</f>
        <v>2.2999999999999998</v>
      </c>
      <c r="G167" s="252">
        <f>B167*4.3/100</f>
        <v>4.3</v>
      </c>
      <c r="H167" s="252">
        <f>B167*1.4/100</f>
        <v>1.4</v>
      </c>
      <c r="I167" s="263">
        <f>B167*1.29/100</f>
        <v>1.29</v>
      </c>
      <c r="J167" s="263">
        <f>B167*0.08/100</f>
        <v>0.08</v>
      </c>
      <c r="K167" s="256" t="s">
        <v>454</v>
      </c>
      <c r="L167" s="242">
        <f>B167*6.0308695652174/100</f>
        <v>6.0308695652174</v>
      </c>
      <c r="M167" s="240">
        <f>B167*6.31333333333333/100</f>
        <v>6.3133333333333299</v>
      </c>
      <c r="N167" s="240">
        <f>B167*7.91666666666667/100</f>
        <v>7.9166666666666696</v>
      </c>
      <c r="O167" s="240">
        <f>B167*14.6833333333333/100</f>
        <v>14.683333333333302</v>
      </c>
      <c r="P167" s="240">
        <f>B167*0.173333333333333/100</f>
        <v>0.17333333333333301</v>
      </c>
      <c r="Q167" s="240">
        <f>B167*21.9533333333333/100</f>
        <v>21.953333333333305</v>
      </c>
      <c r="R167" s="240">
        <f>B167*0.206666666666667/100</f>
        <v>0.206666666666667</v>
      </c>
      <c r="S167" s="240" t="s">
        <v>455</v>
      </c>
      <c r="T167" s="240">
        <f>B167*206.256666666667/100</f>
        <v>206.256666666667</v>
      </c>
      <c r="U167" s="240">
        <f>B167*0.146666666666667/100</f>
        <v>0.146666666666667</v>
      </c>
      <c r="V167" s="240">
        <f>B167*0.216666666666667/100</f>
        <v>0.21666666666666701</v>
      </c>
      <c r="W167" s="269" t="s">
        <v>454</v>
      </c>
      <c r="X167" s="240" t="s">
        <v>455</v>
      </c>
      <c r="Y167" s="240">
        <f>B167*0.0433333333333333/100</f>
        <v>4.3333333333333307E-2</v>
      </c>
      <c r="Z167" s="240" t="s">
        <v>455</v>
      </c>
      <c r="AA167" s="240" t="s">
        <v>455</v>
      </c>
      <c r="AB167" s="240">
        <f>B167*8.66/100</f>
        <v>8.66</v>
      </c>
    </row>
    <row r="168" spans="1:28">
      <c r="A168" s="232" t="s">
        <v>3107</v>
      </c>
      <c r="B168" s="59">
        <v>100</v>
      </c>
      <c r="C168" s="239">
        <f>B168*48.3222130434782/100</f>
        <v>48.322213043478207</v>
      </c>
      <c r="D168" s="239">
        <f>B168*0.858695652173913/100</f>
        <v>0.85869565217391297</v>
      </c>
      <c r="E168" s="246">
        <f>B168*0.123333333333333/100</f>
        <v>0.123333333333333</v>
      </c>
      <c r="F168" s="252"/>
      <c r="G168" s="252"/>
      <c r="H168" s="252"/>
      <c r="I168" s="263"/>
      <c r="J168" s="263"/>
      <c r="K168" s="256" t="s">
        <v>454</v>
      </c>
      <c r="L168" s="242">
        <f>B168*12.3346376811594/100</f>
        <v>12.3346376811594</v>
      </c>
      <c r="M168" s="239">
        <f>B168*0.986666666666667/100</f>
        <v>0.98666666666666702</v>
      </c>
      <c r="N168" s="239">
        <f>B168*22.4333333333333/100</f>
        <v>22.433333333333302</v>
      </c>
      <c r="O168" s="239">
        <f>B168*18.44/100</f>
        <v>18.440000000000001</v>
      </c>
      <c r="P168" s="239">
        <f>B168*1.62333333333333/100</f>
        <v>1.62333333333333</v>
      </c>
      <c r="Q168" s="239">
        <f>B168*12.78/100</f>
        <v>12.78</v>
      </c>
      <c r="R168" s="239">
        <f>B168*0.256666666666667/100</f>
        <v>0.25666666666666699</v>
      </c>
      <c r="S168" s="239" t="s">
        <v>455</v>
      </c>
      <c r="T168" s="239">
        <f>B168*131.34/100</f>
        <v>131.34</v>
      </c>
      <c r="U168" s="239">
        <f>B168*0.106666666666667/100</f>
        <v>0.10666666666666699</v>
      </c>
      <c r="V168" s="239">
        <f>B168*0.143333333333333/100</f>
        <v>0.14333333333333301</v>
      </c>
      <c r="W168" s="269" t="s">
        <v>454</v>
      </c>
      <c r="X168" s="239">
        <f>B168*0.173333333333333/100</f>
        <v>0.17333333333333301</v>
      </c>
      <c r="Y168" s="239">
        <f>B168*0.02/100</f>
        <v>0.02</v>
      </c>
      <c r="Z168" s="239" t="s">
        <v>455</v>
      </c>
      <c r="AA168" s="240" t="s">
        <v>455</v>
      </c>
      <c r="AB168" s="239">
        <f>B168*34.6233333333333/100</f>
        <v>34.623333333333299</v>
      </c>
    </row>
    <row r="169" spans="1:28">
      <c r="A169" s="222" t="s">
        <v>3108</v>
      </c>
      <c r="B169" s="59">
        <v>100</v>
      </c>
      <c r="C169" s="247">
        <f>B169*30.5917991943359/100</f>
        <v>30.591799194335898</v>
      </c>
      <c r="D169" s="247">
        <f>B169*0.466666666666667/100</f>
        <v>0.46666666666666701</v>
      </c>
      <c r="E169" s="244">
        <f>B169*0.113333333333333/100</f>
        <v>0.11333333333333301</v>
      </c>
      <c r="F169" s="252"/>
      <c r="G169" s="252"/>
      <c r="H169" s="252"/>
      <c r="I169" s="263"/>
      <c r="J169" s="263"/>
      <c r="K169" s="258" t="s">
        <v>454</v>
      </c>
      <c r="L169" s="247">
        <f>B169*7.79866666666666/100</f>
        <v>7.7986666666666595</v>
      </c>
      <c r="M169" s="244">
        <f>B169*0.326666666666667/100</f>
        <v>0.32666666666666699</v>
      </c>
      <c r="N169" s="244">
        <f>B169*13.538/100</f>
        <v>13.538</v>
      </c>
      <c r="O169" s="244">
        <f>B169*10.0713333333333/100</f>
        <v>10.0713333333333</v>
      </c>
      <c r="P169" s="244">
        <f>B169*1.02066666666667/100</f>
        <v>1.0206666666666699</v>
      </c>
      <c r="Q169" s="244">
        <f>B169*7.626/100</f>
        <v>7.6260000000000003</v>
      </c>
      <c r="R169" s="244">
        <f>B169*0.357333333333333/100</f>
        <v>0.357333333333333</v>
      </c>
      <c r="S169" s="244">
        <f>B169*1.23633333333333/100</f>
        <v>1.23633333333333</v>
      </c>
      <c r="T169" s="244">
        <f>B169*106.684333333333/100</f>
        <v>106.684333333333</v>
      </c>
      <c r="U169" s="244">
        <f>B169*0.039/100</f>
        <v>3.9E-2</v>
      </c>
      <c r="V169" s="244">
        <f>B169*0.0603333333333333/100</f>
        <v>6.0333333333333308E-2</v>
      </c>
      <c r="W169" s="258" t="s">
        <v>454</v>
      </c>
      <c r="X169" s="244">
        <f>B169*0.0466666666666667/100</f>
        <v>4.6666666666666697E-2</v>
      </c>
      <c r="Y169" s="244" t="s">
        <v>455</v>
      </c>
      <c r="Z169" s="244" t="s">
        <v>455</v>
      </c>
      <c r="AA169" s="244" t="s">
        <v>455</v>
      </c>
      <c r="AB169" s="244">
        <f>B169*1.24666666666667/100</f>
        <v>1.2466666666666699</v>
      </c>
    </row>
    <row r="170" spans="1:28">
      <c r="A170" s="232" t="s">
        <v>600</v>
      </c>
      <c r="B170" s="59">
        <v>100</v>
      </c>
      <c r="C170" s="238">
        <f>B170*62.4240984085401/100</f>
        <v>62.424098408540097</v>
      </c>
      <c r="D170" s="238">
        <f>B170*0.833333333333333/100</f>
        <v>0.83333333333333304</v>
      </c>
      <c r="E170" s="238">
        <f>B170*0.703333333333333/100</f>
        <v>0.70333333333333303</v>
      </c>
      <c r="F170" s="252">
        <f>B170*0.3/100</f>
        <v>0.3</v>
      </c>
      <c r="G170" s="252">
        <f>B170*0.1/100</f>
        <v>0.1</v>
      </c>
      <c r="H170" s="252">
        <f>B170*0.1/100</f>
        <v>0.1</v>
      </c>
      <c r="I170" s="263">
        <f>B170*0.1/100</f>
        <v>0.1</v>
      </c>
      <c r="J170" s="263">
        <f>B170*0.02/100</f>
        <v>0.02</v>
      </c>
      <c r="K170" s="256" t="s">
        <v>454</v>
      </c>
      <c r="L170" s="242">
        <f>B170*14.927/100</f>
        <v>14.927</v>
      </c>
      <c r="M170" s="238">
        <f>B170*1.696/100</f>
        <v>1.696</v>
      </c>
      <c r="N170" s="243">
        <f>B170*5.78/100</f>
        <v>5.78</v>
      </c>
      <c r="O170" s="243">
        <f>B170*9.29633333333333/100</f>
        <v>9.2963333333333296</v>
      </c>
      <c r="P170" s="243">
        <f>B170*0.0803333333333333/100</f>
        <v>8.0333333333333298E-2</v>
      </c>
      <c r="Q170" s="243">
        <f>B170*20.2883333333333/100</f>
        <v>20.288333333333298</v>
      </c>
      <c r="R170" s="243">
        <f>B170*0.158666666666667/100</f>
        <v>0.15866666666666701</v>
      </c>
      <c r="S170" s="243" t="s">
        <v>455</v>
      </c>
      <c r="T170" s="243">
        <f>B170*128.339/100</f>
        <v>128.339</v>
      </c>
      <c r="U170" s="243">
        <f>B170*0.093/100</f>
        <v>9.3000000000000013E-2</v>
      </c>
      <c r="V170" s="243">
        <f>B170*0.0986666666666667/100</f>
        <v>9.8666666666666694E-2</v>
      </c>
      <c r="W170" s="269" t="s">
        <v>454</v>
      </c>
      <c r="X170" s="242" t="s">
        <v>455</v>
      </c>
      <c r="Y170" s="238">
        <f>B170*0.0366666666666667/100</f>
        <v>3.6666666666666702E-2</v>
      </c>
      <c r="Z170" s="242" t="s">
        <v>3254</v>
      </c>
      <c r="AA170" s="242" t="s">
        <v>455</v>
      </c>
      <c r="AB170" s="243">
        <f>B170*10.2833333333333/100</f>
        <v>10.283333333333298</v>
      </c>
    </row>
    <row r="171" spans="1:28">
      <c r="A171" s="232" t="s">
        <v>897</v>
      </c>
      <c r="B171" s="59">
        <v>100</v>
      </c>
      <c r="C171" s="238">
        <f>B171*110.29759/100</f>
        <v>110.29759</v>
      </c>
      <c r="D171" s="238">
        <f>B171*0.720833333333333/100</f>
        <v>0.72083333333333299</v>
      </c>
      <c r="E171" s="238">
        <f>B171*3.66033333333333/100</f>
        <v>3.6603333333333294</v>
      </c>
      <c r="F171" s="252">
        <f>B171*0.7/100</f>
        <v>0.7</v>
      </c>
      <c r="G171" s="252">
        <f>B171*1.9/100</f>
        <v>1.9</v>
      </c>
      <c r="H171" s="252">
        <f>B171*0.3/100</f>
        <v>0.3</v>
      </c>
      <c r="I171" s="263">
        <f>B171*0.3/100</f>
        <v>0.3</v>
      </c>
      <c r="J171" s="263">
        <f>B171*0.02/100</f>
        <v>0.02</v>
      </c>
      <c r="K171" s="256" t="s">
        <v>454</v>
      </c>
      <c r="L171" s="242">
        <f>B171*21.4551666666667/100</f>
        <v>21.455166666666699</v>
      </c>
      <c r="M171" s="238">
        <f>B171*1.72333333333333/100</f>
        <v>1.7233333333333301</v>
      </c>
      <c r="N171" s="238">
        <f>B171*22.159/100</f>
        <v>22.159000000000002</v>
      </c>
      <c r="O171" s="238">
        <f>B171*12.7263333333333/100</f>
        <v>12.726333333333301</v>
      </c>
      <c r="P171" s="238">
        <f>B171*3.28566666666667/100</f>
        <v>3.2856666666666698</v>
      </c>
      <c r="Q171" s="238">
        <f>B171*10.7923333333333/100</f>
        <v>10.7923333333333</v>
      </c>
      <c r="R171" s="238">
        <f>B171*0.268333333333333/100</f>
        <v>0.26833333333333298</v>
      </c>
      <c r="S171" s="238">
        <f>B171*15.0986666666667/100</f>
        <v>15.0986666666667</v>
      </c>
      <c r="T171" s="238">
        <f>B171*75.4943333333333/100</f>
        <v>75.494333333333302</v>
      </c>
      <c r="U171" s="238">
        <f>B171*0.139666666666667/100</f>
        <v>0.13966666666666699</v>
      </c>
      <c r="V171" s="238">
        <f>B171*0.194/100</f>
        <v>0.19400000000000003</v>
      </c>
      <c r="W171" s="269" t="s">
        <v>454</v>
      </c>
      <c r="X171" s="244" t="s">
        <v>455</v>
      </c>
      <c r="Y171" s="245" t="s">
        <v>455</v>
      </c>
      <c r="Z171" s="238">
        <f>B171*0.0733333333333333/100</f>
        <v>7.3333333333333306E-2</v>
      </c>
      <c r="AA171" s="245" t="s">
        <v>455</v>
      </c>
      <c r="AB171" s="238">
        <f>B171*10.27/100</f>
        <v>10.27</v>
      </c>
    </row>
    <row r="172" spans="1:28">
      <c r="A172" s="222" t="s">
        <v>3109</v>
      </c>
      <c r="B172" s="59">
        <v>100</v>
      </c>
      <c r="C172" s="247">
        <f>B172*58.0453688728213/100</f>
        <v>58.0453688728213</v>
      </c>
      <c r="D172" s="247">
        <f>B172*0.797916666666667/100</f>
        <v>0.79791666666666705</v>
      </c>
      <c r="E172" s="244">
        <f>B172*3.94433333333333/100</f>
        <v>3.9443333333333301</v>
      </c>
      <c r="F172" s="258">
        <f>B172*0.731333333333333/100</f>
        <v>0.73133333333333295</v>
      </c>
      <c r="G172" s="258">
        <f>B172*2.014/100</f>
        <v>2.0139999999999998</v>
      </c>
      <c r="H172" s="258">
        <f>B172*0.377/100</f>
        <v>0.377</v>
      </c>
      <c r="I172" s="263">
        <f>B172*0.354/100</f>
        <v>0.35399999999999998</v>
      </c>
      <c r="J172" s="263">
        <f>B172*0.023/100</f>
        <v>2.3E-2</v>
      </c>
      <c r="K172" s="258" t="s">
        <v>454</v>
      </c>
      <c r="L172" s="247">
        <f>B172*6.20841666666667/100</f>
        <v>6.20841666666667</v>
      </c>
      <c r="M172" s="244">
        <f>B172*2.55333333333333/100</f>
        <v>2.5533333333333301</v>
      </c>
      <c r="N172" s="244">
        <f>B172*35.18/100</f>
        <v>35.18</v>
      </c>
      <c r="O172" s="244">
        <f>B172*17.04/100</f>
        <v>17.04</v>
      </c>
      <c r="P172" s="244">
        <f>B172*6.16/100</f>
        <v>6.16</v>
      </c>
      <c r="Q172" s="244">
        <f>B172*16.4283333333333/100</f>
        <v>16.428333333333299</v>
      </c>
      <c r="R172" s="244">
        <f>B172*0.432333333333333/100</f>
        <v>0.43233333333333301</v>
      </c>
      <c r="S172" s="244">
        <f>B172*5.177/100</f>
        <v>5.1769999999999996</v>
      </c>
      <c r="T172" s="244">
        <f>B172*123.616666666667/100</f>
        <v>123.616666666667</v>
      </c>
      <c r="U172" s="244">
        <f>B172*0.182666666666667/100</f>
        <v>0.182666666666667</v>
      </c>
      <c r="V172" s="244">
        <f>B172*0.265333333333333/100</f>
        <v>0.26533333333333298</v>
      </c>
      <c r="W172" s="258" t="s">
        <v>454</v>
      </c>
      <c r="Y172" s="244">
        <f>B172*0.04/100</f>
        <v>0.04</v>
      </c>
      <c r="Z172" s="244">
        <f>B172*0.07/100</f>
        <v>7.0000000000000007E-2</v>
      </c>
      <c r="AA172" s="244" t="s">
        <v>455</v>
      </c>
      <c r="AB172" s="244" t="s">
        <v>455</v>
      </c>
    </row>
    <row r="173" spans="1:28">
      <c r="A173" s="232" t="s">
        <v>601</v>
      </c>
      <c r="B173" s="59">
        <v>100</v>
      </c>
      <c r="C173" s="238">
        <f>B173*33.46227/100</f>
        <v>33.462269999999997</v>
      </c>
      <c r="D173" s="238">
        <f>B173*0.90625/100</f>
        <v>0.90625</v>
      </c>
      <c r="E173" s="248">
        <f>B173*0.207666666666667/100</f>
        <v>0.207666666666667</v>
      </c>
      <c r="F173" s="258"/>
      <c r="G173" s="258"/>
      <c r="H173" s="258"/>
      <c r="I173" s="263"/>
      <c r="J173" s="263"/>
      <c r="K173" s="256" t="s">
        <v>454</v>
      </c>
      <c r="L173" s="242">
        <f>B173*7.96641666666667/100</f>
        <v>7.96641666666667</v>
      </c>
      <c r="M173" s="238">
        <f>B173*1.51133333333333/100</f>
        <v>1.5113333333333301</v>
      </c>
      <c r="N173" s="238">
        <f>B173*12.5523333333333/100</f>
        <v>12.5523333333333</v>
      </c>
      <c r="O173" s="238">
        <f>B173*13.1333333333333/100</f>
        <v>13.133333333333301</v>
      </c>
      <c r="P173" s="238">
        <f>B173*0.0726666666666667/100</f>
        <v>7.2666666666666699E-2</v>
      </c>
      <c r="Q173" s="238">
        <f>B173*9.237/100</f>
        <v>9.2370000000000001</v>
      </c>
      <c r="R173" s="238">
        <f>B173*0.222/100</f>
        <v>0.222</v>
      </c>
      <c r="S173" s="243" t="s">
        <v>455</v>
      </c>
      <c r="T173" s="238">
        <f>B173*164.988666666667/100</f>
        <v>164.988666666667</v>
      </c>
      <c r="U173" s="238">
        <f>B173*0.067/100</f>
        <v>6.7000000000000004E-2</v>
      </c>
      <c r="V173" s="238">
        <f>B173*0.145333333333333/100</f>
        <v>0.14533333333333301</v>
      </c>
      <c r="W173" s="269" t="s">
        <v>454</v>
      </c>
      <c r="X173" s="245" t="s">
        <v>455</v>
      </c>
      <c r="Y173" s="238">
        <f>B173*0.041/100</f>
        <v>4.1000000000000009E-2</v>
      </c>
      <c r="Z173" s="245" t="s">
        <v>455</v>
      </c>
      <c r="AA173" s="238">
        <f>B173*1.38333333333333/100</f>
        <v>1.38333333333333</v>
      </c>
      <c r="AB173" s="238">
        <f>B173*941.369666666667/100</f>
        <v>941.36966666666694</v>
      </c>
    </row>
    <row r="174" spans="1:28">
      <c r="A174" s="232" t="s">
        <v>602</v>
      </c>
      <c r="B174" s="59">
        <v>100</v>
      </c>
      <c r="C174" s="238">
        <f>B174*21.9368/100</f>
        <v>21.936800000000002</v>
      </c>
      <c r="D174" s="238">
        <f>B174*0.591666666666667/100</f>
        <v>0.59166666666666701</v>
      </c>
      <c r="E174" s="251" t="s">
        <v>455</v>
      </c>
      <c r="F174" s="258"/>
      <c r="G174" s="258"/>
      <c r="H174" s="258"/>
      <c r="I174" s="263"/>
      <c r="J174" s="263"/>
      <c r="K174" s="256" t="s">
        <v>454</v>
      </c>
      <c r="L174" s="242">
        <f>B174*5.54133333333333/100</f>
        <v>5.5413333333333297</v>
      </c>
      <c r="M174" s="238">
        <f>B174*0.703333333333333/100</f>
        <v>0.70333333333333303</v>
      </c>
      <c r="N174" s="238">
        <f>B174*7.59333333333333/100</f>
        <v>7.5933333333333302</v>
      </c>
      <c r="O174" s="238">
        <f>B174*8.658/100</f>
        <v>8.6579999999999995</v>
      </c>
      <c r="P174" s="248">
        <f>B174*0.0336666666666667/100</f>
        <v>3.3666666666666699E-2</v>
      </c>
      <c r="Q174" s="238">
        <f>B174*12.857/100</f>
        <v>12.856999999999998</v>
      </c>
      <c r="R174" s="238">
        <f>B174*0.167333333333333/100</f>
        <v>0.167333333333333</v>
      </c>
      <c r="S174" s="238">
        <f>B174*1.28/100</f>
        <v>1.28</v>
      </c>
      <c r="T174" s="238">
        <f>B174*111.985666666667/100</f>
        <v>111.985666666667</v>
      </c>
      <c r="U174" s="238">
        <f>B174*0.0393333333333333/100</f>
        <v>3.9333333333333297E-2</v>
      </c>
      <c r="V174" s="238">
        <f>B174*0.0726666666666667/100</f>
        <v>7.2666666666666699E-2</v>
      </c>
      <c r="W174" s="269" t="s">
        <v>454</v>
      </c>
      <c r="X174" s="242" t="s">
        <v>455</v>
      </c>
      <c r="Y174" s="238">
        <f>B174*0.096/100</f>
        <v>9.6000000000000002E-2</v>
      </c>
      <c r="Z174" s="242" t="s">
        <v>455</v>
      </c>
      <c r="AA174" s="242" t="s">
        <v>455</v>
      </c>
      <c r="AB174" s="238">
        <f>B174*623.239333333333/100</f>
        <v>623.23933333333298</v>
      </c>
    </row>
    <row r="175" spans="1:28">
      <c r="A175" s="232" t="s">
        <v>3110</v>
      </c>
      <c r="B175" s="59">
        <v>100</v>
      </c>
      <c r="C175" s="238">
        <f>B175*182.84662/100</f>
        <v>182.84662</v>
      </c>
      <c r="D175" s="242">
        <f>B175*0.408333333333333/100</f>
        <v>0.40833333333333299</v>
      </c>
      <c r="E175" s="251" t="s">
        <v>455</v>
      </c>
      <c r="F175" s="258"/>
      <c r="G175" s="258"/>
      <c r="H175" s="258"/>
      <c r="I175" s="263"/>
      <c r="J175" s="263"/>
      <c r="K175" s="256" t="s">
        <v>454</v>
      </c>
      <c r="L175" s="242">
        <f>B175*46.8926666666667/100</f>
        <v>46.892666666666699</v>
      </c>
      <c r="M175" s="238">
        <f>B175*0.517/100</f>
        <v>0.51700000000000002</v>
      </c>
      <c r="N175" s="238">
        <f>B175*13.151/100</f>
        <v>13.151</v>
      </c>
      <c r="O175" s="238">
        <f>B175*9.96433333333333/100</f>
        <v>9.9643333333333306</v>
      </c>
      <c r="P175" s="238">
        <f>B175*0.103333333333333/100</f>
        <v>0.103333333333333</v>
      </c>
      <c r="Q175" s="238">
        <f>B175*20.937/100</f>
        <v>20.937000000000001</v>
      </c>
      <c r="R175" s="238">
        <f>B175*2.15333333333333/100</f>
        <v>2.1533333333333302</v>
      </c>
      <c r="S175" s="238">
        <f>B175*2.70433333333333/100</f>
        <v>2.7043333333333299</v>
      </c>
      <c r="T175" s="238">
        <f>B175*221.193/100</f>
        <v>221.19300000000004</v>
      </c>
      <c r="U175" s="238">
        <f>B175*0.027/100</f>
        <v>2.7000000000000003E-2</v>
      </c>
      <c r="V175" s="238">
        <f>B175*0.136333333333333/100</f>
        <v>0.136333333333333</v>
      </c>
      <c r="W175" s="269" t="s">
        <v>454</v>
      </c>
      <c r="X175" s="245" t="s">
        <v>455</v>
      </c>
      <c r="Y175" s="238">
        <f>B175*0.233/100</f>
        <v>0.23300000000000001</v>
      </c>
      <c r="Z175" s="238">
        <f>B175*0.37/100</f>
        <v>0.37</v>
      </c>
      <c r="AA175" s="245" t="s">
        <v>455</v>
      </c>
      <c r="AB175" s="238">
        <f>B175*4.26966666666667/100</f>
        <v>4.2696666666666703</v>
      </c>
    </row>
    <row r="176" spans="1:28">
      <c r="A176" s="232" t="s">
        <v>604</v>
      </c>
      <c r="B176" s="59">
        <v>100</v>
      </c>
      <c r="C176" s="239">
        <f>B176*52.5424826086957/100</f>
        <v>52.5424826086957</v>
      </c>
      <c r="D176" s="239">
        <f>B176*0.771739130434783/100</f>
        <v>0.77173913043478304</v>
      </c>
      <c r="E176" s="251" t="s">
        <v>455</v>
      </c>
      <c r="F176" s="258"/>
      <c r="G176" s="258"/>
      <c r="H176" s="258"/>
      <c r="I176" s="263"/>
      <c r="J176" s="263"/>
      <c r="K176" s="256" t="s">
        <v>454</v>
      </c>
      <c r="L176" s="242">
        <f>B176*13.8515942028986/100</f>
        <v>13.8515942028986</v>
      </c>
      <c r="M176" s="239">
        <f>B176*2.43333333333333/100</f>
        <v>2.43333333333333</v>
      </c>
      <c r="N176" s="239">
        <f>B176*5.72/100</f>
        <v>5.72</v>
      </c>
      <c r="O176" s="239">
        <f>B176*5.47666666666667/100</f>
        <v>5.4766666666666701</v>
      </c>
      <c r="P176" s="246">
        <f>B176*0.03/100</f>
        <v>0.03</v>
      </c>
      <c r="Q176" s="239">
        <f>B176*13.9166666666667/100</f>
        <v>13.9166666666667</v>
      </c>
      <c r="R176" s="239">
        <f>B176*0.103333333333333/100</f>
        <v>0.103333333333333</v>
      </c>
      <c r="S176" s="239" t="s">
        <v>455</v>
      </c>
      <c r="T176" s="239">
        <f>B176*134.053333333333/100</f>
        <v>134.053333333333</v>
      </c>
      <c r="U176" s="239">
        <f>B176*0.0566666666666667/100</f>
        <v>5.6666666666666698E-2</v>
      </c>
      <c r="V176" s="239">
        <f>B176*0.05/100</f>
        <v>0.05</v>
      </c>
      <c r="W176" s="269" t="s">
        <v>454</v>
      </c>
      <c r="X176" s="239">
        <f>B176*0.07/100</f>
        <v>7.0000000000000007E-2</v>
      </c>
      <c r="Y176" s="239" t="s">
        <v>455</v>
      </c>
      <c r="Z176" s="239">
        <f>B176*0.03</f>
        <v>3</v>
      </c>
      <c r="AA176" s="239" t="s">
        <v>455</v>
      </c>
      <c r="AB176" s="239">
        <f>B176*7.63/100</f>
        <v>7.63</v>
      </c>
    </row>
    <row r="177" spans="1:28">
      <c r="A177" s="232" t="s">
        <v>3111</v>
      </c>
      <c r="B177" s="59">
        <v>100</v>
      </c>
      <c r="C177" s="238">
        <f>B177*177.359185315371/100</f>
        <v>177.35918531537101</v>
      </c>
      <c r="D177" s="238">
        <f>B177*1.025/100</f>
        <v>1.0249999999999999</v>
      </c>
      <c r="E177" s="248">
        <f>B177*0.280333333333333/100</f>
        <v>0.28033333333333299</v>
      </c>
      <c r="F177" s="252">
        <f>B177*0.1/100</f>
        <v>0.1</v>
      </c>
      <c r="G177" s="252" t="s">
        <v>455</v>
      </c>
      <c r="H177" s="252">
        <f>B177*0.1/100</f>
        <v>0.1</v>
      </c>
      <c r="I177" s="263">
        <f>B177*0.07/100</f>
        <v>7.0000000000000007E-2</v>
      </c>
      <c r="J177" s="263">
        <f>B177*0.01/100</f>
        <v>0.01</v>
      </c>
      <c r="K177" s="256" t="s">
        <v>454</v>
      </c>
      <c r="L177" s="242">
        <f>B177*47.658/100</f>
        <v>47.658000000000001</v>
      </c>
      <c r="M177" s="238">
        <f>B177*4.54666666666667/100</f>
        <v>4.5466666666666704</v>
      </c>
      <c r="N177" s="238">
        <f>B177*39.237/100</f>
        <v>39.237000000000002</v>
      </c>
      <c r="O177" s="238">
        <f>B177*14.491/100</f>
        <v>14.491</v>
      </c>
      <c r="P177" s="238">
        <f>B177*0.197333333333333/100</f>
        <v>0.197333333333333</v>
      </c>
      <c r="Q177" s="238">
        <f>B177*26.0736666666667/100</f>
        <v>26.0736666666667</v>
      </c>
      <c r="R177" s="238">
        <f>B177*2.69766666666667/100</f>
        <v>2.6976666666666698</v>
      </c>
      <c r="S177" s="238">
        <f>B177*2.79033333333333/100</f>
        <v>2.7903333333333298</v>
      </c>
      <c r="T177" s="238">
        <f>B177*263.261333333333/100</f>
        <v>263.26133333333303</v>
      </c>
      <c r="U177" s="238">
        <f>B177*0.160666666666667/100</f>
        <v>0.16066666666666701</v>
      </c>
      <c r="V177" s="238">
        <f>B177*0.201333333333333/100</f>
        <v>0.201333333333333</v>
      </c>
      <c r="W177" s="269" t="s">
        <v>454</v>
      </c>
      <c r="X177" s="245" t="s">
        <v>455</v>
      </c>
      <c r="Y177" s="238">
        <f>B177*0.223333333333333/100</f>
        <v>0.223333333333333</v>
      </c>
      <c r="Z177" s="238">
        <f>B177*0.0833333333333333/100</f>
        <v>8.3333333333333301E-2</v>
      </c>
      <c r="AA177" s="245" t="s">
        <v>455</v>
      </c>
      <c r="AB177" s="238">
        <f>B177*5.15166666666667/100</f>
        <v>5.1516666666666699</v>
      </c>
    </row>
    <row r="178" spans="1:28">
      <c r="A178" s="232" t="s">
        <v>605</v>
      </c>
      <c r="B178" s="59">
        <v>100</v>
      </c>
      <c r="C178" s="238">
        <f>B178*96.9715874479214/100</f>
        <v>96.971587447921394</v>
      </c>
      <c r="D178" s="238">
        <f>B178*0.970833333333333/100</f>
        <v>0.97083333333333299</v>
      </c>
      <c r="E178" s="248">
        <f>B178*0.300333333333333/100</f>
        <v>0.30033333333333301</v>
      </c>
      <c r="F178" s="252">
        <f>B178*0.1/100</f>
        <v>0.1</v>
      </c>
      <c r="G178" s="252" t="s">
        <v>455</v>
      </c>
      <c r="H178" s="252">
        <f>B178*0.1/100</f>
        <v>0.1</v>
      </c>
      <c r="I178" s="263">
        <f>B178*0.06/100</f>
        <v>0.06</v>
      </c>
      <c r="J178" s="263">
        <f>B178*0.04/100</f>
        <v>0.04</v>
      </c>
      <c r="K178" s="256" t="s">
        <v>454</v>
      </c>
      <c r="L178" s="242">
        <f>B178*25.3321666666667/100</f>
        <v>25.332166666666705</v>
      </c>
      <c r="M178" s="238">
        <f>B178*2.13533333333333/100</f>
        <v>2.13533333333333</v>
      </c>
      <c r="N178" s="238">
        <f>B178*22.766/100</f>
        <v>22.765999999999998</v>
      </c>
      <c r="O178" s="238">
        <f>B178*24.8353333333333/100</f>
        <v>24.835333333333303</v>
      </c>
      <c r="P178" s="243">
        <f>B178*0.159333333333333/100</f>
        <v>0.15933333333333299</v>
      </c>
      <c r="Q178" s="238">
        <f>B178*23.3646666666667/100</f>
        <v>23.3646666666667</v>
      </c>
      <c r="R178" s="238">
        <f>B178*0.164166666666667/100</f>
        <v>0.16416666666666699</v>
      </c>
      <c r="S178" s="238">
        <f>B178*0.785/100</f>
        <v>0.78500000000000003</v>
      </c>
      <c r="T178" s="238">
        <f>B178*300.012666666667/100</f>
        <v>300.01266666666697</v>
      </c>
      <c r="U178" s="238">
        <f>B178*0.173/100</f>
        <v>0.17299999999999996</v>
      </c>
      <c r="V178" s="238">
        <f>B178*0.187666666666667/100</f>
        <v>0.18766666666666701</v>
      </c>
      <c r="W178" s="269" t="s">
        <v>454</v>
      </c>
      <c r="X178" s="238">
        <f>B178*0.0933333333333333/100</f>
        <v>9.333333333333331E-2</v>
      </c>
      <c r="Y178" s="243">
        <f>B178*0.07/100</f>
        <v>7.0000000000000007E-2</v>
      </c>
      <c r="Z178" s="243">
        <f>B178*0.07/100</f>
        <v>7.0000000000000007E-2</v>
      </c>
      <c r="AA178" s="243">
        <f>B178*1.58/100</f>
        <v>1.58</v>
      </c>
      <c r="AB178" s="238">
        <f>B178*10.1466666666667/100</f>
        <v>10.1466666666667</v>
      </c>
    </row>
    <row r="179" spans="1:28">
      <c r="A179" s="232" t="s">
        <v>606</v>
      </c>
      <c r="B179" s="59">
        <v>100</v>
      </c>
      <c r="C179" s="239">
        <f>B179*128.024452173913/100</f>
        <v>128.02445217391301</v>
      </c>
      <c r="D179" s="239">
        <f>B179*1.43478260869565/100</f>
        <v>1.4347826086956501</v>
      </c>
      <c r="E179" s="246">
        <f>B179*0.24/100</f>
        <v>0.24</v>
      </c>
      <c r="F179" s="252"/>
      <c r="G179" s="252"/>
      <c r="H179" s="252"/>
      <c r="I179" s="263"/>
      <c r="J179" s="263"/>
      <c r="K179" s="256" t="s">
        <v>454</v>
      </c>
      <c r="L179" s="242">
        <f>B179*33.6652173913044/100</f>
        <v>33.665217391304402</v>
      </c>
      <c r="M179" s="239">
        <f>B179*1.52666666666667/100</f>
        <v>1.5266666666666699</v>
      </c>
      <c r="N179" s="239">
        <f>B179*4.15/100</f>
        <v>4.1500000000000004</v>
      </c>
      <c r="O179" s="239">
        <f>B179*23.7866666666667/100</f>
        <v>23.786666666666701</v>
      </c>
      <c r="P179" s="239">
        <f>B179*0.163333333333333/100</f>
        <v>0.163333333333333</v>
      </c>
      <c r="Q179" s="239">
        <f>B179*25.5166666666667/100</f>
        <v>25.516666666666701</v>
      </c>
      <c r="R179" s="239">
        <f>B179*0.293333333333333/100</f>
        <v>0.293333333333333</v>
      </c>
      <c r="S179" s="239" t="s">
        <v>455</v>
      </c>
      <c r="T179" s="239">
        <f>B179*328.03/100</f>
        <v>328.03</v>
      </c>
      <c r="U179" s="239">
        <f>B179*0.0533333333333333/100</f>
        <v>5.3333333333333302E-2</v>
      </c>
      <c r="V179" s="239">
        <f>B179*0.16/100</f>
        <v>0.16</v>
      </c>
      <c r="W179" s="269" t="s">
        <v>454</v>
      </c>
      <c r="X179" s="239">
        <f>B179*0.03/100</f>
        <v>0.03</v>
      </c>
      <c r="Y179" s="239">
        <f>B179*0.02/100</f>
        <v>0.02</v>
      </c>
      <c r="Z179" s="239">
        <f>B179*0.14/100</f>
        <v>0.14000000000000001</v>
      </c>
      <c r="AA179" s="239" t="s">
        <v>455</v>
      </c>
      <c r="AB179" s="239">
        <f>B179*15.7466666666667/100</f>
        <v>15.7466666666667</v>
      </c>
    </row>
    <row r="180" spans="1:28">
      <c r="A180" s="222" t="s">
        <v>3112</v>
      </c>
      <c r="B180" s="59">
        <v>100</v>
      </c>
      <c r="C180" s="247">
        <f>B180*280.105192550639/100</f>
        <v>280.105192550639</v>
      </c>
      <c r="D180" s="247">
        <f>B180*2.16875/100</f>
        <v>2.1687500000000002</v>
      </c>
      <c r="E180" s="244">
        <f>B180*0.05/100</f>
        <v>0.05</v>
      </c>
      <c r="F180" s="252"/>
      <c r="G180" s="252"/>
      <c r="H180" s="252"/>
      <c r="I180" s="263"/>
      <c r="J180" s="263"/>
      <c r="K180" s="258" t="s">
        <v>454</v>
      </c>
      <c r="L180" s="247">
        <f>B180*75.6665833333333/100</f>
        <v>75.666583333333307</v>
      </c>
      <c r="M180" s="244">
        <f>B180*3.83333333333333/100</f>
        <v>3.8333333333333299</v>
      </c>
      <c r="N180" s="244">
        <f>B180*11.9503333333333/100</f>
        <v>11.950333333333299</v>
      </c>
      <c r="O180" s="244">
        <f>B180*49.194/100</f>
        <v>49.194000000000003</v>
      </c>
      <c r="P180" s="244">
        <f>B180*0.839333333333333/100</f>
        <v>0.83933333333333304</v>
      </c>
      <c r="Q180" s="244">
        <f>B180*36.876/100</f>
        <v>36.875999999999998</v>
      </c>
      <c r="R180" s="244">
        <f>B180*0.613/100</f>
        <v>0.61299999999999999</v>
      </c>
      <c r="S180" s="244">
        <f>B180*9.88233333333333/100</f>
        <v>9.8823333333333299</v>
      </c>
      <c r="T180" s="244">
        <f>B180*518.25/100</f>
        <v>518.25</v>
      </c>
      <c r="U180" s="244">
        <f>B180*0.164666666666667/100</f>
        <v>0.16466666666666702</v>
      </c>
      <c r="V180" s="244">
        <f>B180*0.302/100</f>
        <v>0.30199999999999999</v>
      </c>
      <c r="W180" s="258" t="s">
        <v>454</v>
      </c>
      <c r="X180" s="244">
        <f>B180*0.03/100</f>
        <v>0.03</v>
      </c>
      <c r="Y180" s="244" t="s">
        <v>455</v>
      </c>
      <c r="Z180" s="244">
        <f>B180*0.0566666666666667/100</f>
        <v>5.6666666666666698E-2</v>
      </c>
      <c r="AA180" s="244">
        <f>B180*1.41/100</f>
        <v>1.41</v>
      </c>
      <c r="AB180" s="244" t="s">
        <v>455</v>
      </c>
    </row>
    <row r="181" spans="1:28">
      <c r="A181" s="232" t="s">
        <v>607</v>
      </c>
      <c r="B181" s="59">
        <v>100</v>
      </c>
      <c r="C181" s="239">
        <f>B181*105.08265/100</f>
        <v>105.08265</v>
      </c>
      <c r="D181" s="239">
        <f>B181*1.13125/100</f>
        <v>1.1312500000000001</v>
      </c>
      <c r="E181" s="248">
        <f>B181*0.141666666666667/100</f>
        <v>0.141666666666667</v>
      </c>
      <c r="F181" s="252"/>
      <c r="G181" s="252"/>
      <c r="H181" s="252"/>
      <c r="I181" s="263"/>
      <c r="J181" s="263"/>
      <c r="K181" s="256" t="s">
        <v>454</v>
      </c>
      <c r="L181" s="242">
        <f>B181*27.8044166666667/100</f>
        <v>27.804416666666704</v>
      </c>
      <c r="M181" s="239">
        <f>B181*2.8/100</f>
        <v>2.8</v>
      </c>
      <c r="N181" s="239">
        <f>B181*6.35633333333333/100</f>
        <v>6.3563333333333301</v>
      </c>
      <c r="O181" s="239">
        <f>B181*30.1613333333333/100</f>
        <v>30.1613333333333</v>
      </c>
      <c r="P181" s="239">
        <f>B181*0.213666666666667/100</f>
        <v>0.213666666666667</v>
      </c>
      <c r="Q181" s="239">
        <f>B181*15.8216666666667/100</f>
        <v>15.821666666666699</v>
      </c>
      <c r="R181" s="239">
        <f>B181*0.198/100</f>
        <v>0.19800000000000001</v>
      </c>
      <c r="S181" s="239" t="s">
        <v>455</v>
      </c>
      <c r="T181" s="239">
        <f>B181*386.591666666667/100</f>
        <v>386.59166666666698</v>
      </c>
      <c r="U181" s="239">
        <f>B181*0.064/100</f>
        <v>6.4000000000000001E-2</v>
      </c>
      <c r="V181" s="239">
        <f>B181*0.122666666666667/100</f>
        <v>0.12266666666666701</v>
      </c>
      <c r="W181" s="269" t="s">
        <v>454</v>
      </c>
      <c r="X181" s="239">
        <f>B181*0.09/100</f>
        <v>0.09</v>
      </c>
      <c r="Y181" s="239" t="s">
        <v>455</v>
      </c>
      <c r="Z181" s="239">
        <f>B181*0.03/100</f>
        <v>0.03</v>
      </c>
      <c r="AA181" s="239" t="s">
        <v>455</v>
      </c>
      <c r="AB181" s="239">
        <f>B181*17.4966666666667/100</f>
        <v>17.496666666666702</v>
      </c>
    </row>
    <row r="182" spans="1:28">
      <c r="A182" s="232" t="s">
        <v>608</v>
      </c>
      <c r="B182" s="59">
        <v>100</v>
      </c>
      <c r="C182" s="239">
        <f>B182*86.8053304347826/100</f>
        <v>86.805330434782604</v>
      </c>
      <c r="D182" s="239">
        <f>B182*1.7536231884058/100</f>
        <v>1.7536231884058</v>
      </c>
      <c r="E182" s="246">
        <f>B182*0.06/100</f>
        <v>0.06</v>
      </c>
      <c r="F182" s="252"/>
      <c r="G182" s="252"/>
      <c r="H182" s="252"/>
      <c r="I182" s="263"/>
      <c r="J182" s="263"/>
      <c r="K182" s="256" t="s">
        <v>454</v>
      </c>
      <c r="L182" s="242">
        <f>B182*22.3363768115942/100</f>
        <v>22.336376811594199</v>
      </c>
      <c r="M182" s="239">
        <f>B182*2.59333333333333/100</f>
        <v>2.5933333333333302</v>
      </c>
      <c r="N182" s="239">
        <f>B182*3.22/100</f>
        <v>3.22</v>
      </c>
      <c r="O182" s="239">
        <f>B182*23.6866666666667/100</f>
        <v>23.686666666666703</v>
      </c>
      <c r="P182" s="239">
        <f>B182*0.596666666666667/100</f>
        <v>0.59666666666666701</v>
      </c>
      <c r="Q182" s="239">
        <f>B182*28.6833333333333/100</f>
        <v>28.683333333333302</v>
      </c>
      <c r="R182" s="239">
        <f>B182*0.203333333333333/100</f>
        <v>0.20333333333333301</v>
      </c>
      <c r="S182" s="239" t="s">
        <v>455</v>
      </c>
      <c r="T182" s="239">
        <f>B182*264.386666666667/100</f>
        <v>264.386666666667</v>
      </c>
      <c r="U182" s="239">
        <f>B182*0.11/100</f>
        <v>0.11</v>
      </c>
      <c r="V182" s="239">
        <f>B182*0.12/100</f>
        <v>0.12</v>
      </c>
      <c r="W182" s="269" t="s">
        <v>454</v>
      </c>
      <c r="X182" s="239" t="s">
        <v>455</v>
      </c>
      <c r="Y182" s="239" t="s">
        <v>455</v>
      </c>
      <c r="Z182" s="239">
        <f>B182*0.143333333333333/100</f>
        <v>0.14333333333333301</v>
      </c>
      <c r="AA182" s="239" t="s">
        <v>455</v>
      </c>
      <c r="AB182" s="239">
        <f>B182*10.4666666666667/100</f>
        <v>10.466666666666702</v>
      </c>
    </row>
    <row r="183" spans="1:28">
      <c r="A183" s="232" t="s">
        <v>609</v>
      </c>
      <c r="B183" s="59">
        <v>100</v>
      </c>
      <c r="C183" s="239">
        <f>B183*91.528847826087/100</f>
        <v>91.528847826087002</v>
      </c>
      <c r="D183" s="239">
        <f>B183*1.39855072463768/100</f>
        <v>1.39855072463768</v>
      </c>
      <c r="E183" s="246">
        <f>B183*0.116666666666667/100</f>
        <v>0.116666666666667</v>
      </c>
      <c r="F183" s="252"/>
      <c r="G183" s="252"/>
      <c r="H183" s="252"/>
      <c r="I183" s="263"/>
      <c r="J183" s="263"/>
      <c r="K183" s="256" t="s">
        <v>454</v>
      </c>
      <c r="L183" s="242">
        <f>B183*23.848115942029/100</f>
        <v>23.848115942028997</v>
      </c>
      <c r="M183" s="239">
        <f>B183*1.94666666666667/100</f>
        <v>1.9466666666666699</v>
      </c>
      <c r="N183" s="239">
        <f>B183*3.41666666666667/100</f>
        <v>3.4166666666666701</v>
      </c>
      <c r="O183" s="239">
        <f>B183*27.7966666666667/100</f>
        <v>27.796666666666695</v>
      </c>
      <c r="P183" s="239">
        <f>B183*0.14/100</f>
        <v>0.14000000000000001</v>
      </c>
      <c r="Q183" s="239">
        <f>B183*26.72/100</f>
        <v>26.72</v>
      </c>
      <c r="R183" s="239">
        <f>B183*0.346666666666667/100</f>
        <v>0.34666666666666701</v>
      </c>
      <c r="S183" s="239" t="s">
        <v>455</v>
      </c>
      <c r="T183" s="239">
        <f>B183*376.47/100</f>
        <v>376.47</v>
      </c>
      <c r="U183" s="239">
        <f>B183*0.103333333333333/100</f>
        <v>0.103333333333333</v>
      </c>
      <c r="V183" s="239">
        <f>B183*0.176666666666667/100</f>
        <v>0.176666666666667</v>
      </c>
      <c r="W183" s="269" t="s">
        <v>454</v>
      </c>
      <c r="X183" s="239" t="s">
        <v>455</v>
      </c>
      <c r="Y183" s="239">
        <f>B183*0.02/100</f>
        <v>0.02</v>
      </c>
      <c r="Z183" s="239">
        <f>B183*0.143333333333333/100</f>
        <v>0.14333333333333301</v>
      </c>
      <c r="AA183" s="239" t="s">
        <v>455</v>
      </c>
      <c r="AB183" s="239">
        <f>B183*5.86/100</f>
        <v>5.86</v>
      </c>
    </row>
    <row r="184" spans="1:28">
      <c r="A184" s="232" t="s">
        <v>610</v>
      </c>
      <c r="B184" s="59">
        <v>100</v>
      </c>
      <c r="C184" s="239">
        <f>B184*112.366047826087/100</f>
        <v>112.366047826087</v>
      </c>
      <c r="D184" s="239">
        <f>B184*1.48188405797101/100</f>
        <v>1.4818840579710097</v>
      </c>
      <c r="E184" s="246">
        <f>B184*0.21/100</f>
        <v>0.21</v>
      </c>
      <c r="F184" s="252"/>
      <c r="G184" s="252"/>
      <c r="H184" s="252"/>
      <c r="I184" s="263"/>
      <c r="J184" s="263"/>
      <c r="K184" s="256" t="s">
        <v>454</v>
      </c>
      <c r="L184" s="242">
        <f>B184*29.3414492753623/100</f>
        <v>29.341449275362301</v>
      </c>
      <c r="M184" s="239">
        <f>B184*1.95333333333333/100</f>
        <v>1.95333333333333</v>
      </c>
      <c r="N184" s="239">
        <f>B184*3.18666666666667/100</f>
        <v>3.1866666666666701</v>
      </c>
      <c r="O184" s="239">
        <f>B184*28.3833333333333/100</f>
        <v>28.383333333333304</v>
      </c>
      <c r="P184" s="239">
        <f>B184*0.09/100</f>
        <v>0.09</v>
      </c>
      <c r="Q184" s="239">
        <f>B184*22.27/100</f>
        <v>22.27</v>
      </c>
      <c r="R184" s="239">
        <f>B184*0.336666666666667/100</f>
        <v>0.336666666666667</v>
      </c>
      <c r="S184" s="239" t="s">
        <v>455</v>
      </c>
      <c r="T184" s="239">
        <f>B184*354.81/100</f>
        <v>354.81</v>
      </c>
      <c r="U184" s="239">
        <f>B184*0.0766666666666667/100</f>
        <v>7.6666666666666702E-2</v>
      </c>
      <c r="V184" s="239">
        <f>B184*0.256666666666667/100</f>
        <v>0.25666666666666699</v>
      </c>
      <c r="W184" s="269" t="s">
        <v>454</v>
      </c>
      <c r="X184" s="239" t="s">
        <v>455</v>
      </c>
      <c r="Y184" s="239" t="s">
        <v>455</v>
      </c>
      <c r="Z184" s="239">
        <f>B184*0.143333333333333/100</f>
        <v>0.14333333333333301</v>
      </c>
      <c r="AA184" s="239" t="s">
        <v>455</v>
      </c>
      <c r="AB184" s="239">
        <f>B184*7.55666666666667/100</f>
        <v>7.5566666666666693</v>
      </c>
    </row>
    <row r="185" spans="1:28">
      <c r="A185" s="234" t="s">
        <v>611</v>
      </c>
      <c r="B185" s="59">
        <v>100</v>
      </c>
      <c r="C185" s="238">
        <f>B185*77.9095279250741/100</f>
        <v>77.909527925074102</v>
      </c>
      <c r="D185" s="238">
        <f>B185*1.22708333333333/100</f>
        <v>1.22708333333333</v>
      </c>
      <c r="E185" s="248">
        <f>B185*0.079/100</f>
        <v>7.9000000000000001E-2</v>
      </c>
      <c r="F185" s="252"/>
      <c r="G185" s="252"/>
      <c r="H185" s="252"/>
      <c r="I185" s="263"/>
      <c r="J185" s="263"/>
      <c r="K185" s="256" t="s">
        <v>454</v>
      </c>
      <c r="L185" s="242">
        <f>B185*20.3125833333333/100</f>
        <v>20.312583333333301</v>
      </c>
      <c r="M185" s="243">
        <f>B185*2.03033333333333/100</f>
        <v>2.03033333333333</v>
      </c>
      <c r="N185" s="243">
        <f>B185*5.49033333333333/100</f>
        <v>5.4903333333333304</v>
      </c>
      <c r="O185" s="243">
        <f>B185*30.4123333333333/100</f>
        <v>30.412333333333301</v>
      </c>
      <c r="P185" s="243">
        <f>B185*0.407333333333333/100</f>
        <v>0.40733333333333299</v>
      </c>
      <c r="Q185" s="243">
        <f>B185*19.753/100</f>
        <v>19.753</v>
      </c>
      <c r="R185" s="243">
        <f>B185*0.374666666666667/100</f>
        <v>0.37466666666666698</v>
      </c>
      <c r="S185" s="243">
        <f>B185*0.938666666666667/100</f>
        <v>0.93866666666666698</v>
      </c>
      <c r="T185" s="243">
        <f>B185*267.35/100</f>
        <v>267.35000000000002</v>
      </c>
      <c r="U185" s="243">
        <f>B185*0.0643333333333333/100</f>
        <v>6.4333333333333298E-2</v>
      </c>
      <c r="V185" s="243">
        <f>B185*0.135333333333333/100</f>
        <v>0.135333333333333</v>
      </c>
      <c r="W185" s="269" t="s">
        <v>454</v>
      </c>
      <c r="X185" s="243">
        <f>B185*0.05/100</f>
        <v>0.05</v>
      </c>
      <c r="Y185" s="243">
        <f>B185*0.03/100</f>
        <v>0.03</v>
      </c>
      <c r="Z185" s="243">
        <f>B185*0.17/100</f>
        <v>0.17</v>
      </c>
      <c r="AA185" s="245" t="s">
        <v>455</v>
      </c>
      <c r="AB185" s="245" t="s">
        <v>455</v>
      </c>
    </row>
    <row r="186" spans="1:28">
      <c r="A186" s="232" t="s">
        <v>612</v>
      </c>
      <c r="B186" s="59">
        <v>100</v>
      </c>
      <c r="C186" s="239">
        <f>B186*98.2497021739131/100</f>
        <v>98.249702173913107</v>
      </c>
      <c r="D186" s="239">
        <f>B186*1.26811594202899/100</f>
        <v>1.26811594202899</v>
      </c>
      <c r="E186" s="246">
        <f>B186*0.065/100</f>
        <v>6.5000000000000002E-2</v>
      </c>
      <c r="F186" s="252"/>
      <c r="G186" s="252"/>
      <c r="H186" s="252"/>
      <c r="I186" s="263"/>
      <c r="J186" s="263"/>
      <c r="K186" s="256" t="s">
        <v>454</v>
      </c>
      <c r="L186" s="242">
        <f>B186*25.956884057971/100</f>
        <v>25.956884057971003</v>
      </c>
      <c r="M186" s="239">
        <f>B186*2.04333333333333/100</f>
        <v>2.0433333333333299</v>
      </c>
      <c r="N186" s="239">
        <f>B186*7.56333333333333/100</f>
        <v>7.5633333333333299</v>
      </c>
      <c r="O186" s="239">
        <f>B186*26.29/100</f>
        <v>26.29</v>
      </c>
      <c r="P186" s="239">
        <f>B186*0.416666666666667/100</f>
        <v>0.41666666666666702</v>
      </c>
      <c r="Q186" s="239">
        <f>B186*22.1966666666667/100</f>
        <v>22.196666666666701</v>
      </c>
      <c r="R186" s="239">
        <f>B186*0.38/100</f>
        <v>0.38</v>
      </c>
      <c r="S186" s="239" t="s">
        <v>455</v>
      </c>
      <c r="T186" s="239">
        <f>B186*357.676666666667/100</f>
        <v>357.67666666666702</v>
      </c>
      <c r="U186" s="239">
        <f>B186*0.0533333333333333/100</f>
        <v>5.3333333333333302E-2</v>
      </c>
      <c r="V186" s="239">
        <f>B186*0.146666666666667/100</f>
        <v>0.146666666666667</v>
      </c>
      <c r="W186" s="269" t="s">
        <v>454</v>
      </c>
      <c r="X186" s="239" t="s">
        <v>455</v>
      </c>
      <c r="Y186" s="239">
        <f>B186*0.02/100</f>
        <v>0.02</v>
      </c>
      <c r="Z186" s="239">
        <f>B186*0.1/100</f>
        <v>0.1</v>
      </c>
      <c r="AA186" s="239" t="s">
        <v>455</v>
      </c>
      <c r="AB186" s="239">
        <f>B186*21.59/100</f>
        <v>21.59</v>
      </c>
    </row>
    <row r="187" spans="1:28">
      <c r="A187" s="232" t="s">
        <v>613</v>
      </c>
      <c r="B187" s="59">
        <v>100</v>
      </c>
      <c r="C187" s="239">
        <f>B187*74.29148/100</f>
        <v>74.291480000000007</v>
      </c>
      <c r="D187" s="239">
        <f>B187*0.954166666666666/100</f>
        <v>0.95416666666666605</v>
      </c>
      <c r="E187" s="248">
        <f>B187*0.144/100</f>
        <v>0.14399999999999999</v>
      </c>
      <c r="F187" s="252"/>
      <c r="G187" s="252"/>
      <c r="H187" s="252"/>
      <c r="I187" s="263"/>
      <c r="J187" s="263"/>
      <c r="K187" s="256" t="s">
        <v>454</v>
      </c>
      <c r="L187" s="242">
        <f>B187*19.4111666666667/100</f>
        <v>19.411166666666698</v>
      </c>
      <c r="M187" s="239">
        <f>B187*2.189/100</f>
        <v>2.1890000000000001</v>
      </c>
      <c r="N187" s="239">
        <f>B187*12.1046666666667/100</f>
        <v>12.1046666666667</v>
      </c>
      <c r="O187" s="239">
        <f>B187*24.6163333333333/100</f>
        <v>24.616333333333301</v>
      </c>
      <c r="P187" s="248">
        <f>B187*0.035/100</f>
        <v>3.5000000000000003E-2</v>
      </c>
      <c r="Q187" s="239">
        <f>B187*9.33733333333333/100</f>
        <v>9.3373333333333299</v>
      </c>
      <c r="R187" s="239">
        <f>B187*0.258333333333333/100</f>
        <v>0.25833333333333303</v>
      </c>
      <c r="S187" s="239">
        <f>B187*0.700333333333333/100</f>
        <v>0.70033333333333303</v>
      </c>
      <c r="T187" s="239">
        <f>B187*71.644/100</f>
        <v>71.644000000000005</v>
      </c>
      <c r="U187" s="239">
        <f>B187*0.146666666666667/100</f>
        <v>0.146666666666667</v>
      </c>
      <c r="V187" s="239">
        <f>B187*0.587666666666667/100</f>
        <v>0.587666666666667</v>
      </c>
      <c r="W187" s="269" t="s">
        <v>454</v>
      </c>
      <c r="X187" s="238">
        <f>B187*0.246666666666667/100</f>
        <v>0.24666666666666701</v>
      </c>
      <c r="Y187" s="242" t="s">
        <v>455</v>
      </c>
      <c r="Z187" s="238">
        <f>B187*0.04/100</f>
        <v>0.04</v>
      </c>
      <c r="AA187" s="242" t="s">
        <v>455</v>
      </c>
      <c r="AB187" s="238">
        <f>B187*13.5633333333333/100</f>
        <v>13.563333333333301</v>
      </c>
    </row>
    <row r="188" spans="1:28">
      <c r="A188" s="232" t="s">
        <v>614</v>
      </c>
      <c r="B188" s="59">
        <v>100</v>
      </c>
      <c r="C188" s="238">
        <f>B188*45.5809687737227/100</f>
        <v>45.580968773722709</v>
      </c>
      <c r="D188" s="238">
        <f>B188*1.27916666666667/100</f>
        <v>1.2791666666666699</v>
      </c>
      <c r="E188" s="251" t="s">
        <v>455</v>
      </c>
      <c r="F188" s="252"/>
      <c r="G188" s="252"/>
      <c r="H188" s="252"/>
      <c r="I188" s="263"/>
      <c r="J188" s="263"/>
      <c r="K188" s="256" t="s">
        <v>454</v>
      </c>
      <c r="L188" s="242">
        <f>B188*11.4341666666667/100</f>
        <v>11.4341666666667</v>
      </c>
      <c r="M188" s="238">
        <f>B188*2.57533333333333/100</f>
        <v>2.5753333333333304</v>
      </c>
      <c r="N188" s="243">
        <f>B188*12.744/100</f>
        <v>12.744000000000002</v>
      </c>
      <c r="O188" s="238">
        <f>B188*11.284/100</f>
        <v>11.284000000000001</v>
      </c>
      <c r="P188" s="248">
        <f>B188*0.0496666666666667/100</f>
        <v>4.9666666666666706E-2</v>
      </c>
      <c r="Q188" s="243">
        <f>B188*24.4696666666667/100</f>
        <v>24.469666666666697</v>
      </c>
      <c r="R188" s="238">
        <f>B188*0.154333333333333/100</f>
        <v>0.15433333333333299</v>
      </c>
      <c r="S188" s="238">
        <f>B188*1.43866666666667/100</f>
        <v>1.4386666666666701</v>
      </c>
      <c r="T188" s="238">
        <f>B188*119.399/100</f>
        <v>119.399</v>
      </c>
      <c r="U188" s="238">
        <f>B188*0.0243333333333333/100</f>
        <v>2.4333333333333301E-2</v>
      </c>
      <c r="V188" s="238">
        <f>B188*0.181/100</f>
        <v>0.18099999999999997</v>
      </c>
      <c r="W188" s="269" t="s">
        <v>454</v>
      </c>
      <c r="X188" s="238">
        <f>B188*0.11/100</f>
        <v>0.11</v>
      </c>
      <c r="Y188" s="245" t="s">
        <v>455</v>
      </c>
      <c r="Z188" s="238">
        <f>B188*0.05/100</f>
        <v>0.05</v>
      </c>
      <c r="AA188" s="245" t="s">
        <v>455</v>
      </c>
      <c r="AB188" s="238">
        <f>B188*26.6966666666667/100</f>
        <v>26.696666666666701</v>
      </c>
    </row>
    <row r="189" spans="1:28">
      <c r="A189" s="222" t="s">
        <v>3113</v>
      </c>
      <c r="B189" s="59">
        <v>100</v>
      </c>
      <c r="C189" s="247">
        <f>B189*26.3322693110506/100</f>
        <v>26.332269311050599</v>
      </c>
      <c r="D189" s="247">
        <f>B189*0.589583333333333/100</f>
        <v>0.58958333333333302</v>
      </c>
      <c r="E189" s="244">
        <f>B189*0.167666666666667/100</f>
        <v>0.16766666666666696</v>
      </c>
      <c r="F189" s="252"/>
      <c r="G189" s="252"/>
      <c r="H189" s="252"/>
      <c r="I189" s="263"/>
      <c r="J189" s="263"/>
      <c r="K189" s="258" t="s">
        <v>454</v>
      </c>
      <c r="L189" s="247">
        <f>B189*6.37441666666666/100</f>
        <v>6.3744166666666588</v>
      </c>
      <c r="M189" s="244">
        <f>B189*1.36/100</f>
        <v>1.36</v>
      </c>
      <c r="N189" s="244">
        <f>B189*9.16066666666667/100</f>
        <v>9.1606666666666694</v>
      </c>
      <c r="O189" s="244">
        <f>B189*7.17133333333333/100</f>
        <v>7.1713333333333296</v>
      </c>
      <c r="P189" s="244">
        <f>B189*0.07/100</f>
        <v>7.0000000000000007E-2</v>
      </c>
      <c r="Q189" s="244">
        <f>B189*25.655/100</f>
        <v>25.655000000000001</v>
      </c>
      <c r="R189" s="244">
        <f>B189*0.322333333333333/100</f>
        <v>0.32233333333333308</v>
      </c>
      <c r="S189" s="244">
        <f>B189*6.945/100</f>
        <v>6.9450000000000003</v>
      </c>
      <c r="T189" s="244">
        <f>B189*148.075/100</f>
        <v>148.07499999999999</v>
      </c>
      <c r="U189" s="244">
        <f>B189*0.0986666666666667/100</f>
        <v>9.8666666666666694E-2</v>
      </c>
      <c r="V189" s="244">
        <f>B189*0.054/100</f>
        <v>5.4000000000000006E-2</v>
      </c>
      <c r="W189" s="258" t="s">
        <v>454</v>
      </c>
      <c r="X189" s="244">
        <f>B189*0.04/100</f>
        <v>0.04</v>
      </c>
      <c r="Y189" s="244" t="s">
        <v>455</v>
      </c>
      <c r="Z189" s="244" t="s">
        <v>455</v>
      </c>
      <c r="AA189" s="244" t="s">
        <v>455</v>
      </c>
      <c r="AB189" s="244" t="s">
        <v>455</v>
      </c>
    </row>
    <row r="190" spans="1:28">
      <c r="A190" s="232" t="s">
        <v>615</v>
      </c>
      <c r="B190" s="59">
        <v>100</v>
      </c>
      <c r="C190" s="239">
        <f>B190*43.0650685217391/100</f>
        <v>43.065068521739107</v>
      </c>
      <c r="D190" s="239">
        <f>B190*0.971014492753623/100</f>
        <v>0.97101449275362295</v>
      </c>
      <c r="E190" s="246">
        <f>B190*0.33/100</f>
        <v>0.33</v>
      </c>
      <c r="F190" s="252"/>
      <c r="G190" s="252"/>
      <c r="H190" s="252"/>
      <c r="I190" s="263"/>
      <c r="J190" s="263"/>
      <c r="K190" s="256" t="s">
        <v>454</v>
      </c>
      <c r="L190" s="242">
        <f>B190*10.2889888405797/100</f>
        <v>10.2889888405797</v>
      </c>
      <c r="M190" s="239">
        <f>B190*1.68/100</f>
        <v>1.68</v>
      </c>
      <c r="N190" s="239">
        <f>B190*1.41666666666667/100</f>
        <v>1.4166666666666701</v>
      </c>
      <c r="O190" s="239">
        <f>B190*10.11/100</f>
        <v>10.11</v>
      </c>
      <c r="P190" s="239">
        <f>B190*0.12/100</f>
        <v>0.12</v>
      </c>
      <c r="Q190" s="239">
        <f>B190*15.6366666666667/100</f>
        <v>15.636666666666702</v>
      </c>
      <c r="R190" s="239">
        <f>B190*0.153333333333333/100</f>
        <v>0.15333333333333299</v>
      </c>
      <c r="S190" s="239">
        <f>B190*2.96666666666667/100</f>
        <v>2.9666666666666699</v>
      </c>
      <c r="T190" s="239">
        <f>B190*123.86/100</f>
        <v>123.86</v>
      </c>
      <c r="U190" s="239">
        <f>B190*0.0733333333333333/100</f>
        <v>7.3333333333333306E-2</v>
      </c>
      <c r="V190" s="239">
        <f>B190*0.09/100</f>
        <v>0.09</v>
      </c>
      <c r="W190" s="269" t="s">
        <v>454</v>
      </c>
      <c r="X190" s="239" t="s">
        <v>455</v>
      </c>
      <c r="Y190" s="239" t="s">
        <v>455</v>
      </c>
      <c r="Z190" s="239" t="s">
        <v>455</v>
      </c>
      <c r="AA190" s="240" t="s">
        <v>455</v>
      </c>
      <c r="AB190" s="239">
        <f>B190*219.333333333333/100</f>
        <v>219.333333333333</v>
      </c>
    </row>
    <row r="191" spans="1:28">
      <c r="A191" s="232" t="s">
        <v>616</v>
      </c>
      <c r="B191" s="59">
        <v>100</v>
      </c>
      <c r="C191" s="238">
        <f>B191*36.56868/100</f>
        <v>36.568680000000001</v>
      </c>
      <c r="D191" s="242">
        <f>B191*0.48125/100</f>
        <v>0.48125000000000001</v>
      </c>
      <c r="E191" s="248">
        <f>B191*0.154/100</f>
        <v>0.154</v>
      </c>
      <c r="F191" s="252"/>
      <c r="G191" s="252"/>
      <c r="H191" s="252"/>
      <c r="I191" s="263"/>
      <c r="J191" s="263"/>
      <c r="K191" s="256" t="s">
        <v>454</v>
      </c>
      <c r="L191" s="242">
        <f>B191*9.35074999999999/100</f>
        <v>9.3507499999999908</v>
      </c>
      <c r="M191" s="238">
        <f>B191*0.814666666666667/100</f>
        <v>0.81466666666666698</v>
      </c>
      <c r="N191" s="238">
        <f>B191*0.839333333333333/100</f>
        <v>0.83933333333333304</v>
      </c>
      <c r="O191" s="238">
        <f>B191*7.07166666666667/100</f>
        <v>7.0716666666666699</v>
      </c>
      <c r="P191" s="238">
        <f>B191*0.0536666666666667/100</f>
        <v>5.366666666666671E-2</v>
      </c>
      <c r="Q191" s="238">
        <f>B191*9.77333333333333/100</f>
        <v>9.7733333333333299</v>
      </c>
      <c r="R191" s="238">
        <f>B191*0.146666666666667/100</f>
        <v>0.146666666666667</v>
      </c>
      <c r="S191" s="238">
        <f>B191*4.16166666666667/100</f>
        <v>4.1616666666666697</v>
      </c>
      <c r="T191" s="238">
        <f>B191*87.6633333333333/100</f>
        <v>87.663333333333298</v>
      </c>
      <c r="U191" s="238">
        <f>B191*0.0666666666666667/100</f>
        <v>6.6666666666666693E-2</v>
      </c>
      <c r="V191" s="238">
        <f>B191*0.0836666666666667/100</f>
        <v>8.3666666666666695E-2</v>
      </c>
      <c r="W191" s="269" t="s">
        <v>454</v>
      </c>
      <c r="X191" s="242" t="s">
        <v>455</v>
      </c>
      <c r="Y191" s="238">
        <f>B191*0.023/100</f>
        <v>2.3E-2</v>
      </c>
      <c r="Z191" s="242" t="s">
        <v>455</v>
      </c>
      <c r="AA191" s="238">
        <f>B191*2.24666666666667/100</f>
        <v>2.2466666666666701</v>
      </c>
      <c r="AB191" s="238">
        <f>B191*119.719333333333/100</f>
        <v>119.719333333333</v>
      </c>
    </row>
    <row r="192" spans="1:28">
      <c r="A192" s="232" t="s">
        <v>617</v>
      </c>
      <c r="B192" s="59">
        <v>100</v>
      </c>
      <c r="C192" s="238">
        <f>B192*45.1086266666667/100</f>
        <v>45.108626666666709</v>
      </c>
      <c r="D192" s="242">
        <f>B192*0.404166666666667/100</f>
        <v>0.40416666666666701</v>
      </c>
      <c r="E192" s="248">
        <f>B192*0.2/100</f>
        <v>0.2</v>
      </c>
      <c r="F192" s="252"/>
      <c r="G192" s="252"/>
      <c r="H192" s="252"/>
      <c r="I192" s="263"/>
      <c r="J192" s="263"/>
      <c r="K192" s="256" t="s">
        <v>454</v>
      </c>
      <c r="L192" s="242">
        <f>B192*10.7338333333333/100</f>
        <v>10.733833333333301</v>
      </c>
      <c r="M192" s="238">
        <f>B192*0.626/100</f>
        <v>0.626</v>
      </c>
      <c r="N192" s="238">
        <f>B192*0.975666666666667/100</f>
        <v>0.97566666666666702</v>
      </c>
      <c r="O192" s="238">
        <f>B192*8.447/100</f>
        <v>8.4469999999999992</v>
      </c>
      <c r="P192" s="238">
        <f>B192*0.0646666666666667/100</f>
        <v>6.4666666666666706E-2</v>
      </c>
      <c r="Q192" s="238">
        <f>B192*11.4003333333333/100</f>
        <v>11.4003333333333</v>
      </c>
      <c r="R192" s="238">
        <f>B192*0.146/100</f>
        <v>0.14599999999999999</v>
      </c>
      <c r="S192" s="238">
        <f>B192*45.0443333333333/100</f>
        <v>45.044333333333299</v>
      </c>
      <c r="T192" s="238">
        <f>B192*106.987/100</f>
        <v>106.98699999999999</v>
      </c>
      <c r="U192" s="238">
        <f>B192*0.0376666666666667/100</f>
        <v>3.7666666666666702E-2</v>
      </c>
      <c r="V192" s="238">
        <f>B192*0.065/100</f>
        <v>6.5000000000000002E-2</v>
      </c>
      <c r="W192" s="269" t="s">
        <v>454</v>
      </c>
      <c r="X192" s="242" t="s">
        <v>455</v>
      </c>
      <c r="Y192" s="238">
        <f>B192*0.032/100</f>
        <v>3.2000000000000001E-2</v>
      </c>
      <c r="Z192" s="242" t="s">
        <v>455</v>
      </c>
      <c r="AA192" s="242" t="s">
        <v>455</v>
      </c>
      <c r="AB192" s="238">
        <f>B192*138.695333333333/100</f>
        <v>138.695333333333</v>
      </c>
    </row>
    <row r="193" spans="1:28">
      <c r="A193" s="232" t="s">
        <v>618</v>
      </c>
      <c r="B193" s="59">
        <v>100</v>
      </c>
      <c r="C193" s="238">
        <f>B193*71.3500181116462/100</f>
        <v>71.350018111646193</v>
      </c>
      <c r="D193" s="242">
        <f>B193*0.35625/100</f>
        <v>0.35625000000000001</v>
      </c>
      <c r="E193" s="248">
        <f>B193*0.0693333333333333/100</f>
        <v>6.9333333333333302E-2</v>
      </c>
      <c r="F193" s="252"/>
      <c r="G193" s="252"/>
      <c r="H193" s="252"/>
      <c r="I193" s="263"/>
      <c r="J193" s="263"/>
      <c r="K193" s="256" t="s">
        <v>454</v>
      </c>
      <c r="L193" s="242">
        <f>B193*19.32575/100</f>
        <v>19.325749999999999</v>
      </c>
      <c r="M193" s="238">
        <f>B193*6.51766666666667/100</f>
        <v>6.5176666666666696</v>
      </c>
      <c r="N193" s="238">
        <f>B193*17.8483333333333/100</f>
        <v>17.848333333333301</v>
      </c>
      <c r="O193" s="238">
        <f>B193*8.54733333333333/100</f>
        <v>8.5473333333333308</v>
      </c>
      <c r="P193" s="238">
        <f>B193*0.39/100</f>
        <v>0.39</v>
      </c>
      <c r="Q193" s="238">
        <f>B193*18.4296666666667/100</f>
        <v>18.429666666666702</v>
      </c>
      <c r="R193" s="238">
        <f>B193*0.099/100</f>
        <v>9.9000000000000005E-2</v>
      </c>
      <c r="S193" s="238">
        <f>B193*2.18333333333333/100</f>
        <v>2.18333333333333</v>
      </c>
      <c r="T193" s="238">
        <f>B193*163.546333333333/100</f>
        <v>163.546333333333</v>
      </c>
      <c r="U193" s="245" t="s">
        <v>455</v>
      </c>
      <c r="V193" s="238">
        <f>B193*0.187/100</f>
        <v>0.187</v>
      </c>
      <c r="W193" s="269" t="s">
        <v>454</v>
      </c>
      <c r="X193" s="245" t="s">
        <v>455</v>
      </c>
      <c r="Y193" s="245" t="s">
        <v>455</v>
      </c>
      <c r="Z193" s="238">
        <f>B193*0.03/100</f>
        <v>0.03</v>
      </c>
      <c r="AA193" s="245" t="s">
        <v>455</v>
      </c>
      <c r="AB193" s="238">
        <f>B193*29.6133333333333/100</f>
        <v>29.613333333333301</v>
      </c>
    </row>
    <row r="194" spans="1:28">
      <c r="A194" s="232" t="s">
        <v>619</v>
      </c>
      <c r="B194" s="59">
        <v>100</v>
      </c>
      <c r="C194" s="238">
        <f>B194*45.7408887934287/100</f>
        <v>45.740888793428702</v>
      </c>
      <c r="D194" s="238">
        <f>B194*0.870833333333333/100</f>
        <v>0.87083333333333302</v>
      </c>
      <c r="E194" s="248">
        <f>B194*0.177/100</f>
        <v>0.17699999999999999</v>
      </c>
      <c r="F194" s="252"/>
      <c r="G194" s="252"/>
      <c r="H194" s="252"/>
      <c r="I194" s="263"/>
      <c r="J194" s="263"/>
      <c r="K194" s="256" t="s">
        <v>454</v>
      </c>
      <c r="L194" s="242">
        <f>B194*11.4815/100</f>
        <v>11.4815</v>
      </c>
      <c r="M194" s="238">
        <f>B194*2.03133333333333/100</f>
        <v>2.0313333333333299</v>
      </c>
      <c r="N194" s="238">
        <f>B194*4.78833333333333/100</f>
        <v>4.7883333333333304</v>
      </c>
      <c r="O194" s="238">
        <f>B194*7.361/100</f>
        <v>7.3610000000000007</v>
      </c>
      <c r="P194" s="238">
        <f>B194*0.126333333333333/100</f>
        <v>0.12633333333333299</v>
      </c>
      <c r="Q194" s="238">
        <f>B194*10.749/100</f>
        <v>10.749000000000001</v>
      </c>
      <c r="R194" s="238">
        <f>B194*0.198333333333333/100</f>
        <v>0.198333333333333</v>
      </c>
      <c r="S194" s="238">
        <f>B194*4.09466666666667/100</f>
        <v>4.0946666666666696</v>
      </c>
      <c r="T194" s="238">
        <f>B194*132.576333333333/100</f>
        <v>132.576333333333</v>
      </c>
      <c r="U194" s="238">
        <f>B194*0.0773333333333333/100</f>
        <v>7.7333333333333296E-2</v>
      </c>
      <c r="V194" s="238">
        <f>B194*0.24/100</f>
        <v>0.24</v>
      </c>
      <c r="W194" s="269" t="s">
        <v>454</v>
      </c>
      <c r="X194" s="238">
        <f>B194*0.116666666666667/100</f>
        <v>0.116666666666667</v>
      </c>
      <c r="Y194" s="245" t="s">
        <v>455</v>
      </c>
      <c r="Z194" s="245" t="s">
        <v>455</v>
      </c>
      <c r="AA194" s="245" t="s">
        <v>455</v>
      </c>
      <c r="AB194" s="242">
        <f>B194*60.8666666666667/100</f>
        <v>60.866666666666703</v>
      </c>
    </row>
    <row r="195" spans="1:28">
      <c r="A195" s="232" t="s">
        <v>3114</v>
      </c>
      <c r="B195" s="59">
        <v>100</v>
      </c>
      <c r="C195" s="238">
        <f>B195*75.59411/100</f>
        <v>75.594110000000001</v>
      </c>
      <c r="D195" s="238">
        <f>B195*1.39791666666667/100</f>
        <v>1.39791666666667</v>
      </c>
      <c r="E195" s="248">
        <f>B195*0.359666666666667/100</f>
        <v>0.35966666666666702</v>
      </c>
      <c r="F195" s="252">
        <f>B195*0.2/100</f>
        <v>0.2</v>
      </c>
      <c r="G195" s="252" t="s">
        <v>455</v>
      </c>
      <c r="H195" s="252">
        <f>B195*0.1/100</f>
        <v>0.1</v>
      </c>
      <c r="I195" s="263">
        <f>B195*0.07/100</f>
        <v>7.0000000000000007E-2</v>
      </c>
      <c r="J195" s="263">
        <f>B195*0.03/100</f>
        <v>0.03</v>
      </c>
      <c r="K195" s="256" t="s">
        <v>454</v>
      </c>
      <c r="L195" s="242">
        <f>B195*18.8574166666667/100</f>
        <v>18.857416666666701</v>
      </c>
      <c r="M195" s="238">
        <f>B195*3.902/100</f>
        <v>3.9019999999999997</v>
      </c>
      <c r="N195" s="238">
        <f>B195*27.414/100</f>
        <v>27.414000000000001</v>
      </c>
      <c r="O195" s="238">
        <f>B195*17.9633333333333/100</f>
        <v>17.963333333333299</v>
      </c>
      <c r="P195" s="238">
        <f>B195*0.0566666666666667/100</f>
        <v>5.6666666666666698E-2</v>
      </c>
      <c r="Q195" s="238">
        <f>B195*48.5993333333333/100</f>
        <v>48.599333333333298</v>
      </c>
      <c r="R195" s="238">
        <f>B195*0.357333333333333/100</f>
        <v>0.357333333333333</v>
      </c>
      <c r="S195" s="238">
        <f>B195*1.68233333333333/100</f>
        <v>1.6823333333333297</v>
      </c>
      <c r="T195" s="238">
        <f>B195*248.014666666667/100</f>
        <v>248.01466666666701</v>
      </c>
      <c r="U195" s="238">
        <f>B195*0.124333333333333/100</f>
        <v>0.124333333333333</v>
      </c>
      <c r="V195" s="238">
        <f>B195*0.531333333333333/100</f>
        <v>0.53133333333333299</v>
      </c>
      <c r="W195" s="269" t="s">
        <v>454</v>
      </c>
      <c r="X195" s="243">
        <f>B195*0.143333333333333/100</f>
        <v>0.14333333333333301</v>
      </c>
      <c r="Y195" s="245" t="s">
        <v>455</v>
      </c>
      <c r="Z195" s="245" t="s">
        <v>455</v>
      </c>
      <c r="AA195" s="245" t="s">
        <v>455</v>
      </c>
      <c r="AB195" s="238">
        <f>B195*27.0266666666667/100</f>
        <v>27.026666666666696</v>
      </c>
    </row>
    <row r="196" spans="1:28">
      <c r="A196" s="234" t="s">
        <v>942</v>
      </c>
      <c r="B196" s="59">
        <v>100</v>
      </c>
      <c r="C196" s="238">
        <f>B196*49.4225587743719/100</f>
        <v>49.4225587743719</v>
      </c>
      <c r="D196" s="238">
        <f>B196*1.16041666666667/100</f>
        <v>1.16041666666667</v>
      </c>
      <c r="E196" s="248">
        <f>B196*0.951333333333333/100</f>
        <v>0.95133333333333292</v>
      </c>
      <c r="F196" s="252">
        <f>B196*0.4/100</f>
        <v>0.4</v>
      </c>
      <c r="G196" s="252">
        <f>B196*0.2/100</f>
        <v>0.2</v>
      </c>
      <c r="H196" s="252">
        <f>B196*0.1/100</f>
        <v>0.1</v>
      </c>
      <c r="I196" s="263">
        <f>B196*0.03/100</f>
        <v>0.03</v>
      </c>
      <c r="J196" s="263">
        <f>B196*0.09/100</f>
        <v>0.09</v>
      </c>
      <c r="K196" s="256" t="s">
        <v>454</v>
      </c>
      <c r="L196" s="242">
        <f>B196*10.4335833333333/100</f>
        <v>10.433583333333299</v>
      </c>
      <c r="M196" s="243">
        <f>B196*3.116/100</f>
        <v>3.1160000000000001</v>
      </c>
      <c r="N196" s="243">
        <f>B196*13.1203333333333/100</f>
        <v>13.120333333333299</v>
      </c>
      <c r="O196" s="243">
        <f>B196*18.1713333333333/100</f>
        <v>18.171333333333301</v>
      </c>
      <c r="P196" s="243">
        <f>B196*0.067/100</f>
        <v>6.7000000000000004E-2</v>
      </c>
      <c r="Q196" s="243">
        <f>B196*21.2815/100</f>
        <v>21.281500000000001</v>
      </c>
      <c r="R196" s="243">
        <f>B196*0.485666666666667/100</f>
        <v>0.48566666666666708</v>
      </c>
      <c r="S196" s="243">
        <f>B196*3.196/100</f>
        <v>3.1960000000000002</v>
      </c>
      <c r="T196" s="243">
        <f>B196*331.033333333333/100</f>
        <v>331.03333333333302</v>
      </c>
      <c r="U196" s="243">
        <f>B196*0.074/100</f>
        <v>7.3999999999999996E-2</v>
      </c>
      <c r="V196" s="243">
        <f>B196*0.336666666666667/100</f>
        <v>0.336666666666667</v>
      </c>
      <c r="W196" s="269" t="s">
        <v>454</v>
      </c>
      <c r="X196" s="243">
        <f>B196*0.366333333333333/100</f>
        <v>0.36633333333333307</v>
      </c>
      <c r="Y196" s="243">
        <f>B196*0.0366/100</f>
        <v>3.6600000000000001E-2</v>
      </c>
      <c r="Z196" s="243">
        <f>B196*0.0733333333333333/100</f>
        <v>7.3333333333333306E-2</v>
      </c>
      <c r="AA196" s="243">
        <f>B196*4.34333333333333/100</f>
        <v>4.3433333333333302</v>
      </c>
      <c r="AB196" s="243">
        <f>B196*24.513/100</f>
        <v>24.513000000000002</v>
      </c>
    </row>
    <row r="197" spans="1:28">
      <c r="A197" s="232" t="s">
        <v>943</v>
      </c>
      <c r="B197" s="59">
        <v>100</v>
      </c>
      <c r="C197" s="238">
        <f>B197*48.79689/100</f>
        <v>48.796889999999991</v>
      </c>
      <c r="D197" s="238">
        <f>B197*0.84375/100</f>
        <v>0.84375</v>
      </c>
      <c r="E197" s="248">
        <f>B197*0.593666666666667/100</f>
        <v>0.59366666666666701</v>
      </c>
      <c r="F197" s="252">
        <f>B197*0.3/100</f>
        <v>0.3</v>
      </c>
      <c r="G197" s="252">
        <f>B197*0.1/100</f>
        <v>0.1</v>
      </c>
      <c r="H197" s="252" t="s">
        <v>455</v>
      </c>
      <c r="I197" s="263">
        <f>B197*0.01/100</f>
        <v>0.01</v>
      </c>
      <c r="J197" s="263">
        <f>B197*0.03/100</f>
        <v>0.03</v>
      </c>
      <c r="K197" s="256" t="s">
        <v>454</v>
      </c>
      <c r="L197" s="242">
        <f>B197*11.3869166666667/100</f>
        <v>11.3869166666667</v>
      </c>
      <c r="M197" s="238">
        <f>B197*1.591/100</f>
        <v>1.591</v>
      </c>
      <c r="N197" s="238">
        <f>B197*5.49066666666667/100</f>
        <v>5.4906666666666704</v>
      </c>
      <c r="O197" s="238">
        <f>B197*13.9113333333333/100</f>
        <v>13.9113333333333</v>
      </c>
      <c r="P197" s="238">
        <f>B197*0.169666666666667/100</f>
        <v>0.16966666666666699</v>
      </c>
      <c r="Q197" s="238">
        <f>B197*14.1963333333333/100</f>
        <v>14.1963333333333</v>
      </c>
      <c r="R197" s="238">
        <f>B197*0.259/100</f>
        <v>0.25900000000000001</v>
      </c>
      <c r="S197" s="238">
        <f>B197*0.689/100</f>
        <v>0.68899999999999995</v>
      </c>
      <c r="T197" s="238">
        <f>B197*291.092333333333/100</f>
        <v>291.09233333333299</v>
      </c>
      <c r="U197" s="238">
        <f>B197*0.139666666666667/100</f>
        <v>0.13966666666666699</v>
      </c>
      <c r="V197" s="238">
        <f>B197*0.151/100</f>
        <v>0.151</v>
      </c>
      <c r="W197" s="269" t="s">
        <v>454</v>
      </c>
      <c r="X197" s="238">
        <f>B197*0.0666666666666667/100</f>
        <v>6.6666666666666693E-2</v>
      </c>
      <c r="Y197" s="238">
        <f>B197*0.071/100</f>
        <v>7.0999999999999994E-2</v>
      </c>
      <c r="Z197" s="238">
        <f>B197*0.05/100</f>
        <v>0.05</v>
      </c>
      <c r="AA197" s="242" t="s">
        <v>455</v>
      </c>
      <c r="AB197" s="243">
        <f>B197*10.489/100</f>
        <v>10.489000000000001</v>
      </c>
    </row>
    <row r="198" spans="1:28">
      <c r="A198" s="232" t="s">
        <v>3115</v>
      </c>
      <c r="B198" s="59">
        <v>100</v>
      </c>
      <c r="C198" s="239">
        <f>B198*41.4471260869565/100</f>
        <v>41.447126086956501</v>
      </c>
      <c r="D198" s="239">
        <f>B198*0.967391304347826/100</f>
        <v>0.96739130434782605</v>
      </c>
      <c r="E198" s="246">
        <f>B198*0.156666666666667/100</f>
        <v>0.15666666666666701</v>
      </c>
      <c r="F198" s="252"/>
      <c r="G198" s="252"/>
      <c r="H198" s="252"/>
      <c r="I198" s="263"/>
      <c r="J198" s="263"/>
      <c r="K198" s="256" t="s">
        <v>454</v>
      </c>
      <c r="L198" s="242">
        <f>B198*10.2459420289855/100</f>
        <v>10.245942028985501</v>
      </c>
      <c r="M198" s="239">
        <f>B198*1.79333333333333/100</f>
        <v>1.7933333333333301</v>
      </c>
      <c r="N198" s="239">
        <f>B198*27.39/100</f>
        <v>27.39</v>
      </c>
      <c r="O198" s="239">
        <f>B198*11.31/100</f>
        <v>11.31</v>
      </c>
      <c r="P198" s="239">
        <f>B198*0.06/100</f>
        <v>0.06</v>
      </c>
      <c r="Q198" s="239">
        <f>B198*14.57/100</f>
        <v>14.57</v>
      </c>
      <c r="R198" s="239">
        <f>B198*0.203333333333333/100</f>
        <v>0.20333333333333301</v>
      </c>
      <c r="S198" s="239" t="s">
        <v>455</v>
      </c>
      <c r="T198" s="239">
        <f>B198*174.42/100</f>
        <v>174.42</v>
      </c>
      <c r="U198" s="239">
        <f>B198*0.13/100</f>
        <v>0.13</v>
      </c>
      <c r="V198" s="239">
        <f>B198*0.09/100</f>
        <v>0.09</v>
      </c>
      <c r="W198" s="269" t="s">
        <v>454</v>
      </c>
      <c r="X198" s="239">
        <f>B198*0.05/100</f>
        <v>0.05</v>
      </c>
      <c r="Y198" s="239" t="s">
        <v>455</v>
      </c>
      <c r="Z198" s="239" t="s">
        <v>455</v>
      </c>
      <c r="AA198" s="239" t="s">
        <v>455</v>
      </c>
      <c r="AB198" s="239">
        <f>B198*0.79/100</f>
        <v>0.79</v>
      </c>
    </row>
    <row r="199" spans="1:28">
      <c r="A199" s="232" t="s">
        <v>900</v>
      </c>
      <c r="B199" s="59">
        <v>100</v>
      </c>
      <c r="C199" s="239">
        <f>B199*184.360717391304/100</f>
        <v>184.36071739130404</v>
      </c>
      <c r="D199" s="239">
        <f>B199*0.561594202898551/100</f>
        <v>0.561594202898551</v>
      </c>
      <c r="E199" s="246">
        <f>B199*0.15/100</f>
        <v>0.15</v>
      </c>
      <c r="F199" s="252"/>
      <c r="G199" s="252"/>
      <c r="H199" s="252"/>
      <c r="I199" s="263"/>
      <c r="J199" s="263"/>
      <c r="K199" s="256" t="s">
        <v>454</v>
      </c>
      <c r="L199" s="242">
        <f>B199*50.3384057971015/100</f>
        <v>50.338405797101501</v>
      </c>
      <c r="M199" s="239">
        <f>B199*1.97666666666667/100</f>
        <v>1.9766666666666699</v>
      </c>
      <c r="N199" s="239">
        <f>B199*32.6166666666667/100</f>
        <v>32.616666666666703</v>
      </c>
      <c r="O199" s="239">
        <f>B199*6.85/100</f>
        <v>6.85</v>
      </c>
      <c r="P199" s="239">
        <f>B199*0.160333333333333/100</f>
        <v>0.16033333333333299</v>
      </c>
      <c r="Q199" s="239">
        <f>B199*6.25333333333333/100</f>
        <v>6.2533333333333303</v>
      </c>
      <c r="R199" s="239">
        <f>B199*0.503333333333333/100</f>
        <v>0.50333333333333297</v>
      </c>
      <c r="S199" s="239">
        <f>B199*6.87/100</f>
        <v>6.87</v>
      </c>
      <c r="T199" s="239">
        <f>B199*39.35/100</f>
        <v>39.35</v>
      </c>
      <c r="U199" s="239">
        <f>B199*0.25/100</f>
        <v>0.25</v>
      </c>
      <c r="V199" s="239">
        <f>B199*0.09/100</f>
        <v>0.09</v>
      </c>
      <c r="W199" s="269" t="s">
        <v>454</v>
      </c>
      <c r="X199" s="239" t="s">
        <v>455</v>
      </c>
      <c r="Y199" s="239" t="s">
        <v>455</v>
      </c>
      <c r="Z199" s="239" t="s">
        <v>455</v>
      </c>
      <c r="AA199" s="239" t="s">
        <v>455</v>
      </c>
      <c r="AB199" s="239">
        <f>B199*5.24333333333333/100</f>
        <v>5.2433333333333287</v>
      </c>
    </row>
    <row r="200" spans="1:28">
      <c r="A200" s="232" t="s">
        <v>901</v>
      </c>
      <c r="B200" s="59">
        <v>100</v>
      </c>
      <c r="C200" s="238">
        <f>B200*67.04562/100</f>
        <v>67.04562</v>
      </c>
      <c r="D200" s="238">
        <f>B200*1.08125/100</f>
        <v>1.08125</v>
      </c>
      <c r="E200" s="248">
        <f>B200*0.189333333333333/100</f>
        <v>0.18933333333333299</v>
      </c>
      <c r="F200" s="252">
        <f>B200*0.1/100</f>
        <v>0.1</v>
      </c>
      <c r="G200" s="252" t="s">
        <v>455</v>
      </c>
      <c r="H200" s="252" t="s">
        <v>455</v>
      </c>
      <c r="I200" s="263">
        <f>B200*0.01/100</f>
        <v>0.01</v>
      </c>
      <c r="J200" s="263">
        <f>B200*0.02/100</f>
        <v>0.02</v>
      </c>
      <c r="K200" s="256" t="s">
        <v>454</v>
      </c>
      <c r="L200" s="242">
        <f>B200*17.1744166666667/100</f>
        <v>17.174416666666701</v>
      </c>
      <c r="M200" s="238">
        <f>B200*5.54533333333333/100</f>
        <v>5.5453333333333292</v>
      </c>
      <c r="N200" s="238">
        <f>B200*33.6756666666667/100</f>
        <v>33.6756666666667</v>
      </c>
      <c r="O200" s="238">
        <f>B200*24.033/100</f>
        <v>24.033000000000001</v>
      </c>
      <c r="P200" s="248">
        <f>B200*0.044/100</f>
        <v>4.3999999999999997E-2</v>
      </c>
      <c r="Q200" s="238">
        <f>B200*27.3936666666667/100</f>
        <v>27.3936666666667</v>
      </c>
      <c r="R200" s="238">
        <f>B200*0.230666666666667/100</f>
        <v>0.23066666666666699</v>
      </c>
      <c r="S200" s="243">
        <f>B200*0.799333333333333/100</f>
        <v>0.7993333333333329</v>
      </c>
      <c r="T200" s="243">
        <f>B200*188.126333333333/100</f>
        <v>188.12633333333304</v>
      </c>
      <c r="U200" s="238">
        <f>B200*0.0716666666666667/100</f>
        <v>7.1666666666666698E-2</v>
      </c>
      <c r="V200" s="238">
        <f>B200*0.126/100</f>
        <v>0.126</v>
      </c>
      <c r="W200" s="269" t="s">
        <v>454</v>
      </c>
      <c r="X200" s="238">
        <f>B200*0.03/100</f>
        <v>0.03</v>
      </c>
      <c r="Y200" s="245" t="s">
        <v>455</v>
      </c>
      <c r="Z200" s="245" t="s">
        <v>455</v>
      </c>
      <c r="AA200" s="245" t="s">
        <v>455</v>
      </c>
      <c r="AB200" s="238">
        <f>B200*9.86666666666667/100</f>
        <v>9.8666666666666707</v>
      </c>
    </row>
    <row r="201" spans="1:28">
      <c r="A201" s="232" t="s">
        <v>3116</v>
      </c>
      <c r="B201" s="59">
        <v>100</v>
      </c>
      <c r="C201" s="239">
        <f>B201*51.737747826087/100</f>
        <v>51.737747826086995</v>
      </c>
      <c r="D201" s="239">
        <f>B201*0.898550724637681/100</f>
        <v>0.89855072463768115</v>
      </c>
      <c r="E201" s="246">
        <f>B201*0.486666666666667/100</f>
        <v>0.48666666666666702</v>
      </c>
      <c r="F201" s="252">
        <f>B201*0.0566666666666667/100</f>
        <v>5.6666666666666698E-2</v>
      </c>
      <c r="G201" s="252" t="s">
        <v>455</v>
      </c>
      <c r="H201" s="252">
        <f>B201*0.232/100</f>
        <v>0.23200000000000004</v>
      </c>
      <c r="I201" s="263">
        <f>B201*0.232/100</f>
        <v>0.23200000000000004</v>
      </c>
      <c r="J201" s="263" t="s">
        <v>455</v>
      </c>
      <c r="K201" s="256" t="s">
        <v>454</v>
      </c>
      <c r="L201" s="242">
        <f>B201*12.4014492753623/100</f>
        <v>12.4014492753623</v>
      </c>
      <c r="M201" s="239">
        <f>B201*6.33/100</f>
        <v>6.33</v>
      </c>
      <c r="N201" s="239">
        <f>B201*5.00733333333333/100</f>
        <v>5.0073333333333299</v>
      </c>
      <c r="O201" s="239">
        <f>B201*7.04333333333333/100</f>
        <v>7.0433333333333303</v>
      </c>
      <c r="P201" s="239">
        <f>B201*0.0733333333333333/100</f>
        <v>7.3333333333333306E-2</v>
      </c>
      <c r="Q201" s="239">
        <f>B201*16.4033333333333/100</f>
        <v>16.4033333333333</v>
      </c>
      <c r="R201" s="239">
        <f>B201*0.17/100</f>
        <v>0.17</v>
      </c>
      <c r="S201" s="239" t="s">
        <v>455</v>
      </c>
      <c r="T201" s="239">
        <f>B201*219.77/100</f>
        <v>219.77</v>
      </c>
      <c r="U201" s="239">
        <f>B201*0.0433333333333333/100</f>
        <v>4.3333333333333307E-2</v>
      </c>
      <c r="V201" s="239">
        <f>B201*0.156666666666667/100</f>
        <v>0.15666666666666701</v>
      </c>
      <c r="W201" s="269" t="s">
        <v>454</v>
      </c>
      <c r="X201" s="239" t="s">
        <v>455</v>
      </c>
      <c r="Y201" s="239" t="s">
        <v>455</v>
      </c>
      <c r="Z201" s="239">
        <f>B201*0.0266666666666667/100</f>
        <v>2.66666666666667E-2</v>
      </c>
      <c r="AA201" s="240" t="s">
        <v>455</v>
      </c>
      <c r="AB201" s="239">
        <f>B201*99.195/100</f>
        <v>99.194999999999993</v>
      </c>
    </row>
    <row r="202" spans="1:28">
      <c r="A202" s="232" t="s">
        <v>903</v>
      </c>
      <c r="B202" s="59">
        <v>100</v>
      </c>
      <c r="C202" s="239">
        <f>B202*268.959826086957/100</f>
        <v>268.95982608695698</v>
      </c>
      <c r="D202" s="239">
        <f>B202*0.579710144927536/100</f>
        <v>0.57971014492753603</v>
      </c>
      <c r="E202" s="246">
        <f>B202*0/100</f>
        <v>0</v>
      </c>
      <c r="F202" s="252"/>
      <c r="G202" s="252"/>
      <c r="H202" s="252"/>
      <c r="I202" s="263"/>
      <c r="J202" s="263"/>
      <c r="K202" s="256" t="s">
        <v>454</v>
      </c>
      <c r="L202" s="242">
        <f>B202*74.1236231884058/100</f>
        <v>74.123623188405801</v>
      </c>
      <c r="M202" s="239">
        <f>B202*3.73333333333333/100</f>
        <v>3.7333333333333298</v>
      </c>
      <c r="N202" s="239">
        <f>B202*10.06/100</f>
        <v>10.06</v>
      </c>
      <c r="O202" s="239">
        <f>B202*6.48666666666667/100</f>
        <v>6.4866666666666699</v>
      </c>
      <c r="P202" s="239">
        <f>B202*0.108333333333333/100</f>
        <v>0.108333333333333</v>
      </c>
      <c r="Q202" s="239">
        <f>B202*53.57/100</f>
        <v>53.57</v>
      </c>
      <c r="R202" s="239">
        <f>B202*0.4/100</f>
        <v>0.4</v>
      </c>
      <c r="S202" s="239">
        <f>B202*3.7/100</f>
        <v>3.7</v>
      </c>
      <c r="T202" s="239">
        <f>B202*164.806666666667/100</f>
        <v>164.80666666666701</v>
      </c>
      <c r="U202" s="239">
        <f>B202*0.06/100</f>
        <v>0.06</v>
      </c>
      <c r="V202" s="239">
        <f>B202*0.09/100</f>
        <v>0.09</v>
      </c>
      <c r="W202" s="269" t="s">
        <v>454</v>
      </c>
      <c r="X202" s="239">
        <f>B202*0.07/100</f>
        <v>7.0000000000000007E-2</v>
      </c>
      <c r="Y202" s="239" t="s">
        <v>455</v>
      </c>
      <c r="Z202" s="239" t="s">
        <v>455</v>
      </c>
      <c r="AA202" s="239" t="s">
        <v>455</v>
      </c>
      <c r="AB202" s="239">
        <f>B202*23.0566666666667/100</f>
        <v>23.0566666666667</v>
      </c>
    </row>
    <row r="203" spans="1:28">
      <c r="A203" s="222" t="s">
        <v>3117</v>
      </c>
      <c r="B203" s="59">
        <v>100</v>
      </c>
      <c r="C203" s="247">
        <f>B203*285.587792439004/100</f>
        <v>285.58779243900398</v>
      </c>
      <c r="D203" s="247">
        <f>B203*0.414583333333333/100</f>
        <v>0.41458333333333303</v>
      </c>
      <c r="E203" s="244">
        <f>B203*0.103333333333333/100</f>
        <v>0.103333333333333</v>
      </c>
      <c r="F203" s="252"/>
      <c r="G203" s="252"/>
      <c r="H203" s="252"/>
      <c r="I203" s="263"/>
      <c r="J203" s="263"/>
      <c r="K203" s="258" t="s">
        <v>454</v>
      </c>
      <c r="L203" s="247">
        <f>B203*78.70275/100</f>
        <v>78.702749999999995</v>
      </c>
      <c r="M203" s="244">
        <f>B203*4.36666666666667/100</f>
        <v>4.3666666666666698</v>
      </c>
      <c r="N203" s="244">
        <f>B203*14.699/100</f>
        <v>14.699000000000002</v>
      </c>
      <c r="O203" s="244">
        <f>B203*9.66833333333333/100</f>
        <v>9.6683333333333294</v>
      </c>
      <c r="P203" s="244">
        <f>B203*0.158666666666667/100</f>
        <v>0.15866666666666701</v>
      </c>
      <c r="Q203" s="244">
        <f>B203*28.2043333333333/100</f>
        <v>28.204333333333299</v>
      </c>
      <c r="R203" s="244">
        <f>B203*0.402333333333333/100</f>
        <v>0.40233333333333299</v>
      </c>
      <c r="S203" s="244">
        <f>B203*11.0293333333333/100</f>
        <v>11.0293333333333</v>
      </c>
      <c r="T203" s="244">
        <f>B203*250.723333333333/100</f>
        <v>250.72333333333299</v>
      </c>
      <c r="U203" s="244">
        <f>B203*0.0786666666666667/100</f>
        <v>7.8666666666666704E-2</v>
      </c>
      <c r="V203" s="244">
        <f>B203*0.14/100</f>
        <v>0.14000000000000001</v>
      </c>
      <c r="W203" s="258" t="s">
        <v>454</v>
      </c>
      <c r="X203" s="244" t="s">
        <v>455</v>
      </c>
      <c r="Y203" s="244" t="s">
        <v>455</v>
      </c>
      <c r="Z203" s="244" t="s">
        <v>455</v>
      </c>
      <c r="AA203" s="244">
        <f>B203*1.40666666666667/100</f>
        <v>1.4066666666666701</v>
      </c>
      <c r="AB203" s="244">
        <f>B203*34.3266666666667/100</f>
        <v>34.326666666666704</v>
      </c>
    </row>
    <row r="204" spans="1:28">
      <c r="A204" s="232" t="s">
        <v>3118</v>
      </c>
      <c r="B204" s="59">
        <v>100</v>
      </c>
      <c r="C204" s="239">
        <f>B204*54.1699304347826/100</f>
        <v>54.1699304347826</v>
      </c>
      <c r="D204" s="239">
        <f>B204*1.08695652173913/100</f>
        <v>1.0869565217391299</v>
      </c>
      <c r="E204" s="246">
        <f>B204*0.44/100</f>
        <v>0.44</v>
      </c>
      <c r="F204" s="266">
        <f>B204*0.0536666666666667/100</f>
        <v>5.366666666666671E-2</v>
      </c>
      <c r="G204" s="270" t="s">
        <v>455</v>
      </c>
      <c r="H204" s="266">
        <f>B204*0.256666666666667/100</f>
        <v>0.25666666666666699</v>
      </c>
      <c r="I204" s="263">
        <f>B204*0.256666666666667/100</f>
        <v>0.25666666666666699</v>
      </c>
      <c r="J204" s="263" t="s">
        <v>455</v>
      </c>
      <c r="K204" s="256" t="s">
        <v>454</v>
      </c>
      <c r="L204" s="242">
        <f>B204*13.0097101449275/100</f>
        <v>13.009710144927499</v>
      </c>
      <c r="M204" s="239">
        <f>B204*6.22333333333333/100</f>
        <v>6.2233333333333301</v>
      </c>
      <c r="N204" s="239">
        <f>B204*4.45133333333333/100</f>
        <v>4.4513333333333298</v>
      </c>
      <c r="O204" s="239">
        <f>B204*6.89333333333333/100</f>
        <v>6.89333333333333</v>
      </c>
      <c r="P204" s="239">
        <f>B204*0.09/100</f>
        <v>0.09</v>
      </c>
      <c r="Q204" s="239">
        <f>B204*15.37/100</f>
        <v>15.37</v>
      </c>
      <c r="R204" s="239">
        <f>B204*0.17/100</f>
        <v>0.17</v>
      </c>
      <c r="S204" s="239" t="s">
        <v>455</v>
      </c>
      <c r="T204" s="239">
        <f>B204*197.58/100</f>
        <v>197.58</v>
      </c>
      <c r="U204" s="239">
        <f>B204*0.04/100</f>
        <v>0.04</v>
      </c>
      <c r="V204" s="239">
        <f>B204*0.13/100</f>
        <v>0.13</v>
      </c>
      <c r="W204" s="269" t="s">
        <v>454</v>
      </c>
      <c r="X204" s="239" t="s">
        <v>455</v>
      </c>
      <c r="Y204" s="239" t="s">
        <v>455</v>
      </c>
      <c r="Z204" s="239">
        <f>B204*0.03/100</f>
        <v>0.03</v>
      </c>
      <c r="AA204" s="240" t="s">
        <v>455</v>
      </c>
      <c r="AB204" s="239">
        <f>B204*80.6016666666667/100</f>
        <v>80.601666666666702</v>
      </c>
    </row>
    <row r="205" spans="1:28">
      <c r="A205" s="232" t="s">
        <v>905</v>
      </c>
      <c r="B205" s="59">
        <v>100</v>
      </c>
      <c r="C205" s="238">
        <f>B205*61.6218983766636/100</f>
        <v>61.621898376663601</v>
      </c>
      <c r="D205" s="238">
        <f>B205*0.845833333333333/100</f>
        <v>0.84583333333333299</v>
      </c>
      <c r="E205" s="248">
        <f>B205*0.21/100</f>
        <v>0.21</v>
      </c>
      <c r="F205" s="252" t="s">
        <v>455</v>
      </c>
      <c r="G205" s="252">
        <f>B205*0.1/100</f>
        <v>0.1</v>
      </c>
      <c r="H205" s="252" t="s">
        <v>455</v>
      </c>
      <c r="I205" s="263">
        <f>B205*0.01/100</f>
        <v>0.01</v>
      </c>
      <c r="J205" s="263">
        <f>B205*0.02/100</f>
        <v>0.02</v>
      </c>
      <c r="K205" s="256" t="s">
        <v>454</v>
      </c>
      <c r="L205" s="242">
        <f>B205*15.8395/100</f>
        <v>15.839499999999997</v>
      </c>
      <c r="M205" s="238">
        <f>B205*1.909/100</f>
        <v>1.909</v>
      </c>
      <c r="N205" s="243">
        <f>B205*40.118/100</f>
        <v>40.118000000000002</v>
      </c>
      <c r="O205" s="238">
        <f>B205*23.4993333333333/100</f>
        <v>23.499333333333301</v>
      </c>
      <c r="P205" s="238">
        <f>B205*0.0846666666666667/100</f>
        <v>8.4666666666666709E-2</v>
      </c>
      <c r="Q205" s="238">
        <f>B205*19.169/100</f>
        <v>19.169</v>
      </c>
      <c r="R205" s="243">
        <f>B205*0.169666666666667/100</f>
        <v>0.16966666666666699</v>
      </c>
      <c r="S205" s="243">
        <f>B205*4.16/100</f>
        <v>4.16</v>
      </c>
      <c r="T205" s="238">
        <f>B205*249.665666666667/100</f>
        <v>249.66566666666699</v>
      </c>
      <c r="U205" s="238">
        <f>B205*0.0393333333333333/100</f>
        <v>3.9333333333333297E-2</v>
      </c>
      <c r="V205" s="238">
        <f>B205*0.126/100</f>
        <v>0.126</v>
      </c>
      <c r="W205" s="269" t="s">
        <v>454</v>
      </c>
      <c r="X205" s="238">
        <f>B205*0.168/100</f>
        <v>0.16800000000000001</v>
      </c>
      <c r="Y205" s="238">
        <f>B205*0.124333333333333/100</f>
        <v>0.124333333333333</v>
      </c>
      <c r="Z205" s="238">
        <f>B205*0.0333333333333333/100</f>
        <v>3.3333333333333298E-2</v>
      </c>
      <c r="AA205" s="245" t="s">
        <v>455</v>
      </c>
      <c r="AB205" s="238">
        <f>B205*19.1373333333333/100</f>
        <v>19.137333333333299</v>
      </c>
    </row>
    <row r="206" spans="1:28">
      <c r="A206" s="232" t="s">
        <v>906</v>
      </c>
      <c r="B206" s="59">
        <v>100</v>
      </c>
      <c r="C206" s="238">
        <f>B206*38.27387/100</f>
        <v>38.273870000000002</v>
      </c>
      <c r="D206" s="238">
        <f>B206*0.566666666666667/100</f>
        <v>0.56666666666666698</v>
      </c>
      <c r="E206" s="248">
        <f>B206*0.137666666666667/100</f>
        <v>0.13766666666666699</v>
      </c>
      <c r="F206" s="252"/>
      <c r="G206" s="252"/>
      <c r="H206" s="252"/>
      <c r="I206" s="263"/>
      <c r="J206" s="263"/>
      <c r="K206" s="256" t="s">
        <v>454</v>
      </c>
      <c r="L206" s="242">
        <f>B206*9.78266666666666/100</f>
        <v>9.7826666666666604</v>
      </c>
      <c r="M206" s="238">
        <f>B206*1.18766666666667/100</f>
        <v>1.18766666666667</v>
      </c>
      <c r="N206" s="243">
        <f>B206*5.97866666666667/100</f>
        <v>5.9786666666666699</v>
      </c>
      <c r="O206" s="243">
        <f>B206*9.76/100</f>
        <v>9.76</v>
      </c>
      <c r="P206" s="243">
        <f>B206*0.056/100</f>
        <v>5.6000000000000008E-2</v>
      </c>
      <c r="Q206" s="243">
        <f>B206*16.5883333333333/100</f>
        <v>16.588333333333299</v>
      </c>
      <c r="R206" s="243">
        <f>B206*0.102666666666667/100</f>
        <v>0.10266666666666699</v>
      </c>
      <c r="S206" s="243">
        <f>B206*3.04633333333333/100</f>
        <v>3.04633333333333</v>
      </c>
      <c r="T206" s="243">
        <f>B206*169.956666666667/100</f>
        <v>169.95666666666702</v>
      </c>
      <c r="U206" s="243">
        <f>B206*0.0616666666666667/100</f>
        <v>6.1666666666666703E-2</v>
      </c>
      <c r="V206" s="243">
        <f>B206*0.0536666666666667/100</f>
        <v>5.366666666666671E-2</v>
      </c>
      <c r="W206" s="269" t="s">
        <v>454</v>
      </c>
      <c r="X206" s="243" t="s">
        <v>455</v>
      </c>
      <c r="Y206" s="243">
        <f>B206*0.0936666666666667/100</f>
        <v>9.3666666666666704E-2</v>
      </c>
      <c r="Z206" s="243" t="s">
        <v>455</v>
      </c>
      <c r="AA206" s="243" t="s">
        <v>455</v>
      </c>
      <c r="AB206" s="243">
        <f>B206*10.4753333333333/100</f>
        <v>10.4753333333333</v>
      </c>
    </row>
    <row r="207" spans="1:28">
      <c r="A207" s="234" t="s">
        <v>907</v>
      </c>
      <c r="B207" s="59">
        <v>100</v>
      </c>
      <c r="C207" s="238">
        <f>B207*58.05315/100</f>
        <v>58.053150000000002</v>
      </c>
      <c r="D207" s="243">
        <f>B207*0.6125/100</f>
        <v>0.61250000000000004</v>
      </c>
      <c r="E207" s="248">
        <f>B207*0.128333333333333/100</f>
        <v>0.12833333333333299</v>
      </c>
      <c r="F207" s="252"/>
      <c r="G207" s="252"/>
      <c r="H207" s="252"/>
      <c r="I207" s="263"/>
      <c r="J207" s="263"/>
      <c r="K207" s="256" t="s">
        <v>454</v>
      </c>
      <c r="L207" s="242">
        <f>B207*15.2558333333333/100</f>
        <v>15.255833333333298</v>
      </c>
      <c r="M207" s="243">
        <f>B207*2.299/100</f>
        <v>2.2989999999999999</v>
      </c>
      <c r="N207" s="243">
        <f>B207*8.348/100</f>
        <v>8.3480000000000008</v>
      </c>
      <c r="O207" s="243">
        <f>B207*17.7796666666667/100</f>
        <v>17.779666666666699</v>
      </c>
      <c r="P207" s="243">
        <f>B207*0.297/100</f>
        <v>0.29699999999999999</v>
      </c>
      <c r="Q207" s="243">
        <f>B207*14.5496666666667/100</f>
        <v>14.549666666666701</v>
      </c>
      <c r="R207" s="243">
        <f>B207*0.0946666666666667/100</f>
        <v>9.4666666666666704E-2</v>
      </c>
      <c r="S207" s="245" t="s">
        <v>455</v>
      </c>
      <c r="T207" s="243">
        <f>B207*129.724333333333/100</f>
        <v>129.72433333333299</v>
      </c>
      <c r="U207" s="243">
        <f>B207*0.0716666666666667/100</f>
        <v>7.1666666666666698E-2</v>
      </c>
      <c r="V207" s="243">
        <f>B207*0.283333333333333/100</f>
        <v>0.28333333333333299</v>
      </c>
      <c r="W207" s="269" t="s">
        <v>454</v>
      </c>
      <c r="X207" s="243">
        <f>B207*0.06/100</f>
        <v>0.06</v>
      </c>
      <c r="Y207" s="245" t="s">
        <v>455</v>
      </c>
      <c r="Z207" s="245" t="s">
        <v>455</v>
      </c>
      <c r="AA207" s="245" t="s">
        <v>455</v>
      </c>
      <c r="AB207" s="243">
        <f>B207*16.17/100</f>
        <v>16.170000000000002</v>
      </c>
    </row>
    <row r="208" spans="1:28">
      <c r="A208" s="232" t="s">
        <v>908</v>
      </c>
      <c r="B208" s="59">
        <v>100</v>
      </c>
      <c r="C208" s="238">
        <f>B208*87.92035/100</f>
        <v>87.920349999999999</v>
      </c>
      <c r="D208" s="238">
        <f>B208*1.40208333333333/100</f>
        <v>1.40208333333333</v>
      </c>
      <c r="E208" s="248">
        <f>B208*0.265/100</f>
        <v>0.26500000000000001</v>
      </c>
      <c r="F208" s="252">
        <f>B208*0.1/100</f>
        <v>0.1</v>
      </c>
      <c r="G208" s="252">
        <f>B208*0.1/100</f>
        <v>0.1</v>
      </c>
      <c r="H208" s="252" t="s">
        <v>455</v>
      </c>
      <c r="I208" s="263" t="s">
        <v>455</v>
      </c>
      <c r="J208" s="263">
        <f>B208*0.02/100</f>
        <v>0.02</v>
      </c>
      <c r="K208" s="256" t="s">
        <v>454</v>
      </c>
      <c r="L208" s="242">
        <f>B208*22.4975833333333/100</f>
        <v>22.497583333333299</v>
      </c>
      <c r="M208" s="238">
        <f>B208*2.386/100</f>
        <v>2.3860000000000001</v>
      </c>
      <c r="N208" s="238">
        <f>B208*11.245/100</f>
        <v>11.244999999999999</v>
      </c>
      <c r="O208" s="238">
        <f>B208*40.0523333333333/100</f>
        <v>40.052333333333301</v>
      </c>
      <c r="P208" s="238">
        <f>B208*0.484666666666667/100</f>
        <v>0.48466666666666702</v>
      </c>
      <c r="Q208" s="238">
        <f>B208*13.8993333333333/100</f>
        <v>13.899333333333299</v>
      </c>
      <c r="R208" s="238">
        <f>B208*0.382666666666667/100</f>
        <v>0.38266666666666699</v>
      </c>
      <c r="S208" s="238">
        <f>B208*1.80166666666667/100</f>
        <v>1.8016666666666701</v>
      </c>
      <c r="T208" s="238">
        <f>B208*233.752333333333/100</f>
        <v>233.75233333333301</v>
      </c>
      <c r="U208" s="238">
        <f>B208*0.0933333333333333/100</f>
        <v>9.333333333333331E-2</v>
      </c>
      <c r="V208" s="238">
        <f>B208*0.166666666666667/100</f>
        <v>0.16666666666666699</v>
      </c>
      <c r="W208" s="269" t="s">
        <v>454</v>
      </c>
      <c r="X208" s="238">
        <f>B208*0.1/100</f>
        <v>0.1</v>
      </c>
      <c r="Y208" s="238">
        <f>B208*0.0366666666666667/100</f>
        <v>3.6666666666666702E-2</v>
      </c>
      <c r="Z208" s="238">
        <f>B208*0.0466666666666667/100</f>
        <v>4.6666666666666697E-2</v>
      </c>
      <c r="AA208" s="245" t="s">
        <v>455</v>
      </c>
      <c r="AB208" s="238">
        <f>B208*14.8166666666667/100</f>
        <v>14.816666666666698</v>
      </c>
    </row>
    <row r="209" spans="1:28">
      <c r="A209" s="232" t="s">
        <v>909</v>
      </c>
      <c r="B209" s="59">
        <v>100</v>
      </c>
      <c r="C209" s="238">
        <f>B209*26.9123/100</f>
        <v>26.912300000000002</v>
      </c>
      <c r="D209" s="238">
        <f>B209*0.885416666666667/100</f>
        <v>0.88541666666666696</v>
      </c>
      <c r="E209" s="248">
        <f>B209*0.0666666666666667/100</f>
        <v>6.6666666666666693E-2</v>
      </c>
      <c r="F209" s="252"/>
      <c r="G209" s="252"/>
      <c r="H209" s="252"/>
      <c r="I209" s="263"/>
      <c r="J209" s="263"/>
      <c r="K209" s="256" t="s">
        <v>454</v>
      </c>
      <c r="L209" s="242">
        <f>B209*6.49425/100</f>
        <v>6.4942499999999992</v>
      </c>
      <c r="M209" s="238">
        <f>B209*5.07433333333333/100</f>
        <v>5.07433333333333</v>
      </c>
      <c r="N209" s="243">
        <f>B209*13.8/100</f>
        <v>13.8</v>
      </c>
      <c r="O209" s="243">
        <f>B209*14.1783333333333/100</f>
        <v>14.178333333333301</v>
      </c>
      <c r="P209" s="238">
        <f>B209*0.0523333333333333/100</f>
        <v>5.2333333333333301E-2</v>
      </c>
      <c r="Q209" s="238">
        <f>B209*18.3583333333333/100</f>
        <v>18.358333333333299</v>
      </c>
      <c r="R209" s="238">
        <f>B209*0.136666666666667/100</f>
        <v>0.13666666666666699</v>
      </c>
      <c r="S209" s="238">
        <f>B209*21.656/100</f>
        <v>21.655999999999999</v>
      </c>
      <c r="T209" s="238">
        <f>B209*134.869/100</f>
        <v>134.869</v>
      </c>
      <c r="U209" s="238">
        <f>B209*0.0223333333333333/100</f>
        <v>2.2333333333333299E-2</v>
      </c>
      <c r="V209" s="238">
        <f>B209*0.114/100</f>
        <v>0.114</v>
      </c>
      <c r="W209" s="269" t="s">
        <v>454</v>
      </c>
      <c r="X209" s="243">
        <f>B209*0.0766666666666667/100</f>
        <v>7.6666666666666702E-2</v>
      </c>
      <c r="Y209" s="245" t="s">
        <v>455</v>
      </c>
      <c r="Z209" s="245" t="s">
        <v>455</v>
      </c>
      <c r="AA209" s="243">
        <f>B209*1.18/100</f>
        <v>1.18</v>
      </c>
      <c r="AB209" s="238">
        <f>B209*3.77333333333333/100</f>
        <v>3.7733333333333299</v>
      </c>
    </row>
    <row r="210" spans="1:28">
      <c r="A210" s="222" t="s">
        <v>3119</v>
      </c>
      <c r="B210" s="59">
        <v>100</v>
      </c>
      <c r="C210" s="247">
        <f>B210*41.0097089167039/100</f>
        <v>41.0097089167039</v>
      </c>
      <c r="D210" s="247">
        <f>B210*0.545833333333333/100</f>
        <v>0.54583333333333295</v>
      </c>
      <c r="E210" s="244">
        <f>B210*0.109666666666667/100</f>
        <v>0.10966666666666698</v>
      </c>
      <c r="F210" s="252"/>
      <c r="G210" s="252"/>
      <c r="H210" s="252"/>
      <c r="I210" s="263"/>
      <c r="J210" s="263"/>
      <c r="K210" s="258" t="s">
        <v>454</v>
      </c>
      <c r="L210" s="247">
        <f>B210*10.6271666666667/100</f>
        <v>10.6271666666667</v>
      </c>
      <c r="M210" s="244">
        <f>B210*1.77666666666667/100</f>
        <v>1.7766666666666699</v>
      </c>
      <c r="N210" s="244">
        <f>B210*3.09/100</f>
        <v>3.09</v>
      </c>
      <c r="O210" s="244">
        <f>B210*2.16466666666667/100</f>
        <v>2.1646666666666698</v>
      </c>
      <c r="P210" s="244" t="s">
        <v>455</v>
      </c>
      <c r="Q210" s="244">
        <f>B210*4.11733333333333/100</f>
        <v>4.1173333333333302</v>
      </c>
      <c r="R210" s="244">
        <f>B210*0.0476666666666667/100</f>
        <v>4.7666666666666704E-2</v>
      </c>
      <c r="S210" s="244">
        <f>B210*1.36633333333333/100</f>
        <v>1.3663333333333301</v>
      </c>
      <c r="T210" s="244">
        <f>B210*394.343333333333/100</f>
        <v>394.34333333333302</v>
      </c>
      <c r="U210" s="244">
        <f>B210*0.0316666666666667/100</f>
        <v>3.1666666666666697E-2</v>
      </c>
      <c r="V210" s="244">
        <f>B210*0.049/100</f>
        <v>4.9000000000000002E-2</v>
      </c>
      <c r="W210" s="258" t="s">
        <v>454</v>
      </c>
      <c r="X210" s="244">
        <f>B210*0.166666666666667/100</f>
        <v>0.16666666666666699</v>
      </c>
      <c r="Y210" s="244" t="s">
        <v>455</v>
      </c>
      <c r="Z210" s="244">
        <f>B210*0.116666666666667/100</f>
        <v>0.116666666666667</v>
      </c>
      <c r="AA210" s="244" t="s">
        <v>455</v>
      </c>
      <c r="AB210" s="244">
        <f>B210*27.07/100</f>
        <v>27.07</v>
      </c>
    </row>
    <row r="211" spans="1:28">
      <c r="A211" s="232" t="s">
        <v>910</v>
      </c>
      <c r="B211" s="59">
        <v>100</v>
      </c>
      <c r="C211" s="239">
        <f>B211*51.1363304347826/100</f>
        <v>51.1363304347826</v>
      </c>
      <c r="D211" s="239">
        <f>B211*1.33695652173913/100</f>
        <v>1.3369565217391299</v>
      </c>
      <c r="E211" s="246">
        <f>B211*0.626666666666667/100</f>
        <v>0.62666666666666704</v>
      </c>
      <c r="F211" s="252">
        <f>B211*0.0583333333333333/100</f>
        <v>5.8333333333333307E-2</v>
      </c>
      <c r="G211" s="252">
        <f>B211*0.099/100</f>
        <v>9.9000000000000005E-2</v>
      </c>
      <c r="H211" s="252">
        <f>B211*0.348666666666667/100</f>
        <v>0.34866666666666701</v>
      </c>
      <c r="I211" s="263">
        <f>B211*0.06/100</f>
        <v>0.06</v>
      </c>
      <c r="J211" s="263">
        <f>B211*0.288666666666667/100</f>
        <v>0.28866666666666702</v>
      </c>
      <c r="K211" s="256" t="s">
        <v>454</v>
      </c>
      <c r="L211" s="242">
        <f>B211*11.4997101449275/100</f>
        <v>11.499710144927498</v>
      </c>
      <c r="M211" s="239">
        <f>B211*2.65333333333333/100</f>
        <v>2.6533333333333302</v>
      </c>
      <c r="N211" s="239">
        <f>B211*23.9133333333333/100</f>
        <v>23.913333333333298</v>
      </c>
      <c r="O211" s="239">
        <f>B211*10.5766666666667/100</f>
        <v>10.5766666666667</v>
      </c>
      <c r="P211" s="239">
        <f>B211*0.0533333333333333/100</f>
        <v>5.3333333333333302E-2</v>
      </c>
      <c r="Q211" s="239">
        <f>B211*33.0766666666667/100</f>
        <v>33.076666666666704</v>
      </c>
      <c r="R211" s="239">
        <f>B211*0.253333333333333/100</f>
        <v>0.25333333333333302</v>
      </c>
      <c r="S211" s="239" t="s">
        <v>455</v>
      </c>
      <c r="T211" s="239">
        <f>B211*268.923333333333/100</f>
        <v>268.92333333333301</v>
      </c>
      <c r="U211" s="239">
        <f>B211*0.15/100</f>
        <v>0.15</v>
      </c>
      <c r="V211" s="239">
        <f>B211*0.07/100</f>
        <v>7.0000000000000007E-2</v>
      </c>
      <c r="W211" s="269" t="s">
        <v>454</v>
      </c>
      <c r="X211" s="239" t="s">
        <v>455</v>
      </c>
      <c r="Y211" s="239" t="s">
        <v>455</v>
      </c>
      <c r="Z211" s="239">
        <f>B211*0.06/100</f>
        <v>0.06</v>
      </c>
      <c r="AA211" s="239" t="s">
        <v>455</v>
      </c>
      <c r="AB211" s="239">
        <f>B211*70.7766666666667/100</f>
        <v>70.776666666666699</v>
      </c>
    </row>
    <row r="212" spans="1:28">
      <c r="A212" s="232" t="s">
        <v>3120</v>
      </c>
      <c r="B212" s="59">
        <v>100</v>
      </c>
      <c r="C212" s="239">
        <f>B212*45.4381173913043/100</f>
        <v>45.438117391304303</v>
      </c>
      <c r="D212" s="239">
        <f>B212*0.978260869565218/100</f>
        <v>0.97826086956521796</v>
      </c>
      <c r="E212" s="246">
        <f>B212*0.103333333333333/100</f>
        <v>0.103333333333333</v>
      </c>
      <c r="F212" s="252"/>
      <c r="G212" s="252"/>
      <c r="H212" s="252"/>
      <c r="I212" s="263"/>
      <c r="J212" s="263"/>
      <c r="K212" s="256" t="s">
        <v>454</v>
      </c>
      <c r="L212" s="242">
        <f>B212*11.4684057971015/100</f>
        <v>11.4684057971015</v>
      </c>
      <c r="M212" s="239">
        <f>B212*1.12333333333333/100</f>
        <v>1.12333333333333</v>
      </c>
      <c r="N212" s="239">
        <f>B212*35.407/100</f>
        <v>35.406999999999996</v>
      </c>
      <c r="O212" s="239">
        <f>B212*9.21666666666667/100</f>
        <v>9.2166666666666703</v>
      </c>
      <c r="P212" s="246">
        <f>B212*0.04/100</f>
        <v>0.04</v>
      </c>
      <c r="Q212" s="239">
        <f>B212*23.8033333333333/100</f>
        <v>23.803333333333299</v>
      </c>
      <c r="R212" s="239">
        <f>B212*0.136666666666667/100</f>
        <v>0.13666666666666699</v>
      </c>
      <c r="S212" s="239" t="s">
        <v>455</v>
      </c>
      <c r="T212" s="239">
        <f>B212*174.146666666667/100</f>
        <v>174.14666666666702</v>
      </c>
      <c r="U212" s="239">
        <f>B212*0.04/100</f>
        <v>0.04</v>
      </c>
      <c r="V212" s="239">
        <f>B212*0.06/100</f>
        <v>0.06</v>
      </c>
      <c r="W212" s="269" t="s">
        <v>454</v>
      </c>
      <c r="X212" s="239">
        <f>B212*0.0633333333333333/100</f>
        <v>6.3333333333333297E-2</v>
      </c>
      <c r="Y212" s="239">
        <f>B212*0.02/100</f>
        <v>0.02</v>
      </c>
      <c r="Z212" s="239" t="s">
        <v>455</v>
      </c>
      <c r="AA212" s="239" t="s">
        <v>455</v>
      </c>
      <c r="AB212" s="239">
        <f>B212*56.87/100</f>
        <v>56.87</v>
      </c>
    </row>
    <row r="213" spans="1:28">
      <c r="A213" s="232" t="s">
        <v>3121</v>
      </c>
      <c r="B213" s="59">
        <v>100</v>
      </c>
      <c r="C213" s="239">
        <f>B213*36.6494826086956/100</f>
        <v>36.6494826086956</v>
      </c>
      <c r="D213" s="239">
        <f>B213*0.652173913043478/100</f>
        <v>0.65217391304347805</v>
      </c>
      <c r="E213" s="246" t="s">
        <v>455</v>
      </c>
      <c r="F213" s="252"/>
      <c r="G213" s="252"/>
      <c r="H213" s="252"/>
      <c r="I213" s="263"/>
      <c r="J213" s="263"/>
      <c r="K213" s="256" t="s">
        <v>454</v>
      </c>
      <c r="L213" s="242">
        <f>B213*8.69782608695652/100</f>
        <v>8.6978260869565194</v>
      </c>
      <c r="M213" s="239" t="s">
        <v>455</v>
      </c>
      <c r="N213" s="239">
        <f>B213*5.92666666666667/100</f>
        <v>5.9266666666666712</v>
      </c>
      <c r="O213" s="239">
        <f>B213*7.8/100</f>
        <v>7.8</v>
      </c>
      <c r="P213" s="246">
        <f>B213*0.0166666666666667/100</f>
        <v>1.6666666666666701E-2</v>
      </c>
      <c r="Q213" s="239">
        <f>B213*21.93/100</f>
        <v>21.93</v>
      </c>
      <c r="R213" s="239">
        <f>B213*0.0633333333333333/100</f>
        <v>6.3333333333333297E-2</v>
      </c>
      <c r="S213" s="239" t="s">
        <v>455</v>
      </c>
      <c r="T213" s="239">
        <f>B213*172.56/100</f>
        <v>172.56</v>
      </c>
      <c r="U213" s="239">
        <f>B213*0.02/100</f>
        <v>0.02</v>
      </c>
      <c r="V213" s="239" t="s">
        <v>455</v>
      </c>
      <c r="W213" s="269" t="s">
        <v>454</v>
      </c>
      <c r="X213" s="239">
        <f>B213*0.0266666666666667/100</f>
        <v>2.66666666666667E-2</v>
      </c>
      <c r="Y213" s="239" t="s">
        <v>455</v>
      </c>
      <c r="Z213" s="239">
        <f>B213*0.02/100</f>
        <v>0.02</v>
      </c>
      <c r="AA213" s="239" t="s">
        <v>455</v>
      </c>
      <c r="AB213" s="239">
        <f>B213*94.4833333333333/100</f>
        <v>94.483333333333306</v>
      </c>
    </row>
    <row r="214" spans="1:28">
      <c r="A214" s="232" t="s">
        <v>913</v>
      </c>
      <c r="B214" s="59">
        <v>100</v>
      </c>
      <c r="C214" s="238">
        <f>B214*51.4711286392808/100</f>
        <v>51.471128639280799</v>
      </c>
      <c r="D214" s="238">
        <f>B214*1.07708333333333/100</f>
        <v>1.0770833333333301</v>
      </c>
      <c r="E214" s="248">
        <f>B214*0.185666666666667/100</f>
        <v>0.18566666666666701</v>
      </c>
      <c r="F214" s="252"/>
      <c r="G214" s="252"/>
      <c r="H214" s="252"/>
      <c r="I214" s="263"/>
      <c r="J214" s="263"/>
      <c r="K214" s="256" t="s">
        <v>454</v>
      </c>
      <c r="L214" s="242">
        <f>B214*12.8605833333333/100</f>
        <v>12.860583333333301</v>
      </c>
      <c r="M214" s="238">
        <f>B214*3.977/100</f>
        <v>3.9769999999999999</v>
      </c>
      <c r="N214" s="238">
        <f>B214*51.0823333333333/100</f>
        <v>51.082333333333303</v>
      </c>
      <c r="O214" s="238">
        <f>B214*14.0566666666667/100</f>
        <v>14.056666666666702</v>
      </c>
      <c r="P214" s="248">
        <f>B214*0.041/100</f>
        <v>4.1000000000000009E-2</v>
      </c>
      <c r="Q214" s="238">
        <f>B214*20.1156666666667/100</f>
        <v>20.115666666666701</v>
      </c>
      <c r="R214" s="238">
        <f>B214*0.146666666666667/100</f>
        <v>0.146666666666667</v>
      </c>
      <c r="S214" s="238">
        <f>B214*0.83/100</f>
        <v>0.83</v>
      </c>
      <c r="T214" s="238">
        <f>B214*172.52/100</f>
        <v>172.52</v>
      </c>
      <c r="U214" s="238">
        <f>B214*0.0376666666666667/100</f>
        <v>3.7666666666666702E-2</v>
      </c>
      <c r="V214" s="238">
        <f>B214*0.218333333333333/100</f>
        <v>0.21833333333333299</v>
      </c>
      <c r="W214" s="269" t="s">
        <v>454</v>
      </c>
      <c r="X214" s="243">
        <f>B214*0.0733333333333333/100</f>
        <v>7.3333333333333306E-2</v>
      </c>
      <c r="Y214" s="243">
        <f>B214*0.091/100</f>
        <v>9.0999999999999998E-2</v>
      </c>
      <c r="Z214" s="238">
        <f>B214*0.0333333333333333/100</f>
        <v>3.3333333333333298E-2</v>
      </c>
      <c r="AA214" s="245" t="s">
        <v>455</v>
      </c>
      <c r="AB214" s="243">
        <f>B214*34.6796666666667/100</f>
        <v>34.679666666666698</v>
      </c>
    </row>
    <row r="215" spans="1:28">
      <c r="A215" s="232" t="s">
        <v>914</v>
      </c>
      <c r="B215" s="59">
        <v>100</v>
      </c>
      <c r="C215" s="238">
        <f>B215*40.9560073108673/100</f>
        <v>40.9560073108673</v>
      </c>
      <c r="D215" s="238">
        <f>B215*0.666666666666667/100</f>
        <v>0.66666666666666696</v>
      </c>
      <c r="E215" s="248">
        <f>B215*0.142/100</f>
        <v>0.14199999999999999</v>
      </c>
      <c r="F215" s="252"/>
      <c r="G215" s="252"/>
      <c r="H215" s="252"/>
      <c r="I215" s="263"/>
      <c r="J215" s="263"/>
      <c r="K215" s="256" t="s">
        <v>454</v>
      </c>
      <c r="L215" s="242">
        <f>B215*9.57333333333334/100</f>
        <v>9.5733333333333395</v>
      </c>
      <c r="M215" s="238">
        <f>B215*1.031/100</f>
        <v>1.0309999999999999</v>
      </c>
      <c r="N215" s="238">
        <f>B215*13.3883333333333/100</f>
        <v>13.3883333333333</v>
      </c>
      <c r="O215" s="238">
        <f>B215*10.1093333333333/100</f>
        <v>10.1093333333333</v>
      </c>
      <c r="P215" s="248">
        <f>B215*0.0223333333333333/100</f>
        <v>2.2333333333333299E-2</v>
      </c>
      <c r="Q215" s="238">
        <f>B215*14.886/100</f>
        <v>14.885999999999999</v>
      </c>
      <c r="R215" s="238">
        <f>B215*0.086/100</f>
        <v>8.5999999999999993E-2</v>
      </c>
      <c r="S215" s="245" t="s">
        <v>455</v>
      </c>
      <c r="T215" s="238">
        <f>B215*145.241333333333/100</f>
        <v>145.24133333333299</v>
      </c>
      <c r="U215" s="238">
        <f>B215*0.0216666666666667/100</f>
        <v>2.1666666666666702E-2</v>
      </c>
      <c r="V215" s="238">
        <f>B215*0.0736666666666667/100</f>
        <v>7.36666666666667E-2</v>
      </c>
      <c r="W215" s="269" t="s">
        <v>454</v>
      </c>
      <c r="X215" s="242">
        <f>B215*0.04/100</f>
        <v>0.04</v>
      </c>
      <c r="Y215" s="242" t="s">
        <v>455</v>
      </c>
      <c r="Z215" s="238">
        <f>B215*0.0366666666666667/100</f>
        <v>3.6666666666666702E-2</v>
      </c>
      <c r="AA215" s="245" t="s">
        <v>455</v>
      </c>
      <c r="AB215" s="248">
        <f>B215*44.32/100</f>
        <v>44.32</v>
      </c>
    </row>
    <row r="216" spans="1:28">
      <c r="A216" s="232" t="s">
        <v>915</v>
      </c>
      <c r="B216" s="59">
        <v>100</v>
      </c>
      <c r="C216" s="238">
        <f>B216*45.7010387806296/100</f>
        <v>45.701038780629602</v>
      </c>
      <c r="D216" s="238">
        <f>B216*1.05625/100</f>
        <v>1.0562499999999999</v>
      </c>
      <c r="E216" s="248">
        <f>B216*0.0753333333333333/100</f>
        <v>7.5333333333333294E-2</v>
      </c>
      <c r="F216" s="252"/>
      <c r="G216" s="252"/>
      <c r="H216" s="252"/>
      <c r="I216" s="263"/>
      <c r="J216" s="263"/>
      <c r="K216" s="256" t="s">
        <v>454</v>
      </c>
      <c r="L216" s="242">
        <f>B216*11.53375/100</f>
        <v>11.53375</v>
      </c>
      <c r="M216" s="238">
        <f>B216*1.782/100</f>
        <v>1.7819999999999998</v>
      </c>
      <c r="N216" s="238">
        <f>B216*31.4666666666667/100</f>
        <v>31.466666666666701</v>
      </c>
      <c r="O216" s="238">
        <f>B216*10.1576666666667/100</f>
        <v>10.157666666666699</v>
      </c>
      <c r="P216" s="238">
        <f>B216*0.0513333333333333/100</f>
        <v>5.13333333333333E-2</v>
      </c>
      <c r="Q216" s="238">
        <f>B216*14.5103333333333/100</f>
        <v>14.5103333333333</v>
      </c>
      <c r="R216" s="238">
        <f>B216*0.12/100</f>
        <v>0.12</v>
      </c>
      <c r="S216" s="238">
        <f>B216*1.111/100</f>
        <v>1.111</v>
      </c>
      <c r="T216" s="238">
        <f>B216*129.87/100</f>
        <v>129.87</v>
      </c>
      <c r="U216" s="238">
        <f>B216*0.032/100</f>
        <v>3.2000000000000001E-2</v>
      </c>
      <c r="V216" s="238">
        <f>B216*0.117/100</f>
        <v>0.11700000000000001</v>
      </c>
      <c r="W216" s="269" t="s">
        <v>454</v>
      </c>
      <c r="X216" s="238">
        <f>B216*0.094/100</f>
        <v>9.4E-2</v>
      </c>
      <c r="Y216" s="238">
        <f>B216*0.0543333333333333/100</f>
        <v>5.4333333333333303E-2</v>
      </c>
      <c r="Z216" s="238">
        <f>B216*0.04/100</f>
        <v>0.04</v>
      </c>
      <c r="AA216" s="245" t="s">
        <v>455</v>
      </c>
      <c r="AB216" s="238">
        <f>B216*43.4556666666667/100</f>
        <v>43.455666666666701</v>
      </c>
    </row>
    <row r="217" spans="1:28">
      <c r="A217" s="232" t="s">
        <v>916</v>
      </c>
      <c r="B217" s="59">
        <v>100</v>
      </c>
      <c r="C217" s="238">
        <f>B217*39.3360939441324/100</f>
        <v>39.336093944132401</v>
      </c>
      <c r="D217" s="238">
        <f>B217*0.714583333333333/100</f>
        <v>0.71458333333333302</v>
      </c>
      <c r="E217" s="248">
        <f>B217*0.119333333333333/100</f>
        <v>0.119333333333333</v>
      </c>
      <c r="F217" s="252"/>
      <c r="G217" s="252"/>
      <c r="H217" s="252"/>
      <c r="I217" s="263"/>
      <c r="J217" s="263"/>
      <c r="K217" s="256" t="s">
        <v>454</v>
      </c>
      <c r="L217" s="242">
        <f>B217*9.16741666666668/100</f>
        <v>9.1674166666666803</v>
      </c>
      <c r="M217" s="238">
        <f>B217*0.424/100</f>
        <v>0.42399999999999999</v>
      </c>
      <c r="N217" s="238">
        <f>B217*7.73633333333333/100</f>
        <v>7.73633333333333</v>
      </c>
      <c r="O217" s="238">
        <f>B217*10.8926666666667/100</f>
        <v>10.892666666666701</v>
      </c>
      <c r="P217" s="248">
        <f>B217*0.0206666666666667/100</f>
        <v>2.0666666666666701E-2</v>
      </c>
      <c r="Q217" s="238">
        <f>B217*16.2436666666667/100</f>
        <v>16.243666666666702</v>
      </c>
      <c r="R217" s="242" t="s">
        <v>455</v>
      </c>
      <c r="S217" s="245" t="s">
        <v>455</v>
      </c>
      <c r="T217" s="238">
        <f>B217*128.744666666667/100</f>
        <v>128.744666666667</v>
      </c>
      <c r="U217" s="238">
        <f>B217*0.023/100</f>
        <v>2.3E-2</v>
      </c>
      <c r="V217" s="238">
        <f>B217*0.0293333333333333/100</f>
        <v>2.9333333333333302E-2</v>
      </c>
      <c r="W217" s="269" t="s">
        <v>454</v>
      </c>
      <c r="X217" s="242">
        <f>B217*0.10233/100</f>
        <v>0.10233</v>
      </c>
      <c r="Y217" s="242">
        <f>B217*0.03333/100</f>
        <v>3.3329999999999999E-2</v>
      </c>
      <c r="Z217" s="238">
        <f>B217*0.0433333333333333/100</f>
        <v>4.3333333333333307E-2</v>
      </c>
      <c r="AA217" s="245" t="s">
        <v>455</v>
      </c>
      <c r="AB217" s="242">
        <f>B217*41.3033/100</f>
        <v>41.3033</v>
      </c>
    </row>
    <row r="218" spans="1:28">
      <c r="A218" s="232" t="s">
        <v>918</v>
      </c>
      <c r="B218" s="59">
        <v>100</v>
      </c>
      <c r="C218" s="239">
        <f>B218*36.7737652173913/100</f>
        <v>36.773765217391301</v>
      </c>
      <c r="D218" s="239">
        <f>B218*1.04347826086957/100</f>
        <v>1.0434782608695701</v>
      </c>
      <c r="E218" s="246">
        <f>B218*0.126666666666667/100</f>
        <v>0.12666666666666701</v>
      </c>
      <c r="F218" s="252"/>
      <c r="G218" s="252"/>
      <c r="H218" s="252"/>
      <c r="I218" s="263"/>
      <c r="J218" s="263"/>
      <c r="K218" s="256" t="s">
        <v>454</v>
      </c>
      <c r="L218" s="242">
        <f>B218*8.94652173913044/100</f>
        <v>8.9465217391304392</v>
      </c>
      <c r="M218" s="239">
        <f>B218*0.766666666666667/100</f>
        <v>0.76666666666666705</v>
      </c>
      <c r="N218" s="239">
        <f>B218*21.886/100</f>
        <v>21.885999999999999</v>
      </c>
      <c r="O218" s="239">
        <f>B218*8.61333333333333/100</f>
        <v>8.6133333333333297</v>
      </c>
      <c r="P218" s="239">
        <f>B218*0.05/100</f>
        <v>0.05</v>
      </c>
      <c r="Q218" s="239">
        <f>B218*22.6833333333333/100</f>
        <v>22.683333333333302</v>
      </c>
      <c r="R218" s="239">
        <f>B218*0.09/100</f>
        <v>0.09</v>
      </c>
      <c r="S218" s="239" t="s">
        <v>455</v>
      </c>
      <c r="T218" s="239">
        <f>B218*162.82/100</f>
        <v>162.82</v>
      </c>
      <c r="U218" s="239">
        <f>B218*0.03/100</f>
        <v>0.03</v>
      </c>
      <c r="V218" s="239">
        <f>B218*0.06/100</f>
        <v>0.06</v>
      </c>
      <c r="W218" s="269" t="s">
        <v>454</v>
      </c>
      <c r="X218" s="239">
        <f>B218*0.0666666666666667/100</f>
        <v>6.6666666666666693E-2</v>
      </c>
      <c r="Y218" s="239">
        <f>B218*0.02/100</f>
        <v>0.02</v>
      </c>
      <c r="Z218" s="239">
        <f>B218*0.02/100</f>
        <v>0.02</v>
      </c>
      <c r="AA218" s="239" t="s">
        <v>455</v>
      </c>
      <c r="AB218" s="239">
        <f>B218*53.7333333333333/100</f>
        <v>53.733333333333306</v>
      </c>
    </row>
    <row r="219" spans="1:28">
      <c r="A219" s="232" t="s">
        <v>917</v>
      </c>
      <c r="B219" s="59">
        <v>100</v>
      </c>
      <c r="C219" s="239">
        <f>B219*32.7097536231884/100</f>
        <v>32.709753623188398</v>
      </c>
      <c r="D219" s="239">
        <f>B219*0.739130434782609/100</f>
        <v>0.73913043478260898</v>
      </c>
      <c r="E219" s="246">
        <f>B219*0.0733333333333333/100</f>
        <v>7.3333333333333306E-2</v>
      </c>
      <c r="F219" s="252"/>
      <c r="G219" s="252"/>
      <c r="H219" s="252"/>
      <c r="I219" s="263"/>
      <c r="J219" s="263"/>
      <c r="K219" s="256" t="s">
        <v>454</v>
      </c>
      <c r="L219" s="242">
        <f>B219*7.55420289855072/100</f>
        <v>7.5542028985507201</v>
      </c>
      <c r="M219" s="239" t="s">
        <v>455</v>
      </c>
      <c r="N219" s="239">
        <f>B219*7.36666666666667/100</f>
        <v>7.3666666666666698</v>
      </c>
      <c r="O219" s="239">
        <f>B219*7.58666666666667/100</f>
        <v>7.5866666666666696</v>
      </c>
      <c r="P219" s="246">
        <f>B219*0.03/100</f>
        <v>0.03</v>
      </c>
      <c r="Q219" s="239">
        <f>B219*14.01/100</f>
        <v>14.01</v>
      </c>
      <c r="R219" s="239" t="s">
        <v>455</v>
      </c>
      <c r="S219" s="239" t="s">
        <v>455</v>
      </c>
      <c r="T219" s="239">
        <f>B219*148.756666666667/100</f>
        <v>148.756666666667</v>
      </c>
      <c r="U219" s="239">
        <f>B219*0.01/100</f>
        <v>0.01</v>
      </c>
      <c r="V219" s="239" t="s">
        <v>455</v>
      </c>
      <c r="W219" s="269" t="s">
        <v>454</v>
      </c>
      <c r="X219" s="239" t="s">
        <v>455</v>
      </c>
      <c r="Y219" s="239" t="s">
        <v>455</v>
      </c>
      <c r="Z219" s="239" t="s">
        <v>455</v>
      </c>
      <c r="AA219" s="239" t="s">
        <v>455</v>
      </c>
      <c r="AB219" s="239">
        <f>B219*73.3366666666667/100</f>
        <v>73.336666666666702</v>
      </c>
    </row>
    <row r="220" spans="1:28">
      <c r="A220" s="232" t="s">
        <v>919</v>
      </c>
      <c r="B220" s="59">
        <v>100</v>
      </c>
      <c r="C220" s="238">
        <f>B220*46.109628783385/100</f>
        <v>46.109628783384998</v>
      </c>
      <c r="D220" s="238">
        <f>B220*0.766666666666667/100</f>
        <v>0.76666666666666705</v>
      </c>
      <c r="E220" s="248">
        <f>B220*0.159/100</f>
        <v>0.159</v>
      </c>
      <c r="F220" s="252"/>
      <c r="G220" s="252"/>
      <c r="H220" s="252"/>
      <c r="I220" s="263"/>
      <c r="J220" s="263"/>
      <c r="K220" s="256" t="s">
        <v>454</v>
      </c>
      <c r="L220" s="242">
        <f>B220*11.723/100</f>
        <v>11.723000000000003</v>
      </c>
      <c r="M220" s="242">
        <f>B220*1.72766666666667/100</f>
        <v>1.72766666666667</v>
      </c>
      <c r="N220" s="238">
        <f>B220*33.736/100</f>
        <v>33.735999999999997</v>
      </c>
      <c r="O220" s="238">
        <f>B220*14.4026666666667/100</f>
        <v>14.4026666666667</v>
      </c>
      <c r="P220" s="238">
        <f>B220*0.056/100</f>
        <v>5.6000000000000008E-2</v>
      </c>
      <c r="Q220" s="238">
        <f>B220*19.766/100</f>
        <v>19.765999999999998</v>
      </c>
      <c r="R220" s="238">
        <f>B220*0.091/100</f>
        <v>9.0999999999999998E-2</v>
      </c>
      <c r="S220" s="238">
        <f>B220*0.629/100</f>
        <v>0.629</v>
      </c>
      <c r="T220" s="238">
        <f>B220*157.903333333333/100</f>
        <v>157.90333333333299</v>
      </c>
      <c r="U220" s="238">
        <f>B220*0.0423333333333333/100</f>
        <v>4.2333333333333299E-2</v>
      </c>
      <c r="V220" s="238">
        <f>B220*0.112/100</f>
        <v>0.11200000000000002</v>
      </c>
      <c r="W220" s="269" t="s">
        <v>454</v>
      </c>
      <c r="X220" s="238">
        <f>B220*0.0686666666666667/100</f>
        <v>6.8666666666666695E-2</v>
      </c>
      <c r="Y220" s="238">
        <f>B220*0.036/100</f>
        <v>3.5999999999999997E-2</v>
      </c>
      <c r="Z220" s="238">
        <f>B220*0.03/100</f>
        <v>0.03</v>
      </c>
      <c r="AA220" s="245" t="s">
        <v>455</v>
      </c>
      <c r="AB220" s="238">
        <f>B220*47.8456666666667/100</f>
        <v>47.845666666666702</v>
      </c>
    </row>
    <row r="221" spans="1:28">
      <c r="A221" s="232" t="s">
        <v>920</v>
      </c>
      <c r="B221" s="59">
        <v>100</v>
      </c>
      <c r="C221" s="238">
        <f>B221*36.1963505876859/100</f>
        <v>36.196350587685899</v>
      </c>
      <c r="D221" s="242">
        <f>B221*0.483333333333333/100</f>
        <v>0.483333333333333</v>
      </c>
      <c r="E221" s="248">
        <f>B221*0.124333333333333/100</f>
        <v>0.124333333333333</v>
      </c>
      <c r="F221" s="252"/>
      <c r="G221" s="252"/>
      <c r="H221" s="252"/>
      <c r="I221" s="263"/>
      <c r="J221" s="263"/>
      <c r="K221" s="256" t="s">
        <v>454</v>
      </c>
      <c r="L221" s="242">
        <f>B221*8.554/100</f>
        <v>8.5540000000000003</v>
      </c>
      <c r="M221" s="238">
        <f>B221*0.422/100</f>
        <v>0.42199999999999993</v>
      </c>
      <c r="N221" s="238">
        <f>B221*9.07633333333333/100</f>
        <v>9.0763333333333307</v>
      </c>
      <c r="O221" s="238">
        <f>B221*9.59266666666667/100</f>
        <v>9.5926666666666698</v>
      </c>
      <c r="P221" s="248">
        <f>B221*0.0293333333333333/100</f>
        <v>2.9333333333333302E-2</v>
      </c>
      <c r="Q221" s="238">
        <f>B221*17.2653333333333/100</f>
        <v>17.265333333333299</v>
      </c>
      <c r="R221" s="242" t="s">
        <v>455</v>
      </c>
      <c r="S221" s="245" t="s">
        <v>455</v>
      </c>
      <c r="T221" s="238">
        <f>B221*143.418/100</f>
        <v>143.41800000000001</v>
      </c>
      <c r="U221" s="238">
        <f>B221*0.0196666666666667/100</f>
        <v>1.96666666666667E-2</v>
      </c>
      <c r="V221" s="242" t="s">
        <v>455</v>
      </c>
      <c r="W221" s="269" t="s">
        <v>454</v>
      </c>
      <c r="X221" s="242" t="s">
        <v>23</v>
      </c>
      <c r="Y221" s="242" t="s">
        <v>23</v>
      </c>
      <c r="Z221" s="238">
        <f>B221*0.03/100</f>
        <v>0.03</v>
      </c>
      <c r="AA221" s="245" t="s">
        <v>455</v>
      </c>
      <c r="AB221" s="242" t="s">
        <v>23</v>
      </c>
    </row>
    <row r="222" spans="1:28">
      <c r="A222" s="222" t="s">
        <v>3122</v>
      </c>
      <c r="B222" s="59">
        <v>100</v>
      </c>
      <c r="C222" s="247">
        <f>B222*14.1037333993117/100</f>
        <v>14.1037333993117</v>
      </c>
      <c r="D222" s="247">
        <f>B222*0.325/100</f>
        <v>0.32500000000000001</v>
      </c>
      <c r="E222" s="244" t="s">
        <v>455</v>
      </c>
      <c r="F222" s="252"/>
      <c r="G222" s="252"/>
      <c r="H222" s="252"/>
      <c r="I222" s="263"/>
      <c r="J222" s="263"/>
      <c r="K222" s="258" t="s">
        <v>454</v>
      </c>
      <c r="L222" s="247">
        <f>B222*5.24666666666666/100</f>
        <v>5.246666666666659</v>
      </c>
      <c r="M222" s="244" t="s">
        <v>455</v>
      </c>
      <c r="N222" s="244">
        <f>B222*10.1836666666667/100</f>
        <v>10.183666666666699</v>
      </c>
      <c r="O222" s="244">
        <f>B222*8.85766666666667/100</f>
        <v>8.8576666666666704</v>
      </c>
      <c r="P222" s="244">
        <f>B222*0.0326666666666667/100</f>
        <v>3.2666666666666698E-2</v>
      </c>
      <c r="Q222" s="244">
        <f>B222*11.1316666666667/100</f>
        <v>11.1316666666667</v>
      </c>
      <c r="R222" s="244">
        <f>B222*0.079/100</f>
        <v>7.9000000000000001E-2</v>
      </c>
      <c r="S222" s="244" t="s">
        <v>455</v>
      </c>
      <c r="T222" s="244">
        <f>B222*119.879333333333/100</f>
        <v>119.87933333333299</v>
      </c>
      <c r="U222" s="244">
        <f>B222*0.0256666666666667/100</f>
        <v>2.5666666666666699E-2</v>
      </c>
      <c r="V222" s="258"/>
      <c r="W222" s="258" t="s">
        <v>454</v>
      </c>
      <c r="X222" s="244" t="s">
        <v>455</v>
      </c>
      <c r="Y222" s="244" t="s">
        <v>455</v>
      </c>
      <c r="Z222" s="244" t="s">
        <v>455</v>
      </c>
      <c r="AA222" s="244" t="s">
        <v>455</v>
      </c>
      <c r="AB222" s="244">
        <f>B222*32.78/100</f>
        <v>32.78</v>
      </c>
    </row>
    <row r="223" spans="1:28">
      <c r="A223" s="232" t="s">
        <v>921</v>
      </c>
      <c r="B223" s="59">
        <v>100</v>
      </c>
      <c r="C223" s="239">
        <f>B223*22.2250434782609/100</f>
        <v>22.225043478260901</v>
      </c>
      <c r="D223" s="239">
        <f>B223*0.565217391304348/100</f>
        <v>0.565217391304348</v>
      </c>
      <c r="E223" s="246">
        <f>B223*0.0666666666666667/100</f>
        <v>6.6666666666666693E-2</v>
      </c>
      <c r="F223" s="252"/>
      <c r="G223" s="252"/>
      <c r="H223" s="252"/>
      <c r="I223" s="263"/>
      <c r="J223" s="263"/>
      <c r="K223" s="256" t="s">
        <v>454</v>
      </c>
      <c r="L223" s="242">
        <f>B223*7.32144927536232/100</f>
        <v>7.3214492753623199</v>
      </c>
      <c r="M223" s="239" t="s">
        <v>455</v>
      </c>
      <c r="N223" s="239">
        <f>B223*5.26333333333333/100</f>
        <v>5.2633333333333301</v>
      </c>
      <c r="O223" s="239">
        <f>B223*5.92/100</f>
        <v>5.92</v>
      </c>
      <c r="P223" s="246">
        <f>B223*0.01/100</f>
        <v>0.01</v>
      </c>
      <c r="Q223" s="239">
        <f>B223*13.04/100</f>
        <v>13.04</v>
      </c>
      <c r="R223" s="239">
        <f>B223*0.0533333333333333/100</f>
        <v>5.3333333333333302E-2</v>
      </c>
      <c r="S223" s="239" t="s">
        <v>455</v>
      </c>
      <c r="T223" s="239">
        <f>B223*112.51/100</f>
        <v>112.51</v>
      </c>
      <c r="U223" s="239">
        <f>B223*0.02/100</f>
        <v>0.02</v>
      </c>
      <c r="V223" s="239">
        <f>B223*0.0533333333333333/100</f>
        <v>5.3333333333333302E-2</v>
      </c>
      <c r="W223" s="269" t="s">
        <v>454</v>
      </c>
      <c r="X223" s="239" t="s">
        <v>455</v>
      </c>
      <c r="Y223" s="239" t="s">
        <v>455</v>
      </c>
      <c r="Z223" s="239">
        <f>B223*0.03/100</f>
        <v>0.03</v>
      </c>
      <c r="AA223" s="239" t="s">
        <v>455</v>
      </c>
      <c r="AB223" s="239">
        <f>B223*34.4966666666667/100</f>
        <v>34.496666666666698</v>
      </c>
    </row>
    <row r="224" spans="1:28">
      <c r="A224" s="232" t="s">
        <v>927</v>
      </c>
      <c r="B224" s="59">
        <v>100</v>
      </c>
      <c r="C224" s="238">
        <f>B224*31.8181534301639/100</f>
        <v>31.818153430163896</v>
      </c>
      <c r="D224" s="238">
        <f>B224*0.939583333333333/100</f>
        <v>0.93958333333333299</v>
      </c>
      <c r="E224" s="248">
        <f>B224*0.14/100</f>
        <v>0.14000000000000001</v>
      </c>
      <c r="F224" s="252"/>
      <c r="G224" s="252"/>
      <c r="H224" s="252"/>
      <c r="I224" s="263"/>
      <c r="J224" s="263"/>
      <c r="K224" s="256" t="s">
        <v>454</v>
      </c>
      <c r="L224" s="242">
        <f>B224*11.0844166666667/100</f>
        <v>11.0844166666667</v>
      </c>
      <c r="M224" s="238">
        <f>B224*1.18166666666667/100</f>
        <v>1.18166666666667</v>
      </c>
      <c r="N224" s="238">
        <f>B224*50.9836666666667/100</f>
        <v>50.983666666666707</v>
      </c>
      <c r="O224" s="238">
        <f>B224*9.696/100</f>
        <v>9.6959999999999997</v>
      </c>
      <c r="P224" s="238">
        <f>B224*0.0723333333333333/100</f>
        <v>7.2333333333333305E-2</v>
      </c>
      <c r="Q224" s="238">
        <f>B224*23.7613333333333/100</f>
        <v>23.761333333333301</v>
      </c>
      <c r="R224" s="242">
        <f>B224*0.179666666666667/100</f>
        <v>0.179666666666667</v>
      </c>
      <c r="S224" s="238">
        <f>B224*1.24833333333333/100</f>
        <v>1.24833333333333</v>
      </c>
      <c r="T224" s="238">
        <f>B224*128.293333333333/100</f>
        <v>128.29333333333301</v>
      </c>
      <c r="U224" s="238">
        <f>B224*0.0583333333333333/100</f>
        <v>5.8333333333333307E-2</v>
      </c>
      <c r="V224" s="242">
        <f>B224*0.211/100</f>
        <v>0.21099999999999997</v>
      </c>
      <c r="W224" s="269" t="s">
        <v>454</v>
      </c>
      <c r="X224" s="238">
        <f>B224*0.303/100</f>
        <v>0.30299999999999999</v>
      </c>
      <c r="Y224" s="238">
        <f>B224*0.0373333333333333/100</f>
        <v>3.7333333333333302E-2</v>
      </c>
      <c r="Z224" s="245" t="s">
        <v>455</v>
      </c>
      <c r="AA224" s="245" t="s">
        <v>455</v>
      </c>
      <c r="AB224" s="243">
        <f>B224*38.236/100</f>
        <v>38.235999999999997</v>
      </c>
    </row>
    <row r="225" spans="1:28">
      <c r="A225" s="234" t="s">
        <v>3123</v>
      </c>
      <c r="B225" s="59">
        <v>100</v>
      </c>
      <c r="C225" s="238">
        <f>B225*62.5318183662891/100</f>
        <v>62.531818366289102</v>
      </c>
      <c r="D225" s="242">
        <f>B225*0.225/100</f>
        <v>0.22500000000000001</v>
      </c>
      <c r="E225" s="248">
        <f>B225*0.246/100</f>
        <v>0.24600000000000002</v>
      </c>
      <c r="F225" s="252">
        <f>B225*0.1/100</f>
        <v>0.1</v>
      </c>
      <c r="G225" s="252" t="s">
        <v>455</v>
      </c>
      <c r="H225" s="252" t="s">
        <v>455</v>
      </c>
      <c r="I225" s="263">
        <f>B225*0.04/100</f>
        <v>0.04</v>
      </c>
      <c r="J225" s="263">
        <f>B225*0.01/100</f>
        <v>0.01</v>
      </c>
      <c r="K225" s="256" t="s">
        <v>454</v>
      </c>
      <c r="L225" s="242">
        <f>B225*16.588/100</f>
        <v>16.588000000000001</v>
      </c>
      <c r="M225" s="243">
        <f>B225*2.02633333333333/100</f>
        <v>2.02633333333333</v>
      </c>
      <c r="N225" s="243">
        <f>B225*3.39233333333333/100</f>
        <v>3.3923333333333301</v>
      </c>
      <c r="O225" s="243">
        <f>B225*4.85766666666667/100</f>
        <v>4.8576666666666704</v>
      </c>
      <c r="P225" s="248">
        <f>B225*0.012/100</f>
        <v>1.2E-2</v>
      </c>
      <c r="Q225" s="243">
        <f>B225*11.4036666666667/100</f>
        <v>11.4036666666667</v>
      </c>
      <c r="R225" s="243">
        <f>B225*0.0533333333333333/100</f>
        <v>5.3333333333333302E-2</v>
      </c>
      <c r="S225" s="243">
        <f>B225*1.318/100</f>
        <v>1.3180000000000001</v>
      </c>
      <c r="T225" s="243">
        <f>B225*117.477/100</f>
        <v>117.477</v>
      </c>
      <c r="U225" s="243">
        <f>B225*0.031/100</f>
        <v>3.1E-2</v>
      </c>
      <c r="V225" s="243" t="s">
        <v>455</v>
      </c>
      <c r="W225" s="269" t="s">
        <v>454</v>
      </c>
      <c r="X225" s="243">
        <f>B225*0.05/100</f>
        <v>0.05</v>
      </c>
      <c r="Y225" s="245" t="s">
        <v>455</v>
      </c>
      <c r="Z225" s="245" t="s">
        <v>455</v>
      </c>
      <c r="AA225" s="245" t="s">
        <v>455</v>
      </c>
      <c r="AB225" s="243">
        <f>B225*1.48666666666667/100</f>
        <v>1.4866666666666699</v>
      </c>
    </row>
    <row r="226" spans="1:28">
      <c r="A226" s="232" t="s">
        <v>3124</v>
      </c>
      <c r="B226" s="59">
        <v>100</v>
      </c>
      <c r="C226" s="239">
        <f>B226*55.5152/100</f>
        <v>55.515200000000007</v>
      </c>
      <c r="D226" s="239">
        <f>B226*0.286666666666667/100</f>
        <v>0.28666666666666701</v>
      </c>
      <c r="E226" s="246" t="s">
        <v>455</v>
      </c>
      <c r="F226" s="252"/>
      <c r="G226" s="252"/>
      <c r="H226" s="252"/>
      <c r="I226" s="263"/>
      <c r="J226" s="263"/>
      <c r="K226" s="256" t="s">
        <v>454</v>
      </c>
      <c r="L226" s="242">
        <f>B226*15.1533333333333/100</f>
        <v>15.1533333333333</v>
      </c>
      <c r="M226" s="239">
        <f>B226*1.34666666666667/100</f>
        <v>1.34666666666667</v>
      </c>
      <c r="N226" s="239">
        <f>B226*1.92333333333333/100</f>
        <v>1.92333333333333</v>
      </c>
      <c r="O226" s="239">
        <f>B226*2.04/100</f>
        <v>2.04</v>
      </c>
      <c r="P226" s="246">
        <f>B226*0.0333333333333333/100</f>
        <v>3.3333333333333298E-2</v>
      </c>
      <c r="Q226" s="239">
        <f>B226*9.07666666666667/100</f>
        <v>9.0766666666666698</v>
      </c>
      <c r="R226" s="239">
        <f>B226*0.0933333333333333/100</f>
        <v>9.333333333333331E-2</v>
      </c>
      <c r="S226" s="239" t="s">
        <v>455</v>
      </c>
      <c r="T226" s="239">
        <f>B226*74.7133333333333/100</f>
        <v>74.713333333333296</v>
      </c>
      <c r="U226" s="239">
        <f>B226*0.06/100</f>
        <v>0.06</v>
      </c>
      <c r="V226" s="239" t="s">
        <v>455</v>
      </c>
      <c r="W226" s="269" t="s">
        <v>454</v>
      </c>
      <c r="X226" s="239" t="s">
        <v>455</v>
      </c>
      <c r="Y226" s="239" t="s">
        <v>455</v>
      </c>
      <c r="Z226" s="239">
        <f>B226*0.03/100</f>
        <v>0.03</v>
      </c>
      <c r="AA226" s="239" t="s">
        <v>455</v>
      </c>
      <c r="AB226" s="239">
        <f>B226*2.40666666666667/100</f>
        <v>2.4066666666666698</v>
      </c>
    </row>
    <row r="227" spans="1:28">
      <c r="A227" s="232" t="s">
        <v>924</v>
      </c>
      <c r="B227" s="59">
        <v>100</v>
      </c>
      <c r="C227" s="238">
        <f>B227*404.281876666667/100</f>
        <v>404.28187666666702</v>
      </c>
      <c r="D227" s="238">
        <f>B227*2.0829/100</f>
        <v>2.0829</v>
      </c>
      <c r="E227" s="248">
        <f>B227*40.6566666666667/100</f>
        <v>40.656666666666702</v>
      </c>
      <c r="F227" s="252">
        <f>B227*7.1/100</f>
        <v>7.1</v>
      </c>
      <c r="G227" s="252">
        <f>B227*25.3/100</f>
        <v>25.3</v>
      </c>
      <c r="H227" s="252">
        <f>B227*6.5/100</f>
        <v>6.5</v>
      </c>
      <c r="I227" s="263">
        <f>B227*6.18/100</f>
        <v>6.18</v>
      </c>
      <c r="J227" s="263">
        <f>B227*0.3/100</f>
        <v>0.3</v>
      </c>
      <c r="K227" s="256" t="s">
        <v>454</v>
      </c>
      <c r="L227" s="242">
        <f>B227*13.9454333333333/100</f>
        <v>13.945433333333302</v>
      </c>
      <c r="M227" s="238">
        <f>B227*13.4435/100</f>
        <v>13.443499999999998</v>
      </c>
      <c r="N227" s="243">
        <f>B227*66.5323333333333/100</f>
        <v>66.532333333333298</v>
      </c>
      <c r="O227" s="238">
        <f>B227*66.0533333333333/100</f>
        <v>66.053333333333299</v>
      </c>
      <c r="P227" s="238">
        <f>B227*0.075/100</f>
        <v>7.4999999999999997E-2</v>
      </c>
      <c r="Q227" s="238">
        <f>B227*43.8676666666667/100</f>
        <v>43.8676666666667</v>
      </c>
      <c r="R227" s="238">
        <f>B227*0.808/100</f>
        <v>0.80800000000000016</v>
      </c>
      <c r="S227" s="238">
        <f>B227*0.654333333333333/100</f>
        <v>0.65433333333333299</v>
      </c>
      <c r="T227" s="238">
        <f>B227*305.813/100</f>
        <v>305.81299999999999</v>
      </c>
      <c r="U227" s="238">
        <f>B227*0.353/100</f>
        <v>0.35299999999999998</v>
      </c>
      <c r="V227" s="238">
        <f>B227*0.664333333333333/100</f>
        <v>0.664333333333333</v>
      </c>
      <c r="W227" s="269" t="s">
        <v>454</v>
      </c>
      <c r="X227" s="238">
        <f>B227*0.113333333333333/100</f>
        <v>0.11333333333333301</v>
      </c>
      <c r="Y227" s="238">
        <f>B227*0.113333333333333/100</f>
        <v>0.11333333333333301</v>
      </c>
      <c r="Z227" s="238">
        <f>B227*0.03/100</f>
        <v>0.03</v>
      </c>
      <c r="AA227" s="245" t="s">
        <v>455</v>
      </c>
      <c r="AB227" s="238">
        <f>B227*13.4435/100</f>
        <v>13.443499999999998</v>
      </c>
    </row>
    <row r="228" spans="1:28">
      <c r="A228" s="222" t="s">
        <v>3125</v>
      </c>
      <c r="B228" s="59">
        <v>100</v>
      </c>
      <c r="C228" s="247">
        <f>B228*195.627474821786/100</f>
        <v>195.627474821786</v>
      </c>
      <c r="D228" s="247">
        <f>B228*0.19375/100</f>
        <v>0.19375000000000001</v>
      </c>
      <c r="E228" s="244">
        <f>B228*0.0673333333333333/100</f>
        <v>6.7333333333333301E-2</v>
      </c>
      <c r="F228" s="252"/>
      <c r="G228" s="252"/>
      <c r="H228" s="252"/>
      <c r="I228" s="263"/>
      <c r="J228" s="263"/>
      <c r="K228" s="258" t="s">
        <v>454</v>
      </c>
      <c r="L228" s="247">
        <f>B228*54.0035833333333/100</f>
        <v>54.003583333333296</v>
      </c>
      <c r="M228" s="258">
        <f>B228*1.31333333333333/100</f>
        <v>1.3133333333333299</v>
      </c>
      <c r="N228" s="244">
        <f>B228*20.0126666666667/100</f>
        <v>20.0126666666667</v>
      </c>
      <c r="O228" s="244">
        <f>B228*5.81433333333333/100</f>
        <v>5.8143333333333302</v>
      </c>
      <c r="P228" s="244">
        <f>B228*0.02/100</f>
        <v>0.02</v>
      </c>
      <c r="Q228" s="244">
        <f>B228*4.48133333333333/100</f>
        <v>4.4813333333333301</v>
      </c>
      <c r="R228" s="244">
        <f>B228*0.107666666666667/100</f>
        <v>0.10766666666666699</v>
      </c>
      <c r="S228" s="244">
        <f>B228*2.91433333333333/100</f>
        <v>2.9143333333333299</v>
      </c>
      <c r="T228" s="244">
        <f>B228*68.2356666666667/100</f>
        <v>68.235666666666702</v>
      </c>
      <c r="U228" s="244">
        <f>B228*0.019/100</f>
        <v>1.9E-2</v>
      </c>
      <c r="V228" s="244">
        <f>B228*0.0656666666666667/100</f>
        <v>6.5666666666666706E-2</v>
      </c>
      <c r="W228" s="258" t="s">
        <v>454</v>
      </c>
      <c r="X228" s="244">
        <f>B228*0.03/100</f>
        <v>0.03</v>
      </c>
      <c r="Y228" s="244" t="s">
        <v>455</v>
      </c>
      <c r="Z228" s="244" t="s">
        <v>455</v>
      </c>
      <c r="AA228" s="244" t="s">
        <v>455</v>
      </c>
      <c r="AB228" s="244">
        <f>B228*3.9/100</f>
        <v>3.9</v>
      </c>
    </row>
    <row r="229" spans="1:28">
      <c r="A229" s="232" t="s">
        <v>926</v>
      </c>
      <c r="B229" s="59">
        <v>100</v>
      </c>
      <c r="C229" s="239">
        <f>B229*45.3407478260869/100</f>
        <v>45.340747826086897</v>
      </c>
      <c r="D229" s="239">
        <f>B229*0.815217391304348/100</f>
        <v>0.815217391304348</v>
      </c>
      <c r="E229" s="246">
        <f>B229*0.12/100</f>
        <v>0.12</v>
      </c>
      <c r="F229" s="252"/>
      <c r="G229" s="252"/>
      <c r="H229" s="252"/>
      <c r="I229" s="263"/>
      <c r="J229" s="263"/>
      <c r="K229" s="256" t="s">
        <v>454</v>
      </c>
      <c r="L229" s="242">
        <f>B229*11.5547826086956/100</f>
        <v>11.5547826086956</v>
      </c>
      <c r="M229" s="239">
        <f>B229*1.81333333333333/100</f>
        <v>1.8133333333333299</v>
      </c>
      <c r="N229" s="239">
        <f>B229*24.8733333333333/100</f>
        <v>24.873333333333299</v>
      </c>
      <c r="O229" s="239">
        <f>B229*17.3233333333333/100</f>
        <v>17.323333333333299</v>
      </c>
      <c r="P229" s="246">
        <f>B229*0.04/100</f>
        <v>0.04</v>
      </c>
      <c r="Q229" s="239">
        <f>B229*10.8566666666667/100</f>
        <v>10.856666666666699</v>
      </c>
      <c r="R229" s="239">
        <f>B229*0.233333333333333/100</f>
        <v>0.233333333333333</v>
      </c>
      <c r="S229" s="239">
        <f>B229*3.25666666666667/100</f>
        <v>3.2566666666666695</v>
      </c>
      <c r="T229" s="239">
        <f>B229*221.803333333333/100</f>
        <v>221.803333333333</v>
      </c>
      <c r="U229" s="239">
        <f>B229*1.36/100</f>
        <v>1.36</v>
      </c>
      <c r="V229" s="239">
        <f>B229*0.07/100</f>
        <v>7.0000000000000007E-2</v>
      </c>
      <c r="W229" s="269" t="s">
        <v>454</v>
      </c>
      <c r="X229" s="239">
        <f>B229*0.03/100</f>
        <v>0.03</v>
      </c>
      <c r="Y229" s="239">
        <f>B229*0.03/100</f>
        <v>0.03</v>
      </c>
      <c r="Z229" s="239" t="s">
        <v>455</v>
      </c>
      <c r="AA229" s="239" t="s">
        <v>455</v>
      </c>
      <c r="AB229" s="239">
        <f>B229*78.5266666666667/100</f>
        <v>78.526666666666699</v>
      </c>
    </row>
    <row r="230" spans="1:28">
      <c r="A230" s="232" t="s">
        <v>925</v>
      </c>
      <c r="B230" s="59">
        <v>100</v>
      </c>
      <c r="C230" s="238">
        <f>B230*40.1567689422966/100</f>
        <v>40.156768942296601</v>
      </c>
      <c r="D230" s="242">
        <f>B230*0.45625/100</f>
        <v>0.45624999999999999</v>
      </c>
      <c r="E230" s="248">
        <f>B230*0.124333333333333/100</f>
        <v>0.124333333333333</v>
      </c>
      <c r="F230" s="252"/>
      <c r="G230" s="252"/>
      <c r="H230" s="252"/>
      <c r="I230" s="263"/>
      <c r="J230" s="263"/>
      <c r="K230" s="256" t="s">
        <v>454</v>
      </c>
      <c r="L230" s="242">
        <f>B230*10.43975/100</f>
        <v>10.439749999999998</v>
      </c>
      <c r="M230" s="238">
        <f>B230*1.04266666666667/100</f>
        <v>1.04266666666667</v>
      </c>
      <c r="N230" s="238">
        <f>B230*22.4183333333333/100</f>
        <v>22.418333333333305</v>
      </c>
      <c r="O230" s="238">
        <f>B230*22.176/100</f>
        <v>22.175999999999998</v>
      </c>
      <c r="P230" s="248">
        <f>B230*0.013/100</f>
        <v>1.3000000000000001E-2</v>
      </c>
      <c r="Q230" s="238">
        <f>B230*10.6693333333333/100</f>
        <v>10.6693333333333</v>
      </c>
      <c r="R230" s="238">
        <f>B230*0.193333333333333/100</f>
        <v>0.193333333333333</v>
      </c>
      <c r="S230" s="238">
        <f>B230*1.63033333333333/100</f>
        <v>1.6303333333333301</v>
      </c>
      <c r="T230" s="238">
        <f>B230*126.146666666667/100</f>
        <v>126.146666666667</v>
      </c>
      <c r="U230" s="238">
        <f>B230*0.0216666666666667/100</f>
        <v>2.1666666666666702E-2</v>
      </c>
      <c r="V230" s="238">
        <f>B230*0.071/100</f>
        <v>7.0999999999999994E-2</v>
      </c>
      <c r="W230" s="269" t="s">
        <v>454</v>
      </c>
      <c r="X230" s="238">
        <f>B230*0.0343333333333333/100</f>
        <v>3.4333333333333299E-2</v>
      </c>
      <c r="Y230" s="238">
        <f>B230*0.0433333333333333/100</f>
        <v>4.3333333333333307E-2</v>
      </c>
      <c r="Z230" s="245" t="s">
        <v>455</v>
      </c>
      <c r="AA230" s="238">
        <f>B230*1.03333333333333/100</f>
        <v>1.0333333333333301</v>
      </c>
      <c r="AB230" s="238">
        <f>B230*82.2066666666667/100</f>
        <v>82.20666666666672</v>
      </c>
    </row>
    <row r="231" spans="1:28">
      <c r="A231" s="222" t="s">
        <v>3126</v>
      </c>
      <c r="B231" s="59">
        <v>100</v>
      </c>
      <c r="C231" s="247">
        <f>B231*209.376254458904/100</f>
        <v>209.37625445890401</v>
      </c>
      <c r="D231" s="247">
        <f>B231*0.316666666666667/100</f>
        <v>0.31666666666666698</v>
      </c>
      <c r="E231" s="244">
        <f>B231*0.098/100</f>
        <v>9.8000000000000004E-2</v>
      </c>
      <c r="F231" s="252"/>
      <c r="G231" s="252"/>
      <c r="H231" s="252"/>
      <c r="I231" s="263"/>
      <c r="J231" s="263"/>
      <c r="K231" s="258" t="s">
        <v>454</v>
      </c>
      <c r="L231" s="247">
        <f>B231*57.6366666666667/100</f>
        <v>57.636666666666699</v>
      </c>
      <c r="M231" s="258">
        <f>B231*1.23333333333333/100</f>
        <v>1.2333333333333301</v>
      </c>
      <c r="N231" s="244">
        <f>B231*12.435/100</f>
        <v>12.435</v>
      </c>
      <c r="O231" s="244">
        <f>B231*4.54266666666667/100</f>
        <v>4.54266666666667</v>
      </c>
      <c r="P231" s="244">
        <f>B231*0.0386666666666667/100</f>
        <v>3.8666666666666703E-2</v>
      </c>
      <c r="Q231" s="244">
        <f>B231*3.23166666666667/100</f>
        <v>3.2316666666666705</v>
      </c>
      <c r="R231" s="244">
        <f>B231*0.154/100</f>
        <v>0.154</v>
      </c>
      <c r="S231" s="244">
        <f>B231*4.74/100</f>
        <v>4.74</v>
      </c>
      <c r="T231" s="244">
        <f>B231*8.67033333333333/100</f>
        <v>8.6703333333333301</v>
      </c>
      <c r="U231" s="244">
        <f>B231*0.015/100</f>
        <v>1.4999999999999999E-2</v>
      </c>
      <c r="V231" s="244">
        <f>B231*0.021/100</f>
        <v>2.1000000000000001E-2</v>
      </c>
      <c r="W231" s="258" t="s">
        <v>454</v>
      </c>
      <c r="X231" s="244" t="s">
        <v>455</v>
      </c>
      <c r="Y231" s="244" t="s">
        <v>455</v>
      </c>
      <c r="Z231" s="244" t="s">
        <v>455</v>
      </c>
      <c r="AA231" s="244" t="s">
        <v>455</v>
      </c>
      <c r="AB231" s="244" t="s">
        <v>455</v>
      </c>
    </row>
    <row r="232" spans="1:28">
      <c r="A232" s="232" t="s">
        <v>928</v>
      </c>
      <c r="B232" s="59">
        <v>100</v>
      </c>
      <c r="C232" s="238">
        <f>B232*63.5003183387915/100</f>
        <v>63.500318338791502</v>
      </c>
      <c r="D232" s="242">
        <f>B232*0.408333333333333/100</f>
        <v>0.40833333333333299</v>
      </c>
      <c r="E232" s="248">
        <f>B232*0.256/100</f>
        <v>0.25600000000000001</v>
      </c>
      <c r="F232" s="252">
        <f>B232*0.1/100</f>
        <v>0.1</v>
      </c>
      <c r="G232" s="252">
        <f>B232*0.1/100</f>
        <v>0.1</v>
      </c>
      <c r="H232" s="252" t="s">
        <v>455</v>
      </c>
      <c r="I232" s="263">
        <f>B232*0.02/100</f>
        <v>0.02</v>
      </c>
      <c r="J232" s="263">
        <f>B232*0.02/100</f>
        <v>0.02</v>
      </c>
      <c r="K232" s="256" t="s">
        <v>454</v>
      </c>
      <c r="L232" s="242">
        <f>B232*16.6626666666667/100</f>
        <v>16.662666666666698</v>
      </c>
      <c r="M232" s="238">
        <f>B232*1.582/100</f>
        <v>1.5820000000000001</v>
      </c>
      <c r="N232" s="238">
        <f>B232*11.6596666666667/100</f>
        <v>11.659666666666702</v>
      </c>
      <c r="O232" s="238">
        <f>B232*7.81533333333333/100</f>
        <v>7.8153333333333297</v>
      </c>
      <c r="P232" s="238">
        <f>B232*0.173333333333333/100</f>
        <v>0.17333333333333301</v>
      </c>
      <c r="Q232" s="238">
        <f>B232*9.296/100</f>
        <v>9.2959999999999994</v>
      </c>
      <c r="R232" s="238">
        <f>B232*0.096/100</f>
        <v>9.6000000000000002E-2</v>
      </c>
      <c r="S232" s="238">
        <f>B232*0.551333333333333/100</f>
        <v>0.55133333333333301</v>
      </c>
      <c r="T232" s="238">
        <f>B232*147.883333333333/100</f>
        <v>147.88333333333301</v>
      </c>
      <c r="U232" s="238">
        <f>B232*0.102666666666667/100</f>
        <v>0.10266666666666699</v>
      </c>
      <c r="V232" s="238">
        <f>B232*0.0663333333333333/100</f>
        <v>6.63333333333333E-2</v>
      </c>
      <c r="W232" s="269" t="s">
        <v>454</v>
      </c>
      <c r="X232" s="238">
        <f>B232*0.0193333333333333/100</f>
        <v>1.93333333333333E-2</v>
      </c>
      <c r="Y232" s="238">
        <f>B232*0.0603333333333333/100</f>
        <v>6.0333333333333308E-2</v>
      </c>
      <c r="Z232" s="238">
        <f>B232*0.05/100</f>
        <v>0.05</v>
      </c>
      <c r="AA232" s="245" t="s">
        <v>455</v>
      </c>
      <c r="AB232" s="238">
        <f>B232*17.413/100</f>
        <v>17.413</v>
      </c>
    </row>
    <row r="233" spans="1:28">
      <c r="A233" s="222" t="s">
        <v>3127</v>
      </c>
      <c r="B233" s="59">
        <v>100</v>
      </c>
      <c r="C233" s="247">
        <f>B233*72.4867380916873/100</f>
        <v>72.4867380916873</v>
      </c>
      <c r="D233" s="247">
        <f>B233*0.410416666666667/100</f>
        <v>0.41041666666666698</v>
      </c>
      <c r="E233" s="244">
        <f>B233*0.172/100</f>
        <v>0.17199999999999999</v>
      </c>
      <c r="F233" s="252"/>
      <c r="G233" s="252"/>
      <c r="H233" s="252"/>
      <c r="I233" s="263"/>
      <c r="J233" s="263"/>
      <c r="K233" s="258" t="s">
        <v>454</v>
      </c>
      <c r="L233" s="247">
        <f>B233*19.35225/100</f>
        <v>19.352250000000002</v>
      </c>
      <c r="M233" s="244">
        <f>B233*1.63333333333333/100</f>
        <v>1.63333333333333</v>
      </c>
      <c r="N233" s="244">
        <f>B233*11.6383333333333/100</f>
        <v>11.6383333333333</v>
      </c>
      <c r="O233" s="244">
        <f>B233*8.725/100</f>
        <v>8.7249999999999996</v>
      </c>
      <c r="P233" s="244">
        <f>B233*0.0466666666666667/100</f>
        <v>4.6666666666666697E-2</v>
      </c>
      <c r="Q233" s="244">
        <f>B233*14.0143333333333/100</f>
        <v>14.014333333333299</v>
      </c>
      <c r="R233" s="244">
        <f>B233*0.0913333333333333/100</f>
        <v>9.1333333333333294E-2</v>
      </c>
      <c r="S233" s="244">
        <f>B233*1.86366666666667/100</f>
        <v>1.8636666666666699</v>
      </c>
      <c r="T233" s="244">
        <f>B233*156.53/100</f>
        <v>156.53</v>
      </c>
      <c r="U233" s="244">
        <f>B233*0.0876666666666667/100</f>
        <v>8.7666666666666698E-2</v>
      </c>
      <c r="V233" s="244">
        <f>B233*0.087/100</f>
        <v>8.6999999999999994E-2</v>
      </c>
      <c r="W233" s="258" t="s">
        <v>454</v>
      </c>
      <c r="X233" s="244">
        <f>B233*0.0866666666666667/100</f>
        <v>8.6666666666666697E-2</v>
      </c>
      <c r="Y233" s="244">
        <f>B233*0.03/100</f>
        <v>0.03</v>
      </c>
      <c r="Z233" s="244" t="s">
        <v>455</v>
      </c>
      <c r="AA233" s="244" t="s">
        <v>455</v>
      </c>
      <c r="AB233" s="244">
        <f>B233*65.5233333333333/100</f>
        <v>65.523333333333298</v>
      </c>
    </row>
    <row r="234" spans="1:28">
      <c r="A234" s="234" t="s">
        <v>929</v>
      </c>
      <c r="B234" s="59">
        <v>100</v>
      </c>
      <c r="C234" s="242">
        <f>B234*48.30588/100</f>
        <v>48.305879999999995</v>
      </c>
      <c r="D234" s="242">
        <f>B234*0.38125/100</f>
        <v>0.38124999999999998</v>
      </c>
      <c r="E234" s="248">
        <f>B234*0.234/100</f>
        <v>0.23400000000000001</v>
      </c>
      <c r="F234" s="252">
        <f>B234*0.1/100</f>
        <v>0.1</v>
      </c>
      <c r="G234" s="252">
        <f>B234*0.1/100</f>
        <v>0.1</v>
      </c>
      <c r="H234" s="252" t="s">
        <v>455</v>
      </c>
      <c r="I234" s="263">
        <f>B234*0.01/100</f>
        <v>0.01</v>
      </c>
      <c r="J234" s="263">
        <f>B234*0.02/100</f>
        <v>0.02</v>
      </c>
      <c r="K234" s="256" t="s">
        <v>454</v>
      </c>
      <c r="L234" s="242">
        <f>B234*12.5184166666667/100</f>
        <v>12.518416666666701</v>
      </c>
      <c r="M234" s="238">
        <f>B234*1.07/100</f>
        <v>1.07</v>
      </c>
      <c r="N234" s="238">
        <f>B234*7.121/100</f>
        <v>7.1210000000000004</v>
      </c>
      <c r="O234" s="238">
        <f>B234*9.494/100</f>
        <v>9.4939999999999998</v>
      </c>
      <c r="P234" s="238">
        <f>B234*0.119333333333333/100</f>
        <v>0.119333333333333</v>
      </c>
      <c r="Q234" s="238">
        <f>B234*9.11133333333333/100</f>
        <v>9.1113333333333308</v>
      </c>
      <c r="R234" s="238">
        <f>B234*0.0893333333333333/100</f>
        <v>8.9333333333333306E-2</v>
      </c>
      <c r="S234" s="238">
        <f>B234*6.73333333333333/100</f>
        <v>6.7333333333333307</v>
      </c>
      <c r="T234" s="238">
        <f>B234*131.374333333333/100</f>
        <v>131.374333333333</v>
      </c>
      <c r="U234" s="238">
        <f>B234*0.059/100</f>
        <v>5.8999999999999997E-2</v>
      </c>
      <c r="V234" s="238">
        <f>B234*0.065/100</f>
        <v>6.5000000000000002E-2</v>
      </c>
      <c r="W234" s="269" t="s">
        <v>454</v>
      </c>
      <c r="X234" s="242" t="s">
        <v>455</v>
      </c>
      <c r="Y234" s="238">
        <f>B234*0.066/100</f>
        <v>6.6000000000000003E-2</v>
      </c>
      <c r="Z234" s="238">
        <f>B234*0.03/100</f>
        <v>0.03</v>
      </c>
      <c r="AA234" s="242" t="s">
        <v>455</v>
      </c>
      <c r="AB234" s="238">
        <f>B234*24.9023333333333/100</f>
        <v>24.902333333333299</v>
      </c>
    </row>
    <row r="235" spans="1:28">
      <c r="A235" s="232" t="s">
        <v>3128</v>
      </c>
      <c r="B235" s="59">
        <v>100</v>
      </c>
      <c r="C235" s="240">
        <f>B235*50.6921826086956/100</f>
        <v>50.692182608695603</v>
      </c>
      <c r="D235" s="239">
        <f>B235*0.855072463768116/100</f>
        <v>0.85507246376811596</v>
      </c>
      <c r="E235" s="240">
        <f>B235*0.22/100</f>
        <v>0.22</v>
      </c>
      <c r="F235" s="252">
        <f>B235*0.1/100</f>
        <v>0.1</v>
      </c>
      <c r="G235" s="252">
        <f>B235*0.1/100</f>
        <v>0.1</v>
      </c>
      <c r="H235" s="252" t="s">
        <v>455</v>
      </c>
      <c r="I235" s="263" t="s">
        <v>455</v>
      </c>
      <c r="J235" s="263">
        <f>B235*0.04/100</f>
        <v>0.04</v>
      </c>
      <c r="K235" s="256" t="s">
        <v>454</v>
      </c>
      <c r="L235" s="242">
        <f>B235*12.7715942028985/100</f>
        <v>12.7715942028985</v>
      </c>
      <c r="M235" s="240">
        <f>B235*2.06666666666667/100</f>
        <v>2.06666666666667</v>
      </c>
      <c r="N235" s="240">
        <f>B235*7.63666666666667/100</f>
        <v>7.6366666666666694</v>
      </c>
      <c r="O235" s="240">
        <f>B235*7.39666666666667/100</f>
        <v>7.3966666666666701</v>
      </c>
      <c r="P235" s="240">
        <f>B235*0.34/100</f>
        <v>0.34</v>
      </c>
      <c r="Q235" s="240">
        <f>B235*13.7766666666667/100</f>
        <v>13.776666666666699</v>
      </c>
      <c r="R235" s="240">
        <f>B235*0.08/100</f>
        <v>0.08</v>
      </c>
      <c r="S235" s="240" t="s">
        <v>455</v>
      </c>
      <c r="T235" s="240">
        <f>B235*138.366666666667/100</f>
        <v>138.36666666666699</v>
      </c>
      <c r="U235" s="240">
        <f>B235*0.06/100</f>
        <v>0.06</v>
      </c>
      <c r="V235" s="240">
        <f>B235*0.08/100</f>
        <v>0.08</v>
      </c>
      <c r="W235" s="269" t="s">
        <v>454</v>
      </c>
      <c r="X235" s="240" t="s">
        <v>455</v>
      </c>
      <c r="Y235" s="240">
        <f>B235*0.04/100</f>
        <v>0.04</v>
      </c>
      <c r="Z235" s="240">
        <f>B235*0.03/100</f>
        <v>0.03</v>
      </c>
      <c r="AA235" s="239" t="s">
        <v>455</v>
      </c>
      <c r="AB235" s="240">
        <f>B235*7.93666666666667/100</f>
        <v>7.9366666666666701</v>
      </c>
    </row>
    <row r="236" spans="1:28">
      <c r="A236" s="232" t="s">
        <v>931</v>
      </c>
      <c r="B236" s="59">
        <v>100</v>
      </c>
      <c r="C236" s="239">
        <f>B236*68.4395086956521/100</f>
        <v>68.439508695652094</v>
      </c>
      <c r="D236" s="239">
        <f>B236*1.98913043478261/100</f>
        <v>1.98913043478261</v>
      </c>
      <c r="E236" s="246">
        <f>B236*2.10333333333333/100</f>
        <v>2.1033333333333299</v>
      </c>
      <c r="F236" s="252">
        <f>B236*0.220333333333333/100</f>
        <v>0.22033333333333299</v>
      </c>
      <c r="G236" s="252">
        <f>B236*0.275666666666667/100</f>
        <v>0.275666666666667</v>
      </c>
      <c r="H236" s="252">
        <f>B236*0.938/100</f>
        <v>0.93799999999999994</v>
      </c>
      <c r="I236" s="263">
        <f>B236*0.915/100</f>
        <v>0.91500000000000004</v>
      </c>
      <c r="J236" s="263">
        <f>B236*0.023/100</f>
        <v>2.3E-2</v>
      </c>
      <c r="K236" s="256" t="s">
        <v>454</v>
      </c>
      <c r="L236" s="242">
        <f>B236*12.2642028985507/100</f>
        <v>12.2642028985507</v>
      </c>
      <c r="M236" s="239">
        <f>B236*1.13666666666667/100</f>
        <v>1.13666666666667</v>
      </c>
      <c r="N236" s="239">
        <f>B236*5.39333333333333/100</f>
        <v>5.39333333333333</v>
      </c>
      <c r="O236" s="239">
        <f>B236*27.9666666666667/100</f>
        <v>27.966666666666701</v>
      </c>
      <c r="P236" s="239">
        <f>B236*0.12/100</f>
        <v>0.12</v>
      </c>
      <c r="Q236" s="239">
        <f>B236*50.69/100</f>
        <v>50.69</v>
      </c>
      <c r="R236" s="239">
        <f>B236*0.56/100</f>
        <v>0.56000000000000005</v>
      </c>
      <c r="S236" s="239">
        <f>B236*1.58/100</f>
        <v>1.58</v>
      </c>
      <c r="T236" s="239">
        <f>B236*338.42/100</f>
        <v>338.42</v>
      </c>
      <c r="U236" s="239">
        <f>B236*0.186666666666667/100</f>
        <v>0.18666666666666701</v>
      </c>
      <c r="V236" s="239">
        <f>B236*0.393333333333333/100</f>
        <v>0.39333333333333298</v>
      </c>
      <c r="W236" s="269" t="s">
        <v>454</v>
      </c>
      <c r="X236" s="239" t="s">
        <v>455</v>
      </c>
      <c r="Y236" s="239">
        <f>B236*0.05/100</f>
        <v>0.05</v>
      </c>
      <c r="Z236" s="239">
        <f>B236*0.0466666666666667/100</f>
        <v>4.6666666666666697E-2</v>
      </c>
      <c r="AA236" s="240" t="s">
        <v>455</v>
      </c>
      <c r="AB236" s="239">
        <f>B236*19.84/100</f>
        <v>19.84</v>
      </c>
    </row>
    <row r="237" spans="1:28">
      <c r="A237" s="232" t="s">
        <v>932</v>
      </c>
      <c r="B237" s="59">
        <v>100</v>
      </c>
      <c r="C237" s="238">
        <f>B237*38.7597/100</f>
        <v>38.759700000000002</v>
      </c>
      <c r="D237" s="238">
        <f>B237*0.8125/100</f>
        <v>0.8125</v>
      </c>
      <c r="E237" s="248">
        <f>B237*0.176666666666667/100</f>
        <v>0.176666666666667</v>
      </c>
      <c r="F237" s="252"/>
      <c r="G237" s="252"/>
      <c r="H237" s="252"/>
      <c r="I237" s="263"/>
      <c r="J237" s="263"/>
      <c r="K237" s="256" t="s">
        <v>454</v>
      </c>
      <c r="L237" s="242">
        <f>B237*9.59749999999999/100</f>
        <v>9.5974999999999895</v>
      </c>
      <c r="M237" s="238">
        <f>B237*0.506/100</f>
        <v>0.50600000000000001</v>
      </c>
      <c r="N237" s="238">
        <f>B237*4.60966666666667/100</f>
        <v>4.6096666666666701</v>
      </c>
      <c r="O237" s="238">
        <f>B237*9.701/100</f>
        <v>9.7010000000000005</v>
      </c>
      <c r="P237" s="238">
        <f>B237*0.07/100</f>
        <v>7.0000000000000007E-2</v>
      </c>
      <c r="Q237" s="238">
        <f>B237*15.2573333333333/100</f>
        <v>15.2573333333333</v>
      </c>
      <c r="R237" s="238">
        <f>B237*0.292333333333333/100</f>
        <v>0.292333333333333</v>
      </c>
      <c r="S237" s="238">
        <f>B237*8.096/100</f>
        <v>8.0960000000000001</v>
      </c>
      <c r="T237" s="238">
        <f>B237*227.909666666667/100</f>
        <v>227.90966666666699</v>
      </c>
      <c r="U237" s="238">
        <f>B237*0.0503333333333333/100</f>
        <v>5.0333333333333299E-2</v>
      </c>
      <c r="V237" s="238">
        <f>B237*0.188/100</f>
        <v>0.188</v>
      </c>
      <c r="W237" s="269" t="s">
        <v>454</v>
      </c>
      <c r="X237" s="242" t="s">
        <v>455</v>
      </c>
      <c r="Y237" s="238">
        <f>B237*0.0906666666666667/100</f>
        <v>9.0666666666666701E-2</v>
      </c>
      <c r="Z237" s="238">
        <f>B237*0.06/100</f>
        <v>0.06</v>
      </c>
      <c r="AA237" s="242" t="s">
        <v>455</v>
      </c>
      <c r="AB237" s="238">
        <f>B237*7.257/100</f>
        <v>7.2569999999999997</v>
      </c>
    </row>
    <row r="238" spans="1:28">
      <c r="A238" s="232" t="s">
        <v>933</v>
      </c>
      <c r="B238" s="59">
        <v>100</v>
      </c>
      <c r="C238" s="238">
        <f>B238*41.96732/100</f>
        <v>41.967320000000001</v>
      </c>
      <c r="D238" s="238">
        <f>B238*0.766666666666667/100</f>
        <v>0.76666666666666705</v>
      </c>
      <c r="E238" s="248">
        <f>B238*0.193333333333333/100</f>
        <v>0.193333333333333</v>
      </c>
      <c r="F238" s="252"/>
      <c r="G238" s="252"/>
      <c r="H238" s="252"/>
      <c r="I238" s="263"/>
      <c r="J238" s="263"/>
      <c r="K238" s="256" t="s">
        <v>454</v>
      </c>
      <c r="L238" s="242">
        <f>B238*9.63599999999999/100</f>
        <v>9.6359999999999904</v>
      </c>
      <c r="M238" s="238">
        <f>B238*0.353666666666667/100</f>
        <v>0.35366666666666702</v>
      </c>
      <c r="N238" s="238">
        <f>B238*4.15833333333333/100</f>
        <v>4.1583333333333297</v>
      </c>
      <c r="O238" s="243">
        <f>B238*4.15833333333333/100</f>
        <v>4.1583333333333297</v>
      </c>
      <c r="P238" s="238">
        <f>B238*0.0716666666666667/100</f>
        <v>7.1666666666666698E-2</v>
      </c>
      <c r="Q238" s="243">
        <f>B238*13.9023333333333/100</f>
        <v>13.902333333333299</v>
      </c>
      <c r="R238" s="238">
        <f>B238*0.345/100</f>
        <v>0.34499999999999997</v>
      </c>
      <c r="S238" s="238">
        <f>B238*21.6923333333333/100</f>
        <v>21.692333333333298</v>
      </c>
      <c r="T238" s="238">
        <f>B238*200.695333333333/100</f>
        <v>200.695333333333</v>
      </c>
      <c r="U238" s="238">
        <f>B238*0.0523333333333333/100</f>
        <v>5.2333333333333301E-2</v>
      </c>
      <c r="V238" s="238">
        <f>B238*0.136/100</f>
        <v>0.13600000000000001</v>
      </c>
      <c r="W238" s="269" t="s">
        <v>454</v>
      </c>
      <c r="X238" s="242" t="s">
        <v>455</v>
      </c>
      <c r="Y238" s="238">
        <f>B238*0.0783333333333333/100</f>
        <v>7.8333333333333297E-2</v>
      </c>
      <c r="Z238" s="238">
        <f>B238*0.05/100</f>
        <v>0.05</v>
      </c>
      <c r="AA238" s="238">
        <f>B238*1.91666666666667/100</f>
        <v>1.9166666666666701</v>
      </c>
      <c r="AB238" s="238">
        <f>B238*13.6793333333333/100</f>
        <v>13.6793333333333</v>
      </c>
    </row>
    <row r="239" spans="1:28">
      <c r="A239" s="232" t="s">
        <v>934</v>
      </c>
      <c r="B239" s="59">
        <v>100</v>
      </c>
      <c r="C239" s="239">
        <f>B239*32.6066260869565/100</f>
        <v>32.606626086956503</v>
      </c>
      <c r="D239" s="239">
        <f>B239*0.884057971014493/100</f>
        <v>0.8840579710144929</v>
      </c>
      <c r="E239" s="246" t="s">
        <v>455</v>
      </c>
      <c r="F239" s="252"/>
      <c r="G239" s="252"/>
      <c r="H239" s="252"/>
      <c r="I239" s="263"/>
      <c r="J239" s="263"/>
      <c r="K239" s="256" t="s">
        <v>454</v>
      </c>
      <c r="L239" s="242">
        <f>B239*8.13927536231884/100</f>
        <v>8.1392753623188394</v>
      </c>
      <c r="M239" s="239">
        <f>B239*0.123333333333333/100</f>
        <v>0.123333333333333</v>
      </c>
      <c r="N239" s="239">
        <f>B239*7.72/100</f>
        <v>7.72</v>
      </c>
      <c r="O239" s="239">
        <f>B239*9.63/100</f>
        <v>9.6300000000000008</v>
      </c>
      <c r="P239" s="239">
        <f>B239*0.14/100</f>
        <v>0.14000000000000001</v>
      </c>
      <c r="Q239" s="239">
        <f>B239*12.1766666666667/100</f>
        <v>12.1766666666667</v>
      </c>
      <c r="R239" s="239">
        <f>B239*0.226666666666667/100</f>
        <v>0.22666666666666699</v>
      </c>
      <c r="S239" s="239" t="s">
        <v>455</v>
      </c>
      <c r="T239" s="239">
        <f>B239*104.026666666667/100</f>
        <v>104.02666666666701</v>
      </c>
      <c r="U239" s="239">
        <f>B239*0.04/100</f>
        <v>0.04</v>
      </c>
      <c r="V239" s="239">
        <f>B239*0.0966666666666667/100</f>
        <v>9.666666666666672E-2</v>
      </c>
      <c r="W239" s="269" t="s">
        <v>454</v>
      </c>
      <c r="X239" s="239" t="s">
        <v>455</v>
      </c>
      <c r="Y239" s="239" t="s">
        <v>455</v>
      </c>
      <c r="Z239" s="239" t="s">
        <v>455</v>
      </c>
      <c r="AA239" s="239" t="s">
        <v>455</v>
      </c>
      <c r="AB239" s="239">
        <f>B239*6.14666666666667/100</f>
        <v>6.1466666666666701</v>
      </c>
    </row>
    <row r="240" spans="1:28">
      <c r="A240" s="232" t="s">
        <v>935</v>
      </c>
      <c r="B240" s="59">
        <v>100</v>
      </c>
      <c r="C240" s="239">
        <f>B240*29.3693913043478/100</f>
        <v>29.369391304347801</v>
      </c>
      <c r="D240" s="239">
        <f>B240*0.677536231884058/100</f>
        <v>0.67753623188405798</v>
      </c>
      <c r="E240" s="246" t="s">
        <v>455</v>
      </c>
      <c r="F240" s="252"/>
      <c r="G240" s="252"/>
      <c r="H240" s="252"/>
      <c r="I240" s="263"/>
      <c r="J240" s="263"/>
      <c r="K240" s="256" t="s">
        <v>454</v>
      </c>
      <c r="L240" s="242">
        <f>B240*7.52579710144927/100</f>
        <v>7.5257971014492702</v>
      </c>
      <c r="M240" s="239">
        <f>B240*0.25/100</f>
        <v>0.25</v>
      </c>
      <c r="N240" s="239">
        <f>B240*2.85666666666667/100</f>
        <v>2.8566666666666705</v>
      </c>
      <c r="O240" s="239">
        <f>B240*5.95/100</f>
        <v>5.95</v>
      </c>
      <c r="P240" s="246">
        <f>B240*0.0466666666666667/100</f>
        <v>4.6666666666666697E-2</v>
      </c>
      <c r="Q240" s="239">
        <f>B240*10.14/100</f>
        <v>10.14</v>
      </c>
      <c r="R240" s="239">
        <f>B240*0.23/100</f>
        <v>0.23</v>
      </c>
      <c r="S240" s="239">
        <f>B240*11.1666666666667/100</f>
        <v>11.1666666666667</v>
      </c>
      <c r="T240" s="239">
        <f>B240*216/100</f>
        <v>216</v>
      </c>
      <c r="U240" s="239">
        <f>B240*0.0433333333333333/100</f>
        <v>4.3333333333333307E-2</v>
      </c>
      <c r="V240" s="239">
        <f>B240*0.09/100</f>
        <v>0.09</v>
      </c>
      <c r="W240" s="269" t="s">
        <v>454</v>
      </c>
      <c r="X240" s="239" t="s">
        <v>455</v>
      </c>
      <c r="Y240" s="239" t="s">
        <v>455</v>
      </c>
      <c r="Z240" s="239">
        <f>B240*0.02/100</f>
        <v>0.02</v>
      </c>
      <c r="AA240" s="239" t="s">
        <v>455</v>
      </c>
      <c r="AB240" s="239">
        <f>B240*8.68/100</f>
        <v>8.68</v>
      </c>
    </row>
    <row r="241" spans="1:28">
      <c r="A241" s="232" t="s">
        <v>936</v>
      </c>
      <c r="B241" s="59">
        <v>100</v>
      </c>
      <c r="C241" s="238">
        <f>B241*57.5927784746488/100</f>
        <v>57.592778474648803</v>
      </c>
      <c r="D241" s="238">
        <f>B241*0.883333333333333/100</f>
        <v>0.88333333333333297</v>
      </c>
      <c r="E241" s="248">
        <f>B241*0.134/100</f>
        <v>0.13400000000000001</v>
      </c>
      <c r="F241" s="252"/>
      <c r="G241" s="252"/>
      <c r="H241" s="252"/>
      <c r="I241" s="263"/>
      <c r="J241" s="263"/>
      <c r="K241" s="256" t="s">
        <v>454</v>
      </c>
      <c r="L241" s="242">
        <f>B241*14.862/100</f>
        <v>14.862</v>
      </c>
      <c r="M241" s="238">
        <f>B241*3.07333333333333/100</f>
        <v>3.0733333333333301</v>
      </c>
      <c r="N241" s="238">
        <f>B241*33.07/100</f>
        <v>33.07</v>
      </c>
      <c r="O241" s="238">
        <f>B241*12.3036666666667/100</f>
        <v>12.3036666666667</v>
      </c>
      <c r="P241" s="238">
        <f>B241*0.0543333333333333/100</f>
        <v>5.4333333333333303E-2</v>
      </c>
      <c r="Q241" s="238">
        <f>B241*19.498/100</f>
        <v>19.498000000000001</v>
      </c>
      <c r="R241" s="238">
        <f>B241*0.0693333333333333/100</f>
        <v>6.9333333333333302E-2</v>
      </c>
      <c r="S241" s="238">
        <f>B241*1.16733333333333/100</f>
        <v>1.16733333333333</v>
      </c>
      <c r="T241" s="238">
        <f>B241*158.538333333333/100</f>
        <v>158.53833333333299</v>
      </c>
      <c r="U241" s="238">
        <f>B241*0.06/100</f>
        <v>0.06</v>
      </c>
      <c r="V241" s="238">
        <f>B241*0.102/100</f>
        <v>0.10199999999999999</v>
      </c>
      <c r="W241" s="269" t="s">
        <v>454</v>
      </c>
      <c r="X241" s="238">
        <f>B241*0.079/100</f>
        <v>7.9000000000000001E-2</v>
      </c>
      <c r="Y241" s="238">
        <f>B241*0.0736666666666667/100</f>
        <v>7.36666666666667E-2</v>
      </c>
      <c r="Z241" s="238">
        <f>B241*0.05/100</f>
        <v>0.05</v>
      </c>
      <c r="AA241" s="242" t="s">
        <v>455</v>
      </c>
      <c r="AB241" s="238">
        <f>B241*21.7956666666667/100</f>
        <v>21.795666666666701</v>
      </c>
    </row>
    <row r="242" spans="1:28">
      <c r="A242" s="232" t="s">
        <v>937</v>
      </c>
      <c r="B242" s="59">
        <v>100</v>
      </c>
      <c r="C242" s="238">
        <f>B242*36.8713500000001/100</f>
        <v>36.871350000000099</v>
      </c>
      <c r="D242" s="238">
        <f>B242*0.65/100</f>
        <v>0.65</v>
      </c>
      <c r="E242" s="248">
        <f>B242*0.128333333333333/100</f>
        <v>0.12833333333333299</v>
      </c>
      <c r="F242" s="252"/>
      <c r="G242" s="252"/>
      <c r="H242" s="252"/>
      <c r="I242" s="263"/>
      <c r="J242" s="263"/>
      <c r="K242" s="256" t="s">
        <v>454</v>
      </c>
      <c r="L242" s="242">
        <f>B242*9.33700000000001/100</f>
        <v>9.3370000000000104</v>
      </c>
      <c r="M242" s="238">
        <f>B242*2.73166666666667/100</f>
        <v>2.7316666666666705</v>
      </c>
      <c r="N242" s="238">
        <f>B242*17.1836666666667/100</f>
        <v>17.183666666666699</v>
      </c>
      <c r="O242" s="238">
        <f>B242*8.212/100</f>
        <v>8.2119999999999997</v>
      </c>
      <c r="P242" s="248">
        <f>B242*0.045/100</f>
        <v>4.4999999999999998E-2</v>
      </c>
      <c r="Q242" s="238">
        <f>B242*13.702/100</f>
        <v>13.702</v>
      </c>
      <c r="R242" s="238">
        <f>B242*0.0893333333333333/100</f>
        <v>8.9333333333333306E-2</v>
      </c>
      <c r="S242" s="238">
        <f>B242*1.824/100</f>
        <v>1.8240000000000001</v>
      </c>
      <c r="T242" s="238">
        <f>B242*124.986666666667/100</f>
        <v>124.98666666666701</v>
      </c>
      <c r="U242" s="238">
        <f>B242*0.0726666666666667/100</f>
        <v>7.2666666666666699E-2</v>
      </c>
      <c r="V242" s="242">
        <f>B242*0.154666666666667/100</f>
        <v>0.15466666666666701</v>
      </c>
      <c r="W242" s="269" t="s">
        <v>454</v>
      </c>
      <c r="X242" s="242">
        <f>B242*0.0333333333333333/100</f>
        <v>3.3333333333333298E-2</v>
      </c>
      <c r="Y242" s="245" t="s">
        <v>455</v>
      </c>
      <c r="Z242" s="245" t="s">
        <v>455</v>
      </c>
      <c r="AA242" s="245" t="s">
        <v>455</v>
      </c>
      <c r="AB242" s="238">
        <f>B242*111.97/100</f>
        <v>111.97</v>
      </c>
    </row>
    <row r="243" spans="1:28">
      <c r="A243" s="232" t="s">
        <v>938</v>
      </c>
      <c r="B243" s="59">
        <v>100</v>
      </c>
      <c r="C243" s="239">
        <f>B243*30.1479173913044/100</f>
        <v>30.1479173913044</v>
      </c>
      <c r="D243" s="239">
        <f>B243*0.894927536231884/100</f>
        <v>0.89492753623188404</v>
      </c>
      <c r="E243" s="246">
        <f>B243*0.31/100</f>
        <v>0.31</v>
      </c>
      <c r="F243" s="252"/>
      <c r="G243" s="252"/>
      <c r="H243" s="252"/>
      <c r="I243" s="263"/>
      <c r="J243" s="263"/>
      <c r="K243" s="256" t="s">
        <v>454</v>
      </c>
      <c r="L243" s="242">
        <f>B243*6.81840579710146/100</f>
        <v>6.8184057971014598</v>
      </c>
      <c r="M243" s="239">
        <f>B243*1.72333333333333/100</f>
        <v>1.7233333333333301</v>
      </c>
      <c r="N243" s="239">
        <f>B243*10.9/100</f>
        <v>10.9</v>
      </c>
      <c r="O243" s="239">
        <f>B243*9.67333333333333/100</f>
        <v>9.6733333333333302</v>
      </c>
      <c r="P243" s="239">
        <f>B243*0.326666666666667/100</f>
        <v>0.32666666666666699</v>
      </c>
      <c r="Q243" s="239">
        <f>B243*22.4333333333333/100</f>
        <v>22.433333333333302</v>
      </c>
      <c r="R243" s="239">
        <f>B243*0.32/100</f>
        <v>0.32</v>
      </c>
      <c r="S243" s="239" t="s">
        <v>455</v>
      </c>
      <c r="T243" s="239">
        <f>B243*184.396666666667/100</f>
        <v>184.39666666666702</v>
      </c>
      <c r="U243" s="239">
        <f>B243*0.06/100</f>
        <v>0.06</v>
      </c>
      <c r="V243" s="239">
        <f>B243*0.176666666666667/100</f>
        <v>0.176666666666667</v>
      </c>
      <c r="W243" s="269" t="s">
        <v>454</v>
      </c>
      <c r="X243" s="239" t="s">
        <v>455</v>
      </c>
      <c r="Y243" s="239">
        <f>B243*0.03/100</f>
        <v>0.03</v>
      </c>
      <c r="Z243" s="239">
        <f>B243*0.03/100</f>
        <v>0.03</v>
      </c>
      <c r="AA243" s="239" t="s">
        <v>455</v>
      </c>
      <c r="AB243" s="239">
        <f>B243*63.5966666666667/100</f>
        <v>63.5966666666667</v>
      </c>
    </row>
    <row r="244" spans="1:28">
      <c r="A244" s="232" t="s">
        <v>620</v>
      </c>
      <c r="B244" s="59">
        <v>100</v>
      </c>
      <c r="C244" s="238">
        <f>B244*42.5391988681952/100</f>
        <v>42.5391988681952</v>
      </c>
      <c r="D244" s="242">
        <f>B244*0.308333333333333/100</f>
        <v>0.30833333333333302</v>
      </c>
      <c r="E244" s="251" t="s">
        <v>455</v>
      </c>
      <c r="F244" s="252"/>
      <c r="G244" s="252"/>
      <c r="H244" s="252"/>
      <c r="I244" s="263"/>
      <c r="J244" s="263"/>
      <c r="K244" s="256" t="s">
        <v>454</v>
      </c>
      <c r="L244" s="242">
        <f>B244*11.5286666666667/100</f>
        <v>11.5286666666667</v>
      </c>
      <c r="M244" s="238">
        <f>B244*2.958/100</f>
        <v>2.9580000000000002</v>
      </c>
      <c r="N244" s="238">
        <f>B244*19.6866666666667/100</f>
        <v>19.686666666666699</v>
      </c>
      <c r="O244" s="238">
        <f>B244*9.72066666666667/100</f>
        <v>9.7206666666666699</v>
      </c>
      <c r="P244" s="238">
        <f>B244*0.072/100</f>
        <v>7.1999999999999995E-2</v>
      </c>
      <c r="Q244" s="238">
        <f>B244*10.0756666666667/100</f>
        <v>10.075666666666701</v>
      </c>
      <c r="R244" s="238">
        <f>B244*0.146666666666667/100</f>
        <v>0.146666666666667</v>
      </c>
      <c r="S244" s="242" t="s">
        <v>455</v>
      </c>
      <c r="T244" s="238">
        <f>B244*112.85/100</f>
        <v>112.85</v>
      </c>
      <c r="U244" s="238">
        <f>B244*0.122/100</f>
        <v>0.122</v>
      </c>
      <c r="V244" s="238">
        <f>B244*0.121333333333333/100</f>
        <v>0.12133333333333302</v>
      </c>
      <c r="W244" s="269" t="s">
        <v>454</v>
      </c>
      <c r="X244" s="242" t="s">
        <v>455</v>
      </c>
      <c r="Y244" s="242" t="s">
        <v>455</v>
      </c>
      <c r="Z244" s="242" t="s">
        <v>455</v>
      </c>
      <c r="AA244" s="242" t="s">
        <v>455</v>
      </c>
      <c r="AB244" s="238">
        <f>B244*3.15666666666667/100</f>
        <v>3.1566666666666698</v>
      </c>
    </row>
    <row r="245" spans="1:28">
      <c r="A245" s="232" t="s">
        <v>621</v>
      </c>
      <c r="B245" s="59">
        <v>100</v>
      </c>
      <c r="C245" s="238">
        <f>B245*204.96677/100</f>
        <v>204.96677</v>
      </c>
      <c r="D245" s="238">
        <f>B245*2.33541666666667/100</f>
        <v>2.3354166666666698</v>
      </c>
      <c r="E245" s="248">
        <f>B245*17.971/100</f>
        <v>17.971</v>
      </c>
      <c r="F245" s="252"/>
      <c r="G245" s="252"/>
      <c r="H245" s="252"/>
      <c r="I245" s="263"/>
      <c r="J245" s="263"/>
      <c r="K245" s="256" t="s">
        <v>454</v>
      </c>
      <c r="L245" s="242">
        <f>B245*12.9729166666667/100</f>
        <v>12.972916666666698</v>
      </c>
      <c r="M245" s="238">
        <f>B245*19.041/100</f>
        <v>19.041</v>
      </c>
      <c r="N245" s="238">
        <f>B245*32.441/100</f>
        <v>32.441000000000003</v>
      </c>
      <c r="O245" s="238">
        <f>B245*29.7733333333333/100</f>
        <v>29.773333333333301</v>
      </c>
      <c r="P245" s="238">
        <f>B245*0.638/100</f>
        <v>0.63800000000000001</v>
      </c>
      <c r="Q245" s="238">
        <f>B245*33.7486666666667/100</f>
        <v>33.748666666666701</v>
      </c>
      <c r="R245" s="243">
        <f>B245*0.273666666666667/100</f>
        <v>0.273666666666667</v>
      </c>
      <c r="S245" s="242" t="s">
        <v>455</v>
      </c>
      <c r="T245" s="238">
        <f>B245*297.793666666667/100</f>
        <v>297.79366666666698</v>
      </c>
      <c r="U245" s="238">
        <f>B245*0.207666666666667/100</f>
        <v>0.207666666666667</v>
      </c>
      <c r="V245" s="238">
        <f>B245*0.959/100</f>
        <v>0.95899999999999996</v>
      </c>
      <c r="W245" s="269" t="s">
        <v>454</v>
      </c>
      <c r="X245" s="238">
        <f>B245*0.17/100</f>
        <v>0.17</v>
      </c>
      <c r="Y245" s="238">
        <f>B245*0.48/100</f>
        <v>0.48</v>
      </c>
      <c r="Z245" s="238">
        <f>B245*0.0633333333333333/100</f>
        <v>6.3333333333333297E-2</v>
      </c>
      <c r="AA245" s="238">
        <f>B245*2.57333333333333/100</f>
        <v>2.5733333333333301</v>
      </c>
      <c r="AB245" s="238">
        <f>B245*8.28333333333333/100</f>
        <v>8.2833333333333297</v>
      </c>
    </row>
    <row r="246" spans="1:28">
      <c r="A246" s="234" t="s">
        <v>622</v>
      </c>
      <c r="B246" s="59">
        <v>100</v>
      </c>
      <c r="C246" s="238">
        <f>B246*60.58859/100</f>
        <v>60.588590000000003</v>
      </c>
      <c r="D246" s="242">
        <f>B246*0.235416666666667/100</f>
        <v>0.235416666666667</v>
      </c>
      <c r="E246" s="248">
        <f>B246*0.230333333333333/100</f>
        <v>0.230333333333333</v>
      </c>
      <c r="F246" s="252">
        <f>B246*0.1/100</f>
        <v>0.1</v>
      </c>
      <c r="G246" s="252" t="s">
        <v>455</v>
      </c>
      <c r="H246" s="252">
        <f>B246*0.1/100</f>
        <v>0.1</v>
      </c>
      <c r="I246" s="263">
        <f>B246*0.05/100</f>
        <v>0.05</v>
      </c>
      <c r="J246" s="263">
        <f>B246*0.01/100</f>
        <v>0.01</v>
      </c>
      <c r="K246" s="256" t="s">
        <v>454</v>
      </c>
      <c r="L246" s="242">
        <f>B246*16.0749166666667/100</f>
        <v>16.074916666666699</v>
      </c>
      <c r="M246" s="243">
        <f>B246*2.98266666666667/100</f>
        <v>2.9826666666666699</v>
      </c>
      <c r="N246" s="243">
        <f>B246*8.712/100</f>
        <v>8.7119999999999997</v>
      </c>
      <c r="O246" s="243">
        <f>B246*6.124/100</f>
        <v>6.1239999999999997</v>
      </c>
      <c r="P246" s="248">
        <f>B246*0.0353333333333333/100</f>
        <v>3.53333333333333E-2</v>
      </c>
      <c r="Q246" s="243">
        <f>B246*11.707/100</f>
        <v>11.707000000000001</v>
      </c>
      <c r="R246" s="243">
        <f>B246*0.321333333333333/100</f>
        <v>0.32133333333333303</v>
      </c>
      <c r="S246" s="243">
        <f>B246*0.981666666666667/100</f>
        <v>0.98166666666666702</v>
      </c>
      <c r="T246" s="243">
        <f>B246*102.223333333333/100</f>
        <v>102.22333333333299</v>
      </c>
      <c r="U246" s="243">
        <f>B246*0.0783333333333333/100</f>
        <v>7.8333333333333297E-2</v>
      </c>
      <c r="V246" s="243">
        <f>B246*0.0726666666666667/100</f>
        <v>7.2666666666666699E-2</v>
      </c>
      <c r="W246" s="269" t="s">
        <v>454</v>
      </c>
      <c r="X246" s="243">
        <f>B246*0.06/100</f>
        <v>0.06</v>
      </c>
      <c r="Y246" s="242" t="s">
        <v>455</v>
      </c>
      <c r="Z246" s="242" t="s">
        <v>455</v>
      </c>
      <c r="AA246" s="242" t="s">
        <v>455</v>
      </c>
      <c r="AB246" s="243">
        <f>B246*2.36/100</f>
        <v>2.36</v>
      </c>
    </row>
    <row r="247" spans="1:28">
      <c r="A247" s="232" t="s">
        <v>939</v>
      </c>
      <c r="B247" s="59">
        <v>100</v>
      </c>
      <c r="C247" s="239">
        <f>B247*53.3090478260869/100</f>
        <v>53.309047826086911</v>
      </c>
      <c r="D247" s="239">
        <f>B247*0.565217391304348/100</f>
        <v>0.565217391304348</v>
      </c>
      <c r="E247" s="246">
        <f>B247*0.11/100</f>
        <v>0.11</v>
      </c>
      <c r="F247" s="252"/>
      <c r="G247" s="252"/>
      <c r="H247" s="252"/>
      <c r="I247" s="263"/>
      <c r="J247" s="263"/>
      <c r="K247" s="256" t="s">
        <v>454</v>
      </c>
      <c r="L247" s="242">
        <f>B247*14.0247826086956/100</f>
        <v>14.024782608695601</v>
      </c>
      <c r="M247" s="239">
        <f>B247*3.01333333333333/100</f>
        <v>3.0133333333333301</v>
      </c>
      <c r="N247" s="239">
        <f>B247*8.27666666666667/100</f>
        <v>8.2766666666666708</v>
      </c>
      <c r="O247" s="239">
        <f>B247*5.78/100</f>
        <v>5.78</v>
      </c>
      <c r="P247" s="246">
        <f>B247*0.04/100</f>
        <v>0.04</v>
      </c>
      <c r="Q247" s="239">
        <f>B247*11.7666666666667/100</f>
        <v>11.766666666666699</v>
      </c>
      <c r="R247" s="239">
        <f>B247*0.0933333333333333/100</f>
        <v>9.333333333333331E-2</v>
      </c>
      <c r="S247" s="239" t="s">
        <v>455</v>
      </c>
      <c r="T247" s="239">
        <f>B247*115.866666666667/100</f>
        <v>115.866666666667</v>
      </c>
      <c r="U247" s="239">
        <f>B247*0.07/100</f>
        <v>7.0000000000000007E-2</v>
      </c>
      <c r="V247" s="239">
        <f>B247*0.08/100</f>
        <v>0.08</v>
      </c>
      <c r="W247" s="269" t="s">
        <v>454</v>
      </c>
      <c r="X247" s="239" t="s">
        <v>455</v>
      </c>
      <c r="Y247" s="239" t="s">
        <v>455</v>
      </c>
      <c r="Z247" s="239" t="s">
        <v>455</v>
      </c>
      <c r="AA247" s="239" t="s">
        <v>455</v>
      </c>
      <c r="AB247" s="239">
        <f>B247*2.83333333333333/100</f>
        <v>2.8333333333333299</v>
      </c>
    </row>
    <row r="248" spans="1:28">
      <c r="A248" s="234" t="s">
        <v>623</v>
      </c>
      <c r="B248" s="59">
        <v>100</v>
      </c>
      <c r="C248" s="238">
        <f>B248*36.3275990245342/100</f>
        <v>36.327599024534202</v>
      </c>
      <c r="D248" s="238">
        <f>B248*0.825/100</f>
        <v>0.82499999999999996</v>
      </c>
      <c r="E248" s="251" t="s">
        <v>455</v>
      </c>
      <c r="F248" s="252"/>
      <c r="G248" s="252"/>
      <c r="H248" s="252"/>
      <c r="I248" s="263"/>
      <c r="J248" s="263"/>
      <c r="K248" s="256" t="s">
        <v>454</v>
      </c>
      <c r="L248" s="242">
        <f>B248*9.32100000000001/100</f>
        <v>9.3210000000000104</v>
      </c>
      <c r="M248" s="243">
        <f>B248*1.42166666666667/100</f>
        <v>1.42166666666667</v>
      </c>
      <c r="N248" s="243">
        <f>B248*3.23233333333333/100</f>
        <v>3.2323333333333299</v>
      </c>
      <c r="O248" s="243">
        <f>B248*4.43766666666667/100</f>
        <v>4.4376666666666704</v>
      </c>
      <c r="P248" s="243">
        <f>B248*0.054/100</f>
        <v>5.4000000000000006E-2</v>
      </c>
      <c r="Q248" s="243">
        <f>B248*15.442/100</f>
        <v>15.442</v>
      </c>
      <c r="R248" s="243">
        <f>B248*0.223666666666667/100</f>
        <v>0.22366666666666701</v>
      </c>
      <c r="S248" s="242" t="s">
        <v>455</v>
      </c>
      <c r="T248" s="243">
        <f>B248*123.787666666667/100</f>
        <v>123.78766666666699</v>
      </c>
      <c r="U248" s="243">
        <f>B248*0.019/100</f>
        <v>1.9E-2</v>
      </c>
      <c r="V248" s="243">
        <f>B248*0.057/100</f>
        <v>5.7000000000000002E-2</v>
      </c>
      <c r="W248" s="269" t="s">
        <v>454</v>
      </c>
      <c r="X248" s="243">
        <f>B248*0.05/100</f>
        <v>0.05</v>
      </c>
      <c r="Y248" s="242" t="s">
        <v>455</v>
      </c>
      <c r="Z248" s="242" t="s">
        <v>455</v>
      </c>
      <c r="AA248" s="242" t="s">
        <v>455</v>
      </c>
      <c r="AB248" s="243">
        <f>B248*3.25333333333333/100</f>
        <v>3.2533333333333299</v>
      </c>
    </row>
    <row r="249" spans="1:28">
      <c r="A249" s="232" t="s">
        <v>624</v>
      </c>
      <c r="B249" s="59">
        <v>100</v>
      </c>
      <c r="C249" s="239">
        <f>B249*63.1424347826087/100</f>
        <v>63.14243478260871</v>
      </c>
      <c r="D249" s="239">
        <f>B249*0.706521739130435/100</f>
        <v>0.70652173913043503</v>
      </c>
      <c r="E249" s="246" t="s">
        <v>455</v>
      </c>
      <c r="F249" s="252"/>
      <c r="G249" s="252"/>
      <c r="H249" s="252"/>
      <c r="I249" s="263"/>
      <c r="J249" s="263"/>
      <c r="K249" s="256" t="s">
        <v>454</v>
      </c>
      <c r="L249" s="242">
        <f>B249*16.8801449275362/100</f>
        <v>16.8801449275362</v>
      </c>
      <c r="M249" s="239">
        <f>B249*1.01666666666667/100</f>
        <v>1.0166666666666699</v>
      </c>
      <c r="N249" s="239">
        <f>B249*4.09666666666667/100</f>
        <v>4.0966666666666702</v>
      </c>
      <c r="O249" s="239">
        <f>B249*4.03833333333333/100</f>
        <v>4.0383333333333304</v>
      </c>
      <c r="P249" s="239">
        <f>B249*0.0283333333333333/100</f>
        <v>2.8333333333333301E-2</v>
      </c>
      <c r="Q249" s="239">
        <f>B249*8.81033333333333/100</f>
        <v>8.8103333333333307</v>
      </c>
      <c r="R249" s="239">
        <f>B249*0.603333333333333/100</f>
        <v>0.60333333333333306</v>
      </c>
      <c r="S249" s="239">
        <f>B249*3.201/100</f>
        <v>3.2010000000000001</v>
      </c>
      <c r="T249" s="239">
        <f>B249*94.7166666666667/100</f>
        <v>94.716666666666697</v>
      </c>
      <c r="U249" s="239">
        <f>B249*0.0393333333333333/100</f>
        <v>3.9333333333333297E-2</v>
      </c>
      <c r="V249" s="239">
        <f>B249*0.0916666666666667/100</f>
        <v>9.1666666666666702E-2</v>
      </c>
      <c r="W249" s="269" t="s">
        <v>454</v>
      </c>
      <c r="X249" s="239" t="s">
        <v>455</v>
      </c>
      <c r="Y249" s="239" t="s">
        <v>455</v>
      </c>
      <c r="Z249" s="239" t="s">
        <v>455</v>
      </c>
      <c r="AA249" s="239" t="s">
        <v>455</v>
      </c>
      <c r="AB249" s="239" t="s">
        <v>455</v>
      </c>
    </row>
    <row r="250" spans="1:28">
      <c r="A250" s="232" t="s">
        <v>625</v>
      </c>
      <c r="B250" s="59">
        <v>100</v>
      </c>
      <c r="C250" s="238">
        <f>B250*88.4735276668668/100</f>
        <v>88.473527666866801</v>
      </c>
      <c r="D250" s="238">
        <f>B250*1.48541666666667/100</f>
        <v>1.4854166666666699</v>
      </c>
      <c r="E250" s="248">
        <f>B250*0.319/100</f>
        <v>0.31900000000000001</v>
      </c>
      <c r="F250" s="252">
        <f>B250*0.1/100</f>
        <v>0.1</v>
      </c>
      <c r="G250" s="252" t="s">
        <v>455</v>
      </c>
      <c r="H250" s="252">
        <f>B250*0.1/100</f>
        <v>0.1</v>
      </c>
      <c r="I250" s="263">
        <f>B250*0.08/100</f>
        <v>0.08</v>
      </c>
      <c r="J250" s="263">
        <f>B250*0.04/100</f>
        <v>0.04</v>
      </c>
      <c r="K250" s="256" t="s">
        <v>454</v>
      </c>
      <c r="L250" s="242">
        <f>B250*22.4479166666667/100</f>
        <v>22.4479166666667</v>
      </c>
      <c r="M250" s="238">
        <f>B250*3.356/100</f>
        <v>3.3559999999999999</v>
      </c>
      <c r="N250" s="238">
        <f>B250*20.8803333333333/100</f>
        <v>20.880333333333301</v>
      </c>
      <c r="O250" s="238">
        <f>B250*30.5386666666667/100</f>
        <v>30.5386666666667</v>
      </c>
      <c r="P250" s="238">
        <f>B250*0.145333333333333/100</f>
        <v>0.14533333333333301</v>
      </c>
      <c r="Q250" s="238">
        <f>B250*34.3953333333333/100</f>
        <v>34.395333333333298</v>
      </c>
      <c r="R250" s="238">
        <f>B250*0.213666666666667/100</f>
        <v>0.213666666666667</v>
      </c>
      <c r="S250" s="238">
        <f>B250*1.33733333333333/100</f>
        <v>1.3373333333333302</v>
      </c>
      <c r="T250" s="238">
        <f>B250*283.047/100</f>
        <v>283.04700000000003</v>
      </c>
      <c r="U250" s="238">
        <f>B250*0.107333333333333/100</f>
        <v>0.107333333333333</v>
      </c>
      <c r="V250" s="238">
        <f>B250*0.242333333333333/100</f>
        <v>0.24233333333333301</v>
      </c>
      <c r="W250" s="269" t="s">
        <v>454</v>
      </c>
      <c r="X250" s="238">
        <f>B250*0.12/100</f>
        <v>0.12</v>
      </c>
      <c r="Y250" s="238">
        <f>B250*0.0433333333333333/100</f>
        <v>4.3333333333333307E-2</v>
      </c>
      <c r="Z250" s="238">
        <f>B250*0.0866666666666667/100</f>
        <v>8.6666666666666697E-2</v>
      </c>
      <c r="AA250" s="242" t="s">
        <v>455</v>
      </c>
      <c r="AB250" s="238">
        <f>B250*35.9033333333333/100</f>
        <v>35.9033333333333</v>
      </c>
    </row>
    <row r="251" spans="1:28">
      <c r="A251" s="232" t="s">
        <v>626</v>
      </c>
      <c r="B251" s="59">
        <v>100</v>
      </c>
      <c r="C251" s="238">
        <f>B251*41.41553/100</f>
        <v>41.415529999999997</v>
      </c>
      <c r="D251" s="238">
        <f>B251*0.929166666666666/100</f>
        <v>0.92916666666666603</v>
      </c>
      <c r="E251" s="248">
        <f>B251*0.169/100</f>
        <v>0.16900000000000001</v>
      </c>
      <c r="F251" s="252"/>
      <c r="G251" s="252"/>
      <c r="H251" s="252"/>
      <c r="I251" s="263"/>
      <c r="J251" s="263"/>
      <c r="K251" s="256" t="s">
        <v>454</v>
      </c>
      <c r="L251" s="242">
        <f>B251*10.2441666666667/100</f>
        <v>10.244166666666702</v>
      </c>
      <c r="M251" s="238">
        <f>B251*3.23733333333333/100</f>
        <v>3.2373333333333303</v>
      </c>
      <c r="N251" s="238">
        <f>B251*17.879/100</f>
        <v>17.879000000000001</v>
      </c>
      <c r="O251" s="238">
        <f>B251*12.2253333333333/100</f>
        <v>12.2253333333333</v>
      </c>
      <c r="P251" s="238">
        <f>B251*0.358333333333333/100</f>
        <v>0.358333333333333</v>
      </c>
      <c r="Q251" s="238">
        <f>B251*13.143/100</f>
        <v>13.143000000000002</v>
      </c>
      <c r="R251" s="238">
        <f>B251*0.396333333333333/100</f>
        <v>0.39633333333333298</v>
      </c>
      <c r="S251" s="238">
        <f>B251*1.704/100</f>
        <v>1.704</v>
      </c>
      <c r="T251" s="238">
        <f>B251*113.439/100</f>
        <v>113.43899999999999</v>
      </c>
      <c r="U251" s="238">
        <f>B251*0.0843333333333333/100</f>
        <v>8.4333333333333302E-2</v>
      </c>
      <c r="V251" s="238">
        <f>B251*0.352/100</f>
        <v>0.35199999999999998</v>
      </c>
      <c r="W251" s="269" t="s">
        <v>454</v>
      </c>
      <c r="X251" s="243">
        <f>B251*0.026/100</f>
        <v>2.6000000000000002E-2</v>
      </c>
      <c r="Y251" s="243">
        <f>B251*0.0973333333333333/100</f>
        <v>9.7333333333333313E-2</v>
      </c>
      <c r="Z251" s="243" t="s">
        <v>455</v>
      </c>
      <c r="AA251" s="243" t="s">
        <v>455</v>
      </c>
      <c r="AB251" s="243">
        <f>B251*24.87/100</f>
        <v>24.87</v>
      </c>
    </row>
    <row r="252" spans="1:28">
      <c r="A252" s="222" t="s">
        <v>3129</v>
      </c>
      <c r="B252" s="59">
        <v>100</v>
      </c>
      <c r="C252" s="247">
        <f>B252*19.1054595023592/100</f>
        <v>19.105459502359199</v>
      </c>
      <c r="D252" s="247">
        <f>B252*0.285416666666667/100</f>
        <v>0.28541666666666698</v>
      </c>
      <c r="E252" s="244">
        <f>B252*0.121333333333333/100</f>
        <v>0.12133333333333302</v>
      </c>
      <c r="F252" s="252"/>
      <c r="G252" s="252"/>
      <c r="H252" s="252"/>
      <c r="I252" s="263"/>
      <c r="J252" s="263"/>
      <c r="K252" s="258" t="s">
        <v>454</v>
      </c>
      <c r="L252" s="247">
        <f>B252*4.75858333333333/100</f>
        <v>4.7585833333333296</v>
      </c>
      <c r="M252" s="244">
        <f>B252*0.736666666666667/100</f>
        <v>0.73666666666666702</v>
      </c>
      <c r="N252" s="244">
        <f>B252*7.795/100</f>
        <v>7.7949999999999999</v>
      </c>
      <c r="O252" s="244">
        <f>B252*6.203/100</f>
        <v>6.2030000000000003</v>
      </c>
      <c r="P252" s="244">
        <f>B252*0.053/100</f>
        <v>5.2999999999999999E-2</v>
      </c>
      <c r="Q252" s="244">
        <f>B252*12.2183333333333/100</f>
        <v>12.2183333333333</v>
      </c>
      <c r="R252" s="244">
        <f>B252*0.372333333333333/100</f>
        <v>0.37233333333333296</v>
      </c>
      <c r="S252" s="244">
        <f>B252*5.029/100</f>
        <v>5.0289999999999999</v>
      </c>
      <c r="T252" s="244">
        <f>B252*87.3086666666667/100</f>
        <v>87.30866666666671</v>
      </c>
      <c r="U252" s="244">
        <f>B252*0.059/100</f>
        <v>5.8999999999999997E-2</v>
      </c>
      <c r="V252" s="244">
        <f>B252*0.0873333333333333/100</f>
        <v>8.7333333333333305E-2</v>
      </c>
      <c r="W252" s="258" t="s">
        <v>454</v>
      </c>
      <c r="X252" s="244" t="s">
        <v>455</v>
      </c>
      <c r="Y252" s="244" t="s">
        <v>455</v>
      </c>
      <c r="Z252" s="244" t="s">
        <v>455</v>
      </c>
      <c r="AA252" s="244" t="s">
        <v>455</v>
      </c>
      <c r="AB252" s="244" t="s">
        <v>455</v>
      </c>
    </row>
    <row r="253" spans="1:28">
      <c r="A253" s="234" t="s">
        <v>627</v>
      </c>
      <c r="B253" s="59">
        <v>100</v>
      </c>
      <c r="C253" s="238">
        <f>B253*55.739/100</f>
        <v>55.738999999999997</v>
      </c>
      <c r="D253" s="242">
        <f>B253*0.404166666666667/100</f>
        <v>0.40416666666666701</v>
      </c>
      <c r="E253" s="251" t="s">
        <v>455</v>
      </c>
      <c r="F253" s="252"/>
      <c r="G253" s="252"/>
      <c r="H253" s="252"/>
      <c r="I253" s="263"/>
      <c r="J253" s="263"/>
      <c r="K253" s="256" t="s">
        <v>454</v>
      </c>
      <c r="L253" s="242">
        <f>B253*15.1058333333333/100</f>
        <v>15.105833333333299</v>
      </c>
      <c r="M253" s="243">
        <f>B253*0.438666666666667/100</f>
        <v>0.43866666666666698</v>
      </c>
      <c r="N253" s="243">
        <f>B253*4.754/100</f>
        <v>4.7539999999999996</v>
      </c>
      <c r="O253" s="243">
        <f>B253*12.702/100</f>
        <v>12.702</v>
      </c>
      <c r="P253" s="243">
        <f>B253*0.132/100</f>
        <v>0.13200000000000001</v>
      </c>
      <c r="Q253" s="243">
        <f>B253*40.267/100</f>
        <v>40.267000000000003</v>
      </c>
      <c r="R253" s="243">
        <f>B253*0.257/100</f>
        <v>0.25700000000000001</v>
      </c>
      <c r="S253" s="243">
        <f>B253*0.591333333333333/100</f>
        <v>0.59133333333333304</v>
      </c>
      <c r="T253" s="243">
        <f>B253*484.570666666667/100</f>
        <v>484.57066666666702</v>
      </c>
      <c r="U253" s="243">
        <f>B253*0.187333333333333/100</f>
        <v>0.18733333333333299</v>
      </c>
      <c r="V253" s="243">
        <f>B253*0.67/100</f>
        <v>0.67</v>
      </c>
      <c r="W253" s="269" t="s">
        <v>454</v>
      </c>
      <c r="X253" s="243">
        <f>B253*0.118333333333333/100</f>
        <v>0.118333333333333</v>
      </c>
      <c r="Y253" s="243">
        <f>B253*0.169266666666667/100</f>
        <v>0.16926666666666701</v>
      </c>
      <c r="Z253" s="243">
        <f>B253*0.05/100</f>
        <v>0.05</v>
      </c>
      <c r="AA253" s="242" t="s">
        <v>455</v>
      </c>
      <c r="AB253" s="243">
        <f>B253*8.12333333333333/100</f>
        <v>8.1233333333333295</v>
      </c>
    </row>
    <row r="254" spans="1:28">
      <c r="A254" s="232" t="s">
        <v>628</v>
      </c>
      <c r="B254" s="59">
        <v>100</v>
      </c>
      <c r="C254" s="238">
        <f>B254*275.695642694414/100</f>
        <v>275.695642694414</v>
      </c>
      <c r="D254" s="238">
        <f>B254*3.20625/100</f>
        <v>3.2062499999999998</v>
      </c>
      <c r="E254" s="248">
        <f>B254*0.455/100</f>
        <v>0.45500000000000002</v>
      </c>
      <c r="F254" s="252">
        <f>B254*0.1/100</f>
        <v>0.1</v>
      </c>
      <c r="G254" s="252">
        <f>B254*0.2/100</f>
        <v>0.2</v>
      </c>
      <c r="H254" s="252" t="s">
        <v>455</v>
      </c>
      <c r="I254" s="263">
        <f>B254*0.02/100</f>
        <v>0.02</v>
      </c>
      <c r="J254" s="263">
        <f>B254*0.02/100</f>
        <v>0.02</v>
      </c>
      <c r="K254" s="256" t="s">
        <v>454</v>
      </c>
      <c r="L254" s="242">
        <f>B254*72.53175/100</f>
        <v>72.531750000000002</v>
      </c>
      <c r="M254" s="238">
        <f>B254*6.44666666666667/100</f>
        <v>6.4466666666666699</v>
      </c>
      <c r="N254" s="238">
        <f>B254*37.1043333333333/100</f>
        <v>37.104333333333301</v>
      </c>
      <c r="O254" s="238">
        <f>B254*59.109/100</f>
        <v>59.109000000000009</v>
      </c>
      <c r="P254" s="238">
        <f>B254*0.335333333333333/100</f>
        <v>0.33533333333333298</v>
      </c>
      <c r="Q254" s="238">
        <f>B254*54.5916666666667/100</f>
        <v>54.591666666666697</v>
      </c>
      <c r="R254" s="238">
        <f>B254*0.553333333333333/100</f>
        <v>0.55333333333333301</v>
      </c>
      <c r="S254" s="238">
        <f>B254*0.355333333333333/100</f>
        <v>0.35533333333333306</v>
      </c>
      <c r="T254" s="238">
        <f>B254*722.992666666667/100</f>
        <v>722.99266666666688</v>
      </c>
      <c r="U254" s="238">
        <f>B254*0.294666666666667/100</f>
        <v>0.29466666666666702</v>
      </c>
      <c r="V254" s="238">
        <f>B254*0.673/100</f>
        <v>0.67300000000000015</v>
      </c>
      <c r="W254" s="269" t="s">
        <v>454</v>
      </c>
      <c r="X254" s="238">
        <f>B254*0.31/100</f>
        <v>0.31</v>
      </c>
      <c r="Y254" s="243" t="s">
        <v>455</v>
      </c>
      <c r="Z254" s="243">
        <f>B254*0.103333333333333/100</f>
        <v>0.103333333333333</v>
      </c>
      <c r="AA254" s="243" t="s">
        <v>455</v>
      </c>
      <c r="AB254" s="243">
        <f>B254*7.24666666666667/100</f>
        <v>7.2466666666666697</v>
      </c>
    </row>
    <row r="255" spans="1:28">
      <c r="A255" s="232" t="s">
        <v>3130</v>
      </c>
      <c r="B255" s="59">
        <v>100</v>
      </c>
      <c r="C255" s="239">
        <f>B255*37.8305999999999/100</f>
        <v>37.830599999999897</v>
      </c>
      <c r="D255" s="239">
        <f>B255*0.847826086956522/100</f>
        <v>0.84782608695652195</v>
      </c>
      <c r="E255" s="246">
        <f>B255*0.0733333333333333/100</f>
        <v>7.3333333333333306E-2</v>
      </c>
      <c r="F255" s="252"/>
      <c r="G255" s="252"/>
      <c r="H255" s="252"/>
      <c r="I255" s="263"/>
      <c r="J255" s="263"/>
      <c r="K255" s="256" t="s">
        <v>454</v>
      </c>
      <c r="L255" s="242">
        <f>B255*9.60999999999999/100</f>
        <v>9.6099999999999905</v>
      </c>
      <c r="M255" s="239">
        <f>B255*0.94/100</f>
        <v>0.94</v>
      </c>
      <c r="N255" s="239">
        <f>B255*12.89/100</f>
        <v>12.89</v>
      </c>
      <c r="O255" s="239">
        <f>B255*7.73333333333333/100</f>
        <v>7.7333333333333307</v>
      </c>
      <c r="P255" s="246">
        <f>B255*0.04/100</f>
        <v>0.04</v>
      </c>
      <c r="Q255" s="239">
        <f>B255*12.4533333333333/100</f>
        <v>12.453333333333298</v>
      </c>
      <c r="R255" s="239">
        <f>B255*0.113333333333333/100</f>
        <v>0.11333333333333301</v>
      </c>
      <c r="S255" s="239" t="s">
        <v>455</v>
      </c>
      <c r="T255" s="239">
        <f>B255*131.443333333333/100</f>
        <v>131.44333333333299</v>
      </c>
      <c r="U255" s="239">
        <f>B255*0.03/100</f>
        <v>0.03</v>
      </c>
      <c r="V255" s="239" t="s">
        <v>455</v>
      </c>
      <c r="W255" s="269" t="s">
        <v>454</v>
      </c>
      <c r="X255" s="239">
        <f>B255*0.06/100</f>
        <v>0.06</v>
      </c>
      <c r="Y255" s="239">
        <f>B255*0.02/100</f>
        <v>0.02</v>
      </c>
      <c r="Z255" s="239">
        <f>B255*0.02/100</f>
        <v>0.02</v>
      </c>
      <c r="AA255" s="239" t="s">
        <v>455</v>
      </c>
      <c r="AB255" s="239">
        <f>B255*48.8166666666667/100</f>
        <v>48.816666666666698</v>
      </c>
    </row>
    <row r="256" spans="1:28">
      <c r="A256" s="232" t="s">
        <v>3131</v>
      </c>
      <c r="B256" s="59">
        <v>100</v>
      </c>
      <c r="C256" s="239">
        <f>B256*36.1088/100</f>
        <v>36.108800000000002</v>
      </c>
      <c r="D256" s="239">
        <f>B256*0.521739130434783/100</f>
        <v>0.52173913043478304</v>
      </c>
      <c r="E256" s="246" t="s">
        <v>455</v>
      </c>
      <c r="F256" s="252"/>
      <c r="G256" s="252"/>
      <c r="H256" s="252"/>
      <c r="I256" s="263"/>
      <c r="J256" s="263"/>
      <c r="K256" s="256" t="s">
        <v>454</v>
      </c>
      <c r="L256" s="242">
        <f>B256*8.8/100</f>
        <v>8.8000000000000007</v>
      </c>
      <c r="M256" s="239" t="s">
        <v>455</v>
      </c>
      <c r="N256" s="239">
        <f>B256*4.28333333333333/100</f>
        <v>4.2833333333333297</v>
      </c>
      <c r="O256" s="239">
        <f>B256*6.46/100</f>
        <v>6.46</v>
      </c>
      <c r="P256" s="246">
        <f>B256*0.02/100</f>
        <v>0.02</v>
      </c>
      <c r="Q256" s="239">
        <f>B256*9.02/100</f>
        <v>9.02</v>
      </c>
      <c r="R256" s="239" t="s">
        <v>455</v>
      </c>
      <c r="S256" s="239" t="s">
        <v>455</v>
      </c>
      <c r="T256" s="239">
        <f>B256*119.003333333333/100</f>
        <v>119.00333333333302</v>
      </c>
      <c r="U256" s="239">
        <f>B256*0.02/100</f>
        <v>0.02</v>
      </c>
      <c r="V256" s="239" t="s">
        <v>455</v>
      </c>
      <c r="W256" s="269" t="s">
        <v>454</v>
      </c>
      <c r="X256" s="239">
        <f>B256*0.0633333333333333/100</f>
        <v>6.3333333333333297E-2</v>
      </c>
      <c r="Y256" s="239" t="s">
        <v>455</v>
      </c>
      <c r="Z256" s="239">
        <f>B256*0.03/100</f>
        <v>0.03</v>
      </c>
      <c r="AA256" s="239" t="s">
        <v>455</v>
      </c>
      <c r="AB256" s="239">
        <f>B256*41.75/100</f>
        <v>41.75</v>
      </c>
    </row>
    <row r="257" spans="1:28">
      <c r="A257" s="235" t="s">
        <v>3132</v>
      </c>
      <c r="B257" s="59">
        <v>100</v>
      </c>
      <c r="C257" s="247">
        <f>B257*262.015195072393/100</f>
        <v>262.015195072393</v>
      </c>
      <c r="D257" s="247">
        <f>B257*2.09375/100</f>
        <v>2.09375</v>
      </c>
      <c r="E257" s="241">
        <f>B257*19.0766666666667/100</f>
        <v>19.0766666666667</v>
      </c>
      <c r="F257" s="247">
        <f>B257*4.693/100</f>
        <v>4.6929999999999996</v>
      </c>
      <c r="G257" s="247">
        <f>B257*9.681/100</f>
        <v>9.6809999999999992</v>
      </c>
      <c r="H257" s="247">
        <f>B257*0.880333333333333/100</f>
        <v>0.88033333333333308</v>
      </c>
      <c r="I257" s="263">
        <f>B257*0.300333333333333/100</f>
        <v>0.30033333333333301</v>
      </c>
      <c r="J257" s="263">
        <f>B257*0.58/100</f>
        <v>0.57999999999999996</v>
      </c>
      <c r="K257" s="258" t="s">
        <v>454</v>
      </c>
      <c r="L257" s="247">
        <f>B257*26.4745833333333/100</f>
        <v>26.4745833333333</v>
      </c>
      <c r="M257" s="241">
        <f>B257*12.6533333333333/100</f>
        <v>12.6533333333333</v>
      </c>
      <c r="N257" s="241">
        <f>B257*46.3383333333333/100</f>
        <v>46.338333333333303</v>
      </c>
      <c r="O257" s="241">
        <f>B257*121.011333333333/100</f>
        <v>121.011333333333</v>
      </c>
      <c r="P257" s="241">
        <f>B257*0.548666666666667/100</f>
        <v>0.54866666666666697</v>
      </c>
      <c r="Q257" s="241">
        <f>B257*52.5486666666667/100</f>
        <v>52.548666666666698</v>
      </c>
      <c r="R257" s="241">
        <f>B257*0.566/100</f>
        <v>0.56599999999999995</v>
      </c>
      <c r="S257" s="241">
        <f>B257*3.893/100</f>
        <v>3.8929999999999993</v>
      </c>
      <c r="T257" s="241">
        <f>B257*401.169666666667/100</f>
        <v>401.16966666666701</v>
      </c>
      <c r="U257" s="241">
        <f>B257*0.389666666666667/100</f>
        <v>0.38966666666666699</v>
      </c>
      <c r="V257" s="241">
        <f>B257*0.873666666666667/100</f>
        <v>0.87366666666666704</v>
      </c>
      <c r="W257" s="247" t="s">
        <v>454</v>
      </c>
      <c r="X257" s="241">
        <f>B257*0.0366666666666667/100</f>
        <v>3.6666666666666702E-2</v>
      </c>
      <c r="Y257" s="241" t="s">
        <v>455</v>
      </c>
      <c r="Z257" s="241">
        <f>B257*0.11/100</f>
        <v>0.11</v>
      </c>
      <c r="AA257" s="241" t="s">
        <v>455</v>
      </c>
      <c r="AB257" s="241">
        <f>B257*17.9933333333333/100</f>
        <v>17.9933333333333</v>
      </c>
    </row>
    <row r="258" spans="1:28">
      <c r="A258" s="232" t="s">
        <v>631</v>
      </c>
      <c r="B258" s="59">
        <v>100</v>
      </c>
      <c r="C258" s="238">
        <f>B258*37.01669/100</f>
        <v>37.016689999999997</v>
      </c>
      <c r="D258" s="238">
        <f>B258*0.841666666666667/100</f>
        <v>0.84166666666666701</v>
      </c>
      <c r="E258" s="251" t="s">
        <v>455</v>
      </c>
      <c r="F258" s="252"/>
      <c r="G258" s="263"/>
      <c r="H258" s="263"/>
      <c r="I258" s="263"/>
      <c r="J258" s="263"/>
      <c r="K258" s="256" t="s">
        <v>454</v>
      </c>
      <c r="L258" s="242">
        <f>B258*9.39533333333333/100</f>
        <v>9.3953333333333298</v>
      </c>
      <c r="M258" s="242">
        <f>B258*1.982/100</f>
        <v>1.982</v>
      </c>
      <c r="N258" s="242">
        <f>B258*11.561/100</f>
        <v>11.561</v>
      </c>
      <c r="O258" s="242">
        <f>B258*11.349/100</f>
        <v>11.349</v>
      </c>
      <c r="P258" s="248">
        <f>B258*0.033/100</f>
        <v>3.3000000000000002E-2</v>
      </c>
      <c r="Q258" s="242">
        <f>B258*13.375/100</f>
        <v>13.375</v>
      </c>
      <c r="R258" s="242">
        <f>B258*0.092/100</f>
        <v>9.1999999999999998E-2</v>
      </c>
      <c r="S258" s="242" t="s">
        <v>455</v>
      </c>
      <c r="T258" s="242">
        <f>B258*151.832333333333/100</f>
        <v>151.832333333333</v>
      </c>
      <c r="U258" s="242">
        <f>B258*0.0406666666666667/100</f>
        <v>4.0666666666666698E-2</v>
      </c>
      <c r="V258" s="242">
        <f>B258*0.421666666666667/100</f>
        <v>0.42166666666666702</v>
      </c>
      <c r="W258" s="269" t="s">
        <v>454</v>
      </c>
      <c r="X258" s="238">
        <f>B258*0.05/100</f>
        <v>0.05</v>
      </c>
      <c r="Y258" s="238">
        <f>B258*0.0563333333333333/100</f>
        <v>5.6333333333333305E-2</v>
      </c>
      <c r="Z258" s="242">
        <f>B258*0.03/100</f>
        <v>0.03</v>
      </c>
      <c r="AA258" s="242" t="s">
        <v>455</v>
      </c>
      <c r="AB258" s="238">
        <f>B258*24.0553333333333/100</f>
        <v>24.055333333333301</v>
      </c>
    </row>
    <row r="259" spans="1:28">
      <c r="A259" s="232" t="s">
        <v>632</v>
      </c>
      <c r="B259" s="59">
        <v>100</v>
      </c>
      <c r="C259" s="238">
        <f>B259*33.94329/100</f>
        <v>33.943289999999998</v>
      </c>
      <c r="D259" s="238">
        <f>B259*0.5125/100</f>
        <v>0.51249999999999996</v>
      </c>
      <c r="E259" s="248">
        <f>B259*0.0703333333333333/100</f>
        <v>7.0333333333333303E-2</v>
      </c>
      <c r="F259" s="263"/>
      <c r="G259" s="263"/>
      <c r="H259" s="263"/>
      <c r="I259" s="263"/>
      <c r="J259" s="263"/>
      <c r="K259" s="256" t="s">
        <v>454</v>
      </c>
      <c r="L259" s="242">
        <f>B259*8.78683333333333/100</f>
        <v>8.7868333333333304</v>
      </c>
      <c r="M259" s="238">
        <f>B259*1.33633333333333/100</f>
        <v>1.33633333333333</v>
      </c>
      <c r="N259" s="238">
        <f>B259*10.7103333333333/100</f>
        <v>10.710333333333301</v>
      </c>
      <c r="O259" s="238">
        <f>B259*8.121/100</f>
        <v>8.1210000000000004</v>
      </c>
      <c r="P259" s="248">
        <f>B259*0.0486666666666667/100</f>
        <v>4.8666666666666698E-2</v>
      </c>
      <c r="Q259" s="238">
        <f>B259*12.677/100</f>
        <v>12.677</v>
      </c>
      <c r="R259" s="238">
        <f>B259*0.209/100</f>
        <v>0.20899999999999999</v>
      </c>
      <c r="S259" s="238">
        <f>B259*5.771/100</f>
        <v>5.7709999999999999</v>
      </c>
      <c r="T259" s="238">
        <f>B259*153.884333333333/100</f>
        <v>153.88433333333299</v>
      </c>
      <c r="U259" s="238">
        <f>B259*0.043/100</f>
        <v>4.2999999999999997E-2</v>
      </c>
      <c r="V259" s="238">
        <f>B259*0.0726666666666667/100</f>
        <v>7.2666666666666699E-2</v>
      </c>
      <c r="W259" s="269" t="s">
        <v>454</v>
      </c>
      <c r="X259" s="242" t="s">
        <v>455</v>
      </c>
      <c r="Y259" s="238">
        <f>B259*0.0646666666666667/100</f>
        <v>6.4666666666666706E-2</v>
      </c>
      <c r="Z259" s="242" t="s">
        <v>455</v>
      </c>
      <c r="AA259" s="242" t="s">
        <v>455</v>
      </c>
      <c r="AB259" s="238">
        <f>B259*3.95333333333333/100</f>
        <v>3.9533333333333305</v>
      </c>
    </row>
    <row r="260" spans="1:28">
      <c r="A260" s="232" t="s">
        <v>633</v>
      </c>
      <c r="B260" s="59">
        <v>100</v>
      </c>
      <c r="C260" s="239">
        <f>B260*52.8731000000001/100</f>
        <v>52.873100000000107</v>
      </c>
      <c r="D260" s="239">
        <f>B260*0.746376811594203/100</f>
        <v>0.74637681159420299</v>
      </c>
      <c r="E260" s="246">
        <f>B260*0.203333333333333/100</f>
        <v>0.20333333333333301</v>
      </c>
      <c r="F260" s="263"/>
      <c r="G260" s="263"/>
      <c r="H260" s="263"/>
      <c r="I260" s="263"/>
      <c r="J260" s="263"/>
      <c r="K260" s="256" t="s">
        <v>454</v>
      </c>
      <c r="L260" s="242">
        <f>B260*13.5733333333333/100</f>
        <v>13.5733333333333</v>
      </c>
      <c r="M260" s="239">
        <f>B260*0.92/100</f>
        <v>0.92</v>
      </c>
      <c r="N260" s="239">
        <f>B260*6.66/100</f>
        <v>6.66</v>
      </c>
      <c r="O260" s="239">
        <f>B260*4.98333333333333/100</f>
        <v>4.9833333333333298</v>
      </c>
      <c r="P260" s="239">
        <f>B260*0.126666666666667/100</f>
        <v>0.12666666666666701</v>
      </c>
      <c r="Q260" s="239">
        <f>B260*12.1166666666667/100</f>
        <v>12.116666666666699</v>
      </c>
      <c r="R260" s="239">
        <f>B260*0.14/100</f>
        <v>0.14000000000000001</v>
      </c>
      <c r="S260" s="239" t="s">
        <v>455</v>
      </c>
      <c r="T260" s="239">
        <f>B260*161.936666666667/100</f>
        <v>161.93666666666701</v>
      </c>
      <c r="U260" s="239">
        <f>B260*0.106666666666667/100</f>
        <v>0.10666666666666699</v>
      </c>
      <c r="V260" s="239" t="s">
        <v>455</v>
      </c>
      <c r="W260" s="269" t="s">
        <v>454</v>
      </c>
      <c r="X260" s="239" t="s">
        <v>455</v>
      </c>
      <c r="Y260" s="239" t="s">
        <v>455</v>
      </c>
      <c r="Z260" s="239">
        <f>B260*0.03/100</f>
        <v>0.03</v>
      </c>
      <c r="AA260" s="239" t="s">
        <v>455</v>
      </c>
      <c r="AB260" s="239">
        <f>B260*3.29333333333333/100</f>
        <v>3.2933333333333299</v>
      </c>
    </row>
    <row r="261" spans="1:28">
      <c r="A261" s="232" t="s">
        <v>634</v>
      </c>
      <c r="B261" s="59">
        <v>100</v>
      </c>
      <c r="C261" s="238">
        <f>B261*49.06129/100</f>
        <v>49.06129</v>
      </c>
      <c r="D261" s="238">
        <f>B261*0.608333333333333/100</f>
        <v>0.60833333333333295</v>
      </c>
      <c r="E261" s="248">
        <f>B261*0.157/100</f>
        <v>0.157</v>
      </c>
      <c r="F261" s="263"/>
      <c r="G261" s="263"/>
      <c r="H261" s="263"/>
      <c r="I261" s="263"/>
      <c r="J261" s="263"/>
      <c r="K261" s="256" t="s">
        <v>454</v>
      </c>
      <c r="L261" s="242">
        <f>B261*12.6953333333333/100</f>
        <v>12.695333333333302</v>
      </c>
      <c r="M261" s="238">
        <f>B261*0.933666666666667/100</f>
        <v>0.93366666666666698</v>
      </c>
      <c r="N261" s="238">
        <f>B261*7.61566666666667/100</f>
        <v>7.6156666666666704</v>
      </c>
      <c r="O261" s="238">
        <f>B261*5.82733333333333/100</f>
        <v>5.8273333333333301</v>
      </c>
      <c r="P261" s="238">
        <f>B261*0.0716666666666667/100</f>
        <v>7.1666666666666698E-2</v>
      </c>
      <c r="Q261" s="238">
        <f>B261*22.7856666666667/100</f>
        <v>22.7856666666667</v>
      </c>
      <c r="R261" s="238">
        <f>B261*0.170666666666667/100</f>
        <v>0.17066666666666699</v>
      </c>
      <c r="S261" s="238">
        <f>B261*7.919/100</f>
        <v>7.9189999999999996</v>
      </c>
      <c r="T261" s="238">
        <f>B261*158.893333333333/100</f>
        <v>158.893333333333</v>
      </c>
      <c r="U261" s="238">
        <f>B261*0.047/100</f>
        <v>4.7E-2</v>
      </c>
      <c r="V261" s="242" t="s">
        <v>455</v>
      </c>
      <c r="W261" s="269" t="s">
        <v>454</v>
      </c>
      <c r="X261" s="238">
        <f>B261*0.017/100</f>
        <v>1.7000000000000001E-2</v>
      </c>
      <c r="Y261" s="243">
        <f>B261*0.022/100</f>
        <v>2.1999999999999999E-2</v>
      </c>
      <c r="Z261" s="243" t="s">
        <v>455</v>
      </c>
      <c r="AA261" s="243" t="s">
        <v>455</v>
      </c>
      <c r="AB261" s="243">
        <f>B261*1.863/100</f>
        <v>1.8630000000000002</v>
      </c>
    </row>
    <row r="262" spans="1:28">
      <c r="A262" s="232" t="s">
        <v>635</v>
      </c>
      <c r="B262" s="59">
        <v>100</v>
      </c>
      <c r="C262" s="238">
        <f>B262*57.65536/100</f>
        <v>57.655360000000002</v>
      </c>
      <c r="D262" s="242" t="s">
        <v>455</v>
      </c>
      <c r="E262" s="242" t="s">
        <v>455</v>
      </c>
      <c r="F262" s="263"/>
      <c r="G262" s="263"/>
      <c r="H262" s="263"/>
      <c r="I262" s="263"/>
      <c r="J262" s="263"/>
      <c r="K262" s="256" t="s">
        <v>454</v>
      </c>
      <c r="L262" s="242">
        <f>B262*14.708/100</f>
        <v>14.708</v>
      </c>
      <c r="M262" s="238">
        <f>B262*0.233333333333333/100</f>
        <v>0.233333333333333</v>
      </c>
      <c r="N262" s="238">
        <f>B262*9.317/100</f>
        <v>9.3170000000000002</v>
      </c>
      <c r="O262" s="238">
        <f>B262*7.058/100</f>
        <v>7.0579999999999998</v>
      </c>
      <c r="P262" s="238">
        <f>B262*0.196666666666667/100</f>
        <v>0.19666666666666699</v>
      </c>
      <c r="Q262" s="238">
        <f>B262*10.0216666666667/100</f>
        <v>10.0216666666667</v>
      </c>
      <c r="R262" s="238">
        <f>B262*0.124/100</f>
        <v>0.124</v>
      </c>
      <c r="S262" s="243">
        <f>B262*9.58333333333333/100</f>
        <v>9.5833333333333304</v>
      </c>
      <c r="T262" s="238">
        <f>B262*53.7263333333333/100</f>
        <v>53.726333333333308</v>
      </c>
      <c r="U262" s="238">
        <f>B262*0.13/100</f>
        <v>0.13</v>
      </c>
      <c r="V262" s="238">
        <f>B262*0.054/100</f>
        <v>5.4000000000000006E-2</v>
      </c>
      <c r="W262" s="269" t="s">
        <v>454</v>
      </c>
      <c r="X262" s="238">
        <f>B262*0.0716666666666667/100</f>
        <v>7.1666666666666698E-2</v>
      </c>
      <c r="Y262" s="238">
        <f>B262*0.017/100</f>
        <v>1.7000000000000001E-2</v>
      </c>
      <c r="Z262" s="238">
        <f>B262*0.05/100</f>
        <v>0.05</v>
      </c>
      <c r="AA262" s="242" t="s">
        <v>455</v>
      </c>
      <c r="AB262" s="238">
        <f>B262*20.9676666666667/100</f>
        <v>20.967666666666702</v>
      </c>
    </row>
    <row r="263" spans="1:28" s="220" customFormat="1">
      <c r="A263" s="228" t="s">
        <v>636</v>
      </c>
      <c r="B263" s="237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</row>
    <row r="264" spans="1:28">
      <c r="A264" s="232" t="s">
        <v>637</v>
      </c>
      <c r="B264" s="59">
        <v>100</v>
      </c>
      <c r="C264" s="238">
        <f>B264*884/100</f>
        <v>884</v>
      </c>
      <c r="D264" s="242" t="s">
        <v>454</v>
      </c>
      <c r="E264" s="242">
        <f>B264*100/100</f>
        <v>100</v>
      </c>
      <c r="F264" s="252">
        <f>B264*43.1/100</f>
        <v>43.1</v>
      </c>
      <c r="G264" s="252">
        <f>B264*40.1/100</f>
        <v>40.1</v>
      </c>
      <c r="H264" s="252">
        <f>B264*16.6/100</f>
        <v>16.600000000000001</v>
      </c>
      <c r="I264" s="263">
        <f>B264*15.69/100</f>
        <v>15.69</v>
      </c>
      <c r="J264" s="263">
        <f>B264*0.83/100</f>
        <v>0.83</v>
      </c>
      <c r="K264" s="242" t="s">
        <v>454</v>
      </c>
      <c r="L264" s="242" t="s">
        <v>454</v>
      </c>
      <c r="M264" s="242" t="s">
        <v>454</v>
      </c>
      <c r="N264" s="242"/>
      <c r="O264" s="242"/>
      <c r="P264" s="242"/>
      <c r="Q264" s="242"/>
      <c r="R264" s="242"/>
      <c r="S264" s="242"/>
      <c r="T264" s="242"/>
      <c r="U264" s="242"/>
      <c r="V264" s="242"/>
      <c r="W264" s="242" t="s">
        <v>454</v>
      </c>
      <c r="X264" s="242"/>
      <c r="Y264" s="242"/>
      <c r="Z264" s="242"/>
      <c r="AA264" s="242"/>
      <c r="AB264" s="242"/>
    </row>
    <row r="265" spans="1:28">
      <c r="A265" s="232" t="s">
        <v>638</v>
      </c>
      <c r="B265" s="59">
        <v>100</v>
      </c>
      <c r="C265" s="238">
        <f>B265*884/100</f>
        <v>884</v>
      </c>
      <c r="D265" s="242" t="s">
        <v>454</v>
      </c>
      <c r="E265" s="242">
        <f>B265*100/100</f>
        <v>100</v>
      </c>
      <c r="F265" s="252">
        <f>B265*14.9/100</f>
        <v>14.9</v>
      </c>
      <c r="G265" s="252">
        <f>B265*75.5/100</f>
        <v>75.5</v>
      </c>
      <c r="H265" s="252">
        <f>B265*9.5/100</f>
        <v>9.5</v>
      </c>
      <c r="I265" s="263">
        <f>B265*8.74/100</f>
        <v>8.74</v>
      </c>
      <c r="J265" s="263">
        <f>B265*0.75/100</f>
        <v>0.75</v>
      </c>
      <c r="K265" s="242" t="s">
        <v>454</v>
      </c>
      <c r="L265" s="242" t="s">
        <v>454</v>
      </c>
      <c r="M265" s="242" t="s">
        <v>454</v>
      </c>
      <c r="N265" s="242"/>
      <c r="O265" s="242"/>
      <c r="P265" s="242"/>
      <c r="Q265" s="242"/>
      <c r="R265" s="242"/>
      <c r="S265" s="242"/>
      <c r="T265" s="242"/>
      <c r="U265" s="242"/>
      <c r="V265" s="242"/>
      <c r="W265" s="242" t="s">
        <v>454</v>
      </c>
      <c r="X265" s="242"/>
      <c r="Y265" s="242"/>
      <c r="Z265" s="242"/>
      <c r="AA265" s="242"/>
      <c r="AB265" s="242"/>
    </row>
    <row r="266" spans="1:28">
      <c r="A266" s="232" t="s">
        <v>639</v>
      </c>
      <c r="B266" s="59">
        <v>100</v>
      </c>
      <c r="C266" s="238">
        <f>B266*725.968926845999/100</f>
        <v>725.96892684599914</v>
      </c>
      <c r="D266" s="242">
        <f>B266*0.41470000743866/100</f>
        <v>0.41470000743865998</v>
      </c>
      <c r="E266" s="248">
        <f>B266*82.361/100</f>
        <v>82.361000000000004</v>
      </c>
      <c r="F266" s="252">
        <f>B266*49.2/100</f>
        <v>49.2</v>
      </c>
      <c r="G266" s="252">
        <f>B266*20.4/100</f>
        <v>20.399999999999999</v>
      </c>
      <c r="H266" s="252">
        <f>B266*1.2/100</f>
        <v>1.2</v>
      </c>
      <c r="I266" s="263">
        <f>B266*0.89/100</f>
        <v>0.89</v>
      </c>
      <c r="J266" s="263">
        <f>B266*0.27/100</f>
        <v>0.27</v>
      </c>
      <c r="K266" s="238">
        <f>B266*200.55/100</f>
        <v>200.55</v>
      </c>
      <c r="L266" s="242">
        <f>B266*0.0632999925613329/100</f>
        <v>6.3299992561332896E-2</v>
      </c>
      <c r="M266" s="242" t="s">
        <v>454</v>
      </c>
      <c r="N266" s="243">
        <f>B266*9.423/100</f>
        <v>9.423</v>
      </c>
      <c r="O266" s="243">
        <f>B266*1.46733333333333/100</f>
        <v>1.46733333333333</v>
      </c>
      <c r="P266" s="243" t="s">
        <v>455</v>
      </c>
      <c r="Q266" s="243">
        <f>B266*27.7003333333333/100</f>
        <v>27.700333333333301</v>
      </c>
      <c r="R266" s="243">
        <f>B266*0.154/100</f>
        <v>0.154</v>
      </c>
      <c r="S266" s="243">
        <f>B266*578.694666666667/100</f>
        <v>578.69466666666699</v>
      </c>
      <c r="T266" s="243">
        <f>B266*14.783/100</f>
        <v>14.782999999999999</v>
      </c>
      <c r="U266" s="243" t="s">
        <v>455</v>
      </c>
      <c r="V266" s="243" t="s">
        <v>455</v>
      </c>
      <c r="W266" s="243">
        <f>B266*923.545/100</f>
        <v>923.54499999999996</v>
      </c>
      <c r="X266" s="243" t="s">
        <v>455</v>
      </c>
      <c r="Y266" s="243" t="s">
        <v>455</v>
      </c>
      <c r="Z266" s="243" t="s">
        <v>455</v>
      </c>
      <c r="AA266" s="243" t="s">
        <v>455</v>
      </c>
      <c r="AB266" s="243" t="s">
        <v>455</v>
      </c>
    </row>
    <row r="267" spans="1:28">
      <c r="A267" s="232" t="s">
        <v>640</v>
      </c>
      <c r="B267" s="59">
        <v>100</v>
      </c>
      <c r="C267" s="238">
        <f>B267*757.540460725997/100</f>
        <v>757.54046072599715</v>
      </c>
      <c r="D267" s="242">
        <f>B267*0.395560007095337/100</f>
        <v>0.39556000709533701</v>
      </c>
      <c r="E267" s="248">
        <f>B267*86.0393333333333/100</f>
        <v>86.039333333333303</v>
      </c>
      <c r="F267" s="252">
        <f>B267*51.5/100</f>
        <v>51.5</v>
      </c>
      <c r="G267" s="252">
        <f>B267*21.9/100</f>
        <v>21.9</v>
      </c>
      <c r="H267" s="252">
        <f>B267*1.5/100</f>
        <v>1.5</v>
      </c>
      <c r="I267" s="263">
        <f>B267*1.22/100</f>
        <v>1.22</v>
      </c>
      <c r="J267" s="263">
        <f>B267*0.27/100</f>
        <v>0.27</v>
      </c>
      <c r="K267" s="238">
        <f>B267*213.951666666667/100</f>
        <v>213.95166666666699</v>
      </c>
      <c r="L267" s="242">
        <f>B267*0/100</f>
        <v>0</v>
      </c>
      <c r="M267" s="242" t="s">
        <v>454</v>
      </c>
      <c r="N267" s="238">
        <f>B267*3.608/100</f>
        <v>3.6080000000000001</v>
      </c>
      <c r="O267" s="238">
        <f>B267*1.429/100</f>
        <v>1.429</v>
      </c>
      <c r="P267" s="242" t="s">
        <v>455</v>
      </c>
      <c r="Q267" s="238">
        <f>B267*7.07166666666667/100</f>
        <v>7.0716666666666699</v>
      </c>
      <c r="R267" s="242" t="s">
        <v>455</v>
      </c>
      <c r="S267" s="238">
        <f>B267*3.84866666666667/100</f>
        <v>3.84866666666667</v>
      </c>
      <c r="T267" s="238">
        <f>B267*5.19833333333333/100</f>
        <v>5.1983333333333288</v>
      </c>
      <c r="U267" s="238">
        <f>B267*0.0413333333333333/100</f>
        <v>4.1333333333333305E-2</v>
      </c>
      <c r="V267" s="242" t="s">
        <v>455</v>
      </c>
      <c r="W267" s="242">
        <f>B267*1013.09/100</f>
        <v>1013.09</v>
      </c>
      <c r="X267" s="242" t="s">
        <v>455</v>
      </c>
      <c r="Y267" s="242" t="s">
        <v>455</v>
      </c>
      <c r="Z267" s="242" t="s">
        <v>455</v>
      </c>
      <c r="AA267" s="242" t="s">
        <v>455</v>
      </c>
      <c r="AB267" s="242" t="s">
        <v>455</v>
      </c>
    </row>
    <row r="268" spans="1:28">
      <c r="A268" s="232" t="s">
        <v>642</v>
      </c>
      <c r="B268" s="59">
        <v>100</v>
      </c>
      <c r="C268" s="238">
        <f>B268*596.119516956329/100</f>
        <v>596.11951695632899</v>
      </c>
      <c r="D268" s="242" t="s">
        <v>455</v>
      </c>
      <c r="E268" s="248">
        <f>B268*67.4343333333333/100</f>
        <v>67.434333333333299</v>
      </c>
      <c r="F268" s="252">
        <f>B268*14.9/100</f>
        <v>14.9</v>
      </c>
      <c r="G268" s="252">
        <f>B268*18.2/100</f>
        <v>18.2</v>
      </c>
      <c r="H268" s="252">
        <f>B268*21.4/100</f>
        <v>21.4</v>
      </c>
      <c r="I268" s="263">
        <f>B268*19.48/100</f>
        <v>19.48</v>
      </c>
      <c r="J268" s="263">
        <f>B268*1.74/100</f>
        <v>1.74</v>
      </c>
      <c r="K268" s="242" t="s">
        <v>454</v>
      </c>
      <c r="L268" s="242">
        <f>B268*0/100</f>
        <v>0</v>
      </c>
      <c r="M268" s="242" t="s">
        <v>454</v>
      </c>
      <c r="N268" s="243">
        <f>B268*5.556/100</f>
        <v>5.556</v>
      </c>
      <c r="O268" s="243">
        <f>B268*1.13066666666667/100</f>
        <v>1.13066666666667</v>
      </c>
      <c r="P268" s="243" t="s">
        <v>455</v>
      </c>
      <c r="Q268" s="243">
        <f>B268*7.258/100</f>
        <v>7.2579999999999991</v>
      </c>
      <c r="R268" s="243">
        <f>B268*0.0873333333333333/100</f>
        <v>8.7333333333333305E-2</v>
      </c>
      <c r="S268" s="243">
        <f>B268*894.038666666667/100</f>
        <v>894.03866666666693</v>
      </c>
      <c r="T268" s="243">
        <f>B268*21.4196666666667/100</f>
        <v>21.4196666666667</v>
      </c>
      <c r="U268" s="243" t="s">
        <v>455</v>
      </c>
      <c r="V268" s="243" t="s">
        <v>455</v>
      </c>
      <c r="W268" s="243">
        <f>B268*462.123333333333/100</f>
        <v>462.12333333333299</v>
      </c>
      <c r="X268" s="245" t="s">
        <v>455</v>
      </c>
      <c r="Y268" s="245" t="s">
        <v>455</v>
      </c>
      <c r="Z268" s="245" t="s">
        <v>455</v>
      </c>
      <c r="AA268" s="243" t="s">
        <v>455</v>
      </c>
      <c r="AB268" s="243" t="s">
        <v>455</v>
      </c>
    </row>
    <row r="269" spans="1:28">
      <c r="A269" s="232" t="s">
        <v>643</v>
      </c>
      <c r="B269" s="59">
        <v>100</v>
      </c>
      <c r="C269" s="238">
        <f>B269*722.525625804901/100</f>
        <v>722.52562580490087</v>
      </c>
      <c r="D269" s="242" t="s">
        <v>455</v>
      </c>
      <c r="E269" s="238">
        <f>B269*81.7336666666667/100</f>
        <v>81.733666666666693</v>
      </c>
      <c r="F269" s="252"/>
      <c r="G269" s="252"/>
      <c r="H269" s="252"/>
      <c r="I269" s="263"/>
      <c r="J269" s="263"/>
      <c r="K269" s="242" t="s">
        <v>454</v>
      </c>
      <c r="L269" s="242">
        <f>B269*0/100</f>
        <v>0</v>
      </c>
      <c r="M269" s="242" t="s">
        <v>454</v>
      </c>
      <c r="N269" s="243">
        <f>B269*2.597/100</f>
        <v>2.597</v>
      </c>
      <c r="O269" s="243">
        <f>B269*0.543/100</f>
        <v>0.54300000000000004</v>
      </c>
      <c r="P269" s="243" t="s">
        <v>455</v>
      </c>
      <c r="Q269" s="243">
        <f>B269*3.749/100</f>
        <v>3.7490000000000006</v>
      </c>
      <c r="R269" s="243">
        <f>B269*0.0526666666666667/100</f>
        <v>5.2666666666666702E-2</v>
      </c>
      <c r="S269" s="243">
        <f>B269*77.891/100</f>
        <v>77.891000000000005</v>
      </c>
      <c r="T269" s="243">
        <f>B269*1.76966666666667/100</f>
        <v>1.7696666666666701</v>
      </c>
      <c r="U269" s="243" t="s">
        <v>455</v>
      </c>
      <c r="V269" s="243" t="s">
        <v>455</v>
      </c>
      <c r="W269" s="243">
        <f>B269*534.376666666667/100</f>
        <v>534.37666666666701</v>
      </c>
      <c r="X269" s="245" t="s">
        <v>455</v>
      </c>
      <c r="Y269" s="245" t="s">
        <v>455</v>
      </c>
      <c r="Z269" s="245" t="s">
        <v>455</v>
      </c>
      <c r="AA269" s="243" t="s">
        <v>455</v>
      </c>
      <c r="AB269" s="243" t="s">
        <v>455</v>
      </c>
    </row>
    <row r="270" spans="1:28">
      <c r="A270" s="232" t="s">
        <v>3133</v>
      </c>
      <c r="B270" s="59">
        <v>100</v>
      </c>
      <c r="C270" s="238">
        <f>B270*594.451693333333/100</f>
        <v>594.45169333333297</v>
      </c>
      <c r="D270" s="242" t="s">
        <v>455</v>
      </c>
      <c r="E270" s="238">
        <f>B270*67.2456666666667/100</f>
        <v>67.245666666666693</v>
      </c>
      <c r="F270" s="252">
        <f>B270*21.9/100</f>
        <v>21.9</v>
      </c>
      <c r="G270" s="252">
        <f>B270*15/100</f>
        <v>15</v>
      </c>
      <c r="H270" s="252">
        <f>B270*27.6/100</f>
        <v>27.6</v>
      </c>
      <c r="I270" s="263">
        <f>B270*24.85/100</f>
        <v>24.85</v>
      </c>
      <c r="J270" s="263">
        <f>B270*2.64/100</f>
        <v>2.64</v>
      </c>
      <c r="K270" s="242" t="s">
        <v>454</v>
      </c>
      <c r="L270" s="242">
        <f>B270*0/100</f>
        <v>0</v>
      </c>
      <c r="M270" s="242" t="s">
        <v>454</v>
      </c>
      <c r="N270" s="243">
        <f>B270*4.54333333333333/100</f>
        <v>4.5433333333333303</v>
      </c>
      <c r="O270" s="243">
        <f>B270*1.23366666666667/100</f>
        <v>1.23366666666667</v>
      </c>
      <c r="P270" s="243" t="s">
        <v>455</v>
      </c>
      <c r="Q270" s="243">
        <f>B270*5.96533333333333/100</f>
        <v>5.96533333333333</v>
      </c>
      <c r="R270" s="243" t="s">
        <v>455</v>
      </c>
      <c r="S270" s="243">
        <f>B270*560.797666666667/100</f>
        <v>560.79766666666706</v>
      </c>
      <c r="T270" s="243">
        <f>B270*14.7113333333333/100</f>
        <v>14.7113333333333</v>
      </c>
      <c r="U270" s="243" t="s">
        <v>455</v>
      </c>
      <c r="V270" s="243" t="s">
        <v>455</v>
      </c>
      <c r="W270" s="243">
        <f>B270*385.386666666667/100</f>
        <v>385.386666666667</v>
      </c>
      <c r="X270" s="243" t="s">
        <v>455</v>
      </c>
      <c r="Y270" s="243" t="s">
        <v>455</v>
      </c>
      <c r="Z270" s="243" t="s">
        <v>455</v>
      </c>
      <c r="AA270" s="243" t="s">
        <v>455</v>
      </c>
      <c r="AB270" s="243" t="s">
        <v>455</v>
      </c>
    </row>
    <row r="271" spans="1:28">
      <c r="A271" s="232" t="s">
        <v>644</v>
      </c>
      <c r="B271" s="59">
        <v>100</v>
      </c>
      <c r="C271" s="238">
        <f>B271*593.13749023819/100</f>
        <v>593.13749023819003</v>
      </c>
      <c r="D271" s="242" t="s">
        <v>455</v>
      </c>
      <c r="E271" s="238">
        <f>B271*67.097/100</f>
        <v>67.096999999999994</v>
      </c>
      <c r="F271" s="252">
        <f>B271*20.9/100</f>
        <v>20.9</v>
      </c>
      <c r="G271" s="252">
        <f>B271*14.4/100</f>
        <v>14.4</v>
      </c>
      <c r="H271" s="252">
        <f>B271*26.5/100</f>
        <v>26.5</v>
      </c>
      <c r="I271" s="263">
        <f>B271*23.79/100</f>
        <v>23.79</v>
      </c>
      <c r="J271" s="263">
        <f>B271*2.58/100</f>
        <v>2.58</v>
      </c>
      <c r="K271" s="242" t="s">
        <v>454</v>
      </c>
      <c r="L271" s="242">
        <f>B271*0/100</f>
        <v>0</v>
      </c>
      <c r="M271" s="242" t="s">
        <v>454</v>
      </c>
      <c r="N271" s="243">
        <f>B271*4.96366666666667/100</f>
        <v>4.9636666666666702</v>
      </c>
      <c r="O271" s="243">
        <f>B271*1.14933333333333/100</f>
        <v>1.14933333333333</v>
      </c>
      <c r="P271" s="243" t="s">
        <v>455</v>
      </c>
      <c r="Q271" s="243">
        <f>B271*7.16133333333333/100</f>
        <v>7.1613333333333298</v>
      </c>
      <c r="R271" s="243">
        <f>B271*0.0766666666666667/100</f>
        <v>7.6666666666666702E-2</v>
      </c>
      <c r="S271" s="243">
        <f>B271*33.1943333333333/100</f>
        <v>33.194333333333297</v>
      </c>
      <c r="T271" s="243">
        <f>B271*4.73/100</f>
        <v>4.7300000000000004</v>
      </c>
      <c r="U271" s="243" t="s">
        <v>455</v>
      </c>
      <c r="V271" s="243" t="s">
        <v>455</v>
      </c>
      <c r="W271" s="243">
        <f>B271*245.1/100</f>
        <v>245.1</v>
      </c>
      <c r="X271" s="245" t="s">
        <v>455</v>
      </c>
      <c r="Y271" s="245" t="s">
        <v>455</v>
      </c>
      <c r="Z271" s="245" t="s">
        <v>455</v>
      </c>
      <c r="AA271" s="243" t="s">
        <v>455</v>
      </c>
      <c r="AB271" s="243" t="s">
        <v>455</v>
      </c>
    </row>
    <row r="272" spans="1:28">
      <c r="A272" s="232" t="s">
        <v>645</v>
      </c>
      <c r="B272" s="59">
        <v>100</v>
      </c>
      <c r="C272" s="238">
        <f t="shared" ref="C272:C277" si="0">B272*884/100</f>
        <v>884</v>
      </c>
      <c r="D272" s="242" t="s">
        <v>454</v>
      </c>
      <c r="E272" s="242">
        <f t="shared" ref="E272:E277" si="1">B272*100/100</f>
        <v>100</v>
      </c>
      <c r="F272" s="252">
        <f>B272*50.9/100</f>
        <v>50.9</v>
      </c>
      <c r="G272" s="252">
        <f>B272*18.6/100</f>
        <v>18.600000000000001</v>
      </c>
      <c r="H272" s="252">
        <f>B272*30.2/100</f>
        <v>30.2</v>
      </c>
      <c r="I272" s="263">
        <f>B272*27.17/100</f>
        <v>27.17</v>
      </c>
      <c r="J272" s="263">
        <f>B272*2.86/100</f>
        <v>2.86</v>
      </c>
      <c r="K272" s="242" t="s">
        <v>454</v>
      </c>
      <c r="L272" s="242" t="s">
        <v>454</v>
      </c>
      <c r="M272" s="242" t="s">
        <v>454</v>
      </c>
      <c r="N272" s="242"/>
      <c r="O272" s="242"/>
      <c r="P272" s="242"/>
      <c r="Q272" s="242"/>
      <c r="R272" s="242"/>
      <c r="S272" s="242"/>
      <c r="T272" s="242"/>
      <c r="U272" s="242"/>
      <c r="V272" s="242"/>
      <c r="W272" s="242" t="s">
        <v>454</v>
      </c>
      <c r="X272" s="242"/>
      <c r="Y272" s="242"/>
      <c r="Z272" s="242"/>
      <c r="AA272" s="242"/>
      <c r="AB272" s="242"/>
    </row>
    <row r="273" spans="1:28">
      <c r="A273" s="232" t="s">
        <v>646</v>
      </c>
      <c r="B273" s="59">
        <v>100</v>
      </c>
      <c r="C273" s="238">
        <f t="shared" si="0"/>
        <v>884</v>
      </c>
      <c r="D273" s="242" t="s">
        <v>454</v>
      </c>
      <c r="E273" s="242">
        <f t="shared" si="1"/>
        <v>100</v>
      </c>
      <c r="F273" s="252">
        <f>B273*7.9/100</f>
        <v>7.9</v>
      </c>
      <c r="G273" s="252">
        <f>B273*62.6/100</f>
        <v>62.6</v>
      </c>
      <c r="H273" s="252">
        <f>B273*28.4/100</f>
        <v>28.4</v>
      </c>
      <c r="I273" s="263">
        <f>B273*20.87/100</f>
        <v>20.87</v>
      </c>
      <c r="J273" s="263">
        <f>B273*6.78/100</f>
        <v>6.78</v>
      </c>
      <c r="K273" s="242" t="s">
        <v>454</v>
      </c>
      <c r="L273" s="242" t="s">
        <v>454</v>
      </c>
      <c r="M273" s="242" t="s">
        <v>454</v>
      </c>
      <c r="N273" s="242"/>
      <c r="O273" s="242"/>
      <c r="P273" s="242"/>
      <c r="Q273" s="242"/>
      <c r="R273" s="242"/>
      <c r="S273" s="242"/>
      <c r="T273" s="242"/>
      <c r="U273" s="242"/>
      <c r="V273" s="242"/>
      <c r="W273" s="242" t="s">
        <v>454</v>
      </c>
      <c r="X273" s="242"/>
      <c r="Y273" s="242"/>
      <c r="Z273" s="242"/>
      <c r="AA273" s="242"/>
      <c r="AB273" s="242"/>
    </row>
    <row r="274" spans="1:28">
      <c r="A274" s="232" t="s">
        <v>647</v>
      </c>
      <c r="B274" s="59">
        <v>100</v>
      </c>
      <c r="C274" s="238">
        <f t="shared" si="0"/>
        <v>884</v>
      </c>
      <c r="D274" s="242" t="s">
        <v>454</v>
      </c>
      <c r="E274" s="242">
        <f t="shared" si="1"/>
        <v>100</v>
      </c>
      <c r="F274" s="252">
        <f>B274*10.8/100</f>
        <v>10.8</v>
      </c>
      <c r="G274" s="252">
        <f>B274*25.4/100</f>
        <v>25.4</v>
      </c>
      <c r="H274" s="252">
        <f>B274*62.6/100</f>
        <v>62.6</v>
      </c>
      <c r="I274" s="263">
        <f>B274*62.22/100</f>
        <v>62.22</v>
      </c>
      <c r="J274" s="263">
        <f>B274*0.39/100</f>
        <v>0.39</v>
      </c>
      <c r="K274" s="242" t="s">
        <v>454</v>
      </c>
      <c r="L274" s="242" t="s">
        <v>454</v>
      </c>
      <c r="M274" s="242" t="s">
        <v>454</v>
      </c>
      <c r="N274" s="242"/>
      <c r="O274" s="242"/>
      <c r="P274" s="242"/>
      <c r="Q274" s="242"/>
      <c r="R274" s="242"/>
      <c r="S274" s="242"/>
      <c r="T274" s="242"/>
      <c r="U274" s="242"/>
      <c r="V274" s="242"/>
      <c r="W274" s="242" t="s">
        <v>454</v>
      </c>
      <c r="X274" s="242"/>
      <c r="Y274" s="242"/>
      <c r="Z274" s="242"/>
      <c r="AA274" s="242"/>
      <c r="AB274" s="242"/>
    </row>
    <row r="275" spans="1:28">
      <c r="A275" s="232" t="s">
        <v>648</v>
      </c>
      <c r="B275" s="59">
        <v>100</v>
      </c>
      <c r="C275" s="238">
        <f t="shared" si="0"/>
        <v>884</v>
      </c>
      <c r="D275" s="242" t="s">
        <v>454</v>
      </c>
      <c r="E275" s="242">
        <f t="shared" si="1"/>
        <v>100</v>
      </c>
      <c r="F275" s="252">
        <f>B275*15.2/100</f>
        <v>15.2</v>
      </c>
      <c r="G275" s="252">
        <f>B275*33.4/100</f>
        <v>33.4</v>
      </c>
      <c r="H275" s="252">
        <f>B275*50.9/100</f>
        <v>50.9</v>
      </c>
      <c r="I275" s="263">
        <f>B275*49.94/100</f>
        <v>49.94</v>
      </c>
      <c r="J275" s="263">
        <f>B275*0.96/100</f>
        <v>0.96</v>
      </c>
      <c r="K275" s="242" t="s">
        <v>454</v>
      </c>
      <c r="L275" s="242" t="s">
        <v>454</v>
      </c>
      <c r="M275" s="242" t="s">
        <v>454</v>
      </c>
      <c r="N275" s="242"/>
      <c r="O275" s="242"/>
      <c r="P275" s="242"/>
      <c r="Q275" s="242"/>
      <c r="R275" s="242"/>
      <c r="S275" s="242"/>
      <c r="T275" s="242"/>
      <c r="U275" s="242"/>
      <c r="V275" s="242"/>
      <c r="W275" s="242" t="s">
        <v>454</v>
      </c>
      <c r="X275" s="242"/>
      <c r="Y275" s="242"/>
      <c r="Z275" s="242"/>
      <c r="AA275" s="242"/>
      <c r="AB275" s="242"/>
    </row>
    <row r="276" spans="1:28">
      <c r="A276" s="232" t="s">
        <v>649</v>
      </c>
      <c r="B276" s="59">
        <v>100</v>
      </c>
      <c r="C276" s="238">
        <f t="shared" si="0"/>
        <v>884</v>
      </c>
      <c r="D276" s="242" t="s">
        <v>454</v>
      </c>
      <c r="E276" s="242">
        <f t="shared" si="1"/>
        <v>100</v>
      </c>
      <c r="F276" s="252">
        <f>B276*39.9/100</f>
        <v>39.9</v>
      </c>
      <c r="G276" s="252">
        <f>B276*55.8/100</f>
        <v>55.8</v>
      </c>
      <c r="H276" s="252">
        <f>B276*4.2/100</f>
        <v>4.2</v>
      </c>
      <c r="I276" s="263">
        <f>B276*3.74/100</f>
        <v>3.74</v>
      </c>
      <c r="J276" s="263">
        <f>B276*0.51/100</f>
        <v>0.51</v>
      </c>
      <c r="K276" s="242" t="s">
        <v>454</v>
      </c>
      <c r="L276" s="242" t="s">
        <v>454</v>
      </c>
      <c r="M276" s="242" t="s">
        <v>454</v>
      </c>
      <c r="N276" s="242"/>
      <c r="O276" s="242"/>
      <c r="P276" s="242"/>
      <c r="Q276" s="242"/>
      <c r="R276" s="242"/>
      <c r="S276" s="242"/>
      <c r="T276" s="242"/>
      <c r="U276" s="242"/>
      <c r="V276" s="242"/>
      <c r="W276" s="242" t="s">
        <v>454</v>
      </c>
      <c r="X276" s="242"/>
      <c r="Y276" s="242"/>
      <c r="Z276" s="242"/>
      <c r="AA276" s="242"/>
      <c r="AB276" s="242"/>
    </row>
    <row r="277" spans="1:28">
      <c r="A277" s="232" t="s">
        <v>650</v>
      </c>
      <c r="B277" s="59">
        <v>100</v>
      </c>
      <c r="C277" s="238">
        <f t="shared" si="0"/>
        <v>884</v>
      </c>
      <c r="D277" s="242" t="s">
        <v>454</v>
      </c>
      <c r="E277" s="242">
        <f t="shared" si="1"/>
        <v>100</v>
      </c>
      <c r="F277" s="252">
        <f>B277*15.2/100</f>
        <v>15.2</v>
      </c>
      <c r="G277" s="252">
        <f>B277*23.3/100</f>
        <v>23.3</v>
      </c>
      <c r="H277" s="252">
        <f>B277*60/100</f>
        <v>60</v>
      </c>
      <c r="I277" s="263">
        <f>B277*53.85/100</f>
        <v>53.85</v>
      </c>
      <c r="J277" s="263">
        <f>B277*5.72/100</f>
        <v>5.72</v>
      </c>
      <c r="K277" s="242" t="s">
        <v>454</v>
      </c>
      <c r="L277" s="242" t="s">
        <v>454</v>
      </c>
      <c r="M277" s="242" t="s">
        <v>454</v>
      </c>
      <c r="N277" s="242"/>
      <c r="O277" s="242"/>
      <c r="P277" s="242"/>
      <c r="Q277" s="242"/>
      <c r="R277" s="242"/>
      <c r="S277" s="242"/>
      <c r="T277" s="242"/>
      <c r="U277" s="242"/>
      <c r="V277" s="242"/>
      <c r="W277" s="242" t="s">
        <v>454</v>
      </c>
      <c r="X277" s="263"/>
      <c r="Y277" s="263"/>
      <c r="Z277" s="263"/>
      <c r="AA277" s="263"/>
      <c r="AB277" s="263"/>
    </row>
    <row r="278" spans="1:28" s="220" customFormat="1">
      <c r="A278" s="228" t="s">
        <v>36</v>
      </c>
      <c r="B278" s="237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</row>
    <row r="279" spans="1:28">
      <c r="A279" s="222" t="s">
        <v>3134</v>
      </c>
      <c r="B279" s="59">
        <v>100</v>
      </c>
      <c r="C279" s="247">
        <f>B279*111.615503451188/100</f>
        <v>111.61550345118799</v>
      </c>
      <c r="D279" s="247">
        <f>B279*23.525/100</f>
        <v>23.524999999999999</v>
      </c>
      <c r="E279" s="244">
        <f>B279*1.23766666666667/100</f>
        <v>1.23766666666667</v>
      </c>
      <c r="F279" s="258">
        <f>B279*0.574333333333333/100</f>
        <v>0.57433333333333303</v>
      </c>
      <c r="G279" s="258">
        <f>B279*0.345333333333333/100</f>
        <v>0.34533333333333294</v>
      </c>
      <c r="H279" s="258">
        <f>B279*0.145666666666667/100</f>
        <v>0.145666666666667</v>
      </c>
      <c r="I279" s="263">
        <f>B279*0.02/100</f>
        <v>0.02</v>
      </c>
      <c r="J279" s="263">
        <f>B279*0.126/100</f>
        <v>0.126</v>
      </c>
      <c r="K279" s="244">
        <f>B279*102.798666666667/100</f>
        <v>102.79866666666699</v>
      </c>
      <c r="L279" s="247">
        <v>0</v>
      </c>
      <c r="M279" s="258" t="s">
        <v>454</v>
      </c>
      <c r="N279" s="244">
        <f>B279*22.607/100</f>
        <v>22.606999999999999</v>
      </c>
      <c r="O279" s="244">
        <f>B279*20.2456666666667/100</f>
        <v>20.2456666666667</v>
      </c>
      <c r="P279" s="244" t="s">
        <v>455</v>
      </c>
      <c r="Q279" s="244">
        <f>B279*337.857333333333/100</f>
        <v>337.85733333333303</v>
      </c>
      <c r="R279" s="244">
        <f>B279*0.526/100</f>
        <v>0.52600000000000002</v>
      </c>
      <c r="S279" s="244">
        <f>B279*334.391333333333/100</f>
        <v>334.39133333333302</v>
      </c>
      <c r="T279" s="244">
        <f>B279*155.636/100</f>
        <v>155.636</v>
      </c>
      <c r="U279" s="244">
        <f>B279*0.034/100</f>
        <v>3.4000000000000002E-2</v>
      </c>
      <c r="V279" s="244">
        <f>B279*0.513333333333333/100</f>
        <v>0.51333333333333298</v>
      </c>
      <c r="W279" s="244" t="s">
        <v>455</v>
      </c>
      <c r="X279" s="244" t="s">
        <v>455</v>
      </c>
      <c r="Y279" s="244" t="s">
        <v>455</v>
      </c>
      <c r="Z279" s="244" t="s">
        <v>455</v>
      </c>
      <c r="AA279" s="244">
        <f>B279*0.436666666666667/100</f>
        <v>0.43666666666666698</v>
      </c>
      <c r="AB279" s="263"/>
    </row>
    <row r="280" spans="1:28">
      <c r="A280" s="222" t="s">
        <v>3135</v>
      </c>
      <c r="B280" s="59">
        <v>100</v>
      </c>
      <c r="C280" s="247">
        <f>B280*91.1035483955542/100</f>
        <v>91.103548395554213</v>
      </c>
      <c r="D280" s="247">
        <f>B280*19.3458333333333/100</f>
        <v>19.345833333333299</v>
      </c>
      <c r="E280" s="244">
        <f>B280*0.942/100</f>
        <v>0.94199999999999984</v>
      </c>
      <c r="F280" s="258">
        <f>B280*0.381/100</f>
        <v>0.38100000000000001</v>
      </c>
      <c r="G280" s="258">
        <f>B280*0.259333333333333/100</f>
        <v>0.25933333333333303</v>
      </c>
      <c r="H280" s="258">
        <f>B280*0.174/100</f>
        <v>0.17399999999999999</v>
      </c>
      <c r="I280" s="263">
        <f>B280*0.028/100</f>
        <v>2.8000000000000004E-2</v>
      </c>
      <c r="J280" s="263">
        <f>B280*0.146/100</f>
        <v>0.14599999999999999</v>
      </c>
      <c r="K280" s="244">
        <f>B280*86.8603333333333/100</f>
        <v>86.860333333333287</v>
      </c>
      <c r="L280" s="247">
        <v>0</v>
      </c>
      <c r="M280" s="258" t="s">
        <v>454</v>
      </c>
      <c r="N280" s="244">
        <f>B280*16.7333333333333/100</f>
        <v>16.733333333333299</v>
      </c>
      <c r="O280" s="244">
        <f>B280*15.7423333333333/100</f>
        <v>15.742333333333301</v>
      </c>
      <c r="P280" s="244" t="s">
        <v>455</v>
      </c>
      <c r="Q280" s="244">
        <f>B280*350.697333333333/100</f>
        <v>350.69733333333301</v>
      </c>
      <c r="R280" s="244">
        <f>B280*0.327333333333333/100</f>
        <v>0.32733333333333298</v>
      </c>
      <c r="S280" s="244">
        <f>B280*189.337666666667/100</f>
        <v>189.33766666666699</v>
      </c>
      <c r="T280" s="244">
        <f>B280*145.670333333333/100</f>
        <v>145.67033333333299</v>
      </c>
      <c r="U280" s="244">
        <f>B280*0.0273333333333333/100</f>
        <v>2.73333333333333E-2</v>
      </c>
      <c r="V280" s="244">
        <f>B280*0.435/100</f>
        <v>0.435</v>
      </c>
      <c r="W280" s="244" t="s">
        <v>455</v>
      </c>
      <c r="X280" s="244" t="s">
        <v>455</v>
      </c>
      <c r="Y280" s="244" t="s">
        <v>455</v>
      </c>
      <c r="Z280" s="244" t="s">
        <v>455</v>
      </c>
      <c r="AA280" s="244" t="s">
        <v>455</v>
      </c>
      <c r="AB280" s="263"/>
    </row>
    <row r="281" spans="1:28">
      <c r="A281" s="232" t="s">
        <v>3136</v>
      </c>
      <c r="B281" s="59">
        <v>100</v>
      </c>
      <c r="C281" s="238">
        <f>B281*59.1130332485835/100</f>
        <v>59.113033248583498</v>
      </c>
      <c r="D281" s="238">
        <f>B281*13.0833333333333/100</f>
        <v>13.0833333333333</v>
      </c>
      <c r="E281" s="248">
        <f>B281*0.36/100</f>
        <v>0.36</v>
      </c>
      <c r="F281" s="267">
        <f>B281*0.1/100</f>
        <v>0.1</v>
      </c>
      <c r="G281" s="267" t="s">
        <v>455</v>
      </c>
      <c r="H281" s="267">
        <f>B281*0.1/100</f>
        <v>0.1</v>
      </c>
      <c r="I281" s="263">
        <f>B281*0.01/100</f>
        <v>0.01</v>
      </c>
      <c r="J281" s="263">
        <f>B281*0.09/100</f>
        <v>0.09</v>
      </c>
      <c r="K281" s="243">
        <f>B281*31.4066666666667/100</f>
        <v>31.406666666666698</v>
      </c>
      <c r="L281" s="242">
        <v>0</v>
      </c>
      <c r="M281" s="242" t="s">
        <v>454</v>
      </c>
      <c r="N281" s="238">
        <f>B281*10.1746666666667/100</f>
        <v>10.174666666666701</v>
      </c>
      <c r="O281" s="238">
        <f>B281*14.4973333333333/100</f>
        <v>14.4973333333333</v>
      </c>
      <c r="P281" s="248">
        <f>B281*0.00533333333333333/100</f>
        <v>5.3333333333333297E-3</v>
      </c>
      <c r="Q281" s="238">
        <f>B281*90.54/100</f>
        <v>90.54</v>
      </c>
      <c r="R281" s="238">
        <f>B281*0.106/100</f>
        <v>0.106</v>
      </c>
      <c r="S281" s="238">
        <f>B281*78.515/100</f>
        <v>78.515000000000001</v>
      </c>
      <c r="T281" s="238">
        <f>B281*148.351333333333/100</f>
        <v>148.351333333333</v>
      </c>
      <c r="U281" s="238">
        <f>B281*0.135333333333333/100</f>
        <v>0.135333333333333</v>
      </c>
      <c r="V281" s="238">
        <f>B281*0.390666666666667/100</f>
        <v>0.390666666666667</v>
      </c>
      <c r="W281" s="244" t="s">
        <v>455</v>
      </c>
      <c r="X281" s="238">
        <f>B281*0.0366666666666667</f>
        <v>3.6666666666666701</v>
      </c>
      <c r="Y281" s="242" t="s">
        <v>455</v>
      </c>
      <c r="Z281" s="242" t="s">
        <v>455</v>
      </c>
      <c r="AA281" s="238">
        <f>B281*4.6/100</f>
        <v>4.5999999999999996</v>
      </c>
      <c r="AB281" s="263"/>
    </row>
    <row r="282" spans="1:28">
      <c r="A282" s="222" t="s">
        <v>3137</v>
      </c>
      <c r="B282" s="59">
        <v>100</v>
      </c>
      <c r="C282" s="247">
        <f>B282*129.643525902867/100</f>
        <v>129.643525902867</v>
      </c>
      <c r="D282" s="247">
        <f>B282*27.6104166666667/100</f>
        <v>27.610416666666701</v>
      </c>
      <c r="E282" s="244">
        <f>B282*1.30233333333333/100</f>
        <v>1.30233333333333</v>
      </c>
      <c r="F282" s="258">
        <f>B282*0.554666666666667/100</f>
        <v>0.55466666666666697</v>
      </c>
      <c r="G282" s="258">
        <f>B282*0.322666666666667/100</f>
        <v>0.32266666666666699</v>
      </c>
      <c r="H282" s="258">
        <f>B282*0.562333333333333/100</f>
        <v>0.56233333333333302</v>
      </c>
      <c r="I282" s="263">
        <f>B282*0.0206666666666667/100</f>
        <v>2.0666666666666701E-2</v>
      </c>
      <c r="J282" s="263">
        <f>B282*0.541666666666667/100</f>
        <v>0.54166666666666696</v>
      </c>
      <c r="K282" s="244">
        <f>B282*135.853/100</f>
        <v>135.85300000000001</v>
      </c>
      <c r="L282" s="247">
        <v>0</v>
      </c>
      <c r="M282" s="258" t="s">
        <v>454</v>
      </c>
      <c r="N282" s="244">
        <f>B282*20.1736666666667/100</f>
        <v>20.173666666666701</v>
      </c>
      <c r="O282" s="244">
        <f>B282*22.1116666666667/100</f>
        <v>22.1116666666667</v>
      </c>
      <c r="P282" s="244" t="s">
        <v>455</v>
      </c>
      <c r="Q282" s="244">
        <f>B282*581.134333333333/100</f>
        <v>581.13433333333296</v>
      </c>
      <c r="R282" s="244">
        <f>B282*0.329/100</f>
        <v>0.32899999999999996</v>
      </c>
      <c r="S282" s="244">
        <f>B282*305.093666666667/100</f>
        <v>305.09366666666699</v>
      </c>
      <c r="T282" s="244">
        <f>B282*278.639/100</f>
        <v>278.63900000000001</v>
      </c>
      <c r="U282" s="244" t="s">
        <v>455</v>
      </c>
      <c r="V282" s="244">
        <f>B282*0.438333333333333/100</f>
        <v>0.43833333333333302</v>
      </c>
      <c r="W282" s="244">
        <f>B282*5.68666666666667/100</f>
        <v>5.6866666666666701</v>
      </c>
      <c r="X282" s="244">
        <f>B282*0.03</f>
        <v>3</v>
      </c>
      <c r="Y282" s="244" t="s">
        <v>455</v>
      </c>
      <c r="Z282" s="244" t="s">
        <v>455</v>
      </c>
      <c r="AA282" s="244">
        <f>B282*0.436666666666667/100</f>
        <v>0.43666666666666698</v>
      </c>
      <c r="AB282" s="263"/>
    </row>
    <row r="283" spans="1:28">
      <c r="A283" s="232" t="s">
        <v>652</v>
      </c>
      <c r="B283" s="59">
        <v>100</v>
      </c>
      <c r="C283" s="238">
        <f>B283*165.910560578903/100</f>
        <v>165.91056057890299</v>
      </c>
      <c r="D283" s="238">
        <f>B283*26.1875/100</f>
        <v>26.1875</v>
      </c>
      <c r="E283" s="248">
        <f>B283*5.99666666666667/100</f>
        <v>5.9966666666666697</v>
      </c>
      <c r="F283" s="252">
        <f>B283*1/100</f>
        <v>1</v>
      </c>
      <c r="G283" s="252">
        <f>B283*1.3/100</f>
        <v>1.3</v>
      </c>
      <c r="H283" s="252">
        <f>B283*3.2/100</f>
        <v>3.2</v>
      </c>
      <c r="I283" s="263">
        <f>B283*2.71/100</f>
        <v>2.71</v>
      </c>
      <c r="J283" s="263">
        <f>B283*0.51/100</f>
        <v>0.51</v>
      </c>
      <c r="K283" s="242">
        <f>B283*52.9386666666667/100</f>
        <v>52.938666666666698</v>
      </c>
      <c r="L283" s="242">
        <v>0</v>
      </c>
      <c r="M283" s="242" t="s">
        <v>454</v>
      </c>
      <c r="N283" s="238">
        <f>B283*6.516/100</f>
        <v>6.516</v>
      </c>
      <c r="O283" s="238">
        <f>B283*29.4815/100</f>
        <v>29.4815</v>
      </c>
      <c r="P283" s="242" t="s">
        <v>455</v>
      </c>
      <c r="Q283" s="238">
        <f>B283*211.008/100</f>
        <v>211.00799999999998</v>
      </c>
      <c r="R283" s="238">
        <f>B283*1.22975/100</f>
        <v>1.2297499999999999</v>
      </c>
      <c r="S283" s="238">
        <f>B283*362.1465/100</f>
        <v>362.1465</v>
      </c>
      <c r="T283" s="238">
        <f>B283*279.8645/100</f>
        <v>279.86450000000002</v>
      </c>
      <c r="U283" s="238">
        <f>B283*0.03775/100</f>
        <v>3.7749999999999999E-2</v>
      </c>
      <c r="V283" s="238">
        <f>B283*0.58825/100</f>
        <v>0.58825000000000005</v>
      </c>
      <c r="W283" s="242" t="s">
        <v>455</v>
      </c>
      <c r="X283" s="238">
        <f>B283*0.153333333333333</f>
        <v>15.333333333333298</v>
      </c>
      <c r="Y283" s="238">
        <f>B283*0.03</f>
        <v>3</v>
      </c>
      <c r="Z283" s="242" t="s">
        <v>455</v>
      </c>
      <c r="AA283" s="242">
        <f>B283*3.16666666666667/100</f>
        <v>3.1666666666666701</v>
      </c>
      <c r="AB283" s="263"/>
    </row>
    <row r="284" spans="1:28">
      <c r="A284" s="232" t="s">
        <v>653</v>
      </c>
      <c r="B284" s="59">
        <v>100</v>
      </c>
      <c r="C284" s="240">
        <f>B284*117.501/100</f>
        <v>117.501</v>
      </c>
      <c r="D284" s="239">
        <f>B284*25.68/100</f>
        <v>25.68</v>
      </c>
      <c r="E284" s="249">
        <f>B284*0.87/100</f>
        <v>0.87</v>
      </c>
      <c r="F284" s="267">
        <f>B284*0.5/100</f>
        <v>0.5</v>
      </c>
      <c r="G284" s="267">
        <f>B284*0.2/100</f>
        <v>0.2</v>
      </c>
      <c r="H284" s="267" t="s">
        <v>455</v>
      </c>
      <c r="I284" s="263">
        <f>B284*0.01/100</f>
        <v>0.01</v>
      </c>
      <c r="J284" s="263">
        <f>B284*0.02/100</f>
        <v>0.02</v>
      </c>
      <c r="K284" s="240">
        <f>B284*47.8/100</f>
        <v>47.8</v>
      </c>
      <c r="L284" s="242">
        <v>0</v>
      </c>
      <c r="M284" s="242" t="s">
        <v>454</v>
      </c>
      <c r="N284" s="240">
        <f>B284*6.69/100</f>
        <v>6.69</v>
      </c>
      <c r="O284" s="240">
        <f>B284*32.2266666666667/100</f>
        <v>32.226666666666702</v>
      </c>
      <c r="P284" s="249" t="s">
        <v>455</v>
      </c>
      <c r="Q284" s="240">
        <f>B284*253.856666666667/100</f>
        <v>253.856666666667</v>
      </c>
      <c r="R284" s="240">
        <f>B284*1.27333333333333/100</f>
        <v>1.2733333333333301</v>
      </c>
      <c r="S284" s="240">
        <f>B284*30.3033333333333/100</f>
        <v>30.303333333333299</v>
      </c>
      <c r="T284" s="249">
        <f>B284*307.763333333333/100</f>
        <v>307.76333333333298</v>
      </c>
      <c r="U284" s="249">
        <f>B284*0.0866666666666667/100</f>
        <v>8.6666666666666697E-2</v>
      </c>
      <c r="V284" s="249">
        <f>B284*0.4/100</f>
        <v>0.4</v>
      </c>
      <c r="W284" s="249">
        <f>B284*20.3033333333333/100</f>
        <v>20.303333333333299</v>
      </c>
      <c r="X284" s="249" t="s">
        <v>455</v>
      </c>
      <c r="Y284" s="249">
        <f>B284*0.04</f>
        <v>4</v>
      </c>
      <c r="Z284" s="249" t="s">
        <v>455</v>
      </c>
      <c r="AA284" s="249">
        <f>B284*5.94/100</f>
        <v>5.94</v>
      </c>
      <c r="AB284" s="263"/>
    </row>
    <row r="285" spans="1:28">
      <c r="A285" s="232" t="s">
        <v>654</v>
      </c>
      <c r="B285" s="59">
        <v>100</v>
      </c>
      <c r="C285" s="240">
        <f>B285*135.892966666667/100</f>
        <v>135.89296666666701</v>
      </c>
      <c r="D285" s="239">
        <f>B285*29.0366666666667/100</f>
        <v>29.036666666666701</v>
      </c>
      <c r="E285" s="249">
        <f>B285*1.32/100</f>
        <v>1.32</v>
      </c>
      <c r="F285" s="267">
        <f>B285*0.6/100</f>
        <v>0.6</v>
      </c>
      <c r="G285" s="267">
        <f>B285*0.3/100</f>
        <v>0.3</v>
      </c>
      <c r="H285" s="267">
        <f>B285*0.2/100</f>
        <v>0.2</v>
      </c>
      <c r="I285" s="263">
        <f>B285*0.05/100</f>
        <v>0.05</v>
      </c>
      <c r="J285" s="263">
        <f>B285*0.16/100</f>
        <v>0.16</v>
      </c>
      <c r="K285" s="240">
        <f>B285*138.88/100</f>
        <v>138.88</v>
      </c>
      <c r="L285" s="242">
        <v>0</v>
      </c>
      <c r="M285" s="242" t="s">
        <v>454</v>
      </c>
      <c r="N285" s="240">
        <f>B285*156.966666666667/100</f>
        <v>156.96666666666701</v>
      </c>
      <c r="O285" s="240">
        <f>B285*49.4733333333333/100</f>
        <v>49.473333333333301</v>
      </c>
      <c r="P285" s="248">
        <f>B285*0.0253333333333333/100</f>
        <v>2.5333333333333301E-2</v>
      </c>
      <c r="Q285" s="240">
        <f>B285*186.206666666667/100</f>
        <v>186.20666666666702</v>
      </c>
      <c r="R285" s="240">
        <f>B285*0.853333333333333/100</f>
        <v>0.85333333333333306</v>
      </c>
      <c r="S285" s="240">
        <f>B285*13585.0566666667/100</f>
        <v>13585.0566666667</v>
      </c>
      <c r="T285" s="249">
        <f>B285*433.896666666667/100</f>
        <v>433.89666666666699</v>
      </c>
      <c r="U285" s="249">
        <f>B285*0.0933333333333333/100</f>
        <v>9.333333333333331E-2</v>
      </c>
      <c r="V285" s="249">
        <f>B285*0.67/100</f>
        <v>0.67</v>
      </c>
      <c r="W285" s="249" t="s">
        <v>455</v>
      </c>
      <c r="X285" s="249" t="s">
        <v>455</v>
      </c>
      <c r="Y285" s="249">
        <f>B285*0.21</f>
        <v>21</v>
      </c>
      <c r="Z285" s="249" t="s">
        <v>455</v>
      </c>
      <c r="AA285" s="249" t="s">
        <v>23</v>
      </c>
      <c r="AB285" s="240"/>
    </row>
    <row r="286" spans="1:28">
      <c r="A286" s="232" t="s">
        <v>655</v>
      </c>
      <c r="B286" s="59">
        <v>100</v>
      </c>
      <c r="C286" s="238">
        <f>B286*139.66070105354/100</f>
        <v>139.66070105354001</v>
      </c>
      <c r="D286" s="238">
        <f>B286*23.9791666666667/100</f>
        <v>23.9791666666667</v>
      </c>
      <c r="E286" s="248">
        <f>B286*3.60666666666667/100</f>
        <v>3.6066666666666705</v>
      </c>
      <c r="F286" s="252">
        <f>B286*0.9/100</f>
        <v>0.9</v>
      </c>
      <c r="G286" s="252">
        <f>B286*1.1/100</f>
        <v>1.1000000000000001</v>
      </c>
      <c r="H286" s="252">
        <f>B286*1.2/100</f>
        <v>1.2</v>
      </c>
      <c r="I286" s="263">
        <f>B286*1.08/100</f>
        <v>1.08</v>
      </c>
      <c r="J286" s="263">
        <f>B286*0.15/100</f>
        <v>0.15</v>
      </c>
      <c r="K286" s="238">
        <f>B286*111.968333333333/100</f>
        <v>111.96833333333301</v>
      </c>
      <c r="L286" s="242">
        <f>B286*1.22416666666668/100</f>
        <v>1.2241666666666799</v>
      </c>
      <c r="M286" s="242" t="s">
        <v>23</v>
      </c>
      <c r="N286" s="238">
        <f>B286*59.1236666666667/100</f>
        <v>59.123666666666708</v>
      </c>
      <c r="O286" s="238">
        <f>B286*15.0565/100</f>
        <v>15.056500000000002</v>
      </c>
      <c r="P286" s="242" t="s">
        <v>455</v>
      </c>
      <c r="Q286" s="238">
        <f>B286*51.3423333333333/100</f>
        <v>51.342333333333301</v>
      </c>
      <c r="R286" s="238">
        <f>B286*0.152666666666667/100</f>
        <v>0.15266666666666701</v>
      </c>
      <c r="S286" s="238">
        <f>B286*1256.27666666667/100</f>
        <v>1256.2766666666701</v>
      </c>
      <c r="T286" s="238">
        <f>B286*50.2246666666667/100</f>
        <v>50.2246666666667</v>
      </c>
      <c r="U286" s="238">
        <f>B286*0.0433333333333333/100</f>
        <v>4.3333333333333307E-2</v>
      </c>
      <c r="V286" s="238">
        <f>B286*0.556/100</f>
        <v>0.55600000000000005</v>
      </c>
      <c r="W286" s="242" t="s">
        <v>455</v>
      </c>
      <c r="X286" s="238">
        <f>B286*0.0333333333333333</f>
        <v>3.3333333333333299</v>
      </c>
      <c r="Y286" s="238">
        <f>B286*0.05</f>
        <v>5</v>
      </c>
      <c r="Z286" s="245" t="s">
        <v>455</v>
      </c>
      <c r="AA286" s="238">
        <f>B286*5.16666666666667/100</f>
        <v>5.1666666666666696</v>
      </c>
      <c r="AB286" s="242" t="s">
        <v>455</v>
      </c>
    </row>
    <row r="287" spans="1:28">
      <c r="A287" s="222" t="s">
        <v>3138</v>
      </c>
      <c r="B287" s="59">
        <v>100</v>
      </c>
      <c r="C287" s="247">
        <f>B287*208.332743725975/100</f>
        <v>208.33274372597501</v>
      </c>
      <c r="D287" s="247">
        <f>B287*24.9520833333333/100</f>
        <v>24.952083333333299</v>
      </c>
      <c r="E287" s="244">
        <f>B287*9.95433333333333/100</f>
        <v>9.9543333333333308</v>
      </c>
      <c r="F287" s="258">
        <f>B287*1.496/100</f>
        <v>1.496</v>
      </c>
      <c r="G287" s="258">
        <f>B287*2.21266666666667/100</f>
        <v>2.2126666666666699</v>
      </c>
      <c r="H287" s="258">
        <f>B287*5.21633333333333/100</f>
        <v>5.2163333333333295</v>
      </c>
      <c r="I287" s="263">
        <f>B287*4.63766666666667/100</f>
        <v>4.6376666666666697</v>
      </c>
      <c r="J287" s="263">
        <f>B287*0.564/100</f>
        <v>0.56399999999999995</v>
      </c>
      <c r="K287" s="244">
        <f>B287*74.9073333333333/100</f>
        <v>74.907333333333298</v>
      </c>
      <c r="L287" s="247">
        <f>B287*3.10058333333333/100</f>
        <v>3.1005833333333301</v>
      </c>
      <c r="M287" s="244">
        <f>B287*0.536666666666667/100</f>
        <v>0.53666666666666696</v>
      </c>
      <c r="N287" s="244">
        <f>B287*30.442/100</f>
        <v>30.441999999999997</v>
      </c>
      <c r="O287" s="244">
        <f>B287*25.507/100</f>
        <v>25.507000000000001</v>
      </c>
      <c r="P287" s="244">
        <f>B287*0.0623333333333333/100</f>
        <v>6.233333333333331E-2</v>
      </c>
      <c r="Q287" s="244">
        <f>B287*461.569333333333/100</f>
        <v>461.56933333333308</v>
      </c>
      <c r="R287" s="244">
        <f>B287*0.998333333333333/100</f>
        <v>0.99833333333333296</v>
      </c>
      <c r="S287" s="244">
        <f>B287*160.031666666667/100</f>
        <v>160.03166666666701</v>
      </c>
      <c r="T287" s="244">
        <f>B287*419.890333333333/100</f>
        <v>419.89033333333299</v>
      </c>
      <c r="U287" s="244" t="s">
        <v>455</v>
      </c>
      <c r="V287" s="244">
        <f>B287*0.554/100</f>
        <v>0.55400000000000005</v>
      </c>
      <c r="W287" s="244">
        <f>B287*17.3766666666667/100</f>
        <v>17.376666666666701</v>
      </c>
      <c r="X287" s="244" t="s">
        <v>455</v>
      </c>
      <c r="Y287" s="244" t="s">
        <v>455</v>
      </c>
      <c r="Z287" s="244" t="s">
        <v>455</v>
      </c>
      <c r="AA287" s="244">
        <f>B287*0.77/100</f>
        <v>0.77</v>
      </c>
      <c r="AB287" s="258"/>
    </row>
    <row r="288" spans="1:28">
      <c r="A288" s="232" t="s">
        <v>656</v>
      </c>
      <c r="B288" s="59">
        <v>100</v>
      </c>
      <c r="C288" s="238">
        <f>B288*116.014480687658/100</f>
        <v>116.01448068765799</v>
      </c>
      <c r="D288" s="238">
        <f>B288*25.5895833333333/100</f>
        <v>25.589583333333302</v>
      </c>
      <c r="E288" s="248">
        <f>B288*0.748/100</f>
        <v>0.748</v>
      </c>
      <c r="F288" s="252">
        <f>B288*0.2/100</f>
        <v>0.2</v>
      </c>
      <c r="G288" s="252">
        <f>B288*0.1/100</f>
        <v>0.1</v>
      </c>
      <c r="H288" s="252">
        <f>B288*0.2/100</f>
        <v>0.2</v>
      </c>
      <c r="I288" s="263">
        <f>B288*0.03/100</f>
        <v>0.03</v>
      </c>
      <c r="J288" s="263">
        <f>B288*0.14/100</f>
        <v>0.14000000000000001</v>
      </c>
      <c r="K288" s="238">
        <f>B288*83.25/100</f>
        <v>83.25</v>
      </c>
      <c r="L288" s="242">
        <v>0</v>
      </c>
      <c r="M288" s="242" t="s">
        <v>454</v>
      </c>
      <c r="N288" s="238">
        <f>B288*10.3246666666667/100</f>
        <v>10.324666666666699</v>
      </c>
      <c r="O288" s="238">
        <f>B288*21.1226666666667/100</f>
        <v>21.122666666666699</v>
      </c>
      <c r="P288" s="242" t="s">
        <v>455</v>
      </c>
      <c r="Q288" s="238">
        <f>B288*203.712/100</f>
        <v>203.71199999999996</v>
      </c>
      <c r="R288" s="238">
        <f>B288*0.317/100</f>
        <v>0.317</v>
      </c>
      <c r="S288" s="238">
        <f>B288*114.905333333333/100</f>
        <v>114.905333333333</v>
      </c>
      <c r="T288" s="238">
        <f>B288*248.64/100</f>
        <v>248.64</v>
      </c>
      <c r="U288" s="238">
        <f>B288*0.0303333333333333/100</f>
        <v>3.0333333333333302E-2</v>
      </c>
      <c r="V288" s="238">
        <f>B288*0.605666666666667/100</f>
        <v>0.60566666666666702</v>
      </c>
      <c r="W288" s="242">
        <f>B288*11.6233333333333/100</f>
        <v>11.623333333333299</v>
      </c>
      <c r="X288" s="242" t="s">
        <v>455</v>
      </c>
      <c r="Y288" s="238">
        <f>B288*0.04</f>
        <v>4</v>
      </c>
      <c r="Z288" s="242" t="s">
        <v>455</v>
      </c>
      <c r="AA288" s="238">
        <f>B288*9.76666666666667/100</f>
        <v>9.7666666666666693</v>
      </c>
      <c r="AB288" s="242"/>
    </row>
    <row r="289" spans="1:28">
      <c r="A289" s="232" t="s">
        <v>657</v>
      </c>
      <c r="B289" s="59">
        <v>100</v>
      </c>
      <c r="C289" s="238">
        <f>B289*83.3330250195662/100</f>
        <v>83.333025019566193</v>
      </c>
      <c r="D289" s="238">
        <f>B289*17.8541666666667/100</f>
        <v>17.8541666666667</v>
      </c>
      <c r="E289" s="248">
        <f>B289*0.786666666666667/100</f>
        <v>0.78666666666666696</v>
      </c>
      <c r="F289" s="267">
        <f>B289*0.1/100</f>
        <v>0.1</v>
      </c>
      <c r="G289" s="267">
        <f>B289*0.1/100</f>
        <v>0.1</v>
      </c>
      <c r="H289" s="267">
        <f>B289*0.2/100</f>
        <v>0.2</v>
      </c>
      <c r="I289" s="263">
        <f>B289*0.02/100</f>
        <v>0.02</v>
      </c>
      <c r="J289" s="263">
        <f>B289*0.14/100</f>
        <v>0.14000000000000001</v>
      </c>
      <c r="K289" s="243">
        <f>B289*36.1286666666667/100</f>
        <v>36.128666666666703</v>
      </c>
      <c r="L289" s="242">
        <v>0</v>
      </c>
      <c r="M289" s="242" t="s">
        <v>454</v>
      </c>
      <c r="N289" s="238">
        <f>B289*8.70366666666667/100</f>
        <v>8.7036666666666704</v>
      </c>
      <c r="O289" s="238">
        <f>B289*19.299/100</f>
        <v>19.298999999999999</v>
      </c>
      <c r="P289" s="248">
        <f>B289*0.0353333333333333/100</f>
        <v>3.53333333333333E-2</v>
      </c>
      <c r="Q289" s="238">
        <f>B289*181.453666666667/100</f>
        <v>181.453666666667</v>
      </c>
      <c r="R289" s="238">
        <f>B289*0.204/100</f>
        <v>0.20399999999999999</v>
      </c>
      <c r="S289" s="238">
        <f>B289*176.023666666667/100</f>
        <v>176.02366666666703</v>
      </c>
      <c r="T289" s="238">
        <f>B289*299.024/100</f>
        <v>299.024</v>
      </c>
      <c r="U289" s="238">
        <f>B289*0.128/100</f>
        <v>0.128</v>
      </c>
      <c r="V289" s="238">
        <f>B289*0.316666666666667/100</f>
        <v>0.31666666666666698</v>
      </c>
      <c r="W289" s="242">
        <f>B289*5.996666667/100</f>
        <v>5.9966666670000004</v>
      </c>
      <c r="X289" s="238">
        <f>B289*0.0366666666666667</f>
        <v>3.6666666666666701</v>
      </c>
      <c r="Y289" s="242" t="s">
        <v>455</v>
      </c>
      <c r="Z289" s="242" t="s">
        <v>455</v>
      </c>
      <c r="AA289" s="242">
        <f>B289*1.31/100</f>
        <v>1.31</v>
      </c>
      <c r="AB289" s="242"/>
    </row>
    <row r="290" spans="1:28">
      <c r="A290" s="232" t="s">
        <v>3139</v>
      </c>
      <c r="B290" s="59">
        <v>100</v>
      </c>
      <c r="C290" s="238">
        <f>B290*90.0136800963084/100</f>
        <v>90.013680096308406</v>
      </c>
      <c r="D290" s="238">
        <f>B290*18.9666666666667/100</f>
        <v>18.966666666666701</v>
      </c>
      <c r="E290" s="248">
        <f>B290*1.00066666666667/100</f>
        <v>1.0006666666666699</v>
      </c>
      <c r="F290" s="252">
        <f>B290*0.4/100</f>
        <v>0.4</v>
      </c>
      <c r="G290" s="252">
        <f>B290*0.2/100</f>
        <v>0.2</v>
      </c>
      <c r="H290" s="252">
        <f>B290*0.2/100</f>
        <v>0.2</v>
      </c>
      <c r="I290" s="263">
        <f>B290*0.07/100</f>
        <v>7.0000000000000007E-2</v>
      </c>
      <c r="J290" s="263">
        <f>B290*0.18/100</f>
        <v>0.18</v>
      </c>
      <c r="K290" s="238">
        <f>B290*240.854666666667/100</f>
        <v>240.85466666666699</v>
      </c>
      <c r="L290" s="242">
        <v>0</v>
      </c>
      <c r="M290" s="242" t="s">
        <v>454</v>
      </c>
      <c r="N290" s="238">
        <f>B290*89.744/100</f>
        <v>89.744</v>
      </c>
      <c r="O290" s="253">
        <f>B290*18.9115833333333/100</f>
        <v>18.911583333333301</v>
      </c>
      <c r="P290" s="238">
        <f>B290*0.058/100</f>
        <v>5.800000000000001E-2</v>
      </c>
      <c r="Q290" s="238">
        <f>B290*265.853333333333/100</f>
        <v>265.85333333333301</v>
      </c>
      <c r="R290" s="238">
        <f>B290*1.278/100</f>
        <v>1.278</v>
      </c>
      <c r="S290" s="238">
        <f>B290*366.552/100</f>
        <v>366.55200000000002</v>
      </c>
      <c r="T290" s="238">
        <f>B290*101.735/100</f>
        <v>101.735</v>
      </c>
      <c r="U290" s="238">
        <f>B290*0.169333333333333/100</f>
        <v>0.169333333333333</v>
      </c>
      <c r="V290" s="238">
        <f>B290*1.23766666666667/100</f>
        <v>1.23766666666667</v>
      </c>
      <c r="W290" s="242" t="s">
        <v>455</v>
      </c>
      <c r="X290" s="245" t="s">
        <v>455</v>
      </c>
      <c r="Y290" s="245" t="s">
        <v>455</v>
      </c>
      <c r="Z290" s="245" t="s">
        <v>455</v>
      </c>
      <c r="AA290" s="242">
        <f>B290*1.06666666666667/100</f>
        <v>1.06666666666667</v>
      </c>
      <c r="AB290" s="242"/>
    </row>
    <row r="291" spans="1:28">
      <c r="A291" s="232" t="s">
        <v>3140</v>
      </c>
      <c r="B291" s="59">
        <v>100</v>
      </c>
      <c r="C291" s="238">
        <f>B291*47.1834367054304/100</f>
        <v>47.183436705430402</v>
      </c>
      <c r="D291" s="238">
        <f>B291*9.99166666666667/100</f>
        <v>9.9916666666666707</v>
      </c>
      <c r="E291" s="248">
        <f>B291*0.501/100</f>
        <v>0.501</v>
      </c>
      <c r="F291" s="252">
        <f>B291*0.1/100</f>
        <v>0.1</v>
      </c>
      <c r="G291" s="252">
        <f>B291*0.1/100</f>
        <v>0.1</v>
      </c>
      <c r="H291" s="252">
        <f>B291*0.2/100</f>
        <v>0.2</v>
      </c>
      <c r="I291" s="263">
        <f>B291*0.04/100</f>
        <v>0.04</v>
      </c>
      <c r="J291" s="263">
        <f>B291*0.09/100</f>
        <v>0.09</v>
      </c>
      <c r="K291" s="243">
        <f>B291*123.987/100</f>
        <v>123.98699999999999</v>
      </c>
      <c r="L291" s="242">
        <v>0</v>
      </c>
      <c r="M291" s="242" t="s">
        <v>454</v>
      </c>
      <c r="N291" s="238">
        <f>B291*51.1163333333333/100</f>
        <v>51.116333333333301</v>
      </c>
      <c r="O291" s="238">
        <f>B291*27.367/100</f>
        <v>27.367000000000004</v>
      </c>
      <c r="P291" s="248">
        <f>B291*0.0353333333333333/100</f>
        <v>3.53333333333333E-2</v>
      </c>
      <c r="Q291" s="238">
        <f>B291*233.9225/100</f>
        <v>233.92250000000001</v>
      </c>
      <c r="R291" s="238">
        <f>B291*0.668666666666667/100</f>
        <v>0.66866666666666708</v>
      </c>
      <c r="S291" s="238">
        <f>B291*201.128/100</f>
        <v>201.12799999999999</v>
      </c>
      <c r="T291" s="238">
        <f>B291*72.0053333333333/100</f>
        <v>72.005333333333297</v>
      </c>
      <c r="U291" s="238">
        <f>B291*0.111666666666667/100</f>
        <v>0.111666666666667</v>
      </c>
      <c r="V291" s="238">
        <f>B291*0.713666666666667/100</f>
        <v>0.713666666666667</v>
      </c>
      <c r="W291" s="242">
        <f>B291*20/100</f>
        <v>20</v>
      </c>
      <c r="X291" s="245" t="s">
        <v>455</v>
      </c>
      <c r="Y291" s="245" t="s">
        <v>455</v>
      </c>
      <c r="Z291" s="245" t="s">
        <v>455</v>
      </c>
      <c r="AA291" s="242" t="s">
        <v>455</v>
      </c>
      <c r="AB291" s="242"/>
    </row>
    <row r="292" spans="1:28">
      <c r="A292" s="233" t="s">
        <v>3141</v>
      </c>
      <c r="B292" s="59">
        <v>100</v>
      </c>
      <c r="C292" s="247">
        <f>B292*231.246153850873/100</f>
        <v>231.24615385087299</v>
      </c>
      <c r="D292" s="247">
        <f>B292*18.3875/100</f>
        <v>18.387499999999999</v>
      </c>
      <c r="E292" s="244">
        <f>B292*15.6203333333333/100</f>
        <v>15.620333333333299</v>
      </c>
      <c r="F292" s="258">
        <f>B292*2.46833333333333/100</f>
        <v>2.4683333333333302</v>
      </c>
      <c r="G292" s="258">
        <f>B292*3.60866666666667/100</f>
        <v>3.6086666666666698</v>
      </c>
      <c r="H292" s="258">
        <f>B292*8.82633333333333/100</f>
        <v>8.8263333333333307</v>
      </c>
      <c r="I292" s="263">
        <f>B292*7.80566666666667/100</f>
        <v>7.8056666666666699</v>
      </c>
      <c r="J292" s="263">
        <f>B292*1.00566666666667/100</f>
        <v>1.00566666666667</v>
      </c>
      <c r="K292" s="244">
        <f>B292*283.135333333333/100</f>
        <v>283.13533333333299</v>
      </c>
      <c r="L292" s="247">
        <f>B292*2.87983333333333/100</f>
        <v>2.8798333333333299</v>
      </c>
      <c r="M292" s="258" t="s">
        <v>454</v>
      </c>
      <c r="N292" s="244">
        <f>B292*959.701333333333/100</f>
        <v>959.70133333333297</v>
      </c>
      <c r="O292" s="244">
        <f>B292*73.9716666666667/100</f>
        <v>73.971666666666707</v>
      </c>
      <c r="P292" s="244">
        <f>B292*0.379333333333333/100</f>
        <v>0.37933333333333302</v>
      </c>
      <c r="Q292" s="244">
        <f>B292*336.989333333333/100</f>
        <v>336.98933333333298</v>
      </c>
      <c r="R292" s="244">
        <f>B292*2.439/100</f>
        <v>2.4390000000000001</v>
      </c>
      <c r="S292" s="244">
        <f>B292*99.055/100</f>
        <v>99.055000000000007</v>
      </c>
      <c r="T292" s="244">
        <f>B292*106.773666666667/100</f>
        <v>106.773666666667</v>
      </c>
      <c r="U292" s="244">
        <f>B292*0.187666666666667/100</f>
        <v>0.18766666666666701</v>
      </c>
      <c r="V292" s="244">
        <f>B292*1.098/100</f>
        <v>1.0980000000000001</v>
      </c>
      <c r="W292" s="244" t="s">
        <v>455</v>
      </c>
      <c r="X292" s="244">
        <f>B292*0.0533333333333333/100</f>
        <v>5.3333333333333302E-2</v>
      </c>
      <c r="Y292" s="244" t="s">
        <v>455</v>
      </c>
      <c r="Z292" s="244" t="s">
        <v>455</v>
      </c>
      <c r="AA292" s="244">
        <f>B292*0.35/100</f>
        <v>0.35</v>
      </c>
      <c r="AB292" s="258"/>
    </row>
    <row r="293" spans="1:28">
      <c r="A293" s="232" t="s">
        <v>3142</v>
      </c>
      <c r="B293" s="59">
        <v>100</v>
      </c>
      <c r="C293" s="238">
        <f>B293*82.7215015078386/100</f>
        <v>82.721501507838596</v>
      </c>
      <c r="D293" s="238">
        <f>B293*18.4791666666667/100</f>
        <v>18.4791666666667</v>
      </c>
      <c r="E293" s="248">
        <f>B293*0.423/100</f>
        <v>0.42299999999999999</v>
      </c>
      <c r="F293" s="252">
        <f>B293*0.2/100</f>
        <v>0.2</v>
      </c>
      <c r="G293" s="252">
        <f>B293*0.2/100</f>
        <v>0.2</v>
      </c>
      <c r="H293" s="252" t="s">
        <v>455</v>
      </c>
      <c r="I293" s="263">
        <f>B293*0.03/100</f>
        <v>0.03</v>
      </c>
      <c r="J293" s="263"/>
      <c r="K293" s="238">
        <f>B293*84.6053333333333/100</f>
        <v>84.605333333333306</v>
      </c>
      <c r="L293" s="242">
        <v>0</v>
      </c>
      <c r="M293" s="242" t="s">
        <v>454</v>
      </c>
      <c r="N293" s="238">
        <f>B293*357.152666666667/100</f>
        <v>357.15266666666702</v>
      </c>
      <c r="O293" s="238">
        <f>B293*52.2253333333333/100</f>
        <v>52.225333333333303</v>
      </c>
      <c r="P293" s="238">
        <f>B293*0.0726666666666667/100</f>
        <v>7.2666666666666699E-2</v>
      </c>
      <c r="Q293" s="238">
        <f>B293*153.689333333333/100</f>
        <v>153.689333333333</v>
      </c>
      <c r="R293" s="238">
        <f>B293*2.86166666666667/100</f>
        <v>2.8616666666666699</v>
      </c>
      <c r="S293" s="238">
        <f>B293*360.105666666667/100</f>
        <v>360.10566666666705</v>
      </c>
      <c r="T293" s="238">
        <f>B293*185.831333333333/100</f>
        <v>185.83133333333299</v>
      </c>
      <c r="U293" s="238">
        <f>B293*0.72/100</f>
        <v>0.72</v>
      </c>
      <c r="V293" s="238">
        <f>B293*5.65/100</f>
        <v>5.65</v>
      </c>
      <c r="W293" s="244" t="s">
        <v>455</v>
      </c>
      <c r="X293" s="238">
        <f>B293*0.04/100</f>
        <v>0.04</v>
      </c>
      <c r="Y293" s="238">
        <f>B293*0.31/100</f>
        <v>0.31</v>
      </c>
      <c r="Z293" s="242" t="s">
        <v>455</v>
      </c>
      <c r="AA293" s="238">
        <f>B293*4.16666666666667/100</f>
        <v>4.1666666666666696</v>
      </c>
      <c r="AB293" s="242" t="s">
        <v>455</v>
      </c>
    </row>
    <row r="294" spans="1:28">
      <c r="A294" s="232" t="s">
        <v>659</v>
      </c>
      <c r="B294" s="59">
        <v>100</v>
      </c>
      <c r="C294" s="240">
        <f>B294*128.1554/100</f>
        <v>128.15539999999999</v>
      </c>
      <c r="D294" s="239">
        <f>B294*17.3666666666667/100</f>
        <v>17.366666666666699</v>
      </c>
      <c r="E294" s="249">
        <f>B294*5.98666666666667/100</f>
        <v>5.9866666666666699</v>
      </c>
      <c r="F294" s="267">
        <f>B294*2.5/100</f>
        <v>2.5</v>
      </c>
      <c r="G294" s="267">
        <f>B294*2.3/100</f>
        <v>2.2999999999999998</v>
      </c>
      <c r="H294" s="267">
        <f>B294*0.3/100</f>
        <v>0.3</v>
      </c>
      <c r="I294" s="263">
        <f>B294*0.12/100</f>
        <v>0.12</v>
      </c>
      <c r="J294" s="263">
        <f>B294*0.2/100</f>
        <v>0.2</v>
      </c>
      <c r="K294" s="240">
        <f>B294*40.23/100</f>
        <v>40.229999999999997</v>
      </c>
      <c r="L294" s="242">
        <f>B294*-0.0266666666666662/100</f>
        <v>-2.66666666666662E-2</v>
      </c>
      <c r="M294" s="242" t="s">
        <v>454</v>
      </c>
      <c r="N294" s="240">
        <f>B294*40.0533333333333/100</f>
        <v>40.053333333333299</v>
      </c>
      <c r="O294" s="240">
        <f>B294*22.7666666666667/100</f>
        <v>22.766666666666701</v>
      </c>
      <c r="P294" s="249">
        <f>B294*0.02/100</f>
        <v>0.02</v>
      </c>
      <c r="Q294" s="240">
        <f>B294*190.07/100</f>
        <v>190.07</v>
      </c>
      <c r="R294" s="240">
        <f>B294*0.503333333333333/100</f>
        <v>0.50333333333333297</v>
      </c>
      <c r="S294" s="240">
        <f>B294*47.01/100</f>
        <v>47.01</v>
      </c>
      <c r="T294" s="249">
        <f>B294*316.736666666667/100</f>
        <v>316.73666666666702</v>
      </c>
      <c r="U294" s="249">
        <f>B294*0.0333333333333333/100</f>
        <v>3.3333333333333298E-2</v>
      </c>
      <c r="V294" s="249">
        <f>B294*0.4/100</f>
        <v>0.4</v>
      </c>
      <c r="W294" s="244" t="s">
        <v>455</v>
      </c>
      <c r="X294" s="249" t="s">
        <v>455</v>
      </c>
      <c r="Y294" s="249" t="s">
        <v>455</v>
      </c>
      <c r="Z294" s="249" t="s">
        <v>455</v>
      </c>
      <c r="AA294" s="249">
        <f>B294*1.87333333333333/100</f>
        <v>1.87333333333333</v>
      </c>
      <c r="AB294" s="240"/>
    </row>
    <row r="295" spans="1:28">
      <c r="A295" s="233" t="s">
        <v>3143</v>
      </c>
      <c r="B295" s="59">
        <v>100</v>
      </c>
      <c r="C295" s="247">
        <f>B295*261.452439410567/100</f>
        <v>261.45243941056702</v>
      </c>
      <c r="D295" s="247">
        <f>B295*19.8979166666667/100</f>
        <v>19.897916666666699</v>
      </c>
      <c r="E295" s="244">
        <f>B295*19.5663333333333/100</f>
        <v>19.566333333333301</v>
      </c>
      <c r="F295" s="258">
        <f>B295*4.8/100</f>
        <v>4.8</v>
      </c>
      <c r="G295" s="258">
        <f>B295*6.39333333333333/100</f>
        <v>6.39333333333333</v>
      </c>
      <c r="H295" s="258">
        <f>B295*2.58333333333333/100</f>
        <v>2.5833333333333299</v>
      </c>
      <c r="I295" s="263">
        <f>B295*0.59/100</f>
        <v>0.59</v>
      </c>
      <c r="J295" s="263">
        <f>B295*1.58666666666667/100</f>
        <v>1.58666666666667</v>
      </c>
      <c r="K295" s="244">
        <f>B295*80.091/100</f>
        <v>80.090999999999994</v>
      </c>
      <c r="L295" s="247">
        <v>0</v>
      </c>
      <c r="M295" s="258" t="s">
        <v>454</v>
      </c>
      <c r="N295" s="244">
        <f>B295*22.3043333333333/100</f>
        <v>22.304333333333304</v>
      </c>
      <c r="O295" s="244">
        <f>B295*24.212/100</f>
        <v>24.212</v>
      </c>
      <c r="P295" s="244">
        <f>B295*0.0133333333333333/100</f>
        <v>1.3333333333333299E-2</v>
      </c>
      <c r="Q295" s="244">
        <f>B295*220.641333333333/100</f>
        <v>220.64133333333299</v>
      </c>
      <c r="R295" s="244">
        <f>B295*0.971333333333333/100</f>
        <v>0.97133333333333316</v>
      </c>
      <c r="S295" s="244">
        <f>B295*40.426/100</f>
        <v>40.426000000000002</v>
      </c>
      <c r="T295" s="244">
        <f>B295*326.497333333333/100</f>
        <v>326.49733333333302</v>
      </c>
      <c r="U295" s="244">
        <f>B295*0.0316666666666667/100</f>
        <v>3.1666666666666697E-2</v>
      </c>
      <c r="V295" s="244">
        <f>B295*0.747666666666667/100</f>
        <v>0.74766666666666703</v>
      </c>
      <c r="W295" s="244" t="s">
        <v>455</v>
      </c>
      <c r="X295" s="244">
        <f>B295*0.133333333333333/100</f>
        <v>0.133333333333333</v>
      </c>
      <c r="Y295" s="244">
        <f>B295*0.06/100</f>
        <v>0.06</v>
      </c>
      <c r="Z295" s="244" t="s">
        <v>455</v>
      </c>
      <c r="AA295" s="244">
        <f>B295*2.69666666666667/100</f>
        <v>2.6966666666666699</v>
      </c>
      <c r="AB295" s="258"/>
    </row>
    <row r="296" spans="1:28">
      <c r="A296" s="233" t="s">
        <v>3144</v>
      </c>
      <c r="B296" s="59">
        <v>100</v>
      </c>
      <c r="C296" s="247">
        <f>B296*238.696104867339/100</f>
        <v>238.69610486733899</v>
      </c>
      <c r="D296" s="247">
        <f>B296*20.13125/100</f>
        <v>20.131250000000001</v>
      </c>
      <c r="E296" s="244">
        <f>B296*16.933/100</f>
        <v>16.933</v>
      </c>
      <c r="F296" s="258">
        <f>B296*4.45/100</f>
        <v>4.45</v>
      </c>
      <c r="G296" s="258">
        <f>B296*6.47333333333333/100</f>
        <v>6.4733333333333301</v>
      </c>
      <c r="H296" s="258">
        <f>B296*2.28333333333333/100</f>
        <v>2.2833333333333301</v>
      </c>
      <c r="I296" s="263">
        <f>B296*0.37/100</f>
        <v>0.37</v>
      </c>
      <c r="J296" s="263">
        <f>B296*1.71333333333333/100</f>
        <v>1.71333333333333</v>
      </c>
      <c r="K296" s="244">
        <f>B296*74.6173333333333/100</f>
        <v>74.617333333333306</v>
      </c>
      <c r="L296" s="247">
        <v>0</v>
      </c>
      <c r="M296" s="258" t="s">
        <v>454</v>
      </c>
      <c r="N296" s="244">
        <f>B296*64.6856666666667/100</f>
        <v>64.685666666666705</v>
      </c>
      <c r="O296" s="244">
        <f>B296*22.829/100</f>
        <v>22.829000000000001</v>
      </c>
      <c r="P296" s="244">
        <f>B296*0.0213333333333333/100</f>
        <v>2.1333333333333301E-2</v>
      </c>
      <c r="Q296" s="244">
        <f>B296*185.265/100</f>
        <v>185.26499999999999</v>
      </c>
      <c r="R296" s="244">
        <f>B296*0.622666666666667/100</f>
        <v>0.62266666666666703</v>
      </c>
      <c r="S296" s="244">
        <f>B296*37.1656666666667/100</f>
        <v>37.165666666666702</v>
      </c>
      <c r="T296" s="244">
        <f>B296*253.992/100</f>
        <v>253.99200000000002</v>
      </c>
      <c r="U296" s="244">
        <f>B296*0.0523333333333333/100</f>
        <v>5.2333333333333301E-2</v>
      </c>
      <c r="V296" s="244">
        <f>B296*0.954/100</f>
        <v>0.95399999999999996</v>
      </c>
      <c r="W296" s="244" t="s">
        <v>455</v>
      </c>
      <c r="X296" s="244" t="s">
        <v>455</v>
      </c>
      <c r="Y296" s="244" t="s">
        <v>455</v>
      </c>
      <c r="Z296" s="244" t="s">
        <v>455</v>
      </c>
      <c r="AA296" s="244">
        <f>B296*2.09333333333333/100</f>
        <v>2.0933333333333302</v>
      </c>
      <c r="AB296" s="258"/>
    </row>
    <row r="297" spans="1:28">
      <c r="A297" s="232" t="s">
        <v>662</v>
      </c>
      <c r="B297" s="59">
        <v>100</v>
      </c>
      <c r="C297" s="240">
        <f>B297*101.009033333333/100</f>
        <v>101.00903333333299</v>
      </c>
      <c r="D297" s="239">
        <f>B297*18.9166666666667/100</f>
        <v>18.9166666666667</v>
      </c>
      <c r="E297" s="249">
        <f>B297*2.24333333333333/100</f>
        <v>2.2433333333333301</v>
      </c>
      <c r="F297" s="267">
        <f>B297*1.2/100</f>
        <v>1.2</v>
      </c>
      <c r="G297" s="267">
        <f>B297*0.7/100</f>
        <v>0.7</v>
      </c>
      <c r="H297" s="267">
        <f>B297*0.1/100</f>
        <v>0.1</v>
      </c>
      <c r="I297" s="263">
        <f>B297*0.06/100</f>
        <v>0.06</v>
      </c>
      <c r="J297" s="263">
        <f>B297*0.04/100</f>
        <v>0.04</v>
      </c>
      <c r="K297" s="240">
        <f>B297*73.11/100</f>
        <v>73.11</v>
      </c>
      <c r="L297" s="242">
        <v>0</v>
      </c>
      <c r="M297" s="242" t="s">
        <v>454</v>
      </c>
      <c r="N297" s="240">
        <f>B297*39.43/100</f>
        <v>39.43</v>
      </c>
      <c r="O297" s="240">
        <f>B297*24.5/100</f>
        <v>24.5</v>
      </c>
      <c r="P297" s="249">
        <f>B297*0.02/100</f>
        <v>0.02</v>
      </c>
      <c r="Q297" s="240">
        <f>B297*153.823333333333/100</f>
        <v>153.82333333333301</v>
      </c>
      <c r="R297" s="240">
        <f>B297*0.256666666666667/100</f>
        <v>0.25666666666666699</v>
      </c>
      <c r="S297" s="240">
        <f>B297*45.09/100</f>
        <v>45.09</v>
      </c>
      <c r="T297" s="249">
        <f>B297*293.023333333333/100</f>
        <v>293.02333333333303</v>
      </c>
      <c r="U297" s="249">
        <f>B297*0.02/100</f>
        <v>0.02</v>
      </c>
      <c r="V297" s="249">
        <f>B297*0.36/100</f>
        <v>0.36</v>
      </c>
      <c r="W297" s="249">
        <f>B297*8.12/100</f>
        <v>8.1199999999999992</v>
      </c>
      <c r="X297" s="249" t="s">
        <v>455</v>
      </c>
      <c r="Y297" s="249">
        <f>B297*0.08/100</f>
        <v>0.08</v>
      </c>
      <c r="Z297" s="249" t="s">
        <v>455</v>
      </c>
      <c r="AA297" s="249" t="s">
        <v>23</v>
      </c>
      <c r="AB297" s="239"/>
    </row>
    <row r="298" spans="1:28">
      <c r="A298" s="232" t="s">
        <v>663</v>
      </c>
      <c r="B298" s="59">
        <v>100</v>
      </c>
      <c r="C298" s="240">
        <f>B298*94/100</f>
        <v>94</v>
      </c>
      <c r="D298" s="239">
        <f>B298*18.57/100</f>
        <v>18.57</v>
      </c>
      <c r="E298" s="249">
        <f>B298*1.58333333333333/100</f>
        <v>1.5833333333333299</v>
      </c>
      <c r="F298" s="267">
        <f>B298*0.7/100</f>
        <v>0.7</v>
      </c>
      <c r="G298" s="267">
        <f>B298*0.5/100</f>
        <v>0.5</v>
      </c>
      <c r="H298" s="267">
        <f>B298*0.1/100</f>
        <v>0.1</v>
      </c>
      <c r="I298" s="263">
        <f>B298*0.03/100</f>
        <v>0.03</v>
      </c>
      <c r="J298" s="263">
        <f>B298*0.12/100</f>
        <v>0.12</v>
      </c>
      <c r="K298" s="240">
        <f>B298*67.07/100</f>
        <v>67.069999999999993</v>
      </c>
      <c r="L298" s="242">
        <v>0</v>
      </c>
      <c r="M298" s="242" t="s">
        <v>454</v>
      </c>
      <c r="N298" s="240" t="s">
        <v>23</v>
      </c>
      <c r="O298" s="240">
        <f>B298*23.75/100</f>
        <v>23.75</v>
      </c>
      <c r="P298" s="249">
        <f>B298*0.01/100</f>
        <v>0.01</v>
      </c>
      <c r="Q298" s="240">
        <f>B298*183.08/100</f>
        <v>183.08</v>
      </c>
      <c r="R298" s="240">
        <f>B298*0.376666666666667/100</f>
        <v>0.37666666666666698</v>
      </c>
      <c r="S298" s="240">
        <f>B298*67.97/100</f>
        <v>67.97</v>
      </c>
      <c r="T298" s="249">
        <f>B298*338.703333333333/100</f>
        <v>338.70333333333298</v>
      </c>
      <c r="U298" s="249">
        <f>B298*0.0266666666666667/100</f>
        <v>2.66666666666667E-2</v>
      </c>
      <c r="V298" s="249">
        <f>B298*0.356666666666667/100</f>
        <v>0.35666666666666702</v>
      </c>
      <c r="W298" s="249">
        <f>B298*65.0166666666667/100</f>
        <v>65.016666666666694</v>
      </c>
      <c r="X298" s="249">
        <f>B298*0.12/100</f>
        <v>0.12</v>
      </c>
      <c r="Y298" s="249">
        <f>B298*0.0533333333333333/100</f>
        <v>5.3333333333333302E-2</v>
      </c>
      <c r="Z298" s="249" t="s">
        <v>455</v>
      </c>
      <c r="AA298" s="249">
        <f>B298*2.62333333333333/100</f>
        <v>2.6233333333333295</v>
      </c>
      <c r="AB298" s="239"/>
    </row>
    <row r="299" spans="1:28">
      <c r="A299" s="232" t="s">
        <v>664</v>
      </c>
      <c r="B299" s="59">
        <v>100</v>
      </c>
      <c r="C299" s="238">
        <f>B299*146.528141125361/100</f>
        <v>146.528141125361</v>
      </c>
      <c r="D299" s="238">
        <f>B299*26.7666666666667/100</f>
        <v>26.766666666666701</v>
      </c>
      <c r="E299" s="248">
        <f>B299*3.57366666666667/100</f>
        <v>3.5736666666666701</v>
      </c>
      <c r="F299" s="252">
        <f>B299*1.5/100</f>
        <v>1.5</v>
      </c>
      <c r="G299" s="252">
        <f>B299*1.2/100</f>
        <v>1.2</v>
      </c>
      <c r="H299" s="252">
        <f>B299*0.3/100</f>
        <v>0.3</v>
      </c>
      <c r="I299" s="263">
        <f>B299*0.07/100</f>
        <v>7.0000000000000007E-2</v>
      </c>
      <c r="J299" s="263">
        <f>B299*0.14/100</f>
        <v>0.14000000000000001</v>
      </c>
      <c r="K299" s="238">
        <f>B299*117.05/100</f>
        <v>117.05</v>
      </c>
      <c r="L299" s="242">
        <v>0</v>
      </c>
      <c r="M299" s="242" t="s">
        <v>454</v>
      </c>
      <c r="N299" s="238">
        <f>B299*60.225/100</f>
        <v>60.225000000000001</v>
      </c>
      <c r="O299" s="238">
        <f>B299*24.1013333333333/100</f>
        <v>24.101333333333301</v>
      </c>
      <c r="P299" s="248">
        <f>B299*0.025/100</f>
        <v>2.5000000000000001E-2</v>
      </c>
      <c r="Q299" s="242">
        <f>B299*175.898/100</f>
        <v>175.898</v>
      </c>
      <c r="R299" s="238">
        <f>B299*0.538333333333333/100</f>
        <v>0.538333333333333</v>
      </c>
      <c r="S299" s="238">
        <f>B299*85.352/100</f>
        <v>85.352000000000004</v>
      </c>
      <c r="T299" s="242">
        <f>B299*291.46/100</f>
        <v>291.45999999999998</v>
      </c>
      <c r="U299" s="238">
        <f>B299*0.0203333333333333/100</f>
        <v>2.0333333333333301E-2</v>
      </c>
      <c r="V299" s="238">
        <f>B299*0.674666666666667/100</f>
        <v>0.67466666666666697</v>
      </c>
      <c r="W299" s="242" t="s">
        <v>455</v>
      </c>
      <c r="X299" s="238">
        <f>B299*0.113333333333333/100</f>
        <v>0.11333333333333301</v>
      </c>
      <c r="Y299" s="238">
        <f>B299*0.1/100</f>
        <v>0.1</v>
      </c>
      <c r="Z299" s="245" t="s">
        <v>455</v>
      </c>
      <c r="AA299" s="238">
        <f>B299*4.23333333333333/100</f>
        <v>4.2333333333333298</v>
      </c>
      <c r="AB299" s="242"/>
    </row>
    <row r="300" spans="1:28">
      <c r="A300" s="233" t="s">
        <v>3145</v>
      </c>
      <c r="B300" s="59">
        <v>100</v>
      </c>
      <c r="C300" s="247">
        <f>B300*100.078124552965/100</f>
        <v>100.07812455296499</v>
      </c>
      <c r="D300" s="247">
        <f>B300*23.4375/100</f>
        <v>23.4375</v>
      </c>
      <c r="E300" s="258">
        <f>B300*2.56266666666667/100</f>
        <v>2.56266666666667</v>
      </c>
      <c r="F300" s="258">
        <f>B300*0.746666666666667/100</f>
        <v>0.74666666666666703</v>
      </c>
      <c r="G300" s="258">
        <f>B300*0.62/100</f>
        <v>0.62</v>
      </c>
      <c r="H300" s="258">
        <f>B300*0.626666666666667/100</f>
        <v>0.62666666666666704</v>
      </c>
      <c r="I300" s="263">
        <f>B300*0.106666666666667/100</f>
        <v>0.10666666666666699</v>
      </c>
      <c r="J300" s="263">
        <f>B300*0.49/100</f>
        <v>0.49</v>
      </c>
      <c r="K300" s="244">
        <f>B300*122.556/100</f>
        <v>122.556</v>
      </c>
      <c r="L300" s="244">
        <v>0</v>
      </c>
      <c r="M300" s="258" t="s">
        <v>454</v>
      </c>
      <c r="N300" s="244">
        <f>B300*69.3736666666667/100</f>
        <v>69.373666666666693</v>
      </c>
      <c r="O300" s="244">
        <f>B300*22.2226666666667/100</f>
        <v>22.222666666666701</v>
      </c>
      <c r="P300" s="244">
        <f>B300*0.0186666666666667/100</f>
        <v>1.8666666666666699E-2</v>
      </c>
      <c r="Q300" s="244">
        <f>B300*163.555/100</f>
        <v>163.55500000000001</v>
      </c>
      <c r="R300" s="244">
        <f>B300*0.578666666666667/100</f>
        <v>0.578666666666667</v>
      </c>
      <c r="S300" s="244">
        <f>B300*68.39/100</f>
        <v>68.39</v>
      </c>
      <c r="T300" s="244">
        <f>B300*194.035333333333/100</f>
        <v>194.035333333333</v>
      </c>
      <c r="U300" s="244">
        <f>B300*0.0253333333333333/100</f>
        <v>2.5333333333333301E-2</v>
      </c>
      <c r="V300" s="244">
        <f>B300*0.688666666666667/100</f>
        <v>0.68866666666666698</v>
      </c>
      <c r="W300" s="244">
        <f>B300*6.27666666666667/100</f>
        <v>6.2766666666666699</v>
      </c>
      <c r="X300" s="244" t="s">
        <v>455</v>
      </c>
      <c r="Y300" s="244">
        <f>B300*0.0333333333333333/100</f>
        <v>3.3333333333333298E-2</v>
      </c>
      <c r="Z300" s="244" t="s">
        <v>455</v>
      </c>
      <c r="AA300" s="244">
        <f>B300*0.77/100</f>
        <v>0.77</v>
      </c>
      <c r="AB300" s="258"/>
    </row>
    <row r="301" spans="1:28">
      <c r="A301" s="233" t="s">
        <v>3146</v>
      </c>
      <c r="B301" s="59">
        <v>100</v>
      </c>
      <c r="C301" s="247">
        <f>B301*131.20831472377/100</f>
        <v>131.20831472377</v>
      </c>
      <c r="D301" s="247">
        <f>B301*18.8104166666667/100</f>
        <v>18.810416666666701</v>
      </c>
      <c r="E301" s="244">
        <f>B301*5.64166666666667/100</f>
        <v>5.6416666666666693</v>
      </c>
      <c r="F301" s="258">
        <f>B301*2.97366666666667/100</f>
        <v>2.97366666666667</v>
      </c>
      <c r="G301" s="258">
        <f>B301*1.41866666666667/100</f>
        <v>1.4186666666666701</v>
      </c>
      <c r="H301" s="258">
        <f>B301*0.357/100</f>
        <v>0.35699999999999998</v>
      </c>
      <c r="I301" s="263">
        <f>B301*0.199666666666667/100</f>
        <v>0.19966666666666699</v>
      </c>
      <c r="J301" s="263">
        <f>B301*0.0913333333333333/100</f>
        <v>9.1333333333333294E-2</v>
      </c>
      <c r="K301" s="244">
        <f>B301*51.9893333333333/100</f>
        <v>51.989333333333299</v>
      </c>
      <c r="L301" s="247">
        <v>0</v>
      </c>
      <c r="M301" s="258" t="s">
        <v>454</v>
      </c>
      <c r="N301" s="244">
        <f>B301*12.133/100</f>
        <v>12.132999999999999</v>
      </c>
      <c r="O301" s="244">
        <f>B301*26.2626666666667/100</f>
        <v>26.2626666666667</v>
      </c>
      <c r="P301" s="244">
        <f>B301*0.0103333333333333/100</f>
        <v>1.03333333333333E-2</v>
      </c>
      <c r="Q301" s="244">
        <f>B301*189.271666666667/100</f>
        <v>189.27166666666702</v>
      </c>
      <c r="R301" s="244">
        <f>B301*0.152/100</f>
        <v>0.152</v>
      </c>
      <c r="S301" s="244">
        <f>B301*40.2976666666667/100</f>
        <v>40.2976666666667</v>
      </c>
      <c r="T301" s="244">
        <f>B301*392.505666666667/100</f>
        <v>392.50566666666703</v>
      </c>
      <c r="U301" s="244">
        <f>B301*0.0203333333333333/100</f>
        <v>2.0333333333333301E-2</v>
      </c>
      <c r="V301" s="244">
        <f>B301*0.477/100</f>
        <v>0.47699999999999998</v>
      </c>
      <c r="W301" s="244" t="s">
        <v>455</v>
      </c>
      <c r="X301" s="244" t="s">
        <v>455</v>
      </c>
      <c r="Y301" s="244" t="s">
        <v>455</v>
      </c>
      <c r="Z301" s="244" t="s">
        <v>455</v>
      </c>
      <c r="AA301" s="244">
        <f>B301*3.70333333333333/100</f>
        <v>3.7033333333333305</v>
      </c>
      <c r="AB301" s="258"/>
    </row>
    <row r="302" spans="1:28">
      <c r="A302" s="232" t="s">
        <v>665</v>
      </c>
      <c r="B302" s="59">
        <v>100</v>
      </c>
      <c r="C302" s="238">
        <f>B302*130.840311009487/100</f>
        <v>130.84031100948701</v>
      </c>
      <c r="D302" s="238">
        <f>B302*16.8125/100</f>
        <v>16.8125</v>
      </c>
      <c r="E302" s="248">
        <f>B302*6.54666666666667/100</f>
        <v>6.5466666666666704</v>
      </c>
      <c r="F302" s="252">
        <f>B302*2/100</f>
        <v>2</v>
      </c>
      <c r="G302" s="252">
        <f>B302*2.2/100</f>
        <v>2.2000000000000002</v>
      </c>
      <c r="H302" s="252">
        <f>B302*1.2/100</f>
        <v>1.2</v>
      </c>
      <c r="I302" s="263">
        <f>B302*0.7/100</f>
        <v>0.7</v>
      </c>
      <c r="J302" s="263">
        <f>B302*0.54/100</f>
        <v>0.54</v>
      </c>
      <c r="K302" s="243">
        <f>B302*158.661333333333/100</f>
        <v>158.661333333333</v>
      </c>
      <c r="L302" s="242">
        <v>0</v>
      </c>
      <c r="M302" s="242" t="s">
        <v>454</v>
      </c>
      <c r="N302" s="243">
        <f>B302*1181.277/100</f>
        <v>1181.277</v>
      </c>
      <c r="O302" s="238">
        <f>B302*44.693/100</f>
        <v>44.693000000000005</v>
      </c>
      <c r="P302" s="238">
        <f>B302*0.278/100</f>
        <v>0.27800000000000002</v>
      </c>
      <c r="Q302" s="238">
        <f>B302*696.151666666667/100</f>
        <v>696.15166666666698</v>
      </c>
      <c r="R302" s="242">
        <f>B302*0.905666666666667/100</f>
        <v>0.90566666666666695</v>
      </c>
      <c r="S302" s="238">
        <f>B302*47.92/100</f>
        <v>47.92</v>
      </c>
      <c r="T302" s="238">
        <f>B302*244.401333333333/100</f>
        <v>244.40133333333301</v>
      </c>
      <c r="U302" s="238">
        <f>B302*0.094/100</f>
        <v>9.4E-2</v>
      </c>
      <c r="V302" s="238">
        <f>B302*3.33666666666667/100</f>
        <v>3.3366666666666704</v>
      </c>
      <c r="W302" s="242">
        <f>B302*4.30666666666667/100</f>
        <v>4.3066666666666702</v>
      </c>
      <c r="X302" s="238">
        <f>B302*0.0533333333333333/100</f>
        <v>5.3333333333333302E-2</v>
      </c>
      <c r="Y302" s="242" t="s">
        <v>455</v>
      </c>
      <c r="Z302" s="242" t="s">
        <v>455</v>
      </c>
      <c r="AA302" s="238">
        <f>B302*3.3/100</f>
        <v>3.3</v>
      </c>
      <c r="AB302" s="242"/>
    </row>
    <row r="303" spans="1:28">
      <c r="A303" s="232" t="s">
        <v>666</v>
      </c>
      <c r="B303" s="59">
        <v>100</v>
      </c>
      <c r="C303" s="238">
        <f>B303*326.868399886608/100</f>
        <v>326.86839988660802</v>
      </c>
      <c r="D303" s="238">
        <f>B303*28.425/100</f>
        <v>28.425000000000001</v>
      </c>
      <c r="E303" s="248">
        <f>B303*22.782/100</f>
        <v>22.781999999999996</v>
      </c>
      <c r="F303" s="252">
        <f>B303*5.5/100</f>
        <v>5.5</v>
      </c>
      <c r="G303" s="252">
        <f>B303*7/100</f>
        <v>7</v>
      </c>
      <c r="H303" s="252">
        <f>B303*8.1/100</f>
        <v>8.1</v>
      </c>
      <c r="I303" s="263">
        <f>B303*6.77/100</f>
        <v>6.77</v>
      </c>
      <c r="J303" s="263">
        <f>B303*1.12/100</f>
        <v>1.1200000000000001</v>
      </c>
      <c r="K303" s="238">
        <f>B303*246.323333333333/100</f>
        <v>246.32333333333298</v>
      </c>
      <c r="L303" s="242">
        <v>0</v>
      </c>
      <c r="M303" s="242" t="s">
        <v>454</v>
      </c>
      <c r="N303" s="243">
        <f>B303*1881.039/100</f>
        <v>1881.039</v>
      </c>
      <c r="O303" s="238">
        <f>B303*66.2906666666667/100</f>
        <v>66.290666666666695</v>
      </c>
      <c r="P303" s="238">
        <f>B303*0.337333333333333/100</f>
        <v>0.33733333333333299</v>
      </c>
      <c r="Q303" s="238">
        <f>B303*1067.27766666667/100</f>
        <v>1067.27766666667</v>
      </c>
      <c r="R303" s="242">
        <f>B303*0.813333333333333/100</f>
        <v>0.81333333333333302</v>
      </c>
      <c r="S303" s="238">
        <f>B303*64.5516666666667/100</f>
        <v>64.551666666666705</v>
      </c>
      <c r="T303" s="238">
        <f>B303*331.169/100</f>
        <v>331.16900000000004</v>
      </c>
      <c r="U303" s="238">
        <f>B303*0.306333333333333/100</f>
        <v>0.30633333333333301</v>
      </c>
      <c r="V303" s="238">
        <f>B303*5.625/100</f>
        <v>5.625</v>
      </c>
      <c r="W303" s="242">
        <f>B303*9.44666666666667/100</f>
        <v>9.4466666666666708</v>
      </c>
      <c r="X303" s="238">
        <f>B303*0.253333333333333/100</f>
        <v>0.25333333333333302</v>
      </c>
      <c r="Y303" s="238">
        <f>B303*0.03/100</f>
        <v>0.03</v>
      </c>
      <c r="Z303" s="238">
        <f>B303*0.04/100</f>
        <v>0.04</v>
      </c>
      <c r="AA303" s="238">
        <f>B303*8.93333333333333/100</f>
        <v>8.93333333333333</v>
      </c>
      <c r="AB303" s="242"/>
    </row>
    <row r="304" spans="1:28">
      <c r="A304" s="222" t="s">
        <v>3147</v>
      </c>
      <c r="B304" s="59">
        <v>100</v>
      </c>
      <c r="C304" s="247">
        <f>B304*151.598346503218/100</f>
        <v>151.59834650321801</v>
      </c>
      <c r="D304" s="247">
        <f>B304*15.6520833333333/100</f>
        <v>15.652083333333302</v>
      </c>
      <c r="E304" s="244">
        <f>B304*9.39733333333333/100</f>
        <v>9.3973333333333304</v>
      </c>
      <c r="F304" s="258">
        <f>B304*3.40333333333333/100</f>
        <v>3.4033333333333302</v>
      </c>
      <c r="G304" s="258">
        <f>B304*3.284/100</f>
        <v>3.2839999999999998</v>
      </c>
      <c r="H304" s="258">
        <f>B304*1.10233333333333/100</f>
        <v>1.1023333333333301</v>
      </c>
      <c r="I304" s="263">
        <f>B304*0.690666666666667/100</f>
        <v>0.69066666666666687</v>
      </c>
      <c r="J304" s="263">
        <f>B304*0.267333333333333/100</f>
        <v>0.26733333333333298</v>
      </c>
      <c r="K304" s="244">
        <f>B304*144.254666666667/100</f>
        <v>144.25466666666699</v>
      </c>
      <c r="L304" s="247">
        <v>0</v>
      </c>
      <c r="M304" s="258" t="s">
        <v>454</v>
      </c>
      <c r="N304" s="244">
        <f>B304*590.272/100</f>
        <v>590.27200000000005</v>
      </c>
      <c r="O304" s="244">
        <f>B304*31.6076666666667/100</f>
        <v>31.607666666666702</v>
      </c>
      <c r="P304" s="244">
        <f>B304*0.413/100</f>
        <v>0.41299999999999998</v>
      </c>
      <c r="Q304" s="244">
        <f>B304*440.931333333333/100</f>
        <v>440.93133333333304</v>
      </c>
      <c r="R304" s="244">
        <f>B304*0.631333333333333/100</f>
        <v>0.63133333333333297</v>
      </c>
      <c r="S304" s="244">
        <f>B304*41.1093333333333/100</f>
        <v>41.109333333333304</v>
      </c>
      <c r="T304" s="244">
        <f>B304*207.358333333333/100</f>
        <v>207.35833333333301</v>
      </c>
      <c r="U304" s="244">
        <f>B304*0.0523333333333333/100</f>
        <v>5.2333333333333301E-2</v>
      </c>
      <c r="V304" s="244">
        <f>B304*2.418/100</f>
        <v>2.4180000000000001</v>
      </c>
      <c r="W304" s="244" t="s">
        <v>455</v>
      </c>
      <c r="X304" s="244" t="s">
        <v>455</v>
      </c>
      <c r="Y304" s="244">
        <f>B304*0.03/100</f>
        <v>0.03</v>
      </c>
      <c r="Z304" s="244">
        <f>B304*0.0733333333333333/100</f>
        <v>7.3333333333333306E-2</v>
      </c>
      <c r="AA304" s="244">
        <f>B304*1.85666666666667/100</f>
        <v>1.85666666666667</v>
      </c>
      <c r="AB304" s="258"/>
    </row>
    <row r="305" spans="1:28">
      <c r="A305" s="222" t="s">
        <v>3148</v>
      </c>
      <c r="B305" s="59">
        <v>100</v>
      </c>
      <c r="C305" s="247">
        <f>B305*343.550458723068/100</f>
        <v>343.550458723068</v>
      </c>
      <c r="D305" s="247">
        <f>B305*23.45/100</f>
        <v>23.45</v>
      </c>
      <c r="E305" s="244">
        <f>B305*22.593/100</f>
        <v>22.593000000000004</v>
      </c>
      <c r="F305" s="258">
        <f>B305*5.46333333333333/100</f>
        <v>5.4633333333333303</v>
      </c>
      <c r="G305" s="258">
        <f>B305*5.36366666666667/100</f>
        <v>5.3636666666666706</v>
      </c>
      <c r="H305" s="258">
        <f>B305*10.4253333333333/100</f>
        <v>10.425333333333301</v>
      </c>
      <c r="I305" s="263">
        <f>B305*7.617/100</f>
        <v>7.6170000000000009</v>
      </c>
      <c r="J305" s="263">
        <f>B305*2.61433333333333/100</f>
        <v>2.6143333333333301</v>
      </c>
      <c r="K305" s="244">
        <f>B305*281.755/100</f>
        <v>281.755</v>
      </c>
      <c r="L305" s="247">
        <f>B305*10.2403333333333/100</f>
        <v>10.240333333333302</v>
      </c>
      <c r="M305" s="244">
        <f>B305*0.363333333333333/100</f>
        <v>0.36333333333333301</v>
      </c>
      <c r="N305" s="244">
        <f>B305*763.307333333333/100</f>
        <v>763.30733333333296</v>
      </c>
      <c r="O305" s="244">
        <f>B305*46.8966666666667/100</f>
        <v>46.896666666666697</v>
      </c>
      <c r="P305" s="244">
        <f>B305*0.355666666666667/100</f>
        <v>0.35566666666666708</v>
      </c>
      <c r="Q305" s="244">
        <f>B305*577.935/100</f>
        <v>577.93499999999995</v>
      </c>
      <c r="R305" s="244">
        <f>B305*3.04133333333333/100</f>
        <v>3.0413333333333297</v>
      </c>
      <c r="S305" s="244">
        <f>B305*36.52/100</f>
        <v>36.520000000000003</v>
      </c>
      <c r="T305" s="244">
        <f>B305*319.265/100</f>
        <v>319.26499999999999</v>
      </c>
      <c r="U305" s="244">
        <f>B305*0.154/100</f>
        <v>0.154</v>
      </c>
      <c r="V305" s="244">
        <f>B305*3.76733333333333/100</f>
        <v>3.7673333333333301</v>
      </c>
      <c r="W305" s="244">
        <f>B305*29.9433333333333/100</f>
        <v>29.9433333333333</v>
      </c>
      <c r="X305" s="244">
        <f>B305*0.05/100</f>
        <v>0.05</v>
      </c>
      <c r="Y305" s="244">
        <f>B305*0.0666666666666667/100</f>
        <v>6.6666666666666693E-2</v>
      </c>
      <c r="Z305" s="244" t="s">
        <v>455</v>
      </c>
      <c r="AA305" s="244">
        <f>B305*0.786666666666667/100</f>
        <v>0.78666666666666696</v>
      </c>
      <c r="AB305" s="258"/>
    </row>
    <row r="306" spans="1:28">
      <c r="A306" s="232" t="s">
        <v>667</v>
      </c>
      <c r="B306" s="59">
        <v>100</v>
      </c>
      <c r="C306" s="238">
        <f>B306*349.325231455366/100</f>
        <v>349.32523145536601</v>
      </c>
      <c r="D306" s="238">
        <f>B306*30.1395833333333/100</f>
        <v>30.139583333333299</v>
      </c>
      <c r="E306" s="248">
        <f>B306*24.46/100</f>
        <v>24.46</v>
      </c>
      <c r="F306" s="252">
        <f>B306*5.3/100</f>
        <v>5.3</v>
      </c>
      <c r="G306" s="252">
        <f>B306*6/100</f>
        <v>6</v>
      </c>
      <c r="H306" s="252">
        <f>B306*11.7/100</f>
        <v>11.7</v>
      </c>
      <c r="I306" s="263">
        <f>B306*9/100</f>
        <v>9</v>
      </c>
      <c r="J306" s="263">
        <f>B306*2.49/100</f>
        <v>2.4900000000000002</v>
      </c>
      <c r="K306" s="238">
        <f>B306*270.340333333333/100</f>
        <v>270.34033333333298</v>
      </c>
      <c r="L306" s="242">
        <v>0</v>
      </c>
      <c r="M306" s="242" t="s">
        <v>454</v>
      </c>
      <c r="N306" s="238">
        <f>B306*575.029/100</f>
        <v>575.029</v>
      </c>
      <c r="O306" s="238">
        <f>B306*31.658/100</f>
        <v>31.658000000000001</v>
      </c>
      <c r="P306" s="238">
        <f>B306*0.207333333333333/100</f>
        <v>0.20733333333333304</v>
      </c>
      <c r="Q306" s="238">
        <f>B306*735.426333333333/100</f>
        <v>735.42633333333299</v>
      </c>
      <c r="R306" s="238">
        <f>B306*0.916333333333333/100</f>
        <v>0.916333333333333</v>
      </c>
      <c r="S306" s="238">
        <f>B306*40.61/100</f>
        <v>40.61</v>
      </c>
      <c r="T306" s="238">
        <f>B306*318.18/100</f>
        <v>318.18</v>
      </c>
      <c r="U306" s="238">
        <f>B306*0.137666666666667/100</f>
        <v>0.13766666666666699</v>
      </c>
      <c r="V306" s="238">
        <f>B306*3.235/100</f>
        <v>3.2349999999999999</v>
      </c>
      <c r="W306" s="245">
        <f>B306*12.0666666666667/100</f>
        <v>12.066666666666698</v>
      </c>
      <c r="X306" s="238">
        <f>B306*0.03/100</f>
        <v>0.03</v>
      </c>
      <c r="Y306" s="238">
        <f>B306*0.0333333333333333/100</f>
        <v>3.3333333333333298E-2</v>
      </c>
      <c r="Z306" s="245" t="s">
        <v>455</v>
      </c>
      <c r="AA306" s="238">
        <f>B306*7.26666666666667/100</f>
        <v>7.2666666666666693</v>
      </c>
      <c r="AB306" s="242"/>
    </row>
    <row r="307" spans="1:28">
      <c r="A307" s="232" t="s">
        <v>668</v>
      </c>
      <c r="B307" s="59">
        <v>100</v>
      </c>
      <c r="C307" s="238">
        <f>B307*121.910218333333/100</f>
        <v>121.91021833333302</v>
      </c>
      <c r="D307" s="238">
        <f>B307*26.6041666666667/100</f>
        <v>26.6041666666667</v>
      </c>
      <c r="E307" s="248">
        <f>B307*0.921333333333333/100</f>
        <v>0.921333333333333</v>
      </c>
      <c r="F307" s="252">
        <f>B307*0.2/100</f>
        <v>0.2</v>
      </c>
      <c r="G307" s="252">
        <f>B307*0.1/100</f>
        <v>0.1</v>
      </c>
      <c r="H307" s="252">
        <f>B307*0.3/100</f>
        <v>0.3</v>
      </c>
      <c r="I307" s="263">
        <f>B307*0.04/100</f>
        <v>0.04</v>
      </c>
      <c r="J307" s="263">
        <f>B307*0.26/100</f>
        <v>0.26</v>
      </c>
      <c r="K307" s="238">
        <f>B307*90.9716666666666/100</f>
        <v>90.971666666666593</v>
      </c>
      <c r="L307" s="242">
        <v>0</v>
      </c>
      <c r="M307" s="242" t="s">
        <v>454</v>
      </c>
      <c r="N307" s="238">
        <f>B307*35.9056666666667/100</f>
        <v>35.905666666666697</v>
      </c>
      <c r="O307" s="238">
        <f>B307*20.2683333333333/100</f>
        <v>20.268333333333299</v>
      </c>
      <c r="P307" s="248">
        <f>B307*0.0316666666666667/100</f>
        <v>3.1666666666666697E-2</v>
      </c>
      <c r="Q307" s="238">
        <f>B307*273.203/100</f>
        <v>273.20299999999997</v>
      </c>
      <c r="R307" s="238">
        <f>B307*0.371333333333333/100</f>
        <v>0.37133333333333307</v>
      </c>
      <c r="S307" s="238">
        <f>B307*119.948666666667/100</f>
        <v>119.94866666666699</v>
      </c>
      <c r="T307" s="238">
        <f>B307*363.57/100</f>
        <v>363.57</v>
      </c>
      <c r="U307" s="238">
        <f>B307*0.031/100</f>
        <v>3.1E-2</v>
      </c>
      <c r="V307" s="238">
        <f>B307*0.887333333333333/100</f>
        <v>0.88733333333333286</v>
      </c>
      <c r="W307" s="242" t="s">
        <v>455</v>
      </c>
      <c r="X307" s="238">
        <f>B307*0.05/100</f>
        <v>0.05</v>
      </c>
      <c r="Y307" s="245" t="s">
        <v>455</v>
      </c>
      <c r="Z307" s="245" t="s">
        <v>455</v>
      </c>
      <c r="AA307" s="238">
        <f>B307*7.96666666666667/100</f>
        <v>7.9666666666666712</v>
      </c>
      <c r="AB307" s="242"/>
    </row>
    <row r="308" spans="1:28">
      <c r="A308" s="232" t="s">
        <v>669</v>
      </c>
      <c r="B308" s="59">
        <v>100</v>
      </c>
      <c r="C308" s="240">
        <f>B308*89.1308666666666/100</f>
        <v>89.130866666666606</v>
      </c>
      <c r="D308" s="239">
        <f>B308*16.6066666666667/100</f>
        <v>16.606666666666701</v>
      </c>
      <c r="E308" s="249">
        <f>B308*2.02/100</f>
        <v>2.02</v>
      </c>
      <c r="F308" s="267">
        <f>B308*0.9/100</f>
        <v>0.9</v>
      </c>
      <c r="G308" s="267">
        <f>B308*0.5/100</f>
        <v>0.5</v>
      </c>
      <c r="H308" s="267">
        <f>B308*0.4/100</f>
        <v>0.4</v>
      </c>
      <c r="I308" s="263">
        <f>B308*0.05/100</f>
        <v>0.05</v>
      </c>
      <c r="J308" s="263">
        <f>B308*0.21/100</f>
        <v>0.21</v>
      </c>
      <c r="K308" s="240">
        <f>B308*57.18/100</f>
        <v>57.18</v>
      </c>
      <c r="L308" s="242">
        <v>0</v>
      </c>
      <c r="M308" s="242" t="s">
        <v>454</v>
      </c>
      <c r="N308" s="240">
        <f>B308*20.4/100</f>
        <v>20.399999999999999</v>
      </c>
      <c r="O308" s="240">
        <f>B308*27.02/100</f>
        <v>27.02</v>
      </c>
      <c r="P308" s="249">
        <f>B308*0.01/100</f>
        <v>0.01</v>
      </c>
      <c r="Q308" s="240">
        <f>B308*184.57/100</f>
        <v>184.57</v>
      </c>
      <c r="R308" s="240">
        <f>B308*0.186666666666667/100</f>
        <v>0.18666666666666701</v>
      </c>
      <c r="S308" s="240">
        <f>B308*79.5033333333333/100</f>
        <v>79.503333333333302</v>
      </c>
      <c r="T308" s="249">
        <f>B308*339.526666666667/100</f>
        <v>339.52666666666698</v>
      </c>
      <c r="U308" s="249" t="s">
        <v>455</v>
      </c>
      <c r="V308" s="249">
        <f>B308*0.326666666666667/100</f>
        <v>0.32666666666666699</v>
      </c>
      <c r="W308" s="249" t="s">
        <v>455</v>
      </c>
      <c r="X308" s="249" t="s">
        <v>455</v>
      </c>
      <c r="Y308" s="249" t="s">
        <v>455</v>
      </c>
      <c r="Z308" s="249" t="s">
        <v>455</v>
      </c>
      <c r="AA308" s="249">
        <f>B308*1.34333333333333/100</f>
        <v>1.3433333333333299</v>
      </c>
      <c r="AB308" s="239"/>
    </row>
    <row r="309" spans="1:28">
      <c r="A309" s="222" t="s">
        <v>3149</v>
      </c>
      <c r="B309" s="59">
        <v>100</v>
      </c>
      <c r="C309" s="247">
        <f>B309*191.627478375832/100</f>
        <v>191.627478375832</v>
      </c>
      <c r="D309" s="247">
        <f>B309*26.9291666666667/100</f>
        <v>26.929166666666696</v>
      </c>
      <c r="E309" s="244">
        <f>B309*8.49666666666667/100</f>
        <v>8.4966666666666697</v>
      </c>
      <c r="F309" s="258">
        <f>B309*1.4/100</f>
        <v>1.4</v>
      </c>
      <c r="G309" s="258">
        <f>B309*2.08666666666667/100</f>
        <v>2.08666666666667</v>
      </c>
      <c r="H309" s="258">
        <f>B309*4.27333333333333/100</f>
        <v>4.2733333333333299</v>
      </c>
      <c r="I309" s="263">
        <f>B309*3.07/100</f>
        <v>3.07</v>
      </c>
      <c r="J309" s="263">
        <f>B309*1.14666666666667/100</f>
        <v>1.1466666666666701</v>
      </c>
      <c r="K309" s="244">
        <f>B309*109.104333333333/100</f>
        <v>109.104333333333</v>
      </c>
      <c r="L309" s="247">
        <v>0</v>
      </c>
      <c r="M309" s="258" t="s">
        <v>454</v>
      </c>
      <c r="N309" s="244">
        <f>B309*35.6276666666667/100</f>
        <v>35.627666666666698</v>
      </c>
      <c r="O309" s="244">
        <f>B309*38.136/100</f>
        <v>38.136000000000003</v>
      </c>
      <c r="P309" s="244">
        <f>B309*0.0233333333333333/100</f>
        <v>2.33333333333333E-2</v>
      </c>
      <c r="Q309" s="244">
        <f>B309*278.927333333333/100</f>
        <v>278.92733333333302</v>
      </c>
      <c r="R309" s="244">
        <f>B309*0.383333333333333/100</f>
        <v>0.38333333333333303</v>
      </c>
      <c r="S309" s="244">
        <f>B309*89.9613333333333/100</f>
        <v>89.9613333333333</v>
      </c>
      <c r="T309" s="244">
        <f>B309*446.619333333333/100</f>
        <v>446.61933333333297</v>
      </c>
      <c r="U309" s="244">
        <f>B309*0.027/100</f>
        <v>2.7000000000000003E-2</v>
      </c>
      <c r="V309" s="244">
        <f>B309*0.557333333333333/100</f>
        <v>0.55733333333333301</v>
      </c>
      <c r="W309" s="244" t="s">
        <v>455</v>
      </c>
      <c r="X309" s="244">
        <f>B309*0.05/100</f>
        <v>0.05</v>
      </c>
      <c r="Y309" s="244" t="s">
        <v>455</v>
      </c>
      <c r="Z309" s="244" t="s">
        <v>455</v>
      </c>
      <c r="AA309" s="244">
        <f>B309*0.77/100</f>
        <v>0.77</v>
      </c>
      <c r="AB309" s="258"/>
    </row>
    <row r="310" spans="1:28">
      <c r="A310" s="232" t="s">
        <v>670</v>
      </c>
      <c r="B310" s="59">
        <v>100</v>
      </c>
      <c r="C310" s="240">
        <f>B310*110.8763/100</f>
        <v>110.87629999999999</v>
      </c>
      <c r="D310" s="239">
        <f>B310*16.2633333333333/100</f>
        <v>16.2633333333333</v>
      </c>
      <c r="E310" s="249">
        <f>B310*4.59333333333333/100</f>
        <v>4.5933333333333302</v>
      </c>
      <c r="F310" s="267">
        <f>B310*0.8/100</f>
        <v>0.8</v>
      </c>
      <c r="G310" s="267">
        <f>B310*2.4/100</f>
        <v>2.4</v>
      </c>
      <c r="H310" s="267">
        <f>B310*0.9/100</f>
        <v>0.9</v>
      </c>
      <c r="I310" s="263">
        <f>B310*0.09/100</f>
        <v>0.09</v>
      </c>
      <c r="J310" s="263">
        <f>B310*0.79/100</f>
        <v>0.79</v>
      </c>
      <c r="K310" s="240">
        <f>B310*50.77/100</f>
        <v>50.77</v>
      </c>
      <c r="L310" s="242">
        <v>0</v>
      </c>
      <c r="M310" s="242" t="s">
        <v>454</v>
      </c>
      <c r="N310" s="240">
        <f>B310*15.74/100</f>
        <v>15.74</v>
      </c>
      <c r="O310" s="240">
        <f>B310*19.2033333333333/100</f>
        <v>19.203333333333301</v>
      </c>
      <c r="P310" s="249">
        <f>B310*0.01/100</f>
        <v>0.01</v>
      </c>
      <c r="Q310" s="240">
        <f>B310*135.853333333333/100</f>
        <v>135.85333333333301</v>
      </c>
      <c r="R310" s="240">
        <f>B310*0.163333333333333/100</f>
        <v>0.163333333333333</v>
      </c>
      <c r="S310" s="240">
        <f>B310*76.1666666666667/100</f>
        <v>76.1666666666667</v>
      </c>
      <c r="T310" s="249">
        <f>B310*261.396666666667/100</f>
        <v>261.39666666666699</v>
      </c>
      <c r="U310" s="249" t="s">
        <v>455</v>
      </c>
      <c r="V310" s="249">
        <f>B310*0.25/100</f>
        <v>0.25</v>
      </c>
      <c r="W310" s="249">
        <f>B310*2.77/100</f>
        <v>2.77</v>
      </c>
      <c r="X310" s="249" t="s">
        <v>455</v>
      </c>
      <c r="Y310" s="249">
        <f>B310*0.04/100</f>
        <v>0.04</v>
      </c>
      <c r="Z310" s="249" t="s">
        <v>455</v>
      </c>
      <c r="AA310" s="249">
        <f>B310*0.603333333333333/100</f>
        <v>0.60333333333333306</v>
      </c>
      <c r="AB310" s="240"/>
    </row>
    <row r="311" spans="1:28">
      <c r="A311" s="232" t="s">
        <v>671</v>
      </c>
      <c r="B311" s="59">
        <v>100</v>
      </c>
      <c r="C311" s="238">
        <f>B311*223.039732369304/100</f>
        <v>223.03973236930401</v>
      </c>
      <c r="D311" s="238">
        <f>B311*27.35625/100</f>
        <v>27.356249999999999</v>
      </c>
      <c r="E311" s="248">
        <f>B311*11.777/100</f>
        <v>11.776999999999997</v>
      </c>
      <c r="F311" s="252">
        <f>B311*2.3/100</f>
        <v>2.2999999999999998</v>
      </c>
      <c r="G311" s="252">
        <f>B311*3.2/100</f>
        <v>3.2</v>
      </c>
      <c r="H311" s="252">
        <f>B311*5.2/100</f>
        <v>5.2</v>
      </c>
      <c r="I311" s="263">
        <f>B311*4.23/100</f>
        <v>4.2300000000000004</v>
      </c>
      <c r="J311" s="263">
        <f>B311*0.9/100</f>
        <v>0.9</v>
      </c>
      <c r="K311" s="238">
        <f>B311*165.439666666667/100</f>
        <v>165.43966666666699</v>
      </c>
      <c r="L311" s="242">
        <v>0</v>
      </c>
      <c r="M311" s="242" t="s">
        <v>454</v>
      </c>
      <c r="N311" s="238">
        <f>B311*378.27/100</f>
        <v>378.27</v>
      </c>
      <c r="O311" s="238">
        <f>B311*30.0766666666667/100</f>
        <v>30.0766666666667</v>
      </c>
      <c r="P311" s="238">
        <f>B311*0.0553333333333333/100</f>
        <v>5.5333333333333297E-2</v>
      </c>
      <c r="Q311" s="238">
        <f>B311*504.103333333333/100</f>
        <v>504.10333333333301</v>
      </c>
      <c r="R311" s="238">
        <f>B311*0.506666666666667/100</f>
        <v>0.50666666666666704</v>
      </c>
      <c r="S311" s="238">
        <f>B311*107.232666666667/100</f>
        <v>107.23266666666699</v>
      </c>
      <c r="T311" s="238">
        <f>B311*355.149666666667/100</f>
        <v>355.14966666666697</v>
      </c>
      <c r="U311" s="238">
        <f>B311*0.0846666666666667/100</f>
        <v>8.4666666666666709E-2</v>
      </c>
      <c r="V311" s="238">
        <f>B311*1.12433333333333/100</f>
        <v>1.1243333333333301</v>
      </c>
      <c r="W311" s="238">
        <f>B311*39.35/100</f>
        <v>39.35</v>
      </c>
      <c r="X311" s="238">
        <f>B311*0.08/100</f>
        <v>0.08</v>
      </c>
      <c r="Y311" s="238">
        <f>B311*0.113333333333333/100</f>
        <v>0.11333333333333301</v>
      </c>
      <c r="Z311" s="242" t="s">
        <v>455</v>
      </c>
      <c r="AA311" s="238">
        <f>B311*8.06666666666666/100</f>
        <v>8.0666666666666593</v>
      </c>
      <c r="AB311" s="242"/>
    </row>
    <row r="312" spans="1:28">
      <c r="A312" s="222" t="s">
        <v>3150</v>
      </c>
      <c r="B312" s="59">
        <v>100</v>
      </c>
      <c r="C312" s="247">
        <f>B312*283.425214431961/100</f>
        <v>283.42521443196102</v>
      </c>
      <c r="D312" s="247">
        <f>B312*21.4354166666667/100</f>
        <v>21.435416666666701</v>
      </c>
      <c r="E312" s="244">
        <f>B312*19.115/100</f>
        <v>19.114999999999998</v>
      </c>
      <c r="F312" s="258">
        <f>B312*2.17666666666667/100</f>
        <v>2.1766666666666699</v>
      </c>
      <c r="G312" s="258">
        <f>B312*4.44/100</f>
        <v>4.4400000000000004</v>
      </c>
      <c r="H312" s="258">
        <f>B312*9.05333333333333/100</f>
        <v>9.0533333333333292</v>
      </c>
      <c r="I312" s="263">
        <f>B312*6.68/100</f>
        <v>6.68</v>
      </c>
      <c r="J312" s="263">
        <f>B312*1.6/100</f>
        <v>1.6</v>
      </c>
      <c r="K312" s="244">
        <f>B312*72.9713333333333/100</f>
        <v>72.971333333333305</v>
      </c>
      <c r="L312" s="247">
        <f>B312*5.03325000000001/100</f>
        <v>5.0332500000000104</v>
      </c>
      <c r="M312" s="258" t="s">
        <v>455</v>
      </c>
      <c r="N312" s="244">
        <f>B312*26.4343333333333/100</f>
        <v>26.434333333333299</v>
      </c>
      <c r="O312" s="244">
        <f>B312*28.397/100</f>
        <v>28.396999999999998</v>
      </c>
      <c r="P312" s="244">
        <f>B312*0.0663333333333333/100</f>
        <v>6.63333333333333E-2</v>
      </c>
      <c r="Q312" s="244">
        <f>B312*216.374333333333/100</f>
        <v>216.37433333333303</v>
      </c>
      <c r="R312" s="244">
        <f>B312*0.937333333333333/100</f>
        <v>0.93733333333333302</v>
      </c>
      <c r="S312" s="244">
        <f>B312*90.5066666666667/100</f>
        <v>90.506666666666703</v>
      </c>
      <c r="T312" s="244">
        <f>B312*216.374333333333/100</f>
        <v>216.37433333333303</v>
      </c>
      <c r="U312" s="244">
        <f>B312*0.031/100</f>
        <v>3.1E-2</v>
      </c>
      <c r="V312" s="244">
        <f>B312*0.429666666666667/100</f>
        <v>0.42966666666666697</v>
      </c>
      <c r="W312" s="244">
        <f>B312*17.5/100</f>
        <v>17.5</v>
      </c>
      <c r="X312" s="244" t="s">
        <v>455</v>
      </c>
      <c r="Y312" s="244">
        <f>B312*0.03/100</f>
        <v>0.03</v>
      </c>
      <c r="Z312" s="244" t="s">
        <v>455</v>
      </c>
      <c r="AA312" s="244">
        <f>B312*0.603333333333333/100</f>
        <v>0.60333333333333306</v>
      </c>
      <c r="AB312" s="258"/>
    </row>
    <row r="313" spans="1:28">
      <c r="A313" s="232" t="s">
        <v>672</v>
      </c>
      <c r="B313" s="59">
        <v>100</v>
      </c>
      <c r="C313" s="240">
        <f>B313*107.205566666667/100</f>
        <v>107.205566666667</v>
      </c>
      <c r="D313" s="239">
        <f>B313*16.65/100</f>
        <v>16.649999999999999</v>
      </c>
      <c r="E313" s="249">
        <f>B313*4.00333333333333/100</f>
        <v>4.0033333333333303</v>
      </c>
      <c r="F313" s="267">
        <f>B313*0.9/100</f>
        <v>0.9</v>
      </c>
      <c r="G313" s="267">
        <f>B313*2.3/100</f>
        <v>2.2999999999999998</v>
      </c>
      <c r="H313" s="267">
        <f>B313*0.3/100</f>
        <v>0.3</v>
      </c>
      <c r="I313" s="263">
        <f>B313*0.05/100</f>
        <v>0.05</v>
      </c>
      <c r="J313" s="263">
        <f>B313*0.27/100</f>
        <v>0.27</v>
      </c>
      <c r="K313" s="240">
        <f>B313*64.84/100</f>
        <v>64.84</v>
      </c>
      <c r="L313" s="242">
        <v>0</v>
      </c>
      <c r="M313" s="242" t="s">
        <v>454</v>
      </c>
      <c r="N313" s="240">
        <f>B313*13.5466666666667/100</f>
        <v>13.546666666666702</v>
      </c>
      <c r="O313" s="240">
        <f>B313*22.8/100</f>
        <v>22.8</v>
      </c>
      <c r="P313" s="249">
        <f>B313*0.01/100</f>
        <v>0.01</v>
      </c>
      <c r="Q313" s="240">
        <f>B313*141.25/100</f>
        <v>141.25</v>
      </c>
      <c r="R313" s="240">
        <f>B313*0.173333333333333/100</f>
        <v>0.17333333333333301</v>
      </c>
      <c r="S313" s="240">
        <f>B313*77.4966666666667/100</f>
        <v>77.496666666666698</v>
      </c>
      <c r="T313" s="249">
        <f>B313*253.056666666667/100</f>
        <v>253.05666666666701</v>
      </c>
      <c r="U313" s="249" t="s">
        <v>455</v>
      </c>
      <c r="V313" s="249">
        <f>B313*0.253333333333333/100</f>
        <v>0.25333333333333302</v>
      </c>
      <c r="W313" s="249">
        <f>B313*47.86/100</f>
        <v>47.86</v>
      </c>
      <c r="X313" s="249" t="s">
        <v>455</v>
      </c>
      <c r="Y313" s="249">
        <f>B313*0.0466666666666667/100</f>
        <v>4.6666666666666697E-2</v>
      </c>
      <c r="Z313" s="249" t="s">
        <v>455</v>
      </c>
      <c r="AA313" s="249">
        <f>B313*3.10333333333333/100</f>
        <v>3.1033333333333299</v>
      </c>
      <c r="AB313" s="239"/>
    </row>
    <row r="314" spans="1:28">
      <c r="A314" s="232" t="s">
        <v>673</v>
      </c>
      <c r="B314" s="59">
        <v>100</v>
      </c>
      <c r="C314" s="238">
        <f>B314*154.270025/100</f>
        <v>154.270025</v>
      </c>
      <c r="D314" s="238">
        <f>B314*28.5875/100</f>
        <v>28.587499999999999</v>
      </c>
      <c r="E314" s="248">
        <f>B314*3.57/100</f>
        <v>3.57</v>
      </c>
      <c r="F314" s="252">
        <f>B314*1/100</f>
        <v>1</v>
      </c>
      <c r="G314" s="252">
        <f>B314*1.1/100</f>
        <v>1.1000000000000001</v>
      </c>
      <c r="H314" s="252">
        <f>B314*1.2/100</f>
        <v>1.2</v>
      </c>
      <c r="I314" s="263">
        <f>B314*0.89/100</f>
        <v>0.89</v>
      </c>
      <c r="J314" s="263">
        <f>B314*0.22/100</f>
        <v>0.22</v>
      </c>
      <c r="K314" s="238">
        <f>B314*80.8053333333333/100</f>
        <v>80.805333333333294</v>
      </c>
      <c r="L314" s="242">
        <v>0</v>
      </c>
      <c r="M314" s="242" t="s">
        <v>454</v>
      </c>
      <c r="N314" s="238">
        <f>B314*10.3246666666667/100</f>
        <v>10.324666666666699</v>
      </c>
      <c r="O314" s="238">
        <f>B314*21.1226666666667/100</f>
        <v>21.122666666666699</v>
      </c>
      <c r="P314" s="245" t="s">
        <v>455</v>
      </c>
      <c r="Q314" s="238">
        <f>B314*203.712/100</f>
        <v>203.71199999999996</v>
      </c>
      <c r="R314" s="238">
        <f>B314*0.320333333333333/100</f>
        <v>0.32033333333333303</v>
      </c>
      <c r="S314" s="238">
        <f>B314*114.905333333333/100</f>
        <v>114.905333333333</v>
      </c>
      <c r="T314" s="238">
        <f>B314*248.64/100</f>
        <v>248.64</v>
      </c>
      <c r="U314" s="238">
        <f>B314*0.0303333333333333/100</f>
        <v>3.0333333333333302E-2</v>
      </c>
      <c r="V314" s="238">
        <f>B314*0.605666666666667/100</f>
        <v>0.60566666666666702</v>
      </c>
      <c r="W314" s="245">
        <f>B314*4.21666666666667/100</f>
        <v>4.2166666666666703</v>
      </c>
      <c r="X314" s="238">
        <f>B314*0.14/100</f>
        <v>0.14000000000000001</v>
      </c>
      <c r="Y314" s="245" t="s">
        <v>455</v>
      </c>
      <c r="Z314" s="245" t="s">
        <v>455</v>
      </c>
      <c r="AA314" s="238">
        <f>B314*8.86666666666667/100</f>
        <v>8.8666666666666707</v>
      </c>
      <c r="AB314" s="242"/>
    </row>
    <row r="315" spans="1:28">
      <c r="A315" s="222" t="s">
        <v>3151</v>
      </c>
      <c r="B315" s="59">
        <v>100</v>
      </c>
      <c r="C315" s="247">
        <f>B315*141.958322875023/100</f>
        <v>141.95832287502299</v>
      </c>
      <c r="D315" s="247">
        <f>B315*11.75/100</f>
        <v>11.75</v>
      </c>
      <c r="E315" s="244">
        <f>B315*8.024/100</f>
        <v>8.0239999999999991</v>
      </c>
      <c r="F315" s="258">
        <f>B315*1.30666666666667/100</f>
        <v>1.30666666666667</v>
      </c>
      <c r="G315" s="258">
        <f>B315*2.94666666666667/100</f>
        <v>2.9466666666666699</v>
      </c>
      <c r="H315" s="258">
        <f>B315*4.3/100</f>
        <v>4.3</v>
      </c>
      <c r="I315" s="263">
        <f>B315*3.74666666666667/100</f>
        <v>3.7466666666666701</v>
      </c>
      <c r="J315" s="263">
        <f>B315*0.553333333333333/100</f>
        <v>0.55333333333333301</v>
      </c>
      <c r="K315" s="244">
        <f>B315*43.3953333333333/100</f>
        <v>43.395333333333298</v>
      </c>
      <c r="L315" s="247">
        <f>B315*5.01533333333334/100</f>
        <v>5.0153333333333396</v>
      </c>
      <c r="M315" s="258">
        <f>B315*0.78/100</f>
        <v>0.78</v>
      </c>
      <c r="N315" s="244">
        <f>B315*20.1163333333333/100</f>
        <v>20.116333333333301</v>
      </c>
      <c r="O315" s="244">
        <f>B315*18.063/100</f>
        <v>18.062999999999999</v>
      </c>
      <c r="P315" s="244">
        <f>B315*0.0763333333333333/100</f>
        <v>7.6333333333333295E-2</v>
      </c>
      <c r="Q315" s="244">
        <f>B315*105.464333333333/100</f>
        <v>105.464333333333</v>
      </c>
      <c r="R315" s="244">
        <f>B315*1.47433333333333/100</f>
        <v>1.4743333333333299</v>
      </c>
      <c r="S315" s="244">
        <f>B315*51.2876666666667/100</f>
        <v>51.287666666666702</v>
      </c>
      <c r="T315" s="244">
        <f>B315*208.243/100</f>
        <v>208.24299999999999</v>
      </c>
      <c r="U315" s="244">
        <f>B315*0.364666666666667/100</f>
        <v>0.36466666666666703</v>
      </c>
      <c r="V315" s="244">
        <f>B315*0.29/100</f>
        <v>0.28999999999999998</v>
      </c>
      <c r="W315" s="244">
        <f>B315*19.1866666666667/100</f>
        <v>19.186666666666699</v>
      </c>
      <c r="X315" s="244" t="s">
        <v>455</v>
      </c>
      <c r="Y315" s="244">
        <f>B315*0.03/100</f>
        <v>0.03</v>
      </c>
      <c r="Z315" s="244" t="s">
        <v>455</v>
      </c>
      <c r="AA315" s="244">
        <f>B315*1.10333333333333/100</f>
        <v>1.1033333333333299</v>
      </c>
      <c r="AB315" s="258">
        <f>B315*6.89333333333333/100</f>
        <v>6.89333333333333</v>
      </c>
    </row>
    <row r="316" spans="1:28">
      <c r="A316" s="232" t="s">
        <v>674</v>
      </c>
      <c r="B316" s="59">
        <v>100</v>
      </c>
      <c r="C316" s="238">
        <f>B316*76.4089083333333/100</f>
        <v>76.408908333333301</v>
      </c>
      <c r="D316" s="238">
        <f>B316*15.4791666666667/100</f>
        <v>15.4791666666667</v>
      </c>
      <c r="E316" s="248">
        <f>B316*1.14333333333333/100</f>
        <v>1.14333333333333</v>
      </c>
      <c r="F316" s="252">
        <f>B316*0.3/100</f>
        <v>0.3</v>
      </c>
      <c r="G316" s="252">
        <f>B316*0.2/100</f>
        <v>0.2</v>
      </c>
      <c r="H316" s="252">
        <f>B316*0.4/100</f>
        <v>0.4</v>
      </c>
      <c r="I316" s="263">
        <f>B316*0.02/100</f>
        <v>0.02</v>
      </c>
      <c r="J316" s="263">
        <f>B316*0.34/100</f>
        <v>0.34</v>
      </c>
      <c r="K316" s="238">
        <f>B316*83.607/100</f>
        <v>83.607000000000014</v>
      </c>
      <c r="L316" s="242">
        <v>0</v>
      </c>
      <c r="M316" s="242" t="s">
        <v>454</v>
      </c>
      <c r="N316" s="238">
        <f>B316*331.597333333333/100</f>
        <v>331.59733333333298</v>
      </c>
      <c r="O316" s="238">
        <f>B316*33.775/100</f>
        <v>33.774999999999999</v>
      </c>
      <c r="P316" s="238">
        <f>B316*0.0656666666666667/100</f>
        <v>6.5666666666666706E-2</v>
      </c>
      <c r="Q316" s="238">
        <f>B316*326.818666666667/100</f>
        <v>326.81866666666701</v>
      </c>
      <c r="R316" s="238">
        <f>B316*0.547/100</f>
        <v>0.54700000000000004</v>
      </c>
      <c r="S316" s="238">
        <f>B316*120.338666666667/100</f>
        <v>120.338666666667</v>
      </c>
      <c r="T316" s="238">
        <f>B316*303.831/100</f>
        <v>303.83100000000002</v>
      </c>
      <c r="U316" s="238">
        <f>B316*0.101466666666667/100</f>
        <v>0.101466666666667</v>
      </c>
      <c r="V316" s="238">
        <f>B316*0.551666666666667/100</f>
        <v>0.55166666666666697</v>
      </c>
      <c r="W316" s="242" t="s">
        <v>455</v>
      </c>
      <c r="X316" s="238">
        <f>B316*0.0833333333333333/100</f>
        <v>8.3333333333333301E-2</v>
      </c>
      <c r="Y316" s="242" t="s">
        <v>455</v>
      </c>
      <c r="Z316" s="242" t="s">
        <v>455</v>
      </c>
      <c r="AA316" s="238">
        <f>B316*6.6/100</f>
        <v>6.6</v>
      </c>
      <c r="AB316" s="242"/>
    </row>
    <row r="317" spans="1:28">
      <c r="A317" s="232" t="s">
        <v>675</v>
      </c>
      <c r="B317" s="59">
        <v>100</v>
      </c>
      <c r="C317" s="238">
        <f>B317*191.559141127586/100</f>
        <v>191.559141127586</v>
      </c>
      <c r="D317" s="238">
        <f>B317*36.45/100</f>
        <v>36.450000000000003</v>
      </c>
      <c r="E317" s="248">
        <f>B317*3.982/100</f>
        <v>3.9820000000000007</v>
      </c>
      <c r="F317" s="252">
        <f>B317*1.8/100</f>
        <v>1.8</v>
      </c>
      <c r="G317" s="252">
        <f>B317*1.3/100</f>
        <v>1.3</v>
      </c>
      <c r="H317" s="252">
        <f>B317*0.3/100</f>
        <v>0.3</v>
      </c>
      <c r="I317" s="263">
        <f>B317*0.16/100</f>
        <v>0.16</v>
      </c>
      <c r="J317" s="263">
        <f>B317*0.09/100</f>
        <v>0.09</v>
      </c>
      <c r="K317" s="238">
        <f>B317*125.959666666667/100</f>
        <v>125.959666666667</v>
      </c>
      <c r="L317" s="242">
        <v>0</v>
      </c>
      <c r="M317" s="242" t="s">
        <v>454</v>
      </c>
      <c r="N317" s="238">
        <f>B317*113.542/100</f>
        <v>113.542</v>
      </c>
      <c r="O317" s="238">
        <f>B317*42.3576666666667/100</f>
        <v>42.357666666666702</v>
      </c>
      <c r="P317" s="238">
        <f>B317*0.0813333333333333/100</f>
        <v>8.1333333333333299E-2</v>
      </c>
      <c r="Q317" s="238">
        <f>B317*331.797/100</f>
        <v>331.79700000000003</v>
      </c>
      <c r="R317" s="238">
        <f>B317*0.777/100</f>
        <v>0.77700000000000002</v>
      </c>
      <c r="S317" s="238">
        <f>B317*80.9526666666667/100</f>
        <v>80.952666666666701</v>
      </c>
      <c r="T317" s="238">
        <f>B317*527.153/100</f>
        <v>527.15300000000002</v>
      </c>
      <c r="U317" s="238">
        <f>B317*0.0363333333333333/100</f>
        <v>3.6333333333333301E-2</v>
      </c>
      <c r="V317" s="238">
        <f>B317*2.099/100</f>
        <v>2.0990000000000002</v>
      </c>
      <c r="W317" s="242">
        <f>B317*6.56666666666667/100</f>
        <v>6.56666666666667</v>
      </c>
      <c r="X317" s="238">
        <f>B317*0.03/100</f>
        <v>0.03</v>
      </c>
      <c r="Y317" s="242" t="s">
        <v>455</v>
      </c>
      <c r="Z317" s="242" t="s">
        <v>455</v>
      </c>
      <c r="AA317" s="238">
        <f>B317*6.63333333333333/100</f>
        <v>6.6333333333333302</v>
      </c>
      <c r="AB317" s="242"/>
    </row>
    <row r="318" spans="1:28">
      <c r="A318" s="232" t="s">
        <v>676</v>
      </c>
      <c r="B318" s="59">
        <v>100</v>
      </c>
      <c r="C318" s="240">
        <f>B318*91.0832333333333/100</f>
        <v>91.083233333333297</v>
      </c>
      <c r="D318" s="239">
        <f>B318*18.5566666666667/100</f>
        <v>18.5566666666667</v>
      </c>
      <c r="E318" s="249">
        <f>B318*1.31333333333333/100</f>
        <v>1.3133333333333299</v>
      </c>
      <c r="F318" s="267">
        <f>B318*0.6/100</f>
        <v>0.6</v>
      </c>
      <c r="G318" s="267">
        <f>B318*0.4/100</f>
        <v>0.4</v>
      </c>
      <c r="H318" s="267">
        <f>B318*0.1/100</f>
        <v>0.1</v>
      </c>
      <c r="I318" s="263">
        <f>B318*0.03/100</f>
        <v>0.03</v>
      </c>
      <c r="J318" s="263">
        <f>B318*0.05/100</f>
        <v>0.05</v>
      </c>
      <c r="K318" s="240">
        <f>B318*50.3/100</f>
        <v>50.3</v>
      </c>
      <c r="L318" s="242">
        <v>0</v>
      </c>
      <c r="M318" s="242" t="s">
        <v>454</v>
      </c>
      <c r="N318" s="240">
        <f>B318*12.0033333333333/100</f>
        <v>12.0033333333333</v>
      </c>
      <c r="O318" s="240">
        <f>B318*23.6966666666667/100</f>
        <v>23.696666666666701</v>
      </c>
      <c r="P318" s="249">
        <f>B318*0.01/100</f>
        <v>0.01</v>
      </c>
      <c r="Q318" s="240">
        <f>B318*174.473333333333/100</f>
        <v>174.47333333333299</v>
      </c>
      <c r="R318" s="240">
        <f>B318*0.216666666666667/100</f>
        <v>0.21666666666666701</v>
      </c>
      <c r="S318" s="240">
        <f>B318*43.3366666666667/100</f>
        <v>43.336666666666694</v>
      </c>
      <c r="T318" s="249">
        <f>B318*293.646666666667/100</f>
        <v>293.64666666666699</v>
      </c>
      <c r="U318" s="249">
        <f>B318*0.03/100</f>
        <v>0.03</v>
      </c>
      <c r="V318" s="249">
        <f>B318*0.393333333333333/100</f>
        <v>0.39333333333333298</v>
      </c>
      <c r="W318" s="249" t="s">
        <v>455</v>
      </c>
      <c r="X318" s="249" t="s">
        <v>455</v>
      </c>
      <c r="Y318" s="249" t="s">
        <v>455</v>
      </c>
      <c r="Z318" s="249" t="s">
        <v>455</v>
      </c>
      <c r="AA318" s="249">
        <f>B318*4.95333333333333/100</f>
        <v>4.9533333333333296</v>
      </c>
      <c r="AB318" s="240"/>
    </row>
    <row r="319" spans="1:28">
      <c r="A319" s="232" t="s">
        <v>677</v>
      </c>
      <c r="B319" s="59">
        <v>100</v>
      </c>
      <c r="C319" s="238">
        <f>B319*152.190088333333/100</f>
        <v>152.19008833333299</v>
      </c>
      <c r="D319" s="238">
        <f>B319*30.7958333333333/100</f>
        <v>30.795833333333299</v>
      </c>
      <c r="E319" s="248">
        <f>B319*2.294/100</f>
        <v>2.294</v>
      </c>
      <c r="F319" s="252">
        <f>B319*1.1/100</f>
        <v>1.1000000000000001</v>
      </c>
      <c r="G319" s="252">
        <f>B319*0.7/100</f>
        <v>0.7</v>
      </c>
      <c r="H319" s="252">
        <f>B319*0.2/100</f>
        <v>0.2</v>
      </c>
      <c r="I319" s="263">
        <f>B319*0.11/100</f>
        <v>0.11</v>
      </c>
      <c r="J319" s="263">
        <f>B319*0.03/100</f>
        <v>0.03</v>
      </c>
      <c r="K319" s="238">
        <f>B319*99.3026666666667/100</f>
        <v>99.302666666666696</v>
      </c>
      <c r="L319" s="242">
        <v>0</v>
      </c>
      <c r="M319" s="242" t="s">
        <v>454</v>
      </c>
      <c r="N319" s="238">
        <f>B319*68.9763333333333/100</f>
        <v>68.976333333333301</v>
      </c>
      <c r="O319" s="238">
        <f>B319*26.7403333333333/100</f>
        <v>26.7403333333333</v>
      </c>
      <c r="P319" s="248">
        <f>B319*0.0303333333333333/100</f>
        <v>3.0333333333333302E-2</v>
      </c>
      <c r="Q319" s="238">
        <f>B319*237.293666666667/100</f>
        <v>237.29366666666701</v>
      </c>
      <c r="R319" s="238">
        <f>B319*0.475333333333333/100</f>
        <v>0.47533333333333305</v>
      </c>
      <c r="S319" s="238">
        <f>B319*53.0886666666667/100</f>
        <v>53.088666666666697</v>
      </c>
      <c r="T319" s="238">
        <f>B319*360.153333333333/100</f>
        <v>360.15333333333297</v>
      </c>
      <c r="U319" s="238">
        <f>B319*0.0376666666666667/100</f>
        <v>3.7666666666666702E-2</v>
      </c>
      <c r="V319" s="238">
        <f>B319*0.756333333333333/100</f>
        <v>0.75633333333333297</v>
      </c>
      <c r="W319" s="242">
        <f>B319*5.1333333/100</f>
        <v>5.1333333000000003</v>
      </c>
      <c r="X319" s="238">
        <f>B319*0.03/100</f>
        <v>0.03</v>
      </c>
      <c r="Y319" s="242" t="s">
        <v>455</v>
      </c>
      <c r="Z319" s="242" t="s">
        <v>455</v>
      </c>
      <c r="AA319" s="238">
        <f>B319*2.86666666666667/100</f>
        <v>2.8666666666666698</v>
      </c>
      <c r="AB319" s="242"/>
    </row>
    <row r="320" spans="1:28">
      <c r="A320" s="232" t="s">
        <v>678</v>
      </c>
      <c r="B320" s="59">
        <v>100</v>
      </c>
      <c r="C320" s="240">
        <f>B320*93.0245666666667/100</f>
        <v>93.024566666666701</v>
      </c>
      <c r="D320" s="239">
        <f>B320*20.49/100</f>
        <v>20.49</v>
      </c>
      <c r="E320" s="249">
        <f>B320*0.613333333333333/100</f>
        <v>0.61333333333333295</v>
      </c>
      <c r="F320" s="267">
        <f>B320*0.4/100</f>
        <v>0.4</v>
      </c>
      <c r="G320" s="267">
        <f>B320*0.1/100</f>
        <v>0.1</v>
      </c>
      <c r="H320" s="267" t="s">
        <v>455</v>
      </c>
      <c r="I320" s="263">
        <f>B320*0.02/100</f>
        <v>0.02</v>
      </c>
      <c r="J320" s="263" t="s">
        <v>455</v>
      </c>
      <c r="K320" s="240">
        <f>B320*48.61/100</f>
        <v>48.61</v>
      </c>
      <c r="L320" s="242">
        <v>0</v>
      </c>
      <c r="M320" s="242" t="s">
        <v>454</v>
      </c>
      <c r="N320" s="240">
        <f>B320*25.8833333333333/100</f>
        <v>25.883333333333304</v>
      </c>
      <c r="O320" s="240">
        <f>B320*24.35/100</f>
        <v>24.35</v>
      </c>
      <c r="P320" s="249">
        <f>B320*0.0533333333333333/100</f>
        <v>5.3333333333333302E-2</v>
      </c>
      <c r="Q320" s="240">
        <f>B320*207.303333333333/100</f>
        <v>207.303333333333</v>
      </c>
      <c r="R320" s="240">
        <f>B320*0.386666666666667/100</f>
        <v>0.38666666666666699</v>
      </c>
      <c r="S320" s="240">
        <f>B320*66.73/100</f>
        <v>66.73</v>
      </c>
      <c r="T320" s="249">
        <f>B320*313.416666666667/100</f>
        <v>313.41666666666703</v>
      </c>
      <c r="U320" s="249">
        <f>B320*0.0366666666666667/100</f>
        <v>3.6666666666666702E-2</v>
      </c>
      <c r="V320" s="249">
        <f>B320*0.656666666666667/100</f>
        <v>0.65666666666666695</v>
      </c>
      <c r="W320" s="249">
        <f>B320*4.65333333333333/100</f>
        <v>4.6533333333333298</v>
      </c>
      <c r="X320" s="249" t="s">
        <v>455</v>
      </c>
      <c r="Y320" s="249" t="s">
        <v>455</v>
      </c>
      <c r="Z320" s="249" t="s">
        <v>455</v>
      </c>
      <c r="AA320" s="249">
        <f>B320*1.19333333333333/100</f>
        <v>1.19333333333333</v>
      </c>
      <c r="AB320" s="240"/>
    </row>
    <row r="321" spans="1:28">
      <c r="A321" s="222" t="s">
        <v>3152</v>
      </c>
      <c r="B321" s="59">
        <v>100</v>
      </c>
      <c r="C321" s="247">
        <f>B321*228.731775135318/100</f>
        <v>228.73177513531803</v>
      </c>
      <c r="D321" s="247">
        <f>B321*23.91875/100</f>
        <v>23.918749999999999</v>
      </c>
      <c r="E321" s="244">
        <f>B321*14.0353333333333/100</f>
        <v>14.035333333333302</v>
      </c>
      <c r="F321" s="258">
        <f>B321*3.14/100</f>
        <v>3.14</v>
      </c>
      <c r="G321" s="258">
        <f>B321*4.36/100</f>
        <v>4.3600000000000003</v>
      </c>
      <c r="H321" s="258">
        <f>B321*6.97/100</f>
        <v>6.97</v>
      </c>
      <c r="I321" s="263">
        <f>B321*3.08333333333333/100</f>
        <v>3.0833333333333299</v>
      </c>
      <c r="J321" s="263">
        <f>B321*3.41666666666667/100</f>
        <v>3.4166666666666701</v>
      </c>
      <c r="K321" s="244">
        <f>B321*85.3096666666667/100</f>
        <v>85.309666666666715</v>
      </c>
      <c r="L321" s="247">
        <v>0</v>
      </c>
      <c r="M321" s="258" t="s">
        <v>454</v>
      </c>
      <c r="N321" s="244">
        <f>B321*28.7573333333333/100</f>
        <v>28.7573333333333</v>
      </c>
      <c r="O321" s="244">
        <f>B321*27.786/100</f>
        <v>27.786000000000005</v>
      </c>
      <c r="P321" s="244">
        <f>B321*0.0156666666666667/100</f>
        <v>1.56666666666667E-2</v>
      </c>
      <c r="Q321" s="244">
        <f>B321*299.723333333333/100</f>
        <v>299.72333333333302</v>
      </c>
      <c r="R321" s="244">
        <f>B321*0.543666666666667/100</f>
        <v>0.54366666666666696</v>
      </c>
      <c r="S321" s="244">
        <f>B321*85.135/100</f>
        <v>85.135000000000005</v>
      </c>
      <c r="T321" s="244">
        <f>B321*383.936333333333/100</f>
        <v>383.93633333333293</v>
      </c>
      <c r="U321" s="244">
        <f>B321*0.0433333333333333/100</f>
        <v>4.3333333333333307E-2</v>
      </c>
      <c r="V321" s="244">
        <f>B321*0.559666666666667/100</f>
        <v>0.55966666666666698</v>
      </c>
      <c r="W321" s="244" t="s">
        <v>455</v>
      </c>
      <c r="X321" s="244">
        <f>B321*0.126666666666667/100</f>
        <v>0.12666666666666701</v>
      </c>
      <c r="Y321" s="244">
        <f>B321*0.06/100</f>
        <v>0.06</v>
      </c>
      <c r="Z321" s="244" t="s">
        <v>455</v>
      </c>
      <c r="AA321" s="244">
        <f>B321*5.34666666666667/100</f>
        <v>5.3466666666666693</v>
      </c>
      <c r="AB321" s="258"/>
    </row>
    <row r="322" spans="1:28">
      <c r="A322" s="222" t="s">
        <v>3153</v>
      </c>
      <c r="B322" s="59">
        <v>100</v>
      </c>
      <c r="C322" s="247">
        <f>B322*169.781579910556/100</f>
        <v>169.78157991055599</v>
      </c>
      <c r="D322" s="247">
        <f>B322*19.2520833333333/100</f>
        <v>19.252083333333299</v>
      </c>
      <c r="E322" s="244">
        <f>B322*9.709/100</f>
        <v>9.7089999999999996</v>
      </c>
      <c r="F322" s="258">
        <f>B322*2.47233333333333/100</f>
        <v>2.4723333333333302</v>
      </c>
      <c r="G322" s="258">
        <f>B322*2.9/100</f>
        <v>2.9</v>
      </c>
      <c r="H322" s="258">
        <f>B322*3.13266666666667/100</f>
        <v>3.1326666666666698</v>
      </c>
      <c r="I322" s="263">
        <f>B322*1.77866666666667/100</f>
        <v>1.7786666666666699</v>
      </c>
      <c r="J322" s="263">
        <f>B322*1.134/100</f>
        <v>1.1339999999999999</v>
      </c>
      <c r="K322" s="244">
        <f>B322*53.027/100</f>
        <v>53.027000000000001</v>
      </c>
      <c r="L322" s="247">
        <v>0</v>
      </c>
      <c r="M322" s="258" t="s">
        <v>454</v>
      </c>
      <c r="N322" s="244">
        <f>B322*8.748/100</f>
        <v>8.7479999999999993</v>
      </c>
      <c r="O322" s="244">
        <f>B322*27.4216666666667/100</f>
        <v>27.421666666666695</v>
      </c>
      <c r="P322" s="244" t="s">
        <v>455</v>
      </c>
      <c r="Q322" s="244">
        <f>B322*258.799/100</f>
        <v>258.79899999999998</v>
      </c>
      <c r="R322" s="244">
        <f>B322*0.24/100</f>
        <v>0.24</v>
      </c>
      <c r="S322" s="244">
        <f>B322*64.2416666666667/100</f>
        <v>64.241666666666703</v>
      </c>
      <c r="T322" s="244">
        <f>B322*376.495666666667/100</f>
        <v>376.49566666666692</v>
      </c>
      <c r="U322" s="244">
        <f>B322*0.0223333333333333/100</f>
        <v>2.2333333333333299E-2</v>
      </c>
      <c r="V322" s="244">
        <f>B322*0.344/100</f>
        <v>0.34399999999999997</v>
      </c>
      <c r="W322" s="244" t="s">
        <v>455</v>
      </c>
      <c r="X322" s="244">
        <f>B322*0.196666666666667/100</f>
        <v>0.19666666666666699</v>
      </c>
      <c r="Y322" s="244">
        <f>B322*0.03/100</f>
        <v>0.03</v>
      </c>
      <c r="Z322" s="244" t="s">
        <v>455</v>
      </c>
      <c r="AA322" s="244">
        <f>B322*3.21/100</f>
        <v>3.21</v>
      </c>
      <c r="AB322" s="258"/>
    </row>
    <row r="323" spans="1:28">
      <c r="A323" s="222" t="s">
        <v>3154</v>
      </c>
      <c r="B323" s="59">
        <v>100</v>
      </c>
      <c r="C323" s="247">
        <f>B323*242.706569487095/100</f>
        <v>242.70656948709501</v>
      </c>
      <c r="D323" s="247">
        <f>B323*26.1416666666667/100</f>
        <v>26.141666666666701</v>
      </c>
      <c r="E323" s="244">
        <f>B323*14.5323333333333/100</f>
        <v>14.5323333333333</v>
      </c>
      <c r="F323" s="258">
        <f>B323*3.57866666666667/100</f>
        <v>3.57866666666667</v>
      </c>
      <c r="G323" s="258">
        <f>B323*4.14566666666667/100</f>
        <v>4.1456666666666697</v>
      </c>
      <c r="H323" s="258">
        <f>B323*4.97933333333333/100</f>
        <v>4.9793333333333303</v>
      </c>
      <c r="I323" s="263">
        <f>B323*2.507/100</f>
        <v>2.5070000000000001</v>
      </c>
      <c r="J323" s="263">
        <f>B323*2.14966666666667/100</f>
        <v>2.1496666666666702</v>
      </c>
      <c r="K323" s="244">
        <f>B323*72.8156666666667/100</f>
        <v>72.815666666666701</v>
      </c>
      <c r="L323" s="247">
        <v>0</v>
      </c>
      <c r="M323" s="258" t="s">
        <v>454</v>
      </c>
      <c r="N323" s="244">
        <f>B323*15.086/100</f>
        <v>15.086000000000002</v>
      </c>
      <c r="O323" s="244">
        <f>B323*37.8603333333333/100</f>
        <v>37.860333333333301</v>
      </c>
      <c r="P323" s="244">
        <f>B323*0.0126666666666667/100</f>
        <v>1.2666666666666699E-2</v>
      </c>
      <c r="Q323" s="244">
        <f>B323*352.158333333333/100</f>
        <v>352.15833333333302</v>
      </c>
      <c r="R323" s="244">
        <f>B323*0.372666666666667/100</f>
        <v>0.37266666666666703</v>
      </c>
      <c r="S323" s="244">
        <f>B323*95.8113333333333/100</f>
        <v>95.811333333333295</v>
      </c>
      <c r="T323" s="244">
        <f>B323*517.902/100</f>
        <v>517.90200000000004</v>
      </c>
      <c r="U323" s="244">
        <f>B323*0.0366666666666667/100</f>
        <v>3.6666666666666702E-2</v>
      </c>
      <c r="V323" s="244">
        <f>B323*0.497333333333333/100</f>
        <v>0.49733333333333296</v>
      </c>
      <c r="W323" s="244" t="s">
        <v>455</v>
      </c>
      <c r="X323" s="244">
        <f>B323*0.233333333333333/100</f>
        <v>0.233333333333333</v>
      </c>
      <c r="Y323" s="244">
        <f>B323*0.03/100</f>
        <v>0.03</v>
      </c>
      <c r="Z323" s="244" t="s">
        <v>455</v>
      </c>
      <c r="AA323" s="244">
        <f>B323*6.30333333333333/100</f>
        <v>6.3033333333333301</v>
      </c>
      <c r="AB323" s="258"/>
    </row>
    <row r="324" spans="1:28">
      <c r="A324" s="232" t="s">
        <v>679</v>
      </c>
      <c r="B324" s="59">
        <v>100</v>
      </c>
      <c r="C324" s="238">
        <f>B324*164.350788333333/100</f>
        <v>164.35078833333301</v>
      </c>
      <c r="D324" s="238">
        <f>B324*32.1791666666667/100</f>
        <v>32.179166666666703</v>
      </c>
      <c r="E324" s="248">
        <f>B324*2.98733333333333/100</f>
        <v>2.9873333333333303</v>
      </c>
      <c r="F324" s="252">
        <f>B324*1.7/100</f>
        <v>1.7</v>
      </c>
      <c r="G324" s="252">
        <f>B324*0.5/100</f>
        <v>0.5</v>
      </c>
      <c r="H324" s="252">
        <f>B324*0.3/100</f>
        <v>0.3</v>
      </c>
      <c r="I324" s="263">
        <f>B324*0.06/100</f>
        <v>0.06</v>
      </c>
      <c r="J324" s="263">
        <f>B324*0.25/100</f>
        <v>0.25</v>
      </c>
      <c r="K324" s="238">
        <f>B324*108.989333333333/100</f>
        <v>108.98933333333299</v>
      </c>
      <c r="L324" s="242">
        <v>0</v>
      </c>
      <c r="M324" s="242" t="s">
        <v>454</v>
      </c>
      <c r="N324" s="238">
        <f>B324*437.727333333333/100</f>
        <v>437.72733333333304</v>
      </c>
      <c r="O324" s="238">
        <f>B324*51.3613333333333/100</f>
        <v>51.361333333333299</v>
      </c>
      <c r="P324" s="238">
        <f>B324*0.242/100</f>
        <v>0.24199999999999999</v>
      </c>
      <c r="Q324" s="238">
        <f>B324*577.780333333333/100</f>
        <v>577.78033333333303</v>
      </c>
      <c r="R324" s="238">
        <f>B324*1.251/100</f>
        <v>1.2509999999999999</v>
      </c>
      <c r="S324" s="238">
        <f>B324*74.4683333333333/100</f>
        <v>74.468333333333305</v>
      </c>
      <c r="T324" s="238">
        <f>B324*574.338666666667/100</f>
        <v>574.338666666667</v>
      </c>
      <c r="U324" s="238">
        <f>B324*0.137333333333333/100</f>
        <v>0.137333333333333</v>
      </c>
      <c r="V324" s="238">
        <f>B324*1.82033333333333/100</f>
        <v>1.8203333333333298</v>
      </c>
      <c r="W324" s="244" t="s">
        <v>455</v>
      </c>
      <c r="X324" s="238">
        <f>B324*0.0633333333333333/100</f>
        <v>6.3333333333333297E-2</v>
      </c>
      <c r="Y324" s="242" t="s">
        <v>455</v>
      </c>
      <c r="Z324" s="242" t="s">
        <v>455</v>
      </c>
      <c r="AA324" s="238">
        <f>B324*5.83333333333333/100</f>
        <v>5.8333333333333304</v>
      </c>
      <c r="AB324" s="242"/>
    </row>
    <row r="325" spans="1:28">
      <c r="A325" s="232" t="s">
        <v>680</v>
      </c>
      <c r="B325" s="59">
        <v>100</v>
      </c>
      <c r="C325" s="238">
        <f>B325*284.981004871249/100</f>
        <v>284.98100487124901</v>
      </c>
      <c r="D325" s="238">
        <f>B325*15.9395833333333/100</f>
        <v>15.939583333333298</v>
      </c>
      <c r="E325" s="248">
        <f>B325*24.0486666666667/100</f>
        <v>24.048666666666701</v>
      </c>
      <c r="F325" s="252">
        <f>B325*4.1/100</f>
        <v>4.0999999999999996</v>
      </c>
      <c r="G325" s="252">
        <f>B325*5.5/100</f>
        <v>5.5</v>
      </c>
      <c r="H325" s="252">
        <f>B325*11.9/100</f>
        <v>11.9</v>
      </c>
      <c r="I325" s="263">
        <f>B325*9.87/100</f>
        <v>9.8699999999999992</v>
      </c>
      <c r="J325" s="263">
        <f>B325*1.95/100</f>
        <v>1.95</v>
      </c>
      <c r="K325" s="243">
        <f>B325*72.567/100</f>
        <v>72.566999999999993</v>
      </c>
      <c r="L325" s="242">
        <v>0</v>
      </c>
      <c r="M325" s="242" t="s">
        <v>454</v>
      </c>
      <c r="N325" s="238">
        <f>B325*550.243333333333/100</f>
        <v>550.243333333333</v>
      </c>
      <c r="O325" s="238">
        <f>B325*35.27/100</f>
        <v>35.270000000000003</v>
      </c>
      <c r="P325" s="238">
        <f>B325*0.112666666666667/100</f>
        <v>0.112666666666667</v>
      </c>
      <c r="Q325" s="238">
        <f>B325*496.373333333333/100</f>
        <v>496.37333333333299</v>
      </c>
      <c r="R325" s="238">
        <f>B325*3.53733333333333/100</f>
        <v>3.5373333333333301</v>
      </c>
      <c r="S325" s="238">
        <f>B325*665.840333333333/100</f>
        <v>665.84033333333298</v>
      </c>
      <c r="T325" s="238">
        <f>B325*367.133666666667/100</f>
        <v>367.13366666666695</v>
      </c>
      <c r="U325" s="238">
        <f>B325*0.0336666666666667/100</f>
        <v>3.3666666666666699E-2</v>
      </c>
      <c r="V325" s="238">
        <f>B325*1.63833333333333/100</f>
        <v>1.6383333333333301</v>
      </c>
      <c r="W325" s="244" t="s">
        <v>455</v>
      </c>
      <c r="X325" s="243">
        <f>B325*0.416666666666667/100</f>
        <v>0.41666666666666702</v>
      </c>
      <c r="Y325" s="238">
        <f>B325*0.0366666666666667/100</f>
        <v>3.6666666666666702E-2</v>
      </c>
      <c r="Z325" s="242" t="s">
        <v>455</v>
      </c>
      <c r="AA325" s="242">
        <f>B325*6.55333333333333/100</f>
        <v>6.5533333333333301</v>
      </c>
      <c r="AB325" s="238"/>
    </row>
    <row r="326" spans="1:28">
      <c r="A326" s="232" t="s">
        <v>681</v>
      </c>
      <c r="B326" s="59">
        <v>100</v>
      </c>
      <c r="C326" s="238">
        <f>B326*257.0407/100</f>
        <v>257.04070000000002</v>
      </c>
      <c r="D326" s="238">
        <f>B326*33.3833333333333/100</f>
        <v>33.383333333333297</v>
      </c>
      <c r="E326" s="248">
        <f>B326*12.6933333333333/100</f>
        <v>12.693333333333298</v>
      </c>
      <c r="F326" s="252">
        <f>B326*2.6/100</f>
        <v>2.6</v>
      </c>
      <c r="G326" s="252">
        <f>B326*3.1/100</f>
        <v>3.1</v>
      </c>
      <c r="H326" s="252">
        <f>B326*6.1/100</f>
        <v>6.1</v>
      </c>
      <c r="I326" s="263">
        <f>B326*5.16/100</f>
        <v>5.16</v>
      </c>
      <c r="J326" s="263">
        <f>B326*0.89/100</f>
        <v>0.89</v>
      </c>
      <c r="K326" s="242">
        <f>B326*102.874666666667/100</f>
        <v>102.874666666667</v>
      </c>
      <c r="L326" s="242">
        <v>0</v>
      </c>
      <c r="M326" s="242" t="s">
        <v>454</v>
      </c>
      <c r="N326" s="238">
        <f>B326*482.074666666667/100</f>
        <v>482.07466666666699</v>
      </c>
      <c r="O326" s="238">
        <f>B326*38.8326666666667/100</f>
        <v>38.832666666666697</v>
      </c>
      <c r="P326" s="238">
        <f>B326*0.246666666666667/100</f>
        <v>0.24666666666666701</v>
      </c>
      <c r="Q326" s="238">
        <f>B326*628.764/100</f>
        <v>628.76400000000001</v>
      </c>
      <c r="R326" s="238">
        <f>B326*1.12366666666667/100</f>
        <v>1.1236666666666699</v>
      </c>
      <c r="S326" s="238">
        <f>B326*60.099/100</f>
        <v>60.098999999999997</v>
      </c>
      <c r="T326" s="238">
        <f>B326*459.942666666667/100</f>
        <v>459.94266666666698</v>
      </c>
      <c r="U326" s="238">
        <f>B326*0.142666666666667/100</f>
        <v>0.142666666666667</v>
      </c>
      <c r="V326" s="238">
        <f>B326*1.64266666666667/100</f>
        <v>1.6426666666666698</v>
      </c>
      <c r="W326" s="244" t="s">
        <v>455</v>
      </c>
      <c r="X326" s="238">
        <f>B326*0.0633333333333333/100</f>
        <v>6.3333333333333297E-2</v>
      </c>
      <c r="Y326" s="242" t="s">
        <v>455</v>
      </c>
      <c r="Z326" s="242" t="s">
        <v>455</v>
      </c>
      <c r="AA326" s="238">
        <f>B326*7.1/100</f>
        <v>7.1</v>
      </c>
      <c r="AB326" s="242"/>
    </row>
    <row r="327" spans="1:28">
      <c r="A327" s="232" t="s">
        <v>682</v>
      </c>
      <c r="B327" s="59">
        <v>100</v>
      </c>
      <c r="C327" s="240">
        <f>B327*113.900366666667/100</f>
        <v>113.900366666667</v>
      </c>
      <c r="D327" s="239">
        <f>B327*21.0766666666667/100</f>
        <v>21.0766666666667</v>
      </c>
      <c r="E327" s="249">
        <f>B327*2.65/100</f>
        <v>2.65</v>
      </c>
      <c r="F327" s="267">
        <f>B327*1.7/100</f>
        <v>1.7</v>
      </c>
      <c r="G327" s="267">
        <f>B327*0.5/100</f>
        <v>0.5</v>
      </c>
      <c r="H327" s="267">
        <f>B327*0.2/100</f>
        <v>0.2</v>
      </c>
      <c r="I327" s="263">
        <f>B327*0.04/100</f>
        <v>0.04</v>
      </c>
      <c r="J327" s="263">
        <f>B327*0.11/100</f>
        <v>0.11</v>
      </c>
      <c r="K327" s="240">
        <f>B327*60.5/100</f>
        <v>60.5</v>
      </c>
      <c r="L327" s="242">
        <v>0</v>
      </c>
      <c r="M327" s="242" t="s">
        <v>454</v>
      </c>
      <c r="N327" s="240">
        <f>B327*167.333333333333/100</f>
        <v>167.333333333333</v>
      </c>
      <c r="O327" s="240">
        <f>B327*28.5266666666667/100</f>
        <v>28.526666666666696</v>
      </c>
      <c r="P327" s="249">
        <f>B327*0.0966666666666667/100</f>
        <v>9.666666666666672E-2</v>
      </c>
      <c r="Q327" s="240">
        <f>B327*293.896666666667/100</f>
        <v>293.89666666666699</v>
      </c>
      <c r="R327" s="240">
        <f>B327*1.33666666666667/100</f>
        <v>1.33666666666667</v>
      </c>
      <c r="S327" s="240">
        <f>B327*60.3866666666667/100</f>
        <v>60.386666666666699</v>
      </c>
      <c r="T327" s="249">
        <f>B327*312.37/100</f>
        <v>312.37</v>
      </c>
      <c r="U327" s="249">
        <f>B327*0.13/100</f>
        <v>0.13</v>
      </c>
      <c r="V327" s="249">
        <f>B327*1.29/100</f>
        <v>1.29</v>
      </c>
      <c r="W327" s="244" t="s">
        <v>455</v>
      </c>
      <c r="X327" s="249" t="s">
        <v>455</v>
      </c>
      <c r="Y327" s="249">
        <f>B327*0.07/100</f>
        <v>7.0000000000000007E-2</v>
      </c>
      <c r="Z327" s="249" t="s">
        <v>455</v>
      </c>
      <c r="AA327" s="249">
        <f>B327*7.7/100</f>
        <v>7.7</v>
      </c>
      <c r="AB327" s="240"/>
    </row>
    <row r="328" spans="1:28">
      <c r="A328" s="232" t="s">
        <v>683</v>
      </c>
      <c r="B328" s="59">
        <v>100</v>
      </c>
      <c r="C328" s="238">
        <f>B328*87.686483549277/100</f>
        <v>87.686483549277</v>
      </c>
      <c r="D328" s="238">
        <f>B328*17.9583333333333/100</f>
        <v>17.9583333333333</v>
      </c>
      <c r="E328" s="248">
        <f>B328*1.22/100</f>
        <v>1.22</v>
      </c>
      <c r="F328" s="252">
        <f>B328*0.6/100</f>
        <v>0.6</v>
      </c>
      <c r="G328" s="252">
        <f>B328*0.4/100</f>
        <v>0.4</v>
      </c>
      <c r="H328" s="252">
        <f>B328*0.4/100</f>
        <v>0.4</v>
      </c>
      <c r="I328" s="263">
        <f>B328*0.19/100</f>
        <v>0.19</v>
      </c>
      <c r="J328" s="263">
        <f>B328*0.16/100</f>
        <v>0.16</v>
      </c>
      <c r="K328" s="243">
        <f>B328*46.8973333333333/100</f>
        <v>46.8973333333333</v>
      </c>
      <c r="L328" s="242">
        <f>B328*-0.0450000000000079/100</f>
        <v>-4.5000000000007902E-2</v>
      </c>
      <c r="M328" s="242" t="s">
        <v>454</v>
      </c>
      <c r="N328" s="238">
        <f>B328*19.2203333333333/100</f>
        <v>19.220333333333301</v>
      </c>
      <c r="O328" s="238">
        <f>B328*25.641/100</f>
        <v>25.640999999999998</v>
      </c>
      <c r="P328" s="248">
        <f>B328*0.011/100</f>
        <v>1.0999999999999999E-2</v>
      </c>
      <c r="Q328" s="238">
        <f>B328*167.866666666667/100</f>
        <v>167.86666666666696</v>
      </c>
      <c r="R328" s="238">
        <f>B328*0.269333333333333/100</f>
        <v>0.26933333333333298</v>
      </c>
      <c r="S328" s="238">
        <f>B328*56.5543333333333/100</f>
        <v>56.554333333333297</v>
      </c>
      <c r="T328" s="238">
        <f>B328*288.063/100</f>
        <v>288.06299999999999</v>
      </c>
      <c r="U328" s="238">
        <f>B328*0.0953333333333333/100</f>
        <v>9.5333333333333298E-2</v>
      </c>
      <c r="V328" s="238">
        <f>B328*0.441/100</f>
        <v>0.441</v>
      </c>
      <c r="W328" s="244" t="s">
        <v>455</v>
      </c>
      <c r="X328" s="242" t="s">
        <v>455</v>
      </c>
      <c r="Y328" s="238">
        <f>B328*0.05/100</f>
        <v>0.05</v>
      </c>
      <c r="Z328" s="242" t="s">
        <v>455</v>
      </c>
      <c r="AA328" s="238">
        <f>B328*0.9/100</f>
        <v>0.9</v>
      </c>
      <c r="AB328" s="242"/>
    </row>
    <row r="329" spans="1:28" s="220" customFormat="1">
      <c r="A329" s="228" t="s">
        <v>37</v>
      </c>
      <c r="B329" s="237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  <c r="AA329" s="268"/>
      <c r="AB329" s="268"/>
    </row>
    <row r="330" spans="1:28">
      <c r="A330" s="233" t="s">
        <v>3155</v>
      </c>
      <c r="B330" s="59">
        <v>100</v>
      </c>
      <c r="C330" s="247">
        <f>B330*128.857255812009/100</f>
        <v>128.85725581200899</v>
      </c>
      <c r="D330" s="247">
        <f>B330*13.45/100</f>
        <v>13.45</v>
      </c>
      <c r="E330" s="244">
        <f>B330*6.69066666666667/100</f>
        <v>6.6906666666666696</v>
      </c>
      <c r="F330" s="244">
        <f>B330*1.93333333333333/100</f>
        <v>1.93333333333333</v>
      </c>
      <c r="G330" s="244">
        <f>B330*2.58666666666667/100</f>
        <v>2.5866666666666704</v>
      </c>
      <c r="H330" s="244">
        <f>B330*1.13333333333333/100</f>
        <v>1.13333333333333</v>
      </c>
      <c r="I330" s="263">
        <f>B330*1.00333333333333/100</f>
        <v>1.0033333333333301</v>
      </c>
      <c r="J330" s="263">
        <f>B330*0.0433333333333333/100</f>
        <v>4.3333333333333307E-2</v>
      </c>
      <c r="K330" s="244">
        <f>B330*37.671/100</f>
        <v>37.670999999999999</v>
      </c>
      <c r="L330" s="247">
        <f>B330*2.862/100</f>
        <v>2.8620000000000001</v>
      </c>
      <c r="M330" s="258" t="s">
        <v>454</v>
      </c>
      <c r="N330" s="244">
        <f>B330*22.5773333333333/100</f>
        <v>22.5773333333333</v>
      </c>
      <c r="O330" s="244">
        <f>B330*15.262/100</f>
        <v>15.262</v>
      </c>
      <c r="P330" s="244">
        <f>B330*0.0393333333333333/100</f>
        <v>3.9333333333333297E-2</v>
      </c>
      <c r="Q330" s="244">
        <f>B330*225.386/100</f>
        <v>225.386</v>
      </c>
      <c r="R330" s="244">
        <f>B330*0.877666666666667/100</f>
        <v>0.87766666666666704</v>
      </c>
      <c r="S330" s="244">
        <f>B330*942.933/100</f>
        <v>942.93299999999999</v>
      </c>
      <c r="T330" s="244">
        <f>B330*270.073666666667/100</f>
        <v>270.07366666666701</v>
      </c>
      <c r="U330" s="244">
        <f>B330*0.0293333333333333/100</f>
        <v>2.9333333333333302E-2</v>
      </c>
      <c r="V330" s="244">
        <f>B330*1.64966666666667/100</f>
        <v>1.6496666666666697</v>
      </c>
      <c r="W330" s="244" t="s">
        <v>455</v>
      </c>
      <c r="X330" s="244">
        <f>B330*0.623333333333333/100</f>
        <v>0.62333333333333296</v>
      </c>
      <c r="Y330" s="244">
        <f>B330*0.0366666666666667/100</f>
        <v>3.6666666666666702E-2</v>
      </c>
      <c r="Z330" s="244" t="s">
        <v>455</v>
      </c>
      <c r="AA330" s="244">
        <f>B330*0.696666666666667/100</f>
        <v>0.69666666666666699</v>
      </c>
      <c r="AB330" s="244" t="s">
        <v>455</v>
      </c>
    </row>
    <row r="331" spans="1:28">
      <c r="A331" s="232" t="s">
        <v>684</v>
      </c>
      <c r="B331" s="59">
        <v>100</v>
      </c>
      <c r="C331" s="240">
        <f>B331*240.623333333333/100</f>
        <v>240.62333333333299</v>
      </c>
      <c r="D331" s="239">
        <f>B331*7.82/100</f>
        <v>7.82</v>
      </c>
      <c r="E331" s="240">
        <f>B331*16.57/100</f>
        <v>16.57</v>
      </c>
      <c r="F331" s="252">
        <f>B331*7.8/100</f>
        <v>7.8</v>
      </c>
      <c r="G331" s="252">
        <f>B331*2.5/100</f>
        <v>2.5</v>
      </c>
      <c r="H331" s="252">
        <f>B331*0.1/100</f>
        <v>0.1</v>
      </c>
      <c r="I331" s="263">
        <f>B331*0.13/100</f>
        <v>0.13</v>
      </c>
      <c r="J331" s="263"/>
      <c r="K331" s="240" t="s">
        <v>455</v>
      </c>
      <c r="L331" s="242">
        <f>B331*15.0533333333333/100</f>
        <v>15.053333333333301</v>
      </c>
      <c r="M331" s="240">
        <f>B331*0.576666666666667/100</f>
        <v>0.57666666666666699</v>
      </c>
      <c r="N331" s="240">
        <f>B331*129.03/100</f>
        <v>129.03</v>
      </c>
      <c r="O331" s="240">
        <f>B331*22.06/100</f>
        <v>22.06</v>
      </c>
      <c r="P331" s="240">
        <f>B331*0.021/100</f>
        <v>2.1000000000000001E-2</v>
      </c>
      <c r="Q331" s="240">
        <f>B331*123.04/100</f>
        <v>123.04</v>
      </c>
      <c r="R331" s="240" t="s">
        <v>455</v>
      </c>
      <c r="S331" s="240">
        <f>B331*22179.6666666667/100</f>
        <v>22179.666666666701</v>
      </c>
      <c r="T331" s="240">
        <f>B331*218.153333333333/100</f>
        <v>218.15333333333299</v>
      </c>
      <c r="U331" s="240" t="s">
        <v>455</v>
      </c>
      <c r="V331" s="240" t="s">
        <v>455</v>
      </c>
      <c r="W331" s="240" t="s">
        <v>455</v>
      </c>
      <c r="X331" s="240">
        <f>B331*0.703333333333333/100</f>
        <v>0.70333333333333303</v>
      </c>
      <c r="Y331" s="240">
        <f>B331*0.07/100</f>
        <v>7.0000000000000007E-2</v>
      </c>
      <c r="Z331" s="240">
        <f>B331*0.266666666666667/100</f>
        <v>0.266666666666667</v>
      </c>
      <c r="AA331" s="240" t="s">
        <v>455</v>
      </c>
      <c r="AB331" s="240"/>
    </row>
    <row r="332" spans="1:28">
      <c r="A332" s="232" t="s">
        <v>685</v>
      </c>
      <c r="B332" s="59">
        <v>100</v>
      </c>
      <c r="C332" s="238">
        <f>B332*251.445666666667/100</f>
        <v>251.44566666666699</v>
      </c>
      <c r="D332" s="238">
        <f>B332*6.27916666666667/100</f>
        <v>6.2791666666666712</v>
      </c>
      <c r="E332" s="248">
        <f>B332*20.4163333333333/100</f>
        <v>20.416333333333299</v>
      </c>
      <c r="F332" s="252">
        <f>B332*9.4/100</f>
        <v>9.4</v>
      </c>
      <c r="G332" s="252">
        <f>B332*3.2/100</f>
        <v>3.2</v>
      </c>
      <c r="H332" s="252">
        <f>B332*0.2/100</f>
        <v>0.2</v>
      </c>
      <c r="I332" s="263">
        <f>B332*0.25/100</f>
        <v>0.25</v>
      </c>
      <c r="J332" s="263"/>
      <c r="K332" s="238">
        <f>B332*2.11266666666667/100</f>
        <v>2.1126666666666698</v>
      </c>
      <c r="L332" s="242">
        <f>B332*10.6455/100</f>
        <v>10.6455</v>
      </c>
      <c r="M332" s="243">
        <f>B332*11.8106666666667/100</f>
        <v>11.8106666666667</v>
      </c>
      <c r="N332" s="243">
        <f>B332*16.36/100</f>
        <v>16.36</v>
      </c>
      <c r="O332" s="243">
        <f>B332*12.7906666666667/100</f>
        <v>12.7906666666667</v>
      </c>
      <c r="P332" s="243">
        <f>B332*0.13/100</f>
        <v>0.13</v>
      </c>
      <c r="Q332" s="243">
        <f>B332*48.0573333333333/100</f>
        <v>48.057333333333297</v>
      </c>
      <c r="R332" s="243">
        <f>B332*0.689333333333333/100</f>
        <v>0.68933333333333313</v>
      </c>
      <c r="S332" s="243">
        <f>B332*22299.9003333333/100</f>
        <v>22299.900333333298</v>
      </c>
      <c r="T332" s="243">
        <f>B332*68.028/100</f>
        <v>68.028000000000006</v>
      </c>
      <c r="U332" s="243" t="s">
        <v>455</v>
      </c>
      <c r="V332" s="243">
        <f>B332*0.258/100</f>
        <v>0.25800000000000001</v>
      </c>
      <c r="W332" s="245" t="s">
        <v>455</v>
      </c>
      <c r="X332" s="238">
        <f>B332*0.05/100</f>
        <v>0.05</v>
      </c>
      <c r="Y332" s="238">
        <f>B332*0.0366666666666667/100</f>
        <v>3.6666666666666702E-2</v>
      </c>
      <c r="Z332" s="245" t="s">
        <v>455</v>
      </c>
      <c r="AA332" s="243" t="s">
        <v>23</v>
      </c>
      <c r="AB332" s="242"/>
    </row>
    <row r="333" spans="1:28">
      <c r="A333" s="232" t="s">
        <v>3156</v>
      </c>
      <c r="B333" s="59">
        <v>100</v>
      </c>
      <c r="C333" s="240">
        <f>B333*212.4204/100</f>
        <v>212.4204</v>
      </c>
      <c r="D333" s="239">
        <f>B333*26.6866666666667/100</f>
        <v>26.686666666666703</v>
      </c>
      <c r="E333" s="240">
        <f>B333*10.9166666666667/100</f>
        <v>10.9166666666667</v>
      </c>
      <c r="F333" s="252">
        <f>B333*4.8/100</f>
        <v>4.8</v>
      </c>
      <c r="G333" s="252">
        <f>B333*4.6/100</f>
        <v>4.5999999999999996</v>
      </c>
      <c r="H333" s="252">
        <f>B333*0.3/100</f>
        <v>0.3</v>
      </c>
      <c r="I333" s="263">
        <f>B333*0.24/100</f>
        <v>0.24</v>
      </c>
      <c r="J333" s="263">
        <f>B333*0.02/100</f>
        <v>0.02</v>
      </c>
      <c r="K333" s="240">
        <f>B333*103.13/100</f>
        <v>103.13</v>
      </c>
      <c r="L333" s="242">
        <v>0</v>
      </c>
      <c r="M333" s="239" t="s">
        <v>454</v>
      </c>
      <c r="N333" s="240">
        <f>B333*4.02666666666667/100</f>
        <v>4.0266666666666699</v>
      </c>
      <c r="O333" s="240">
        <f>B333*17.07/100</f>
        <v>17.07</v>
      </c>
      <c r="P333" s="240">
        <f>B333*0.013/100</f>
        <v>1.3000000000000001E-2</v>
      </c>
      <c r="Q333" s="240">
        <f>B333*164.443333333333/100</f>
        <v>164.44333333333299</v>
      </c>
      <c r="R333" s="240">
        <f>B333*2.65333333333333/100</f>
        <v>2.6533333333333302</v>
      </c>
      <c r="S333" s="240">
        <f>B333*52.3566666666667/100</f>
        <v>52.356666666666698</v>
      </c>
      <c r="T333" s="240">
        <f>B333*255.706666666667/100</f>
        <v>255.70666666666702</v>
      </c>
      <c r="U333" s="240">
        <f>B333*0.0633333333333333/100</f>
        <v>6.3333333333333297E-2</v>
      </c>
      <c r="V333" s="240">
        <f>B333*8.1/100</f>
        <v>8.1</v>
      </c>
      <c r="W333" s="240" t="s">
        <v>455</v>
      </c>
      <c r="X333" s="240" t="s">
        <v>455</v>
      </c>
      <c r="Y333" s="240">
        <f>B333*0.316666666666667/100</f>
        <v>0.31666666666666698</v>
      </c>
      <c r="Z333" s="240" t="s">
        <v>455</v>
      </c>
      <c r="AA333" s="240">
        <f>B333*1.76333333333333/100</f>
        <v>1.7633333333333301</v>
      </c>
      <c r="AB333" s="240"/>
    </row>
    <row r="334" spans="1:28">
      <c r="A334" s="232" t="s">
        <v>3157</v>
      </c>
      <c r="B334" s="59">
        <v>100</v>
      </c>
      <c r="C334" s="240">
        <f>B334*136.562333333333/100</f>
        <v>136.56233333333299</v>
      </c>
      <c r="D334" s="239">
        <f>B334*19.42/100</f>
        <v>19.420000000000002</v>
      </c>
      <c r="E334" s="240">
        <f>B334*5.94666666666667/100</f>
        <v>5.9466666666666699</v>
      </c>
      <c r="F334" s="252">
        <f>B334*2.7/100</f>
        <v>2.7</v>
      </c>
      <c r="G334" s="252">
        <f>B334*2.4/100</f>
        <v>2.4</v>
      </c>
      <c r="H334" s="252">
        <f>B334*0.1/100</f>
        <v>0.1</v>
      </c>
      <c r="I334" s="263">
        <f>B334*0.13/100</f>
        <v>0.13</v>
      </c>
      <c r="J334" s="263">
        <f>B334*0.01/100</f>
        <v>0.01</v>
      </c>
      <c r="K334" s="240">
        <f>B334*57.94/100</f>
        <v>57.94</v>
      </c>
      <c r="L334" s="242">
        <v>0</v>
      </c>
      <c r="M334" s="239" t="s">
        <v>454</v>
      </c>
      <c r="N334" s="240">
        <f>B334*2.61/100</f>
        <v>2.61</v>
      </c>
      <c r="O334" s="240">
        <f>B334*14.1366666666667/100</f>
        <v>14.136666666666702</v>
      </c>
      <c r="P334" s="249" t="s">
        <v>455</v>
      </c>
      <c r="Q334" s="240">
        <f>B334*157.613333333333/100</f>
        <v>157.613333333333</v>
      </c>
      <c r="R334" s="249">
        <f>B334*1.76333333333333/100</f>
        <v>1.7633333333333301</v>
      </c>
      <c r="S334" s="240">
        <f>B334*48.6133333333333/100</f>
        <v>48.613333333333301</v>
      </c>
      <c r="T334" s="249">
        <f>B334*237.303333333333/100</f>
        <v>237.303333333333</v>
      </c>
      <c r="U334" s="249">
        <f>B334*0.0756666666666667/100</f>
        <v>7.5666666666666701E-2</v>
      </c>
      <c r="V334" s="249">
        <f>B334*6.33333333333333/100</f>
        <v>6.3333333333333304</v>
      </c>
      <c r="W334" s="249">
        <f>B334*2.32/100</f>
        <v>2.3199999999999998</v>
      </c>
      <c r="X334" s="249">
        <f>B334*0.153333333333333/100</f>
        <v>0.15333333333333299</v>
      </c>
      <c r="Y334" s="249">
        <f>B334*0.213333333333333/100</f>
        <v>0.21333333333333301</v>
      </c>
      <c r="Z334" s="249">
        <f>B334*0.03/100</f>
        <v>0.03</v>
      </c>
      <c r="AA334" s="249">
        <f>B334*4.33/100</f>
        <v>4.33</v>
      </c>
      <c r="AB334" s="240"/>
    </row>
    <row r="335" spans="1:28">
      <c r="A335" s="232" t="s">
        <v>689</v>
      </c>
      <c r="B335" s="59">
        <v>100</v>
      </c>
      <c r="C335" s="240">
        <f>B335*214.610566666667/100</f>
        <v>214.61056666666701</v>
      </c>
      <c r="D335" s="239">
        <f>B335*27.27/100</f>
        <v>27.27</v>
      </c>
      <c r="E335" s="240">
        <f>B335*10.8833333333333/100</f>
        <v>10.883333333333301</v>
      </c>
      <c r="F335" s="252">
        <f>B335*5.5/100</f>
        <v>5.5</v>
      </c>
      <c r="G335" s="252">
        <f>B335*3.7/100</f>
        <v>3.7</v>
      </c>
      <c r="H335" s="252">
        <f>B335*0.3/100</f>
        <v>0.3</v>
      </c>
      <c r="I335" s="263">
        <f>B335*0.23/100</f>
        <v>0.23</v>
      </c>
      <c r="J335" s="263">
        <f>B335*0.03/100</f>
        <v>0.03</v>
      </c>
      <c r="K335" s="240">
        <f>B335*106.75/100</f>
        <v>106.75</v>
      </c>
      <c r="L335" s="242">
        <v>0</v>
      </c>
      <c r="M335" s="239" t="s">
        <v>454</v>
      </c>
      <c r="N335" s="240">
        <f>B335*7.11/100</f>
        <v>7.11</v>
      </c>
      <c r="O335" s="240">
        <f>B335*14.44/100</f>
        <v>14.44</v>
      </c>
      <c r="P335" s="240" t="s">
        <v>455</v>
      </c>
      <c r="Q335" s="240">
        <f>B335*164.2/100</f>
        <v>164.2</v>
      </c>
      <c r="R335" s="240">
        <f>B335*2.36666666666667/100</f>
        <v>2.3666666666666698</v>
      </c>
      <c r="S335" s="240">
        <f>B335*56.1733333333333/100</f>
        <v>56.173333333333296</v>
      </c>
      <c r="T335" s="240">
        <f>B335*254.423333333333/100</f>
        <v>254.42333333333301</v>
      </c>
      <c r="U335" s="240">
        <f>B335*0.0733333333333333/100</f>
        <v>7.3333333333333306E-2</v>
      </c>
      <c r="V335" s="240">
        <f>B335*7.97/100</f>
        <v>7.97</v>
      </c>
      <c r="W335" s="240" t="s">
        <v>455</v>
      </c>
      <c r="X335" s="240" t="s">
        <v>455</v>
      </c>
      <c r="Y335" s="240">
        <f>B335*0.04/100</f>
        <v>0.04</v>
      </c>
      <c r="Z335" s="240">
        <f>B335*0.07/100</f>
        <v>7.0000000000000007E-2</v>
      </c>
      <c r="AA335" s="240">
        <f>B335*1.62666666666667/100</f>
        <v>1.62666666666667</v>
      </c>
      <c r="AB335" s="239"/>
    </row>
    <row r="336" spans="1:28">
      <c r="A336" s="232" t="s">
        <v>690</v>
      </c>
      <c r="B336" s="59">
        <v>100</v>
      </c>
      <c r="C336" s="240">
        <f>B336*144.029433333333/100</f>
        <v>144.029433333333</v>
      </c>
      <c r="D336" s="239">
        <f>B336*20.8166666666667/100</f>
        <v>20.816666666666698</v>
      </c>
      <c r="E336" s="240">
        <f>B336*6.11333333333333/100</f>
        <v>6.1133333333333306</v>
      </c>
      <c r="F336" s="252">
        <f>B336*2.8/100</f>
        <v>2.8</v>
      </c>
      <c r="G336" s="252">
        <f>B336*2.3/100</f>
        <v>2.2999999999999998</v>
      </c>
      <c r="H336" s="252">
        <f>B336*0.2/100</f>
        <v>0.2</v>
      </c>
      <c r="I336" s="263">
        <f>B336*0.16/100</f>
        <v>0.16</v>
      </c>
      <c r="J336" s="263">
        <f>B336*0.03/100</f>
        <v>0.03</v>
      </c>
      <c r="K336" s="240">
        <f>B336*53.37/100</f>
        <v>53.37</v>
      </c>
      <c r="L336" s="242">
        <v>0</v>
      </c>
      <c r="M336" s="239" t="s">
        <v>454</v>
      </c>
      <c r="N336" s="240">
        <f>B336*4.71666666666667/100</f>
        <v>4.7166666666666703</v>
      </c>
      <c r="O336" s="240">
        <f>B336*13.2766666666667/100</f>
        <v>13.276666666666699</v>
      </c>
      <c r="P336" s="249" t="s">
        <v>455</v>
      </c>
      <c r="Q336" s="240">
        <f>B336*144.186666666667/100</f>
        <v>144.18666666666701</v>
      </c>
      <c r="R336" s="249">
        <f>B336*1.51333333333333/100</f>
        <v>1.5133333333333301</v>
      </c>
      <c r="S336" s="240">
        <f>B336*49.8466666666667/100</f>
        <v>49.8466666666667</v>
      </c>
      <c r="T336" s="249">
        <f>B336*233.65/100</f>
        <v>233.65</v>
      </c>
      <c r="U336" s="249">
        <f>B336*0.0366666666666667/100</f>
        <v>3.6666666666666702E-2</v>
      </c>
      <c r="V336" s="249">
        <f>B336*5.21333333333333/100</f>
        <v>5.2133333333333303</v>
      </c>
      <c r="W336" s="249">
        <f>B336*2.17333333333333/100</f>
        <v>2.1733333333333298</v>
      </c>
      <c r="X336" s="249">
        <f>B336*0.116666666666667/100</f>
        <v>0.116666666666667</v>
      </c>
      <c r="Y336" s="249">
        <f>B336*0.116666666666667/100</f>
        <v>0.116666666666667</v>
      </c>
      <c r="Z336" s="249" t="s">
        <v>455</v>
      </c>
      <c r="AA336" s="249">
        <f>B336*2.33/100</f>
        <v>2.33</v>
      </c>
      <c r="AB336" s="240"/>
    </row>
    <row r="337" spans="1:28">
      <c r="A337" s="232" t="s">
        <v>3158</v>
      </c>
      <c r="B337" s="59">
        <v>100</v>
      </c>
      <c r="C337" s="240">
        <f>B337*189.256666666667/100</f>
        <v>189.256666666667</v>
      </c>
      <c r="D337" s="239">
        <f>B337*12.3125/100</f>
        <v>12.3125</v>
      </c>
      <c r="E337" s="248">
        <f>B337*11.2033333333333/100</f>
        <v>11.203333333333298</v>
      </c>
      <c r="F337" s="252">
        <f>B337*3.9/100</f>
        <v>3.9</v>
      </c>
      <c r="G337" s="252">
        <f>B337*3.5/100</f>
        <v>3.5</v>
      </c>
      <c r="H337" s="252">
        <f>B337*0.9/100</f>
        <v>0.9</v>
      </c>
      <c r="I337" s="263">
        <f>B337*0.83/100</f>
        <v>0.83</v>
      </c>
      <c r="J337" s="263">
        <f>B337*0.09/100</f>
        <v>0.09</v>
      </c>
      <c r="K337" s="242">
        <f>B337*33.59895/100</f>
        <v>33.598950000000002</v>
      </c>
      <c r="L337" s="242">
        <f>B337*9.79416666666665/100</f>
        <v>9.7941666666666496</v>
      </c>
      <c r="M337" s="239" t="s">
        <v>23</v>
      </c>
      <c r="N337" s="243">
        <f>B337*22.2316666666667/100</f>
        <v>22.231666666666701</v>
      </c>
      <c r="O337" s="243">
        <f>B337*23.7506666666667/100</f>
        <v>23.750666666666699</v>
      </c>
      <c r="P337" s="243">
        <f>B337*0.166666666666667/100</f>
        <v>0.16666666666666699</v>
      </c>
      <c r="Q337" s="243">
        <f>B337*144.925666666667/100</f>
        <v>144.92566666666701</v>
      </c>
      <c r="R337" s="243">
        <f>B337*1.56233333333333/100</f>
        <v>1.56233333333333</v>
      </c>
      <c r="S337" s="243">
        <f>B337*621.251666666667/100</f>
        <v>621.25166666666701</v>
      </c>
      <c r="T337" s="243">
        <f>B337*328.240666666667/100</f>
        <v>328.24066666666693</v>
      </c>
      <c r="U337" s="243">
        <f>B337*0.146/100</f>
        <v>0.14599999999999999</v>
      </c>
      <c r="V337" s="243">
        <f>B337*2.33333333333333/100</f>
        <v>2.3333333333333299</v>
      </c>
      <c r="W337" s="243" t="s">
        <v>455</v>
      </c>
      <c r="X337" s="243">
        <f>B337*0.11/100</f>
        <v>0.11</v>
      </c>
      <c r="Y337" s="243">
        <f>B337*0.04/100</f>
        <v>0.04</v>
      </c>
      <c r="Z337" s="243" t="s">
        <v>455</v>
      </c>
      <c r="AA337" s="243">
        <f>B337*2.2/100</f>
        <v>2.2000000000000002</v>
      </c>
      <c r="AB337" s="240" t="s">
        <v>3254</v>
      </c>
    </row>
    <row r="338" spans="1:28">
      <c r="A338" s="232" t="s">
        <v>691</v>
      </c>
      <c r="B338" s="59">
        <v>100</v>
      </c>
      <c r="C338" s="238">
        <f>B338*271.813/100</f>
        <v>271.81299999999999</v>
      </c>
      <c r="D338" s="238">
        <f>B338*18.15625/100</f>
        <v>18.15625</v>
      </c>
      <c r="E338" s="248">
        <f>B338*15.7823333333333/100</f>
        <v>15.7823333333333</v>
      </c>
      <c r="F338" s="252">
        <f>B338*4.2/100</f>
        <v>4.2</v>
      </c>
      <c r="G338" s="252">
        <f>B338*5/100</f>
        <v>5</v>
      </c>
      <c r="H338" s="252">
        <f>B338*5.5/100</f>
        <v>5.5</v>
      </c>
      <c r="I338" s="263">
        <f>B338*4.92/100</f>
        <v>4.92</v>
      </c>
      <c r="J338" s="263">
        <f>B338*0.52/100</f>
        <v>0.52</v>
      </c>
      <c r="K338" s="238">
        <f>B338*36.3806666666667/100</f>
        <v>36.380666666666698</v>
      </c>
      <c r="L338" s="242">
        <f>B338*14.28675/100</f>
        <v>14.28675</v>
      </c>
      <c r="M338" s="242" t="s">
        <v>23</v>
      </c>
      <c r="N338" s="238">
        <f>B338*26.7593333333333/100</f>
        <v>26.759333333333299</v>
      </c>
      <c r="O338" s="238">
        <f>B338*48.1196666666667/100</f>
        <v>48.119666666666696</v>
      </c>
      <c r="P338" s="238">
        <f>B338*0.407333333333333/100</f>
        <v>0.40733333333333299</v>
      </c>
      <c r="Q338" s="238">
        <f>B338*244.303333333333/100</f>
        <v>244.303333333333</v>
      </c>
      <c r="R338" s="238">
        <f>B338*1.91166666666667/100</f>
        <v>1.91166666666667</v>
      </c>
      <c r="S338" s="238">
        <f>B338*1030.25566666667/100</f>
        <v>1030.2556666666701</v>
      </c>
      <c r="T338" s="238">
        <f>B338*536.099333333333/100</f>
        <v>536.09933333333299</v>
      </c>
      <c r="U338" s="238">
        <f>B338*0.187/100</f>
        <v>0.187</v>
      </c>
      <c r="V338" s="238">
        <f>B338*2.60833333333333/100</f>
        <v>2.6083333333333298</v>
      </c>
      <c r="W338" s="245" t="s">
        <v>455</v>
      </c>
      <c r="X338" s="238">
        <f>B338*0.133333333333333/100</f>
        <v>0.133333333333333</v>
      </c>
      <c r="Y338" s="238">
        <f>B338*0.07/100</f>
        <v>7.0000000000000007E-2</v>
      </c>
      <c r="Z338" s="245" t="s">
        <v>455</v>
      </c>
      <c r="AA338" s="238">
        <f>B338*6.6/100</f>
        <v>6.6</v>
      </c>
      <c r="AB338" s="242"/>
    </row>
    <row r="339" spans="1:28">
      <c r="A339" s="232" t="s">
        <v>692</v>
      </c>
      <c r="B339" s="59">
        <v>100</v>
      </c>
      <c r="C339" s="240">
        <f>B339*133.022866666667/100</f>
        <v>133.022866666667</v>
      </c>
      <c r="D339" s="239">
        <f>B339*21.64/100</f>
        <v>21.64</v>
      </c>
      <c r="E339" s="240">
        <f>B339*4.50333333333333/100</f>
        <v>4.5033333333333303</v>
      </c>
      <c r="F339" s="252">
        <f>B339*2.4/100</f>
        <v>2.4</v>
      </c>
      <c r="G339" s="252">
        <f>B339*1.4/100</f>
        <v>1.4</v>
      </c>
      <c r="H339" s="252">
        <f>B339*0.1/100</f>
        <v>0.1</v>
      </c>
      <c r="I339" s="263">
        <f>B339*0.08/100</f>
        <v>0.08</v>
      </c>
      <c r="J339" s="263">
        <f>B339*0.01/100</f>
        <v>0.01</v>
      </c>
      <c r="K339" s="240">
        <f>B339*245.467/100</f>
        <v>245.46700000000001</v>
      </c>
      <c r="L339" s="242">
        <v>0</v>
      </c>
      <c r="M339" s="239" t="s">
        <v>454</v>
      </c>
      <c r="N339" s="240">
        <f>B339*13.21/100</f>
        <v>13.21</v>
      </c>
      <c r="O339" s="240">
        <f>B339*7.41333333333333/100</f>
        <v>7.4133333333333304</v>
      </c>
      <c r="P339" s="240">
        <f>B339*0.01/100</f>
        <v>0.01</v>
      </c>
      <c r="Q339" s="240">
        <f>B339*62.6266666666667/100</f>
        <v>62.626666666666694</v>
      </c>
      <c r="R339" s="240">
        <f>B339*0.576666666666667/100</f>
        <v>0.57666666666666699</v>
      </c>
      <c r="S339" s="240">
        <f>B339*38.2033333333333/100</f>
        <v>38.203333333333298</v>
      </c>
      <c r="T339" s="240">
        <f>B339*69.81/100</f>
        <v>69.81</v>
      </c>
      <c r="U339" s="240">
        <f>B339*0.05/100</f>
        <v>0.05</v>
      </c>
      <c r="V339" s="240">
        <f>B339*2.49333333333333/100</f>
        <v>2.4933333333333301</v>
      </c>
      <c r="W339" s="240" t="s">
        <v>455</v>
      </c>
      <c r="X339" s="240" t="s">
        <v>455</v>
      </c>
      <c r="Y339" s="240" t="s">
        <v>455</v>
      </c>
      <c r="Z339" s="240" t="s">
        <v>455</v>
      </c>
      <c r="AA339" s="240">
        <f>B339*2.18/100</f>
        <v>2.1800000000000002</v>
      </c>
      <c r="AB339" s="240"/>
    </row>
    <row r="340" spans="1:28">
      <c r="A340" s="232" t="s">
        <v>693</v>
      </c>
      <c r="B340" s="59">
        <v>100</v>
      </c>
      <c r="C340" s="240">
        <f>B340*137.303166666667/100</f>
        <v>137.30316666666701</v>
      </c>
      <c r="D340" s="239">
        <f>B340*20.53/100</f>
        <v>20.53</v>
      </c>
      <c r="E340" s="240">
        <f>B340*5.50333333333333/100</f>
        <v>5.5033333333333303</v>
      </c>
      <c r="F340" s="252">
        <f>B340*3.3/100</f>
        <v>3.3</v>
      </c>
      <c r="G340" s="252">
        <f>B340*1.4/100</f>
        <v>1.4</v>
      </c>
      <c r="H340" s="252">
        <f>B340*0.1/100</f>
        <v>0.1</v>
      </c>
      <c r="I340" s="263">
        <f>B340*0.1/100</f>
        <v>0.1</v>
      </c>
      <c r="J340" s="263">
        <f>B340*0.01/100</f>
        <v>0.01</v>
      </c>
      <c r="K340" s="240">
        <f>B340*144.9/100</f>
        <v>144.9</v>
      </c>
      <c r="L340" s="242">
        <v>0</v>
      </c>
      <c r="M340" s="239" t="s">
        <v>454</v>
      </c>
      <c r="N340" s="240">
        <f>B340*9.07333333333333/100</f>
        <v>9.0733333333333306</v>
      </c>
      <c r="O340" s="240">
        <f>B340*6.40333333333333/100</f>
        <v>6.4033333333333307</v>
      </c>
      <c r="P340" s="249">
        <f>B340*0.01/100</f>
        <v>0.01</v>
      </c>
      <c r="Q340" s="240">
        <f>B340*61.4233333333333/100</f>
        <v>61.423333333333296</v>
      </c>
      <c r="R340" s="249">
        <f>B340*0.473333333333333/100</f>
        <v>0.473333333333333</v>
      </c>
      <c r="S340" s="240">
        <f>B340*45.0033333333333/100</f>
        <v>45.003333333333302</v>
      </c>
      <c r="T340" s="249">
        <f>B340*84.5666666666667/100</f>
        <v>84.566666666666691</v>
      </c>
      <c r="U340" s="249">
        <f>B340*0.06/100</f>
        <v>0.06</v>
      </c>
      <c r="V340" s="249">
        <f>B340*2.12666666666667/100</f>
        <v>2.12666666666667</v>
      </c>
      <c r="W340" s="249" t="s">
        <v>455</v>
      </c>
      <c r="X340" s="249" t="s">
        <v>455</v>
      </c>
      <c r="Y340" s="249" t="s">
        <v>455</v>
      </c>
      <c r="Z340" s="249" t="s">
        <v>455</v>
      </c>
      <c r="AA340" s="249">
        <f>B340*2.13333333333333/100</f>
        <v>2.1333333333333302</v>
      </c>
      <c r="AB340" s="240"/>
    </row>
    <row r="341" spans="1:28">
      <c r="A341" s="232" t="s">
        <v>694</v>
      </c>
      <c r="B341" s="59">
        <v>100</v>
      </c>
      <c r="C341" s="240">
        <f>B341*216.908966666667/100</f>
        <v>216.908966666667</v>
      </c>
      <c r="D341" s="239">
        <f>B341*19.1966666666667/100</f>
        <v>19.196666666666701</v>
      </c>
      <c r="E341" s="240">
        <f>B341*14.96/100</f>
        <v>14.96</v>
      </c>
      <c r="F341" s="252">
        <f>B341*6.9/100</f>
        <v>6.9</v>
      </c>
      <c r="G341" s="252">
        <f>B341*6.2/100</f>
        <v>6.2</v>
      </c>
      <c r="H341" s="252">
        <f>B341*0.1/100</f>
        <v>0.1</v>
      </c>
      <c r="I341" s="263">
        <f>B341*0.15/100</f>
        <v>0.15</v>
      </c>
      <c r="J341" s="263"/>
      <c r="K341" s="240">
        <f>B341*62.81/100</f>
        <v>62.81</v>
      </c>
      <c r="L341" s="242">
        <v>0</v>
      </c>
      <c r="M341" s="239" t="s">
        <v>454</v>
      </c>
      <c r="N341" s="240">
        <f>B341*5.86/100</f>
        <v>5.86</v>
      </c>
      <c r="O341" s="240">
        <f>B341*17.4533333333333/100</f>
        <v>17.453333333333301</v>
      </c>
      <c r="P341" s="249">
        <f>B341*0.006/100</f>
        <v>6.0000000000000001E-3</v>
      </c>
      <c r="Q341" s="240">
        <f>B341*144.19/100</f>
        <v>144.19</v>
      </c>
      <c r="R341" s="249">
        <f>B341*1.51/100</f>
        <v>1.51</v>
      </c>
      <c r="S341" s="240">
        <f>B341*57.54/100</f>
        <v>57.54</v>
      </c>
      <c r="T341" s="249">
        <f>B341*266.886666666667/100</f>
        <v>266.886666666667</v>
      </c>
      <c r="U341" s="249">
        <f>B341*0.0576666666666667/100</f>
        <v>5.7666666666666699E-2</v>
      </c>
      <c r="V341" s="249">
        <f>B341*3.54333333333333/100</f>
        <v>3.5433333333333299</v>
      </c>
      <c r="W341" s="249">
        <f>B341*3.76333333333333/100</f>
        <v>3.7633333333333301</v>
      </c>
      <c r="X341" s="249">
        <f>B341*0.0866666666666667/100</f>
        <v>8.6666666666666697E-2</v>
      </c>
      <c r="Y341" s="249">
        <f>B341*0.087/100</f>
        <v>8.6999999999999994E-2</v>
      </c>
      <c r="Z341" s="249">
        <f>B341*0.12/100</f>
        <v>0.12</v>
      </c>
      <c r="AA341" s="249">
        <f>B341*1.55/100</f>
        <v>1.55</v>
      </c>
      <c r="AB341" s="240"/>
    </row>
    <row r="342" spans="1:28">
      <c r="A342" s="232" t="s">
        <v>695</v>
      </c>
      <c r="B342" s="59">
        <v>100</v>
      </c>
      <c r="C342" s="240">
        <f>B342*311.702666666667/100</f>
        <v>311.70266666666703</v>
      </c>
      <c r="D342" s="239">
        <f>B342*30.6866666666667/100</f>
        <v>30.686666666666703</v>
      </c>
      <c r="E342" s="240">
        <f>B342*20.03/100</f>
        <v>20.03</v>
      </c>
      <c r="F342" s="252">
        <f>B342*8.8/100</f>
        <v>8.8000000000000007</v>
      </c>
      <c r="G342" s="252">
        <f>B342*8.7/100</f>
        <v>8.6999999999999993</v>
      </c>
      <c r="H342" s="252">
        <f>B342*0.3/100</f>
        <v>0.3</v>
      </c>
      <c r="I342" s="263">
        <f>B342*0.26/100</f>
        <v>0.26</v>
      </c>
      <c r="J342" s="263">
        <f>B342*0.02/100</f>
        <v>0.02</v>
      </c>
      <c r="K342" s="239">
        <f>B342*120.43/100</f>
        <v>120.43</v>
      </c>
      <c r="L342" s="239">
        <v>0</v>
      </c>
      <c r="M342" s="239" t="s">
        <v>454</v>
      </c>
      <c r="N342" s="240">
        <f>B342*7.25666666666667/100</f>
        <v>7.2566666666666713</v>
      </c>
      <c r="O342" s="240">
        <f>B342*18.38/100</f>
        <v>18.38</v>
      </c>
      <c r="P342" s="250" t="s">
        <v>455</v>
      </c>
      <c r="Q342" s="240">
        <f>B342*213.626666666667/100</f>
        <v>213.62666666666701</v>
      </c>
      <c r="R342" s="249">
        <f>B342*2.59/100</f>
        <v>2.59</v>
      </c>
      <c r="S342" s="240">
        <f>B342*80.5133333333333/100</f>
        <v>80.513333333333307</v>
      </c>
      <c r="T342" s="249">
        <f>B342*323.453333333333/100</f>
        <v>323.45333333333298</v>
      </c>
      <c r="U342" s="249">
        <f>B342*0.126666666666667/100</f>
        <v>0.12666666666666701</v>
      </c>
      <c r="V342" s="249">
        <f>B342*6.19666666666667/100</f>
        <v>6.1966666666666699</v>
      </c>
      <c r="W342" s="249" t="s">
        <v>455</v>
      </c>
      <c r="X342" s="249" t="s">
        <v>455</v>
      </c>
      <c r="Y342" s="249">
        <f>B342*0.0633333333333333/100</f>
        <v>6.3333333333333297E-2</v>
      </c>
      <c r="Z342" s="249" t="s">
        <v>455</v>
      </c>
      <c r="AA342" s="249">
        <f>B342*1.74333333333333/100</f>
        <v>1.7433333333333301</v>
      </c>
      <c r="AB342" s="240"/>
    </row>
    <row r="343" spans="1:28">
      <c r="A343" s="232" t="s">
        <v>696</v>
      </c>
      <c r="B343" s="59">
        <v>100</v>
      </c>
      <c r="C343" s="240">
        <f>B343*131.062466666667/100</f>
        <v>131.06246666666701</v>
      </c>
      <c r="D343" s="239">
        <f>B343*21.54/100</f>
        <v>21.54</v>
      </c>
      <c r="E343" s="240">
        <f>B343*4.33333333333333/100</f>
        <v>4.3333333333333304</v>
      </c>
      <c r="F343" s="252">
        <f>B343*1.9/100</f>
        <v>1.9</v>
      </c>
      <c r="G343" s="252">
        <f>B343*1.9/100</f>
        <v>1.9</v>
      </c>
      <c r="H343" s="252">
        <f>B343*0.1/100</f>
        <v>0.1</v>
      </c>
      <c r="I343" s="263">
        <f>B343*0.08/100</f>
        <v>0.08</v>
      </c>
      <c r="J343" s="263" t="s">
        <v>455</v>
      </c>
      <c r="K343" s="239">
        <f>B343*58.35/100</f>
        <v>58.35</v>
      </c>
      <c r="L343" s="242">
        <v>0</v>
      </c>
      <c r="M343" s="239" t="s">
        <v>454</v>
      </c>
      <c r="N343" s="240">
        <f>B343*6.49666666666667/100</f>
        <v>6.4966666666666697</v>
      </c>
      <c r="O343" s="240">
        <f>B343*19.5866666666667/100</f>
        <v>19.586666666666702</v>
      </c>
      <c r="P343" s="250" t="s">
        <v>455</v>
      </c>
      <c r="Q343" s="240">
        <f>B343*178.226666666667/100</f>
        <v>178.226666666667</v>
      </c>
      <c r="R343" s="249">
        <f>B343*2.03666666666667/100</f>
        <v>2.0366666666666702</v>
      </c>
      <c r="S343" s="240">
        <f>B343*79.1733333333333/100</f>
        <v>79.173333333333304</v>
      </c>
      <c r="T343" s="249">
        <f>B343*325.43/100</f>
        <v>325.43</v>
      </c>
      <c r="U343" s="249">
        <f>B343*0.06/100</f>
        <v>0.06</v>
      </c>
      <c r="V343" s="249">
        <f>B343*4.58666666666667/100</f>
        <v>4.5866666666666696</v>
      </c>
      <c r="W343" s="249" t="s">
        <v>455</v>
      </c>
      <c r="X343" s="249" t="s">
        <v>455</v>
      </c>
      <c r="Y343" s="239">
        <f>B343*0.0366666666666667/100</f>
        <v>3.6666666666666702E-2</v>
      </c>
      <c r="Z343" s="250" t="s">
        <v>455</v>
      </c>
      <c r="AA343" s="249">
        <f>B343*1.81/100</f>
        <v>1.81</v>
      </c>
      <c r="AB343" s="240"/>
    </row>
    <row r="344" spans="1:28">
      <c r="A344" s="232" t="s">
        <v>697</v>
      </c>
      <c r="B344" s="59">
        <v>100</v>
      </c>
      <c r="C344" s="240">
        <f>B344*239.443633333333/100</f>
        <v>239.44363333333297</v>
      </c>
      <c r="D344" s="239">
        <f>B344*35.0633333333333/100</f>
        <v>35.063333333333297</v>
      </c>
      <c r="E344" s="240">
        <f>B344*9.95/100</f>
        <v>9.9499999999999993</v>
      </c>
      <c r="F344" s="252">
        <f>B344*4.3/100</f>
        <v>4.3</v>
      </c>
      <c r="G344" s="252">
        <f>B344*4.3/100</f>
        <v>4.3</v>
      </c>
      <c r="H344" s="252">
        <f>B344*0.2/100</f>
        <v>0.2</v>
      </c>
      <c r="I344" s="263">
        <f>B344*0.2/100</f>
        <v>0.2</v>
      </c>
      <c r="J344" s="263">
        <f>B344*0.04/100</f>
        <v>0.04</v>
      </c>
      <c r="K344" s="240">
        <f>B344*80.29/100</f>
        <v>80.290000000000006</v>
      </c>
      <c r="L344" s="242">
        <f>B344*-0.00666666666667481/100</f>
        <v>-6.6666666666748099E-3</v>
      </c>
      <c r="M344" s="239" t="s">
        <v>454</v>
      </c>
      <c r="N344" s="240">
        <f>B344*8.84333333333333/100</f>
        <v>8.8433333333333302</v>
      </c>
      <c r="O344" s="240">
        <f>B344*25.6133333333333/100</f>
        <v>25.613333333333301</v>
      </c>
      <c r="P344" s="240">
        <f>B344*0.01/100</f>
        <v>0.01</v>
      </c>
      <c r="Q344" s="240">
        <f>B344*287.376666666667/100</f>
        <v>287.37666666666701</v>
      </c>
      <c r="R344" s="240">
        <f>B344*2.84/100</f>
        <v>2.84</v>
      </c>
      <c r="S344" s="240">
        <f>B344*82.75/100</f>
        <v>82.75</v>
      </c>
      <c r="T344" s="240">
        <f>B344*384.843333333333/100</f>
        <v>384.84333333333302</v>
      </c>
      <c r="U344" s="240">
        <f>B344*0.12/100</f>
        <v>0.12</v>
      </c>
      <c r="V344" s="240">
        <f>B344*7.63666666666667/100</f>
        <v>7.6366666666666694</v>
      </c>
      <c r="W344" s="249" t="s">
        <v>455</v>
      </c>
      <c r="X344" s="240">
        <f>B344*0.0266666666666667/100</f>
        <v>2.66666666666667E-2</v>
      </c>
      <c r="Y344" s="240">
        <f>B344*0.0766666666666667/100</f>
        <v>7.6666666666666702E-2</v>
      </c>
      <c r="Z344" s="240" t="s">
        <v>455</v>
      </c>
      <c r="AA344" s="240">
        <f>B344*1.85666666666667/100</f>
        <v>1.85666666666667</v>
      </c>
      <c r="AB344" s="240"/>
    </row>
    <row r="345" spans="1:28">
      <c r="A345" s="232" t="s">
        <v>698</v>
      </c>
      <c r="B345" s="59">
        <v>100</v>
      </c>
      <c r="C345" s="238">
        <f>B345*262.780142262181/100</f>
        <v>262.78014226218102</v>
      </c>
      <c r="D345" s="238">
        <f>B345*36.3645833333333/100</f>
        <v>36.3645833333333</v>
      </c>
      <c r="E345" s="248">
        <f>B345*11.9183333333333/100</f>
        <v>11.918333333333299</v>
      </c>
      <c r="F345" s="252">
        <f>B345*4.8/100</f>
        <v>4.8</v>
      </c>
      <c r="G345" s="252">
        <f>B345*5.4/100</f>
        <v>5.4</v>
      </c>
      <c r="H345" s="252">
        <f>B345*0.4/100</f>
        <v>0.4</v>
      </c>
      <c r="I345" s="263">
        <f>B345*0.25/100</f>
        <v>0.25</v>
      </c>
      <c r="J345" s="263">
        <f>B345*0.11/100</f>
        <v>0.11</v>
      </c>
      <c r="K345" s="238">
        <f>B345*113.432/100</f>
        <v>113.432</v>
      </c>
      <c r="L345" s="242">
        <v>0</v>
      </c>
      <c r="M345" s="239" t="s">
        <v>454</v>
      </c>
      <c r="N345" s="238">
        <f>B345*14.8516666666667/100</f>
        <v>14.851666666666699</v>
      </c>
      <c r="O345" s="238">
        <f>B345*12.8073333333333/100</f>
        <v>12.807333333333299</v>
      </c>
      <c r="P345" s="248">
        <f>B345*0.0173333333333333/100</f>
        <v>1.7333333333333301E-2</v>
      </c>
      <c r="Q345" s="238">
        <f>B345*100.901/100</f>
        <v>100.90100000000001</v>
      </c>
      <c r="R345" s="238">
        <f>B345*3.45166666666667/100</f>
        <v>3.4516666666666702</v>
      </c>
      <c r="S345" s="238">
        <f>B345*1442.701/100</f>
        <v>1442.701</v>
      </c>
      <c r="T345" s="242">
        <f>B345*89.5693333333333/100</f>
        <v>89.569333333333304</v>
      </c>
      <c r="U345" s="238">
        <f>B345*0.067/100</f>
        <v>6.7000000000000004E-2</v>
      </c>
      <c r="V345" s="238">
        <f>B345*6.08633333333333/100</f>
        <v>6.0863333333333296</v>
      </c>
      <c r="W345" s="249" t="s">
        <v>455</v>
      </c>
      <c r="X345" s="238">
        <f>B345*0.05/100</f>
        <v>0.05</v>
      </c>
      <c r="Y345" s="238">
        <f>B345*0.07/100</f>
        <v>7.0000000000000007E-2</v>
      </c>
      <c r="Z345" s="245" t="s">
        <v>455</v>
      </c>
      <c r="AA345" s="238">
        <f>B345*1.5/100</f>
        <v>1.5</v>
      </c>
      <c r="AB345" s="238"/>
    </row>
    <row r="346" spans="1:28">
      <c r="A346" s="232" t="s">
        <v>699</v>
      </c>
      <c r="B346" s="59">
        <v>100</v>
      </c>
      <c r="C346" s="238">
        <f>B346*248.861018107454/100</f>
        <v>248.86101810745402</v>
      </c>
      <c r="D346" s="238">
        <f>B346*22.7145833333333/100</f>
        <v>22.714583333333302</v>
      </c>
      <c r="E346" s="248">
        <f>B346*16.837/100</f>
        <v>16.837</v>
      </c>
      <c r="F346" s="252">
        <f>B346*8.7/100</f>
        <v>8.6999999999999993</v>
      </c>
      <c r="G346" s="252">
        <f>B346*6.6/100</f>
        <v>6.6</v>
      </c>
      <c r="H346" s="252">
        <f>B346*0.2/100</f>
        <v>0.2</v>
      </c>
      <c r="I346" s="263">
        <f>B346*0.16/100</f>
        <v>0.16</v>
      </c>
      <c r="J346" s="263"/>
      <c r="K346" s="238">
        <f>B346*80.6856666666667/100</f>
        <v>80.685666666666705</v>
      </c>
      <c r="L346" s="242">
        <v>0</v>
      </c>
      <c r="M346" s="239" t="s">
        <v>454</v>
      </c>
      <c r="N346" s="238">
        <f>B346*15.176/100</f>
        <v>15.175999999999998</v>
      </c>
      <c r="O346" s="238">
        <f>B346*13.3603333333333/100</f>
        <v>13.360333333333299</v>
      </c>
      <c r="P346" s="245" t="s">
        <v>455</v>
      </c>
      <c r="Q346" s="238">
        <f>B346*122.290333333333/100</f>
        <v>122.290333333333</v>
      </c>
      <c r="R346" s="238">
        <f>B346*1.52666666666667/100</f>
        <v>1.5266666666666699</v>
      </c>
      <c r="S346" s="238">
        <f>B346*5875.029/100</f>
        <v>5875.0290000000005</v>
      </c>
      <c r="T346" s="238">
        <f>B346*236.263666666667/100</f>
        <v>236.26366666666701</v>
      </c>
      <c r="U346" s="238">
        <f>B346*0.0333333333333333/100</f>
        <v>3.3333333333333298E-2</v>
      </c>
      <c r="V346" s="238">
        <f>B346*3.89233333333333/100</f>
        <v>3.8923333333333301</v>
      </c>
      <c r="W346" s="249" t="s">
        <v>455</v>
      </c>
      <c r="X346" s="238">
        <f>B346*0.12/100</f>
        <v>0.12</v>
      </c>
      <c r="Y346" s="238">
        <f>B346*0.07/100</f>
        <v>7.0000000000000007E-2</v>
      </c>
      <c r="Z346" s="245" t="s">
        <v>455</v>
      </c>
      <c r="AA346" s="238">
        <f>B346*1.63333333333333/100</f>
        <v>1.63333333333333</v>
      </c>
      <c r="AB346" s="238"/>
    </row>
    <row r="347" spans="1:28">
      <c r="A347" s="222" t="s">
        <v>3159</v>
      </c>
      <c r="B347" s="59">
        <v>100</v>
      </c>
      <c r="C347" s="247">
        <f>B347*351.592659198999/100</f>
        <v>351.592659198999</v>
      </c>
      <c r="D347" s="247">
        <f>B347*20.6125/100</f>
        <v>20.612500000000001</v>
      </c>
      <c r="E347" s="244">
        <f>B347*23.998/100</f>
        <v>23.998000000000001</v>
      </c>
      <c r="F347" s="258">
        <f>B347*7.24266666666667/100</f>
        <v>7.2426666666666701</v>
      </c>
      <c r="G347" s="258">
        <f>B347*8.07633333333333/100</f>
        <v>8.0763333333333307</v>
      </c>
      <c r="H347" s="258">
        <f>B347*6.904/100</f>
        <v>6.9039999999999999</v>
      </c>
      <c r="I347" s="263">
        <f>B347*6.26933333333333/100</f>
        <v>6.2693333333333303</v>
      </c>
      <c r="J347" s="263">
        <f>B347*0.634666666666667/100</f>
        <v>0.63466666666666705</v>
      </c>
      <c r="K347" s="244">
        <f>B347*99.3603333333333/100</f>
        <v>99.360333333333287</v>
      </c>
      <c r="L347" s="247">
        <f>B347*12.1745/100</f>
        <v>12.1745</v>
      </c>
      <c r="M347" s="244">
        <f>B347*0.37/100</f>
        <v>0.37</v>
      </c>
      <c r="N347" s="244">
        <f>B347*14.672/100</f>
        <v>14.672000000000001</v>
      </c>
      <c r="O347" s="244">
        <f>B347*27.0366666666667/100</f>
        <v>27.036666666666701</v>
      </c>
      <c r="P347" s="244">
        <f>B347*0.273/100</f>
        <v>0.27300000000000002</v>
      </c>
      <c r="Q347" s="244">
        <f>B347*202.953/100</f>
        <v>202.953</v>
      </c>
      <c r="R347" s="244">
        <f>B347*2.89633333333333/100</f>
        <v>2.8963333333333297</v>
      </c>
      <c r="S347" s="244">
        <f>B347*77.0933333333333/100</f>
        <v>77.093333333333305</v>
      </c>
      <c r="T347" s="244">
        <f>B347*270.963333333333/100</f>
        <v>270.96333333333303</v>
      </c>
      <c r="U347" s="244">
        <f>B347*0.096/100</f>
        <v>9.6000000000000002E-2</v>
      </c>
      <c r="V347" s="244">
        <f>B347*2.858/100</f>
        <v>2.8580000000000001</v>
      </c>
      <c r="W347" s="244">
        <f>B347*15.0833333333333/100</f>
        <v>15.0833333333333</v>
      </c>
      <c r="X347" s="244">
        <f>B347*0.07/100</f>
        <v>7.0000000000000007E-2</v>
      </c>
      <c r="Y347" s="244">
        <f>B347*0.04/100</f>
        <v>0.04</v>
      </c>
      <c r="Z347" s="244" t="s">
        <v>455</v>
      </c>
      <c r="AA347" s="244">
        <f>B347*3.01666666666667/100</f>
        <v>3.0166666666666702</v>
      </c>
      <c r="AB347" s="258"/>
    </row>
    <row r="348" spans="1:28">
      <c r="A348" s="232" t="s">
        <v>700</v>
      </c>
      <c r="B348" s="59">
        <v>100</v>
      </c>
      <c r="C348" s="240">
        <f>B348*202.4374/100</f>
        <v>202.43739999999997</v>
      </c>
      <c r="D348" s="239">
        <f>B348*19.8/100</f>
        <v>19.8</v>
      </c>
      <c r="E348" s="240">
        <f>B348*13.07/100</f>
        <v>13.07</v>
      </c>
      <c r="F348" s="252">
        <f>B348*6.7/100</f>
        <v>6.7</v>
      </c>
      <c r="G348" s="252">
        <f>B348*4.6/100</f>
        <v>4.5999999999999996</v>
      </c>
      <c r="H348" s="252">
        <f>B348*0.1/100</f>
        <v>0.1</v>
      </c>
      <c r="I348" s="263">
        <f>B348*0.13/100</f>
        <v>0.13</v>
      </c>
      <c r="J348" s="263"/>
      <c r="K348" s="240">
        <f>B348*52.31/100</f>
        <v>52.31</v>
      </c>
      <c r="L348" s="242">
        <v>0</v>
      </c>
      <c r="M348" s="239" t="s">
        <v>454</v>
      </c>
      <c r="N348" s="240">
        <f>B348*3.16/100</f>
        <v>3.16</v>
      </c>
      <c r="O348" s="240">
        <f>B348*14.0033333333333/100</f>
        <v>14.0033333333333</v>
      </c>
      <c r="P348" s="249" t="s">
        <v>455</v>
      </c>
      <c r="Q348" s="240">
        <f>B348*163.846666666667/100</f>
        <v>163.84666666666701</v>
      </c>
      <c r="R348" s="249">
        <f>B348*1.55666666666667/100</f>
        <v>1.55666666666667</v>
      </c>
      <c r="S348" s="240">
        <f>B348*38.5233333333333/100</f>
        <v>38.523333333333298</v>
      </c>
      <c r="T348" s="249">
        <f>B348*245.07/100</f>
        <v>245.07</v>
      </c>
      <c r="U348" s="249">
        <f>B348*0.039/100</f>
        <v>3.9E-2</v>
      </c>
      <c r="V348" s="249">
        <f>B348*4.35/100</f>
        <v>4.3499999999999996</v>
      </c>
      <c r="W348" s="249">
        <f>B348*3.05333333333333/100</f>
        <v>3.0533333333333301</v>
      </c>
      <c r="X348" s="249">
        <f>B348*0.136666666666667/100</f>
        <v>0.13666666666666699</v>
      </c>
      <c r="Y348" s="249">
        <f>B348*0.08/100</f>
        <v>0.08</v>
      </c>
      <c r="Z348" s="249" t="s">
        <v>455</v>
      </c>
      <c r="AA348" s="249">
        <f>B348*2.67666666666667/100</f>
        <v>2.6766666666666699</v>
      </c>
      <c r="AB348" s="239"/>
    </row>
    <row r="349" spans="1:28">
      <c r="A349" s="232" t="s">
        <v>701</v>
      </c>
      <c r="B349" s="59">
        <v>100</v>
      </c>
      <c r="C349" s="240">
        <f>B349*274.914266666667/100</f>
        <v>274.914266666667</v>
      </c>
      <c r="D349" s="239">
        <f>B349*29.88/100</f>
        <v>29.88</v>
      </c>
      <c r="E349" s="240">
        <f>B349*16.3333333333333/100</f>
        <v>16.3333333333333</v>
      </c>
      <c r="F349" s="252">
        <f>B349*8.8/100</f>
        <v>8.8000000000000007</v>
      </c>
      <c r="G349" s="252">
        <f>B349*5.6/100</f>
        <v>5.6</v>
      </c>
      <c r="H349" s="252">
        <f>B349*0.2/100</f>
        <v>0.2</v>
      </c>
      <c r="I349" s="263">
        <f>B349*0.19/100</f>
        <v>0.19</v>
      </c>
      <c r="J349" s="263">
        <f>B349*0.03/100</f>
        <v>0.03</v>
      </c>
      <c r="K349" s="240">
        <f>B349*97.87/100</f>
        <v>97.87</v>
      </c>
      <c r="L349" s="242">
        <v>0</v>
      </c>
      <c r="M349" s="239" t="s">
        <v>454</v>
      </c>
      <c r="N349" s="240">
        <f>B349*4.28666666666667/100</f>
        <v>4.2866666666666697</v>
      </c>
      <c r="O349" s="240">
        <f>B349*23.5666666666667/100</f>
        <v>23.566666666666698</v>
      </c>
      <c r="P349" s="240">
        <f>B349*0.01/100</f>
        <v>0.01</v>
      </c>
      <c r="Q349" s="240">
        <f>B349*251.89/100</f>
        <v>251.89</v>
      </c>
      <c r="R349" s="240">
        <f>B349*2.79333333333333/100</f>
        <v>2.7933333333333299</v>
      </c>
      <c r="S349" s="240">
        <f>B349*50.8833333333333/100</f>
        <v>50.883333333333297</v>
      </c>
      <c r="T349" s="240">
        <f>B349*382.74/100</f>
        <v>382.74</v>
      </c>
      <c r="U349" s="240">
        <f>B349*0.08/100</f>
        <v>0.08</v>
      </c>
      <c r="V349" s="240">
        <f>B349*6.68/100</f>
        <v>6.68</v>
      </c>
      <c r="W349" s="240" t="s">
        <v>455</v>
      </c>
      <c r="X349" s="240" t="s">
        <v>455</v>
      </c>
      <c r="Y349" s="240">
        <f>B349*0.186666666666667/100</f>
        <v>0.18666666666666701</v>
      </c>
      <c r="Z349" s="240">
        <f>B349*0.1733/100</f>
        <v>0.17330000000000001</v>
      </c>
      <c r="AA349" s="240">
        <f>B349*2.75333333333333/100</f>
        <v>2.7533333333333299</v>
      </c>
      <c r="AB349" s="239"/>
    </row>
    <row r="350" spans="1:28">
      <c r="A350" s="232" t="s">
        <v>702</v>
      </c>
      <c r="B350" s="59">
        <v>100</v>
      </c>
      <c r="C350" s="240">
        <f>B350*205.8567/100</f>
        <v>205.85669999999999</v>
      </c>
      <c r="D350" s="239">
        <f>B350*21.15/100</f>
        <v>21.15</v>
      </c>
      <c r="E350" s="240">
        <f>B350*12.81/100</f>
        <v>12.81</v>
      </c>
      <c r="F350" s="252">
        <f>B350*5.6/100</f>
        <v>5.6</v>
      </c>
      <c r="G350" s="252">
        <f>B350*5.5/100</f>
        <v>5.5</v>
      </c>
      <c r="H350" s="252">
        <f>B350*0.2/100</f>
        <v>0.2</v>
      </c>
      <c r="I350" s="263">
        <f>B350*0.17/100</f>
        <v>0.17</v>
      </c>
      <c r="J350" s="263">
        <f>B350*0.05/100</f>
        <v>0.05</v>
      </c>
      <c r="K350" s="240">
        <f>B350*72.65/100</f>
        <v>72.650000000000006</v>
      </c>
      <c r="L350" s="242">
        <v>0</v>
      </c>
      <c r="M350" s="239" t="s">
        <v>454</v>
      </c>
      <c r="N350" s="240">
        <f>B350*3.673/100</f>
        <v>3.673</v>
      </c>
      <c r="O350" s="240">
        <f>B350*18.157/100</f>
        <v>18.157</v>
      </c>
      <c r="P350" s="249">
        <f>B350*0.005/100</f>
        <v>5.0000000000000001E-3</v>
      </c>
      <c r="Q350" s="240">
        <f>B350*164.203/100</f>
        <v>164.203</v>
      </c>
      <c r="R350" s="249">
        <f>B350*1.31/100</f>
        <v>1.31</v>
      </c>
      <c r="S350" s="240">
        <f>B350*44.133/100</f>
        <v>44.133000000000003</v>
      </c>
      <c r="T350" s="249">
        <f>B350*284.653/100</f>
        <v>284.65300000000002</v>
      </c>
      <c r="U350" s="249">
        <f>B350*0.039/100</f>
        <v>3.9E-2</v>
      </c>
      <c r="V350" s="249">
        <f>B350*2.79/100</f>
        <v>2.79</v>
      </c>
      <c r="W350" s="249">
        <f>B350*3.587/100</f>
        <v>3.5870000000000006</v>
      </c>
      <c r="X350" s="249">
        <f>B350*0.11/100</f>
        <v>0.11</v>
      </c>
      <c r="Y350" s="249">
        <f>B350*0.08/100</f>
        <v>0.08</v>
      </c>
      <c r="Z350" s="249">
        <f>B350*0.03/100</f>
        <v>0.03</v>
      </c>
      <c r="AA350" s="249">
        <f>B350*3.79/100</f>
        <v>3.79</v>
      </c>
      <c r="AB350" s="240"/>
    </row>
    <row r="351" spans="1:28">
      <c r="A351" s="232" t="s">
        <v>703</v>
      </c>
      <c r="B351" s="59">
        <v>100</v>
      </c>
      <c r="C351" s="240">
        <f>B351*278.053566666667/100</f>
        <v>278.053566666667</v>
      </c>
      <c r="D351" s="239">
        <f>B351*32.3966666666667/100</f>
        <v>32.396666666666697</v>
      </c>
      <c r="E351" s="240">
        <f>B351*15.49/100</f>
        <v>15.49</v>
      </c>
      <c r="F351" s="252">
        <f>B351*7.4/100</f>
        <v>7.4</v>
      </c>
      <c r="G351" s="252">
        <f>B351*6.3/100</f>
        <v>6.3</v>
      </c>
      <c r="H351" s="252">
        <f>B351*0.2/100</f>
        <v>0.2</v>
      </c>
      <c r="I351" s="263">
        <f>B351*0.15/100</f>
        <v>0.15</v>
      </c>
      <c r="J351" s="263">
        <f>B351*0.03/100</f>
        <v>0.03</v>
      </c>
      <c r="K351" s="240">
        <f>B351*143.86/100</f>
        <v>143.86000000000001</v>
      </c>
      <c r="L351" s="242">
        <v>0</v>
      </c>
      <c r="M351" s="239" t="s">
        <v>454</v>
      </c>
      <c r="N351" s="240">
        <f>B351*4.46333333333333/100</f>
        <v>4.4633333333333303</v>
      </c>
      <c r="O351" s="240">
        <f>B351*18.66/100</f>
        <v>18.66</v>
      </c>
      <c r="P351" s="240" t="s">
        <v>455</v>
      </c>
      <c r="Q351" s="240">
        <f>B351*218.536666666667/100</f>
        <v>218.536666666667</v>
      </c>
      <c r="R351" s="240">
        <f>B351*2.35333333333333/100</f>
        <v>2.3533333333333299</v>
      </c>
      <c r="S351" s="240">
        <f>B351*57.0666666666667/100</f>
        <v>57.066666666666698</v>
      </c>
      <c r="T351" s="240">
        <f>B351*351.86/100</f>
        <v>351.86</v>
      </c>
      <c r="U351" s="240">
        <f>B351*0.0933333333333333/100</f>
        <v>9.333333333333331E-2</v>
      </c>
      <c r="V351" s="240">
        <f>B351*4.78/100</f>
        <v>4.78</v>
      </c>
      <c r="W351" s="240" t="s">
        <v>455</v>
      </c>
      <c r="X351" s="240" t="s">
        <v>455</v>
      </c>
      <c r="Y351" s="240">
        <f>B351*0.183333333333333/100</f>
        <v>0.18333333333333302</v>
      </c>
      <c r="Z351" s="240">
        <f>B351*0.13/100</f>
        <v>0.13</v>
      </c>
      <c r="AA351" s="240">
        <f>B351*4.91/100</f>
        <v>4.91</v>
      </c>
      <c r="AB351" s="240"/>
    </row>
    <row r="352" spans="1:28">
      <c r="A352" s="232" t="s">
        <v>704</v>
      </c>
      <c r="B352" s="59">
        <v>100</v>
      </c>
      <c r="C352" s="240">
        <f>B352*156.615833333333/100</f>
        <v>156.615833333333</v>
      </c>
      <c r="D352" s="239">
        <f>B352*23.9966666666667/100</f>
        <v>23.996666666666702</v>
      </c>
      <c r="E352" s="240">
        <f>B352*6.00333333333333/100</f>
        <v>6.0033333333333303</v>
      </c>
      <c r="F352" s="252">
        <f>B352*2.7/100</f>
        <v>2.7</v>
      </c>
      <c r="G352" s="252">
        <f>B352*2.6/100</f>
        <v>2.6</v>
      </c>
      <c r="H352" s="252">
        <f>B352*0.1/100</f>
        <v>0.1</v>
      </c>
      <c r="I352" s="263">
        <f>B352*0.11/100</f>
        <v>0.11</v>
      </c>
      <c r="J352" s="263">
        <f>B352*0.01/100</f>
        <v>0.01</v>
      </c>
      <c r="K352" s="240">
        <f>B352*59.46/100</f>
        <v>59.46</v>
      </c>
      <c r="L352" s="242">
        <v>0</v>
      </c>
      <c r="M352" s="239" t="s">
        <v>454</v>
      </c>
      <c r="N352" s="240">
        <f>B352*4.19666666666667/100</f>
        <v>4.1966666666666699</v>
      </c>
      <c r="O352" s="240">
        <f>B352*20.6266666666667/100</f>
        <v>20.626666666666701</v>
      </c>
      <c r="P352" s="249" t="s">
        <v>455</v>
      </c>
      <c r="Q352" s="240">
        <f>B352*183.823333333333/100</f>
        <v>183.82333333333298</v>
      </c>
      <c r="R352" s="240">
        <f>B352*1.68/100</f>
        <v>1.68</v>
      </c>
      <c r="S352" s="240">
        <f>B352*52.8933333333333/100</f>
        <v>52.893333333333302</v>
      </c>
      <c r="T352" s="240">
        <f>B352*334.616666666667/100</f>
        <v>334.61666666666702</v>
      </c>
      <c r="U352" s="240">
        <f>B352*0.0466666666666667/100</f>
        <v>4.6666666666666697E-2</v>
      </c>
      <c r="V352" s="240">
        <f>B352*3.24/100</f>
        <v>3.24</v>
      </c>
      <c r="W352" s="249" t="s">
        <v>455</v>
      </c>
      <c r="X352" s="249" t="s">
        <v>455</v>
      </c>
      <c r="Y352" s="240">
        <f>B352*0.2/100</f>
        <v>0.2</v>
      </c>
      <c r="Z352" s="249" t="s">
        <v>455</v>
      </c>
      <c r="AA352" s="240">
        <f>B352*4.64/100</f>
        <v>4.6399999999999997</v>
      </c>
      <c r="AB352" s="240"/>
    </row>
    <row r="353" spans="1:28">
      <c r="A353" s="232" t="s">
        <v>705</v>
      </c>
      <c r="B353" s="59">
        <v>100</v>
      </c>
      <c r="C353" s="240">
        <f>B353*193.691566666667/100</f>
        <v>193.69156666666697</v>
      </c>
      <c r="D353" s="239">
        <f>B353*35.8833333333333/100</f>
        <v>35.883333333333297</v>
      </c>
      <c r="E353" s="240">
        <f>B353*4.48666666666667/100</f>
        <v>4.4866666666666699</v>
      </c>
      <c r="F353" s="252">
        <f>B353*2.03333333333333/100</f>
        <v>2.0333333333333301</v>
      </c>
      <c r="G353" s="252">
        <f>B353*1.9/100</f>
        <v>1.9</v>
      </c>
      <c r="H353" s="252">
        <f>B353*0.1/100</f>
        <v>0.1</v>
      </c>
      <c r="I353" s="263">
        <f>B353*0.08/100</f>
        <v>0.08</v>
      </c>
      <c r="J353" s="263">
        <f>B353*0.01/100</f>
        <v>0.01</v>
      </c>
      <c r="K353" s="240">
        <f>B353*101.9/100</f>
        <v>101.9</v>
      </c>
      <c r="L353" s="242">
        <v>0</v>
      </c>
      <c r="M353" s="239" t="s">
        <v>454</v>
      </c>
      <c r="N353" s="240">
        <f>B353*4.99666666666667/100</f>
        <v>4.9966666666666697</v>
      </c>
      <c r="O353" s="240">
        <f>B353*21.06/100</f>
        <v>21.06</v>
      </c>
      <c r="P353" s="240" t="s">
        <v>455</v>
      </c>
      <c r="Q353" s="240">
        <f>B353*240.603333333333/100</f>
        <v>240.60333333333298</v>
      </c>
      <c r="R353" s="240">
        <f>B353*2.35333333333333/100</f>
        <v>2.3533333333333299</v>
      </c>
      <c r="S353" s="240">
        <f>B353*57.51/100</f>
        <v>57.51</v>
      </c>
      <c r="T353" s="240">
        <f>B353*386.47/100</f>
        <v>386.47</v>
      </c>
      <c r="U353" s="240">
        <f>B353*0.0933333333333333/100</f>
        <v>9.333333333333331E-2</v>
      </c>
      <c r="V353" s="240">
        <f>B353*5.13666666666667/100</f>
        <v>5.1366666666666694</v>
      </c>
      <c r="W353" s="240" t="s">
        <v>455</v>
      </c>
      <c r="X353" s="240" t="s">
        <v>455</v>
      </c>
      <c r="Y353" s="240">
        <f>B353*0.166666666666667/100</f>
        <v>0.16666666666666699</v>
      </c>
      <c r="Z353" s="240">
        <f>B353*0.16/100</f>
        <v>0.16</v>
      </c>
      <c r="AA353" s="240">
        <f>B353*4.93333333333333/100</f>
        <v>4.93333333333333</v>
      </c>
      <c r="AB353" s="240"/>
    </row>
    <row r="354" spans="1:28">
      <c r="A354" s="232" t="s">
        <v>706</v>
      </c>
      <c r="B354" s="59">
        <v>100</v>
      </c>
      <c r="C354" s="240">
        <f>B354*373.038866666667/100</f>
        <v>373.03886666666699</v>
      </c>
      <c r="D354" s="239">
        <f>B354*28.8066666666667/100</f>
        <v>28.8066666666667</v>
      </c>
      <c r="E354" s="240">
        <f>B354*27.72/100</f>
        <v>27.72</v>
      </c>
      <c r="F354" s="252">
        <f>B354*11.8/100</f>
        <v>11.8</v>
      </c>
      <c r="G354" s="252">
        <f>B354*12.1/100</f>
        <v>12.1</v>
      </c>
      <c r="H354" s="252">
        <f>B354*0.3/100</f>
        <v>0.3</v>
      </c>
      <c r="I354" s="263">
        <f>B354*0.16/100</f>
        <v>0.16</v>
      </c>
      <c r="J354" s="263">
        <f>B354*0.15/100</f>
        <v>0.15</v>
      </c>
      <c r="K354" s="240">
        <f>B354*94.587/100</f>
        <v>94.587000000000003</v>
      </c>
      <c r="L354" s="242">
        <v>0</v>
      </c>
      <c r="M354" s="239" t="s">
        <v>454</v>
      </c>
      <c r="N354" s="240">
        <f>B354*28.01/100</f>
        <v>28.01</v>
      </c>
      <c r="O354" s="240">
        <f>B354*19.5466666666667/100</f>
        <v>19.546666666666699</v>
      </c>
      <c r="P354" s="240" t="s">
        <v>455</v>
      </c>
      <c r="Q354" s="240">
        <f>B354*179.05/100</f>
        <v>179.05</v>
      </c>
      <c r="R354" s="240">
        <f>B354*2.18/100</f>
        <v>2.1800000000000002</v>
      </c>
      <c r="S354" s="240">
        <f>B354*91.86/100</f>
        <v>91.86</v>
      </c>
      <c r="T354" s="240">
        <f>B354*270.006666666667/100</f>
        <v>270.006666666667</v>
      </c>
      <c r="U354" s="240">
        <f>B354*0.0833333333333333/100</f>
        <v>8.3333333333333301E-2</v>
      </c>
      <c r="V354" s="240">
        <f>B354*5.45333333333333/100</f>
        <v>5.4533333333333296</v>
      </c>
      <c r="W354" s="240" t="s">
        <v>455</v>
      </c>
      <c r="X354" s="240" t="s">
        <v>455</v>
      </c>
      <c r="Y354" s="240">
        <f>B354*0.0833333333333333/100</f>
        <v>8.3333333333333301E-2</v>
      </c>
      <c r="Z354" s="240">
        <f>B354*0.35/100</f>
        <v>0.35</v>
      </c>
      <c r="AA354" s="240">
        <f>B354*0.556666666666667/100</f>
        <v>0.55666666666666698</v>
      </c>
      <c r="AB354" s="240"/>
    </row>
    <row r="355" spans="1:28">
      <c r="A355" s="232" t="s">
        <v>3160</v>
      </c>
      <c r="B355" s="59">
        <v>100</v>
      </c>
      <c r="C355" s="240">
        <f>B355*357.722466666667/100</f>
        <v>357.722466666667</v>
      </c>
      <c r="D355" s="239">
        <f>B355*16.7066666666667/100</f>
        <v>16.706666666666699</v>
      </c>
      <c r="E355" s="240">
        <f>B355*31.75/100</f>
        <v>31.75</v>
      </c>
      <c r="F355" s="252">
        <f>B355*14.9/100</f>
        <v>14.9</v>
      </c>
      <c r="G355" s="252">
        <f>B355*12.7/100</f>
        <v>12.7</v>
      </c>
      <c r="H355" s="252">
        <f>B355*0.3/100</f>
        <v>0.3</v>
      </c>
      <c r="I355" s="263">
        <f>B355*0.15/100</f>
        <v>0.15</v>
      </c>
      <c r="J355" s="263">
        <f>B355*0.12/100</f>
        <v>0.12</v>
      </c>
      <c r="K355" s="240">
        <f>B355*44.19/100</f>
        <v>44.19</v>
      </c>
      <c r="L355" s="242">
        <v>0</v>
      </c>
      <c r="M355" s="239" t="s">
        <v>454</v>
      </c>
      <c r="N355" s="240" t="s">
        <v>23</v>
      </c>
      <c r="O355" s="240">
        <f>B355*11.6766666666667/100</f>
        <v>11.6766666666667</v>
      </c>
      <c r="P355" s="249" t="s">
        <v>455</v>
      </c>
      <c r="Q355" s="240">
        <f>B355*129.966666666667/100</f>
        <v>129.96666666666701</v>
      </c>
      <c r="R355" s="249">
        <f>B355*1.20333333333333/100</f>
        <v>1.20333333333333</v>
      </c>
      <c r="S355" s="240">
        <f>B355*69.9966666666667/100</f>
        <v>69.996666666666698</v>
      </c>
      <c r="T355" s="249">
        <f>B355*151.16/100</f>
        <v>151.16</v>
      </c>
      <c r="U355" s="249" t="s">
        <v>455</v>
      </c>
      <c r="V355" s="249">
        <f>B355*2.69666666666667/100</f>
        <v>2.6966666666666699</v>
      </c>
      <c r="W355" s="249">
        <f>B355*4.56666666666667/100</f>
        <v>4.56666666666667</v>
      </c>
      <c r="X355" s="249">
        <f>B355*0.12/100</f>
        <v>0.12</v>
      </c>
      <c r="Y355" s="249">
        <f>B355*0.11/100</f>
        <v>0.11</v>
      </c>
      <c r="Z355" s="249" t="s">
        <v>455</v>
      </c>
      <c r="AA355" s="249">
        <f>B355*5.99/100</f>
        <v>5.99</v>
      </c>
      <c r="AB355" s="240"/>
    </row>
    <row r="356" spans="1:28">
      <c r="A356" s="232" t="s">
        <v>707</v>
      </c>
      <c r="B356" s="59">
        <v>100</v>
      </c>
      <c r="C356" s="240">
        <f>B356*216.616066666667/100</f>
        <v>216.616066666667</v>
      </c>
      <c r="D356" s="239">
        <f>B356*31.88/100</f>
        <v>31.88</v>
      </c>
      <c r="E356" s="240">
        <f>B356*8.92333333333333/100</f>
        <v>8.9233333333333302</v>
      </c>
      <c r="F356" s="252">
        <f>B356*3.5/100</f>
        <v>3.5</v>
      </c>
      <c r="G356" s="252">
        <f>B356*4.1/100</f>
        <v>4.0999999999999996</v>
      </c>
      <c r="H356" s="252">
        <f>B356*0.2/100</f>
        <v>0.2</v>
      </c>
      <c r="I356" s="263">
        <f>B356*0.13/100</f>
        <v>0.13</v>
      </c>
      <c r="J356" s="263">
        <f>B356*0.02/100</f>
        <v>0.02</v>
      </c>
      <c r="K356" s="240">
        <f>B356*71.1/100</f>
        <v>71.099999999999994</v>
      </c>
      <c r="L356" s="242">
        <v>0</v>
      </c>
      <c r="M356" s="239" t="s">
        <v>454</v>
      </c>
      <c r="N356" s="240">
        <f>B356*3.98/100</f>
        <v>3.98</v>
      </c>
      <c r="O356" s="240">
        <f>B356*13.79/100</f>
        <v>13.79</v>
      </c>
      <c r="P356" s="240" t="s">
        <v>455</v>
      </c>
      <c r="Q356" s="240">
        <f>B356*188.966666666667/100</f>
        <v>188.96666666666701</v>
      </c>
      <c r="R356" s="240">
        <f>B356*1.7/100</f>
        <v>1.7</v>
      </c>
      <c r="S356" s="240">
        <f>B356*41.1/100</f>
        <v>41.1</v>
      </c>
      <c r="T356" s="240">
        <f>B356*251.66/100</f>
        <v>251.66</v>
      </c>
      <c r="U356" s="240">
        <f>B356*0.07/100</f>
        <v>7.0000000000000007E-2</v>
      </c>
      <c r="V356" s="240">
        <f>B356*4.97333333333333/100</f>
        <v>4.9733333333333301</v>
      </c>
      <c r="W356" s="240">
        <f>B356*2.06/100</f>
        <v>2.06</v>
      </c>
      <c r="X356" s="240" t="s">
        <v>455</v>
      </c>
      <c r="Y356" s="240" t="s">
        <v>455</v>
      </c>
      <c r="Z356" s="240" t="s">
        <v>455</v>
      </c>
      <c r="AA356" s="240">
        <f>B356*3.26/100</f>
        <v>3.26</v>
      </c>
      <c r="AB356" s="240"/>
    </row>
    <row r="357" spans="1:28">
      <c r="A357" s="232" t="s">
        <v>708</v>
      </c>
      <c r="B357" s="59">
        <v>100</v>
      </c>
      <c r="C357" s="240">
        <f>B357*147.966333333333/100</f>
        <v>147.96633333333301</v>
      </c>
      <c r="D357" s="239">
        <f>B357*21.5133333333333/100</f>
        <v>21.5133333333333</v>
      </c>
      <c r="E357" s="240">
        <f>B357*6.22/100</f>
        <v>6.22</v>
      </c>
      <c r="F357" s="252">
        <f>B357*2.86/100</f>
        <v>2.86</v>
      </c>
      <c r="G357" s="252">
        <f>B357*2.4/100</f>
        <v>2.4</v>
      </c>
      <c r="H357" s="252">
        <f>B357*0.1/100</f>
        <v>0.1</v>
      </c>
      <c r="I357" s="263">
        <f>B357*0.06/100</f>
        <v>0.06</v>
      </c>
      <c r="J357" s="263">
        <f>B357*0.01/100</f>
        <v>0.01</v>
      </c>
      <c r="K357" s="240">
        <f>B357*59.98/100</f>
        <v>59.98</v>
      </c>
      <c r="L357" s="242">
        <v>0</v>
      </c>
      <c r="M357" s="239" t="s">
        <v>454</v>
      </c>
      <c r="N357" s="240">
        <f>B357*2.95333333333333/100</f>
        <v>2.9533333333333305</v>
      </c>
      <c r="O357" s="240">
        <f>B357*21.11/100</f>
        <v>21.11</v>
      </c>
      <c r="P357" s="249" t="s">
        <v>455</v>
      </c>
      <c r="Q357" s="240">
        <f>B357*188.51/100</f>
        <v>188.51</v>
      </c>
      <c r="R357" s="249">
        <f>B357*1.89333333333333/100</f>
        <v>1.89333333333333</v>
      </c>
      <c r="S357" s="240">
        <f>B357*48.5466666666667/100</f>
        <v>48.546666666666709</v>
      </c>
      <c r="T357" s="249">
        <f>B357*357.876666666667/100</f>
        <v>357.87666666666701</v>
      </c>
      <c r="U357" s="249">
        <f>B357*0.05/100</f>
        <v>0.05</v>
      </c>
      <c r="V357" s="249">
        <f>B357*2.80666666666667/100</f>
        <v>2.8066666666666702</v>
      </c>
      <c r="W357" s="249">
        <f>B357*2.06666666666667/100</f>
        <v>2.06666666666667</v>
      </c>
      <c r="X357" s="249">
        <f>B357*0.116666666666667/100</f>
        <v>0.116666666666667</v>
      </c>
      <c r="Y357" s="249">
        <f>B357*0.2/100</f>
        <v>0.2</v>
      </c>
      <c r="Z357" s="249" t="s">
        <v>455</v>
      </c>
      <c r="AA357" s="240">
        <f>B357*4.37666666666667/100</f>
        <v>4.3766666666666696</v>
      </c>
      <c r="AB357" s="240"/>
    </row>
    <row r="358" spans="1:28">
      <c r="A358" s="232" t="s">
        <v>709</v>
      </c>
      <c r="B358" s="59">
        <v>100</v>
      </c>
      <c r="C358" s="240">
        <f>B358*218.6751/100</f>
        <v>218.67509999999999</v>
      </c>
      <c r="D358" s="239">
        <f>B358*32.3833333333333/100</f>
        <v>32.383333333333297</v>
      </c>
      <c r="E358" s="240">
        <f>B358*8.91333333333333/100</f>
        <v>8.9133333333333304</v>
      </c>
      <c r="F358" s="252">
        <f>B358*4.3/100</f>
        <v>4.3</v>
      </c>
      <c r="G358" s="252">
        <f>B358*3.4/100</f>
        <v>3.4</v>
      </c>
      <c r="H358" s="252">
        <f>B358*0.2/100</f>
        <v>0.2</v>
      </c>
      <c r="I358" s="263">
        <f>B358*0.16/100</f>
        <v>0.16</v>
      </c>
      <c r="J358" s="263">
        <f>B358*0.01/100</f>
        <v>0.01</v>
      </c>
      <c r="K358" s="240">
        <f>B358*84.15/100</f>
        <v>84.15</v>
      </c>
      <c r="L358" s="242">
        <v>0</v>
      </c>
      <c r="M358" s="239" t="s">
        <v>454</v>
      </c>
      <c r="N358" s="240">
        <f>B358*3.73333333333333/100</f>
        <v>3.7333333333333298</v>
      </c>
      <c r="O358" s="240">
        <f>B358*13.47/100</f>
        <v>13.47</v>
      </c>
      <c r="P358" s="240" t="s">
        <v>455</v>
      </c>
      <c r="Q358" s="240">
        <f>B358*182.673333333333/100</f>
        <v>182.67333333333301</v>
      </c>
      <c r="R358" s="240">
        <f>B358*2.55666666666667/100</f>
        <v>2.5566666666666702</v>
      </c>
      <c r="S358" s="240">
        <f>B358*43.5033333333333/100</f>
        <v>43.503333333333302</v>
      </c>
      <c r="T358" s="240">
        <f>B358*238.506666666667/100</f>
        <v>238.506666666667</v>
      </c>
      <c r="U358" s="240">
        <f>B358*0.113333333333333/100</f>
        <v>0.11333333333333301</v>
      </c>
      <c r="V358" s="240">
        <f>B358*4.69666666666667/100</f>
        <v>4.6966666666666699</v>
      </c>
      <c r="W358" s="240">
        <f>B358*2.46666666666667/100</f>
        <v>2.4666666666666699</v>
      </c>
      <c r="X358" s="240" t="s">
        <v>455</v>
      </c>
      <c r="Y358" s="240" t="s">
        <v>455</v>
      </c>
      <c r="Z358" s="240" t="s">
        <v>455</v>
      </c>
      <c r="AA358" s="255">
        <f>B358*4.09/100</f>
        <v>4.09</v>
      </c>
      <c r="AB358" s="240"/>
    </row>
    <row r="359" spans="1:28">
      <c r="A359" s="232" t="s">
        <v>710</v>
      </c>
      <c r="B359" s="59">
        <v>100</v>
      </c>
      <c r="C359" s="240">
        <f>B359*169.065966666667/100</f>
        <v>169.06596666666701</v>
      </c>
      <c r="D359" s="239">
        <f>B359*21.23/100</f>
        <v>21.23</v>
      </c>
      <c r="E359" s="240">
        <f>B359*8.69333333333333/100</f>
        <v>8.6933333333333298</v>
      </c>
      <c r="F359" s="252">
        <f>B359*3.9/100</f>
        <v>3.9</v>
      </c>
      <c r="G359" s="252">
        <f>B359*3.7/100</f>
        <v>3.7</v>
      </c>
      <c r="H359" s="252">
        <f>B359*0.1/100</f>
        <v>0.1</v>
      </c>
      <c r="I359" s="263">
        <f>B359*0.09/100</f>
        <v>0.09</v>
      </c>
      <c r="J359" s="263">
        <f>B359*0.01/100</f>
        <v>0.01</v>
      </c>
      <c r="K359" s="240">
        <f>B359*83.82/100</f>
        <v>83.82</v>
      </c>
      <c r="L359" s="242">
        <v>0</v>
      </c>
      <c r="M359" s="239" t="s">
        <v>454</v>
      </c>
      <c r="N359" s="240">
        <f>B359*2.98666666666667/100</f>
        <v>2.9866666666666699</v>
      </c>
      <c r="O359" s="240">
        <f>B359*20.7166666666667/100</f>
        <v>20.716666666666701</v>
      </c>
      <c r="P359" s="249" t="s">
        <v>455</v>
      </c>
      <c r="Q359" s="240">
        <f>B359*175.403333333333/100</f>
        <v>175.40333333333299</v>
      </c>
      <c r="R359" s="249">
        <f>B359*1.88666666666667/100</f>
        <v>1.88666666666667</v>
      </c>
      <c r="S359" s="240">
        <f>B359*60.5333333333333/100</f>
        <v>60.533333333333303</v>
      </c>
      <c r="T359" s="249">
        <f>B359*334.903333333333/100</f>
        <v>334.90333333333297</v>
      </c>
      <c r="U359" s="249">
        <f>B359*0.05/100</f>
        <v>0.05</v>
      </c>
      <c r="V359" s="249">
        <f>B359*2.63333333333333/100</f>
        <v>2.6333333333333302</v>
      </c>
      <c r="W359" s="249">
        <f>B359*2.61/100</f>
        <v>2.61</v>
      </c>
      <c r="X359" s="249">
        <f>B359*0.12/100</f>
        <v>0.12</v>
      </c>
      <c r="Y359" s="249">
        <f>B359*0.193333333333333/100</f>
        <v>0.193333333333333</v>
      </c>
      <c r="Z359" s="249" t="s">
        <v>455</v>
      </c>
      <c r="AA359" s="240">
        <f>B359*2.32/100</f>
        <v>2.3199999999999998</v>
      </c>
      <c r="AB359" s="240"/>
    </row>
    <row r="360" spans="1:28">
      <c r="A360" s="232" t="s">
        <v>711</v>
      </c>
      <c r="B360" s="59">
        <v>100</v>
      </c>
      <c r="C360" s="240">
        <f>B360*330.100290833333/100</f>
        <v>330.10029083333296</v>
      </c>
      <c r="D360" s="239">
        <f>B360*28.63125/100</f>
        <v>28.631250000000001</v>
      </c>
      <c r="E360" s="240">
        <f>B360*23.0426666666667/100</f>
        <v>23.042666666666701</v>
      </c>
      <c r="F360" s="252">
        <f>B360*5.5/100</f>
        <v>5.5</v>
      </c>
      <c r="G360" s="252">
        <f>B360*5.4/100</f>
        <v>5.4</v>
      </c>
      <c r="H360" s="252">
        <f>B360*0.2/100</f>
        <v>0.2</v>
      </c>
      <c r="I360" s="263">
        <f>B360*0.18/100</f>
        <v>0.18</v>
      </c>
      <c r="J360" s="263">
        <f>B360*0.03/100</f>
        <v>0.03</v>
      </c>
      <c r="K360" s="240">
        <f>B360*90.8/100</f>
        <v>90.8</v>
      </c>
      <c r="L360" s="242">
        <v>0</v>
      </c>
      <c r="M360" s="239" t="s">
        <v>454</v>
      </c>
      <c r="N360" s="240">
        <f>B360*7.62333333333333/100</f>
        <v>7.6233333333333304</v>
      </c>
      <c r="O360" s="240">
        <f>B360*18.2066666666667/100</f>
        <v>18.206666666666699</v>
      </c>
      <c r="P360" s="240" t="s">
        <v>455</v>
      </c>
      <c r="Q360" s="240">
        <f>B360*212.27/100</f>
        <v>212.27</v>
      </c>
      <c r="R360" s="240">
        <f>B360*2.70333333333333/100</f>
        <v>2.7033333333333305</v>
      </c>
      <c r="S360" s="240">
        <f>B360*71.5866666666667/100</f>
        <v>71.586666666666702</v>
      </c>
      <c r="T360" s="240">
        <f>B360*321.073333333333/100</f>
        <v>321.07333333333298</v>
      </c>
      <c r="U360" s="240">
        <f>B360*0.08/100</f>
        <v>0.08</v>
      </c>
      <c r="V360" s="240">
        <f>B360*5.28666666666667/100</f>
        <v>5.2866666666666697</v>
      </c>
      <c r="W360" s="240" t="s">
        <v>455</v>
      </c>
      <c r="X360" s="240" t="s">
        <v>455</v>
      </c>
      <c r="Y360" s="240">
        <f>B360*0.0766666666666667/100</f>
        <v>7.6666666666666702E-2</v>
      </c>
      <c r="Z360" s="240">
        <f>B360*0.14/100</f>
        <v>0.14000000000000001</v>
      </c>
      <c r="AA360" s="240">
        <f>B360*2.16333333333333/100</f>
        <v>2.16333333333333</v>
      </c>
      <c r="AB360" s="240"/>
    </row>
    <row r="361" spans="1:28">
      <c r="A361" s="232" t="s">
        <v>712</v>
      </c>
      <c r="B361" s="59">
        <v>100</v>
      </c>
      <c r="C361" s="240">
        <f>B361*221.3975/100</f>
        <v>221.39750000000001</v>
      </c>
      <c r="D361" s="239">
        <f>B361*19.5366666666667/100</f>
        <v>19.536666666666701</v>
      </c>
      <c r="E361" s="240">
        <f>B361*15.2966666666667/100</f>
        <v>15.296666666666702</v>
      </c>
      <c r="F361" s="252">
        <f>B361*6.8/100</f>
        <v>6.8</v>
      </c>
      <c r="G361" s="252">
        <f>B361*6.4/100</f>
        <v>6.4</v>
      </c>
      <c r="H361" s="252">
        <f>B361*0.2/100</f>
        <v>0.2</v>
      </c>
      <c r="I361" s="263">
        <f>B361*0.15/100</f>
        <v>0.15</v>
      </c>
      <c r="J361" s="263">
        <f>B361*0.06/100</f>
        <v>0.06</v>
      </c>
      <c r="K361" s="240">
        <f>B361*50.95/100</f>
        <v>50.95</v>
      </c>
      <c r="L361" s="242">
        <v>0</v>
      </c>
      <c r="M361" s="239" t="s">
        <v>454</v>
      </c>
      <c r="N361" s="240">
        <f>B361*3.56666666666667/100</f>
        <v>3.5666666666666695</v>
      </c>
      <c r="O361" s="240">
        <f>B361*12.76/100</f>
        <v>12.76</v>
      </c>
      <c r="P361" s="249" t="s">
        <v>455</v>
      </c>
      <c r="Q361" s="240">
        <f>B361*220.126666666667/100</f>
        <v>220.12666666666701</v>
      </c>
      <c r="R361" s="249">
        <f>B361*1.13/100</f>
        <v>1.1299999999999999</v>
      </c>
      <c r="S361" s="240">
        <f>B361*46.86/100</f>
        <v>46.86</v>
      </c>
      <c r="T361" s="249">
        <f>B361*150.58/100</f>
        <v>150.58000000000001</v>
      </c>
      <c r="U361" s="249">
        <f>B361*0.0286666666666667/100</f>
        <v>2.8666666666666701E-2</v>
      </c>
      <c r="V361" s="249">
        <f>B361*2.42333333333333/100</f>
        <v>2.4233333333333298</v>
      </c>
      <c r="W361" s="249">
        <f>B361*2.70333333333333/100</f>
        <v>2.7033333333333305</v>
      </c>
      <c r="X361" s="249">
        <f>B361*0.113333333333333/100</f>
        <v>0.11333333333333301</v>
      </c>
      <c r="Y361" s="249">
        <f>B361*0.05/100</f>
        <v>0.05</v>
      </c>
      <c r="Z361" s="249">
        <f>B361*0.03/100</f>
        <v>0.03</v>
      </c>
      <c r="AA361" s="249">
        <f>B361*3.33/100</f>
        <v>3.33</v>
      </c>
      <c r="AB361" s="240"/>
    </row>
    <row r="362" spans="1:28">
      <c r="A362" s="232" t="s">
        <v>713</v>
      </c>
      <c r="B362" s="59">
        <v>100</v>
      </c>
      <c r="C362" s="240">
        <f>B362*141.045866666667/100</f>
        <v>141.045866666667</v>
      </c>
      <c r="D362" s="239">
        <f>B362*20.7133333333333/100</f>
        <v>20.713333333333299</v>
      </c>
      <c r="E362" s="240">
        <f>B362*5.35666666666667/100</f>
        <v>5.35666666666667</v>
      </c>
      <c r="F362" s="252">
        <f>B362*2.79/100</f>
        <v>2.79</v>
      </c>
      <c r="G362" s="252">
        <f>B362*1.5/100</f>
        <v>1.5</v>
      </c>
      <c r="H362" s="252">
        <f>B362*0.1/100</f>
        <v>0.1</v>
      </c>
      <c r="I362" s="263">
        <f>B362*0.05/100</f>
        <v>0.05</v>
      </c>
      <c r="J362" s="263" t="s">
        <v>455</v>
      </c>
      <c r="K362" s="240">
        <f>B362*392.883/100</f>
        <v>392.88299999999998</v>
      </c>
      <c r="L362" s="242">
        <f>B362*1.10666666666667/100</f>
        <v>1.10666666666667</v>
      </c>
      <c r="M362" s="239" t="s">
        <v>454</v>
      </c>
      <c r="N362" s="240">
        <f>B362*4.15666666666667/100</f>
        <v>4.1566666666666698</v>
      </c>
      <c r="O362" s="240">
        <f>B362*12.42/100</f>
        <v>12.42</v>
      </c>
      <c r="P362" s="249">
        <f>B362*0.26/100</f>
        <v>0.26</v>
      </c>
      <c r="Q362" s="240">
        <f>B362*334.163333333333/100</f>
        <v>334.16333333333301</v>
      </c>
      <c r="R362" s="249">
        <f>B362*5.62666666666667/100</f>
        <v>5.6266666666666696</v>
      </c>
      <c r="S362" s="240">
        <f>B362*75.92/100</f>
        <v>75.92</v>
      </c>
      <c r="T362" s="249">
        <f>B362*264.5/100</f>
        <v>264.5</v>
      </c>
      <c r="U362" s="249">
        <f>B362*9.00666666666667/100</f>
        <v>9.0066666666666695</v>
      </c>
      <c r="V362" s="249">
        <f>B362*3.46333333333333/100</f>
        <v>3.4633333333333298</v>
      </c>
      <c r="W362" s="249">
        <f>B362*7936.7/100</f>
        <v>7936.7</v>
      </c>
      <c r="X362" s="249">
        <f>B362*0.136666666666667/100</f>
        <v>0.13666666666666699</v>
      </c>
      <c r="Y362" s="249">
        <f>B362*0.903333333333333/100</f>
        <v>0.90333333333333299</v>
      </c>
      <c r="Z362" s="249" t="s">
        <v>455</v>
      </c>
      <c r="AA362" s="240">
        <f>B362*10.66/100</f>
        <v>10.66</v>
      </c>
      <c r="AB362" s="240"/>
    </row>
    <row r="363" spans="1:28">
      <c r="A363" s="232" t="s">
        <v>812</v>
      </c>
      <c r="B363" s="59">
        <v>100</v>
      </c>
      <c r="C363" s="240">
        <f>B363*225.0264/100</f>
        <v>225.0264</v>
      </c>
      <c r="D363" s="239">
        <f>B363*29.86/100</f>
        <v>29.86</v>
      </c>
      <c r="E363" s="240">
        <f>B363*9.01/100</f>
        <v>9.01</v>
      </c>
      <c r="F363" s="252">
        <f>B363*4.7/100</f>
        <v>4.7</v>
      </c>
      <c r="G363" s="252">
        <f>B363*2.2/100</f>
        <v>2.2000000000000002</v>
      </c>
      <c r="H363" s="252">
        <f>B363*1.1/100</f>
        <v>1.1000000000000001</v>
      </c>
      <c r="I363" s="263">
        <f>B363*0.68/100</f>
        <v>0.68</v>
      </c>
      <c r="J363" s="263">
        <f>B363*0.37/100</f>
        <v>0.37</v>
      </c>
      <c r="K363" s="240">
        <f>B363*601.47/100</f>
        <v>601.47</v>
      </c>
      <c r="L363" s="242">
        <f>B363*4.2/100</f>
        <v>4.2</v>
      </c>
      <c r="M363" s="239" t="s">
        <v>454</v>
      </c>
      <c r="N363" s="240">
        <f>B363*5.56/100</f>
        <v>5.56</v>
      </c>
      <c r="O363" s="240">
        <f>B363*9.69666666666667/100</f>
        <v>9.6966666666666708</v>
      </c>
      <c r="P363" s="240">
        <f>B363*0.216666666666667/100</f>
        <v>0.21666666666666701</v>
      </c>
      <c r="Q363" s="240">
        <f>B363*419.916666666667/100</f>
        <v>419.91666666666703</v>
      </c>
      <c r="R363" s="240">
        <f>B363*5.79/100</f>
        <v>5.79</v>
      </c>
      <c r="S363" s="240">
        <f>B363*82.19/100</f>
        <v>82.19</v>
      </c>
      <c r="T363" s="240">
        <f>B363*309.37/100</f>
        <v>309.37</v>
      </c>
      <c r="U363" s="240">
        <f>B363*12.5766666666667/100</f>
        <v>12.5766666666667</v>
      </c>
      <c r="V363" s="240">
        <f>B363*3.95/100</f>
        <v>3.95</v>
      </c>
      <c r="W363" s="240">
        <f>B363*14574/100</f>
        <v>14574</v>
      </c>
      <c r="X363" s="240">
        <f>B363*0.213333333333333/100</f>
        <v>0.21333333333333301</v>
      </c>
      <c r="Y363" s="240">
        <f>B363*2.69333333333333/100</f>
        <v>2.6933333333333298</v>
      </c>
      <c r="Z363" s="240" t="s">
        <v>455</v>
      </c>
      <c r="AA363" s="240">
        <f>B363*11.9233333333333/100</f>
        <v>11.9233333333333</v>
      </c>
      <c r="AB363" s="240"/>
    </row>
    <row r="364" spans="1:28">
      <c r="A364" s="232" t="s">
        <v>3161</v>
      </c>
      <c r="B364" s="59">
        <v>100</v>
      </c>
      <c r="C364" s="240">
        <f>B364*142.864266666667/100</f>
        <v>142.86426666666699</v>
      </c>
      <c r="D364" s="239">
        <f>B364*21.6/100</f>
        <v>21.6</v>
      </c>
      <c r="E364" s="240">
        <f>B364*5.61333333333333/100</f>
        <v>5.6133333333333306</v>
      </c>
      <c r="F364" s="252">
        <f>B364*2.9/100</f>
        <v>2.9</v>
      </c>
      <c r="G364" s="252">
        <f>B364*1.9/100</f>
        <v>1.9</v>
      </c>
      <c r="H364" s="252">
        <f>B364*0.2/100</f>
        <v>0.2</v>
      </c>
      <c r="I364" s="263">
        <f>B364*0.14/100</f>
        <v>0.14000000000000001</v>
      </c>
      <c r="J364" s="263">
        <f>B364*0.03/100</f>
        <v>0.03</v>
      </c>
      <c r="K364" s="240">
        <f>B364*54.763/100</f>
        <v>54.763000000000005</v>
      </c>
      <c r="L364" s="242">
        <v>0</v>
      </c>
      <c r="M364" s="239" t="s">
        <v>454</v>
      </c>
      <c r="N364" s="240">
        <f>B364*2.93/100</f>
        <v>2.93</v>
      </c>
      <c r="O364" s="240">
        <f>B364*21.39/100</f>
        <v>21.39</v>
      </c>
      <c r="P364" s="249">
        <f>B364*0.008/100</f>
        <v>8.0000000000000002E-3</v>
      </c>
      <c r="Q364" s="240">
        <f>B364*192.76/100</f>
        <v>192.76</v>
      </c>
      <c r="R364" s="249">
        <f>B364*1.92/100</f>
        <v>1.92</v>
      </c>
      <c r="S364" s="240">
        <f>B364*48.86/100</f>
        <v>48.86</v>
      </c>
      <c r="T364" s="249">
        <f>B364*321.533333333333/100</f>
        <v>321.53333333333302</v>
      </c>
      <c r="U364" s="249">
        <f>B364*0.0796666666666667/100</f>
        <v>7.9666666666666705E-2</v>
      </c>
      <c r="V364" s="249">
        <f>B364*2.75333333333333/100</f>
        <v>2.7533333333333299</v>
      </c>
      <c r="W364" s="249">
        <f>B364*3.63/100</f>
        <v>3.63</v>
      </c>
      <c r="X364" s="249">
        <f>B364*0.116666666666667/100</f>
        <v>0.116666666666667</v>
      </c>
      <c r="Y364" s="249">
        <f>B364*0.0966666666666667/100</f>
        <v>9.666666666666672E-2</v>
      </c>
      <c r="Z364" s="249">
        <f>B364*0.04/100</f>
        <v>0.04</v>
      </c>
      <c r="AA364" s="249">
        <f>B364*1.77666666666667/100</f>
        <v>1.7766666666666699</v>
      </c>
      <c r="AB364" s="240"/>
    </row>
    <row r="365" spans="1:28">
      <c r="A365" s="232" t="s">
        <v>3162</v>
      </c>
      <c r="B365" s="59">
        <v>100</v>
      </c>
      <c r="C365" s="240">
        <f>B365*219.7026/100</f>
        <v>219.70259999999999</v>
      </c>
      <c r="D365" s="239">
        <f>B365*32.8/100</f>
        <v>32.799999999999997</v>
      </c>
      <c r="E365" s="240">
        <f>B365*8.83/100</f>
        <v>8.83</v>
      </c>
      <c r="F365" s="252">
        <f>B365*4.5/100</f>
        <v>4.5</v>
      </c>
      <c r="G365" s="252">
        <f>B365*3.1/100</f>
        <v>3.1</v>
      </c>
      <c r="H365" s="252">
        <f>B365*0.2/100</f>
        <v>0.2</v>
      </c>
      <c r="I365" s="263">
        <f>B365*0.18/100</f>
        <v>0.18</v>
      </c>
      <c r="J365" s="263">
        <f>B365*0.02/100</f>
        <v>0.02</v>
      </c>
      <c r="K365" s="240">
        <f>B365*102.88/100</f>
        <v>102.88</v>
      </c>
      <c r="L365" s="242">
        <v>0</v>
      </c>
      <c r="M365" s="239" t="s">
        <v>454</v>
      </c>
      <c r="N365" s="240">
        <f>B365*4.31/100</f>
        <v>4.3099999999999996</v>
      </c>
      <c r="O365" s="240">
        <f>B365*28.26/100</f>
        <v>28.26</v>
      </c>
      <c r="P365" s="240">
        <f>B365*0.02/100</f>
        <v>0.02</v>
      </c>
      <c r="Q365" s="240">
        <f>B365*308.136666666667/100</f>
        <v>308.136666666667</v>
      </c>
      <c r="R365" s="240">
        <f>B365*2.87/100</f>
        <v>2.87</v>
      </c>
      <c r="S365" s="240">
        <f>B365*57.9066666666667/100</f>
        <v>57.906666666666709</v>
      </c>
      <c r="T365" s="240">
        <f>B365*325.98/100</f>
        <v>325.98</v>
      </c>
      <c r="U365" s="240">
        <f>B365*0.14/100</f>
        <v>0.14000000000000001</v>
      </c>
      <c r="V365" s="240">
        <f>B365*4.13333333333333/100</f>
        <v>4.1333333333333302</v>
      </c>
      <c r="W365" s="240" t="s">
        <v>455</v>
      </c>
      <c r="X365" s="240">
        <f>B365*0.03/100</f>
        <v>0.03</v>
      </c>
      <c r="Y365" s="240">
        <f>B365*0.08/100</f>
        <v>0.08</v>
      </c>
      <c r="Z365" s="240">
        <f>B365*0.0466666666666667/100</f>
        <v>4.6666666666666697E-2</v>
      </c>
      <c r="AA365" s="240">
        <f>B365*4.26666666666667/100</f>
        <v>4.2666666666666702</v>
      </c>
      <c r="AB365" s="240"/>
    </row>
    <row r="366" spans="1:28">
      <c r="A366" s="232" t="s">
        <v>716</v>
      </c>
      <c r="B366" s="59">
        <v>100</v>
      </c>
      <c r="C366" s="240">
        <f>B366*195.575366666667/100</f>
        <v>195.57536666666701</v>
      </c>
      <c r="D366" s="239">
        <f>B366*29.3766666666667/100</f>
        <v>29.376666666666701</v>
      </c>
      <c r="E366" s="240">
        <f>B366*7.77/100</f>
        <v>7.77</v>
      </c>
      <c r="F366" s="252">
        <f>B366*3.9/100</f>
        <v>3.9</v>
      </c>
      <c r="G366" s="252">
        <f>B366*2.8/100</f>
        <v>2.8</v>
      </c>
      <c r="H366" s="252">
        <f>B366*0.1/100</f>
        <v>0.1</v>
      </c>
      <c r="I366" s="263">
        <f>B366*0.08/100</f>
        <v>0.08</v>
      </c>
      <c r="J366" s="263">
        <f>B366*0.01/100</f>
        <v>0.01</v>
      </c>
      <c r="K366" s="240">
        <f>B366*62.004/100</f>
        <v>62.003999999999998</v>
      </c>
      <c r="L366" s="242">
        <v>0</v>
      </c>
      <c r="M366" s="239" t="s">
        <v>454</v>
      </c>
      <c r="N366" s="240">
        <f>B366*3.53333333333333/100</f>
        <v>3.5333333333333301</v>
      </c>
      <c r="O366" s="240">
        <f>B366*13.6133333333333/100</f>
        <v>13.613333333333298</v>
      </c>
      <c r="P366" s="240" t="s">
        <v>455</v>
      </c>
      <c r="Q366" s="240">
        <f>B366*181.45/100</f>
        <v>181.45</v>
      </c>
      <c r="R366" s="240">
        <f>B366*2.77/100</f>
        <v>2.77</v>
      </c>
      <c r="S366" s="240">
        <f>B366*41.68/100</f>
        <v>41.68</v>
      </c>
      <c r="T366" s="240">
        <f>B366*248.8/100</f>
        <v>248.8</v>
      </c>
      <c r="U366" s="240">
        <f>B366*0.0733333333333333/100</f>
        <v>7.3333333333333306E-2</v>
      </c>
      <c r="V366" s="240">
        <f>B366*5.55333333333333/100</f>
        <v>5.5533333333333301</v>
      </c>
      <c r="W366" s="240">
        <f>B366*1.76/100</f>
        <v>1.76</v>
      </c>
      <c r="X366" s="240" t="s">
        <v>455</v>
      </c>
      <c r="Y366" s="240" t="s">
        <v>455</v>
      </c>
      <c r="Z366" s="240" t="s">
        <v>455</v>
      </c>
      <c r="AA366" s="240">
        <f>B366*2.32/100</f>
        <v>2.3199999999999998</v>
      </c>
      <c r="AB366" s="239"/>
    </row>
    <row r="367" spans="1:28">
      <c r="A367" s="232" t="s">
        <v>3163</v>
      </c>
      <c r="B367" s="59">
        <v>100</v>
      </c>
      <c r="C367" s="240">
        <f>B367*141.4601/100</f>
        <v>141.46010000000001</v>
      </c>
      <c r="D367" s="239">
        <f>B367*19.9966666666667/100</f>
        <v>19.996666666666702</v>
      </c>
      <c r="E367" s="240">
        <f>B367*6.21666666666667/100</f>
        <v>6.2166666666666712</v>
      </c>
      <c r="F367" s="252">
        <f>B367*3.1/100</f>
        <v>3.1</v>
      </c>
      <c r="G367" s="252">
        <f>B367*2.3/100</f>
        <v>2.2999999999999998</v>
      </c>
      <c r="H367" s="252">
        <f>B367*0.1/100</f>
        <v>0.1</v>
      </c>
      <c r="I367" s="263">
        <f>B367*0.08/100</f>
        <v>0.08</v>
      </c>
      <c r="J367" s="263">
        <f>B367*0.01/100</f>
        <v>0.01</v>
      </c>
      <c r="K367" s="240">
        <f>B367*50.3/100</f>
        <v>50.3</v>
      </c>
      <c r="L367" s="242">
        <v>0</v>
      </c>
      <c r="M367" s="239" t="s">
        <v>454</v>
      </c>
      <c r="N367" s="240">
        <f>B367*2.81333333333333/100</f>
        <v>2.8133333333333299</v>
      </c>
      <c r="O367" s="240">
        <f>B367*17.8466666666667/100</f>
        <v>17.8466666666667</v>
      </c>
      <c r="P367" s="249" t="s">
        <v>455</v>
      </c>
      <c r="Q367" s="240">
        <f>B367*166.726666666667/100</f>
        <v>166.726666666667</v>
      </c>
      <c r="R367" s="249">
        <f>B367*1.58/100</f>
        <v>1.58</v>
      </c>
      <c r="S367" s="240">
        <f>B367*54.2233333333333/100</f>
        <v>54.223333333333301</v>
      </c>
      <c r="T367" s="249">
        <f>B367*324.11/100</f>
        <v>324.11</v>
      </c>
      <c r="U367" s="249">
        <f>B367*0.0466666666666667/100</f>
        <v>4.6666666666666697E-2</v>
      </c>
      <c r="V367" s="249">
        <f>B367*4.45/100</f>
        <v>4.45</v>
      </c>
      <c r="W367" s="249">
        <f>B367*2.01666666666667/100</f>
        <v>2.0166666666666702</v>
      </c>
      <c r="X367" s="249">
        <f>B367*0.11/100</f>
        <v>0.11</v>
      </c>
      <c r="Y367" s="249">
        <f>B367*0.163333333333333/100</f>
        <v>0.163333333333333</v>
      </c>
      <c r="Z367" s="249" t="s">
        <v>455</v>
      </c>
      <c r="AA367" s="240">
        <f>B367*3.27666666666667/100</f>
        <v>3.2766666666666695</v>
      </c>
      <c r="AB367" s="239"/>
    </row>
    <row r="368" spans="1:28">
      <c r="A368" s="232" t="s">
        <v>718</v>
      </c>
      <c r="B368" s="59">
        <v>100</v>
      </c>
      <c r="C368" s="240">
        <f>B368*338.445733333333/100</f>
        <v>338.44573333333307</v>
      </c>
      <c r="D368" s="239">
        <f>B368*24.24/100</f>
        <v>24.24</v>
      </c>
      <c r="E368" s="240">
        <f>B368*26.0466666666667/100</f>
        <v>26.046666666666695</v>
      </c>
      <c r="F368" s="252">
        <f>B368*12.1/100</f>
        <v>12.1</v>
      </c>
      <c r="G368" s="252">
        <f>B368*10.4/100</f>
        <v>10.4</v>
      </c>
      <c r="H368" s="252">
        <f>B368*0.5/100</f>
        <v>0.5</v>
      </c>
      <c r="I368" s="263">
        <f>B368*0.34/100</f>
        <v>0.34</v>
      </c>
      <c r="J368" s="263">
        <f>B368*0.12/100</f>
        <v>0.12</v>
      </c>
      <c r="K368" s="240">
        <f>B368*64.87/100</f>
        <v>64.87</v>
      </c>
      <c r="L368" s="242">
        <v>0</v>
      </c>
      <c r="M368" s="239" t="s">
        <v>454</v>
      </c>
      <c r="N368" s="240">
        <f>B368*3.21333333333333/100</f>
        <v>3.2133333333333298</v>
      </c>
      <c r="O368" s="240">
        <f>B368*14.4766666666667/100</f>
        <v>14.476666666666699</v>
      </c>
      <c r="P368" s="240" t="s">
        <v>455</v>
      </c>
      <c r="Q368" s="240">
        <f>B368*160.58/100</f>
        <v>160.58000000000001</v>
      </c>
      <c r="R368" s="240">
        <f>B368*2.03/100</f>
        <v>2.0299999999999998</v>
      </c>
      <c r="S368" s="240">
        <f>B368*38.7833333333333/100</f>
        <v>38.783333333333303</v>
      </c>
      <c r="T368" s="240">
        <f>B368*206.763333333333/100</f>
        <v>206.76333333333298</v>
      </c>
      <c r="U368" s="240">
        <f>B368*0.0733333333333333/100</f>
        <v>7.3333333333333306E-2</v>
      </c>
      <c r="V368" s="240">
        <f>B368*6.5/100</f>
        <v>6.5</v>
      </c>
      <c r="W368" s="240" t="s">
        <v>455</v>
      </c>
      <c r="X368" s="240" t="s">
        <v>455</v>
      </c>
      <c r="Y368" s="240">
        <f>B368*0.0533333333333333/100</f>
        <v>5.3333333333333302E-2</v>
      </c>
      <c r="Z368" s="240">
        <f>B368*0.07/100</f>
        <v>7.0000000000000007E-2</v>
      </c>
      <c r="AA368" s="240">
        <f>B368*1.60666666666667/100</f>
        <v>1.60666666666667</v>
      </c>
      <c r="AB368" s="239"/>
    </row>
    <row r="369" spans="1:28">
      <c r="A369" s="232" t="s">
        <v>3164</v>
      </c>
      <c r="B369" s="59">
        <v>100</v>
      </c>
      <c r="C369" s="240">
        <f>B369*220.723766666667/100</f>
        <v>220.72376666666699</v>
      </c>
      <c r="D369" s="239">
        <f>B369*17.5833333333333/100</f>
        <v>17.5833333333333</v>
      </c>
      <c r="E369" s="240">
        <f>B369*16.1466666666667/100</f>
        <v>16.1466666666667</v>
      </c>
      <c r="F369" s="252">
        <f>B369*7.3/100</f>
        <v>7.3</v>
      </c>
      <c r="G369" s="252">
        <f>B369*6.5/100</f>
        <v>6.5</v>
      </c>
      <c r="H369" s="252">
        <f>B369*0.3/100</f>
        <v>0.3</v>
      </c>
      <c r="I369" s="263">
        <f>B369*0.17/100</f>
        <v>0.17</v>
      </c>
      <c r="J369" s="263">
        <f>B369*0.09/100</f>
        <v>0.09</v>
      </c>
      <c r="K369" s="240">
        <f>B369*54.34/100</f>
        <v>54.34</v>
      </c>
      <c r="L369" s="242">
        <v>0</v>
      </c>
      <c r="M369" s="239" t="s">
        <v>454</v>
      </c>
      <c r="N369" s="240">
        <f>B369*3.10666666666667/100</f>
        <v>3.1066666666666705</v>
      </c>
      <c r="O369" s="240">
        <f>B369*16.1166666666667/100</f>
        <v>16.116666666666699</v>
      </c>
      <c r="P369" s="249">
        <f>B369*0.004/100</f>
        <v>4.0000000000000001E-3</v>
      </c>
      <c r="Q369" s="240">
        <f>B369*131.396666666667/100</f>
        <v>131.39666666666699</v>
      </c>
      <c r="R369" s="249">
        <f>B369*1.54333333333333/100</f>
        <v>1.5433333333333301</v>
      </c>
      <c r="S369" s="240">
        <f>B369*51.2/100</f>
        <v>51.2</v>
      </c>
      <c r="T369" s="249">
        <f>B369*274.116666666667/100</f>
        <v>274.11666666666702</v>
      </c>
      <c r="U369" s="249">
        <f>B369*0.0446666666666667/100</f>
        <v>4.4666666666666702E-2</v>
      </c>
      <c r="V369" s="249">
        <f>B369*4.19333333333333/100</f>
        <v>4.1933333333333298</v>
      </c>
      <c r="W369" s="249">
        <f>B369*4.64333333333333/100</f>
        <v>4.64333333333333</v>
      </c>
      <c r="X369" s="249">
        <f>B369*0.0833333333333333/100</f>
        <v>8.3333333333333301E-2</v>
      </c>
      <c r="Y369" s="249">
        <f>B369*0.0733333333333333/100</f>
        <v>7.3333333333333306E-2</v>
      </c>
      <c r="Z369" s="249">
        <f>B369*0.03/100</f>
        <v>0.03</v>
      </c>
      <c r="AA369" s="249">
        <f>B369*3.56333333333333/100</f>
        <v>3.5633333333333299</v>
      </c>
      <c r="AB369" s="239"/>
    </row>
    <row r="370" spans="1:28">
      <c r="A370" s="232" t="s">
        <v>720</v>
      </c>
      <c r="B370" s="59">
        <v>100</v>
      </c>
      <c r="C370" s="240">
        <f>B370*222.468566666667/100</f>
        <v>222.46856666666699</v>
      </c>
      <c r="D370" s="239">
        <f>B370*32.8633333333333/100</f>
        <v>32.863333333333301</v>
      </c>
      <c r="E370" s="240">
        <f>B370*9.10666666666667/100</f>
        <v>9.1066666666666691</v>
      </c>
      <c r="F370" s="252">
        <f>B370*3.9/100</f>
        <v>3.9</v>
      </c>
      <c r="G370" s="252">
        <f>B370*4/100</f>
        <v>4</v>
      </c>
      <c r="H370" s="252">
        <f>B370*0.2/100</f>
        <v>0.2</v>
      </c>
      <c r="I370" s="263">
        <f>B370*0.13/100</f>
        <v>0.13</v>
      </c>
      <c r="J370" s="263">
        <f>B370*0.02/100</f>
        <v>0.02</v>
      </c>
      <c r="K370" s="240">
        <f>B370*55.7/100</f>
        <v>55.7</v>
      </c>
      <c r="L370" s="242">
        <v>0</v>
      </c>
      <c r="M370" s="239" t="s">
        <v>454</v>
      </c>
      <c r="N370" s="240">
        <f>B370*3.53333333333333/100</f>
        <v>3.5333333333333301</v>
      </c>
      <c r="O370" s="240">
        <f>B370*12.9566666666667/100</f>
        <v>12.956666666666701</v>
      </c>
      <c r="P370" s="240" t="s">
        <v>455</v>
      </c>
      <c r="Q370" s="240">
        <f>B370*167.273333333333/100</f>
        <v>167.273333333333</v>
      </c>
      <c r="R370" s="240">
        <f>B370*1.85/100</f>
        <v>1.85</v>
      </c>
      <c r="S370" s="240">
        <f>B370*47.5433333333333/100</f>
        <v>47.543333333333301</v>
      </c>
      <c r="T370" s="240">
        <f>B370*254.44/100</f>
        <v>254.44</v>
      </c>
      <c r="U370" s="240">
        <f>B370*0.0466666666666667/100</f>
        <v>4.6666666666666697E-2</v>
      </c>
      <c r="V370" s="240">
        <f>B370*6.96/100</f>
        <v>6.96</v>
      </c>
      <c r="W370" s="240">
        <f>B370*2.89666666666667/100</f>
        <v>2.8966666666666701</v>
      </c>
      <c r="X370" s="240" t="s">
        <v>455</v>
      </c>
      <c r="Y370" s="240" t="s">
        <v>455</v>
      </c>
      <c r="Z370" s="240" t="s">
        <v>455</v>
      </c>
      <c r="AA370" s="240">
        <f>B370*2.54666666666667/100</f>
        <v>2.54666666666667</v>
      </c>
      <c r="AB370" s="240"/>
    </row>
    <row r="371" spans="1:28">
      <c r="A371" s="232" t="s">
        <v>721</v>
      </c>
      <c r="B371" s="59">
        <v>100</v>
      </c>
      <c r="C371" s="240">
        <f>B371*134.864566666667/100</f>
        <v>134.864566666667</v>
      </c>
      <c r="D371" s="239">
        <f>B371*20.5433333333333/100</f>
        <v>20.543333333333305</v>
      </c>
      <c r="E371" s="240">
        <f>B371*5.22666666666667/100</f>
        <v>5.2266666666666701</v>
      </c>
      <c r="F371" s="252">
        <f>B371*2.3/100</f>
        <v>2.2999999999999998</v>
      </c>
      <c r="G371" s="252">
        <f>B371*2.3/100</f>
        <v>2.2999999999999998</v>
      </c>
      <c r="H371" s="252">
        <f>B371*0.1/100</f>
        <v>0.1</v>
      </c>
      <c r="I371" s="263">
        <f>B371*0.06/100</f>
        <v>0.06</v>
      </c>
      <c r="J371" s="263">
        <f>B371*0.01/100</f>
        <v>0.01</v>
      </c>
      <c r="K371" s="240">
        <f>B371*55.79/100</f>
        <v>55.79</v>
      </c>
      <c r="L371" s="242">
        <v>0</v>
      </c>
      <c r="M371" s="239" t="s">
        <v>454</v>
      </c>
      <c r="N371" s="240">
        <f>B371*2.59333333333333/100</f>
        <v>2.5933333333333302</v>
      </c>
      <c r="O371" s="240">
        <f>B371*19.67/100</f>
        <v>19.670000000000002</v>
      </c>
      <c r="P371" s="249" t="s">
        <v>455</v>
      </c>
      <c r="Q371" s="240">
        <f>B371*184.723333333333/100</f>
        <v>184.72333333333299</v>
      </c>
      <c r="R371" s="249">
        <f>B371*1.32333333333333/100</f>
        <v>1.3233333333333299</v>
      </c>
      <c r="S371" s="240">
        <f>B371*53.5566666666667/100</f>
        <v>53.5566666666667</v>
      </c>
      <c r="T371" s="249">
        <f>B371*361.84/100</f>
        <v>361.84</v>
      </c>
      <c r="U371" s="249">
        <f>B371*0.0533333333333333/100</f>
        <v>5.3333333333333302E-2</v>
      </c>
      <c r="V371" s="249">
        <f>B371*2.39333333333333/100</f>
        <v>2.39333333333333</v>
      </c>
      <c r="W371" s="249">
        <f>B371*1.99333333333333/100</f>
        <v>1.9933333333333301</v>
      </c>
      <c r="X371" s="249">
        <f>B371*0.103333333333333/100</f>
        <v>0.103333333333333</v>
      </c>
      <c r="Y371" s="249">
        <f>B371*0.136666666666667/100</f>
        <v>0.13666666666666699</v>
      </c>
      <c r="Z371" s="249">
        <f>B371*0.0333333333333333/100</f>
        <v>3.3333333333333298E-2</v>
      </c>
      <c r="AA371" s="240">
        <f>B371*2.19333333333333/100</f>
        <v>2.1933333333333298</v>
      </c>
      <c r="AB371" s="240"/>
    </row>
    <row r="372" spans="1:28">
      <c r="A372" s="232" t="s">
        <v>722</v>
      </c>
      <c r="B372" s="59">
        <v>100</v>
      </c>
      <c r="C372" s="240">
        <f>B372*314.9016/100</f>
        <v>314.90159999999997</v>
      </c>
      <c r="D372" s="239">
        <f>B372*21.3666666666667/100</f>
        <v>21.366666666666696</v>
      </c>
      <c r="E372" s="240">
        <f>B372*24.7966666666667/100</f>
        <v>24.796666666666695</v>
      </c>
      <c r="F372" s="252">
        <f>B372*11.2/100</f>
        <v>11.2</v>
      </c>
      <c r="G372" s="252">
        <f>B372*10.3/100</f>
        <v>10.3</v>
      </c>
      <c r="H372" s="252">
        <f>B372*0.5/100</f>
        <v>0.5</v>
      </c>
      <c r="I372" s="263">
        <f>B372*0.45/100</f>
        <v>0.45</v>
      </c>
      <c r="J372" s="263">
        <f>B372*0.09/100</f>
        <v>0.09</v>
      </c>
      <c r="K372" s="240">
        <f>B372*105.07/100</f>
        <v>105.07</v>
      </c>
      <c r="L372" s="242">
        <v>0</v>
      </c>
      <c r="M372" s="239" t="s">
        <v>454</v>
      </c>
      <c r="N372" s="240">
        <f>B372*5.93/100</f>
        <v>5.93</v>
      </c>
      <c r="O372" s="240">
        <f>B372*11.54/100</f>
        <v>11.54</v>
      </c>
      <c r="P372" s="240">
        <f>B372*0.01/100</f>
        <v>0.01</v>
      </c>
      <c r="Q372" s="240">
        <f>B372*136.463333333333/100</f>
        <v>136.463333333333</v>
      </c>
      <c r="R372" s="240">
        <f>B372*2.07/100</f>
        <v>2.0699999999999998</v>
      </c>
      <c r="S372" s="240">
        <f>B372*59.0633333333333/100</f>
        <v>59.063333333333297</v>
      </c>
      <c r="T372" s="240">
        <f>B372*175.286666666667/100</f>
        <v>175.286666666667</v>
      </c>
      <c r="U372" s="240">
        <f>B372*0.0833333333333333/100</f>
        <v>8.3333333333333301E-2</v>
      </c>
      <c r="V372" s="240">
        <f>B372*4.08666666666667/100</f>
        <v>4.0866666666666696</v>
      </c>
      <c r="W372" s="240" t="s">
        <v>455</v>
      </c>
      <c r="X372" s="240" t="s">
        <v>455</v>
      </c>
      <c r="Y372" s="240">
        <f>B372*0.0766666666666667/100</f>
        <v>7.6666666666666702E-2</v>
      </c>
      <c r="Z372" s="240" t="s">
        <v>455</v>
      </c>
      <c r="AA372" s="240">
        <f>B372*1.82666666666667/100</f>
        <v>1.82666666666667</v>
      </c>
      <c r="AB372" s="240"/>
    </row>
    <row r="373" spans="1:28">
      <c r="A373" s="232" t="s">
        <v>723</v>
      </c>
      <c r="B373" s="59">
        <v>100</v>
      </c>
      <c r="C373" s="240">
        <f>B373*215.249766666667/100</f>
        <v>215.24976666666697</v>
      </c>
      <c r="D373" s="239">
        <f>B373*17.09/100</f>
        <v>17.09</v>
      </c>
      <c r="E373" s="240">
        <f>B373*15.7733333333333/100</f>
        <v>15.773333333333301</v>
      </c>
      <c r="F373" s="252">
        <f>B373*6.8/100</f>
        <v>6.8</v>
      </c>
      <c r="G373" s="252">
        <f>B373*6.8/100</f>
        <v>6.8</v>
      </c>
      <c r="H373" s="252">
        <f>B373*0.3/100</f>
        <v>0.3</v>
      </c>
      <c r="I373" s="263">
        <f>B373*0.27/100</f>
        <v>0.27</v>
      </c>
      <c r="J373" s="263">
        <f>B373*0.05/100</f>
        <v>0.05</v>
      </c>
      <c r="K373" s="240">
        <f>B373*117.85/100</f>
        <v>117.85</v>
      </c>
      <c r="L373" s="242">
        <v>0</v>
      </c>
      <c r="M373" s="239" t="s">
        <v>454</v>
      </c>
      <c r="N373" s="240">
        <f>B373*5.04333333333333/100</f>
        <v>5.0433333333333303</v>
      </c>
      <c r="O373" s="240">
        <f>B373*15.3033333333333/100</f>
        <v>15.303333333333301</v>
      </c>
      <c r="P373" s="249">
        <f>B373*0.02/100</f>
        <v>0.02</v>
      </c>
      <c r="Q373" s="240">
        <f>B373*163.566666666667/100</f>
        <v>163.566666666667</v>
      </c>
      <c r="R373" s="240">
        <f>B373*1.7/100</f>
        <v>1.7</v>
      </c>
      <c r="S373" s="240">
        <f>B373*73.05/100</f>
        <v>73.05</v>
      </c>
      <c r="T373" s="240">
        <f>B373*250.713333333333/100</f>
        <v>250.713333333333</v>
      </c>
      <c r="U373" s="240">
        <f>B373*0.0933333333333333/100</f>
        <v>9.333333333333331E-2</v>
      </c>
      <c r="V373" s="240">
        <f>B373*2.87333333333333/100</f>
        <v>2.8733333333333295</v>
      </c>
      <c r="W373" s="240" t="s">
        <v>455</v>
      </c>
      <c r="X373" s="249">
        <f>B373*0.0466666666666667/100</f>
        <v>4.6666666666666697E-2</v>
      </c>
      <c r="Y373" s="240">
        <f>B373*0.04/100</f>
        <v>0.04</v>
      </c>
      <c r="Z373" s="249" t="s">
        <v>455</v>
      </c>
      <c r="AA373" s="240">
        <f>B373*1.17666666666667/100</f>
        <v>1.1766666666666701</v>
      </c>
      <c r="AB373" s="239"/>
    </row>
    <row r="374" spans="1:28">
      <c r="A374" s="232" t="s">
        <v>724</v>
      </c>
      <c r="B374" s="59">
        <v>100</v>
      </c>
      <c r="C374" s="240">
        <f>B374*152.765866666667/100</f>
        <v>152.76586666666699</v>
      </c>
      <c r="D374" s="239">
        <f>B374*20.9333333333333/100</f>
        <v>20.933333333333302</v>
      </c>
      <c r="E374" s="240">
        <f>B374*7.02666666666667/100</f>
        <v>7.0266666666666699</v>
      </c>
      <c r="F374" s="252">
        <f>B374*3.1/100</f>
        <v>3.1</v>
      </c>
      <c r="G374" s="252">
        <f>B374*3.1/100</f>
        <v>3.1</v>
      </c>
      <c r="H374" s="252">
        <f>B374*0.1/100</f>
        <v>0.1</v>
      </c>
      <c r="I374" s="263">
        <f>B374*0.1/100</f>
        <v>0.1</v>
      </c>
      <c r="J374" s="263">
        <f>B374*0.01/100</f>
        <v>0.01</v>
      </c>
      <c r="K374" s="240">
        <f>B374*50.8/100</f>
        <v>50.8</v>
      </c>
      <c r="L374" s="242">
        <v>0</v>
      </c>
      <c r="M374" s="239" t="s">
        <v>454</v>
      </c>
      <c r="N374" s="240">
        <f>B374*2.83/100</f>
        <v>2.83</v>
      </c>
      <c r="O374" s="240">
        <f>B374*15.6566666666667/100</f>
        <v>15.6566666666667</v>
      </c>
      <c r="P374" s="249" t="s">
        <v>455</v>
      </c>
      <c r="Q374" s="240">
        <f>B374*181.32/100</f>
        <v>181.32</v>
      </c>
      <c r="R374" s="249">
        <f>B374*1.14666666666667/100</f>
        <v>1.1466666666666701</v>
      </c>
      <c r="S374" s="240">
        <f>B374*37.4166666666667/100</f>
        <v>37.4166666666667</v>
      </c>
      <c r="T374" s="249">
        <f>B374*273.656666666667/100</f>
        <v>273.65666666666698</v>
      </c>
      <c r="U374" s="249">
        <f>B374*0.034/100</f>
        <v>3.4000000000000002E-2</v>
      </c>
      <c r="V374" s="249">
        <f>B374*3.48/100</f>
        <v>3.48</v>
      </c>
      <c r="W374" s="249">
        <f>B374*3.17666666666667/100</f>
        <v>3.1766666666666699</v>
      </c>
      <c r="X374" s="249">
        <f>B374*0.116666666666667/100</f>
        <v>0.116666666666667</v>
      </c>
      <c r="Y374" s="249">
        <f>B374*0.0766666666666667/100</f>
        <v>7.6666666666666702E-2</v>
      </c>
      <c r="Z374" s="249">
        <f>B374*0.03/100</f>
        <v>0.03</v>
      </c>
      <c r="AA374" s="249">
        <f>B374*4.27333333333333/100</f>
        <v>4.2733333333333299</v>
      </c>
      <c r="AB374" s="240"/>
    </row>
    <row r="375" spans="1:28">
      <c r="A375" s="232" t="s">
        <v>725</v>
      </c>
      <c r="B375" s="59">
        <v>100</v>
      </c>
      <c r="C375" s="240">
        <f>B375*153.089675833333/100</f>
        <v>153.08967583333299</v>
      </c>
      <c r="D375" s="240">
        <f>B375*30.7354166666667/100</f>
        <v>30.735416666666701</v>
      </c>
      <c r="E375" s="240">
        <f>B375*2.42233333333333/100</f>
        <v>2.4223333333333299</v>
      </c>
      <c r="F375" s="252">
        <f>B375*9.7/100</f>
        <v>9.6999999999999993</v>
      </c>
      <c r="G375" s="252">
        <f>B375*7.7/100</f>
        <v>7.7</v>
      </c>
      <c r="H375" s="252">
        <f>B375*0.2/100</f>
        <v>0.2</v>
      </c>
      <c r="I375" s="263">
        <f>B375*0.21/100</f>
        <v>0.21</v>
      </c>
      <c r="J375" s="263">
        <f>B375*0.04/100</f>
        <v>0.04</v>
      </c>
      <c r="K375" s="240">
        <f>B375*87.7/100</f>
        <v>87.7</v>
      </c>
      <c r="L375" s="242">
        <v>0</v>
      </c>
      <c r="M375" s="239" t="s">
        <v>454</v>
      </c>
      <c r="N375" s="240">
        <f>B375*4.17/100</f>
        <v>4.17</v>
      </c>
      <c r="O375" s="240">
        <f>B375*20.89/100</f>
        <v>20.89</v>
      </c>
      <c r="P375" s="249" t="s">
        <v>455</v>
      </c>
      <c r="Q375" s="240">
        <f>B375*237.48/100</f>
        <v>237.48</v>
      </c>
      <c r="R375" s="249">
        <f>B375*2.43/100</f>
        <v>2.4300000000000002</v>
      </c>
      <c r="S375" s="240">
        <f>B375*58.12/100</f>
        <v>58.12</v>
      </c>
      <c r="T375" s="240">
        <f>B375*386.416666666667/100</f>
        <v>386.41666666666703</v>
      </c>
      <c r="U375" s="249">
        <f>B375*0.0833333333333333/100</f>
        <v>8.3333333333333301E-2</v>
      </c>
      <c r="V375" s="239">
        <f>B375*5.58/100</f>
        <v>5.58</v>
      </c>
      <c r="W375" s="249" t="s">
        <v>455</v>
      </c>
      <c r="X375" s="249" t="s">
        <v>455</v>
      </c>
      <c r="Y375" s="249">
        <f>B375*0.04/100</f>
        <v>0.04</v>
      </c>
      <c r="Z375" s="249">
        <f>B375*0.13/100</f>
        <v>0.13</v>
      </c>
      <c r="AA375" s="249">
        <f>B375*1.45666666666667/100</f>
        <v>1.4566666666666699</v>
      </c>
      <c r="AB375" s="240"/>
    </row>
    <row r="376" spans="1:28">
      <c r="A376" s="232" t="s">
        <v>726</v>
      </c>
      <c r="B376" s="59">
        <v>100</v>
      </c>
      <c r="C376" s="240">
        <f>B376*162.871233333333/100</f>
        <v>162.87123333333301</v>
      </c>
      <c r="D376" s="239">
        <f>B376*21.61/100</f>
        <v>21.61</v>
      </c>
      <c r="E376" s="240">
        <f>B376*7.82666666666667/100</f>
        <v>7.8266666666666698</v>
      </c>
      <c r="F376" s="252">
        <f>B376*3.4/100</f>
        <v>3.4</v>
      </c>
      <c r="G376" s="252">
        <f>B376*3.3/100</f>
        <v>3.3</v>
      </c>
      <c r="H376" s="252">
        <f>B376*0.1/100</f>
        <v>0.1</v>
      </c>
      <c r="I376" s="263">
        <f>B376*0.03/100</f>
        <v>0.03</v>
      </c>
      <c r="J376" s="263">
        <f>B376*0.05/100</f>
        <v>0.05</v>
      </c>
      <c r="K376" s="240">
        <f>B376*60.37/100</f>
        <v>60.37</v>
      </c>
      <c r="L376" s="242">
        <v>0</v>
      </c>
      <c r="M376" s="239" t="s">
        <v>454</v>
      </c>
      <c r="N376" s="240">
        <f>B376*3.18666666666667/100</f>
        <v>3.1866666666666701</v>
      </c>
      <c r="O376" s="240">
        <f>B376*20.02/100</f>
        <v>20.02</v>
      </c>
      <c r="P376" s="249">
        <f>B376*0.00766666666666667/100</f>
        <v>7.6666666666666697E-3</v>
      </c>
      <c r="Q376" s="240">
        <f>B376*165.093333333333/100</f>
        <v>165.09333333333299</v>
      </c>
      <c r="R376" s="249">
        <f>B376*1.96666666666667/100</f>
        <v>1.9666666666666699</v>
      </c>
      <c r="S376" s="240">
        <f>B376*43.0533333333333/100</f>
        <v>43.053333333333306</v>
      </c>
      <c r="T376" s="249">
        <f>B376*298.743333333333/100</f>
        <v>298.743333333333</v>
      </c>
      <c r="U376" s="249">
        <f>B376*0.0646666666666667/100</f>
        <v>6.4666666666666706E-2</v>
      </c>
      <c r="V376" s="249">
        <f>B376*2.95666666666667/100</f>
        <v>2.9566666666666701</v>
      </c>
      <c r="W376" s="249">
        <f>B376*3.51666666666667/100</f>
        <v>3.5166666666666702</v>
      </c>
      <c r="X376" s="249">
        <f>B376*0.123333333333333/100</f>
        <v>0.123333333333333</v>
      </c>
      <c r="Y376" s="249">
        <f>B376*0.07/100</f>
        <v>7.0000000000000007E-2</v>
      </c>
      <c r="Z376" s="249" t="s">
        <v>455</v>
      </c>
      <c r="AA376" s="249">
        <f>B376*3.59/100</f>
        <v>3.59</v>
      </c>
      <c r="AB376" s="240"/>
    </row>
    <row r="377" spans="1:28">
      <c r="A377" s="232" t="s">
        <v>727</v>
      </c>
      <c r="B377" s="59">
        <v>100</v>
      </c>
      <c r="C377" s="240">
        <f>B377*241.363966666667/100</f>
        <v>241.36396666666701</v>
      </c>
      <c r="D377" s="239">
        <f>B377*31.93/100</f>
        <v>31.93</v>
      </c>
      <c r="E377" s="240">
        <f>B377*11.6433333333333/100</f>
        <v>11.643333333333301</v>
      </c>
      <c r="F377" s="252">
        <f>B377*5.1/100</f>
        <v>5.0999999999999996</v>
      </c>
      <c r="G377" s="252">
        <f>B377*4.9/100</f>
        <v>4.9000000000000004</v>
      </c>
      <c r="H377" s="252">
        <f>B377*0.3/100</f>
        <v>0.3</v>
      </c>
      <c r="I377" s="263">
        <f>B377*0.2/100</f>
        <v>0.2</v>
      </c>
      <c r="J377" s="263">
        <f>B377*0.05/100</f>
        <v>0.05</v>
      </c>
      <c r="K377" s="240">
        <f>B377*92.2/100</f>
        <v>92.2</v>
      </c>
      <c r="L377" s="242">
        <v>0</v>
      </c>
      <c r="M377" s="239" t="s">
        <v>454</v>
      </c>
      <c r="N377" s="240">
        <f>B377*4.51/100</f>
        <v>4.51</v>
      </c>
      <c r="O377" s="240">
        <f>B377*25.97/100</f>
        <v>25.97</v>
      </c>
      <c r="P377" s="240">
        <f>B377*0.02/100</f>
        <v>0.02</v>
      </c>
      <c r="Q377" s="240">
        <f>B377*279.236666666667/100</f>
        <v>279.23666666666702</v>
      </c>
      <c r="R377" s="240">
        <f>B377*3.17333333333333/100</f>
        <v>3.1733333333333298</v>
      </c>
      <c r="S377" s="240">
        <f>B377*51.62/100</f>
        <v>51.62</v>
      </c>
      <c r="T377" s="240">
        <f>B377*385.11/100</f>
        <v>385.11</v>
      </c>
      <c r="U377" s="240">
        <f>B377*0.106666666666667/100</f>
        <v>0.10666666666666699</v>
      </c>
      <c r="V377" s="240">
        <f>B377*4.82333333333333/100</f>
        <v>4.8233333333333297</v>
      </c>
      <c r="W377" s="240" t="s">
        <v>455</v>
      </c>
      <c r="X377" s="240">
        <f>B377*0.03/100</f>
        <v>0.03</v>
      </c>
      <c r="Y377" s="240">
        <f>B377*0.05/100</f>
        <v>0.05</v>
      </c>
      <c r="Z377" s="240">
        <f>B377*0.05/100</f>
        <v>0.05</v>
      </c>
      <c r="AA377" s="240">
        <f>B377*4.66333333333333/100</f>
        <v>4.6633333333333304</v>
      </c>
      <c r="AB377" s="240"/>
    </row>
    <row r="378" spans="1:28">
      <c r="A378" s="232" t="s">
        <v>728</v>
      </c>
      <c r="B378" s="59">
        <v>100</v>
      </c>
      <c r="C378" s="240">
        <f>B378*193.800333333333/100</f>
        <v>193.80033333333301</v>
      </c>
      <c r="D378" s="239">
        <f>B378*31.2333333333333/100</f>
        <v>31.233333333333299</v>
      </c>
      <c r="E378" s="240">
        <f>B378*6.7/100</f>
        <v>6.7</v>
      </c>
      <c r="F378" s="252">
        <f>B378*2.9/100</f>
        <v>2.9</v>
      </c>
      <c r="G378" s="252">
        <f>B378*2.8/100</f>
        <v>2.8</v>
      </c>
      <c r="H378" s="252">
        <f>B378*0.1/100</f>
        <v>0.1</v>
      </c>
      <c r="I378" s="263">
        <f>B378*0.1/100</f>
        <v>0.1</v>
      </c>
      <c r="J378" s="263">
        <f>B378*0.03/100</f>
        <v>0.03</v>
      </c>
      <c r="K378" s="240">
        <f>B378*56.15/100</f>
        <v>56.15</v>
      </c>
      <c r="L378" s="242">
        <v>0</v>
      </c>
      <c r="M378" s="239" t="s">
        <v>454</v>
      </c>
      <c r="N378" s="240">
        <f>B378*4.98333333333333/100</f>
        <v>4.9833333333333298</v>
      </c>
      <c r="O378" s="240">
        <f>B378*13.4166666666667/100</f>
        <v>13.4166666666667</v>
      </c>
      <c r="P378" s="240" t="s">
        <v>455</v>
      </c>
      <c r="Q378" s="240">
        <f>B378*175.7/100</f>
        <v>175.7</v>
      </c>
      <c r="R378" s="240">
        <f>B378*2.36333333333333/100</f>
        <v>2.3633333333333302</v>
      </c>
      <c r="S378" s="240">
        <f>B378*61.79/100</f>
        <v>61.79</v>
      </c>
      <c r="T378" s="240">
        <f>B378*252.556666666667/100</f>
        <v>252.55666666666701</v>
      </c>
      <c r="U378" s="240">
        <f>B378*0.0833333333333333/100</f>
        <v>8.3333333333333301E-2</v>
      </c>
      <c r="V378" s="240">
        <f>B378*6.44/100</f>
        <v>6.44</v>
      </c>
      <c r="W378" s="240">
        <f>B378*1.90666666666667/100</f>
        <v>1.9066666666666701</v>
      </c>
      <c r="X378" s="240" t="s">
        <v>455</v>
      </c>
      <c r="Y378" s="240" t="s">
        <v>455</v>
      </c>
      <c r="Z378" s="240" t="s">
        <v>455</v>
      </c>
      <c r="AA378" s="240">
        <f>B378*1.97333333333333/100</f>
        <v>1.9733333333333301</v>
      </c>
      <c r="AB378" s="240"/>
    </row>
    <row r="379" spans="1:28">
      <c r="A379" s="232" t="s">
        <v>729</v>
      </c>
      <c r="B379" s="59">
        <v>100</v>
      </c>
      <c r="C379" s="240">
        <f>B379*141.581/100</f>
        <v>141.58099999999999</v>
      </c>
      <c r="D379" s="239">
        <f>B379*21.56/100</f>
        <v>21.56</v>
      </c>
      <c r="E379" s="240">
        <f>B379*5.49/100</f>
        <v>5.49</v>
      </c>
      <c r="F379" s="252">
        <f>B379*2.2/100</f>
        <v>2.2000000000000002</v>
      </c>
      <c r="G379" s="252">
        <f>B379*2.6/100</f>
        <v>2.6</v>
      </c>
      <c r="H379" s="252">
        <f>B379*0.1/100</f>
        <v>0.1</v>
      </c>
      <c r="I379" s="263">
        <f>B379*0.08/100</f>
        <v>0.08</v>
      </c>
      <c r="J379" s="263">
        <f>B379*0.01/100</f>
        <v>0.01</v>
      </c>
      <c r="K379" s="240">
        <f>B379*50.94/100</f>
        <v>50.94</v>
      </c>
      <c r="L379" s="242">
        <v>0</v>
      </c>
      <c r="M379" s="239" t="s">
        <v>454</v>
      </c>
      <c r="N379" s="240">
        <f>B379*3.64/100</f>
        <v>3.64</v>
      </c>
      <c r="O379" s="240">
        <f>B379*17.45/100</f>
        <v>17.45</v>
      </c>
      <c r="P379" s="249" t="s">
        <v>455</v>
      </c>
      <c r="Q379" s="240">
        <f>B379*162.186666666667/100</f>
        <v>162.18666666666701</v>
      </c>
      <c r="R379" s="249">
        <f>B379*1.86333333333333/100</f>
        <v>1.86333333333333</v>
      </c>
      <c r="S379" s="240">
        <f>B379*66.08/100</f>
        <v>66.08</v>
      </c>
      <c r="T379" s="249">
        <f>B379*295.836666666667/100</f>
        <v>295.83666666666699</v>
      </c>
      <c r="U379" s="249">
        <f>B379*0.0533333333333333/100</f>
        <v>5.3333333333333302E-2</v>
      </c>
      <c r="V379" s="249">
        <f>B379*3.65/100</f>
        <v>3.65</v>
      </c>
      <c r="W379" s="249">
        <f>B379*1.91/100</f>
        <v>1.91</v>
      </c>
      <c r="X379" s="249">
        <f>B379*0.0933333333333333/100</f>
        <v>9.333333333333331E-2</v>
      </c>
      <c r="Y379" s="249">
        <f>B379*0.186666666666667/100</f>
        <v>0.18666666666666701</v>
      </c>
      <c r="Z379" s="249">
        <f>B379*0.04/100</f>
        <v>0.04</v>
      </c>
      <c r="AA379" s="240">
        <f>B379*2.78666666666667/100</f>
        <v>2.7866666666666702</v>
      </c>
      <c r="AB379" s="240"/>
    </row>
    <row r="380" spans="1:28">
      <c r="A380" s="232" t="s">
        <v>730</v>
      </c>
      <c r="B380" s="59">
        <v>100</v>
      </c>
      <c r="C380" s="240">
        <f>B380*158.7099/100</f>
        <v>158.7099</v>
      </c>
      <c r="D380" s="239">
        <f>B380*21.41/100</f>
        <v>21.41</v>
      </c>
      <c r="E380" s="240">
        <f>B380*7.46/100</f>
        <v>7.46</v>
      </c>
      <c r="F380" s="252">
        <f>B380*3.5/100</f>
        <v>3.5</v>
      </c>
      <c r="G380" s="252">
        <f>B380*2.9/100</f>
        <v>2.9</v>
      </c>
      <c r="H380" s="252">
        <f>B380*0.2/100</f>
        <v>0.2</v>
      </c>
      <c r="I380" s="263">
        <f>B380*0.13/100</f>
        <v>0.13</v>
      </c>
      <c r="J380" s="263">
        <f>B380*0.01/100</f>
        <v>0.01</v>
      </c>
      <c r="K380" s="240">
        <f>B380*58.2616666666667/100</f>
        <v>58.261666666666699</v>
      </c>
      <c r="L380" s="242">
        <v>0</v>
      </c>
      <c r="M380" s="239" t="s">
        <v>454</v>
      </c>
      <c r="N380" s="240">
        <f>B380*4.36/100</f>
        <v>4.3600000000000003</v>
      </c>
      <c r="O380" s="240">
        <f>B380*14.15/100</f>
        <v>14.15</v>
      </c>
      <c r="P380" s="249" t="s">
        <v>455</v>
      </c>
      <c r="Q380" s="240">
        <f>B380*157.6/100</f>
        <v>157.6</v>
      </c>
      <c r="R380" s="249">
        <f>B380*1.76/100</f>
        <v>1.76</v>
      </c>
      <c r="S380" s="240">
        <f>B380*64.9/100</f>
        <v>64.900000000000006</v>
      </c>
      <c r="T380" s="249">
        <f>B380*249.68/100</f>
        <v>249.68</v>
      </c>
      <c r="U380" s="249">
        <f>B380*0.08/100</f>
        <v>0.08</v>
      </c>
      <c r="V380" s="249">
        <f>B380*3.65/100</f>
        <v>3.65</v>
      </c>
      <c r="W380" s="249" t="s">
        <v>455</v>
      </c>
      <c r="X380" s="240" t="s">
        <v>455</v>
      </c>
      <c r="Y380" s="249">
        <f>B380*0.04/100</f>
        <v>0.04</v>
      </c>
      <c r="Z380" s="249">
        <f>B380*0.02/100</f>
        <v>0.02</v>
      </c>
      <c r="AA380" s="240">
        <f>B380*0.91/100</f>
        <v>0.91</v>
      </c>
      <c r="AB380" s="240"/>
    </row>
    <row r="381" spans="1:28">
      <c r="A381" s="232" t="s">
        <v>731</v>
      </c>
      <c r="B381" s="59">
        <v>100</v>
      </c>
      <c r="C381" s="240">
        <f>B381*193.6524/100</f>
        <v>193.65240000000003</v>
      </c>
      <c r="D381" s="239">
        <f>B381*29.72/100</f>
        <v>29.72</v>
      </c>
      <c r="E381" s="240">
        <f>B381*7.4/100</f>
        <v>7.4</v>
      </c>
      <c r="F381" s="252">
        <f>B381*3.4/100</f>
        <v>3.4</v>
      </c>
      <c r="G381" s="252">
        <f>B381*3/100</f>
        <v>3</v>
      </c>
      <c r="H381" s="252">
        <f>B381*0.2/100</f>
        <v>0.2</v>
      </c>
      <c r="I381" s="263">
        <f>B381*0.17/100</f>
        <v>0.17</v>
      </c>
      <c r="J381" s="263">
        <f>B381*0.01/100</f>
        <v>0.01</v>
      </c>
      <c r="K381" s="240">
        <f>B381*55.61/100</f>
        <v>55.61</v>
      </c>
      <c r="L381" s="242">
        <v>0</v>
      </c>
      <c r="M381" s="239" t="s">
        <v>454</v>
      </c>
      <c r="N381" s="240">
        <f>B381*5.64333333333333/100</f>
        <v>5.64333333333333</v>
      </c>
      <c r="O381" s="240">
        <f>B381*17.66/100</f>
        <v>17.66</v>
      </c>
      <c r="P381" s="240" t="s">
        <v>455</v>
      </c>
      <c r="Q381" s="240">
        <f>B381*197.45/100</f>
        <v>197.45</v>
      </c>
      <c r="R381" s="240">
        <f>B381*2.17/100</f>
        <v>2.17</v>
      </c>
      <c r="S381" s="240">
        <f>B381*57.6233333333333/100</f>
        <v>57.623333333333306</v>
      </c>
      <c r="T381" s="240">
        <f>B381*249.806666666667/100</f>
        <v>249.80666666666701</v>
      </c>
      <c r="U381" s="240">
        <f>B381*0.0966666666666667/100</f>
        <v>9.666666666666672E-2</v>
      </c>
      <c r="V381" s="240">
        <f>B381*6.81666666666667/100</f>
        <v>6.81666666666667</v>
      </c>
      <c r="W381" s="249" t="s">
        <v>455</v>
      </c>
      <c r="X381" s="240">
        <f>B381*0.0333333333333333/100</f>
        <v>3.3333333333333298E-2</v>
      </c>
      <c r="Y381" s="240">
        <f>B381*0.0433333333333333/100</f>
        <v>4.3333333333333307E-2</v>
      </c>
      <c r="Z381" s="240" t="s">
        <v>455</v>
      </c>
      <c r="AA381" s="240">
        <f>B381*2.16333333333333/100</f>
        <v>2.16333333333333</v>
      </c>
      <c r="AB381" s="240"/>
    </row>
    <row r="382" spans="1:28">
      <c r="A382" s="232" t="s">
        <v>732</v>
      </c>
      <c r="B382" s="59">
        <v>100</v>
      </c>
      <c r="C382" s="240">
        <f>B382*140.9415/100</f>
        <v>140.94149999999999</v>
      </c>
      <c r="D382" s="239">
        <f>B382*21.03/100</f>
        <v>21.03</v>
      </c>
      <c r="E382" s="240">
        <f>B382*5.67/100</f>
        <v>5.67</v>
      </c>
      <c r="F382" s="252">
        <f>B382*2.7/100</f>
        <v>2.7</v>
      </c>
      <c r="G382" s="252">
        <f>B382*2.1/100</f>
        <v>2.1</v>
      </c>
      <c r="H382" s="252">
        <f>B382*0.1/100</f>
        <v>0.1</v>
      </c>
      <c r="I382" s="263">
        <f>B382*0.12/100</f>
        <v>0.12</v>
      </c>
      <c r="J382" s="263"/>
      <c r="K382" s="240">
        <f>B382*42.25/100</f>
        <v>42.25</v>
      </c>
      <c r="L382" s="242">
        <v>0</v>
      </c>
      <c r="M382" s="239" t="s">
        <v>454</v>
      </c>
      <c r="N382" s="240">
        <f>B382*3.62/100</f>
        <v>3.62</v>
      </c>
      <c r="O382" s="240">
        <f>B382*17.5133333333333/100</f>
        <v>17.5133333333333</v>
      </c>
      <c r="P382" s="249" t="s">
        <v>455</v>
      </c>
      <c r="Q382" s="240">
        <f>B382*163.356666666667/100</f>
        <v>163.356666666667</v>
      </c>
      <c r="R382" s="249">
        <f>B382*1.92666666666667/100</f>
        <v>1.9266666666666701</v>
      </c>
      <c r="S382" s="240">
        <f>B382*65.86/100</f>
        <v>65.86</v>
      </c>
      <c r="T382" s="249">
        <f>B382*319.43/100</f>
        <v>319.43</v>
      </c>
      <c r="U382" s="249">
        <f>B382*0.05/100</f>
        <v>0.05</v>
      </c>
      <c r="V382" s="249">
        <f>B382*3.33666666666667/100</f>
        <v>3.3366666666666704</v>
      </c>
      <c r="W382" s="249">
        <f>B382*3.27/100</f>
        <v>3.27</v>
      </c>
      <c r="X382" s="249">
        <f>B382*0.126666666666667/100</f>
        <v>0.12666666666666701</v>
      </c>
      <c r="Y382" s="249">
        <f>B382*0.213333333333333/100</f>
        <v>0.21333333333333301</v>
      </c>
      <c r="Z382" s="249" t="s">
        <v>455</v>
      </c>
      <c r="AA382" s="240">
        <f>B382*2.66666666666667/100</f>
        <v>2.6666666666666701</v>
      </c>
      <c r="AB382" s="239"/>
    </row>
    <row r="383" spans="1:28">
      <c r="A383" s="232" t="s">
        <v>733</v>
      </c>
      <c r="B383" s="59">
        <v>100</v>
      </c>
      <c r="C383" s="240">
        <f>B383*133.4689/100</f>
        <v>133.46889999999999</v>
      </c>
      <c r="D383" s="239">
        <f>B383*21.7233333333333/100</f>
        <v>21.723333333333304</v>
      </c>
      <c r="E383" s="240">
        <f>B383*4.51333333333333/100</f>
        <v>4.5133333333333301</v>
      </c>
      <c r="F383" s="252">
        <f>B383*2/100</f>
        <v>2</v>
      </c>
      <c r="G383" s="252">
        <f>B383*1.9/100</f>
        <v>1.9</v>
      </c>
      <c r="H383" s="252">
        <f>B383*0.2/100</f>
        <v>0.2</v>
      </c>
      <c r="I383" s="263">
        <f>B383*0.13/100</f>
        <v>0.13</v>
      </c>
      <c r="J383" s="263">
        <f>B383*0.02/100</f>
        <v>0.02</v>
      </c>
      <c r="K383" s="240">
        <f>B383*55.61/100</f>
        <v>55.61</v>
      </c>
      <c r="L383" s="242">
        <v>0</v>
      </c>
      <c r="M383" s="239" t="s">
        <v>454</v>
      </c>
      <c r="N383" s="240">
        <f>B383*3.29666666666667/100</f>
        <v>3.2966666666666695</v>
      </c>
      <c r="O383" s="240">
        <f>B383*20.1033333333333/100</f>
        <v>20.1033333333333</v>
      </c>
      <c r="P383" s="249">
        <f>B383*0.00833333333333333/100</f>
        <v>8.3333333333333297E-3</v>
      </c>
      <c r="Q383" s="240">
        <f>B383*170.37/100</f>
        <v>170.37</v>
      </c>
      <c r="R383" s="249">
        <f>B383*1.78/100</f>
        <v>1.78</v>
      </c>
      <c r="S383" s="240">
        <f>B383*49.13/100</f>
        <v>49.13</v>
      </c>
      <c r="T383" s="249">
        <f>B383*317.613333333333/100</f>
        <v>317.613333333333</v>
      </c>
      <c r="U383" s="249">
        <f>B383*0.0526666666666667/100</f>
        <v>5.2666666666666702E-2</v>
      </c>
      <c r="V383" s="249">
        <f>B383*4.47/100</f>
        <v>4.47</v>
      </c>
      <c r="W383" s="249">
        <f>B383*1.50666666666667/100</f>
        <v>1.5066666666666699</v>
      </c>
      <c r="X383" s="249">
        <f>B383*0.113333333333333/100</f>
        <v>0.11333333333333301</v>
      </c>
      <c r="Y383" s="249">
        <f>B383*0.0833333333333333/100</f>
        <v>8.3333333333333301E-2</v>
      </c>
      <c r="Z383" s="249" t="s">
        <v>455</v>
      </c>
      <c r="AA383" s="249">
        <f>B383*3.61/100</f>
        <v>3.61</v>
      </c>
      <c r="AB383" s="240"/>
    </row>
    <row r="384" spans="1:28">
      <c r="A384" s="232" t="s">
        <v>734</v>
      </c>
      <c r="B384" s="59">
        <v>100</v>
      </c>
      <c r="C384" s="240">
        <f>B384*219.259266666667/100</f>
        <v>219.259266666667</v>
      </c>
      <c r="D384" s="239">
        <f>B384*35.9/100</f>
        <v>35.9</v>
      </c>
      <c r="E384" s="240">
        <f>B384*7.31333333333333/100</f>
        <v>7.3133333333333299</v>
      </c>
      <c r="F384" s="252">
        <f>B384*3.1/100</f>
        <v>3.1</v>
      </c>
      <c r="G384" s="252">
        <f>B384*3.1/100</f>
        <v>3.1</v>
      </c>
      <c r="H384" s="252">
        <f>B384*0.3/100</f>
        <v>0.3</v>
      </c>
      <c r="I384" s="263">
        <f>B384*0.22/100</f>
        <v>0.22</v>
      </c>
      <c r="J384" s="263">
        <f>B384*0.07/100</f>
        <v>7.0000000000000007E-2</v>
      </c>
      <c r="K384" s="239">
        <f>B384*125.68/100</f>
        <v>125.68</v>
      </c>
      <c r="L384" s="242">
        <v>0</v>
      </c>
      <c r="M384" s="239" t="s">
        <v>454</v>
      </c>
      <c r="N384" s="240">
        <f>B384*4.79666666666667/100</f>
        <v>4.7966666666666704</v>
      </c>
      <c r="O384" s="240">
        <f>B384*27.2633333333333/100</f>
        <v>27.2633333333333</v>
      </c>
      <c r="P384" s="249">
        <f>B384*0.02/100</f>
        <v>0.02</v>
      </c>
      <c r="Q384" s="240">
        <f>B384*288.836666666667/100</f>
        <v>288.83666666666699</v>
      </c>
      <c r="R384" s="249">
        <f>B384*3.03333333333333/100</f>
        <v>3.0333333333333301</v>
      </c>
      <c r="S384" s="240">
        <f>B384*60.2933333333333/100</f>
        <v>60.293333333333301</v>
      </c>
      <c r="T384" s="240">
        <f>B384*420.96/100</f>
        <v>420.96</v>
      </c>
      <c r="U384" s="249">
        <f>B384*0.123333333333333/100</f>
        <v>0.123333333333333</v>
      </c>
      <c r="V384" s="249">
        <f>B384*8.09333333333333/100</f>
        <v>8.0933333333333302</v>
      </c>
      <c r="W384" s="249" t="s">
        <v>455</v>
      </c>
      <c r="X384" s="249">
        <f>B384*0.0366666666666667/100</f>
        <v>3.6666666666666702E-2</v>
      </c>
      <c r="Y384" s="249">
        <f>B384*0.03/100</f>
        <v>0.03</v>
      </c>
      <c r="Z384" s="240" t="s">
        <v>455</v>
      </c>
      <c r="AA384" s="249">
        <f>B384*3.01/100</f>
        <v>3.01</v>
      </c>
      <c r="AB384" s="240"/>
    </row>
    <row r="385" spans="1:28">
      <c r="A385" s="232" t="s">
        <v>735</v>
      </c>
      <c r="B385" s="59">
        <v>100</v>
      </c>
      <c r="C385" s="240">
        <f>B385*338.473133333333/100</f>
        <v>338.47313333333301</v>
      </c>
      <c r="D385" s="239">
        <f>B385*22.2466666666667/100</f>
        <v>22.246666666666702</v>
      </c>
      <c r="E385" s="240">
        <f>B385*26.9933333333333/100</f>
        <v>26.993333333333297</v>
      </c>
      <c r="F385" s="252">
        <f>B385*11.7/100</f>
        <v>11.7</v>
      </c>
      <c r="G385" s="252">
        <f>B385*11.5/100</f>
        <v>11.5</v>
      </c>
      <c r="H385" s="252">
        <f>B385*0.4/100</f>
        <v>0.4</v>
      </c>
      <c r="I385" s="263">
        <f>B385*0.34/100</f>
        <v>0.34</v>
      </c>
      <c r="J385" s="263">
        <f>B385*0.1/100</f>
        <v>0.1</v>
      </c>
      <c r="K385" s="240">
        <f>B385*99.54/100</f>
        <v>99.54</v>
      </c>
      <c r="L385" s="242">
        <v>0</v>
      </c>
      <c r="M385" s="239" t="s">
        <v>454</v>
      </c>
      <c r="N385" s="240">
        <f>B385*4.02666666666667/100</f>
        <v>4.0266666666666699</v>
      </c>
      <c r="O385" s="240">
        <f>B385*13.8733333333333/100</f>
        <v>13.873333333333299</v>
      </c>
      <c r="P385" s="240" t="s">
        <v>455</v>
      </c>
      <c r="Q385" s="240">
        <f>B385*135.96/100</f>
        <v>135.96</v>
      </c>
      <c r="R385" s="240">
        <f>B385*1.6/100</f>
        <v>1.6</v>
      </c>
      <c r="S385" s="240">
        <f>B385*55.7066666666667/100</f>
        <v>55.706666666666699</v>
      </c>
      <c r="T385" s="240">
        <f>B385*204.49/100</f>
        <v>204.49</v>
      </c>
      <c r="U385" s="240">
        <f>B385*0.0533333333333333/100</f>
        <v>5.3333333333333302E-2</v>
      </c>
      <c r="V385" s="240">
        <f>B385*3.89333333333333/100</f>
        <v>3.8933333333333295</v>
      </c>
      <c r="W385" s="240" t="s">
        <v>455</v>
      </c>
      <c r="X385" s="240" t="s">
        <v>455</v>
      </c>
      <c r="Y385" s="240">
        <f>B385*0.3/100</f>
        <v>0.3</v>
      </c>
      <c r="Z385" s="240" t="s">
        <v>455</v>
      </c>
      <c r="AA385" s="240">
        <f>B385*4.53666666666667/100</f>
        <v>4.5366666666666697</v>
      </c>
      <c r="AB385" s="240"/>
    </row>
    <row r="386" spans="1:28">
      <c r="A386" s="232" t="s">
        <v>3165</v>
      </c>
      <c r="B386" s="59">
        <v>100</v>
      </c>
      <c r="C386" s="240">
        <f>B386*259.275633333333/100</f>
        <v>259.27563333333302</v>
      </c>
      <c r="D386" s="239">
        <f>B386*17.5566666666667/100</f>
        <v>17.5566666666667</v>
      </c>
      <c r="E386" s="240">
        <f>B386*20.4333333333333/100</f>
        <v>20.433333333333302</v>
      </c>
      <c r="F386" s="252">
        <f>B386*8.2/100</f>
        <v>8.1999999999999993</v>
      </c>
      <c r="G386" s="252">
        <f>B386*9.2/100</f>
        <v>9.1999999999999993</v>
      </c>
      <c r="H386" s="252">
        <f>B386*0.5/100</f>
        <v>0.5</v>
      </c>
      <c r="I386" s="263">
        <f>B386*0.28/100</f>
        <v>0.28000000000000003</v>
      </c>
      <c r="J386" s="263">
        <f>B386*0.15/100</f>
        <v>0.15</v>
      </c>
      <c r="K386" s="240">
        <f>B386*59.3/100</f>
        <v>59.3</v>
      </c>
      <c r="L386" s="242">
        <v>0</v>
      </c>
      <c r="M386" s="239" t="s">
        <v>454</v>
      </c>
      <c r="N386" s="240">
        <f>B386*3.94333333333333/100</f>
        <v>3.9433333333333298</v>
      </c>
      <c r="O386" s="240">
        <f>B386*15.3233333333333/100</f>
        <v>15.3233333333333</v>
      </c>
      <c r="P386" s="249" t="s">
        <v>455</v>
      </c>
      <c r="Q386" s="240">
        <f>B386*124.363333333333/100</f>
        <v>124.36333333333299</v>
      </c>
      <c r="R386" s="249">
        <f>B386*1.31/100</f>
        <v>1.31</v>
      </c>
      <c r="S386" s="240">
        <f>B386*63.7633333333333/100</f>
        <v>63.7633333333333</v>
      </c>
      <c r="T386" s="249">
        <f>B386*241.403333333333/100</f>
        <v>241.40333333333299</v>
      </c>
      <c r="U386" s="249">
        <f>B386*0.064/100</f>
        <v>6.4000000000000001E-2</v>
      </c>
      <c r="V386" s="249">
        <f>B386*2.63/100</f>
        <v>2.63</v>
      </c>
      <c r="W386" s="249">
        <f>B386*4.25/100</f>
        <v>4.25</v>
      </c>
      <c r="X386" s="249">
        <f>B386*0.106666666666667/100</f>
        <v>0.10666666666666699</v>
      </c>
      <c r="Y386" s="249">
        <f>B386*0.0666666666666667/100</f>
        <v>6.6666666666666693E-2</v>
      </c>
      <c r="Z386" s="249">
        <f>B386*0.03/100</f>
        <v>0.03</v>
      </c>
      <c r="AA386" s="249">
        <f>B386*3.91/100</f>
        <v>3.91</v>
      </c>
      <c r="AB386" s="240"/>
    </row>
    <row r="387" spans="1:28">
      <c r="A387" s="232" t="s">
        <v>737</v>
      </c>
      <c r="B387" s="59">
        <v>100</v>
      </c>
      <c r="C387" s="240">
        <f>B387*212.879433333333/100</f>
        <v>212.879433333333</v>
      </c>
      <c r="D387" s="239">
        <f>B387*18.8233333333333/100</f>
        <v>18.823333333333299</v>
      </c>
      <c r="E387" s="240">
        <f>B387*14.69/100</f>
        <v>14.69</v>
      </c>
      <c r="F387" s="252">
        <f>B387*6.1/100</f>
        <v>6.1</v>
      </c>
      <c r="G387" s="252">
        <f>B387*6.7/100</f>
        <v>6.7</v>
      </c>
      <c r="H387" s="252">
        <f>B387*0.3/100</f>
        <v>0.3</v>
      </c>
      <c r="I387" s="263">
        <f>B387*0.25/100</f>
        <v>0.25</v>
      </c>
      <c r="J387" s="263">
        <f>B387*0.05/100</f>
        <v>0.05</v>
      </c>
      <c r="K387" s="240">
        <f>B387*59.551/100</f>
        <v>59.551000000000002</v>
      </c>
      <c r="L387" s="242">
        <v>0</v>
      </c>
      <c r="M387" s="239" t="s">
        <v>454</v>
      </c>
      <c r="N387" s="240">
        <f>B387*2.41666666666667/100</f>
        <v>2.4166666666666701</v>
      </c>
      <c r="O387" s="240">
        <f>B387*14.2166666666667/100</f>
        <v>14.216666666666702</v>
      </c>
      <c r="P387" s="249" t="s">
        <v>455</v>
      </c>
      <c r="Q387" s="240">
        <f>B387*165.286666666667/100</f>
        <v>165.286666666667</v>
      </c>
      <c r="R387" s="249">
        <f>B387*1.70666666666667/100</f>
        <v>1.7066666666666699</v>
      </c>
      <c r="S387" s="240">
        <f>B387*37.6233333333333/100</f>
        <v>37.623333333333299</v>
      </c>
      <c r="T387" s="249">
        <f>B387*231.65/100</f>
        <v>231.65</v>
      </c>
      <c r="U387" s="249">
        <f>B387*0.0596666666666667/100</f>
        <v>5.9666666666666701E-2</v>
      </c>
      <c r="V387" s="249">
        <f>B387*3.76666666666667/100</f>
        <v>3.7666666666666702</v>
      </c>
      <c r="W387" s="249">
        <f>B387*3.46/100</f>
        <v>3.46</v>
      </c>
      <c r="X387" s="249">
        <f>B387*0.13/100</f>
        <v>0.13</v>
      </c>
      <c r="Y387" s="249">
        <f>B387*0.156666666666667/100</f>
        <v>0.15666666666666701</v>
      </c>
      <c r="Z387" s="249" t="s">
        <v>455</v>
      </c>
      <c r="AA387" s="249">
        <f>B387*4.76666666666667/100</f>
        <v>4.7666666666666702</v>
      </c>
      <c r="AB387" s="240"/>
    </row>
    <row r="388" spans="1:28">
      <c r="A388" s="232" t="s">
        <v>738</v>
      </c>
      <c r="B388" s="59">
        <v>100</v>
      </c>
      <c r="C388" s="240">
        <f>B388*288.767091666667/100</f>
        <v>288.767091666667</v>
      </c>
      <c r="D388" s="239">
        <f>B388*26.4208333333333/100</f>
        <v>26.420833333333299</v>
      </c>
      <c r="E388" s="240">
        <f>B388*19.5066666666667/100</f>
        <v>19.5066666666667</v>
      </c>
      <c r="F388" s="252">
        <f>B388*7.9/100</f>
        <v>7.9</v>
      </c>
      <c r="G388" s="252">
        <f>B388*9.2/100</f>
        <v>9.1999999999999993</v>
      </c>
      <c r="H388" s="252">
        <f>B388*0.4/100</f>
        <v>0.4</v>
      </c>
      <c r="I388" s="263">
        <f>B388*0.3/100</f>
        <v>0.3</v>
      </c>
      <c r="J388" s="263">
        <f>B388*0.09/100</f>
        <v>0.09</v>
      </c>
      <c r="K388" s="240">
        <f>B388*91.7616666666667/100</f>
        <v>91.761666666666699</v>
      </c>
      <c r="L388" s="242">
        <v>0</v>
      </c>
      <c r="M388" s="239" t="s">
        <v>454</v>
      </c>
      <c r="N388" s="240">
        <f>B388*4/100</f>
        <v>4</v>
      </c>
      <c r="O388" s="240">
        <f>B388*24/100</f>
        <v>24</v>
      </c>
      <c r="P388" s="249" t="s">
        <v>455</v>
      </c>
      <c r="Q388" s="240">
        <f>B388*246/100</f>
        <v>246</v>
      </c>
      <c r="R388" s="240">
        <f>B388*3.2/100</f>
        <v>3.2</v>
      </c>
      <c r="S388" s="240">
        <f>B388*60/100</f>
        <v>60</v>
      </c>
      <c r="T388" s="240">
        <f>B388*355/100</f>
        <v>355</v>
      </c>
      <c r="U388" s="240">
        <f>B388*0.14/100</f>
        <v>0.14000000000000001</v>
      </c>
      <c r="V388" s="240">
        <f>B388*5.5/100</f>
        <v>5.5</v>
      </c>
      <c r="W388" s="249" t="s">
        <v>455</v>
      </c>
      <c r="X388" s="249">
        <f>B388*0.03/100</f>
        <v>0.03</v>
      </c>
      <c r="Y388" s="240">
        <f>B388*0.06/100</f>
        <v>0.06</v>
      </c>
      <c r="Z388" s="249">
        <f>B388*0.13/100</f>
        <v>0.13</v>
      </c>
      <c r="AA388" s="240">
        <f>B388*1.6/100</f>
        <v>1.6</v>
      </c>
      <c r="AB388" s="240"/>
    </row>
    <row r="389" spans="1:28">
      <c r="A389" s="232" t="s">
        <v>740</v>
      </c>
      <c r="B389" s="59">
        <v>100</v>
      </c>
      <c r="C389" s="240">
        <f>B389*133.522366666667/100</f>
        <v>133.52236666666701</v>
      </c>
      <c r="D389" s="239">
        <f>B389*21.25/100</f>
        <v>21.25</v>
      </c>
      <c r="E389" s="240">
        <f>B389*4.74333333333333/100</f>
        <v>4.7433333333333296</v>
      </c>
      <c r="F389" s="252">
        <f>B389*2/100</f>
        <v>2</v>
      </c>
      <c r="G389" s="252">
        <f>B389*2.1/100</f>
        <v>2.1</v>
      </c>
      <c r="H389" s="252">
        <f>B389*0.1/100</f>
        <v>0.1</v>
      </c>
      <c r="I389" s="263">
        <f>B389*0.09/100</f>
        <v>0.09</v>
      </c>
      <c r="J389" s="263" t="s">
        <v>455</v>
      </c>
      <c r="K389" s="240">
        <f>B389*75.23/100</f>
        <v>75.23</v>
      </c>
      <c r="L389" s="242">
        <v>0</v>
      </c>
      <c r="M389" s="239" t="s">
        <v>454</v>
      </c>
      <c r="N389" s="240">
        <f>B389*3.39333333333333/100</f>
        <v>3.3933333333333295</v>
      </c>
      <c r="O389" s="240">
        <f>B389*20.25/100</f>
        <v>20.25</v>
      </c>
      <c r="P389" s="249" t="s">
        <v>455</v>
      </c>
      <c r="Q389" s="240">
        <f>B389*183.053333333333/100</f>
        <v>183.053333333333</v>
      </c>
      <c r="R389" s="240">
        <f>B389*2.12666666666667/100</f>
        <v>2.12666666666667</v>
      </c>
      <c r="S389" s="240">
        <f>B389*61.1466666666667/100</f>
        <v>61.146666666666697</v>
      </c>
      <c r="T389" s="240">
        <f>B389*322.496666666667/100</f>
        <v>322.49666666666701</v>
      </c>
      <c r="U389" s="240">
        <f>B389*0.08/100</f>
        <v>0.08</v>
      </c>
      <c r="V389" s="240">
        <f>B389*4.22666666666667/100</f>
        <v>4.2266666666666701</v>
      </c>
      <c r="W389" s="249" t="s">
        <v>455</v>
      </c>
      <c r="X389" s="249" t="s">
        <v>455</v>
      </c>
      <c r="Y389" s="240">
        <f>B389*0.05/100</f>
        <v>0.05</v>
      </c>
      <c r="Z389" s="249" t="s">
        <v>455</v>
      </c>
      <c r="AA389" s="240">
        <f>B389*1.88666666666667/100</f>
        <v>1.88666666666667</v>
      </c>
      <c r="AB389" s="240"/>
    </row>
    <row r="390" spans="1:28">
      <c r="A390" s="232" t="s">
        <v>739</v>
      </c>
      <c r="B390" s="59">
        <v>100</v>
      </c>
      <c r="C390" s="240">
        <f>B390*238.468133333333/100</f>
        <v>238.46813333333299</v>
      </c>
      <c r="D390" s="239">
        <f>B390*31.9066666666667/100</f>
        <v>31.906666666666698</v>
      </c>
      <c r="E390" s="240">
        <f>B390*11.3333333333333/100</f>
        <v>11.3333333333333</v>
      </c>
      <c r="F390" s="252">
        <f>B390*4.5/100</f>
        <v>4.5</v>
      </c>
      <c r="G390" s="252">
        <f>B390*5.2/100</f>
        <v>5.2</v>
      </c>
      <c r="H390" s="252">
        <f>B390*0.3/100</f>
        <v>0.3</v>
      </c>
      <c r="I390" s="263">
        <f>B390*0.26/100</f>
        <v>0.26</v>
      </c>
      <c r="J390" s="263"/>
      <c r="K390" s="240">
        <f>B390*99.71/100</f>
        <v>99.71</v>
      </c>
      <c r="L390" s="242">
        <v>0</v>
      </c>
      <c r="M390" s="239" t="s">
        <v>454</v>
      </c>
      <c r="N390" s="240">
        <f>B390*4.43/100</f>
        <v>4.43</v>
      </c>
      <c r="O390" s="240">
        <f>B390*25.4166666666667/100</f>
        <v>25.4166666666667</v>
      </c>
      <c r="P390" s="240">
        <f>B390*0.02/100</f>
        <v>0.02</v>
      </c>
      <c r="Q390" s="240">
        <f>B390*281.91/100</f>
        <v>281.91000000000003</v>
      </c>
      <c r="R390" s="240">
        <f>B390*3.55333333333333/100</f>
        <v>3.5533333333333301</v>
      </c>
      <c r="S390" s="240">
        <f>B390*60.6566666666667/100</f>
        <v>60.656666666666709</v>
      </c>
      <c r="T390" s="240">
        <f>B390*376.596666666667/100</f>
        <v>376.59666666666703</v>
      </c>
      <c r="U390" s="240">
        <f>B390*0.173333333333333/100</f>
        <v>0.17333333333333301</v>
      </c>
      <c r="V390" s="240">
        <f>B390*6.7/100</f>
        <v>6.7</v>
      </c>
      <c r="W390" s="240" t="s">
        <v>455</v>
      </c>
      <c r="X390" s="240" t="s">
        <v>455</v>
      </c>
      <c r="Y390" s="240">
        <f>B390*0.0833333333333333/100</f>
        <v>8.3333333333333301E-2</v>
      </c>
      <c r="Z390" s="240">
        <f>B390*0.03/100</f>
        <v>0.03</v>
      </c>
      <c r="AA390" s="240">
        <f>B390*1.82333333333333/100</f>
        <v>1.8233333333333299</v>
      </c>
      <c r="AB390" s="240"/>
    </row>
    <row r="391" spans="1:28">
      <c r="A391" s="232" t="s">
        <v>741</v>
      </c>
      <c r="B391" s="59">
        <v>100</v>
      </c>
      <c r="C391" s="238">
        <f>B391*312.799033691446/100</f>
        <v>312.79903369144603</v>
      </c>
      <c r="D391" s="238">
        <f>B391*26.93125/100</f>
        <v>26.931249999999999</v>
      </c>
      <c r="E391" s="248">
        <f>B391*21.9293333333333/100</f>
        <v>21.929333333333304</v>
      </c>
      <c r="F391" s="252">
        <f>B391*10.5/100</f>
        <v>10.5</v>
      </c>
      <c r="G391" s="252">
        <f>B391*8.3/100</f>
        <v>8.3000000000000007</v>
      </c>
      <c r="H391" s="252">
        <f>B391*0.4/100</f>
        <v>0.4</v>
      </c>
      <c r="I391" s="263">
        <f>B391*0.29/100</f>
        <v>0.28999999999999998</v>
      </c>
      <c r="J391" s="263">
        <f>B391*0.13/100</f>
        <v>0.13</v>
      </c>
      <c r="K391" s="238">
        <f>B391*100.136/100</f>
        <v>100.13600000000001</v>
      </c>
      <c r="L391" s="242">
        <v>0</v>
      </c>
      <c r="M391" s="239" t="s">
        <v>454</v>
      </c>
      <c r="N391" s="238">
        <f>B391*12.7636666666667/100</f>
        <v>12.763666666666699</v>
      </c>
      <c r="O391" s="238">
        <f>B391*11.9006666666667/100</f>
        <v>11.9006666666667</v>
      </c>
      <c r="P391" s="248">
        <f>B391*0.0153333333333333/100</f>
        <v>1.53333333333333E-2</v>
      </c>
      <c r="Q391" s="238">
        <f>B391*82.3756666666667/100</f>
        <v>82.375666666666717</v>
      </c>
      <c r="R391" s="238">
        <f>B391*1.88366666666667/100</f>
        <v>1.8836666666666699</v>
      </c>
      <c r="S391" s="238">
        <f>B391*1943.17933333333/100</f>
        <v>1943.1793333333301</v>
      </c>
      <c r="T391" s="242">
        <f>B391*86.0263333333333/100</f>
        <v>86.026333333333298</v>
      </c>
      <c r="U391" s="238">
        <f>B391*0.033/100</f>
        <v>3.3000000000000002E-2</v>
      </c>
      <c r="V391" s="238">
        <f>B391*7.698/100</f>
        <v>7.6980000000000004</v>
      </c>
      <c r="W391" s="245" t="s">
        <v>455</v>
      </c>
      <c r="X391" s="245" t="s">
        <v>455</v>
      </c>
      <c r="Y391" s="238">
        <f>B391*0.0633333333333333/100</f>
        <v>6.3333333333333297E-2</v>
      </c>
      <c r="Z391" s="245" t="s">
        <v>455</v>
      </c>
      <c r="AA391" s="242">
        <f>B391*2.32/100</f>
        <v>2.3199999999999998</v>
      </c>
      <c r="AB391" s="242"/>
    </row>
    <row r="392" spans="1:28">
      <c r="A392" s="232" t="s">
        <v>3166</v>
      </c>
      <c r="B392" s="59">
        <v>100</v>
      </c>
      <c r="C392" s="238">
        <f>B392*312.748427903652/100</f>
        <v>312.74842790365199</v>
      </c>
      <c r="D392" s="238">
        <f>B392*19.6583333333333/100</f>
        <v>19.658333333333299</v>
      </c>
      <c r="E392" s="248">
        <f>B392*25.3666666666667/100</f>
        <v>25.366666666666696</v>
      </c>
      <c r="F392" s="252">
        <f>B392*8.7/100</f>
        <v>8.6999999999999993</v>
      </c>
      <c r="G392" s="252">
        <f>B392*7.5/100</f>
        <v>7.5</v>
      </c>
      <c r="H392" s="252">
        <f>B392*0.3/100</f>
        <v>0.3</v>
      </c>
      <c r="I392" s="263">
        <f>B392*0.21/100</f>
        <v>0.21</v>
      </c>
      <c r="J392" s="263">
        <f>B392*0.15/100</f>
        <v>0.15</v>
      </c>
      <c r="K392" s="238">
        <f>B392*91.5466666666667/100</f>
        <v>91.546666666666695</v>
      </c>
      <c r="L392" s="242">
        <v>0</v>
      </c>
      <c r="M392" s="239" t="s">
        <v>454</v>
      </c>
      <c r="N392" s="238">
        <f>B392*14.11/100</f>
        <v>14.11</v>
      </c>
      <c r="O392" s="238">
        <f>B392*12.2196666666667/100</f>
        <v>12.219666666666701</v>
      </c>
      <c r="P392" s="248">
        <f>B392*0.012/100</f>
        <v>1.2E-2</v>
      </c>
      <c r="Q392" s="238">
        <f>B392*100.001666666667/100</f>
        <v>100.00166666666701</v>
      </c>
      <c r="R392" s="238">
        <f>B392*1.32966666666667/100</f>
        <v>1.3296666666666701</v>
      </c>
      <c r="S392" s="238">
        <f>B392*4439.55/100</f>
        <v>4439.55</v>
      </c>
      <c r="T392" s="238">
        <f>B392*190.154/100</f>
        <v>190.15400000000002</v>
      </c>
      <c r="U392" s="245" t="s">
        <v>455</v>
      </c>
      <c r="V392" s="238">
        <f>B392*3.65033333333333/100</f>
        <v>3.6503333333333301</v>
      </c>
      <c r="W392" s="245" t="s">
        <v>455</v>
      </c>
      <c r="X392" s="245" t="s">
        <v>455</v>
      </c>
      <c r="Y392" s="243">
        <f>B392*0.0733333333333333/100</f>
        <v>7.3333333333333306E-2</v>
      </c>
      <c r="Z392" s="245" t="s">
        <v>455</v>
      </c>
      <c r="AA392" s="238">
        <f>B392*2.83333333333333/100</f>
        <v>2.8333333333333299</v>
      </c>
      <c r="AB392" s="242"/>
    </row>
    <row r="393" spans="1:28">
      <c r="A393" s="232" t="s">
        <v>3167</v>
      </c>
      <c r="B393" s="59">
        <v>100</v>
      </c>
      <c r="C393" s="238">
        <f>B393*283.048/100</f>
        <v>283.048</v>
      </c>
      <c r="D393" s="238">
        <f>B393*9.61041666666667/100</f>
        <v>9.6104166666666693</v>
      </c>
      <c r="E393" s="248">
        <f>B393*11.836/100</f>
        <v>11.836000000000002</v>
      </c>
      <c r="F393" s="252">
        <f>B393*2.6/100</f>
        <v>2.6</v>
      </c>
      <c r="G393" s="252">
        <f>B393*3.4/100</f>
        <v>3.4</v>
      </c>
      <c r="H393" s="252">
        <f>B393*4.7/100</f>
        <v>4.7</v>
      </c>
      <c r="I393" s="263">
        <f>B393*4.34/100</f>
        <v>4.34</v>
      </c>
      <c r="J393" s="263">
        <f>B393*0.32/100</f>
        <v>0.32</v>
      </c>
      <c r="K393" s="238">
        <f>B393*14.8063333333333/100</f>
        <v>14.806333333333301</v>
      </c>
      <c r="L393" s="242">
        <f>B393*34.5205833333333/100</f>
        <v>34.520583333333299</v>
      </c>
      <c r="M393" s="238">
        <f>B393*4.97033333333333/100</f>
        <v>4.9703333333333299</v>
      </c>
      <c r="N393" s="238">
        <f>B393*18.3333333333333/100</f>
        <v>18.3333333333333</v>
      </c>
      <c r="O393" s="238">
        <f>B393*16.7826666666667/100</f>
        <v>16.782666666666699</v>
      </c>
      <c r="P393" s="238">
        <f>B393*0.276333333333333/100</f>
        <v>0.27633333333333299</v>
      </c>
      <c r="Q393" s="243">
        <f>B393*92.5423333333333/100</f>
        <v>92.542333333333303</v>
      </c>
      <c r="R393" s="238">
        <f>B393*1.26166666666667/100</f>
        <v>1.26166666666667</v>
      </c>
      <c r="S393" s="238">
        <f>B393*532.129333333333/100</f>
        <v>532.12933333333297</v>
      </c>
      <c r="T393" s="238">
        <f>B393*166.205/100</f>
        <v>166.20500000000001</v>
      </c>
      <c r="U393" s="238">
        <f>B393*0.0946666666666667/100</f>
        <v>9.4666666666666704E-2</v>
      </c>
      <c r="V393" s="238">
        <f>B393*0.513/100</f>
        <v>0.51300000000000001</v>
      </c>
      <c r="W393" s="245" t="s">
        <v>455</v>
      </c>
      <c r="X393" s="238">
        <f>B393*0.0866666666666667/100</f>
        <v>8.6666666666666697E-2</v>
      </c>
      <c r="Y393" s="245" t="s">
        <v>455</v>
      </c>
      <c r="Z393" s="245" t="s">
        <v>455</v>
      </c>
      <c r="AA393" s="238">
        <f>B393*2.6/100</f>
        <v>2.6</v>
      </c>
      <c r="AB393" s="245" t="s">
        <v>455</v>
      </c>
    </row>
    <row r="394" spans="1:28">
      <c r="A394" s="233" t="s">
        <v>3168</v>
      </c>
      <c r="B394" s="59">
        <v>100</v>
      </c>
      <c r="C394" s="247">
        <f>B394*245.771925297141/100</f>
        <v>245.771925297141</v>
      </c>
      <c r="D394" s="247">
        <f>B394*12.04375/100</f>
        <v>12.043749999999999</v>
      </c>
      <c r="E394" s="244">
        <f>B394*15.561/100</f>
        <v>15.561</v>
      </c>
      <c r="F394" s="252"/>
      <c r="G394" s="252"/>
      <c r="H394" s="252"/>
      <c r="I394" s="263"/>
      <c r="J394" s="263"/>
      <c r="K394" s="244">
        <f>B394*29.8513333333333/100</f>
        <v>29.851333333333301</v>
      </c>
      <c r="L394" s="247">
        <f>B394*13.9495833333333/100</f>
        <v>13.949583333333299</v>
      </c>
      <c r="M394" s="258"/>
      <c r="N394" s="244">
        <f>B394*15.4966666666667/100</f>
        <v>15.4966666666667</v>
      </c>
      <c r="O394" s="244">
        <f>B394*23.635/100</f>
        <v>23.635000000000002</v>
      </c>
      <c r="P394" s="244">
        <f>B394*0.34/100</f>
        <v>0.34</v>
      </c>
      <c r="Q394" s="244">
        <f>B394*144.176333333333/100</f>
        <v>144.17633333333299</v>
      </c>
      <c r="R394" s="244">
        <f>B394*2.508/100</f>
        <v>2.508</v>
      </c>
      <c r="S394" s="244">
        <f>B394*710.637333333333/100</f>
        <v>710.63733333333289</v>
      </c>
      <c r="T394" s="244">
        <f>B394*221.396333333333/100</f>
        <v>221.39633333333299</v>
      </c>
      <c r="U394" s="244">
        <f>B394*0.102/100</f>
        <v>0.10199999999999999</v>
      </c>
      <c r="V394" s="244">
        <f>B394*2.665/100</f>
        <v>2.665</v>
      </c>
      <c r="W394" s="244" t="s">
        <v>455</v>
      </c>
      <c r="X394" s="244">
        <f>B394*0.106666666666667/100</f>
        <v>0.10666666666666699</v>
      </c>
      <c r="Y394" s="244">
        <f>B394*0.04/100</f>
        <v>0.04</v>
      </c>
      <c r="Z394" s="244" t="s">
        <v>455</v>
      </c>
      <c r="AA394" s="244">
        <f>B394*1.94666666666667/100</f>
        <v>1.9466666666666699</v>
      </c>
      <c r="AB394" s="244" t="s">
        <v>455</v>
      </c>
    </row>
    <row r="395" spans="1:28">
      <c r="A395" s="233" t="s">
        <v>3169</v>
      </c>
      <c r="B395" s="59">
        <v>100</v>
      </c>
      <c r="C395" s="247">
        <f>B395*346.742014647404/100</f>
        <v>346.74201464740401</v>
      </c>
      <c r="D395" s="247">
        <f>B395*16.8625/100</f>
        <v>16.862500000000001</v>
      </c>
      <c r="E395" s="244">
        <f>B395*22.6733333333333/100</f>
        <v>22.6733333333333</v>
      </c>
      <c r="F395" s="258">
        <f>B395*5.08333333333333/100</f>
        <v>5.0833333333333304</v>
      </c>
      <c r="G395" s="258">
        <f>B395*7.35333333333333/100</f>
        <v>7.3533333333333299</v>
      </c>
      <c r="H395" s="258">
        <f>B395*11.54/100</f>
        <v>11.54</v>
      </c>
      <c r="I395" s="263">
        <f>B395*10.4733333333333/100</f>
        <v>10.473333333333301</v>
      </c>
      <c r="J395" s="263">
        <f>B395*1.04333333333333/100</f>
        <v>1.0433333333333299</v>
      </c>
      <c r="K395" s="244">
        <f>B395*38.1006666666667/100</f>
        <v>38.100666666666697</v>
      </c>
      <c r="L395" s="247">
        <f>B395*18.1461666666667/100</f>
        <v>18.146166666666701</v>
      </c>
      <c r="M395" s="258"/>
      <c r="N395" s="244">
        <f>B395*18.088/100</f>
        <v>18.088000000000001</v>
      </c>
      <c r="O395" s="244">
        <f>B395*29.5216666666667/100</f>
        <v>29.5216666666667</v>
      </c>
      <c r="P395" s="244">
        <f>B395*0.385666666666667/100</f>
        <v>0.38566666666666699</v>
      </c>
      <c r="Q395" s="244">
        <f>B395*176.26/100</f>
        <v>176.26</v>
      </c>
      <c r="R395" s="244">
        <f>B395*2.311/100</f>
        <v>2.3109999999999999</v>
      </c>
      <c r="S395" s="244">
        <f>B395*916.411/100</f>
        <v>916.41099999999994</v>
      </c>
      <c r="T395" s="244">
        <f>B395*313.019/100</f>
        <v>313.01900000000001</v>
      </c>
      <c r="U395" s="244">
        <f>B395*0.0903333333333333/100</f>
        <v>9.0333333333333293E-2</v>
      </c>
      <c r="V395" s="244">
        <f>B395*3.30466666666667/100</f>
        <v>3.30466666666667</v>
      </c>
      <c r="W395" s="244" t="s">
        <v>455</v>
      </c>
      <c r="X395" s="244">
        <f>B395*0.136666666666667/100</f>
        <v>0.13666666666666699</v>
      </c>
      <c r="Y395" s="244">
        <f>B395*0.0433333333333333/100</f>
        <v>4.3333333333333307E-2</v>
      </c>
      <c r="Z395" s="244" t="s">
        <v>455</v>
      </c>
      <c r="AA395" s="244">
        <f>B395*4.77333333333333/100</f>
        <v>4.7733333333333299</v>
      </c>
      <c r="AB395" s="244" t="s">
        <v>455</v>
      </c>
    </row>
    <row r="396" spans="1:28">
      <c r="A396" s="232" t="s">
        <v>744</v>
      </c>
      <c r="B396" s="59">
        <v>100</v>
      </c>
      <c r="C396" s="238">
        <f>B396*358.191666666667/100</f>
        <v>358.191666666667</v>
      </c>
      <c r="D396" s="238">
        <f>B396*6.94375/100</f>
        <v>6.9437499999999996</v>
      </c>
      <c r="E396" s="242">
        <f>B396*15.605/100</f>
        <v>15.605</v>
      </c>
      <c r="F396" s="258"/>
      <c r="G396" s="258"/>
      <c r="H396" s="258"/>
      <c r="I396" s="263"/>
      <c r="J396" s="263"/>
      <c r="K396" s="242">
        <f>B396*22.7196666666667/100</f>
        <v>22.719666666666697</v>
      </c>
      <c r="L396" s="242">
        <f>B396*47.4929166666667/100</f>
        <v>47.492916666666694</v>
      </c>
      <c r="M396" s="242">
        <f>B396*2.16433333333333/100</f>
        <v>2.1643333333333299</v>
      </c>
      <c r="N396" s="242">
        <f>B396*15.6093333333333/100</f>
        <v>15.6093333333333</v>
      </c>
      <c r="O396" s="242">
        <f>B396*18.3046666666667/100</f>
        <v>18.304666666666702</v>
      </c>
      <c r="P396" s="242">
        <f>B396*0.323333333333333/100</f>
        <v>0.32333333333333303</v>
      </c>
      <c r="Q396" s="242">
        <f>B396*77.618/100</f>
        <v>77.617999999999995</v>
      </c>
      <c r="R396" s="242">
        <f>B396*1.18533333333333/100</f>
        <v>1.18533333333333</v>
      </c>
      <c r="S396" s="242">
        <f>B396*524.933333333333/100</f>
        <v>524.93333333333305</v>
      </c>
      <c r="T396" s="242">
        <f>B396*137.663666666667/100</f>
        <v>137.66366666666701</v>
      </c>
      <c r="U396" s="242">
        <f>B396*0.072/100</f>
        <v>7.1999999999999995E-2</v>
      </c>
      <c r="V396" s="242">
        <f>B396*0.643/100</f>
        <v>0.64300000000000002</v>
      </c>
      <c r="W396" s="245" t="s">
        <v>455</v>
      </c>
      <c r="X396" s="242">
        <f>B396*0.116666666666667/100</f>
        <v>0.116666666666667</v>
      </c>
      <c r="Y396" s="245" t="s">
        <v>455</v>
      </c>
      <c r="Z396" s="245" t="s">
        <v>455</v>
      </c>
      <c r="AA396" s="245" t="s">
        <v>455</v>
      </c>
      <c r="AB396" s="242" t="s">
        <v>3254</v>
      </c>
    </row>
    <row r="397" spans="1:28">
      <c r="A397" s="232" t="s">
        <v>811</v>
      </c>
      <c r="B397" s="59">
        <v>100</v>
      </c>
      <c r="C397" s="238">
        <f>B397*377.479666666667/100</f>
        <v>377.47966666666701</v>
      </c>
      <c r="D397" s="238">
        <f>B397*7.34375/100</f>
        <v>7.34375</v>
      </c>
      <c r="E397" s="248">
        <f>B397*22.8876666666667/100</f>
        <v>22.8876666666667</v>
      </c>
      <c r="F397" s="252">
        <f>B397*5.4/100</f>
        <v>5.4</v>
      </c>
      <c r="G397" s="252">
        <f>B397*5.2/100</f>
        <v>5.2</v>
      </c>
      <c r="H397" s="252">
        <f>B397*1.4/100</f>
        <v>1.4</v>
      </c>
      <c r="I397" s="263">
        <f>B397*1.22/100</f>
        <v>1.22</v>
      </c>
      <c r="J397" s="263">
        <f>B397*0.07/100</f>
        <v>7.0000000000000007E-2</v>
      </c>
      <c r="K397" s="238">
        <f>B397*23.281/100</f>
        <v>23.280999999999999</v>
      </c>
      <c r="L397" s="242">
        <f>B397*35.5289166666667/100</f>
        <v>35.528916666666703</v>
      </c>
      <c r="M397" s="238">
        <f>B397*2.22033333333333/100</f>
        <v>2.2203333333333299</v>
      </c>
      <c r="N397" s="238">
        <f>B397*13.5626666666667/100</f>
        <v>13.562666666666701</v>
      </c>
      <c r="O397" s="238">
        <f>B397*17.334/100</f>
        <v>17.334</v>
      </c>
      <c r="P397" s="238">
        <f>B397*0.25/100</f>
        <v>0.25</v>
      </c>
      <c r="Q397" s="238">
        <f>B397*77.935/100</f>
        <v>77.935000000000002</v>
      </c>
      <c r="R397" s="238">
        <f>B397*0.747/100</f>
        <v>0.747</v>
      </c>
      <c r="S397" s="238">
        <f>B397*770.725666666667/100</f>
        <v>770.72566666666705</v>
      </c>
      <c r="T397" s="238">
        <f>B397*156.356/100</f>
        <v>156.35599999999999</v>
      </c>
      <c r="U397" s="238">
        <f>B397*0.087/100</f>
        <v>8.6999999999999994E-2</v>
      </c>
      <c r="V397" s="238">
        <f>B397*0.502333333333333/100</f>
        <v>0.50233333333333297</v>
      </c>
      <c r="W397" s="245" t="s">
        <v>455</v>
      </c>
      <c r="X397" s="238">
        <f>B397*0.106666666666667/100</f>
        <v>0.10666666666666699</v>
      </c>
      <c r="Y397" s="245" t="s">
        <v>455</v>
      </c>
      <c r="Z397" s="238">
        <f>B397*0.03/100</f>
        <v>0.03</v>
      </c>
      <c r="AA397" s="245" t="s">
        <v>455</v>
      </c>
      <c r="AB397" s="242" t="s">
        <v>3254</v>
      </c>
    </row>
    <row r="398" spans="1:28">
      <c r="A398" s="232" t="s">
        <v>745</v>
      </c>
      <c r="B398" s="59">
        <v>100</v>
      </c>
      <c r="C398" s="240">
        <f>B398*213.188333333333/100</f>
        <v>213.18833333333299</v>
      </c>
      <c r="D398" s="239">
        <f>B398*18.1/100</f>
        <v>18.100000000000001</v>
      </c>
      <c r="E398" s="240">
        <f>B398*15.0666666666667/100</f>
        <v>15.066666666666698</v>
      </c>
      <c r="F398" s="252">
        <f>B398*4.4/100</f>
        <v>4.4000000000000004</v>
      </c>
      <c r="G398" s="252">
        <f>B398*6.6/100</f>
        <v>6.6</v>
      </c>
      <c r="H398" s="252">
        <f>B398*3/100</f>
        <v>3</v>
      </c>
      <c r="I398" s="263">
        <f>B398*3.02/100</f>
        <v>3.02</v>
      </c>
      <c r="J398" s="263">
        <f>B398*0.01/100</f>
        <v>0.01</v>
      </c>
      <c r="K398" s="240">
        <f>B398*113.45/100</f>
        <v>113.45</v>
      </c>
      <c r="L398" s="242">
        <v>0</v>
      </c>
      <c r="M398" s="239" t="s">
        <v>454</v>
      </c>
      <c r="N398" s="240">
        <f>B398*10.9166666666667/100</f>
        <v>10.9166666666667</v>
      </c>
      <c r="O398" s="240">
        <f>B398*23.2166666666667/100</f>
        <v>23.216666666666701</v>
      </c>
      <c r="P398" s="249">
        <f>B398*0.01/100</f>
        <v>0.01</v>
      </c>
      <c r="Q398" s="240">
        <f>B398*154.786666666667/100</f>
        <v>154.786666666667</v>
      </c>
      <c r="R398" s="240">
        <f>B398*0.566666666666667/100</f>
        <v>0.56666666666666698</v>
      </c>
      <c r="S398" s="240">
        <f>B398*96.3/100</f>
        <v>96.3</v>
      </c>
      <c r="T398" s="240">
        <f>B398*211.156666666667/100</f>
        <v>211.15666666666701</v>
      </c>
      <c r="U398" s="240">
        <f>B398*0.0233333333333333/100</f>
        <v>2.33333333333333E-2</v>
      </c>
      <c r="V398" s="240">
        <f>B398*1.24666666666667/100</f>
        <v>1.2466666666666699</v>
      </c>
      <c r="W398" s="249">
        <f>B398*10.3733333333333/100</f>
        <v>10.373333333333299</v>
      </c>
      <c r="X398" s="249">
        <f>B398*0.106666666666667/100</f>
        <v>0.10666666666666699</v>
      </c>
      <c r="Y398" s="240">
        <f>B398*0.0433333333333333/100</f>
        <v>4.3333333333333307E-2</v>
      </c>
      <c r="Z398" s="249" t="s">
        <v>455</v>
      </c>
      <c r="AA398" s="249">
        <f>B398*2.58333333333333/100</f>
        <v>2.5833333333333299</v>
      </c>
      <c r="AB398" s="240"/>
    </row>
    <row r="399" spans="1:28">
      <c r="A399" s="232" t="s">
        <v>746</v>
      </c>
      <c r="B399" s="59">
        <v>100</v>
      </c>
      <c r="C399" s="238">
        <f>B399*242.889326666667/100</f>
        <v>242.88932666666699</v>
      </c>
      <c r="D399" s="238">
        <f>B399*23.8833333333333/100</f>
        <v>23.883333333333304</v>
      </c>
      <c r="E399" s="248">
        <f>B399*15.6156666666667/100</f>
        <v>15.6156666666667</v>
      </c>
      <c r="F399" s="252">
        <f>B399*4.4/100</f>
        <v>4.4000000000000004</v>
      </c>
      <c r="G399" s="252">
        <f>B399*7.5/100</f>
        <v>7.5</v>
      </c>
      <c r="H399" s="252">
        <f>B399*2.3/100</f>
        <v>2.2999999999999998</v>
      </c>
      <c r="I399" s="263">
        <f>B399*2.18/100</f>
        <v>2.1800000000000002</v>
      </c>
      <c r="J399" s="263">
        <f>B399*0.09/100</f>
        <v>0.09</v>
      </c>
      <c r="K399" s="238">
        <f>B399*109.549333333333/100</f>
        <v>109.549333333333</v>
      </c>
      <c r="L399" s="242">
        <v>0</v>
      </c>
      <c r="M399" s="239" t="s">
        <v>454</v>
      </c>
      <c r="N399" s="238">
        <f>B399*16.762/100</f>
        <v>16.762</v>
      </c>
      <c r="O399" s="238">
        <f>B399*18.3486666666667/100</f>
        <v>18.348666666666698</v>
      </c>
      <c r="P399" s="248">
        <f>B399*0.0136666666666667/100</f>
        <v>1.36666666666667E-2</v>
      </c>
      <c r="Q399" s="238">
        <f>B399*161.941/100</f>
        <v>161.941</v>
      </c>
      <c r="R399" s="238">
        <f>B399*1.66/100</f>
        <v>1.66</v>
      </c>
      <c r="S399" s="238">
        <f>B399*56.092/100</f>
        <v>56.091999999999999</v>
      </c>
      <c r="T399" s="238">
        <f>B399*210.007333333333/100</f>
        <v>210.00733333333301</v>
      </c>
      <c r="U399" s="238">
        <f>B399*0.0773333333333333/100</f>
        <v>7.7333333333333296E-2</v>
      </c>
      <c r="V399" s="238">
        <f>B399*1.69866666666667/100</f>
        <v>1.6986666666666701</v>
      </c>
      <c r="W399" s="245">
        <f>B399*16.16/100</f>
        <v>16.16</v>
      </c>
      <c r="X399" s="238">
        <f>B399*0.03/100</f>
        <v>0.03</v>
      </c>
      <c r="Y399" s="243" t="s">
        <v>455</v>
      </c>
      <c r="Z399" s="243" t="s">
        <v>455</v>
      </c>
      <c r="AA399" s="238">
        <f>B399*6.33333333333333/100</f>
        <v>6.3333333333333304</v>
      </c>
      <c r="AB399" s="242"/>
    </row>
    <row r="400" spans="1:28">
      <c r="A400" s="232" t="s">
        <v>747</v>
      </c>
      <c r="B400" s="59">
        <v>100</v>
      </c>
      <c r="C400" s="238">
        <f>B400*195.760296666667/100</f>
        <v>195.76029666666699</v>
      </c>
      <c r="D400" s="238">
        <f>B400*29.575/100</f>
        <v>29.574999999999999</v>
      </c>
      <c r="E400" s="248">
        <f>B400*7.70233333333333/100</f>
        <v>7.7023333333333301</v>
      </c>
      <c r="F400" s="252">
        <f>B400*2.2/100</f>
        <v>2.2000000000000002</v>
      </c>
      <c r="G400" s="252">
        <f>B400*3.4/100</f>
        <v>3.4</v>
      </c>
      <c r="H400" s="252">
        <f>B400*1.2/100</f>
        <v>1.2</v>
      </c>
      <c r="I400" s="263">
        <f>B400*1.16/100</f>
        <v>1.1599999999999999</v>
      </c>
      <c r="J400" s="263">
        <f>B400*0.04/100</f>
        <v>0.04</v>
      </c>
      <c r="K400" s="238">
        <f>B400*105.522/100</f>
        <v>105.52200000000001</v>
      </c>
      <c r="L400" s="242">
        <v>0</v>
      </c>
      <c r="M400" s="239" t="s">
        <v>454</v>
      </c>
      <c r="N400" s="238">
        <f>B400*66.1386666666667/100</f>
        <v>66.138666666666694</v>
      </c>
      <c r="O400" s="238">
        <f>B400*23.1663333333333/100</f>
        <v>23.166333333333299</v>
      </c>
      <c r="P400" s="248">
        <f>B400*0.0216666666666667/100</f>
        <v>2.1666666666666702E-2</v>
      </c>
      <c r="Q400" s="238">
        <f>B400*209.603666666667/100</f>
        <v>209.60366666666701</v>
      </c>
      <c r="R400" s="238">
        <f>B400*2.115/100</f>
        <v>2.1150000000000002</v>
      </c>
      <c r="S400" s="238">
        <f>B400*53.2433333333333/100</f>
        <v>53.243333333333297</v>
      </c>
      <c r="T400" s="238">
        <f>B400*223.586/100</f>
        <v>223.58600000000001</v>
      </c>
      <c r="U400" s="238">
        <f>B400*0.145666666666667/100</f>
        <v>0.145666666666667</v>
      </c>
      <c r="V400" s="238">
        <f>B400*2.658/100</f>
        <v>2.6579999999999999</v>
      </c>
      <c r="W400" s="242">
        <f>B400*6.05333333333333/100</f>
        <v>6.0533333333333301</v>
      </c>
      <c r="X400" s="238">
        <f>B400*0.03/100</f>
        <v>0.03</v>
      </c>
      <c r="Y400" s="243">
        <f>B400*0.03/100</f>
        <v>0.03</v>
      </c>
      <c r="Z400" s="243" t="s">
        <v>455</v>
      </c>
      <c r="AA400" s="238">
        <f>B400*9.2/100</f>
        <v>9.1999999999999993</v>
      </c>
      <c r="AB400" s="242"/>
    </row>
    <row r="401" spans="1:28">
      <c r="A401" s="232" t="s">
        <v>748</v>
      </c>
      <c r="B401" s="59">
        <v>100</v>
      </c>
      <c r="C401" s="240">
        <f>B401*221.502833333333/100</f>
        <v>221.502833333333</v>
      </c>
      <c r="D401" s="239">
        <f>B401*12.5833333333333/100</f>
        <v>12.5833333333333</v>
      </c>
      <c r="E401" s="240">
        <f>B401*18.6/100</f>
        <v>18.600000000000001</v>
      </c>
      <c r="F401" s="252">
        <f>B401*4.9/100</f>
        <v>4.9000000000000004</v>
      </c>
      <c r="G401" s="252">
        <f>B401*6.3/100</f>
        <v>6.3</v>
      </c>
      <c r="H401" s="252">
        <f>B401*3.4/100</f>
        <v>3.4</v>
      </c>
      <c r="I401" s="263">
        <f>B401*3.24/100</f>
        <v>3.24</v>
      </c>
      <c r="J401" s="263">
        <f>B401*0.13/100</f>
        <v>0.13</v>
      </c>
      <c r="K401" s="240">
        <f>B401*159.24/100</f>
        <v>159.24</v>
      </c>
      <c r="L401" s="242">
        <v>0</v>
      </c>
      <c r="M401" s="239" t="s">
        <v>454</v>
      </c>
      <c r="N401" s="240">
        <f>B401*5.50666666666667/100</f>
        <v>5.5066666666666713</v>
      </c>
      <c r="O401" s="240">
        <f>B401*19.8333333333333/100</f>
        <v>19.8333333333333</v>
      </c>
      <c r="P401" s="249">
        <f>B401*0.05/100</f>
        <v>0.05</v>
      </c>
      <c r="Q401" s="240">
        <f>B401*193.39/100</f>
        <v>193.39</v>
      </c>
      <c r="R401" s="240">
        <f>B401*4.09333333333333/100</f>
        <v>4.0933333333333302</v>
      </c>
      <c r="S401" s="240">
        <f>B401*95.06/100</f>
        <v>95.06</v>
      </c>
      <c r="T401" s="240">
        <f>B401*220.07/100</f>
        <v>220.07</v>
      </c>
      <c r="U401" s="240">
        <f>B401*0.196666666666667/100</f>
        <v>0.19666666666666699</v>
      </c>
      <c r="V401" s="240">
        <f>B401*2.00666666666667/100</f>
        <v>2.0066666666666699</v>
      </c>
      <c r="W401" s="249">
        <f>B401*9.38666666666667/100</f>
        <v>9.3866666666666703</v>
      </c>
      <c r="X401" s="249">
        <f>B401*0.226666666666667/100</f>
        <v>0.22666666666666699</v>
      </c>
      <c r="Y401" s="240">
        <f>B401*0.35/100</f>
        <v>0.35</v>
      </c>
      <c r="Z401" s="249" t="s">
        <v>455</v>
      </c>
      <c r="AA401" s="249">
        <f>B401*3.38666666666667/100</f>
        <v>3.3866666666666698</v>
      </c>
      <c r="AB401" s="239"/>
    </row>
    <row r="402" spans="1:28">
      <c r="A402" s="232" t="s">
        <v>749</v>
      </c>
      <c r="B402" s="59">
        <v>100</v>
      </c>
      <c r="C402" s="242">
        <f>B402*207.273643333333/100</f>
        <v>207.27364333333301</v>
      </c>
      <c r="D402" s="238">
        <f>B402*22.4395833333333/100</f>
        <v>22.439583333333299</v>
      </c>
      <c r="E402" s="252">
        <f>B402*12.096/100</f>
        <v>12.095999999999998</v>
      </c>
      <c r="F402" s="252">
        <f>B402*3.49966666666667/100</f>
        <v>3.4996666666666698</v>
      </c>
      <c r="G402" s="252">
        <f>B402*4.25966666666667/100</f>
        <v>4.2596666666666696</v>
      </c>
      <c r="H402" s="252">
        <f>B402*1.58766666666667/100</f>
        <v>1.5876666666666699</v>
      </c>
      <c r="I402" s="263">
        <f>B402*1.495/100</f>
        <v>1.4950000000000001</v>
      </c>
      <c r="J402" s="263">
        <f>B402*0.048/100</f>
        <v>4.8000000000000001E-2</v>
      </c>
      <c r="K402" s="238">
        <f>B402*280.355666666667/100</f>
        <v>280.35566666666699</v>
      </c>
      <c r="L402" s="242">
        <f>B402*0.607416666666658/100</f>
        <v>0.60741666666665795</v>
      </c>
      <c r="M402" s="239" t="s">
        <v>454</v>
      </c>
      <c r="N402" s="248">
        <f>B402*8.35166666666667/100</f>
        <v>8.3516666666666701</v>
      </c>
      <c r="O402" s="238">
        <f>B402*20.119/100</f>
        <v>20.119</v>
      </c>
      <c r="P402" s="238">
        <f>B402*0.0586666666666667/100</f>
        <v>5.86666666666667E-2</v>
      </c>
      <c r="Q402" s="238">
        <f>B402*275.78/100</f>
        <v>275.77999999999997</v>
      </c>
      <c r="R402" s="238">
        <f>B402*6.52633333333333/100</f>
        <v>6.52633333333333</v>
      </c>
      <c r="S402" s="238">
        <f>B402*128.242/100</f>
        <v>128.24199999999999</v>
      </c>
      <c r="T402" s="238">
        <f>B402*242.694666666667/100</f>
        <v>242.69466666666699</v>
      </c>
      <c r="U402" s="238">
        <f>B402*0.304/100</f>
        <v>0.30399999999999999</v>
      </c>
      <c r="V402" s="238">
        <f>B402*3.448/100</f>
        <v>3.448</v>
      </c>
      <c r="W402" s="242" t="s">
        <v>455</v>
      </c>
      <c r="X402" s="238">
        <f>B402*0.196666666666667/100</f>
        <v>0.19666666666666699</v>
      </c>
      <c r="Y402" s="238">
        <f>B402*0.193333333333333/100</f>
        <v>0.193333333333333</v>
      </c>
      <c r="Z402" s="242" t="s">
        <v>455</v>
      </c>
      <c r="AA402" s="238">
        <f>B402*9.7/100</f>
        <v>9.6999999999999993</v>
      </c>
      <c r="AB402" s="238"/>
    </row>
    <row r="403" spans="1:28">
      <c r="A403" s="232" t="s">
        <v>751</v>
      </c>
      <c r="B403" s="59">
        <v>100</v>
      </c>
      <c r="C403" s="238">
        <f>B403*215.11864753294/100</f>
        <v>215.11864753294</v>
      </c>
      <c r="D403" s="238">
        <f>B403*28.4916666666667/100</f>
        <v>28.491666666666696</v>
      </c>
      <c r="E403" s="248">
        <f>B403*10.3613333333333/100</f>
        <v>10.361333333333301</v>
      </c>
      <c r="F403" s="252">
        <f>B403*3.1/100</f>
        <v>3.1</v>
      </c>
      <c r="G403" s="252">
        <f>B403*3.8/100</f>
        <v>3.8</v>
      </c>
      <c r="H403" s="252">
        <f>B403*2.2/100</f>
        <v>2.2000000000000002</v>
      </c>
      <c r="I403" s="263">
        <f>B403*2.11/100</f>
        <v>2.11</v>
      </c>
      <c r="J403" s="263">
        <f>B403*0.09/100</f>
        <v>0.09</v>
      </c>
      <c r="K403" s="238">
        <f>B403*145.481333333333/100</f>
        <v>145.481333333333</v>
      </c>
      <c r="L403" s="242">
        <f>B403*0.05833333333334/100</f>
        <v>5.8333333333340003E-2</v>
      </c>
      <c r="M403" s="239" t="s">
        <v>454</v>
      </c>
      <c r="N403" s="238">
        <f>B403*8.33633333333333/100</f>
        <v>8.3363333333333305</v>
      </c>
      <c r="O403" s="243">
        <f>B403*13.9276666666667/100</f>
        <v>13.927666666666701</v>
      </c>
      <c r="P403" s="245" t="s">
        <v>455</v>
      </c>
      <c r="Q403" s="238">
        <f>B403*251.346666666667/100</f>
        <v>251.34666666666701</v>
      </c>
      <c r="R403" s="238">
        <f>B403*1.216/100</f>
        <v>1.216</v>
      </c>
      <c r="S403" s="238">
        <f>B403*94.8423333333333/100</f>
        <v>94.842333333333301</v>
      </c>
      <c r="T403" s="238">
        <f>B403*318.11/100</f>
        <v>318.11</v>
      </c>
      <c r="U403" s="238">
        <f>B403*0.0466666666666667/100</f>
        <v>4.6666666666666697E-2</v>
      </c>
      <c r="V403" s="238">
        <f>B403*2.55166666666667/100</f>
        <v>2.5516666666666699</v>
      </c>
      <c r="W403" s="242">
        <f>B403*5.97333333333333/100</f>
        <v>5.9733333333333301</v>
      </c>
      <c r="X403" s="238">
        <f>B403*0.05/100</f>
        <v>0.05</v>
      </c>
      <c r="Y403" s="238">
        <f>B403*0.0533333333333333/100</f>
        <v>5.3333333333333302E-2</v>
      </c>
      <c r="Z403" s="249" t="s">
        <v>455</v>
      </c>
      <c r="AA403" s="238">
        <f>B403*10.4/100</f>
        <v>10.4</v>
      </c>
      <c r="AB403" s="242"/>
    </row>
    <row r="404" spans="1:28">
      <c r="A404" s="232" t="s">
        <v>3170</v>
      </c>
      <c r="B404" s="59">
        <v>100</v>
      </c>
      <c r="C404" s="240">
        <f>B404*161.474733333333/100</f>
        <v>161.47473333333301</v>
      </c>
      <c r="D404" s="239">
        <f>B404*17.0933333333333/100</f>
        <v>17.093333333333302</v>
      </c>
      <c r="E404" s="240">
        <f>B404*9.81/100</f>
        <v>9.81</v>
      </c>
      <c r="F404" s="252">
        <f>B404*3/100</f>
        <v>3</v>
      </c>
      <c r="G404" s="252">
        <f>B404*4.1/100</f>
        <v>4.0999999999999996</v>
      </c>
      <c r="H404" s="252">
        <f>B404*2.2/100</f>
        <v>2.2000000000000002</v>
      </c>
      <c r="I404" s="263">
        <f>B404*2.05/100</f>
        <v>2.0499999999999998</v>
      </c>
      <c r="J404" s="263">
        <f>B404*0.09/100</f>
        <v>0.09</v>
      </c>
      <c r="K404" s="240">
        <f>B404*97.4/100</f>
        <v>97.4</v>
      </c>
      <c r="L404" s="242">
        <v>0</v>
      </c>
      <c r="M404" s="239" t="s">
        <v>454</v>
      </c>
      <c r="N404" s="240">
        <f>B404*8/100</f>
        <v>8</v>
      </c>
      <c r="O404" s="240">
        <f>B404*25.8133333333333/100</f>
        <v>25.813333333333297</v>
      </c>
      <c r="P404" s="249">
        <f>B404*0.0166666666666667/100</f>
        <v>1.6666666666666701E-2</v>
      </c>
      <c r="Q404" s="240">
        <f>B404*185.34/100</f>
        <v>185.34</v>
      </c>
      <c r="R404" s="240">
        <f>B404*0.703333333333333/100</f>
        <v>0.70333333333333303</v>
      </c>
      <c r="S404" s="240">
        <f>B404*94.9566666666667/100</f>
        <v>94.95666666666672</v>
      </c>
      <c r="T404" s="240">
        <f>B404*274.733333333333/100</f>
        <v>274.73333333333301</v>
      </c>
      <c r="U404" s="240">
        <f>B404*0.03/100</f>
        <v>0.03</v>
      </c>
      <c r="V404" s="240">
        <f>B404*1.97333333333333/100</f>
        <v>1.9733333333333301</v>
      </c>
      <c r="W404" s="249">
        <f>B404*10.0233333333333/100</f>
        <v>10.0233333333333</v>
      </c>
      <c r="X404" s="249">
        <f>B404*0.156666666666667/100</f>
        <v>0.15666666666666701</v>
      </c>
      <c r="Y404" s="240">
        <f>B404*0.0533333333333333/100</f>
        <v>5.3333333333333302E-2</v>
      </c>
      <c r="Z404" s="249" t="s">
        <v>455</v>
      </c>
      <c r="AA404" s="249">
        <f>B404*2.03666666666667/100</f>
        <v>2.0366666666666702</v>
      </c>
      <c r="AB404" s="239"/>
    </row>
    <row r="405" spans="1:28">
      <c r="A405" s="232" t="s">
        <v>753</v>
      </c>
      <c r="B405" s="59">
        <v>100</v>
      </c>
      <c r="C405" s="238">
        <f>B405*167.428032164415/100</f>
        <v>167.42803216441499</v>
      </c>
      <c r="D405" s="238">
        <f>B405*26.8583333333333/100</f>
        <v>26.858333333333299</v>
      </c>
      <c r="E405" s="248">
        <f>B405*5.84733333333333/100</f>
        <v>5.8473333333333297</v>
      </c>
      <c r="F405" s="252">
        <f>B405*2/100</f>
        <v>2</v>
      </c>
      <c r="G405" s="252">
        <f>B405*2.1/100</f>
        <v>2.1</v>
      </c>
      <c r="H405" s="252">
        <f>B405*1.1/100</f>
        <v>1.1000000000000001</v>
      </c>
      <c r="I405" s="263">
        <f>B405*1.1/100</f>
        <v>1.1000000000000001</v>
      </c>
      <c r="J405" s="263">
        <f>B405*0.05/100</f>
        <v>0.05</v>
      </c>
      <c r="K405" s="238">
        <f>B405*132.916666666667/100</f>
        <v>132.916666666667</v>
      </c>
      <c r="L405" s="242">
        <v>0</v>
      </c>
      <c r="M405" s="239" t="s">
        <v>454</v>
      </c>
      <c r="N405" s="238">
        <f>B405*11.781/100</f>
        <v>11.781000000000001</v>
      </c>
      <c r="O405" s="238">
        <f>B405*11.1436666666667/100</f>
        <v>11.1436666666667</v>
      </c>
      <c r="P405" s="245" t="s">
        <v>455</v>
      </c>
      <c r="Q405" s="238">
        <f>B405*186.743333333333/100</f>
        <v>186.743333333333</v>
      </c>
      <c r="R405" s="238">
        <f>B405*0.826333333333333/100</f>
        <v>0.82633333333333292</v>
      </c>
      <c r="S405" s="238">
        <f>B405*64.3393333333333/100</f>
        <v>64.3393333333333</v>
      </c>
      <c r="T405" s="238">
        <f>B405*191.136666666667/100</f>
        <v>191.136666666667</v>
      </c>
      <c r="U405" s="238">
        <f>B405*0.0273333333333333/100</f>
        <v>2.73333333333333E-2</v>
      </c>
      <c r="V405" s="238">
        <f>B405*2.83333333333333/100</f>
        <v>2.8333333333333299</v>
      </c>
      <c r="W405" s="242" t="s">
        <v>455</v>
      </c>
      <c r="X405" s="238">
        <f>B405*0.0733333333333333/100</f>
        <v>7.3333333333333306E-2</v>
      </c>
      <c r="Y405" s="243" t="s">
        <v>455</v>
      </c>
      <c r="Z405" s="249" t="s">
        <v>455</v>
      </c>
      <c r="AA405" s="238">
        <f>B405*8.2/100</f>
        <v>8.1999999999999993</v>
      </c>
      <c r="AB405" s="242"/>
    </row>
    <row r="406" spans="1:28">
      <c r="A406" s="232" t="s">
        <v>3171</v>
      </c>
      <c r="B406" s="59">
        <v>100</v>
      </c>
      <c r="C406" s="240">
        <f>B406*119.947466666667/100</f>
        <v>119.94746666666701</v>
      </c>
      <c r="D406" s="239">
        <f>B406*17.8133333333333/100</f>
        <v>17.813333333333301</v>
      </c>
      <c r="E406" s="240">
        <f>B406*4.85666666666667/100</f>
        <v>4.85666666666667</v>
      </c>
      <c r="F406" s="252">
        <f>B406*1.6/100</f>
        <v>1.6</v>
      </c>
      <c r="G406" s="252">
        <f>B406*2.1/100</f>
        <v>2.1</v>
      </c>
      <c r="H406" s="252">
        <f>B406*0.8/100</f>
        <v>0.8</v>
      </c>
      <c r="I406" s="263">
        <f>B406*0.83/100</f>
        <v>0.83</v>
      </c>
      <c r="J406" s="263">
        <f>B406*0.02/100</f>
        <v>0.02</v>
      </c>
      <c r="K406" s="240">
        <f>B406*90.56/100</f>
        <v>90.56</v>
      </c>
      <c r="L406" s="242">
        <f>B406*0.019999999999997/100</f>
        <v>1.9999999999996999E-2</v>
      </c>
      <c r="M406" s="239" t="s">
        <v>454</v>
      </c>
      <c r="N406" s="240">
        <f>B406*7.97/100</f>
        <v>7.97</v>
      </c>
      <c r="O406" s="240">
        <f>B406*27.23/100</f>
        <v>27.23</v>
      </c>
      <c r="P406" s="249">
        <f>B406*0.02/100</f>
        <v>0.02</v>
      </c>
      <c r="Q406" s="240">
        <f>B406*196.48/100</f>
        <v>196.48</v>
      </c>
      <c r="R406" s="240">
        <f>B406*0.776666666666667/100</f>
        <v>0.77666666666666695</v>
      </c>
      <c r="S406" s="240">
        <f>B406*98.3666666666667/100</f>
        <v>98.366666666666703</v>
      </c>
      <c r="T406" s="240">
        <f>B406*291.19/100</f>
        <v>291.19</v>
      </c>
      <c r="U406" s="240">
        <f>B406*0.03/100</f>
        <v>0.03</v>
      </c>
      <c r="V406" s="240">
        <f>B406*2.24/100</f>
        <v>2.2400000000000002</v>
      </c>
      <c r="W406" s="249">
        <f>B406*11.6633333333333/100</f>
        <v>11.6633333333333</v>
      </c>
      <c r="X406" s="249">
        <f>B406*0.166666666666667/100</f>
        <v>0.16666666666666699</v>
      </c>
      <c r="Y406" s="240">
        <f>B406*0.0466666666666667/100</f>
        <v>4.6666666666666697E-2</v>
      </c>
      <c r="Z406" s="249" t="s">
        <v>455</v>
      </c>
      <c r="AA406" s="249">
        <f>B406*3.53/100</f>
        <v>3.53</v>
      </c>
      <c r="AB406" s="240"/>
    </row>
    <row r="407" spans="1:28">
      <c r="A407" s="232" t="s">
        <v>754</v>
      </c>
      <c r="B407" s="59">
        <v>100</v>
      </c>
      <c r="C407" s="240">
        <f>B407*106.484566666667/100</f>
        <v>106.48456666666702</v>
      </c>
      <c r="D407" s="239">
        <f>B407*17.5866666666667/100</f>
        <v>17.586666666666702</v>
      </c>
      <c r="E407" s="240">
        <f>B407*3.49/100</f>
        <v>3.49</v>
      </c>
      <c r="F407" s="252">
        <f>B407*1.3/100</f>
        <v>1.3</v>
      </c>
      <c r="G407" s="252">
        <f>B407*0.7/100</f>
        <v>0.7</v>
      </c>
      <c r="H407" s="252">
        <f>B407*0.6/100</f>
        <v>0.6</v>
      </c>
      <c r="I407" s="263">
        <f>B407*0.51/100</f>
        <v>0.51</v>
      </c>
      <c r="J407" s="263">
        <f>B407*0.06/100</f>
        <v>0.06</v>
      </c>
      <c r="K407" s="240">
        <f>B407*340.58/100</f>
        <v>340.58</v>
      </c>
      <c r="L407" s="242">
        <f>B407*-0.0233333333333381/100</f>
        <v>-2.3333333333338101E-2</v>
      </c>
      <c r="M407" s="239" t="s">
        <v>454</v>
      </c>
      <c r="N407" s="240">
        <f>B407*5.61/100</f>
        <v>5.61</v>
      </c>
      <c r="O407" s="240">
        <f>B407*27.83/100</f>
        <v>27.83</v>
      </c>
      <c r="P407" s="249">
        <f>B407*0.35/100</f>
        <v>0.35</v>
      </c>
      <c r="Q407" s="240">
        <f>B407*343.903333333333/100</f>
        <v>343.90333333333297</v>
      </c>
      <c r="R407" s="240">
        <f>B407*9.54/100</f>
        <v>9.5399999999999991</v>
      </c>
      <c r="S407" s="240">
        <f>B407*82.4333333333333/100</f>
        <v>82.433333333333309</v>
      </c>
      <c r="T407" s="240">
        <f>B407*280.5/100</f>
        <v>280.5</v>
      </c>
      <c r="U407" s="240">
        <f>B407*0.26/100</f>
        <v>0.26</v>
      </c>
      <c r="V407" s="240">
        <f>B407*3.72666666666667/100</f>
        <v>3.7266666666666701</v>
      </c>
      <c r="W407" s="249">
        <f>B407*3863.33/100</f>
        <v>3863.33</v>
      </c>
      <c r="X407" s="249">
        <f>B407*0.616666666666667/100</f>
        <v>0.61666666666666703</v>
      </c>
      <c r="Y407" s="240">
        <f>B407*0.556666666666667/100</f>
        <v>0.55666666666666698</v>
      </c>
      <c r="Z407" s="249" t="s">
        <v>455</v>
      </c>
      <c r="AA407" s="249">
        <f>B407*6.36333333333333/100</f>
        <v>6.3633333333333306</v>
      </c>
      <c r="AB407" s="239"/>
    </row>
    <row r="408" spans="1:28">
      <c r="A408" s="232" t="s">
        <v>755</v>
      </c>
      <c r="B408" s="59">
        <v>100</v>
      </c>
      <c r="C408" s="238">
        <f>B408*220.87278/100</f>
        <v>220.87278000000003</v>
      </c>
      <c r="D408" s="238">
        <f>B408*28.4604166666667/100</f>
        <v>28.460416666666696</v>
      </c>
      <c r="E408" s="248">
        <f>B408*7.79066666666667/100</f>
        <v>7.7906666666666702</v>
      </c>
      <c r="F408" s="252">
        <f>B408*1.6/100</f>
        <v>1.6</v>
      </c>
      <c r="G408" s="252">
        <f>B408*2.4/100</f>
        <v>2.4</v>
      </c>
      <c r="H408" s="252">
        <f>B408*3.3/100</f>
        <v>3.3</v>
      </c>
      <c r="I408" s="263">
        <f>B408*3.05/100</f>
        <v>3.05</v>
      </c>
      <c r="J408" s="263">
        <f>B408*0.25/100</f>
        <v>0.25</v>
      </c>
      <c r="K408" s="238">
        <f>B408*84.3156666666667/100</f>
        <v>84.315666666666687</v>
      </c>
      <c r="L408" s="242">
        <f>B408*7.51291666666666/100</f>
        <v>7.5129166666666602</v>
      </c>
      <c r="M408" s="238">
        <f>B408*1.13033333333333/100</f>
        <v>1.1303333333333301</v>
      </c>
      <c r="N408" s="243">
        <f>B408*8.912/100</f>
        <v>8.9120000000000008</v>
      </c>
      <c r="O408" s="238">
        <f>B408*34.826/100</f>
        <v>34.826000000000001</v>
      </c>
      <c r="P408" s="238">
        <f>B408*0.057/100</f>
        <v>5.7000000000000002E-2</v>
      </c>
      <c r="Q408" s="238">
        <f>B408*249.345333333333/100</f>
        <v>249.345333333333</v>
      </c>
      <c r="R408" s="238">
        <f>B408*1.07766666666667/100</f>
        <v>1.0776666666666701</v>
      </c>
      <c r="S408" s="238">
        <f>B408*122.332333333333/100</f>
        <v>122.332333333333</v>
      </c>
      <c r="T408" s="242">
        <f>B408*407.559/100</f>
        <v>407.55900000000003</v>
      </c>
      <c r="U408" s="238">
        <f>B408*0.0466666666666667/100</f>
        <v>4.6666666666666697E-2</v>
      </c>
      <c r="V408" s="238">
        <f>B408*0.842333333333333/100</f>
        <v>0.84233333333333305</v>
      </c>
      <c r="W408" s="252">
        <f>B408*6.61/100</f>
        <v>6.61</v>
      </c>
      <c r="X408" s="238">
        <f>B408*0.0533333333333333/100</f>
        <v>5.3333333333333302E-2</v>
      </c>
      <c r="Y408" s="238">
        <f>B408*0.04/100</f>
        <v>0.04</v>
      </c>
      <c r="Z408" s="238">
        <f>B408*0.52/100</f>
        <v>0.52</v>
      </c>
      <c r="AA408" s="238">
        <f>B408*11.0666666666667/100</f>
        <v>11.066666666666698</v>
      </c>
      <c r="AB408" s="242"/>
    </row>
    <row r="409" spans="1:28">
      <c r="A409" s="232" t="s">
        <v>756</v>
      </c>
      <c r="B409" s="59">
        <v>100</v>
      </c>
      <c r="C409" s="240">
        <f>B409*226.319166666667/100</f>
        <v>226.319166666667</v>
      </c>
      <c r="D409" s="239">
        <f>B409*16.4433333333333/100</f>
        <v>16.4433333333333</v>
      </c>
      <c r="E409" s="240">
        <f>B409*17.3066666666667/100</f>
        <v>17.3066666666667</v>
      </c>
      <c r="F409" s="252">
        <f>B409*5.2/100</f>
        <v>5.2</v>
      </c>
      <c r="G409" s="252">
        <f>B409*7.2/100</f>
        <v>7.2</v>
      </c>
      <c r="H409" s="252">
        <f>B409*3.9/100</f>
        <v>3.9</v>
      </c>
      <c r="I409" s="263">
        <f>B409*3.64/100</f>
        <v>3.64</v>
      </c>
      <c r="J409" s="263">
        <f>B409*0.2/100</f>
        <v>0.2</v>
      </c>
      <c r="K409" s="240">
        <f>B409*84.837/100</f>
        <v>84.837000000000003</v>
      </c>
      <c r="L409" s="242">
        <v>0</v>
      </c>
      <c r="M409" s="240" t="s">
        <v>454</v>
      </c>
      <c r="N409" s="240">
        <f>B409*6.3/100</f>
        <v>6.3</v>
      </c>
      <c r="O409" s="240">
        <f>B409*24.3033333333333/100</f>
        <v>24.303333333333299</v>
      </c>
      <c r="P409" s="249">
        <f>B409*0.01/100</f>
        <v>0.01</v>
      </c>
      <c r="Q409" s="240">
        <f>B409*173.553333333333/100</f>
        <v>173.553333333333</v>
      </c>
      <c r="R409" s="240">
        <f>B409*0.623333333333333/100</f>
        <v>0.62333333333333296</v>
      </c>
      <c r="S409" s="240">
        <f>B409*62.8766666666667/100</f>
        <v>62.876666666666694</v>
      </c>
      <c r="T409" s="240">
        <f>B409*217.24/100</f>
        <v>217.24</v>
      </c>
      <c r="U409" s="240">
        <f>B409*0.04/100</f>
        <v>0.04</v>
      </c>
      <c r="V409" s="240">
        <f>B409*1.12333333333333/100</f>
        <v>1.12333333333333</v>
      </c>
      <c r="W409" s="267">
        <f>B409*7/100</f>
        <v>7</v>
      </c>
      <c r="X409" s="249">
        <f>B409*0.08/100</f>
        <v>0.08</v>
      </c>
      <c r="Y409" s="240">
        <f>B409*0.03/100</f>
        <v>0.03</v>
      </c>
      <c r="Z409" s="249" t="s">
        <v>455</v>
      </c>
      <c r="AA409" s="249">
        <f>B409*3.27666666666667/100</f>
        <v>3.2766666666666695</v>
      </c>
      <c r="AB409" s="239"/>
    </row>
    <row r="410" spans="1:28">
      <c r="A410" s="232" t="s">
        <v>757</v>
      </c>
      <c r="B410" s="59">
        <v>100</v>
      </c>
      <c r="C410" s="238">
        <f>B410*187.337796666667/100</f>
        <v>187.33779666666703</v>
      </c>
      <c r="D410" s="238">
        <f>B410*28.025/100</f>
        <v>28.024999999999999</v>
      </c>
      <c r="E410" s="248">
        <f>B410*7.50233333333333/100</f>
        <v>7.50233333333333</v>
      </c>
      <c r="F410" s="252">
        <f>B410*2.1/100</f>
        <v>2.1</v>
      </c>
      <c r="G410" s="252">
        <f>B410*2.6/100</f>
        <v>2.6</v>
      </c>
      <c r="H410" s="252">
        <f>B410*1.8/100</f>
        <v>1.8</v>
      </c>
      <c r="I410" s="263">
        <f>B410*1.73/100</f>
        <v>1.73</v>
      </c>
      <c r="J410" s="263">
        <f>B410*0.09/100</f>
        <v>0.09</v>
      </c>
      <c r="K410" s="238">
        <f>B410*110.935333333333/100</f>
        <v>110.93533333333301</v>
      </c>
      <c r="L410" s="242">
        <v>0</v>
      </c>
      <c r="M410" s="240" t="s">
        <v>454</v>
      </c>
      <c r="N410" s="238">
        <f>B410*9.064/100</f>
        <v>9.0640000000000001</v>
      </c>
      <c r="O410" s="238">
        <f>B410*13.8836666666667/100</f>
        <v>13.8836666666667</v>
      </c>
      <c r="P410" s="245" t="s">
        <v>455</v>
      </c>
      <c r="Q410" s="238">
        <f>B410*232.94/100</f>
        <v>232.94</v>
      </c>
      <c r="R410" s="238">
        <f>B410*0.553333333333333/100</f>
        <v>0.55333333333333301</v>
      </c>
      <c r="S410" s="238">
        <f>B410*70.2713333333333/100</f>
        <v>70.271333333333303</v>
      </c>
      <c r="T410" s="238">
        <f>B410*283.273333333333/100</f>
        <v>283.27333333333303</v>
      </c>
      <c r="U410" s="238">
        <f>B410*0.0283333333333333/100</f>
        <v>2.8333333333333301E-2</v>
      </c>
      <c r="V410" s="238">
        <f>B410*1.58433333333333/100</f>
        <v>1.58433333333333</v>
      </c>
      <c r="W410" s="252" t="s">
        <v>455</v>
      </c>
      <c r="X410" s="238">
        <f>B410*0.0933333333333333/100</f>
        <v>9.333333333333331E-2</v>
      </c>
      <c r="Y410" s="243" t="s">
        <v>455</v>
      </c>
      <c r="Z410" s="243" t="s">
        <v>455</v>
      </c>
      <c r="AA410" s="238">
        <f>B410*11.2/100</f>
        <v>11.2</v>
      </c>
      <c r="AB410" s="242"/>
    </row>
    <row r="411" spans="1:28">
      <c r="A411" s="232" t="s">
        <v>758</v>
      </c>
      <c r="B411" s="59">
        <v>100</v>
      </c>
      <c r="C411" s="238">
        <f>B411*170.389975833333/100</f>
        <v>170.38997583333301</v>
      </c>
      <c r="D411" s="238">
        <f>B411*24.9854166666667/100</f>
        <v>24.985416666666701</v>
      </c>
      <c r="E411" s="248">
        <f>B411*7.06233333333333/100</f>
        <v>7.0623333333333305</v>
      </c>
      <c r="F411" s="252">
        <f>B411*2.2/100</f>
        <v>2.2000000000000002</v>
      </c>
      <c r="G411" s="252">
        <f>B411*2.5/100</f>
        <v>2.5</v>
      </c>
      <c r="H411" s="252">
        <f>B411*1.5/100</f>
        <v>1.5</v>
      </c>
      <c r="I411" s="263">
        <f>B411*1.42/100</f>
        <v>1.42</v>
      </c>
      <c r="J411" s="263">
        <f>B411*0.07/100</f>
        <v>7.0000000000000007E-2</v>
      </c>
      <c r="K411" s="238">
        <f>B411*98.9263333333333/100</f>
        <v>98.926333333333289</v>
      </c>
      <c r="L411" s="242">
        <v>0</v>
      </c>
      <c r="M411" s="240" t="s">
        <v>454</v>
      </c>
      <c r="N411" s="238">
        <f>B411*8.18333333333333/100</f>
        <v>8.18333333333333</v>
      </c>
      <c r="O411" s="238">
        <f>B411*12.3463333333333/100</f>
        <v>12.3463333333333</v>
      </c>
      <c r="P411" s="245" t="s">
        <v>455</v>
      </c>
      <c r="Q411" s="238">
        <f>B411*193.673333333333/100</f>
        <v>193.67333333333301</v>
      </c>
      <c r="R411" s="238">
        <f>B411*0.462/100</f>
        <v>0.46200000000000002</v>
      </c>
      <c r="S411" s="238">
        <f>B411*50.8903333333333/100</f>
        <v>50.890333333333302</v>
      </c>
      <c r="T411" s="238">
        <f>B411*216.533333333333/100</f>
        <v>216.53333333333299</v>
      </c>
      <c r="U411" s="238">
        <f>B411*0.0396666666666667/100</f>
        <v>3.9666666666666697E-2</v>
      </c>
      <c r="V411" s="238">
        <f>B411*1.24166666666667/100</f>
        <v>1.24166666666667</v>
      </c>
      <c r="W411" s="252" t="s">
        <v>455</v>
      </c>
      <c r="X411" s="238">
        <f>B411*0.1/100</f>
        <v>0.1</v>
      </c>
      <c r="Y411" s="242" t="s">
        <v>455</v>
      </c>
      <c r="Z411" s="242" t="s">
        <v>455</v>
      </c>
      <c r="AA411" s="238">
        <f>B411*12.8333333333333/100</f>
        <v>12.8333333333333</v>
      </c>
      <c r="AB411" s="242"/>
    </row>
    <row r="412" spans="1:28">
      <c r="A412" s="232" t="s">
        <v>759</v>
      </c>
      <c r="B412" s="59">
        <v>100</v>
      </c>
      <c r="C412" s="240">
        <f>B412*129.0964/100</f>
        <v>129.09639999999999</v>
      </c>
      <c r="D412" s="239">
        <f>B412*20.5866666666667/100</f>
        <v>20.586666666666702</v>
      </c>
      <c r="E412" s="240">
        <f>B412*4.56666666666667/100</f>
        <v>4.56666666666667</v>
      </c>
      <c r="F412" s="252">
        <f>B412*1.4/100</f>
        <v>1.4</v>
      </c>
      <c r="G412" s="252">
        <f>B412*1.9/100</f>
        <v>1.9</v>
      </c>
      <c r="H412" s="252">
        <f>B412*1/100</f>
        <v>1</v>
      </c>
      <c r="I412" s="263">
        <f>B412*0.97/100</f>
        <v>0.97</v>
      </c>
      <c r="J412" s="263">
        <f>B412*0.04/100</f>
        <v>0.04</v>
      </c>
      <c r="K412" s="240">
        <f>B412*78.24/100</f>
        <v>78.239999999999995</v>
      </c>
      <c r="L412" s="242">
        <v>0</v>
      </c>
      <c r="M412" s="240" t="s">
        <v>454</v>
      </c>
      <c r="N412" s="240">
        <f>B412*6.52333333333333/100</f>
        <v>6.5233333333333299</v>
      </c>
      <c r="O412" s="240">
        <f>B412*27.0366666666667/100</f>
        <v>27.036666666666701</v>
      </c>
      <c r="P412" s="249">
        <f>B412*0.01/100</f>
        <v>0.01</v>
      </c>
      <c r="Q412" s="240">
        <f>B412*190.48/100</f>
        <v>190.48</v>
      </c>
      <c r="R412" s="240">
        <f>B412*0.536666666666667/100</f>
        <v>0.53666666666666696</v>
      </c>
      <c r="S412" s="240">
        <f>B412*72.96/100</f>
        <v>72.959999999999994</v>
      </c>
      <c r="T412" s="240">
        <f>B412*237.68/100</f>
        <v>237.68</v>
      </c>
      <c r="U412" s="240">
        <f>B412*0.03/100</f>
        <v>0.03</v>
      </c>
      <c r="V412" s="240">
        <f>B412*1.24/100</f>
        <v>1.24</v>
      </c>
      <c r="W412" s="249">
        <f>B412*3.67/100</f>
        <v>3.67</v>
      </c>
      <c r="X412" s="249">
        <f>B412*0.12/100</f>
        <v>0.12</v>
      </c>
      <c r="Y412" s="240">
        <f>B412*0.03/100</f>
        <v>0.03</v>
      </c>
      <c r="Z412" s="249" t="s">
        <v>455</v>
      </c>
      <c r="AA412" s="249">
        <f>B412*3.28333333333333/100</f>
        <v>3.2833333333333301</v>
      </c>
      <c r="AB412" s="239"/>
    </row>
    <row r="413" spans="1:28">
      <c r="A413" s="232" t="s">
        <v>761</v>
      </c>
      <c r="B413" s="59">
        <v>100</v>
      </c>
      <c r="C413" s="238">
        <f>B413*211.683149530729/100</f>
        <v>211.683149530729</v>
      </c>
      <c r="D413" s="238">
        <f>B413*33.4166666666667/100</f>
        <v>33.4166666666667</v>
      </c>
      <c r="E413" s="248">
        <f>B413*7.649/100</f>
        <v>7.649</v>
      </c>
      <c r="F413" s="252">
        <f>B413*2.2/100</f>
        <v>2.2000000000000002</v>
      </c>
      <c r="G413" s="252">
        <f>B413*2.7/100</f>
        <v>2.7</v>
      </c>
      <c r="H413" s="252">
        <f>B413*1.8/100</f>
        <v>1.8</v>
      </c>
      <c r="I413" s="263">
        <f>B413*1.7/100</f>
        <v>1.7</v>
      </c>
      <c r="J413" s="263">
        <f>B413*0.1/100</f>
        <v>0.1</v>
      </c>
      <c r="K413" s="238">
        <f>B413*109.032666666667/100</f>
        <v>109.032666666667</v>
      </c>
      <c r="L413" s="242">
        <v>0</v>
      </c>
      <c r="M413" s="240" t="s">
        <v>454</v>
      </c>
      <c r="N413" s="238">
        <f>B413*8.25566666666667/100</f>
        <v>8.25566666666667</v>
      </c>
      <c r="O413" s="238">
        <f>B413*18.1436666666667/100</f>
        <v>18.1436666666667</v>
      </c>
      <c r="P413" s="248">
        <f>B413*0.0103333333333333/100</f>
        <v>1.03333333333333E-2</v>
      </c>
      <c r="Q413" s="238">
        <f>B413*297.023333333333/100</f>
        <v>297.02333333333303</v>
      </c>
      <c r="R413" s="238">
        <f>B413*0.481666666666667/100</f>
        <v>0.48166666666666702</v>
      </c>
      <c r="S413" s="238">
        <f>B413*55.7026666666667/100</f>
        <v>55.702666666666701</v>
      </c>
      <c r="T413" s="238">
        <f>B413*380.313333333333/100</f>
        <v>380.31333333333299</v>
      </c>
      <c r="U413" s="238">
        <f>B413*0.0146666666666667/100</f>
        <v>1.4666666666666699E-2</v>
      </c>
      <c r="V413" s="238">
        <f>B413*0.950666666666667/100</f>
        <v>0.9506666666666671</v>
      </c>
      <c r="W413" s="252">
        <f>B413*6.22666666666667/100</f>
        <v>6.2266666666666701</v>
      </c>
      <c r="X413" s="238">
        <f>B413*0.12/100</f>
        <v>0.12</v>
      </c>
      <c r="Y413" s="243" t="s">
        <v>455</v>
      </c>
      <c r="Z413" s="243" t="s">
        <v>455</v>
      </c>
      <c r="AA413" s="238">
        <f>B413*15.8/100</f>
        <v>15.8</v>
      </c>
      <c r="AB413" s="242"/>
    </row>
    <row r="414" spans="1:28">
      <c r="A414" s="232" t="s">
        <v>760</v>
      </c>
      <c r="B414" s="59">
        <v>100</v>
      </c>
      <c r="C414" s="240">
        <f>B414*149.465266666667/100</f>
        <v>149.46526666666699</v>
      </c>
      <c r="D414" s="239">
        <f>B414*20.78/100</f>
        <v>20.78</v>
      </c>
      <c r="E414" s="240">
        <f>B414*6.73333333333333/100</f>
        <v>6.7333333333333307</v>
      </c>
      <c r="F414" s="252">
        <f>B414*2.2/100</f>
        <v>2.2000000000000002</v>
      </c>
      <c r="G414" s="252">
        <f>B414*3.2/100</f>
        <v>3.2</v>
      </c>
      <c r="H414" s="252">
        <f>B414*0.9/100</f>
        <v>0.9</v>
      </c>
      <c r="I414" s="263">
        <f>B414*0.83/100</f>
        <v>0.83</v>
      </c>
      <c r="J414" s="263">
        <f>B414*0.03/100</f>
        <v>0.03</v>
      </c>
      <c r="K414" s="240">
        <f>B414*79.933/100</f>
        <v>79.933000000000007</v>
      </c>
      <c r="L414" s="242">
        <v>0</v>
      </c>
      <c r="M414" s="240" t="s">
        <v>454</v>
      </c>
      <c r="N414" s="240">
        <f>B414*8.42/100</f>
        <v>8.42</v>
      </c>
      <c r="O414" s="240">
        <f>B414*28.29/100</f>
        <v>28.29</v>
      </c>
      <c r="P414" s="249">
        <f>B414*0.01/100</f>
        <v>0.01</v>
      </c>
      <c r="Q414" s="240">
        <f>B414*212.97/100</f>
        <v>212.97</v>
      </c>
      <c r="R414" s="240">
        <f>B414*0.443333333333333/100</f>
        <v>0.44333333333333302</v>
      </c>
      <c r="S414" s="240">
        <f>B414*62.3133333333333/100</f>
        <v>62.313333333333297</v>
      </c>
      <c r="T414" s="240">
        <f>B414*251.816666666667/100</f>
        <v>251.816666666667</v>
      </c>
      <c r="U414" s="240">
        <f>B414*0.05/100</f>
        <v>0.05</v>
      </c>
      <c r="V414" s="240">
        <f>B414*0.596666666666667/100</f>
        <v>0.59666666666666701</v>
      </c>
      <c r="W414" s="267">
        <f>B414*4/100</f>
        <v>4</v>
      </c>
      <c r="X414" s="249">
        <f>B414*0.0866666666666667/100</f>
        <v>8.6666666666666697E-2</v>
      </c>
      <c r="Y414" s="240" t="s">
        <v>455</v>
      </c>
      <c r="Z414" s="249" t="s">
        <v>455</v>
      </c>
      <c r="AA414" s="249">
        <f>B414*2.58333333333333/100</f>
        <v>2.5833333333333299</v>
      </c>
      <c r="AB414" s="240"/>
    </row>
    <row r="415" spans="1:28">
      <c r="A415" s="232" t="s">
        <v>762</v>
      </c>
      <c r="B415" s="59">
        <v>100</v>
      </c>
      <c r="C415" s="238">
        <f>B415*162.874763346314/100</f>
        <v>162.87476334631401</v>
      </c>
      <c r="D415" s="238">
        <f>B415*31.46875/100</f>
        <v>31.46875</v>
      </c>
      <c r="E415" s="248">
        <f>B415*3.16/100</f>
        <v>3.16</v>
      </c>
      <c r="F415" s="252">
        <f>B415*1.1/100</f>
        <v>1.1000000000000001</v>
      </c>
      <c r="G415" s="252">
        <f>B415*1.1/100</f>
        <v>1.1000000000000001</v>
      </c>
      <c r="H415" s="252">
        <f>B415*0.6/100</f>
        <v>0.6</v>
      </c>
      <c r="I415" s="263">
        <f>B415*0.53/100</f>
        <v>0.53</v>
      </c>
      <c r="J415" s="263">
        <f>B415*0.02/100</f>
        <v>0.02</v>
      </c>
      <c r="K415" s="238">
        <f>B415*88.508/100</f>
        <v>88.507999999999996</v>
      </c>
      <c r="L415" s="242">
        <v>0</v>
      </c>
      <c r="M415" s="240" t="s">
        <v>454</v>
      </c>
      <c r="N415" s="243">
        <f>B415*6.44/100</f>
        <v>6.44</v>
      </c>
      <c r="O415" s="243">
        <f>B415*13.76/100</f>
        <v>13.76</v>
      </c>
      <c r="P415" s="242" t="s">
        <v>455</v>
      </c>
      <c r="Q415" s="238">
        <f>B415*224.426666666667/100</f>
        <v>224.42666666666702</v>
      </c>
      <c r="R415" s="238">
        <f>B415*0.337333333333333/100</f>
        <v>0.33733333333333299</v>
      </c>
      <c r="S415" s="238">
        <f>B415*36.1683333333333/100</f>
        <v>36.168333333333301</v>
      </c>
      <c r="T415" s="238">
        <f>B415*231.053333333333/100</f>
        <v>231.053333333333</v>
      </c>
      <c r="U415" s="238">
        <f>B415*0.0176666666666667/100</f>
        <v>1.7666666666666699E-2</v>
      </c>
      <c r="V415" s="238">
        <f>B415*0.947/100</f>
        <v>0.94699999999999984</v>
      </c>
      <c r="W415" s="252" t="s">
        <v>455</v>
      </c>
      <c r="X415" s="238">
        <f>B415*0.0966666666666667/100</f>
        <v>9.666666666666672E-2</v>
      </c>
      <c r="Y415" s="243" t="s">
        <v>455</v>
      </c>
      <c r="Z415" s="243" t="s">
        <v>455</v>
      </c>
      <c r="AA415" s="238">
        <f>B415*7.6/100</f>
        <v>7.6</v>
      </c>
      <c r="AB415" s="242"/>
    </row>
    <row r="416" spans="1:28">
      <c r="A416" s="232" t="s">
        <v>948</v>
      </c>
      <c r="B416" s="59">
        <v>100</v>
      </c>
      <c r="C416" s="240">
        <f>B416*119.159266666667/100</f>
        <v>119.15926666666699</v>
      </c>
      <c r="D416" s="239">
        <f>B416*21.5266666666667/100</f>
        <v>21.526666666666696</v>
      </c>
      <c r="E416" s="240">
        <f>B416*3.02/100</f>
        <v>3.02</v>
      </c>
      <c r="F416" s="252">
        <f>B416*1.1/100</f>
        <v>1.1000000000000001</v>
      </c>
      <c r="G416" s="252">
        <f>B416*1.3/100</f>
        <v>1.3</v>
      </c>
      <c r="H416" s="252" t="s">
        <v>455</v>
      </c>
      <c r="I416" s="263">
        <f>B416*0.02/100</f>
        <v>0.02</v>
      </c>
      <c r="J416" s="263">
        <f>B416*0.01/100</f>
        <v>0.01</v>
      </c>
      <c r="K416" s="240">
        <f>B416*58.683/100</f>
        <v>58.683</v>
      </c>
      <c r="L416" s="242">
        <v>0</v>
      </c>
      <c r="M416" s="240" t="s">
        <v>454</v>
      </c>
      <c r="N416" s="240">
        <f>B416*7.36333333333333/100</f>
        <v>7.3633333333333306</v>
      </c>
      <c r="O416" s="240">
        <f>B416*31.2633333333333/100</f>
        <v>31.2633333333333</v>
      </c>
      <c r="P416" s="249">
        <f>B416*0.01/100</f>
        <v>0.01</v>
      </c>
      <c r="Q416" s="240">
        <f>B416*222.033333333333/100</f>
        <v>222.03333333333299</v>
      </c>
      <c r="R416" s="240">
        <f>B416*0.433333333333333/100</f>
        <v>0.43333333333333302</v>
      </c>
      <c r="S416" s="240">
        <f>B416*56.14/100</f>
        <v>56.14</v>
      </c>
      <c r="T416" s="240">
        <f>B416*267.086666666667/100</f>
        <v>267.08666666666699</v>
      </c>
      <c r="U416" s="240">
        <f>B416*0.03/100</f>
        <v>0.03</v>
      </c>
      <c r="V416" s="240">
        <f>B416*0.663333333333333/100</f>
        <v>0.663333333333333</v>
      </c>
      <c r="W416" s="267">
        <f>B416*2/100</f>
        <v>2</v>
      </c>
      <c r="X416" s="249">
        <f>B416*0.1/100</f>
        <v>0.1</v>
      </c>
      <c r="Y416" s="240" t="s">
        <v>455</v>
      </c>
      <c r="Z416" s="249" t="s">
        <v>455</v>
      </c>
      <c r="AA416" s="249">
        <f>B416*5.85666666666667/100</f>
        <v>5.85666666666667</v>
      </c>
      <c r="AB416" s="239"/>
    </row>
    <row r="417" spans="1:28">
      <c r="A417" s="232" t="s">
        <v>763</v>
      </c>
      <c r="B417" s="59">
        <v>100</v>
      </c>
      <c r="C417" s="238">
        <f>B417*159.185007192612/100</f>
        <v>159.18500719261201</v>
      </c>
      <c r="D417" s="238">
        <f>B417*32.0333333333333/100</f>
        <v>32.033333333333303</v>
      </c>
      <c r="E417" s="248">
        <f>B417*2.48366666666667/100</f>
        <v>2.4836666666666698</v>
      </c>
      <c r="F417" s="252">
        <f>B417*0.9/100</f>
        <v>0.9</v>
      </c>
      <c r="G417" s="252">
        <f>B417*0.9/100</f>
        <v>0.9</v>
      </c>
      <c r="H417" s="252">
        <f>B417*0.3/100</f>
        <v>0.3</v>
      </c>
      <c r="I417" s="263">
        <f>B417*0.31/100</f>
        <v>0.31</v>
      </c>
      <c r="J417" s="263">
        <f>B417*0.01/100</f>
        <v>0.01</v>
      </c>
      <c r="K417" s="238">
        <f>B417*89.1173333333333/100</f>
        <v>89.117333333333306</v>
      </c>
      <c r="L417" s="242">
        <v>0</v>
      </c>
      <c r="M417" s="240" t="s">
        <v>454</v>
      </c>
      <c r="N417" s="243">
        <f>B417*5.34433333333333/100</f>
        <v>5.3443333333333296</v>
      </c>
      <c r="O417" s="238">
        <f>B417*18.2736666666667/100</f>
        <v>18.273666666666699</v>
      </c>
      <c r="P417" s="242" t="s">
        <v>455</v>
      </c>
      <c r="Q417" s="238">
        <f>B417*295.013333333333/100</f>
        <v>295.01333333333298</v>
      </c>
      <c r="R417" s="238">
        <f>B417*0.328666666666667/100</f>
        <v>0.32866666666666705</v>
      </c>
      <c r="S417" s="238">
        <f>B417*50.2493333333333/100</f>
        <v>50.249333333333297</v>
      </c>
      <c r="T417" s="238">
        <f>B417*387.37/100</f>
        <v>387.37</v>
      </c>
      <c r="U417" s="238">
        <f>B417*0.0176666666666667/100</f>
        <v>1.7666666666666699E-2</v>
      </c>
      <c r="V417" s="238">
        <f>B417*0.775/100</f>
        <v>0.77500000000000002</v>
      </c>
      <c r="W417" s="252" t="s">
        <v>455</v>
      </c>
      <c r="X417" s="238">
        <f>B417*0.11/100</f>
        <v>0.11</v>
      </c>
      <c r="Y417" s="243" t="s">
        <v>455</v>
      </c>
      <c r="Z417" s="243" t="s">
        <v>455</v>
      </c>
      <c r="AA417" s="238">
        <f>B417*24.8333333333333/100</f>
        <v>24.8333333333333</v>
      </c>
      <c r="AB417" s="242"/>
    </row>
    <row r="418" spans="1:28">
      <c r="A418" s="232" t="s">
        <v>764</v>
      </c>
      <c r="B418" s="59">
        <v>100</v>
      </c>
      <c r="C418" s="238">
        <f>B418*259.604769166667/100</f>
        <v>259.60476916666698</v>
      </c>
      <c r="D418" s="238">
        <f>B418*28.7020833333333/100</f>
        <v>28.702083333333299</v>
      </c>
      <c r="E418" s="248">
        <f>B418*15.1936666666667/100</f>
        <v>15.193666666666699</v>
      </c>
      <c r="F418" s="252">
        <f>B418*4.2/100</f>
        <v>4.2</v>
      </c>
      <c r="G418" s="252">
        <f>B418*5.4/100</f>
        <v>5.4</v>
      </c>
      <c r="H418" s="252">
        <f>B418*3.9/100</f>
        <v>3.9</v>
      </c>
      <c r="I418" s="263">
        <f>B418*3.64/100</f>
        <v>3.64</v>
      </c>
      <c r="J418" s="263">
        <f>B418*0.21/100</f>
        <v>0.21</v>
      </c>
      <c r="K418" s="238">
        <f>B418*158.255333333333/100</f>
        <v>158.255333333333</v>
      </c>
      <c r="L418" s="242">
        <v>0</v>
      </c>
      <c r="M418" s="240" t="s">
        <v>454</v>
      </c>
      <c r="N418" s="238">
        <f>B418*10.6753333333333/100</f>
        <v>10.675333333333301</v>
      </c>
      <c r="O418" s="238">
        <f>B418*14.595/100</f>
        <v>14.595000000000001</v>
      </c>
      <c r="P418" s="242" t="s">
        <v>455</v>
      </c>
      <c r="Q418" s="238">
        <f>B418*252.233333333333/100</f>
        <v>252.23333333333301</v>
      </c>
      <c r="R418" s="238">
        <f>B418*1.21333333333333/100</f>
        <v>1.21333333333333</v>
      </c>
      <c r="S418" s="238">
        <f>B418*95.9353333333333/100</f>
        <v>95.935333333333304</v>
      </c>
      <c r="T418" s="238">
        <f>B418*323.073333333333/100</f>
        <v>323.07333333333298</v>
      </c>
      <c r="U418" s="238">
        <f>B418*0.0606666666666667/100</f>
        <v>6.0666666666666702E-2</v>
      </c>
      <c r="V418" s="238">
        <f>B418*2.17133333333333/100</f>
        <v>2.17133333333333</v>
      </c>
      <c r="W418" s="252">
        <f>B418*8.22/100</f>
        <v>8.2200000000000006</v>
      </c>
      <c r="X418" s="238">
        <f>B418*0.103333333333333/100</f>
        <v>0.103333333333333</v>
      </c>
      <c r="Y418" s="238">
        <f>B418*0.05/100</f>
        <v>0.05</v>
      </c>
      <c r="Z418" s="242" t="s">
        <v>455</v>
      </c>
      <c r="AA418" s="238">
        <f>B418*11.2/100</f>
        <v>11.2</v>
      </c>
      <c r="AB418" s="242"/>
    </row>
    <row r="419" spans="1:28">
      <c r="A419" s="232" t="s">
        <v>765</v>
      </c>
      <c r="B419" s="59">
        <v>100</v>
      </c>
      <c r="C419" s="240">
        <f>B419*254.5322/100</f>
        <v>254.53219999999999</v>
      </c>
      <c r="D419" s="239">
        <f>B419*15.46/100</f>
        <v>15.46</v>
      </c>
      <c r="E419" s="240">
        <f>B419*20.9/100</f>
        <v>20.9</v>
      </c>
      <c r="F419" s="252">
        <f>B419*6.5/100</f>
        <v>6.5</v>
      </c>
      <c r="G419" s="252">
        <f>B419*9.6/100</f>
        <v>9.6</v>
      </c>
      <c r="H419" s="252">
        <f>B419*3.6/100</f>
        <v>3.6</v>
      </c>
      <c r="I419" s="263">
        <f>B419*3.49/100</f>
        <v>3.49</v>
      </c>
      <c r="J419" s="263">
        <f>B419*0.12/100</f>
        <v>0.12</v>
      </c>
      <c r="K419" s="240">
        <f>B419*87.63/100</f>
        <v>87.63</v>
      </c>
      <c r="L419" s="242">
        <v>0</v>
      </c>
      <c r="M419" s="240" t="s">
        <v>454</v>
      </c>
      <c r="N419" s="240">
        <f>B419*7.09/100</f>
        <v>7.09</v>
      </c>
      <c r="O419" s="240">
        <f>B419*21.5/100</f>
        <v>21.5</v>
      </c>
      <c r="P419" s="249">
        <f>B419*0.01/100</f>
        <v>0.01</v>
      </c>
      <c r="Q419" s="240">
        <f>B419*154.186666666667/100</f>
        <v>154.18666666666701</v>
      </c>
      <c r="R419" s="240">
        <f>B419*0.71/100</f>
        <v>0.71</v>
      </c>
      <c r="S419" s="240">
        <f>B419*68.2666666666667/100</f>
        <v>68.266666666666694</v>
      </c>
      <c r="T419" s="240">
        <f>B419*190.193333333333/100</f>
        <v>190.19333333333299</v>
      </c>
      <c r="U419" s="240">
        <f>B419*0.0466666666666667/100</f>
        <v>4.6666666666666697E-2</v>
      </c>
      <c r="V419" s="240">
        <f>B419*1.30666666666667/100</f>
        <v>1.30666666666667</v>
      </c>
      <c r="W419" s="249">
        <f>B419*6.58666666666667/100</f>
        <v>6.5866666666666696</v>
      </c>
      <c r="X419" s="249">
        <f>B419*0.09/100</f>
        <v>0.09</v>
      </c>
      <c r="Y419" s="249">
        <f>B419*0.0633333333333333/100</f>
        <v>6.3333333333333297E-2</v>
      </c>
      <c r="Z419" s="249" t="s">
        <v>455</v>
      </c>
      <c r="AA419" s="249">
        <f>B419*3.39666666666667/100</f>
        <v>3.3966666666666701</v>
      </c>
      <c r="AB419" s="239"/>
    </row>
    <row r="420" spans="1:28">
      <c r="A420" s="232" t="s">
        <v>766</v>
      </c>
      <c r="B420" s="59">
        <v>100</v>
      </c>
      <c r="C420" s="238">
        <f>B420*232.883396666667/100</f>
        <v>232.88339666666698</v>
      </c>
      <c r="D420" s="238">
        <f>B420*29.175/100</f>
        <v>29.175000000000001</v>
      </c>
      <c r="E420" s="248">
        <f>B420*12.0073333333333/100</f>
        <v>12.0073333333333</v>
      </c>
      <c r="F420" s="252">
        <f>B420*3.3/100</f>
        <v>3.3</v>
      </c>
      <c r="G420" s="252">
        <f>B420*4.2/100</f>
        <v>4.2</v>
      </c>
      <c r="H420" s="252">
        <f>B420*3.1/100</f>
        <v>3.1</v>
      </c>
      <c r="I420" s="263">
        <f>B420*2.86/100</f>
        <v>2.86</v>
      </c>
      <c r="J420" s="263">
        <f>B420*0.17/100</f>
        <v>0.17</v>
      </c>
      <c r="K420" s="238">
        <f>B420*145.107333333333/100</f>
        <v>145.107333333333</v>
      </c>
      <c r="L420" s="242">
        <v>0</v>
      </c>
      <c r="M420" s="240" t="s">
        <v>454</v>
      </c>
      <c r="N420" s="238">
        <f>B420*12.2493333333333/100</f>
        <v>12.249333333333301</v>
      </c>
      <c r="O420" s="238">
        <f>B420*17.234/100</f>
        <v>17.234000000000002</v>
      </c>
      <c r="P420" s="242" t="s">
        <v>455</v>
      </c>
      <c r="Q420" s="238">
        <f>B420*281.336666666667/100</f>
        <v>281.33666666666699</v>
      </c>
      <c r="R420" s="238">
        <f>B420*1.16933333333333/100</f>
        <v>1.16933333333333</v>
      </c>
      <c r="S420" s="238">
        <f>B420*106.079666666667/100</f>
        <v>106.07966666666699</v>
      </c>
      <c r="T420" s="238">
        <f>B420*382.21/100</f>
        <v>382.21</v>
      </c>
      <c r="U420" s="238">
        <f>B420*0.0716666666666667/100</f>
        <v>7.1666666666666698E-2</v>
      </c>
      <c r="V420" s="238">
        <f>B420*2.18166666666667/100</f>
        <v>2.1816666666666702</v>
      </c>
      <c r="W420" s="242">
        <f>B420*10.7/100</f>
        <v>10.7</v>
      </c>
      <c r="X420" s="238">
        <f>B420*0.1/100</f>
        <v>0.1</v>
      </c>
      <c r="Y420" s="238">
        <f>B420*0.05/100</f>
        <v>0.05</v>
      </c>
      <c r="Z420" s="242" t="s">
        <v>455</v>
      </c>
      <c r="AA420" s="238">
        <f>B420*10.2/100</f>
        <v>10.199999999999999</v>
      </c>
      <c r="AB420" s="242"/>
    </row>
    <row r="421" spans="1:28">
      <c r="A421" s="232" t="s">
        <v>767</v>
      </c>
      <c r="B421" s="59">
        <v>100</v>
      </c>
      <c r="C421" s="240">
        <f>B421*161.7963/100</f>
        <v>161.7963</v>
      </c>
      <c r="D421" s="239">
        <f>B421*17.57/100</f>
        <v>17.57</v>
      </c>
      <c r="E421" s="240">
        <f>B421*9.62/100</f>
        <v>9.6199999999999992</v>
      </c>
      <c r="F421" s="252">
        <f>B421*3/100</f>
        <v>3</v>
      </c>
      <c r="G421" s="252">
        <f>B421*4.5/100</f>
        <v>4.5</v>
      </c>
      <c r="H421" s="252">
        <f>B421*1.6/100</f>
        <v>1.6</v>
      </c>
      <c r="I421" s="263">
        <f>B421*1.5/100</f>
        <v>1.5</v>
      </c>
      <c r="J421" s="263">
        <f>B421*0.04/100</f>
        <v>0.04</v>
      </c>
      <c r="K421" s="240">
        <f>B421*84.09/100</f>
        <v>84.09</v>
      </c>
      <c r="L421" s="242">
        <v>0</v>
      </c>
      <c r="M421" s="240" t="s">
        <v>454</v>
      </c>
      <c r="N421" s="240">
        <f>B421*6.29333333333333/100</f>
        <v>6.2933333333333303</v>
      </c>
      <c r="O421" s="240">
        <f>B421*26.33/100</f>
        <v>26.33</v>
      </c>
      <c r="P421" s="249">
        <f>B421*0.02/100</f>
        <v>0.02</v>
      </c>
      <c r="Q421" s="240">
        <f>B421*187.286666666667/100</f>
        <v>187.286666666667</v>
      </c>
      <c r="R421" s="240">
        <f>B421*0.903333333333333/100</f>
        <v>0.90333333333333299</v>
      </c>
      <c r="S421" s="240">
        <f>B421*79.7466666666667/100</f>
        <v>79.746666666666698</v>
      </c>
      <c r="T421" s="240">
        <f>B421*241.086666666667/100</f>
        <v>241.08666666666701</v>
      </c>
      <c r="U421" s="240">
        <f>B421*0.0566666666666667/100</f>
        <v>5.6666666666666698E-2</v>
      </c>
      <c r="V421" s="240">
        <f>B421*1.67333333333333/100</f>
        <v>1.67333333333333</v>
      </c>
      <c r="W421" s="249">
        <f>B421*3.92/100</f>
        <v>3.92</v>
      </c>
      <c r="X421" s="249">
        <f>B421*0.116666666666667/100</f>
        <v>0.116666666666667</v>
      </c>
      <c r="Y421" s="249">
        <f>B421*0.06/100</f>
        <v>0.06</v>
      </c>
      <c r="Z421" s="249" t="s">
        <v>455</v>
      </c>
      <c r="AA421" s="249">
        <f>B421*4.06/100</f>
        <v>4.0599999999999996</v>
      </c>
      <c r="AB421" s="239"/>
    </row>
    <row r="422" spans="1:28">
      <c r="A422" s="232" t="s">
        <v>3172</v>
      </c>
      <c r="B422" s="59">
        <v>100</v>
      </c>
      <c r="C422" s="240">
        <f>B422*214.836/100</f>
        <v>214.83600000000001</v>
      </c>
      <c r="D422" s="239">
        <f>B422*13.15625/100</f>
        <v>13.15625</v>
      </c>
      <c r="E422" s="248">
        <f>B422*16.1773333333333/100</f>
        <v>16.177333333333301</v>
      </c>
      <c r="F422" s="252">
        <f>B422*5.7/100</f>
        <v>5.7</v>
      </c>
      <c r="G422" s="252">
        <f>B422*5.8/100</f>
        <v>5.8</v>
      </c>
      <c r="H422" s="252">
        <f>B422*0.8/100</f>
        <v>0.8</v>
      </c>
      <c r="I422" s="263">
        <f>B422*0.71/100</f>
        <v>0.71</v>
      </c>
      <c r="J422" s="263">
        <f>B422*0.09/100</f>
        <v>0.09</v>
      </c>
      <c r="K422" s="238">
        <f>B422*70.012/100</f>
        <v>70.012</v>
      </c>
      <c r="L422" s="242">
        <f>B422*4.15375/100</f>
        <v>4.1537499999999996</v>
      </c>
      <c r="M422" s="242" t="s">
        <v>23</v>
      </c>
      <c r="N422" s="238">
        <f>B422*34.0623333333333/100</f>
        <v>34.062333333333299</v>
      </c>
      <c r="O422" s="238">
        <f>B422*24.523/100</f>
        <v>24.523000000000003</v>
      </c>
      <c r="P422" s="238">
        <f>B422*0.357333333333333/100</f>
        <v>0.357333333333333</v>
      </c>
      <c r="Q422" s="238">
        <f>B422*140.717/100</f>
        <v>140.71700000000001</v>
      </c>
      <c r="R422" s="238">
        <f>B422*1.89133333333333/100</f>
        <v>1.8913333333333298</v>
      </c>
      <c r="S422" s="238">
        <f>B422*869.459/100</f>
        <v>869.45899999999995</v>
      </c>
      <c r="T422" s="238">
        <f>B422*382.587/100</f>
        <v>382.58699999999999</v>
      </c>
      <c r="U422" s="238">
        <f>B422*0.162/100</f>
        <v>0.16200000000000001</v>
      </c>
      <c r="V422" s="238">
        <f>B422*1.70166666666667/100</f>
        <v>1.70166666666667</v>
      </c>
      <c r="W422" s="242" t="s">
        <v>455</v>
      </c>
      <c r="X422" s="238">
        <f>B422*0.0566666666666667/100</f>
        <v>5.6666666666666698E-2</v>
      </c>
      <c r="Y422" s="238">
        <f>B422*0.0833333333333333/100</f>
        <v>8.3333333333333301E-2</v>
      </c>
      <c r="Z422" s="238">
        <f>B422*0.0366666666666667/100</f>
        <v>3.6666666666666702E-2</v>
      </c>
      <c r="AA422" s="242">
        <f>B422*3.53333333333333/100</f>
        <v>3.5333333333333301</v>
      </c>
      <c r="AB422" s="239"/>
    </row>
    <row r="423" spans="1:28">
      <c r="A423" s="232" t="s">
        <v>3173</v>
      </c>
      <c r="B423" s="59">
        <v>100</v>
      </c>
      <c r="C423" s="240">
        <f>B423*258.283/100</f>
        <v>258.28300000000002</v>
      </c>
      <c r="D423" s="239">
        <f>B423*19.9729166666667/100</f>
        <v>19.972916666666698</v>
      </c>
      <c r="E423" s="248">
        <f>B423*17.0123333333333/100</f>
        <v>17.012333333333299</v>
      </c>
      <c r="F423" s="252">
        <f>B423*5.9/100</f>
        <v>5.9</v>
      </c>
      <c r="G423" s="252">
        <f>B423*6/100</f>
        <v>6</v>
      </c>
      <c r="H423" s="252">
        <f>B423*3.7/100</f>
        <v>3.7</v>
      </c>
      <c r="I423" s="263">
        <f>B423*3.31/100</f>
        <v>3.31</v>
      </c>
      <c r="J423" s="263">
        <f>B423*0.31/100</f>
        <v>0.31</v>
      </c>
      <c r="K423" s="238">
        <f>B423*48.9013333333333/100</f>
        <v>48.901333333333298</v>
      </c>
      <c r="L423" s="242">
        <f>B423*6.32008333333333/100</f>
        <v>6.3200833333333302</v>
      </c>
      <c r="M423" s="242" t="s">
        <v>23</v>
      </c>
      <c r="N423" s="238">
        <f>B423*62.3856666666667/100</f>
        <v>62.385666666666701</v>
      </c>
      <c r="O423" s="238">
        <f>B423*59.7016666666667/100</f>
        <v>59.701666666666704</v>
      </c>
      <c r="P423" s="238">
        <f>B423*0.521666666666667/100</f>
        <v>0.52166666666666694</v>
      </c>
      <c r="Q423" s="238">
        <f>B423*324.46/100</f>
        <v>324.45999999999998</v>
      </c>
      <c r="R423" s="238">
        <f>B423*3.01666666666667/100</f>
        <v>3.0166666666666702</v>
      </c>
      <c r="S423" s="238">
        <f>B423*1251.801/100</f>
        <v>1251.8009999999999</v>
      </c>
      <c r="T423" s="238">
        <f>B423*660.093666666667/100</f>
        <v>660.09366666666699</v>
      </c>
      <c r="U423" s="238">
        <f>B423*0.174666666666667/100</f>
        <v>0.174666666666667</v>
      </c>
      <c r="V423" s="238">
        <f>B423*3.18033333333333/100</f>
        <v>3.1803333333333295</v>
      </c>
      <c r="W423" s="242" t="s">
        <v>455</v>
      </c>
      <c r="X423" s="238">
        <f>B423*0.133333333333333/100</f>
        <v>0.133333333333333</v>
      </c>
      <c r="Y423" s="238">
        <f>B423*0.0566666666666667/100</f>
        <v>5.6666666666666698E-2</v>
      </c>
      <c r="Z423" s="242" t="s">
        <v>455</v>
      </c>
      <c r="AA423" s="238">
        <f>B423*2.73333333333333/100</f>
        <v>2.7333333333333298</v>
      </c>
      <c r="AB423" s="239"/>
    </row>
    <row r="424" spans="1:28">
      <c r="A424" s="232" t="s">
        <v>3174</v>
      </c>
      <c r="B424" s="59">
        <v>100</v>
      </c>
      <c r="C424" s="240">
        <f>B424*209.831666666667/100</f>
        <v>209.83166666666702</v>
      </c>
      <c r="D424" s="239">
        <f>B424*13.15625/100</f>
        <v>13.15625</v>
      </c>
      <c r="E424" s="248">
        <f>B424*12.4303333333333/100</f>
        <v>12.4303333333333</v>
      </c>
      <c r="F424" s="252">
        <f>B424*5.1/100</f>
        <v>5.0999999999999996</v>
      </c>
      <c r="G424" s="252">
        <f>B424*4.8/100</f>
        <v>4.8</v>
      </c>
      <c r="H424" s="252">
        <f>B424*1.2/100</f>
        <v>1.2</v>
      </c>
      <c r="I424" s="263">
        <f>B424*1.12/100</f>
        <v>1.1200000000000001</v>
      </c>
      <c r="J424" s="263">
        <f>B424*0.12/100</f>
        <v>0.12</v>
      </c>
      <c r="K424" s="238">
        <f>B424*58.527/100</f>
        <v>58.527000000000001</v>
      </c>
      <c r="L424" s="242">
        <f>B424*11.3334166666667/100</f>
        <v>11.3334166666667</v>
      </c>
      <c r="M424" s="242" t="s">
        <v>23</v>
      </c>
      <c r="N424" s="238">
        <f>B424*56.2136666666667/100</f>
        <v>56.213666666666697</v>
      </c>
      <c r="O424" s="238">
        <f>B424*47.5666666666667/100</f>
        <v>47.566666666666698</v>
      </c>
      <c r="P424" s="238">
        <f>B424*0.397666666666667/100</f>
        <v>0.397666666666667</v>
      </c>
      <c r="Q424" s="238">
        <f>B424*262.67/100</f>
        <v>262.67</v>
      </c>
      <c r="R424" s="238">
        <f>B424*2.639/100</f>
        <v>2.6389999999999998</v>
      </c>
      <c r="S424" s="238">
        <f>B424*1090.33433333333/100</f>
        <v>1090.3343333333301</v>
      </c>
      <c r="T424" s="238">
        <f>B424*537.560333333333/100</f>
        <v>537.56033333333301</v>
      </c>
      <c r="U424" s="238">
        <f>B424*0.18/100</f>
        <v>0.18</v>
      </c>
      <c r="V424" s="238">
        <f>B424*3.01833333333333/100</f>
        <v>3.0183333333333295</v>
      </c>
      <c r="W424" s="242" t="s">
        <v>455</v>
      </c>
      <c r="X424" s="238">
        <f>B424*0.176666666666667/100</f>
        <v>0.176666666666667</v>
      </c>
      <c r="Y424" s="238">
        <f>B424*0.0566666666666667/100</f>
        <v>5.6666666666666698E-2</v>
      </c>
      <c r="Z424" s="242" t="s">
        <v>455</v>
      </c>
      <c r="AA424" s="238">
        <f>B424*5.76666666666667/100</f>
        <v>5.7666666666666693</v>
      </c>
      <c r="AB424" s="239"/>
    </row>
    <row r="425" spans="1:28">
      <c r="A425" s="232" t="s">
        <v>771</v>
      </c>
      <c r="B425" s="59">
        <v>100</v>
      </c>
      <c r="C425" s="238">
        <f>B425*218.108814166667/100</f>
        <v>218.108814166667</v>
      </c>
      <c r="D425" s="238">
        <f>B425*14.2395833333333/100</f>
        <v>14.2395833333333</v>
      </c>
      <c r="E425" s="248">
        <f>B425*17.4396666666667/100</f>
        <v>17.4396666666667</v>
      </c>
      <c r="F425" s="252">
        <f>B425*5.2/100</f>
        <v>5.2</v>
      </c>
      <c r="G425" s="252">
        <f>B425*7.3/100</f>
        <v>7.3</v>
      </c>
      <c r="H425" s="252">
        <f>B425*3.5/100</f>
        <v>3.5</v>
      </c>
      <c r="I425" s="263">
        <f>B425*3.08/100</f>
        <v>3.08</v>
      </c>
      <c r="J425" s="263">
        <f>B425*0.17/100</f>
        <v>0.17</v>
      </c>
      <c r="K425" s="238">
        <f>B425*64.1263333333333/100</f>
        <v>64.126333333333307</v>
      </c>
      <c r="L425" s="242">
        <v>0</v>
      </c>
      <c r="M425" s="240" t="s">
        <v>454</v>
      </c>
      <c r="N425" s="238">
        <f>B425*10.8376666666667/100</f>
        <v>10.837666666666699</v>
      </c>
      <c r="O425" s="238">
        <f>B425*18.966/100</f>
        <v>18.966000000000001</v>
      </c>
      <c r="P425" s="238">
        <f>B425*0.053/100</f>
        <v>5.2999999999999999E-2</v>
      </c>
      <c r="Q425" s="238">
        <f>B425*181.506666666667/100</f>
        <v>181.506666666667</v>
      </c>
      <c r="R425" s="238">
        <f>B425*0.465666666666667/100</f>
        <v>0.46566666666666701</v>
      </c>
      <c r="S425" s="238">
        <f>B425*1125.81133333333/100</f>
        <v>1125.8113333333299</v>
      </c>
      <c r="T425" s="238">
        <f>B425*279.732/100</f>
        <v>279.73200000000003</v>
      </c>
      <c r="U425" s="238">
        <f>B425*0.0543333333333333/100</f>
        <v>5.4333333333333303E-2</v>
      </c>
      <c r="V425" s="238">
        <f>B425*0.694/100</f>
        <v>0.69399999999999995</v>
      </c>
      <c r="W425" s="242" t="s">
        <v>455</v>
      </c>
      <c r="X425" s="238">
        <f>B425*0.11/100</f>
        <v>0.11</v>
      </c>
      <c r="Y425" s="238">
        <f>B425*0.0533333333333333/100</f>
        <v>5.3333333333333302E-2</v>
      </c>
      <c r="Z425" s="245" t="s">
        <v>455</v>
      </c>
      <c r="AA425" s="238">
        <f>B425*4.6/100</f>
        <v>4.5999999999999996</v>
      </c>
      <c r="AB425" s="242"/>
    </row>
    <row r="426" spans="1:28">
      <c r="A426" s="232" t="s">
        <v>772</v>
      </c>
      <c r="B426" s="59">
        <v>100</v>
      </c>
      <c r="C426" s="238">
        <f>B426*245.461006666667/100</f>
        <v>245.461006666667</v>
      </c>
      <c r="D426" s="238">
        <f>B426*18.3166666666667/100</f>
        <v>18.316666666666698</v>
      </c>
      <c r="E426" s="242">
        <f>B426*18.542/100</f>
        <v>18.542000000000002</v>
      </c>
      <c r="F426" s="252">
        <f>B426*5/100</f>
        <v>5</v>
      </c>
      <c r="G426" s="252">
        <f>B426*7.2/100</f>
        <v>7.2</v>
      </c>
      <c r="H426" s="252">
        <f>B426*4.3/100</f>
        <v>4.3</v>
      </c>
      <c r="I426" s="263">
        <f>B426*3.94/100</f>
        <v>3.94</v>
      </c>
      <c r="J426" s="263">
        <f>B426*0.25/100</f>
        <v>0.25</v>
      </c>
      <c r="K426" s="242">
        <f>B426*75.786/100</f>
        <v>75.786000000000001</v>
      </c>
      <c r="L426" s="242">
        <v>0</v>
      </c>
      <c r="M426" s="240" t="s">
        <v>454</v>
      </c>
      <c r="N426" s="242">
        <f>B426*15.4816666666667/100</f>
        <v>15.481666666666699</v>
      </c>
      <c r="O426" s="242">
        <f>B426*29.192/100</f>
        <v>29.191999999999997</v>
      </c>
      <c r="P426" s="242">
        <f>B426*0.103666666666667/100</f>
        <v>0.103666666666667</v>
      </c>
      <c r="Q426" s="242">
        <f>B426*262.066666666667/100</f>
        <v>262.066666666667</v>
      </c>
      <c r="R426" s="242">
        <f>B426*0.789333333333333/100</f>
        <v>0.789333333333333</v>
      </c>
      <c r="S426" s="242">
        <f>B426*1373.89366666667/100</f>
        <v>1373.8936666666698</v>
      </c>
      <c r="T426" s="242">
        <f>B426*363.793666666667/100</f>
        <v>363.79366666666698</v>
      </c>
      <c r="U426" s="242">
        <f>B426*0.0376666666666667/100</f>
        <v>3.7666666666666702E-2</v>
      </c>
      <c r="V426" s="242">
        <f>B426*1.16466666666667/100</f>
        <v>1.1646666666666701</v>
      </c>
      <c r="W426" s="242" t="s">
        <v>455</v>
      </c>
      <c r="X426" s="242">
        <f>B426*0.11/100</f>
        <v>0.11</v>
      </c>
      <c r="Y426" s="242">
        <f>B426*0.05/100</f>
        <v>0.05</v>
      </c>
      <c r="Z426" s="245" t="s">
        <v>455</v>
      </c>
      <c r="AA426" s="238">
        <f>B426*5.66666666666667/100</f>
        <v>5.6666666666666696</v>
      </c>
      <c r="AB426" s="242"/>
    </row>
    <row r="427" spans="1:28">
      <c r="A427" s="232" t="s">
        <v>773</v>
      </c>
      <c r="B427" s="59">
        <v>100</v>
      </c>
      <c r="C427" s="238">
        <f>B427*243.6585675/100</f>
        <v>243.6585675</v>
      </c>
      <c r="D427" s="238">
        <f>B427*18.1895833333333/100</f>
        <v>18.189583333333299</v>
      </c>
      <c r="E427" s="242">
        <f>B427*18.4023333333333/100</f>
        <v>18.402333333333299</v>
      </c>
      <c r="F427" s="252">
        <f>B427*4.7/100</f>
        <v>4.7</v>
      </c>
      <c r="G427" s="252">
        <f>B427*6.8/100</f>
        <v>6.8</v>
      </c>
      <c r="H427" s="252">
        <f>B427*3.4/100</f>
        <v>3.4</v>
      </c>
      <c r="I427" s="263">
        <f>B427*3.09/100</f>
        <v>3.09</v>
      </c>
      <c r="J427" s="263">
        <f>B427*0.17/100</f>
        <v>0.17</v>
      </c>
      <c r="K427" s="242">
        <f>B427*80.4783333333333/100</f>
        <v>80.478333333333296</v>
      </c>
      <c r="L427" s="242">
        <v>0</v>
      </c>
      <c r="M427" s="240" t="s">
        <v>454</v>
      </c>
      <c r="N427" s="242">
        <f>B427*13.9253333333333/100</f>
        <v>13.925333333333301</v>
      </c>
      <c r="O427" s="242">
        <f>B427*21.1003333333333/100</f>
        <v>21.1003333333333</v>
      </c>
      <c r="P427" s="242">
        <f>B427*0.099/100</f>
        <v>9.9000000000000005E-2</v>
      </c>
      <c r="Q427" s="242">
        <f>B427*228.016666666667/100</f>
        <v>228.01666666666699</v>
      </c>
      <c r="R427" s="242">
        <f>B427*0.722666666666667/100</f>
        <v>0.72266666666666712</v>
      </c>
      <c r="S427" s="242">
        <f>B427*1351.49366666667/100</f>
        <v>1351.4936666666699</v>
      </c>
      <c r="T427" s="242">
        <f>B427*355.997/100</f>
        <v>355.99700000000007</v>
      </c>
      <c r="U427" s="242">
        <f>B427*0.093/100</f>
        <v>9.3000000000000013E-2</v>
      </c>
      <c r="V427" s="242">
        <f>B427*1.02966666666667/100</f>
        <v>1.0296666666666701</v>
      </c>
      <c r="W427" s="242" t="s">
        <v>455</v>
      </c>
      <c r="X427" s="242">
        <f>B427*0.116666666666667/100</f>
        <v>0.116666666666667</v>
      </c>
      <c r="Y427" s="242">
        <f>B427*0.04/100</f>
        <v>0.04</v>
      </c>
      <c r="Z427" s="245" t="s">
        <v>455</v>
      </c>
      <c r="AA427" s="238">
        <f>B427*5.96666666666667/100</f>
        <v>5.9666666666666712</v>
      </c>
      <c r="AB427" s="242"/>
    </row>
    <row r="428" spans="1:28">
      <c r="A428" s="232" t="s">
        <v>774</v>
      </c>
      <c r="B428" s="59">
        <v>100</v>
      </c>
      <c r="C428" s="238">
        <f>B428*227.203450833333/100</f>
        <v>227.20345083333302</v>
      </c>
      <c r="D428" s="238">
        <f>B428*16.0645833333333/100</f>
        <v>16.064583333333299</v>
      </c>
      <c r="E428" s="271">
        <f>B428*17.584/100</f>
        <v>17.584</v>
      </c>
      <c r="F428" s="252">
        <f>B428*4/100</f>
        <v>4</v>
      </c>
      <c r="G428" s="252">
        <f>B428*5/100</f>
        <v>5</v>
      </c>
      <c r="H428" s="252">
        <f>B428*1.7/100</f>
        <v>1.7</v>
      </c>
      <c r="I428" s="263">
        <f>B428*1.54/100</f>
        <v>1.54</v>
      </c>
      <c r="J428" s="263">
        <f>B428*0.05/100</f>
        <v>0.05</v>
      </c>
      <c r="K428" s="238">
        <f>B428*52.9266666666667/100</f>
        <v>52.926666666666698</v>
      </c>
      <c r="L428" s="242">
        <v>0</v>
      </c>
      <c r="M428" s="242" t="s">
        <v>454</v>
      </c>
      <c r="N428" s="238">
        <f>B428*6.13366666666667/100</f>
        <v>6.1336666666666702</v>
      </c>
      <c r="O428" s="238">
        <f>B428*14.0473333333333/100</f>
        <v>14.047333333333302</v>
      </c>
      <c r="P428" s="248">
        <f>B428*0.006/100</f>
        <v>6.0000000000000001E-3</v>
      </c>
      <c r="Q428" s="238">
        <f>B428*157.476666666667/100</f>
        <v>157.476666666667</v>
      </c>
      <c r="R428" s="238">
        <f>B428*0.444333333333333/100</f>
        <v>0.44433333333333302</v>
      </c>
      <c r="S428" s="238">
        <f>B428*1175.72233333333/100</f>
        <v>1175.72233333333</v>
      </c>
      <c r="T428" s="238">
        <f>B428*316.329333333333/100</f>
        <v>316.32933333333301</v>
      </c>
      <c r="U428" s="238">
        <f>B428*0.044/100</f>
        <v>4.3999999999999997E-2</v>
      </c>
      <c r="V428" s="238">
        <f>B428*1.358/100</f>
        <v>1.3580000000000001</v>
      </c>
      <c r="W428" s="242" t="s">
        <v>455</v>
      </c>
      <c r="X428" s="238">
        <f>B428*0.49/100</f>
        <v>0.49</v>
      </c>
      <c r="Y428" s="238">
        <f>B428*0.0533333333333333/100</f>
        <v>5.3333333333333302E-2</v>
      </c>
      <c r="Z428" s="242" t="s">
        <v>455</v>
      </c>
      <c r="AA428" s="238">
        <f>B428*2.6/100</f>
        <v>2.6</v>
      </c>
      <c r="AB428" s="242"/>
    </row>
    <row r="429" spans="1:28">
      <c r="A429" s="232" t="s">
        <v>775</v>
      </c>
      <c r="B429" s="59">
        <v>100</v>
      </c>
      <c r="C429" s="238">
        <f>B429*279.543589166667/100</f>
        <v>279.543589166667</v>
      </c>
      <c r="D429" s="238">
        <f>B429*20.4520833333333/100</f>
        <v>20.452083333333299</v>
      </c>
      <c r="E429" s="248">
        <f>B429*21.3096666666667/100</f>
        <v>21.309666666666701</v>
      </c>
      <c r="F429" s="252">
        <f>B429*6.5/100</f>
        <v>6.5</v>
      </c>
      <c r="G429" s="252">
        <f>B429*8.2/100</f>
        <v>8.1999999999999993</v>
      </c>
      <c r="H429" s="252">
        <f>B429*2.7/100</f>
        <v>2.7</v>
      </c>
      <c r="I429" s="263">
        <f>B429*2.52/100</f>
        <v>2.52</v>
      </c>
      <c r="J429" s="263">
        <f>B429*0.11/100</f>
        <v>0.11</v>
      </c>
      <c r="K429" s="238">
        <f>B429*74.7053333333333/100</f>
        <v>74.7053333333333</v>
      </c>
      <c r="L429" s="242">
        <v>0</v>
      </c>
      <c r="M429" s="240" t="s">
        <v>454</v>
      </c>
      <c r="N429" s="238">
        <f>B429*8.47566666666667/100</f>
        <v>8.4756666666666707</v>
      </c>
      <c r="O429" s="238">
        <f>B429*18.2176666666667/100</f>
        <v>18.217666666666702</v>
      </c>
      <c r="P429" s="248">
        <f>B429*0.011/100</f>
        <v>1.0999999999999999E-2</v>
      </c>
      <c r="Q429" s="238">
        <f>B429*210.78/100</f>
        <v>210.78</v>
      </c>
      <c r="R429" s="238">
        <f>B429*0.868666666666667/100</f>
        <v>0.86866666666666703</v>
      </c>
      <c r="S429" s="238">
        <f>B429*1431.59366666667/100</f>
        <v>1431.5936666666703</v>
      </c>
      <c r="T429" s="238">
        <f>B429*408.940333333333/100</f>
        <v>408.94033333333294</v>
      </c>
      <c r="U429" s="238">
        <f>B429*0.06/100</f>
        <v>0.06</v>
      </c>
      <c r="V429" s="238">
        <f>B429*3.082/100</f>
        <v>3.0819999999999999</v>
      </c>
      <c r="W429" s="242" t="s">
        <v>455</v>
      </c>
      <c r="X429" s="238">
        <f>B429*0.413333333333333/100</f>
        <v>0.413333333333333</v>
      </c>
      <c r="Y429" s="238">
        <f>B429*0.0666666666666667/100</f>
        <v>6.6666666666666693E-2</v>
      </c>
      <c r="Z429" s="242" t="s">
        <v>455</v>
      </c>
      <c r="AA429" s="238">
        <f>B429*5.83333333333333/100</f>
        <v>5.8333333333333304</v>
      </c>
      <c r="AB429" s="242"/>
    </row>
    <row r="430" spans="1:28">
      <c r="A430" s="232" t="s">
        <v>776</v>
      </c>
      <c r="B430" s="59">
        <v>100</v>
      </c>
      <c r="C430" s="238">
        <f>B430*296.489609166667/100</f>
        <v>296.48960916666698</v>
      </c>
      <c r="D430" s="238">
        <f>B430*23.16875/100</f>
        <v>23.168749999999999</v>
      </c>
      <c r="E430" s="248">
        <f>B430*21.9023333333333/100</f>
        <v>21.902333333333299</v>
      </c>
      <c r="F430" s="252">
        <f>B430*7/100</f>
        <v>7</v>
      </c>
      <c r="G430" s="252">
        <f>B430*8.7/100</f>
        <v>8.6999999999999993</v>
      </c>
      <c r="H430" s="252">
        <f>B430*2.6/100</f>
        <v>2.6</v>
      </c>
      <c r="I430" s="263">
        <f>B430*2.45/100</f>
        <v>2.4500000000000002</v>
      </c>
      <c r="J430" s="263">
        <f>B430*0.1/100</f>
        <v>0.1</v>
      </c>
      <c r="K430" s="242">
        <f>B430*81.7043333333333/100</f>
        <v>81.704333333333295</v>
      </c>
      <c r="L430" s="242">
        <v>0</v>
      </c>
      <c r="M430" s="240" t="s">
        <v>454</v>
      </c>
      <c r="N430" s="242">
        <f>B430*8.13866666666667/100</f>
        <v>8.1386666666666692</v>
      </c>
      <c r="O430" s="242">
        <f>B430*18.785/100</f>
        <v>18.785</v>
      </c>
      <c r="P430" s="248">
        <f>B430*0.012/100</f>
        <v>1.2E-2</v>
      </c>
      <c r="Q430" s="242">
        <f>B430*209.813333333333/100</f>
        <v>209.81333333333299</v>
      </c>
      <c r="R430" s="242">
        <f>B430*1.01133333333333/100</f>
        <v>1.0113333333333301</v>
      </c>
      <c r="S430" s="242">
        <f>B430*1455.86033333333/100</f>
        <v>1455.8603333333297</v>
      </c>
      <c r="T430" s="242">
        <f>B430*426.600333333333/100</f>
        <v>426.60033333333303</v>
      </c>
      <c r="U430" s="242">
        <f>B430*0.0716666666666667/100</f>
        <v>7.1666666666666698E-2</v>
      </c>
      <c r="V430" s="242">
        <f>B430*3.47533333333333/100</f>
        <v>3.4753333333333298</v>
      </c>
      <c r="W430" s="242" t="s">
        <v>455</v>
      </c>
      <c r="X430" s="242">
        <f>B430*0.396666666666667/100</f>
        <v>0.396666666666667</v>
      </c>
      <c r="Y430" s="242">
        <f>B430*0.07/100</f>
        <v>7.0000000000000007E-2</v>
      </c>
      <c r="Z430" s="245" t="s">
        <v>455</v>
      </c>
      <c r="AA430" s="238">
        <f>B430*6.6/100</f>
        <v>6.6</v>
      </c>
      <c r="AB430" s="242"/>
    </row>
    <row r="431" spans="1:28">
      <c r="A431" s="222" t="s">
        <v>3175</v>
      </c>
      <c r="B431" s="59">
        <v>100</v>
      </c>
      <c r="C431" s="247">
        <f>B431*268.819989016732/100</f>
        <v>268.81998901673199</v>
      </c>
      <c r="D431" s="247">
        <f>B431*11.9520833333333/100</f>
        <v>11.952083333333301</v>
      </c>
      <c r="E431" s="244">
        <f>B431*21.6493333333333/100</f>
        <v>21.649333333333299</v>
      </c>
      <c r="F431" s="244">
        <f>B431*6.12/100</f>
        <v>6.12</v>
      </c>
      <c r="G431" s="244">
        <f>B431*8.12/100</f>
        <v>8.1199999999999992</v>
      </c>
      <c r="H431" s="244">
        <f>B431*4.68333333333333/100</f>
        <v>4.68333333333333</v>
      </c>
      <c r="I431" s="263">
        <f>B431*4.40666666666667/100</f>
        <v>4.4066666666666698</v>
      </c>
      <c r="J431" s="263">
        <f>B431*0.276666666666667/100</f>
        <v>0.276666666666667</v>
      </c>
      <c r="K431" s="244">
        <f>B431*82.7606666666667/100</f>
        <v>82.760666666666694</v>
      </c>
      <c r="L431" s="247">
        <f>B431*5.81591666666666/100</f>
        <v>5.8159166666666602</v>
      </c>
      <c r="M431" s="258" t="s">
        <v>454</v>
      </c>
      <c r="N431" s="244">
        <f>B431*66.547/100</f>
        <v>66.546999999999997</v>
      </c>
      <c r="O431" s="244">
        <f>B431*19.1433333333333/100</f>
        <v>19.143333333333299</v>
      </c>
      <c r="P431" s="244">
        <f>B431*0.112333333333333/100</f>
        <v>0.11233333333333299</v>
      </c>
      <c r="Q431" s="244">
        <f>B431*215.674/100</f>
        <v>215.67400000000001</v>
      </c>
      <c r="R431" s="244">
        <f>B431*1.46966666666667/100</f>
        <v>1.46966666666667</v>
      </c>
      <c r="S431" s="244">
        <f>B431*1212.167/100</f>
        <v>1212.1669999999999</v>
      </c>
      <c r="T431" s="244">
        <f>B431*247.282/100</f>
        <v>247.28200000000001</v>
      </c>
      <c r="U431" s="244">
        <f>B431*0.0776666666666667/100</f>
        <v>7.7666666666666703E-2</v>
      </c>
      <c r="V431" s="244">
        <f>B431*1.01933333333333/100</f>
        <v>1.0193333333333301</v>
      </c>
      <c r="W431" s="244">
        <f>B431*24.5533333333333/100</f>
        <v>24.553333333333299</v>
      </c>
      <c r="X431" s="244">
        <f>B431*0.143333333333333/100</f>
        <v>0.14333333333333301</v>
      </c>
      <c r="Y431" s="244">
        <f>B431*0.0633333333333333/100</f>
        <v>6.3333333333333297E-2</v>
      </c>
      <c r="Z431" s="244" t="s">
        <v>455</v>
      </c>
      <c r="AA431" s="244">
        <f>B431*3.00333333333333/100</f>
        <v>3.0033333333333299</v>
      </c>
      <c r="AB431" s="258"/>
    </row>
    <row r="432" spans="1:28">
      <c r="A432" s="232" t="s">
        <v>777</v>
      </c>
      <c r="B432" s="59">
        <v>100</v>
      </c>
      <c r="C432" s="238">
        <f>B432*163.071397931377/100</f>
        <v>163.07139793137699</v>
      </c>
      <c r="D432" s="238">
        <f>B432*26.2020833333333/100</f>
        <v>26.202083333333299</v>
      </c>
      <c r="E432" s="248">
        <f>B432*5.675/100</f>
        <v>5.6749999999999998</v>
      </c>
      <c r="F432" s="252">
        <f>B432*1.6/100</f>
        <v>1.6</v>
      </c>
      <c r="G432" s="252">
        <f>B432*1.2/100</f>
        <v>1.2</v>
      </c>
      <c r="H432" s="252">
        <f>B432*1.4/100</f>
        <v>1.4</v>
      </c>
      <c r="I432" s="263">
        <f>B432*1.41/100</f>
        <v>1.41</v>
      </c>
      <c r="J432" s="263">
        <f>B432*0.03/100</f>
        <v>0.03</v>
      </c>
      <c r="K432" s="238">
        <f>B432*91.238/100</f>
        <v>91.238</v>
      </c>
      <c r="L432" s="242">
        <v>0</v>
      </c>
      <c r="M432" s="242" t="s">
        <v>454</v>
      </c>
      <c r="N432" s="238">
        <f>B432*13.841/100</f>
        <v>13.840999999999999</v>
      </c>
      <c r="O432" s="238">
        <f>B432*11.5433333333333/100</f>
        <v>11.543333333333299</v>
      </c>
      <c r="P432" s="248">
        <f>B432*0.0183333333333333/100</f>
        <v>1.8333333333333299E-2</v>
      </c>
      <c r="Q432" s="238">
        <f>B432*197.361333333333/100</f>
        <v>197.36133333333299</v>
      </c>
      <c r="R432" s="238">
        <f>B432*0.586666666666667/100</f>
        <v>0.586666666666667</v>
      </c>
      <c r="S432" s="238">
        <f>B432*627.875666666667/100</f>
        <v>627.87566666666703</v>
      </c>
      <c r="T432" s="238">
        <f>B432*175.124/100</f>
        <v>175.12399999999997</v>
      </c>
      <c r="U432" s="238">
        <f>B432*0.0306666666666667/100</f>
        <v>3.06666666666667E-2</v>
      </c>
      <c r="V432" s="238">
        <f>B432*1.21133333333333/100</f>
        <v>1.21133333333333</v>
      </c>
      <c r="W432" s="242" t="s">
        <v>455</v>
      </c>
      <c r="X432" s="238">
        <f>B432*0.06/100</f>
        <v>0.06</v>
      </c>
      <c r="Y432" s="242" t="s">
        <v>455</v>
      </c>
      <c r="Z432" s="242" t="s">
        <v>455</v>
      </c>
      <c r="AA432" s="238">
        <f>B432*6.23333333333333/100</f>
        <v>6.2333333333333307</v>
      </c>
      <c r="AB432" s="242"/>
    </row>
    <row r="433" spans="1:28">
      <c r="A433" s="232" t="s">
        <v>778</v>
      </c>
      <c r="B433" s="59">
        <v>100</v>
      </c>
      <c r="C433" s="238">
        <f>B433*93.7224338261286/100</f>
        <v>93.722433826128594</v>
      </c>
      <c r="D433" s="238">
        <f>B433*18.0833333333333/100</f>
        <v>18.0833333333333</v>
      </c>
      <c r="E433" s="248">
        <f>B433*1.83/100</f>
        <v>1.83</v>
      </c>
      <c r="F433" s="252">
        <f>B433*0.4/100</f>
        <v>0.4</v>
      </c>
      <c r="G433" s="252">
        <f>B433*0.4/100</f>
        <v>0.4</v>
      </c>
      <c r="H433" s="252">
        <f>B433*0.7/100</f>
        <v>0.7</v>
      </c>
      <c r="I433" s="263">
        <f>B433*0.69/100</f>
        <v>0.69</v>
      </c>
      <c r="J433" s="263">
        <f>B433*0.03/100</f>
        <v>0.03</v>
      </c>
      <c r="K433" s="238">
        <f>B433*68.1626666666667/100</f>
        <v>68.162666666666695</v>
      </c>
      <c r="L433" s="242">
        <v>0</v>
      </c>
      <c r="M433" s="240" t="s">
        <v>454</v>
      </c>
      <c r="N433" s="238">
        <f>B433*9.88133333333333/100</f>
        <v>9.8813333333333304</v>
      </c>
      <c r="O433" s="238">
        <f>B433*18.8433333333333/100</f>
        <v>18.843333333333302</v>
      </c>
      <c r="P433" s="242" t="s">
        <v>455</v>
      </c>
      <c r="Q433" s="238">
        <f>B433*216.670333333333/100</f>
        <v>216.67033333333299</v>
      </c>
      <c r="R433" s="242">
        <f>B433*0.874/100</f>
        <v>0.87400000000000011</v>
      </c>
      <c r="S433" s="242">
        <f>B433*710.683/100</f>
        <v>710.68299999999999</v>
      </c>
      <c r="T433" s="238">
        <f>B433*281.354/100</f>
        <v>281.35399999999998</v>
      </c>
      <c r="U433" s="238">
        <f>B433*0.357/100</f>
        <v>0.35699999999999998</v>
      </c>
      <c r="V433" s="238">
        <f>B433*1.43633333333333/100</f>
        <v>1.4363333333333299</v>
      </c>
      <c r="W433" s="242" t="s">
        <v>455</v>
      </c>
      <c r="X433" s="238">
        <f>B433*0.0633333333333333/100</f>
        <v>6.3333333333333297E-2</v>
      </c>
      <c r="Y433" s="242" t="s">
        <v>455</v>
      </c>
      <c r="Z433" s="242" t="s">
        <v>455</v>
      </c>
      <c r="AA433" s="238">
        <f>B433*4.23333333333333/100</f>
        <v>4.2333333333333298</v>
      </c>
      <c r="AB433" s="242"/>
    </row>
    <row r="434" spans="1:28">
      <c r="A434" s="232" t="s">
        <v>779</v>
      </c>
      <c r="B434" s="59">
        <v>100</v>
      </c>
      <c r="C434" s="238">
        <f>B434*164.115336592992/100</f>
        <v>164.11533659299204</v>
      </c>
      <c r="D434" s="238">
        <f>B434*21.5/100</f>
        <v>21.5</v>
      </c>
      <c r="E434" s="238">
        <f>B434*8.01666666666667/100</f>
        <v>8.0166666666666693</v>
      </c>
      <c r="F434" s="252">
        <f>B434*3.5/100</f>
        <v>3.5</v>
      </c>
      <c r="G434" s="252">
        <f>B434*3.9/100</f>
        <v>3.9</v>
      </c>
      <c r="H434" s="252">
        <f>B434*1.2/100</f>
        <v>1.2</v>
      </c>
      <c r="I434" s="263">
        <f>B434*1.17/100</f>
        <v>1.17</v>
      </c>
      <c r="J434" s="263">
        <f>B434*0.05/100</f>
        <v>0.05</v>
      </c>
      <c r="K434" s="238">
        <f>B434*56.3833333333333/100</f>
        <v>56.383333333333297</v>
      </c>
      <c r="L434" s="242">
        <v>0</v>
      </c>
      <c r="M434" s="252" t="s">
        <v>454</v>
      </c>
      <c r="N434" s="238">
        <f>B434*6.11/100</f>
        <v>6.11</v>
      </c>
      <c r="O434" s="238">
        <f>B434*24.0743333333333/100</f>
        <v>24.074333333333296</v>
      </c>
      <c r="P434" s="245" t="s">
        <v>455</v>
      </c>
      <c r="Q434" s="238">
        <f>B434*195.163333333333/100</f>
        <v>195.16333333333299</v>
      </c>
      <c r="R434" s="238">
        <f>B434*0.533333333333333/100</f>
        <v>0.53333333333333299</v>
      </c>
      <c r="S434" s="238">
        <f>B434*54.29/100</f>
        <v>54.29</v>
      </c>
      <c r="T434" s="238">
        <f>B434*334.991333333333/100</f>
        <v>334.99133333333305</v>
      </c>
      <c r="U434" s="238">
        <f>B434*0.07025/100</f>
        <v>7.0250000000000007E-2</v>
      </c>
      <c r="V434" s="238">
        <f>B434*1.43/100</f>
        <v>1.43</v>
      </c>
      <c r="W434" s="245" t="s">
        <v>455</v>
      </c>
      <c r="X434" s="238">
        <f>B434*0.896666666666667/100</f>
        <v>0.89666666666666694</v>
      </c>
      <c r="Y434" s="245" t="s">
        <v>455</v>
      </c>
      <c r="Z434" s="245" t="s">
        <v>455</v>
      </c>
      <c r="AA434" s="242">
        <f>B434*2.64666666666667/100</f>
        <v>2.6466666666666701</v>
      </c>
      <c r="AB434" s="252"/>
    </row>
    <row r="435" spans="1:28">
      <c r="A435" s="222" t="s">
        <v>3176</v>
      </c>
      <c r="B435" s="59">
        <v>100</v>
      </c>
      <c r="C435" s="247">
        <f>B435*311.169045334856/100</f>
        <v>311.16904533485598</v>
      </c>
      <c r="D435" s="247">
        <f>B435*33.7479166666667/100</f>
        <v>33.747916666666697</v>
      </c>
      <c r="E435" s="244">
        <f>B435*18.5216666666667/100</f>
        <v>18.5216666666667</v>
      </c>
      <c r="F435" s="258">
        <f>B435*5.97466666666667/100</f>
        <v>5.9746666666666703</v>
      </c>
      <c r="G435" s="258">
        <f>B435*6.58133333333333/100</f>
        <v>6.5813333333333297</v>
      </c>
      <c r="H435" s="258">
        <f>B435*4.56333333333333/100</f>
        <v>4.5633333333333299</v>
      </c>
      <c r="I435" s="263">
        <f>B435*4.13766666666667/100</f>
        <v>4.1376666666666697</v>
      </c>
      <c r="J435" s="263">
        <f>B435*0.336666666666667/100</f>
        <v>0.336666666666667</v>
      </c>
      <c r="K435" s="244">
        <f>B435*126.302333333333/100</f>
        <v>126.302333333333</v>
      </c>
      <c r="L435" s="247">
        <v>0</v>
      </c>
      <c r="M435" s="258" t="s">
        <v>454</v>
      </c>
      <c r="N435" s="244">
        <f>B435*69.1456666666667/100</f>
        <v>69.145666666666699</v>
      </c>
      <c r="O435" s="244">
        <f>B435*29.125/100</f>
        <v>29.125</v>
      </c>
      <c r="P435" s="244">
        <f>B435*0.00766666666666667/100</f>
        <v>7.6666666666666697E-3</v>
      </c>
      <c r="Q435" s="244">
        <f>B435*289.874333333333/100</f>
        <v>289.87433333333303</v>
      </c>
      <c r="R435" s="244">
        <f>B435*0.821/100</f>
        <v>0.82099999999999995</v>
      </c>
      <c r="S435" s="244">
        <f>B435*63.027/100</f>
        <v>63.027000000000001</v>
      </c>
      <c r="T435" s="244">
        <f>B435*403.513333333333/100</f>
        <v>403.51333333333298</v>
      </c>
      <c r="U435" s="244">
        <f>B435*0.065/100</f>
        <v>6.5000000000000002E-2</v>
      </c>
      <c r="V435" s="244">
        <f>B435*2.16433333333333/100</f>
        <v>2.1643333333333299</v>
      </c>
      <c r="W435" s="244">
        <f>B435*9.74/100</f>
        <v>9.74</v>
      </c>
      <c r="X435" s="244">
        <f>B435*0.336666666666667/100</f>
        <v>0.336666666666667</v>
      </c>
      <c r="Y435" s="244" t="s">
        <v>455</v>
      </c>
      <c r="Z435" s="244" t="s">
        <v>455</v>
      </c>
      <c r="AA435" s="244">
        <f>B435*3.24666666666667/100</f>
        <v>3.2466666666666701</v>
      </c>
      <c r="AB435" s="258"/>
    </row>
    <row r="436" spans="1:28">
      <c r="A436" s="232" t="s">
        <v>780</v>
      </c>
      <c r="B436" s="59">
        <v>100</v>
      </c>
      <c r="C436" s="238">
        <f>B436*280.084034902771/100</f>
        <v>280.08403490277101</v>
      </c>
      <c r="D436" s="238">
        <f>B436*28.8895833333333/100</f>
        <v>28.889583333333299</v>
      </c>
      <c r="E436" s="238">
        <f>B436*17.3753333333333/100</f>
        <v>17.375333333333302</v>
      </c>
      <c r="F436" s="252">
        <f>B436*7.5/100</f>
        <v>7.5</v>
      </c>
      <c r="G436" s="252">
        <f>B436*7.7/100</f>
        <v>7.7</v>
      </c>
      <c r="H436" s="252">
        <f>B436*1.2/100</f>
        <v>1.2</v>
      </c>
      <c r="I436" s="263">
        <f>B436*1.06/100</f>
        <v>1.06</v>
      </c>
      <c r="J436" s="263">
        <f>B436*0.03/100</f>
        <v>0.03</v>
      </c>
      <c r="K436" s="238">
        <f>B436*81.6826666666667/100</f>
        <v>81.682666666666705</v>
      </c>
      <c r="L436" s="242">
        <v>0</v>
      </c>
      <c r="M436" s="252" t="s">
        <v>454</v>
      </c>
      <c r="N436" s="243">
        <f>B436*34.3136666666667/100</f>
        <v>34.313666666666698</v>
      </c>
      <c r="O436" s="238">
        <f>B436*24.741/100</f>
        <v>24.741</v>
      </c>
      <c r="P436" s="245" t="s">
        <v>455</v>
      </c>
      <c r="Q436" s="238">
        <f>B436*229.438333333333/100</f>
        <v>229.43833333333299</v>
      </c>
      <c r="R436" s="238">
        <f>B436*0.864666666666667/100</f>
        <v>0.86466666666666692</v>
      </c>
      <c r="S436" s="238">
        <f>B436*51.445/100</f>
        <v>51.445</v>
      </c>
      <c r="T436" s="238">
        <f>B436*366.416/100</f>
        <v>366.416</v>
      </c>
      <c r="U436" s="238">
        <f>B436*0.0556666666666667/100</f>
        <v>5.5666666666666698E-2</v>
      </c>
      <c r="V436" s="238">
        <f>B436*2.34666666666667/100</f>
        <v>2.3466666666666698</v>
      </c>
      <c r="W436" s="245" t="s">
        <v>455</v>
      </c>
      <c r="X436" s="238">
        <f>B436*0.766666666666667/100</f>
        <v>0.76666666666666705</v>
      </c>
      <c r="Y436" s="238">
        <f>B436*0.136666666666667/100</f>
        <v>0.13666666666666699</v>
      </c>
      <c r="Z436" s="243">
        <f>B436*0.03/100</f>
        <v>0.03</v>
      </c>
      <c r="AA436" s="242">
        <f>B436*1.92333333333333/100</f>
        <v>1.92333333333333</v>
      </c>
      <c r="AB436" s="252"/>
    </row>
    <row r="437" spans="1:28">
      <c r="A437" s="232" t="s">
        <v>781</v>
      </c>
      <c r="B437" s="59">
        <v>100</v>
      </c>
      <c r="C437" s="238">
        <f>B437*402.168447450837/100</f>
        <v>402.16844745083699</v>
      </c>
      <c r="D437" s="238">
        <f>B437*30.2229166666667/100</f>
        <v>30.222916666666698</v>
      </c>
      <c r="E437" s="238">
        <f>B437*30.279/100</f>
        <v>30.279</v>
      </c>
      <c r="F437" s="252">
        <f>B437*11.8/100</f>
        <v>11.8</v>
      </c>
      <c r="G437" s="252">
        <f>B437*13.9/100</f>
        <v>13.9</v>
      </c>
      <c r="H437" s="252">
        <f>B437*3.1/100</f>
        <v>3.1</v>
      </c>
      <c r="I437" s="263">
        <f>B437*2.84/100</f>
        <v>2.84</v>
      </c>
      <c r="J437" s="263">
        <f>B437*0.12/100</f>
        <v>0.12</v>
      </c>
      <c r="K437" s="238">
        <f>B437*112.856333333333/100</f>
        <v>112.856333333333</v>
      </c>
      <c r="L437" s="242">
        <v>0</v>
      </c>
      <c r="M437" s="252" t="s">
        <v>454</v>
      </c>
      <c r="N437" s="238">
        <f>B437*16.7718333333333/100</f>
        <v>16.771833333333301</v>
      </c>
      <c r="O437" s="238">
        <f>B437*14.0423333333333/100</f>
        <v>14.0423333333333</v>
      </c>
      <c r="P437" s="245" t="s">
        <v>455</v>
      </c>
      <c r="Q437" s="238">
        <f>B437*200.780333333333/100</f>
        <v>200.780333333333</v>
      </c>
      <c r="R437" s="238">
        <f>B437*1.037/100</f>
        <v>1.0369999999999999</v>
      </c>
      <c r="S437" s="242">
        <f>B437*62.6793333333333/100</f>
        <v>62.679333333333297</v>
      </c>
      <c r="T437" s="238">
        <f>B437*245.970666666667/100</f>
        <v>245.97066666666697</v>
      </c>
      <c r="U437" s="238">
        <f>B437*0.0726666666666667/100</f>
        <v>7.2666666666666699E-2</v>
      </c>
      <c r="V437" s="238">
        <f>B437*3.09766666666667/100</f>
        <v>3.0976666666666701</v>
      </c>
      <c r="W437" s="245" t="s">
        <v>455</v>
      </c>
      <c r="X437" s="238">
        <f>B437*0.713333333333333/100</f>
        <v>0.71333333333333304</v>
      </c>
      <c r="Y437" s="238">
        <f>B437*0.0533333333333333/100</f>
        <v>5.3333333333333302E-2</v>
      </c>
      <c r="Z437" s="245" t="s">
        <v>455</v>
      </c>
      <c r="AA437" s="238">
        <f>B437*10.6333333333333/100</f>
        <v>10.633333333333301</v>
      </c>
      <c r="AB437" s="252"/>
    </row>
    <row r="438" spans="1:28">
      <c r="A438" s="232" t="s">
        <v>782</v>
      </c>
      <c r="B438" s="59">
        <v>100</v>
      </c>
      <c r="C438" s="238">
        <f>B438*255.606342061361/100</f>
        <v>255.606342061361</v>
      </c>
      <c r="D438" s="238">
        <f>B438*18/100</f>
        <v>18</v>
      </c>
      <c r="E438" s="238">
        <f>B438*19.8166666666667/100</f>
        <v>19.816666666666698</v>
      </c>
      <c r="F438" s="252">
        <f>B438*7.4/100</f>
        <v>7.4</v>
      </c>
      <c r="G438" s="252">
        <f>B438*8.3/100</f>
        <v>8.3000000000000007</v>
      </c>
      <c r="H438" s="252">
        <f>B438*2.3/100</f>
        <v>2.2999999999999998</v>
      </c>
      <c r="I438" s="263">
        <f>B438*2.19/100</f>
        <v>2.19</v>
      </c>
      <c r="J438" s="263">
        <f>B438*0.09/100</f>
        <v>0.09</v>
      </c>
      <c r="K438" s="238">
        <f>B438*68.825/100</f>
        <v>68.825000000000003</v>
      </c>
      <c r="L438" s="242">
        <v>0</v>
      </c>
      <c r="M438" s="252" t="s">
        <v>454</v>
      </c>
      <c r="N438" s="242">
        <f>B438*14.5273333333333/100</f>
        <v>14.527333333333299</v>
      </c>
      <c r="O438" s="238">
        <f>B438*17.9693333333333/100</f>
        <v>17.969333333333299</v>
      </c>
      <c r="P438" s="242" t="s">
        <v>455</v>
      </c>
      <c r="Q438" s="238">
        <f>B438*159.081/100</f>
        <v>159.08099999999999</v>
      </c>
      <c r="R438" s="238">
        <f>B438*0.899666666666667/100</f>
        <v>0.89966666666666695</v>
      </c>
      <c r="S438" s="238">
        <f>B438*87.9816666666667/100</f>
        <v>87.981666666666698</v>
      </c>
      <c r="T438" s="238">
        <f>B438*248.229666666667/100</f>
        <v>248.22966666666699</v>
      </c>
      <c r="U438" s="238">
        <f>B438*0.0543333333333333/100</f>
        <v>5.4333333333333303E-2</v>
      </c>
      <c r="V438" s="238">
        <f>B438*2.27366666666667/100</f>
        <v>2.2736666666666698</v>
      </c>
      <c r="W438" s="245" t="s">
        <v>455</v>
      </c>
      <c r="X438" s="238">
        <f>B438*0.623333333333333/100</f>
        <v>0.62333333333333296</v>
      </c>
      <c r="Y438" s="242" t="s">
        <v>455</v>
      </c>
      <c r="Z438" s="242" t="s">
        <v>455</v>
      </c>
      <c r="AA438" s="238">
        <f>B438*8.26666666666667/100</f>
        <v>8.2666666666666693</v>
      </c>
      <c r="AB438" s="252"/>
    </row>
    <row r="439" spans="1:28">
      <c r="A439" s="232" t="s">
        <v>783</v>
      </c>
      <c r="B439" s="59">
        <v>100</v>
      </c>
      <c r="C439" s="238">
        <f>B439*210.234665579637/100</f>
        <v>210.23466557963701</v>
      </c>
      <c r="D439" s="238">
        <f>B439*35.725/100</f>
        <v>35.725000000000001</v>
      </c>
      <c r="E439" s="238">
        <f>B439*6.39566666666667/100</f>
        <v>6.3956666666666697</v>
      </c>
      <c r="F439" s="252">
        <f>B439*2.6/100</f>
        <v>2.6</v>
      </c>
      <c r="G439" s="252">
        <f>B439*2.9/100</f>
        <v>2.9</v>
      </c>
      <c r="H439" s="252">
        <f>B439*0.7/100</f>
        <v>0.7</v>
      </c>
      <c r="I439" s="263">
        <f>B439*0.57/100</f>
        <v>0.56999999999999995</v>
      </c>
      <c r="J439" s="263">
        <f>B439*0.07/100</f>
        <v>7.0000000000000007E-2</v>
      </c>
      <c r="K439" s="238">
        <f>B439*103.077/100</f>
        <v>103.07700000000001</v>
      </c>
      <c r="L439" s="242">
        <v>0</v>
      </c>
      <c r="M439" s="252" t="s">
        <v>454</v>
      </c>
      <c r="N439" s="238">
        <f>B439*19.5113333333333/100</f>
        <v>19.511333333333301</v>
      </c>
      <c r="O439" s="238">
        <f>B439*18.1423333333333/100</f>
        <v>18.142333333333301</v>
      </c>
      <c r="P439" s="242" t="s">
        <v>455</v>
      </c>
      <c r="Q439" s="238">
        <f>B439*238.364333333333/100</f>
        <v>238.36433333333301</v>
      </c>
      <c r="R439" s="238">
        <f>B439*0.457333333333333/100</f>
        <v>0.45733333333333298</v>
      </c>
      <c r="S439" s="238">
        <f>B439*38.924/100</f>
        <v>38.923999999999999</v>
      </c>
      <c r="T439" s="238">
        <f>B439*311.138666666667/100</f>
        <v>311.13866666666701</v>
      </c>
      <c r="U439" s="238">
        <f>B439*0.025/100</f>
        <v>2.5000000000000001E-2</v>
      </c>
      <c r="V439" s="238">
        <f>B439*1.75833333333333/100</f>
        <v>1.75833333333333</v>
      </c>
      <c r="W439" s="245" t="s">
        <v>455</v>
      </c>
      <c r="X439" s="238">
        <f>B439*0.746666666666667/100</f>
        <v>0.74666666666666703</v>
      </c>
      <c r="Y439" s="238">
        <f>B439*0.0666666666666667/100</f>
        <v>6.6666666666666693E-2</v>
      </c>
      <c r="Z439" s="238">
        <f>B439*0.106666666666667/100</f>
        <v>0.10666666666666699</v>
      </c>
      <c r="AA439" s="238">
        <f>B439*12.4333333333333/100</f>
        <v>12.433333333333302</v>
      </c>
      <c r="AB439" s="252"/>
    </row>
    <row r="440" spans="1:28">
      <c r="A440" s="232" t="s">
        <v>784</v>
      </c>
      <c r="B440" s="59">
        <v>100</v>
      </c>
      <c r="C440" s="238">
        <f>B440*175.625195250114/100</f>
        <v>175.62519525011396</v>
      </c>
      <c r="D440" s="238">
        <f>B440*22.6041666666667/100</f>
        <v>22.6041666666667</v>
      </c>
      <c r="E440" s="238">
        <f>B440*8.77/100</f>
        <v>8.77</v>
      </c>
      <c r="F440" s="252">
        <f>B440*3.3/100</f>
        <v>3.3</v>
      </c>
      <c r="G440" s="252">
        <f>B440*3.7/100</f>
        <v>3.7</v>
      </c>
      <c r="H440" s="252">
        <f>B440*1/100</f>
        <v>1</v>
      </c>
      <c r="I440" s="263">
        <f>B440*0.93/100</f>
        <v>0.93</v>
      </c>
      <c r="J440" s="263">
        <f>B440*0.04/100</f>
        <v>0.04</v>
      </c>
      <c r="K440" s="238">
        <f>B440*55.3873333333333/100</f>
        <v>55.387333333333302</v>
      </c>
      <c r="L440" s="242">
        <v>0</v>
      </c>
      <c r="M440" s="252" t="s">
        <v>454</v>
      </c>
      <c r="N440" s="238">
        <f>B440*4.155/100</f>
        <v>4.1550000000000002</v>
      </c>
      <c r="O440" s="238">
        <f>B440*23.915/100</f>
        <v>23.914999999999999</v>
      </c>
      <c r="P440" s="245" t="s">
        <v>455</v>
      </c>
      <c r="Q440" s="238">
        <f>B440*194.521/100</f>
        <v>194.52099999999999</v>
      </c>
      <c r="R440" s="242">
        <f>B440*0.473333333333333/100</f>
        <v>0.473333333333333</v>
      </c>
      <c r="S440" s="238">
        <f>B440*53.0676666666667/100</f>
        <v>53.067666666666703</v>
      </c>
      <c r="T440" s="238">
        <f>B440*334.384/100</f>
        <v>334.38400000000001</v>
      </c>
      <c r="U440" s="238">
        <f>B440*0.008/100</f>
        <v>8.0000000000000002E-3</v>
      </c>
      <c r="V440" s="238">
        <f>B440*0.931666666666667/100</f>
        <v>0.93166666666666698</v>
      </c>
      <c r="W440" s="245" t="s">
        <v>455</v>
      </c>
      <c r="X440" s="238">
        <f>B440*0.946666666666667/100</f>
        <v>0.94666666666666699</v>
      </c>
      <c r="Y440" s="245" t="s">
        <v>455</v>
      </c>
      <c r="Z440" s="245" t="s">
        <v>455</v>
      </c>
      <c r="AA440" s="238">
        <f>B440*13.8333333333333/100</f>
        <v>13.8333333333333</v>
      </c>
      <c r="AB440" s="252"/>
    </row>
    <row r="441" spans="1:28">
      <c r="A441" s="232" t="s">
        <v>785</v>
      </c>
      <c r="B441" s="59">
        <v>100</v>
      </c>
      <c r="C441" s="238">
        <f>B441*258.491758333333/100</f>
        <v>258.491758333333</v>
      </c>
      <c r="D441" s="238">
        <f>B441*18.5208333333333/100</f>
        <v>18.5208333333333</v>
      </c>
      <c r="E441" s="238">
        <f>B441*19.89/100</f>
        <v>19.89</v>
      </c>
      <c r="F441" s="252">
        <f>B441*7.3/100</f>
        <v>7.3</v>
      </c>
      <c r="G441" s="252">
        <f>B441*11.2/100</f>
        <v>11.2</v>
      </c>
      <c r="H441" s="252">
        <f>B441*2.8/100</f>
        <v>2.8</v>
      </c>
      <c r="I441" s="263">
        <f>B441*2.67/100</f>
        <v>2.67</v>
      </c>
      <c r="J441" s="263">
        <f>B441*0.11/100</f>
        <v>0.11</v>
      </c>
      <c r="K441" s="238">
        <f>B441*83.008/100</f>
        <v>83.007999999999996</v>
      </c>
      <c r="L441" s="242">
        <v>0</v>
      </c>
      <c r="M441" s="252" t="s">
        <v>454</v>
      </c>
      <c r="N441" s="238">
        <f>B441*5.44266666666667/100</f>
        <v>5.4426666666666703</v>
      </c>
      <c r="O441" s="238">
        <f>B441*2.07066666666667/100</f>
        <v>2.07066666666667</v>
      </c>
      <c r="P441" s="248">
        <f>B441*0.00533333333333333/100</f>
        <v>5.3333333333333297E-3</v>
      </c>
      <c r="Q441" s="238">
        <f>B441*30.791/100</f>
        <v>30.791</v>
      </c>
      <c r="R441" s="238">
        <f>B441*1.40766666666667/100</f>
        <v>1.40766666666667</v>
      </c>
      <c r="S441" s="238">
        <f>B441*615.602/100</f>
        <v>615.60199999999998</v>
      </c>
      <c r="T441" s="238">
        <f>B441*228.464333333333/100</f>
        <v>228.464333333333</v>
      </c>
      <c r="U441" s="238">
        <f>B441*0.231333333333333/100</f>
        <v>0.231333333333333</v>
      </c>
      <c r="V441" s="238">
        <f>B441*0.568666666666667/100</f>
        <v>0.56866666666666699</v>
      </c>
      <c r="W441" s="245" t="s">
        <v>455</v>
      </c>
      <c r="X441" s="238">
        <f>B441*0.0733333333333333/100</f>
        <v>7.3333333333333306E-2</v>
      </c>
      <c r="Y441" s="238">
        <f>B441*0.03/100</f>
        <v>0.03</v>
      </c>
      <c r="Z441" s="242" t="s">
        <v>455</v>
      </c>
      <c r="AA441" s="242" t="s">
        <v>455</v>
      </c>
      <c r="AB441" s="252"/>
    </row>
    <row r="442" spans="1:28">
      <c r="A442" s="232" t="s">
        <v>3177</v>
      </c>
      <c r="B442" s="59">
        <v>100</v>
      </c>
      <c r="C442" s="238">
        <f>B442*262.259606666667/100</f>
        <v>262.25960666666703</v>
      </c>
      <c r="D442" s="238">
        <f>B442*32.1333333333333/100</f>
        <v>32.133333333333297</v>
      </c>
      <c r="E442" s="238">
        <f>B442*13.8636666666667/100</f>
        <v>13.863666666666699</v>
      </c>
      <c r="F442" s="252">
        <f>B442*4.8/100</f>
        <v>4.8</v>
      </c>
      <c r="G442" s="252">
        <f>B442*6.4/100</f>
        <v>6.4</v>
      </c>
      <c r="H442" s="252">
        <f>B442*1.9/100</f>
        <v>1.9</v>
      </c>
      <c r="I442" s="263">
        <f>B442*1.77/100</f>
        <v>1.77</v>
      </c>
      <c r="J442" s="263">
        <f>B442*0.05/100</f>
        <v>0.05</v>
      </c>
      <c r="K442" s="238">
        <f>B442*109.798333333333/100</f>
        <v>109.79833333333301</v>
      </c>
      <c r="L442" s="242">
        <v>0</v>
      </c>
      <c r="M442" s="252" t="s">
        <v>454</v>
      </c>
      <c r="N442" s="238">
        <f>B442*17.589/100</f>
        <v>17.588999999999999</v>
      </c>
      <c r="O442" s="238">
        <f>B442*27.347/100</f>
        <v>27.347000000000001</v>
      </c>
      <c r="P442" s="248">
        <f>B442*0.0123333333333333/100</f>
        <v>1.23333333333333E-2</v>
      </c>
      <c r="Q442" s="238">
        <f>B442*247.089333333333/100</f>
        <v>247.089333333333</v>
      </c>
      <c r="R442" s="238">
        <f>B442*1.25166666666667/100</f>
        <v>1.25166666666667</v>
      </c>
      <c r="S442" s="238">
        <f>B442*62.4063333333333/100</f>
        <v>62.406333333333308</v>
      </c>
      <c r="T442" s="238">
        <f>B442*395.190333333333/100</f>
        <v>395.19033333333294</v>
      </c>
      <c r="U442" s="238">
        <f>B442*0.0933333333333333/100</f>
        <v>9.333333333333331E-2</v>
      </c>
      <c r="V442" s="238">
        <f>B442*3.25466666666667/100</f>
        <v>3.2546666666666706</v>
      </c>
      <c r="W442" s="245" t="s">
        <v>455</v>
      </c>
      <c r="X442" s="238">
        <f>B442*0.773333333333333/100</f>
        <v>0.77333333333333298</v>
      </c>
      <c r="Y442" s="238">
        <f>B442*0.09/100</f>
        <v>0.09</v>
      </c>
      <c r="Z442" s="242" t="s">
        <v>455</v>
      </c>
      <c r="AA442" s="238">
        <f>B442*6.56666666666667/100</f>
        <v>6.56666666666667</v>
      </c>
      <c r="AB442" s="252"/>
    </row>
    <row r="443" spans="1:28">
      <c r="A443" s="232" t="s">
        <v>787</v>
      </c>
      <c r="B443" s="59">
        <v>100</v>
      </c>
      <c r="C443" s="238">
        <f>B443*186.05575/100</f>
        <v>186.05574999999996</v>
      </c>
      <c r="D443" s="238">
        <f>B443*20.125/100</f>
        <v>20.125</v>
      </c>
      <c r="E443" s="238">
        <f>B443*11.1/100</f>
        <v>11.1</v>
      </c>
      <c r="F443" s="252">
        <f>B443*4.2/100</f>
        <v>4.2</v>
      </c>
      <c r="G443" s="252">
        <f>B443*5/100</f>
        <v>5</v>
      </c>
      <c r="H443" s="252">
        <f>B443*1.7/100</f>
        <v>1.7</v>
      </c>
      <c r="I443" s="263">
        <f>B443*1.59/100</f>
        <v>1.59</v>
      </c>
      <c r="J443" s="263">
        <f>B443*0.06/100</f>
        <v>0.06</v>
      </c>
      <c r="K443" s="238">
        <f>B443*58.6863333333333/100</f>
        <v>58.686333333333302</v>
      </c>
      <c r="L443" s="242">
        <v>0</v>
      </c>
      <c r="M443" s="252" t="s">
        <v>454</v>
      </c>
      <c r="N443" s="238">
        <f>B443*12.9356666666667/100</f>
        <v>12.9356666666667</v>
      </c>
      <c r="O443" s="238">
        <f>B443*22.8823333333333/100</f>
        <v>22.8823333333333</v>
      </c>
      <c r="P443" s="251" t="s">
        <v>455</v>
      </c>
      <c r="Q443" s="238">
        <f>B443*192.479/100</f>
        <v>192.47900000000001</v>
      </c>
      <c r="R443" s="238">
        <f>B443*0.887333333333333/100</f>
        <v>0.88733333333333286</v>
      </c>
      <c r="S443" s="238">
        <f>B443*101.893333333333/100</f>
        <v>101.89333333333302</v>
      </c>
      <c r="T443" s="238">
        <f>B443*255.582666666667/100</f>
        <v>255.582666666667</v>
      </c>
      <c r="U443" s="238">
        <f>B443*0.162666666666667/100</f>
        <v>0.16266666666666699</v>
      </c>
      <c r="V443" s="238">
        <f>B443*1.731/100</f>
        <v>1.7310000000000003</v>
      </c>
      <c r="W443" s="245" t="s">
        <v>455</v>
      </c>
      <c r="X443" s="238">
        <f>B443*1.06333333333333/100</f>
        <v>1.0633333333333299</v>
      </c>
      <c r="Y443" s="238">
        <f>B443*0.0566666666666667/100</f>
        <v>5.6666666666666698E-2</v>
      </c>
      <c r="Z443" s="242" t="s">
        <v>455</v>
      </c>
      <c r="AA443" s="238">
        <f>B443*5.66666666666667/100</f>
        <v>5.6666666666666696</v>
      </c>
      <c r="AB443" s="252"/>
    </row>
    <row r="444" spans="1:28">
      <c r="A444" s="232" t="s">
        <v>3178</v>
      </c>
      <c r="B444" s="59">
        <v>100</v>
      </c>
      <c r="C444" s="238">
        <f>B444*377.4152575/100</f>
        <v>377.4152575</v>
      </c>
      <c r="D444" s="238">
        <f>B444*15.58125/100</f>
        <v>15.581250000000001</v>
      </c>
      <c r="E444" s="238">
        <f>B444*34.466/100</f>
        <v>34.466000000000001</v>
      </c>
      <c r="F444" s="252">
        <f>B444*11.6/100</f>
        <v>11.6</v>
      </c>
      <c r="G444" s="252">
        <f>B444*16.7/100</f>
        <v>16.7</v>
      </c>
      <c r="H444" s="252">
        <f>B444*4.3/100</f>
        <v>4.3</v>
      </c>
      <c r="I444" s="263">
        <f>B444*3.92/100</f>
        <v>3.92</v>
      </c>
      <c r="J444" s="263">
        <f>B444*0.16/100</f>
        <v>0.16</v>
      </c>
      <c r="K444" s="238">
        <f>B444*89.0936666666667/100</f>
        <v>89.093666666666707</v>
      </c>
      <c r="L444" s="242">
        <v>0</v>
      </c>
      <c r="M444" s="252" t="s">
        <v>454</v>
      </c>
      <c r="N444" s="238">
        <f>B444*21.629/100</f>
        <v>21.629000000000001</v>
      </c>
      <c r="O444" s="238">
        <f>B444*3.59533333333333/100</f>
        <v>3.5953333333333304</v>
      </c>
      <c r="P444" s="248">
        <f>B444*0.012/100</f>
        <v>1.2E-2</v>
      </c>
      <c r="Q444" s="238">
        <f>B444*42.394/100</f>
        <v>42.393999999999998</v>
      </c>
      <c r="R444" s="238">
        <f>B444*0.623333333333333/100</f>
        <v>0.62333333333333296</v>
      </c>
      <c r="S444" s="238">
        <f>B444*1157.66533333333/100</f>
        <v>1157.66533333333</v>
      </c>
      <c r="T444" s="238">
        <f>B444*23.7606666666667/100</f>
        <v>23.760666666666701</v>
      </c>
      <c r="U444" s="238">
        <f>B444*0.047/100</f>
        <v>4.7E-2</v>
      </c>
      <c r="V444" s="238">
        <f>B444*1.41066666666667/100</f>
        <v>1.4106666666666701</v>
      </c>
      <c r="W444" s="242" t="s">
        <v>455</v>
      </c>
      <c r="X444" s="238">
        <f>B444*0.203333333333333/100</f>
        <v>0.20333333333333301</v>
      </c>
      <c r="Y444" s="238">
        <f>B444*0.0566666666666667/100</f>
        <v>5.6666666666666698E-2</v>
      </c>
      <c r="Z444" s="242" t="s">
        <v>455</v>
      </c>
      <c r="AA444" s="238">
        <f>B444*1.43333333333333/100</f>
        <v>1.43333333333333</v>
      </c>
      <c r="AB444" s="252"/>
    </row>
    <row r="445" spans="1:28">
      <c r="A445" s="222" t="s">
        <v>3179</v>
      </c>
      <c r="B445" s="59">
        <v>100</v>
      </c>
      <c r="C445" s="247">
        <f>B445*127.849212665637/100</f>
        <v>127.84921266563701</v>
      </c>
      <c r="D445" s="247">
        <f>B445*14.3708333333333/100</f>
        <v>14.370833333333302</v>
      </c>
      <c r="E445" s="244">
        <f>B445*6.77133333333333/100</f>
        <v>6.7713333333333301</v>
      </c>
      <c r="F445" s="258">
        <f>B445*1.94666666666667/100</f>
        <v>1.9466666666666699</v>
      </c>
      <c r="G445" s="258">
        <f>B445*2.58333333333333/100</f>
        <v>2.5833333333333299</v>
      </c>
      <c r="H445" s="258">
        <f>B445*0.996666666666667/100</f>
        <v>0.99666666666666703</v>
      </c>
      <c r="I445" s="263">
        <f>B445*0.91/100</f>
        <v>0.91</v>
      </c>
      <c r="J445" s="263">
        <f>B445*0.0366666666666667/100</f>
        <v>3.6666666666666702E-2</v>
      </c>
      <c r="K445" s="258">
        <f>B445*39.5123333333333/100</f>
        <v>39.512333333333302</v>
      </c>
      <c r="L445" s="247">
        <f>B445*1.3975/100</f>
        <v>1.3975</v>
      </c>
      <c r="M445" s="258" t="s">
        <v>454</v>
      </c>
      <c r="N445" s="244">
        <f>B445*12.4823333333333/100</f>
        <v>12.482333333333299</v>
      </c>
      <c r="O445" s="244">
        <f>B445*17.0416666666667/100</f>
        <v>17.0416666666667</v>
      </c>
      <c r="P445" s="244">
        <f>B445*0.0353333333333333/100</f>
        <v>3.53333333333333E-2</v>
      </c>
      <c r="Q445" s="244">
        <f>B445*273.871666666667/100</f>
        <v>273.87166666666701</v>
      </c>
      <c r="R445" s="244">
        <f>B445*0.679/100</f>
        <v>0.67900000000000005</v>
      </c>
      <c r="S445" s="244">
        <f>B445*1020.77166666667/100</f>
        <v>1020.7716666666699</v>
      </c>
      <c r="T445" s="244">
        <f>B445*294.58/100</f>
        <v>294.58</v>
      </c>
      <c r="U445" s="244">
        <f>B445*0.035/100</f>
        <v>3.5000000000000003E-2</v>
      </c>
      <c r="V445" s="244">
        <f>B445*1.32466666666667/100</f>
        <v>1.32466666666667</v>
      </c>
      <c r="W445" s="258" t="s">
        <v>455</v>
      </c>
      <c r="X445" s="244">
        <f>B445*0.623333333333333/100</f>
        <v>0.62333333333333296</v>
      </c>
      <c r="Y445" s="244">
        <f>B445*0.0333333333333333/100</f>
        <v>3.3333333333333298E-2</v>
      </c>
      <c r="Z445" s="244" t="s">
        <v>455</v>
      </c>
      <c r="AA445" s="244">
        <f>B445*3.78/100</f>
        <v>3.78</v>
      </c>
      <c r="AB445" s="244"/>
    </row>
    <row r="446" spans="1:28">
      <c r="A446" s="222" t="s">
        <v>3180</v>
      </c>
      <c r="B446" s="59">
        <v>100</v>
      </c>
      <c r="C446" s="247">
        <f>B446*93.7432807208697/100</f>
        <v>93.743280720869691</v>
      </c>
      <c r="D446" s="247">
        <f>B446*14.2916666666667/100</f>
        <v>14.2916666666667</v>
      </c>
      <c r="E446" s="244">
        <f>B446*2.70666666666667/100</f>
        <v>2.7066666666666701</v>
      </c>
      <c r="F446" s="258">
        <f>B446*0.856666666666667/100</f>
        <v>0.85666666666666702</v>
      </c>
      <c r="G446" s="258">
        <f>B446*1.13/100</f>
        <v>1.1299999999999999</v>
      </c>
      <c r="H446" s="258">
        <f>B446*0.46/100</f>
        <v>0.46</v>
      </c>
      <c r="I446" s="263">
        <f>B446*0.423333333333333/100</f>
        <v>0.42333333333333301</v>
      </c>
      <c r="J446" s="263">
        <f>B446*0.0133333333333333/100</f>
        <v>1.3333333333333299E-2</v>
      </c>
      <c r="K446" s="258">
        <f>B446*35.7733333333333/100</f>
        <v>35.773333333333298</v>
      </c>
      <c r="L446" s="247">
        <f>B446*2.14566666666667/100</f>
        <v>2.1456666666666702</v>
      </c>
      <c r="M446" s="258" t="s">
        <v>454</v>
      </c>
      <c r="N446" s="244">
        <f>B446*23.2743333333333/100</f>
        <v>23.274333333333299</v>
      </c>
      <c r="O446" s="244">
        <f>B446*17.5133333333333/100</f>
        <v>17.5133333333333</v>
      </c>
      <c r="P446" s="244">
        <f>B446*0.0413333333333333/100</f>
        <v>4.1333333333333305E-2</v>
      </c>
      <c r="Q446" s="244">
        <f>B446*244.062333333333/100</f>
        <v>244.06233333333296</v>
      </c>
      <c r="R446" s="244">
        <f>B446*0.827666666666667/100</f>
        <v>0.82766666666666699</v>
      </c>
      <c r="S446" s="244">
        <f>B446*1039.185/100</f>
        <v>1039.1849999999999</v>
      </c>
      <c r="T446" s="244">
        <f>B446*307.301666666667/100</f>
        <v>307.30166666666702</v>
      </c>
      <c r="U446" s="244">
        <f>B446*0.0426666666666667/100</f>
        <v>4.26666666666667E-2</v>
      </c>
      <c r="V446" s="244">
        <f>B446*1.459/100</f>
        <v>1.4590000000000001</v>
      </c>
      <c r="W446" s="258" t="s">
        <v>455</v>
      </c>
      <c r="X446" s="244">
        <f>B446*0.503333333333333/100</f>
        <v>0.50333333333333297</v>
      </c>
      <c r="Y446" s="244">
        <f>B446*0.03/100</f>
        <v>0.03</v>
      </c>
      <c r="Z446" s="244" t="s">
        <v>455</v>
      </c>
      <c r="AA446" s="244">
        <f>B446*4.00333333333333/100</f>
        <v>4.0033333333333303</v>
      </c>
      <c r="AB446" s="244"/>
    </row>
    <row r="447" spans="1:28">
      <c r="A447" s="222" t="s">
        <v>3181</v>
      </c>
      <c r="B447" s="59">
        <v>100</v>
      </c>
      <c r="C447" s="247">
        <f>B447*136.228876141588/100</f>
        <v>136.22887614158799</v>
      </c>
      <c r="D447" s="247">
        <f>B447*14.59375/100</f>
        <v>14.59375</v>
      </c>
      <c r="E447" s="244">
        <f>B447*2.67633333333333/100</f>
        <v>2.6763333333333299</v>
      </c>
      <c r="F447" s="258">
        <f>B447*1.232/100</f>
        <v>1.232</v>
      </c>
      <c r="G447" s="258">
        <f>B447*0.947/100</f>
        <v>0.94699999999999984</v>
      </c>
      <c r="H447" s="258">
        <f>B447*0.274/100</f>
        <v>0.27400000000000002</v>
      </c>
      <c r="I447" s="263">
        <f>B447*0.250666666666667/100</f>
        <v>0.25066666666666698</v>
      </c>
      <c r="J447" s="263">
        <f>B447*0.0233333333333333/100</f>
        <v>2.33333333333333E-2</v>
      </c>
      <c r="K447" s="244">
        <f>B447*33.732/100</f>
        <v>33.731999999999999</v>
      </c>
      <c r="L447" s="247">
        <f>B447*12.86125/100</f>
        <v>12.86125</v>
      </c>
      <c r="M447" s="244">
        <f>B447*1.89666666666667/100</f>
        <v>1.8966666666666701</v>
      </c>
      <c r="N447" s="244">
        <f>B447*15.618/100</f>
        <v>15.618</v>
      </c>
      <c r="O447" s="244">
        <f>B447*36.08/100</f>
        <v>36.08</v>
      </c>
      <c r="P447" s="244">
        <f>B447*0.764666666666667/100</f>
        <v>0.76466666666666716</v>
      </c>
      <c r="Q447" s="244">
        <f>B447*174.37/100</f>
        <v>174.37</v>
      </c>
      <c r="R447" s="244">
        <f>B447*2.15266666666667/100</f>
        <v>2.1526666666666698</v>
      </c>
      <c r="S447" s="244">
        <f>B447*39.893/100</f>
        <v>39.893000000000001</v>
      </c>
      <c r="T447" s="244">
        <f>B447*287.778/100</f>
        <v>287.77800000000002</v>
      </c>
      <c r="U447" s="244">
        <f>B447*0.510666666666667/100</f>
        <v>0.51066666666666705</v>
      </c>
      <c r="V447" s="244">
        <f>B447*4.11633333333333/100</f>
        <v>4.1163333333333298</v>
      </c>
      <c r="W447" s="244" t="s">
        <v>455</v>
      </c>
      <c r="X447" s="244">
        <f>B447*0.0433333333333333/100</f>
        <v>4.3333333333333307E-2</v>
      </c>
      <c r="Y447" s="244">
        <f>B447*0.04/100</f>
        <v>0.04</v>
      </c>
      <c r="Z447" s="244" t="s">
        <v>455</v>
      </c>
      <c r="AA447" s="244">
        <f>B447*1.80666666666667/100</f>
        <v>1.80666666666667</v>
      </c>
      <c r="AB447" s="244" t="s">
        <v>455</v>
      </c>
    </row>
    <row r="448" spans="1:28">
      <c r="A448" s="221" t="s">
        <v>3182</v>
      </c>
      <c r="B448" s="59">
        <v>100</v>
      </c>
      <c r="C448" s="247">
        <f>B448*109.490669294755/100</f>
        <v>109.49066929475499</v>
      </c>
      <c r="D448" s="247">
        <f>B448*12.3541666666667/100</f>
        <v>12.3541666666667</v>
      </c>
      <c r="E448" s="241">
        <f>B448*1.66766666666667/100</f>
        <v>1.66766666666667</v>
      </c>
      <c r="F448" s="247">
        <f>B448*0.65/100</f>
        <v>0.65</v>
      </c>
      <c r="G448" s="247">
        <f>B448*0.696666666666667/100</f>
        <v>0.69666666666666699</v>
      </c>
      <c r="H448" s="247">
        <f>B448*0.28/100</f>
        <v>0.28000000000000003</v>
      </c>
      <c r="I448" s="263">
        <f>B448*0.23/100</f>
        <v>0.23</v>
      </c>
      <c r="J448" s="263">
        <f>B448*0.05/100</f>
        <v>0.05</v>
      </c>
      <c r="K448" s="241">
        <f>B448*26.9343333333333/100</f>
        <v>26.934333333333299</v>
      </c>
      <c r="L448" s="247">
        <f>B448*10.7741666666667/100</f>
        <v>10.7741666666667</v>
      </c>
      <c r="M448" s="241">
        <f>B448*1.64666666666667/100</f>
        <v>1.6466666666666701</v>
      </c>
      <c r="N448" s="241">
        <f>B448*12.088/100</f>
        <v>12.087999999999999</v>
      </c>
      <c r="O448" s="241">
        <f>B448*25.6943333333333/100</f>
        <v>25.694333333333301</v>
      </c>
      <c r="P448" s="241">
        <f>B448*0.39/100</f>
        <v>0.39</v>
      </c>
      <c r="Q448" s="241">
        <f>B448*125.79/100</f>
        <v>125.79</v>
      </c>
      <c r="R448" s="241">
        <f>B448*1.654/100</f>
        <v>1.6539999999999997</v>
      </c>
      <c r="S448" s="241">
        <f>B448*38.766/100</f>
        <v>38.765999999999998</v>
      </c>
      <c r="T448" s="241">
        <f>B448*241.739666666667/100</f>
        <v>241.73966666666701</v>
      </c>
      <c r="U448" s="241">
        <f>B448*0.132/100</f>
        <v>0.13200000000000001</v>
      </c>
      <c r="V448" s="241">
        <f>B448*2.75333333333333/100</f>
        <v>2.7533333333333299</v>
      </c>
      <c r="W448" s="244" t="s">
        <v>455</v>
      </c>
      <c r="X448" s="241">
        <f>B448*0.0866666666666667/100</f>
        <v>8.6666666666666697E-2</v>
      </c>
      <c r="Y448" s="241">
        <f>B448*0.03/100</f>
        <v>0.03</v>
      </c>
      <c r="Z448" s="241" t="s">
        <v>455</v>
      </c>
      <c r="AA448" s="241">
        <f>B448*1.20333333333333/100</f>
        <v>1.20333333333333</v>
      </c>
      <c r="AB448" s="241" t="s">
        <v>455</v>
      </c>
    </row>
    <row r="449" spans="1:28">
      <c r="A449" s="222" t="s">
        <v>3183</v>
      </c>
      <c r="B449" s="59">
        <v>100</v>
      </c>
      <c r="C449" s="247">
        <f>B449*253.83130886964/100</f>
        <v>253.83130886963997</v>
      </c>
      <c r="D449" s="247">
        <f>B449*14.8895833333333/100</f>
        <v>14.889583333333301</v>
      </c>
      <c r="E449" s="244">
        <f>B449*15.799/100</f>
        <v>15.798999999999999</v>
      </c>
      <c r="F449" s="258">
        <f>B449*4.57733333333333/100</f>
        <v>4.5773333333333301</v>
      </c>
      <c r="G449" s="258">
        <f>B449*5.025/100</f>
        <v>5.0250000000000004</v>
      </c>
      <c r="H449" s="258">
        <f>B449*4.99866666666667/100</f>
        <v>4.9986666666666704</v>
      </c>
      <c r="I449" s="263">
        <f>B449*4.576/100</f>
        <v>4.5759999999999996</v>
      </c>
      <c r="J449" s="263">
        <f>B449*0.407666666666667/100</f>
        <v>0.40766666666666701</v>
      </c>
      <c r="K449" s="244">
        <f>B449*37.7716666666667/100</f>
        <v>37.771666666666697</v>
      </c>
      <c r="L449" s="247">
        <f>B449*12.3374166666667/100</f>
        <v>12.3374166666667</v>
      </c>
      <c r="M449" s="258"/>
      <c r="N449" s="244">
        <f>B449*21.7256666666667/100</f>
        <v>21.725666666666701</v>
      </c>
      <c r="O449" s="244">
        <f>B449*38.7726666666667/100</f>
        <v>38.772666666666701</v>
      </c>
      <c r="P449" s="244">
        <f>B449*0.72/100</f>
        <v>0.72</v>
      </c>
      <c r="Q449" s="244">
        <f>B449*165.834/100</f>
        <v>165.834</v>
      </c>
      <c r="R449" s="244">
        <f>B449*1.95266666666667/100</f>
        <v>1.9526666666666701</v>
      </c>
      <c r="S449" s="244">
        <f>B449*835.825/100</f>
        <v>835.82500000000005</v>
      </c>
      <c r="T449" s="244">
        <f>B449*322.467333333333/100</f>
        <v>322.46733333333299</v>
      </c>
      <c r="U449" s="244">
        <f>B449*0.158/100</f>
        <v>0.158</v>
      </c>
      <c r="V449" s="244">
        <f>B449*2.782/100</f>
        <v>2.782</v>
      </c>
      <c r="W449" s="244" t="s">
        <v>455</v>
      </c>
      <c r="X449" s="244">
        <f>B449*0.123333333333333/100</f>
        <v>0.123333333333333</v>
      </c>
      <c r="Y449" s="244">
        <f>B449*0.103333333333333/100</f>
        <v>0.103333333333333</v>
      </c>
      <c r="Z449" s="244" t="s">
        <v>455</v>
      </c>
      <c r="AA449" s="244">
        <f>B449*1.50333333333333/100</f>
        <v>1.5033333333333301</v>
      </c>
      <c r="AB449" s="244" t="s">
        <v>455</v>
      </c>
    </row>
    <row r="450" spans="1:28">
      <c r="A450" s="222" t="s">
        <v>3184</v>
      </c>
      <c r="B450" s="59">
        <v>100</v>
      </c>
      <c r="C450" s="247">
        <f>B450*397.842506534934/100</f>
        <v>397.84250653493399</v>
      </c>
      <c r="D450" s="247">
        <f>B450*25.8104166666667/100</f>
        <v>25.810416666666701</v>
      </c>
      <c r="E450" s="244">
        <f>B450*30.6413333333333/100</f>
        <v>30.6413333333333</v>
      </c>
      <c r="F450" s="244">
        <f>B450*9.57333333333333/100</f>
        <v>9.5733333333333306</v>
      </c>
      <c r="G450" s="244">
        <f>B450*12.0766666666667/100</f>
        <v>12.0766666666667</v>
      </c>
      <c r="H450" s="244">
        <f>B450*4.66666666666667/100</f>
        <v>4.6666666666666696</v>
      </c>
      <c r="I450" s="263">
        <f>B450*4.25666666666667/100</f>
        <v>4.2566666666666704</v>
      </c>
      <c r="J450" s="263">
        <f>B450*0.19/100</f>
        <v>0.19</v>
      </c>
      <c r="K450" s="244">
        <f>B450*85.0873333333333/100</f>
        <v>85.087333333333305</v>
      </c>
      <c r="L450" s="247">
        <f>B450*2.90625000000001/100</f>
        <v>2.9062500000000102</v>
      </c>
      <c r="M450" s="258" t="s">
        <v>454</v>
      </c>
      <c r="N450" s="244">
        <f>B450*87.0183333333333/100</f>
        <v>87.018333333333302</v>
      </c>
      <c r="O450" s="244">
        <f>B450*29.915/100</f>
        <v>29.914999999999999</v>
      </c>
      <c r="P450" s="244">
        <f>B450*0.0286666666666667/100</f>
        <v>2.8666666666666701E-2</v>
      </c>
      <c r="Q450" s="244">
        <f>B450*354.268/100</f>
        <v>354.26799999999997</v>
      </c>
      <c r="R450" s="244">
        <f>B450*1.253/100</f>
        <v>1.2529999999999999</v>
      </c>
      <c r="S450" s="244">
        <f>B450*1574.169/100</f>
        <v>1574.1690000000003</v>
      </c>
      <c r="T450" s="244">
        <f>B450*547.999/100</f>
        <v>547.99900000000002</v>
      </c>
      <c r="U450" s="244">
        <f>B450*0.047/100</f>
        <v>4.7E-2</v>
      </c>
      <c r="V450" s="244">
        <f>B450*3.1545/100</f>
        <v>3.1545000000000001</v>
      </c>
      <c r="W450" s="244" t="s">
        <v>455</v>
      </c>
      <c r="X450" s="244">
        <f>B450*0.883333333333333/100</f>
        <v>0.88333333333333297</v>
      </c>
      <c r="Y450" s="244">
        <f>B450*0.233333333333333/100</f>
        <v>0.233333333333333</v>
      </c>
      <c r="Z450" s="244" t="s">
        <v>455</v>
      </c>
      <c r="AA450" s="244">
        <f>B450*12.4866666666667/100</f>
        <v>12.4866666666667</v>
      </c>
      <c r="AB450" s="258"/>
    </row>
    <row r="451" spans="1:28">
      <c r="A451" s="232" t="s">
        <v>789</v>
      </c>
      <c r="B451" s="59">
        <v>100</v>
      </c>
      <c r="C451" s="238">
        <f>B451*592.531175/100</f>
        <v>592.53117499999996</v>
      </c>
      <c r="D451" s="238">
        <f>B451*11.4791666666667/100</f>
        <v>11.4791666666667</v>
      </c>
      <c r="E451" s="238">
        <f>B451*60.2566666666667/100</f>
        <v>60.256666666666703</v>
      </c>
      <c r="F451" s="252">
        <f>B451*17.7/100</f>
        <v>17.7</v>
      </c>
      <c r="G451" s="252">
        <f>B451*20.1/100</f>
        <v>20.100000000000001</v>
      </c>
      <c r="H451" s="252">
        <f>B451*10.1/100</f>
        <v>10.1</v>
      </c>
      <c r="I451" s="263">
        <f>B451*9.47/100</f>
        <v>9.4700000000000006</v>
      </c>
      <c r="J451" s="263">
        <f>B451*0.68/100</f>
        <v>0.68</v>
      </c>
      <c r="K451" s="238">
        <f>B451*73.0836666666667/100</f>
        <v>73.083666666666701</v>
      </c>
      <c r="L451" s="242">
        <v>0</v>
      </c>
      <c r="M451" s="252" t="s">
        <v>454</v>
      </c>
      <c r="N451" s="238">
        <f>B451*2.386/100</f>
        <v>2.3860000000000001</v>
      </c>
      <c r="O451" s="238">
        <f>B451*3.568/100</f>
        <v>3.5680000000000001</v>
      </c>
      <c r="P451" s="242" t="s">
        <v>455</v>
      </c>
      <c r="Q451" s="238">
        <f>B451*35.3586666666667/100</f>
        <v>35.3586666666667</v>
      </c>
      <c r="R451" s="238">
        <f>B451*0.439333333333333/100</f>
        <v>0.43933333333333302</v>
      </c>
      <c r="S451" s="238">
        <f>B451*49.5866666666667/100</f>
        <v>49.586666666666694</v>
      </c>
      <c r="T451" s="238">
        <f>B451*57.57/100</f>
        <v>57.57</v>
      </c>
      <c r="U451" s="238">
        <f>B451*0.112333333333333/100</f>
        <v>0.11233333333333299</v>
      </c>
      <c r="V451" s="238">
        <f>B451*0.210666666666667/100</f>
        <v>0.21066666666666697</v>
      </c>
      <c r="W451" s="242" t="s">
        <v>455</v>
      </c>
      <c r="X451" s="242" t="s">
        <v>455</v>
      </c>
      <c r="Y451" s="242" t="s">
        <v>455</v>
      </c>
      <c r="Z451" s="242" t="s">
        <v>455</v>
      </c>
      <c r="AA451" s="238">
        <f>B451*5.1/100</f>
        <v>5.0999999999999996</v>
      </c>
      <c r="AB451" s="252"/>
    </row>
    <row r="452" spans="1:28">
      <c r="A452" s="232" t="s">
        <v>790</v>
      </c>
      <c r="B452" s="59">
        <v>100</v>
      </c>
      <c r="C452" s="238">
        <f>B452*696.564006666667/100</f>
        <v>696.56400666666696</v>
      </c>
      <c r="D452" s="238">
        <f>B452*27.2833333333333/100</f>
        <v>27.283333333333299</v>
      </c>
      <c r="E452" s="238">
        <f>B452*64.3086666666667/100</f>
        <v>64.308666666666696</v>
      </c>
      <c r="F452" s="252">
        <f>B452*20/100</f>
        <v>20</v>
      </c>
      <c r="G452" s="252">
        <f>B452*26.2/100</f>
        <v>26.2</v>
      </c>
      <c r="H452" s="252">
        <f>B452*14.6/100</f>
        <v>14.6</v>
      </c>
      <c r="I452" s="263">
        <f>B452*12.93/100</f>
        <v>12.93</v>
      </c>
      <c r="J452" s="263">
        <f>B452*0.92/100</f>
        <v>0.92</v>
      </c>
      <c r="K452" s="238">
        <f>B452*89.4636666666667/100</f>
        <v>89.463666666666711</v>
      </c>
      <c r="L452" s="242">
        <v>0</v>
      </c>
      <c r="M452" s="252" t="s">
        <v>454</v>
      </c>
      <c r="N452" s="238">
        <f>B452*9.44333333333333/100</f>
        <v>9.4433333333333298</v>
      </c>
      <c r="O452" s="238">
        <f>B452*9.46033333333333/100</f>
        <v>9.4603333333333293</v>
      </c>
      <c r="P452" s="248">
        <f>B452*0.012/100</f>
        <v>1.2E-2</v>
      </c>
      <c r="Q452" s="238">
        <f>B452*94.715/100</f>
        <v>94.715000000000003</v>
      </c>
      <c r="R452" s="238">
        <f>B452*0.865/100</f>
        <v>0.86499999999999999</v>
      </c>
      <c r="S452" s="238">
        <f>B452*124.850333333333/100</f>
        <v>124.850333333333</v>
      </c>
      <c r="T452" s="238">
        <f>B452*170.859/100</f>
        <v>170.85900000000001</v>
      </c>
      <c r="U452" s="238">
        <f>B452*0.098/100</f>
        <v>9.8000000000000004E-2</v>
      </c>
      <c r="V452" s="238">
        <f>B452*0.842666666666667/100</f>
        <v>0.8426666666666669</v>
      </c>
      <c r="W452" s="242" t="s">
        <v>455</v>
      </c>
      <c r="X452" s="242" t="s">
        <v>455</v>
      </c>
      <c r="Y452" s="242" t="s">
        <v>455</v>
      </c>
      <c r="Z452" s="242" t="s">
        <v>455</v>
      </c>
      <c r="AA452" s="238">
        <f>B452*5.03333333333333/100</f>
        <v>5.0333333333333297</v>
      </c>
      <c r="AB452" s="252"/>
    </row>
    <row r="453" spans="1:28" s="220" customFormat="1">
      <c r="A453" s="228" t="s">
        <v>38</v>
      </c>
      <c r="B453" s="237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  <c r="AA453" s="268"/>
      <c r="AB453" s="268"/>
    </row>
    <row r="454" spans="1:28">
      <c r="A454" s="232" t="s">
        <v>3185</v>
      </c>
      <c r="B454" s="59">
        <v>100</v>
      </c>
      <c r="C454" s="240">
        <f>B454*55.1648333333333/100</f>
        <v>55.164833333333299</v>
      </c>
      <c r="D454" s="239">
        <f>B454*2.13333333333333/100</f>
        <v>2.1333333333333302</v>
      </c>
      <c r="E454" s="240">
        <f>B454*1.90666666666667/100</f>
        <v>1.9066666666666701</v>
      </c>
      <c r="F454" s="252">
        <f>B454*1.1/100</f>
        <v>1.1000000000000001</v>
      </c>
      <c r="G454" s="252">
        <f>B454*0.6/100</f>
        <v>0.6</v>
      </c>
      <c r="H454" s="252" t="s">
        <v>455</v>
      </c>
      <c r="I454" s="263">
        <f>B454*0.03/100</f>
        <v>0.03</v>
      </c>
      <c r="J454" s="263">
        <f>B454*0.02/100</f>
        <v>0.02</v>
      </c>
      <c r="K454" s="240">
        <f>B454*5.36975/100</f>
        <v>5.3697499999999998</v>
      </c>
      <c r="L454" s="242">
        <f>B454*7.57000000000001/100</f>
        <v>7.5700000000000101</v>
      </c>
      <c r="M454" s="240">
        <f>B454*0.293333333333333/100</f>
        <v>0.293333333333333</v>
      </c>
      <c r="N454" s="240">
        <f>B454*88.6326666666667/100</f>
        <v>88.632666666666694</v>
      </c>
      <c r="O454" s="240">
        <f>B454*8.59333333333333/100</f>
        <v>8.5933333333333302</v>
      </c>
      <c r="P454" s="240" t="s">
        <v>455</v>
      </c>
      <c r="Q454" s="249">
        <f>B454*63.1046666666667/100</f>
        <v>63.104666666666702</v>
      </c>
      <c r="R454" s="240" t="s">
        <v>455</v>
      </c>
      <c r="S454" s="249">
        <f>B454*46.263/100</f>
        <v>46.263000000000005</v>
      </c>
      <c r="T454" s="249">
        <f>B454*62.2636666666667/100</f>
        <v>62.263666666666701</v>
      </c>
      <c r="U454" s="249">
        <f>B454*0.0196666666666667/100</f>
        <v>1.96666666666667E-2</v>
      </c>
      <c r="V454" s="249">
        <f>B454*0.243666666666667/100</f>
        <v>0.243666666666667</v>
      </c>
      <c r="W454" s="249" t="s">
        <v>455</v>
      </c>
      <c r="X454" s="249">
        <f>B454*0.0266666666666667/100</f>
        <v>2.66666666666667E-2</v>
      </c>
      <c r="Y454" s="249">
        <f>B454*0.136666666666667/100</f>
        <v>0.13666666666666699</v>
      </c>
      <c r="Z454" s="249" t="s">
        <v>455</v>
      </c>
      <c r="AA454" s="249">
        <f>B454*0.33/100</f>
        <v>0.33</v>
      </c>
      <c r="AB454" s="240">
        <f>B454*2.05333333333333/100</f>
        <v>2.0533333333333301</v>
      </c>
    </row>
    <row r="455" spans="1:28">
      <c r="A455" s="233" t="s">
        <v>3186</v>
      </c>
      <c r="B455" s="59">
        <v>100</v>
      </c>
      <c r="C455" s="247">
        <f>B455*221.483541275133/100</f>
        <v>221.48354127513301</v>
      </c>
      <c r="D455" s="247">
        <f>B455*1.50780669371287/100</f>
        <v>1.5078066937128698</v>
      </c>
      <c r="E455" s="244">
        <f>B455*22.4793333333333/100</f>
        <v>22.479333333333301</v>
      </c>
      <c r="F455" s="244">
        <f>B455*11.82/100</f>
        <v>11.82</v>
      </c>
      <c r="G455" s="244">
        <f>B455*5.1/100</f>
        <v>5.0999999999999996</v>
      </c>
      <c r="H455" s="244">
        <f>B455*0.45/100</f>
        <v>0.45</v>
      </c>
      <c r="I455" s="263">
        <f>B455*0.326666666666667/100</f>
        <v>0.32666666666666699</v>
      </c>
      <c r="J455" s="263">
        <f>B455*0.07/100</f>
        <v>7.0000000000000007E-2</v>
      </c>
      <c r="K455" s="258">
        <f>B455*66.48/100</f>
        <v>66.48</v>
      </c>
      <c r="L455" s="247">
        <f>B455*4.50952663962046/100</f>
        <v>4.5095266396204599</v>
      </c>
      <c r="M455" s="258" t="s">
        <v>454</v>
      </c>
      <c r="N455" s="244">
        <f>B455*82.7336666666667/100</f>
        <v>82.733666666666693</v>
      </c>
      <c r="O455" s="244">
        <f>B455*7.54066666666667/100</f>
        <v>7.5406666666666702</v>
      </c>
      <c r="P455" s="244">
        <f>B455*0.006/100</f>
        <v>6.0000000000000001E-3</v>
      </c>
      <c r="Q455" s="244">
        <f>B455*118.457333333333/100</f>
        <v>118.457333333333</v>
      </c>
      <c r="R455" s="244">
        <f>B455*0.301/100</f>
        <v>0.30099999999999999</v>
      </c>
      <c r="S455" s="244">
        <f>B455*51.724/100</f>
        <v>51.723999999999997</v>
      </c>
      <c r="T455" s="244">
        <f>B455*118.650333333333/100</f>
        <v>118.65033333333299</v>
      </c>
      <c r="U455" s="244">
        <f>B455*0.019/100</f>
        <v>1.9E-2</v>
      </c>
      <c r="V455" s="244">
        <f>B455*0.292333333333333/100</f>
        <v>0.292333333333333</v>
      </c>
      <c r="W455" s="244">
        <f>B455*127.666666666667/100</f>
        <v>127.66666666666701</v>
      </c>
      <c r="X455" s="244" t="s">
        <v>455</v>
      </c>
      <c r="Y455" s="244">
        <f>B455*0.1/100</f>
        <v>0.1</v>
      </c>
      <c r="Z455" s="244" t="s">
        <v>455</v>
      </c>
      <c r="AA455" s="244">
        <v>0</v>
      </c>
      <c r="AB455" s="244" t="s">
        <v>455</v>
      </c>
    </row>
    <row r="456" spans="1:28">
      <c r="A456" s="232" t="s">
        <v>810</v>
      </c>
      <c r="B456" s="59">
        <v>100</v>
      </c>
      <c r="C456" s="240">
        <f>B456*51.4895333333333/100</f>
        <v>51.489533333333299</v>
      </c>
      <c r="D456" s="239">
        <f>B456*4.06333333333333/100</f>
        <v>4.0633333333333299</v>
      </c>
      <c r="E456" s="240">
        <f>B456*3.04/100</f>
        <v>3.04</v>
      </c>
      <c r="F456" s="252">
        <f>B456*1.8/100</f>
        <v>1.8</v>
      </c>
      <c r="G456" s="252">
        <f>B456*0.9/100</f>
        <v>0.9</v>
      </c>
      <c r="H456" s="252">
        <f>B456*0.1/100</f>
        <v>0.1</v>
      </c>
      <c r="I456" s="263">
        <f>B456*0.06/100</f>
        <v>0.06</v>
      </c>
      <c r="J456" s="263">
        <f>B456*0.03/100</f>
        <v>0.03</v>
      </c>
      <c r="K456" s="240">
        <f>B456*13.7775/100</f>
        <v>13.7775</v>
      </c>
      <c r="L456" s="242">
        <f>B456*1.91666666666666/100</f>
        <v>1.9166666666666601</v>
      </c>
      <c r="M456" s="240" t="s">
        <v>454</v>
      </c>
      <c r="N456" s="240">
        <f>B456*143.103333333333/100</f>
        <v>143.10333333333301</v>
      </c>
      <c r="O456" s="240">
        <f>B456*11.2533333333333/100</f>
        <v>11.2533333333333</v>
      </c>
      <c r="P456" s="240" t="s">
        <v>455</v>
      </c>
      <c r="Q456" s="240">
        <f>B456*119.035333333333/100</f>
        <v>119.035333333333</v>
      </c>
      <c r="R456" s="249" t="s">
        <v>455</v>
      </c>
      <c r="S456" s="240">
        <f>B456*51.6163333333333/100</f>
        <v>51.616333333333301</v>
      </c>
      <c r="T456" s="249">
        <f>B456*71.2786666666667/100</f>
        <v>71.278666666666695</v>
      </c>
      <c r="U456" s="249">
        <f>B456*0.0183333333333333/100</f>
        <v>1.8333333333333299E-2</v>
      </c>
      <c r="V456" s="249">
        <f>B456*0.443/100</f>
        <v>0.44299999999999995</v>
      </c>
      <c r="W456" s="249">
        <f>B456*22.5/100</f>
        <v>22.5</v>
      </c>
      <c r="X456" s="249">
        <f>B456*0.0366666666666667/100</f>
        <v>3.6666666666666702E-2</v>
      </c>
      <c r="Y456" s="249">
        <f>B456*0.223333333333333/100</f>
        <v>0.223333333333333</v>
      </c>
      <c r="Z456" s="249" t="s">
        <v>455</v>
      </c>
      <c r="AA456" s="249" t="s">
        <v>455</v>
      </c>
      <c r="AB456" s="239">
        <f>B456*0.926666666666667/100</f>
        <v>0.92666666666666697</v>
      </c>
    </row>
    <row r="457" spans="1:28">
      <c r="A457" s="232" t="s">
        <v>792</v>
      </c>
      <c r="B457" s="59">
        <v>100</v>
      </c>
      <c r="C457" s="238">
        <f>B457*41.4927112815583/100</f>
        <v>41.492711281558307</v>
      </c>
      <c r="D457" s="238">
        <f>B457*3.83438006877899/100</f>
        <v>3.83438006877899</v>
      </c>
      <c r="E457" s="248">
        <f>B457*0.315666666666667/100</f>
        <v>0.31566666666666698</v>
      </c>
      <c r="F457" s="252">
        <f>B457*0.2/100</f>
        <v>0.2</v>
      </c>
      <c r="G457" s="252">
        <f>B457*0.1/100</f>
        <v>0.1</v>
      </c>
      <c r="H457" s="252" t="s">
        <v>3254</v>
      </c>
      <c r="I457" s="263" t="s">
        <v>455</v>
      </c>
      <c r="J457" s="263"/>
      <c r="K457" s="238">
        <f>B457*3.33166666666667/100</f>
        <v>3.3316666666666701</v>
      </c>
      <c r="L457" s="242">
        <f>B457*5.77395333333333/100</f>
        <v>5.7739533333333304</v>
      </c>
      <c r="M457" s="240" t="s">
        <v>454</v>
      </c>
      <c r="N457" s="238">
        <f>B457*156.961333333333/100</f>
        <v>156.96133333333299</v>
      </c>
      <c r="O457" s="238">
        <f>B457*11.9833333333333/100</f>
        <v>11.983333333333301</v>
      </c>
      <c r="P457" s="242" t="s">
        <v>455</v>
      </c>
      <c r="Q457" s="238">
        <f>B457*109.683333333333/100</f>
        <v>109.683333333333</v>
      </c>
      <c r="R457" s="242" t="s">
        <v>455</v>
      </c>
      <c r="S457" s="238">
        <f>B457*59.6446666666667/100</f>
        <v>59.644666666666701</v>
      </c>
      <c r="T457" s="242">
        <f>B457*182.129666666667/100</f>
        <v>182.12966666666699</v>
      </c>
      <c r="U457" s="245" t="s">
        <v>455</v>
      </c>
      <c r="V457" s="238">
        <f>B457*0.513666666666667/100</f>
        <v>0.51366666666666705</v>
      </c>
      <c r="W457" s="242" t="s">
        <v>23</v>
      </c>
      <c r="X457" s="245" t="s">
        <v>455</v>
      </c>
      <c r="Y457" s="238">
        <f>B457*0.216666666666667/100</f>
        <v>0.21666666666666701</v>
      </c>
      <c r="Z457" s="245" t="s">
        <v>455</v>
      </c>
      <c r="AA457" s="245" t="s">
        <v>455</v>
      </c>
      <c r="AB457" s="248">
        <f>B457*0.346666666666667/100</f>
        <v>0.34666666666666701</v>
      </c>
    </row>
    <row r="458" spans="1:28">
      <c r="A458" s="232" t="s">
        <v>793</v>
      </c>
      <c r="B458" s="59">
        <v>100</v>
      </c>
      <c r="C458" s="240" t="s">
        <v>23</v>
      </c>
      <c r="D458" s="239" t="s">
        <v>23</v>
      </c>
      <c r="E458" s="240" t="s">
        <v>23</v>
      </c>
      <c r="F458" s="252"/>
      <c r="G458" s="252"/>
      <c r="H458" s="252"/>
      <c r="I458" s="263"/>
      <c r="J458" s="263"/>
      <c r="K458" s="240">
        <f>B458*5.63/100</f>
        <v>5.63</v>
      </c>
      <c r="L458" s="242" t="s">
        <v>23</v>
      </c>
      <c r="M458" s="239" t="s">
        <v>23</v>
      </c>
      <c r="N458" s="239" t="s">
        <v>23</v>
      </c>
      <c r="O458" s="239" t="s">
        <v>23</v>
      </c>
      <c r="P458" s="239" t="s">
        <v>23</v>
      </c>
      <c r="Q458" s="239" t="s">
        <v>23</v>
      </c>
      <c r="R458" s="239" t="s">
        <v>23</v>
      </c>
      <c r="S458" s="239" t="s">
        <v>23</v>
      </c>
      <c r="T458" s="239" t="s">
        <v>23</v>
      </c>
      <c r="U458" s="239" t="s">
        <v>23</v>
      </c>
      <c r="V458" s="239" t="s">
        <v>23</v>
      </c>
      <c r="W458" s="239" t="s">
        <v>23</v>
      </c>
      <c r="X458" s="239" t="s">
        <v>23</v>
      </c>
      <c r="Y458" s="239" t="s">
        <v>23</v>
      </c>
      <c r="Z458" s="239" t="s">
        <v>23</v>
      </c>
      <c r="AA458" s="239" t="s">
        <v>23</v>
      </c>
      <c r="AB458" s="239"/>
    </row>
    <row r="459" spans="1:28">
      <c r="A459" s="232" t="s">
        <v>794</v>
      </c>
      <c r="B459" s="59">
        <v>100</v>
      </c>
      <c r="C459" s="240">
        <f>B459*69.5656/100</f>
        <v>69.565600000000003</v>
      </c>
      <c r="D459" s="239">
        <f>B459*2.71/100</f>
        <v>2.71</v>
      </c>
      <c r="E459" s="240">
        <f>B459*2.33/100</f>
        <v>2.33</v>
      </c>
      <c r="F459" s="252">
        <f>B459*1.4/100</f>
        <v>1.4</v>
      </c>
      <c r="G459" s="252">
        <f>B459*0.7/100</f>
        <v>0.7</v>
      </c>
      <c r="H459" s="252">
        <f>B459*0.1/100</f>
        <v>0.1</v>
      </c>
      <c r="I459" s="263">
        <f>B459*0.05/100</f>
        <v>0.05</v>
      </c>
      <c r="J459" s="263">
        <f>B459*0.02/100</f>
        <v>0.02</v>
      </c>
      <c r="K459" s="240">
        <f>B459*7.49425/100</f>
        <v>7.4942499999999992</v>
      </c>
      <c r="L459" s="242">
        <f>B459*9.69333333333334/100</f>
        <v>9.6933333333333405</v>
      </c>
      <c r="M459" s="240">
        <f>B459*0.216666666666667/100</f>
        <v>0.21666666666666701</v>
      </c>
      <c r="N459" s="240">
        <f>B459*101.031666666667/100</f>
        <v>101.03166666666699</v>
      </c>
      <c r="O459" s="240">
        <f>B459*8.04/100</f>
        <v>8.0399999999999991</v>
      </c>
      <c r="P459" s="240" t="s">
        <v>455</v>
      </c>
      <c r="Q459" s="249">
        <f>B459*73.4813333333333/100</f>
        <v>73.481333333333296</v>
      </c>
      <c r="R459" s="240" t="s">
        <v>455</v>
      </c>
      <c r="S459" s="249">
        <f>B459*37.663/100</f>
        <v>37.662999999999997</v>
      </c>
      <c r="T459" s="249">
        <f>B459*52.3536666666667/100</f>
        <v>52.353666666666697</v>
      </c>
      <c r="U459" s="249">
        <f>B459*0.0176666666666667/100</f>
        <v>1.7666666666666699E-2</v>
      </c>
      <c r="V459" s="249">
        <f>B459*0.304333333333333/100</f>
        <v>0.30433333333333301</v>
      </c>
      <c r="W459" s="249">
        <f>B459*27.0266666666667/100</f>
        <v>27.026666666666696</v>
      </c>
      <c r="X459" s="249">
        <f>B459*0.0333333333333333/100</f>
        <v>3.3333333333333298E-2</v>
      </c>
      <c r="Y459" s="249">
        <f>B459*0.12/100</f>
        <v>0.12</v>
      </c>
      <c r="Z459" s="249">
        <f>B459*0.02/100</f>
        <v>0.02</v>
      </c>
      <c r="AA459" s="249" t="s">
        <v>455</v>
      </c>
      <c r="AB459" s="240" t="s">
        <v>455</v>
      </c>
    </row>
    <row r="460" spans="1:28">
      <c r="A460" s="232" t="s">
        <v>795</v>
      </c>
      <c r="B460" s="59">
        <v>100</v>
      </c>
      <c r="C460" s="239">
        <f>B460*67.8494/100</f>
        <v>67.849400000000003</v>
      </c>
      <c r="D460" s="239">
        <f>B460*2.53/100</f>
        <v>2.5299999999999998</v>
      </c>
      <c r="E460" s="246">
        <f>B460*2.33666666666667/100</f>
        <v>2.33666666666667</v>
      </c>
      <c r="F460" s="252">
        <f>B460*1.4/100</f>
        <v>1.4</v>
      </c>
      <c r="G460" s="252">
        <f>B460*0.6/100</f>
        <v>0.6</v>
      </c>
      <c r="H460" s="252">
        <f>B460*0.1/100</f>
        <v>0.1</v>
      </c>
      <c r="I460" s="263">
        <f>B460*0.04/100</f>
        <v>0.04</v>
      </c>
      <c r="J460" s="263">
        <f>B460*0.02/100</f>
        <v>0.02</v>
      </c>
      <c r="K460" s="239">
        <f>B460*8.4/100</f>
        <v>8.4</v>
      </c>
      <c r="L460" s="242">
        <f>B460*9.43333333333334/100</f>
        <v>9.4333333333333407</v>
      </c>
      <c r="M460" s="239">
        <f>B460*0.716666666666667/100</f>
        <v>0.71666666666666701</v>
      </c>
      <c r="N460" s="239">
        <f>B460*95.05/100</f>
        <v>95.05</v>
      </c>
      <c r="O460" s="239">
        <f>B460*7.95666666666667/100</f>
        <v>7.9566666666666697</v>
      </c>
      <c r="P460" s="240" t="s">
        <v>455</v>
      </c>
      <c r="Q460" s="250">
        <f>B460*65.5516666666667/100</f>
        <v>65.551666666666705</v>
      </c>
      <c r="R460" s="239">
        <f>B460*0.053/100</f>
        <v>5.2999999999999999E-2</v>
      </c>
      <c r="S460" s="250">
        <f>B460*36.9636666666667/100</f>
        <v>36.963666666666697</v>
      </c>
      <c r="T460" s="250">
        <f>B460*52.0903333333333/100</f>
        <v>52.090333333333298</v>
      </c>
      <c r="U460" s="250">
        <f>B460*0.018/100</f>
        <v>1.7999999999999999E-2</v>
      </c>
      <c r="V460" s="250">
        <f>B460*0.300333333333333/100</f>
        <v>0.30033333333333301</v>
      </c>
      <c r="W460" s="250">
        <f>B460*21.2766666666667/100</f>
        <v>21.276666666666696</v>
      </c>
      <c r="X460" s="250">
        <f>B460*0.02/100</f>
        <v>0.02</v>
      </c>
      <c r="Y460" s="250">
        <f>B460*0.103333333333333/100</f>
        <v>0.103333333333333</v>
      </c>
      <c r="Z460" s="250" t="s">
        <v>455</v>
      </c>
      <c r="AA460" s="250">
        <f>B460*0.380333333333333/100</f>
        <v>0.38033333333333302</v>
      </c>
      <c r="AB460" s="240" t="s">
        <v>455</v>
      </c>
    </row>
    <row r="461" spans="1:28">
      <c r="A461" s="232" t="s">
        <v>797</v>
      </c>
      <c r="B461" s="59">
        <v>100</v>
      </c>
      <c r="C461" s="240">
        <f>B461*312.5726/100</f>
        <v>312.57260000000002</v>
      </c>
      <c r="D461" s="239">
        <f>B461*7.67/100</f>
        <v>7.67</v>
      </c>
      <c r="E461" s="240">
        <f>B461*6.74/100</f>
        <v>6.74</v>
      </c>
      <c r="F461" s="252">
        <f>B461*4.2/100</f>
        <v>4.2</v>
      </c>
      <c r="G461" s="252">
        <f>B461*1.7/100</f>
        <v>1.7</v>
      </c>
      <c r="H461" s="252">
        <f>B461*0.2/100</f>
        <v>0.2</v>
      </c>
      <c r="I461" s="263">
        <f>B461*0.1/100</f>
        <v>0.1</v>
      </c>
      <c r="J461" s="263">
        <f>B461*0.04/100</f>
        <v>0.04</v>
      </c>
      <c r="K461" s="240">
        <f>B461*27.6356666666667/100</f>
        <v>27.635666666666701</v>
      </c>
      <c r="L461" s="242">
        <f>B461*56.9966666666667/100</f>
        <v>56.996666666666698</v>
      </c>
      <c r="M461" s="240" t="s">
        <v>454</v>
      </c>
      <c r="N461" s="240">
        <f>B461*246.266666666667/100</f>
        <v>246.26666666666699</v>
      </c>
      <c r="O461" s="240">
        <f>B461*21.9766666666667/100</f>
        <v>21.976666666666699</v>
      </c>
      <c r="P461" s="240" t="s">
        <v>455</v>
      </c>
      <c r="Q461" s="240">
        <f>B461*187.183333333333/100</f>
        <v>187.183333333333</v>
      </c>
      <c r="R461" s="240">
        <f>B461*0.126666666666667/100</f>
        <v>0.12666666666666701</v>
      </c>
      <c r="S461" s="240">
        <f>B461*93.8033333333333/100</f>
        <v>93.803333333333299</v>
      </c>
      <c r="T461" s="240">
        <f>B461*328.93/100</f>
        <v>328.93</v>
      </c>
      <c r="U461" s="240">
        <f>B461*0.0333333333333333/100</f>
        <v>3.3333333333333298E-2</v>
      </c>
      <c r="V461" s="240">
        <f>B461*0.86/100</f>
        <v>0.86</v>
      </c>
      <c r="W461" s="240">
        <f>B461*52.9533333333333/100</f>
        <v>52.953333333333291</v>
      </c>
      <c r="X461" s="240">
        <f>B461*0.06/100</f>
        <v>0.06</v>
      </c>
      <c r="Y461" s="240">
        <f>B461*0.33/100</f>
        <v>0.33</v>
      </c>
      <c r="Z461" s="240">
        <f>B461*0.573333333333333/100</f>
        <v>0.57333333333333303</v>
      </c>
      <c r="AA461" s="249" t="s">
        <v>455</v>
      </c>
      <c r="AB461" s="240">
        <f>B461*2.14333333333333/100</f>
        <v>2.14333333333333</v>
      </c>
    </row>
    <row r="462" spans="1:28">
      <c r="A462" s="232" t="s">
        <v>798</v>
      </c>
      <c r="B462" s="59">
        <v>100</v>
      </c>
      <c r="C462" s="238">
        <f>B462*66.4157418865433/100</f>
        <v>66.415741886543302</v>
      </c>
      <c r="D462" s="238">
        <f>B462*3.0709067217509/100</f>
        <v>3.0709067217508998</v>
      </c>
      <c r="E462" s="248">
        <f>B462*3.75433333333333/100</f>
        <v>3.7543333333333297</v>
      </c>
      <c r="F462" s="252">
        <f>B462*2.4/100</f>
        <v>2.4</v>
      </c>
      <c r="G462" s="252">
        <f>B462*0.8/100</f>
        <v>0.8</v>
      </c>
      <c r="H462" s="252">
        <f>B462*0.1/100</f>
        <v>0.1</v>
      </c>
      <c r="I462" s="263">
        <f>B462*0.12/100</f>
        <v>0.12</v>
      </c>
      <c r="J462" s="263">
        <f>B462*0.01/100</f>
        <v>0.01</v>
      </c>
      <c r="K462" s="238">
        <f>B462*13.9916666666667/100</f>
        <v>13.991666666666699</v>
      </c>
      <c r="L462" s="242">
        <f>B462*5.24609333333333/100</f>
        <v>5.2460933333333299</v>
      </c>
      <c r="M462" s="240" t="s">
        <v>454</v>
      </c>
      <c r="N462" s="238">
        <f>B462*112.247333333333/100</f>
        <v>112.247333333333</v>
      </c>
      <c r="O462" s="238">
        <f>B462*9.79866666666667/100</f>
        <v>9.7986666666666693</v>
      </c>
      <c r="P462" s="245" t="s">
        <v>455</v>
      </c>
      <c r="Q462" s="238">
        <f>B462*113.203333333333/100</f>
        <v>113.20333333333301</v>
      </c>
      <c r="R462" s="238">
        <f>B462*0.103/100</f>
        <v>0.10299999999999999</v>
      </c>
      <c r="S462" s="238">
        <f>B462*73.947/100</f>
        <v>73.947000000000003</v>
      </c>
      <c r="T462" s="238">
        <f>B462*139.994/100</f>
        <v>139.994</v>
      </c>
      <c r="U462" s="238">
        <f>B462*0.0406666666666667/100</f>
        <v>4.0666666666666698E-2</v>
      </c>
      <c r="V462" s="238">
        <f>B462*0.354666666666667/100</f>
        <v>0.35466666666666702</v>
      </c>
      <c r="W462" s="238">
        <f>B462*34.74/100</f>
        <v>34.74</v>
      </c>
      <c r="X462" s="245" t="s">
        <v>455</v>
      </c>
      <c r="Y462" s="238">
        <f>B462*0.144/100</f>
        <v>0.14399999999999999</v>
      </c>
      <c r="Z462" s="245" t="s">
        <v>455</v>
      </c>
      <c r="AA462" s="242" t="s">
        <v>455</v>
      </c>
      <c r="AB462" s="242" t="s">
        <v>455</v>
      </c>
    </row>
    <row r="463" spans="1:28">
      <c r="A463" s="232" t="s">
        <v>799</v>
      </c>
      <c r="B463" s="59">
        <v>100</v>
      </c>
      <c r="C463" s="238">
        <f>B463*82.8209962719936/100</f>
        <v>82.820996271993593</v>
      </c>
      <c r="D463" s="238">
        <f>B463*2.09902003765106/100</f>
        <v>2.0990200376510599</v>
      </c>
      <c r="E463" s="248">
        <f>B463*2.169/100</f>
        <v>2.169</v>
      </c>
      <c r="F463" s="252">
        <f>B463*1.1/100</f>
        <v>1.1000000000000001</v>
      </c>
      <c r="G463" s="252">
        <f>B463*0.6/100</f>
        <v>0.6</v>
      </c>
      <c r="H463" s="252">
        <f>B463*0.1/100</f>
        <v>0.1</v>
      </c>
      <c r="I463" s="263">
        <f>B463*0.11/100</f>
        <v>0.11</v>
      </c>
      <c r="J463" s="263">
        <f>B463*0.01/100</f>
        <v>0.01</v>
      </c>
      <c r="K463" s="238">
        <f>B463*6.08133333333333/100</f>
        <v>6.0813333333333297</v>
      </c>
      <c r="L463" s="242">
        <f>B463*14.1583133333333/100</f>
        <v>14.158313333333302</v>
      </c>
      <c r="M463" s="238">
        <f>B463*0.645666666666667/100</f>
        <v>0.64566666666666706</v>
      </c>
      <c r="N463" s="243">
        <f>B463*69.791/100</f>
        <v>69.790999999999997</v>
      </c>
      <c r="O463" s="238">
        <f>B463*12.8806666666667/100</f>
        <v>12.8806666666667</v>
      </c>
      <c r="P463" s="238">
        <f>B463*0.05/100</f>
        <v>0.05</v>
      </c>
      <c r="Q463" s="238">
        <f>B463*70.874/100</f>
        <v>70.873999999999995</v>
      </c>
      <c r="R463" s="238">
        <f>B463*0.457666666666667/100</f>
        <v>0.457666666666667</v>
      </c>
      <c r="S463" s="238">
        <f>B463*71.7416666666667/100</f>
        <v>71.741666666666703</v>
      </c>
      <c r="T463" s="238">
        <f>B463*155.239666666667/100</f>
        <v>155.23966666666701</v>
      </c>
      <c r="U463" s="238">
        <f>B463*0.0446666666666667/100</f>
        <v>4.4666666666666702E-2</v>
      </c>
      <c r="V463" s="238">
        <f>B463*0.311/100</f>
        <v>0.311</v>
      </c>
      <c r="W463" s="238">
        <f>B463*38.9433333333333/100</f>
        <v>38.9433333333333</v>
      </c>
      <c r="X463" s="242">
        <f>B463*0.0736666666666667/100</f>
        <v>7.36666666666667E-2</v>
      </c>
      <c r="Y463" s="242">
        <f>B463*0.290333333333333/100</f>
        <v>0.290333333333333</v>
      </c>
      <c r="Z463" s="238">
        <f>B463*0.14/100</f>
        <v>0.14000000000000001</v>
      </c>
      <c r="AA463" s="243">
        <f>B463*1.23/100</f>
        <v>1.23</v>
      </c>
      <c r="AB463" s="242">
        <f>B463*3.26166666666667/100</f>
        <v>3.2616666666666698</v>
      </c>
    </row>
    <row r="464" spans="1:28">
      <c r="A464" s="232" t="s">
        <v>800</v>
      </c>
      <c r="B464" s="59">
        <v>100</v>
      </c>
      <c r="C464" s="240">
        <f>B464*361.608/100</f>
        <v>361.608</v>
      </c>
      <c r="D464" s="239">
        <f>B464*34.69/100</f>
        <v>34.69</v>
      </c>
      <c r="E464" s="240">
        <f>B464*0.933333333333333/100</f>
        <v>0.93333333333333302</v>
      </c>
      <c r="F464" s="252">
        <f>B464*0.6/100</f>
        <v>0.6</v>
      </c>
      <c r="G464" s="252">
        <f>B464*0.2/100</f>
        <v>0.2</v>
      </c>
      <c r="H464" s="252" t="s">
        <v>455</v>
      </c>
      <c r="I464" s="263">
        <f>B464*0.03/100</f>
        <v>0.03</v>
      </c>
      <c r="J464" s="263" t="s">
        <v>455</v>
      </c>
      <c r="K464" s="240">
        <f>B464*24.7853333333333/100</f>
        <v>24.785333333333298</v>
      </c>
      <c r="L464" s="242">
        <f>B464*53.0433333333333/100</f>
        <v>53.043333333333301</v>
      </c>
      <c r="M464" s="250" t="s">
        <v>454</v>
      </c>
      <c r="N464" s="240">
        <f>B464*1363.17/100</f>
        <v>1363.17</v>
      </c>
      <c r="O464" s="240">
        <f>B464*108.706666666667/100</f>
        <v>108.706666666667</v>
      </c>
      <c r="P464" s="240" t="s">
        <v>455</v>
      </c>
      <c r="Q464" s="240">
        <f>B464*1673.43333333333/100</f>
        <v>1673.43333333333</v>
      </c>
      <c r="R464" s="240">
        <f>B464*0.926666666666667/100</f>
        <v>0.92666666666666697</v>
      </c>
      <c r="S464" s="240">
        <f>B464*431.673333333333/100</f>
        <v>431.67333333333301</v>
      </c>
      <c r="T464" s="240">
        <f>B464*1555.66333333333/100</f>
        <v>1555.66333333333</v>
      </c>
      <c r="U464" s="240">
        <f>B464*0.156666666666667/100</f>
        <v>0.15666666666666701</v>
      </c>
      <c r="V464" s="240">
        <f>B464*3.84333333333333/100</f>
        <v>3.8433333333333302</v>
      </c>
      <c r="W464" s="240">
        <f>B464*299.456666666667/100</f>
        <v>299.45666666666699</v>
      </c>
      <c r="X464" s="240">
        <f>B464*0.316666666666667/100</f>
        <v>0.31666666666666698</v>
      </c>
      <c r="Y464" s="240">
        <f>B464*1.20333333333333/100</f>
        <v>1.20333333333333</v>
      </c>
      <c r="Z464" s="240" t="s">
        <v>455</v>
      </c>
      <c r="AA464" s="240">
        <f>B464*0.806666666666667/100</f>
        <v>0.80666666666666698</v>
      </c>
      <c r="AB464" s="252"/>
    </row>
    <row r="465" spans="1:28">
      <c r="A465" s="232" t="s">
        <v>809</v>
      </c>
      <c r="B465" s="59">
        <v>100</v>
      </c>
      <c r="C465" s="239" t="s">
        <v>23</v>
      </c>
      <c r="D465" s="239" t="s">
        <v>23</v>
      </c>
      <c r="E465" s="239" t="s">
        <v>23</v>
      </c>
      <c r="F465" s="252"/>
      <c r="G465" s="252"/>
      <c r="H465" s="252"/>
      <c r="I465" s="263"/>
      <c r="J465" s="263"/>
      <c r="K465" s="239">
        <f>B465*3.75433333333333/100</f>
        <v>3.7543333333333297</v>
      </c>
      <c r="L465" s="242" t="s">
        <v>23</v>
      </c>
      <c r="M465" s="250" t="s">
        <v>454</v>
      </c>
      <c r="N465" s="239">
        <f>B465*133.806666666667/100</f>
        <v>133.80666666666701</v>
      </c>
      <c r="O465" s="239">
        <f>B465*10.23/100</f>
        <v>10.23</v>
      </c>
      <c r="P465" s="239" t="s">
        <v>455</v>
      </c>
      <c r="Q465" s="239">
        <f>B465*85.37/100</f>
        <v>85.37</v>
      </c>
      <c r="R465" s="239" t="s">
        <v>455</v>
      </c>
      <c r="S465" s="239">
        <f>B465*51.14/100</f>
        <v>51.14</v>
      </c>
      <c r="T465" s="239">
        <f>B465*140.026666666667/100</f>
        <v>140.02666666666701</v>
      </c>
      <c r="U465" s="239">
        <f>B465*0.02/100</f>
        <v>0.02</v>
      </c>
      <c r="V465" s="239">
        <f>B465*0.38/100</f>
        <v>0.38</v>
      </c>
      <c r="W465" s="239" t="s">
        <v>455</v>
      </c>
      <c r="X465" s="239">
        <f>B465*0.04/100</f>
        <v>0.04</v>
      </c>
      <c r="Y465" s="239">
        <f>B465*0.263333333333333/100</f>
        <v>0.26333333333333298</v>
      </c>
      <c r="Z465" s="239" t="s">
        <v>455</v>
      </c>
      <c r="AA465" s="239">
        <f>B465*1.49/100</f>
        <v>1.49</v>
      </c>
      <c r="AB465" s="239" t="s">
        <v>455</v>
      </c>
    </row>
    <row r="466" spans="1:28">
      <c r="A466" s="232" t="s">
        <v>801</v>
      </c>
      <c r="B466" s="59">
        <v>100</v>
      </c>
      <c r="C466" s="239" t="s">
        <v>23</v>
      </c>
      <c r="D466" s="239" t="s">
        <v>23</v>
      </c>
      <c r="E466" s="239" t="s">
        <v>23</v>
      </c>
      <c r="F466" s="252">
        <f>B466*1.4/100</f>
        <v>1.4</v>
      </c>
      <c r="G466" s="252">
        <f>B466*0.7/100</f>
        <v>0.7</v>
      </c>
      <c r="H466" s="252">
        <f>B466*0.1/100</f>
        <v>0.1</v>
      </c>
      <c r="I466" s="263">
        <f>B466*0.04/100</f>
        <v>0.04</v>
      </c>
      <c r="J466" s="263">
        <f>B466*0.02/100</f>
        <v>0.02</v>
      </c>
      <c r="K466" s="239">
        <f>B466*10.49/100</f>
        <v>10.49</v>
      </c>
      <c r="L466" s="242" t="s">
        <v>23</v>
      </c>
      <c r="M466" s="250" t="s">
        <v>454</v>
      </c>
      <c r="N466" s="240">
        <f>B466*122.58/100</f>
        <v>122.58</v>
      </c>
      <c r="O466" s="240">
        <f>B466*9.63666666666667/100</f>
        <v>9.6366666666666703</v>
      </c>
      <c r="P466" s="240" t="s">
        <v>455</v>
      </c>
      <c r="Q466" s="240">
        <f>B466*81.9766666666667/100</f>
        <v>81.976666666666702</v>
      </c>
      <c r="R466" s="239" t="s">
        <v>455</v>
      </c>
      <c r="S466" s="240">
        <f>B466*63.76/100</f>
        <v>63.76</v>
      </c>
      <c r="T466" s="240">
        <f>B466*133.19/100</f>
        <v>133.19</v>
      </c>
      <c r="U466" s="240">
        <f>B466*0.02/100</f>
        <v>0.02</v>
      </c>
      <c r="V466" s="240">
        <f>B466*0.38/100</f>
        <v>0.38</v>
      </c>
      <c r="W466" s="240">
        <f>B466*20.9033333333333/100</f>
        <v>20.903333333333297</v>
      </c>
      <c r="X466" s="240">
        <f>B466*0.04/100</f>
        <v>0.04</v>
      </c>
      <c r="Y466" s="240">
        <f>B466*0.24/100</f>
        <v>0.24</v>
      </c>
      <c r="Z466" s="240" t="s">
        <v>455</v>
      </c>
      <c r="AA466" s="240">
        <f>B466*1.52/100</f>
        <v>1.52</v>
      </c>
      <c r="AB466" s="239" t="s">
        <v>455</v>
      </c>
    </row>
    <row r="467" spans="1:28">
      <c r="A467" s="232" t="s">
        <v>802</v>
      </c>
      <c r="B467" s="59">
        <v>100</v>
      </c>
      <c r="C467" s="249">
        <f>B467*496.6503/100</f>
        <v>496.65030000000002</v>
      </c>
      <c r="D467" s="239">
        <f>B467*25.42/100</f>
        <v>25.42</v>
      </c>
      <c r="E467" s="249">
        <f>B467*26.9033333333333/100</f>
        <v>26.903333333333297</v>
      </c>
      <c r="F467" s="267">
        <f>B467*16.3/100</f>
        <v>16.3</v>
      </c>
      <c r="G467" s="267">
        <f>B467*7.1/100</f>
        <v>7.1</v>
      </c>
      <c r="H467" s="267">
        <f>B467*0.5/100</f>
        <v>0.5</v>
      </c>
      <c r="I467" s="263">
        <f>B467*0.41/100</f>
        <v>0.41</v>
      </c>
      <c r="J467" s="263">
        <f>B467*0.1/100</f>
        <v>0.1</v>
      </c>
      <c r="K467" s="240">
        <f>B467*85.2553333333333/100</f>
        <v>85.255333333333297</v>
      </c>
      <c r="L467" s="242">
        <f>B467*39.18/100</f>
        <v>39.18</v>
      </c>
      <c r="M467" s="250" t="s">
        <v>454</v>
      </c>
      <c r="N467" s="249">
        <f>B467*890.273333333333/100</f>
        <v>890.27333333333297</v>
      </c>
      <c r="O467" s="249">
        <f>B467*77.4266666666667/100</f>
        <v>77.426666666666705</v>
      </c>
      <c r="P467" s="249" t="s">
        <v>455</v>
      </c>
      <c r="Q467" s="249">
        <f>B467*1242.28333333333/100</f>
        <v>1242.2833333333299</v>
      </c>
      <c r="R467" s="249">
        <f>B467*0.523333333333333/100</f>
        <v>0.52333333333333298</v>
      </c>
      <c r="S467" s="249">
        <f>B467*323.203333333333/100</f>
        <v>323.20333333333298</v>
      </c>
      <c r="T467" s="249">
        <f>B467*1131.66333333333/100</f>
        <v>1131.66333333333</v>
      </c>
      <c r="U467" s="249">
        <f>B467*0.11/100</f>
        <v>0.11</v>
      </c>
      <c r="V467" s="249">
        <f>B467*2.72666666666667/100</f>
        <v>2.7266666666666701</v>
      </c>
      <c r="W467" s="249">
        <f>B467*361.056666666667/100</f>
        <v>361.05666666666701</v>
      </c>
      <c r="X467" s="249">
        <f>B467*0.243333333333333/100</f>
        <v>0.24333333333333301</v>
      </c>
      <c r="Y467" s="249">
        <f>B467*1.02666666666667/100</f>
        <v>1.0266666666666699</v>
      </c>
      <c r="Z467" s="240" t="s">
        <v>455</v>
      </c>
      <c r="AA467" s="240" t="s">
        <v>455</v>
      </c>
      <c r="AB467" s="239" t="s">
        <v>23</v>
      </c>
    </row>
    <row r="468" spans="1:28">
      <c r="A468" s="232" t="s">
        <v>796</v>
      </c>
      <c r="B468" s="59">
        <v>100</v>
      </c>
      <c r="C468" s="238">
        <f>B468*69.621474/100</f>
        <v>69.621474000000006</v>
      </c>
      <c r="D468" s="238">
        <f>B468*1.89486/100</f>
        <v>1.89486</v>
      </c>
      <c r="E468" s="248">
        <f>B468*0.099/100</f>
        <v>9.9000000000000005E-2</v>
      </c>
      <c r="F468" s="267"/>
      <c r="G468" s="267"/>
      <c r="H468" s="267"/>
      <c r="I468" s="263"/>
      <c r="J468" s="263"/>
      <c r="K468" s="242">
        <f>B468*1.85166/100</f>
        <v>1.8516599999999999</v>
      </c>
      <c r="L468" s="242">
        <f>B468*15.6744733333333/100</f>
        <v>15.6744733333333</v>
      </c>
      <c r="M468" s="240" t="s">
        <v>454</v>
      </c>
      <c r="N468" s="238">
        <f>B468*71.528/100</f>
        <v>71.528000000000006</v>
      </c>
      <c r="O468" s="238">
        <f>B468*6.23166666666667/100</f>
        <v>6.23166666666667</v>
      </c>
      <c r="P468" s="248">
        <f>B468*0.0183333333333333/100</f>
        <v>1.8333333333333299E-2</v>
      </c>
      <c r="Q468" s="238">
        <f>B468*62.8103333333333/100</f>
        <v>62.810333333333304</v>
      </c>
      <c r="R468" s="242" t="s">
        <v>455</v>
      </c>
      <c r="S468" s="238">
        <f>B468*33.4306666666667/100</f>
        <v>33.430666666666703</v>
      </c>
      <c r="T468" s="238">
        <f>B468*94.4833333333333/100</f>
        <v>94.483333333333306</v>
      </c>
      <c r="U468" s="238">
        <f>B468*0.013/100</f>
        <v>1.3000000000000001E-2</v>
      </c>
      <c r="V468" s="238">
        <f>B468*0.261333333333333/100</f>
        <v>0.26133333333333297</v>
      </c>
      <c r="W468" s="242" t="s">
        <v>455</v>
      </c>
      <c r="X468" s="238">
        <f>B468*0.075/100</f>
        <v>7.4999999999999997E-2</v>
      </c>
      <c r="Y468" s="238">
        <f>B468*0.106666666666667/100</f>
        <v>0.10666666666666699</v>
      </c>
      <c r="Z468" s="242" t="s">
        <v>455</v>
      </c>
      <c r="AA468" s="242" t="s">
        <v>455</v>
      </c>
      <c r="AB468" s="248">
        <f>B468*0.49/100</f>
        <v>0.49</v>
      </c>
    </row>
    <row r="469" spans="1:28">
      <c r="A469" s="232" t="s">
        <v>3187</v>
      </c>
      <c r="B469" s="59">
        <v>100</v>
      </c>
      <c r="C469" s="238">
        <f>B469*264.273128/100</f>
        <v>264.27312799999999</v>
      </c>
      <c r="D469" s="238">
        <f>B469*17.41102/100</f>
        <v>17.411020000000001</v>
      </c>
      <c r="E469" s="248">
        <f>B469*20.1806666666667/100</f>
        <v>20.180666666666699</v>
      </c>
      <c r="F469" s="252">
        <f>B469*11.4/100</f>
        <v>11.4</v>
      </c>
      <c r="G469" s="252">
        <f>B469*5.8/100</f>
        <v>5.8</v>
      </c>
      <c r="H469" s="252">
        <f>B469*0.4/100</f>
        <v>0.4</v>
      </c>
      <c r="I469" s="263">
        <f>B469*0.3/100</f>
        <v>0.3</v>
      </c>
      <c r="J469" s="263">
        <f>B469*0.06/100</f>
        <v>0.06</v>
      </c>
      <c r="K469" s="238">
        <f>B469*61.9963333333333/100</f>
        <v>61.996333333333297</v>
      </c>
      <c r="L469" s="242">
        <f>B469*3.24031333333333/100</f>
        <v>3.2403133333333303</v>
      </c>
      <c r="M469" s="250" t="s">
        <v>454</v>
      </c>
      <c r="N469" s="238">
        <f>B469*579.253333333333/100</f>
        <v>579.25333333333299</v>
      </c>
      <c r="O469" s="238">
        <f>B469*6.88366666666667/100</f>
        <v>6.8836666666666702</v>
      </c>
      <c r="P469" s="248">
        <f>B469*0.0156666666666667/100</f>
        <v>1.56666666666667E-2</v>
      </c>
      <c r="Q469" s="238">
        <f>B469*123.309666666667/100</f>
        <v>123.309666666667</v>
      </c>
      <c r="R469" s="238">
        <f>B469*0.931/100</f>
        <v>0.93100000000000005</v>
      </c>
      <c r="S469" s="238">
        <f>B469*31.2263333333333/100</f>
        <v>31.226333333333301</v>
      </c>
      <c r="T469" s="238">
        <f>B469*104.846666666667/100</f>
        <v>104.84666666666701</v>
      </c>
      <c r="U469" s="242" t="s">
        <v>455</v>
      </c>
      <c r="V469" s="238">
        <f>B469*0.292333333333333/100</f>
        <v>0.292333333333333</v>
      </c>
      <c r="W469" s="238">
        <f>B469*160.506666666667/100</f>
        <v>160.506666666667</v>
      </c>
      <c r="X469" s="242" t="s">
        <v>455</v>
      </c>
      <c r="Y469" s="238">
        <f>B469*0.251333333333333/100</f>
        <v>0.25133333333333302</v>
      </c>
      <c r="Z469" s="242" t="s">
        <v>455</v>
      </c>
      <c r="AA469" s="242" t="s">
        <v>455</v>
      </c>
      <c r="AB469" s="242" t="s">
        <v>455</v>
      </c>
    </row>
    <row r="470" spans="1:28">
      <c r="A470" s="233" t="s">
        <v>3188</v>
      </c>
      <c r="B470" s="59">
        <v>100</v>
      </c>
      <c r="C470" s="247">
        <f>B470*320.72181773326/100</f>
        <v>320.72181773326002</v>
      </c>
      <c r="D470" s="247">
        <f>B470*21.2113737138112/100</f>
        <v>21.211373713811199</v>
      </c>
      <c r="E470" s="244">
        <f>B470*24.61/100</f>
        <v>24.61</v>
      </c>
      <c r="F470" s="258">
        <f>B470*13.2266666666667/100</f>
        <v>13.226666666666699</v>
      </c>
      <c r="G470" s="258">
        <f>B470*5.58666666666667/100</f>
        <v>5.5866666666666696</v>
      </c>
      <c r="H470" s="258">
        <f>B470*0.336666666666667/100</f>
        <v>0.336666666666667</v>
      </c>
      <c r="I470" s="263">
        <f>B470*0.236666666666667/100</f>
        <v>0.236666666666667</v>
      </c>
      <c r="J470" s="263">
        <f>B470*0.1/100</f>
        <v>0.1</v>
      </c>
      <c r="K470" s="258">
        <f>B470*76.2986666666667/100</f>
        <v>76.298666666666705</v>
      </c>
      <c r="L470" s="247">
        <f>B470*3.57295961952209/100</f>
        <v>3.5729596195220896</v>
      </c>
      <c r="M470" s="258" t="s">
        <v>454</v>
      </c>
      <c r="N470" s="244">
        <f>B470*695.917333333333/100</f>
        <v>695.91733333333298</v>
      </c>
      <c r="O470" s="244">
        <f>B470*27.0726666666667/100</f>
        <v>27.072666666666702</v>
      </c>
      <c r="P470" s="244">
        <f>B470*0.0226666666666667/100</f>
        <v>2.2666666666666703E-2</v>
      </c>
      <c r="Q470" s="244">
        <f>B470*402.532333333333/100</f>
        <v>402.53233333333299</v>
      </c>
      <c r="R470" s="244">
        <f>B470*0.219/100</f>
        <v>0.21899999999999997</v>
      </c>
      <c r="S470" s="244">
        <f>B470*501.165666666667/100</f>
        <v>501.16566666666699</v>
      </c>
      <c r="T470" s="244">
        <f>B470*119.977333333333/100</f>
        <v>119.97733333333299</v>
      </c>
      <c r="U470" s="244">
        <f>B470*0.0686666666666667/100</f>
        <v>6.8666666666666695E-2</v>
      </c>
      <c r="V470" s="244">
        <f>B470*2.682/100</f>
        <v>2.6819999999999999</v>
      </c>
      <c r="W470" s="258">
        <f>B470*111.333333333333/100</f>
        <v>111.33333333333299</v>
      </c>
      <c r="X470" s="244">
        <f>B470*0.03/100</f>
        <v>0.03</v>
      </c>
      <c r="Y470" s="244">
        <f>B470*0.323333333333333/100</f>
        <v>0.32333333333333303</v>
      </c>
      <c r="Z470" s="244" t="s">
        <v>455</v>
      </c>
      <c r="AA470" s="244" t="s">
        <v>455</v>
      </c>
      <c r="AB470" s="244"/>
    </row>
    <row r="471" spans="1:28">
      <c r="A471" s="222" t="s">
        <v>3189</v>
      </c>
      <c r="B471" s="59">
        <v>100</v>
      </c>
      <c r="C471" s="247">
        <f>B471*329.870718420887/100</f>
        <v>329.87071842088699</v>
      </c>
      <c r="D471" s="247">
        <f>B471*22.6490004062652/100</f>
        <v>22.649000406265198</v>
      </c>
      <c r="E471" s="244">
        <f>B471*25.183/100</f>
        <v>25.183000000000003</v>
      </c>
      <c r="F471" s="244">
        <f>B471*14.2333333333333/100</f>
        <v>14.233333333333301</v>
      </c>
      <c r="G471" s="244">
        <f>B471*5.95/100</f>
        <v>5.95</v>
      </c>
      <c r="H471" s="244">
        <f>B471*0.496666666666667/100</f>
        <v>0.49666666666666698</v>
      </c>
      <c r="I471" s="263">
        <f>B471*0.306666666666667/100</f>
        <v>0.30666666666666698</v>
      </c>
      <c r="J471" s="263">
        <f>B471*0.077/100</f>
        <v>7.6999999999999999E-2</v>
      </c>
      <c r="K471" s="244">
        <f>B471*79.579/100</f>
        <v>79.578999999999994</v>
      </c>
      <c r="L471" s="247">
        <f>B471*3.04933292706807/100</f>
        <v>3.04933292706807</v>
      </c>
      <c r="M471" s="258" t="s">
        <v>454</v>
      </c>
      <c r="N471" s="244">
        <f>B471*875.039333333333/100</f>
        <v>875.03933333333305</v>
      </c>
      <c r="O471" s="244">
        <f>B471*23.5736666666667/100</f>
        <v>23.5736666666667</v>
      </c>
      <c r="P471" s="244">
        <f>B471*0.0283333333333333/100</f>
        <v>2.8333333333333301E-2</v>
      </c>
      <c r="Q471" s="244">
        <f>B471*469.998333333333/100</f>
        <v>469.99833333333299</v>
      </c>
      <c r="R471" s="244">
        <f>B471*0.306/100</f>
        <v>0.30599999999999999</v>
      </c>
      <c r="S471" s="244">
        <f>B471*581.357/100</f>
        <v>581.35699999999997</v>
      </c>
      <c r="T471" s="244">
        <f>B471*61.8943333333333/100</f>
        <v>61.8943333333333</v>
      </c>
      <c r="U471" s="244">
        <f>B471*0.0826666666666667/100</f>
        <v>8.2666666666666694E-2</v>
      </c>
      <c r="V471" s="244">
        <f>B471*3.522/100</f>
        <v>3.5219999999999998</v>
      </c>
      <c r="W471" s="244">
        <f>B471*109/100</f>
        <v>109</v>
      </c>
      <c r="X471" s="244" t="s">
        <v>455</v>
      </c>
      <c r="Y471" s="244">
        <f>B471*0.2/100</f>
        <v>0.2</v>
      </c>
      <c r="Z471" s="244" t="s">
        <v>455</v>
      </c>
      <c r="AA471" s="244" t="s">
        <v>455</v>
      </c>
      <c r="AB471" s="258"/>
    </row>
    <row r="472" spans="1:28">
      <c r="A472" s="232" t="s">
        <v>804</v>
      </c>
      <c r="B472" s="59">
        <v>100</v>
      </c>
      <c r="C472" s="238">
        <f>B472*452.963755333333/100</f>
        <v>452.96375533333298</v>
      </c>
      <c r="D472" s="238">
        <f>B472*35.5536133333333/100</f>
        <v>35.553613333333303</v>
      </c>
      <c r="E472" s="248">
        <f>B472*33.5293333333333/100</f>
        <v>33.529333333333298</v>
      </c>
      <c r="F472" s="252">
        <f>B472*19.7/100</f>
        <v>19.7</v>
      </c>
      <c r="G472" s="252">
        <f>B472*8.7/100</f>
        <v>8.6999999999999993</v>
      </c>
      <c r="H472" s="252">
        <f>B472*0.4/100</f>
        <v>0.4</v>
      </c>
      <c r="I472" s="263">
        <f>B472*0.32/100</f>
        <v>0.32</v>
      </c>
      <c r="J472" s="263">
        <f>B472*0.11/100</f>
        <v>0.11</v>
      </c>
      <c r="K472" s="238">
        <f>B472*105.844/100</f>
        <v>105.84399999999999</v>
      </c>
      <c r="L472" s="242">
        <f>B472*1.66072/100</f>
        <v>1.66072</v>
      </c>
      <c r="M472" s="250" t="s">
        <v>454</v>
      </c>
      <c r="N472" s="238">
        <f>B472*991.967666666667/100</f>
        <v>991.96766666666701</v>
      </c>
      <c r="O472" s="238">
        <f>B472*33.3673333333333/100</f>
        <v>33.367333333333299</v>
      </c>
      <c r="P472" s="248">
        <f>B472*0.0483333333333333/100</f>
        <v>4.8333333333333298E-2</v>
      </c>
      <c r="Q472" s="238">
        <f>B472*744.623333333333/100</f>
        <v>744.62333333333299</v>
      </c>
      <c r="R472" s="238">
        <f>B472*0.532333333333333/100</f>
        <v>0.53233333333333299</v>
      </c>
      <c r="S472" s="238">
        <f>B472*1844.081/100</f>
        <v>1844.0809999999997</v>
      </c>
      <c r="T472" s="238">
        <f>B472*96.237/100</f>
        <v>96.236999999999995</v>
      </c>
      <c r="U472" s="238">
        <f>B472*0.168666666666667/100</f>
        <v>0.16866666666666699</v>
      </c>
      <c r="V472" s="238">
        <f>B472*4.35866666666667/100</f>
        <v>4.3586666666666698</v>
      </c>
      <c r="W472" s="238">
        <f>B472*66.1533333333333/100</f>
        <v>66.153333333333293</v>
      </c>
      <c r="X472" s="242" t="s">
        <v>455</v>
      </c>
      <c r="Y472" s="238">
        <f>B472*0.441666666666667/100</f>
        <v>0.44166666666666698</v>
      </c>
      <c r="Z472" s="238">
        <f>B472*0.233333333333333/100</f>
        <v>0.233333333333333</v>
      </c>
      <c r="AA472" s="242" t="s">
        <v>455</v>
      </c>
      <c r="AB472" s="242" t="s">
        <v>455</v>
      </c>
    </row>
    <row r="473" spans="1:28">
      <c r="A473" s="232" t="s">
        <v>805</v>
      </c>
      <c r="B473" s="59">
        <v>100</v>
      </c>
      <c r="C473" s="238">
        <f>B473*303.079803333333/100</f>
        <v>303.07980333333302</v>
      </c>
      <c r="D473" s="238">
        <f>B473*9.35733333333333/100</f>
        <v>9.3573333333333295</v>
      </c>
      <c r="E473" s="248">
        <f>B473*27.4353333333333/100</f>
        <v>27.4353333333333</v>
      </c>
      <c r="F473" s="252">
        <f>B473*15.9/100</f>
        <v>15.9</v>
      </c>
      <c r="G473" s="252">
        <f>B473*7.3/100</f>
        <v>7.3</v>
      </c>
      <c r="H473" s="252">
        <f>B473*0.4/100</f>
        <v>0.4</v>
      </c>
      <c r="I473" s="263">
        <f>B473*0.33/100</f>
        <v>0.33</v>
      </c>
      <c r="J473" s="263">
        <f>B473*0.08/100</f>
        <v>0.08</v>
      </c>
      <c r="K473" s="238">
        <f>B473*82.1566666666667/100</f>
        <v>82.156666666666695</v>
      </c>
      <c r="L473" s="242">
        <f>B473*5.67633333333333/100</f>
        <v>5.6763333333333295</v>
      </c>
      <c r="M473" s="250" t="s">
        <v>454</v>
      </c>
      <c r="N473" s="238">
        <f>B473*323.299333333333/100</f>
        <v>323.29933333333298</v>
      </c>
      <c r="O473" s="238">
        <f>B473*16.0016666666667/100</f>
        <v>16.001666666666701</v>
      </c>
      <c r="P473" s="248">
        <f>B473*0.013/100</f>
        <v>1.3000000000000001E-2</v>
      </c>
      <c r="Q473" s="238">
        <f>B473*577.943333333333/100</f>
        <v>577.94333333333304</v>
      </c>
      <c r="R473" s="238">
        <f>B473*0.265333333333333/100</f>
        <v>0.26533333333333298</v>
      </c>
      <c r="S473" s="238">
        <f>B473*780.426/100</f>
        <v>780.42600000000004</v>
      </c>
      <c r="T473" s="238">
        <f>B473*193.721/100</f>
        <v>193.72099999999998</v>
      </c>
      <c r="U473" s="238">
        <f>B473*0.0453333333333333/100</f>
        <v>4.5333333333333309E-2</v>
      </c>
      <c r="V473" s="238">
        <f>B473*1.30466666666667/100</f>
        <v>1.3046666666666702</v>
      </c>
      <c r="W473" s="238">
        <f>B473*57.3133333333333/100</f>
        <v>57.313333333333297</v>
      </c>
      <c r="X473" s="242" t="s">
        <v>455</v>
      </c>
      <c r="Y473" s="238">
        <f>B473*0.2/100</f>
        <v>0.2</v>
      </c>
      <c r="Z473" s="242" t="s">
        <v>455</v>
      </c>
      <c r="AA473" s="242" t="s">
        <v>455</v>
      </c>
      <c r="AB473" s="242" t="s">
        <v>455</v>
      </c>
    </row>
    <row r="474" spans="1:28">
      <c r="A474" s="232" t="s">
        <v>807</v>
      </c>
      <c r="B474" s="59">
        <v>100</v>
      </c>
      <c r="C474" s="238">
        <f>B474*121.105954/100</f>
        <v>121.105954</v>
      </c>
      <c r="D474" s="238">
        <f>B474*5.78666/100</f>
        <v>5.7866600000000004</v>
      </c>
      <c r="E474" s="248">
        <f>B474*2.83833333333333/100</f>
        <v>2.8383333333333298</v>
      </c>
      <c r="F474" s="252">
        <f>B474*1.6/100</f>
        <v>1.6</v>
      </c>
      <c r="G474" s="252">
        <f>B474*0.8/100</f>
        <v>0.8</v>
      </c>
      <c r="H474" s="252" t="s">
        <v>455</v>
      </c>
      <c r="I474" s="263">
        <f>B474*0.04/100</f>
        <v>0.04</v>
      </c>
      <c r="J474" s="263">
        <f>B474*0.01/100</f>
        <v>0.01</v>
      </c>
      <c r="K474" s="238">
        <f>B474*12.0693333333333/100</f>
        <v>12.069333333333299</v>
      </c>
      <c r="L474" s="242">
        <f>B474*18.4620066666667/100</f>
        <v>18.462006666666699</v>
      </c>
      <c r="M474" s="250" t="s">
        <v>454</v>
      </c>
      <c r="N474" s="238">
        <f>B474*730.932666666667/100</f>
        <v>730.93266666666705</v>
      </c>
      <c r="O474" s="238">
        <f>B474*26.5086666666667/100</f>
        <v>26.508666666666699</v>
      </c>
      <c r="P474" s="248">
        <f>B474*0.0233333333333333/100</f>
        <v>2.33333333333333E-2</v>
      </c>
      <c r="Q474" s="238">
        <f>B474*448.458666666667/100</f>
        <v>448.458666666667</v>
      </c>
      <c r="R474" s="238">
        <f>B474*0.141/100</f>
        <v>0.14099999999999999</v>
      </c>
      <c r="S474" s="238">
        <f>B474*412.469/100</f>
        <v>412.46899999999999</v>
      </c>
      <c r="T474" s="238">
        <f>B474*121.461666666667/100</f>
        <v>121.461666666667</v>
      </c>
      <c r="U474" s="238">
        <f>B474*0.0146666666666667/100</f>
        <v>1.4666666666666699E-2</v>
      </c>
      <c r="V474" s="238">
        <f>B474*2.66333333333333/100</f>
        <v>2.6633333333333296</v>
      </c>
      <c r="W474" s="238">
        <f>B474*272.656666666667/100</f>
        <v>272.65666666666698</v>
      </c>
      <c r="X474" s="238">
        <f>B474*0.223333333333333/100</f>
        <v>0.223333333333333</v>
      </c>
      <c r="Y474" s="238">
        <f>B474*0.266666666666667/100</f>
        <v>0.266666666666667</v>
      </c>
      <c r="Z474" s="238">
        <f>B474*0.21/100</f>
        <v>0.21</v>
      </c>
      <c r="AA474" s="238">
        <f>B474*2.68333333333333/100</f>
        <v>2.6833333333333305</v>
      </c>
      <c r="AB474" s="242" t="s">
        <v>455</v>
      </c>
    </row>
    <row r="475" spans="1:28">
      <c r="A475" s="222" t="s">
        <v>3190</v>
      </c>
      <c r="B475" s="59">
        <v>100</v>
      </c>
      <c r="C475" s="247">
        <f>B475*359.880462405055/100</f>
        <v>359.88046240505503</v>
      </c>
      <c r="D475" s="247">
        <f>B475*22.6617604064941/100</f>
        <v>22.6617604064941</v>
      </c>
      <c r="E475" s="244">
        <f>B475*29.1063333333333/100</f>
        <v>29.1063333333333</v>
      </c>
      <c r="F475" s="244">
        <f>B475*16.2866666666667/100</f>
        <v>16.286666666666701</v>
      </c>
      <c r="G475" s="244">
        <f>B475*6.77666666666667/100</f>
        <v>6.7766666666666699</v>
      </c>
      <c r="H475" s="244">
        <f>B475*0.53/100</f>
        <v>0.53</v>
      </c>
      <c r="I475" s="263">
        <f>B475*0.423333333333333/100</f>
        <v>0.42333333333333301</v>
      </c>
      <c r="J475" s="263">
        <f>B475*0.106666666666667/100</f>
        <v>0.10666666666666699</v>
      </c>
      <c r="K475" s="244">
        <f>B475*90.9023333333333/100</f>
        <v>90.902333333333303</v>
      </c>
      <c r="L475" s="247">
        <f>B475*1.87857292683919/100</f>
        <v>1.8785729268391897</v>
      </c>
      <c r="M475" s="258" t="s">
        <v>454</v>
      </c>
      <c r="N475" s="244">
        <f>B475*939.993333333333/100</f>
        <v>939.993333333333</v>
      </c>
      <c r="O475" s="244">
        <f>B475*28.2736666666667/100</f>
        <v>28.273666666666699</v>
      </c>
      <c r="P475" s="244">
        <f>B475*0.0323333333333333/100</f>
        <v>3.2333333333333297E-2</v>
      </c>
      <c r="Q475" s="244">
        <f>B475*460.838666666667/100</f>
        <v>460.838666666667</v>
      </c>
      <c r="R475" s="244">
        <f>B475*0.28/100</f>
        <v>0.28000000000000003</v>
      </c>
      <c r="S475" s="244">
        <f>B475*579.774/100</f>
        <v>579.774</v>
      </c>
      <c r="T475" s="244">
        <f>B475*73.4716666666667/100</f>
        <v>73.471666666666707</v>
      </c>
      <c r="U475" s="244">
        <f>B475*0.0986666666666667/100</f>
        <v>9.8666666666666694E-2</v>
      </c>
      <c r="V475" s="244">
        <f>B475*3.46166666666667/100</f>
        <v>3.4616666666666704</v>
      </c>
      <c r="W475" s="244">
        <f>B475*122.666666666667/100</f>
        <v>122.66666666666701</v>
      </c>
      <c r="X475" s="244" t="s">
        <v>455</v>
      </c>
      <c r="Y475" s="244">
        <f>B475*0.22/100</f>
        <v>0.22</v>
      </c>
      <c r="Z475" s="244" t="s">
        <v>455</v>
      </c>
      <c r="AA475" s="244" t="s">
        <v>455</v>
      </c>
      <c r="AB475" s="258"/>
    </row>
    <row r="476" spans="1:28">
      <c r="A476" s="232" t="s">
        <v>806</v>
      </c>
      <c r="B476" s="59">
        <v>100</v>
      </c>
      <c r="C476" s="238">
        <f>B476*256.578148666667/100</f>
        <v>256.578148666667</v>
      </c>
      <c r="D476" s="238">
        <f>B476*9.62954666666667/100</f>
        <v>9.6295466666666698</v>
      </c>
      <c r="E476" s="248">
        <f>B476*23.441/100</f>
        <v>23.440999999999999</v>
      </c>
      <c r="F476" s="252">
        <f>B476*13.7/100</f>
        <v>13.7</v>
      </c>
      <c r="G476" s="252">
        <f>B476*6.4/100</f>
        <v>6.4</v>
      </c>
      <c r="H476" s="252">
        <f>B476*0.3/100</f>
        <v>0.3</v>
      </c>
      <c r="I476" s="263">
        <f>B476*0.24/100</f>
        <v>0.24</v>
      </c>
      <c r="J476" s="263">
        <f>B476*0.07/100</f>
        <v>7.0000000000000007E-2</v>
      </c>
      <c r="K476" s="238">
        <f>B476*73.669/100</f>
        <v>73.668999999999997</v>
      </c>
      <c r="L476" s="242">
        <f>B476*2.43245333333333/100</f>
        <v>2.43245333333333</v>
      </c>
      <c r="M476" s="250" t="s">
        <v>454</v>
      </c>
      <c r="N476" s="238">
        <f>B476*259.466666666667/100</f>
        <v>259.46666666666698</v>
      </c>
      <c r="O476" s="238">
        <f>B476*11.6283333333333/100</f>
        <v>11.6283333333333</v>
      </c>
      <c r="P476" s="248">
        <f>B476*0.0153333333333333/100</f>
        <v>1.53333333333333E-2</v>
      </c>
      <c r="Q476" s="243">
        <f>B476*447.880333333333/100</f>
        <v>447.88033333333294</v>
      </c>
      <c r="R476" s="238">
        <f>B476*0.115/100</f>
        <v>0.115</v>
      </c>
      <c r="S476" s="238">
        <f>B476*557.924666666667/100</f>
        <v>557.92466666666701</v>
      </c>
      <c r="T476" s="238">
        <f>B476*93.0643333333333/100</f>
        <v>93.064333333333295</v>
      </c>
      <c r="U476" s="238">
        <f>B476*0.045/100</f>
        <v>4.4999999999999998E-2</v>
      </c>
      <c r="V476" s="238">
        <f>B476*1.277/100</f>
        <v>1.2769999999999999</v>
      </c>
      <c r="W476" s="238">
        <f>B476*194.586666666667/100</f>
        <v>194.58666666666701</v>
      </c>
      <c r="X476" s="242" t="s">
        <v>455</v>
      </c>
      <c r="Y476" s="238">
        <f>B476*0.190666666666667/100</f>
        <v>0.19066666666666701</v>
      </c>
      <c r="Z476" s="242" t="s">
        <v>455</v>
      </c>
      <c r="AA476" s="242" t="s">
        <v>455</v>
      </c>
      <c r="AB476" s="242" t="s">
        <v>455</v>
      </c>
    </row>
    <row r="477" spans="1:28">
      <c r="A477" s="232" t="s">
        <v>808</v>
      </c>
      <c r="B477" s="59">
        <v>100</v>
      </c>
      <c r="C477" s="238">
        <f>B477*139.73178/100</f>
        <v>139.73177999999999</v>
      </c>
      <c r="D477" s="238">
        <f>B477*12.6005/100</f>
        <v>12.6005</v>
      </c>
      <c r="E477" s="248">
        <f>B477*8.10866666666667/100</f>
        <v>8.1086666666666698</v>
      </c>
      <c r="F477" s="252">
        <f>B477*4.5/100</f>
        <v>4.5</v>
      </c>
      <c r="G477" s="252">
        <f>B477*2.4/100</f>
        <v>2.4</v>
      </c>
      <c r="H477" s="252">
        <f>B477*0.2/100</f>
        <v>0.2</v>
      </c>
      <c r="I477" s="263">
        <f>B477*0.15/100</f>
        <v>0.15</v>
      </c>
      <c r="J477" s="263">
        <f>B477*0.02/100</f>
        <v>0.02</v>
      </c>
      <c r="K477" s="238">
        <f>B477*48.7033333333333/100</f>
        <v>48.703333333333291</v>
      </c>
      <c r="L477" s="242">
        <f>B477*3.78616666666667/100</f>
        <v>3.78616666666667</v>
      </c>
      <c r="M477" s="250" t="s">
        <v>454</v>
      </c>
      <c r="N477" s="238">
        <f>B477*253.236/100</f>
        <v>253.23599999999999</v>
      </c>
      <c r="O477" s="238">
        <f>B477*11.8086666666667/100</f>
        <v>11.808666666666699</v>
      </c>
      <c r="P477" s="242" t="s">
        <v>455</v>
      </c>
      <c r="Q477" s="238">
        <f>B477*161.518666666667/100</f>
        <v>161.518666666667</v>
      </c>
      <c r="R477" s="238">
        <f>B477*0.136666666666667/100</f>
        <v>0.13666666666666699</v>
      </c>
      <c r="S477" s="238">
        <f>B477*282.579/100</f>
        <v>282.57900000000001</v>
      </c>
      <c r="T477" s="238">
        <f>B477*112.378333333333/100</f>
        <v>112.37833333333302</v>
      </c>
      <c r="U477" s="242" t="s">
        <v>455</v>
      </c>
      <c r="V477" s="243">
        <f>B477*0.460333333333333/100</f>
        <v>0.46033333333333298</v>
      </c>
      <c r="W477" s="238">
        <f>B477*52.8466666666667/100</f>
        <v>52.8466666666667</v>
      </c>
      <c r="X477" s="242" t="s">
        <v>455</v>
      </c>
      <c r="Y477" s="238">
        <f>B477*0.146666666666667/100</f>
        <v>0.146666666666667</v>
      </c>
      <c r="Z477" s="242" t="s">
        <v>455</v>
      </c>
      <c r="AA477" s="242" t="s">
        <v>455</v>
      </c>
      <c r="AB477" s="242" t="s">
        <v>455</v>
      </c>
    </row>
    <row r="478" spans="1:28" s="220" customFormat="1">
      <c r="A478" s="228" t="s">
        <v>813</v>
      </c>
      <c r="B478" s="237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  <c r="AA478" s="268"/>
      <c r="AB478" s="268"/>
    </row>
    <row r="479" spans="1:28">
      <c r="A479" s="232" t="s">
        <v>815</v>
      </c>
      <c r="B479" s="59">
        <v>100</v>
      </c>
      <c r="C479" s="238">
        <f>B479*25.6133333333333/100</f>
        <v>25.613333333333301</v>
      </c>
      <c r="D479" s="238">
        <v>0</v>
      </c>
      <c r="E479" s="248">
        <v>0</v>
      </c>
      <c r="F479" s="263"/>
      <c r="G479" s="263"/>
      <c r="H479" s="263"/>
      <c r="I479" s="263"/>
      <c r="J479" s="263"/>
      <c r="K479" s="242" t="s">
        <v>454</v>
      </c>
      <c r="L479" s="242">
        <f>B479*6.40333333333334/100</f>
        <v>6.4033333333333404</v>
      </c>
      <c r="M479" s="242" t="s">
        <v>454</v>
      </c>
      <c r="N479" s="238">
        <f>B479*1.23333333333333/100</f>
        <v>1.2333333333333301</v>
      </c>
      <c r="O479" s="242" t="s">
        <v>455</v>
      </c>
      <c r="P479" s="242" t="s">
        <v>455</v>
      </c>
      <c r="Q479" s="238">
        <f>B479*8.97333333333333/100</f>
        <v>8.9733333333333292</v>
      </c>
      <c r="R479" s="238">
        <f>B479*0.67/100</f>
        <v>0.67</v>
      </c>
      <c r="S479" s="238">
        <f>B479*44.0833333333333/100</f>
        <v>44.0833333333333</v>
      </c>
      <c r="T479" s="238">
        <f>B479*13.0266666666667/100</f>
        <v>13.026666666666699</v>
      </c>
      <c r="U479" s="242" t="s">
        <v>455</v>
      </c>
      <c r="V479" s="242" t="s">
        <v>455</v>
      </c>
      <c r="W479" s="242" t="s">
        <v>454</v>
      </c>
      <c r="X479" s="242"/>
      <c r="Y479" s="242"/>
      <c r="Z479" s="242"/>
      <c r="AA479" s="242"/>
      <c r="AB479" s="242"/>
    </row>
    <row r="480" spans="1:28">
      <c r="A480" s="232" t="s">
        <v>816</v>
      </c>
      <c r="B480" s="59">
        <v>100</v>
      </c>
      <c r="C480" s="238">
        <f>B480*9.07086859961352/100</f>
        <v>9.0708685996135205</v>
      </c>
      <c r="D480" s="238">
        <f>B480*0.7125/100</f>
        <v>0.71250000000000002</v>
      </c>
      <c r="E480" s="248">
        <f>B480*0.0693333333333333/100</f>
        <v>6.9333333333333302E-2</v>
      </c>
      <c r="F480" s="263"/>
      <c r="G480" s="263"/>
      <c r="H480" s="263"/>
      <c r="I480" s="263"/>
      <c r="J480" s="263"/>
      <c r="K480" s="242" t="s">
        <v>454</v>
      </c>
      <c r="L480" s="242">
        <f>B480*1.47866666666667/100</f>
        <v>1.4786666666666699</v>
      </c>
      <c r="M480" s="240" t="s">
        <v>454</v>
      </c>
      <c r="N480" s="243">
        <f>B480*3.15933333333333/100</f>
        <v>3.15933333333333</v>
      </c>
      <c r="O480" s="243">
        <f>B480*9.66166666666667/100</f>
        <v>9.6616666666666706</v>
      </c>
      <c r="P480" s="248">
        <f>B480*0.0376666666666667/100</f>
        <v>3.7666666666666702E-2</v>
      </c>
      <c r="Q480" s="243">
        <f>B480*9.49533333333333/100</f>
        <v>9.4953333333333294</v>
      </c>
      <c r="R480" s="243" t="s">
        <v>455</v>
      </c>
      <c r="S480" s="243">
        <f>B480*1.02733333333333/100</f>
        <v>1.0273333333333301</v>
      </c>
      <c r="T480" s="243">
        <f>B480*155.704/100</f>
        <v>155.70400000000001</v>
      </c>
      <c r="U480" s="243">
        <f>B480*0.006/100</f>
        <v>6.0000000000000001E-3</v>
      </c>
      <c r="V480" s="243" t="s">
        <v>455</v>
      </c>
      <c r="W480" s="256" t="s">
        <v>454</v>
      </c>
      <c r="X480" s="256"/>
      <c r="Y480" s="256"/>
      <c r="Z480" s="256"/>
      <c r="AA480" s="256"/>
      <c r="AB480" s="256"/>
    </row>
    <row r="481" spans="1:28" ht="15">
      <c r="A481" s="232" t="s">
        <v>951</v>
      </c>
      <c r="B481" s="59">
        <v>100</v>
      </c>
      <c r="C481" s="242">
        <f>B481*215.6616/100</f>
        <v>215.66159999999999</v>
      </c>
      <c r="D481" s="242"/>
      <c r="E481" s="242"/>
      <c r="F481" s="263"/>
      <c r="G481" s="263"/>
      <c r="H481" s="263"/>
      <c r="I481" s="263"/>
      <c r="J481" s="263"/>
      <c r="K481" s="242" t="s">
        <v>454</v>
      </c>
      <c r="L481" s="242"/>
      <c r="M481" s="242" t="s">
        <v>454</v>
      </c>
      <c r="N481" s="242" t="s">
        <v>455</v>
      </c>
      <c r="O481" s="242" t="s">
        <v>455</v>
      </c>
      <c r="P481" s="245" t="s">
        <v>455</v>
      </c>
      <c r="Q481" s="242" t="s">
        <v>455</v>
      </c>
      <c r="R481" s="242" t="s">
        <v>455</v>
      </c>
      <c r="S481" s="238">
        <f>B481*3.14566666666667/100</f>
        <v>3.1456666666666702</v>
      </c>
      <c r="T481" s="242" t="s">
        <v>455</v>
      </c>
      <c r="U481" s="238">
        <f>B481*0.063/100</f>
        <v>6.3E-2</v>
      </c>
      <c r="V481" s="242" t="s">
        <v>455</v>
      </c>
      <c r="W481" s="242" t="s">
        <v>454</v>
      </c>
      <c r="X481" s="245" t="s">
        <v>455</v>
      </c>
      <c r="Y481" s="245" t="s">
        <v>455</v>
      </c>
      <c r="Z481" s="245" t="s">
        <v>455</v>
      </c>
      <c r="AA481" s="245" t="s">
        <v>455</v>
      </c>
      <c r="AB481" s="242"/>
    </row>
    <row r="482" spans="1:28">
      <c r="A482" s="232" t="s">
        <v>3191</v>
      </c>
      <c r="B482" s="59">
        <v>100</v>
      </c>
      <c r="C482" s="238">
        <f>B482*65.3435982689857/100</f>
        <v>65.343598268985701</v>
      </c>
      <c r="D482" s="242" t="s">
        <v>455</v>
      </c>
      <c r="E482" s="242" t="s">
        <v>455</v>
      </c>
      <c r="F482" s="263"/>
      <c r="G482" s="263"/>
      <c r="H482" s="263"/>
      <c r="I482" s="263"/>
      <c r="J482" s="263"/>
      <c r="K482" s="242" t="s">
        <v>454</v>
      </c>
      <c r="L482" s="242">
        <f>B482*18.151/100</f>
        <v>18.151</v>
      </c>
      <c r="M482" s="238">
        <f>B482*0.136333333333333/100</f>
        <v>0.136333333333333</v>
      </c>
      <c r="N482" s="238">
        <f>B482*9.083/100</f>
        <v>9.0830000000000002</v>
      </c>
      <c r="O482" s="238">
        <f>B482*11.974/100</f>
        <v>11.974</v>
      </c>
      <c r="P482" s="238">
        <f>B482*0.206/100</f>
        <v>0.20599999999999999</v>
      </c>
      <c r="Q482" s="238">
        <f>B482*4.77866666666667/100</f>
        <v>4.7786666666666697</v>
      </c>
      <c r="R482" s="238">
        <f>B482*0.752666666666667/100</f>
        <v>0.75266666666666704</v>
      </c>
      <c r="S482" s="245" t="s">
        <v>455</v>
      </c>
      <c r="T482" s="238">
        <f>B482*17.973/100</f>
        <v>17.972999999999999</v>
      </c>
      <c r="U482" s="238">
        <f>B482*0.007/100</f>
        <v>7.000000000000001E-3</v>
      </c>
      <c r="V482" s="238">
        <f>B482*0.0506666666666667/100</f>
        <v>5.06666666666667E-2</v>
      </c>
      <c r="W482" s="242" t="s">
        <v>454</v>
      </c>
      <c r="X482" s="242" t="s">
        <v>455</v>
      </c>
      <c r="Y482" s="242" t="s">
        <v>455</v>
      </c>
      <c r="Z482" s="238">
        <f>B482*0.03/100</f>
        <v>0.03</v>
      </c>
      <c r="AA482" s="245" t="s">
        <v>455</v>
      </c>
      <c r="AB482" s="242">
        <f>B482*2.779666/100</f>
        <v>2.7796660000000002</v>
      </c>
    </row>
    <row r="483" spans="1:28" ht="15">
      <c r="A483" s="232" t="s">
        <v>952</v>
      </c>
      <c r="B483" s="59">
        <v>100</v>
      </c>
      <c r="C483" s="238">
        <f>B483*40.7201885506287/100</f>
        <v>40.720188550628698</v>
      </c>
      <c r="D483" s="238">
        <f>B483*0.5625/100</f>
        <v>0.5625</v>
      </c>
      <c r="E483" s="251" t="s">
        <v>455</v>
      </c>
      <c r="F483" s="263"/>
      <c r="G483" s="263"/>
      <c r="H483" s="263"/>
      <c r="I483" s="263"/>
      <c r="J483" s="263"/>
      <c r="K483" s="242" t="s">
        <v>454</v>
      </c>
      <c r="L483" s="242">
        <f>B483*3.3175/100</f>
        <v>3.3174999999999999</v>
      </c>
      <c r="M483" s="240" t="s">
        <v>454</v>
      </c>
      <c r="N483" s="243">
        <f>B483*4.985/100</f>
        <v>4.9850000000000003</v>
      </c>
      <c r="O483" s="243">
        <f>B483*6.74366666666667/100</f>
        <v>6.7436666666666705</v>
      </c>
      <c r="P483" s="243">
        <f>B483*0.00533333333333333/100</f>
        <v>5.3333333333333297E-3</v>
      </c>
      <c r="Q483" s="243">
        <f>B483*19.0026666666667/100</f>
        <v>19.002666666666698</v>
      </c>
      <c r="R483" s="243" t="s">
        <v>455</v>
      </c>
      <c r="S483" s="243">
        <f>B483*4.23033333333333/100</f>
        <v>4.2303333333333297</v>
      </c>
      <c r="T483" s="243">
        <f>B483*29.4666666666667/100</f>
        <v>29.466666666666701</v>
      </c>
      <c r="U483" s="243" t="s">
        <v>455</v>
      </c>
      <c r="V483" s="245" t="s">
        <v>455</v>
      </c>
      <c r="W483" s="242" t="s">
        <v>454</v>
      </c>
      <c r="X483" s="245" t="s">
        <v>455</v>
      </c>
      <c r="Y483" s="245" t="s">
        <v>455</v>
      </c>
      <c r="Z483" s="238">
        <f>B483*0.143333333333333/100</f>
        <v>0.14333333333333301</v>
      </c>
      <c r="AA483" s="243">
        <f>B483*2.91666666666667/100</f>
        <v>2.9166666666666701</v>
      </c>
      <c r="AB483" s="245" t="s">
        <v>455</v>
      </c>
    </row>
    <row r="484" spans="1:28">
      <c r="A484" s="234" t="s">
        <v>818</v>
      </c>
      <c r="B484" s="59">
        <v>100</v>
      </c>
      <c r="C484" s="238">
        <f>B484*1.39705997387564/100</f>
        <v>1.39705997387564</v>
      </c>
      <c r="D484" s="238">
        <v>0</v>
      </c>
      <c r="E484" s="248">
        <v>0</v>
      </c>
      <c r="F484" s="263"/>
      <c r="G484" s="263"/>
      <c r="H484" s="263"/>
      <c r="I484" s="263"/>
      <c r="J484" s="263"/>
      <c r="K484" s="242" t="s">
        <v>454</v>
      </c>
      <c r="L484" s="242">
        <f>B484*0.391333333333321/100</f>
        <v>0.39133333333332099</v>
      </c>
      <c r="M484" s="240" t="s">
        <v>454</v>
      </c>
      <c r="N484" s="243">
        <f>B484*1.931/100</f>
        <v>1.931</v>
      </c>
      <c r="O484" s="243">
        <f>B484*0.881/100</f>
        <v>0.88099999999999989</v>
      </c>
      <c r="P484" s="248">
        <f>B484*0.00633333333333333/100</f>
        <v>6.3333333333333297E-3</v>
      </c>
      <c r="Q484" s="243">
        <f>B484*0.651/100</f>
        <v>0.65100000000000013</v>
      </c>
      <c r="R484" s="243" t="s">
        <v>455</v>
      </c>
      <c r="S484" s="243">
        <f>B484*0.625333333333333/100</f>
        <v>0.62533333333333296</v>
      </c>
      <c r="T484" s="243">
        <f>B484*9.929/100</f>
        <v>9.9290000000000003</v>
      </c>
      <c r="U484" s="243">
        <f>B484*0.006/100</f>
        <v>6.0000000000000001E-3</v>
      </c>
      <c r="V484" s="243" t="s">
        <v>455</v>
      </c>
      <c r="W484" s="242" t="s">
        <v>454</v>
      </c>
      <c r="X484" s="243">
        <f>B484*1.23333333333333/100</f>
        <v>1.2333333333333301</v>
      </c>
      <c r="Y484" s="243">
        <f>B484*0.226666666666667/100</f>
        <v>0.22666666666666699</v>
      </c>
      <c r="Z484" s="256" t="s">
        <v>3254</v>
      </c>
      <c r="AA484" s="256" t="s">
        <v>3254</v>
      </c>
      <c r="AB484" s="256" t="s">
        <v>3254</v>
      </c>
    </row>
    <row r="485" spans="1:28">
      <c r="A485" s="232" t="s">
        <v>819</v>
      </c>
      <c r="B485" s="59">
        <v>100</v>
      </c>
      <c r="C485" s="238">
        <f>B485*2.73074995112414/100</f>
        <v>2.7307499511241402</v>
      </c>
      <c r="D485" s="238">
        <v>0</v>
      </c>
      <c r="E485" s="248">
        <f>B485*0.052/100</f>
        <v>5.2000000000000005E-2</v>
      </c>
      <c r="F485" s="263"/>
      <c r="G485" s="263"/>
      <c r="H485" s="263"/>
      <c r="I485" s="263"/>
      <c r="J485" s="263"/>
      <c r="K485" s="242" t="s">
        <v>454</v>
      </c>
      <c r="L485" s="242">
        <f>B485*0.642999999999993/100</f>
        <v>0.64299999999999302</v>
      </c>
      <c r="M485" s="240" t="s">
        <v>454</v>
      </c>
      <c r="N485" s="238">
        <f>B485*0.644666666666667/100</f>
        <v>0.64466666666666717</v>
      </c>
      <c r="O485" s="238">
        <f>B485*2.037/100</f>
        <v>2.0369999999999999</v>
      </c>
      <c r="P485" s="238">
        <f>B485*0.274/100</f>
        <v>0.27400000000000002</v>
      </c>
      <c r="Q485" s="242" t="s">
        <v>455</v>
      </c>
      <c r="R485" s="242" t="s">
        <v>455</v>
      </c>
      <c r="S485" s="242" t="s">
        <v>455</v>
      </c>
      <c r="T485" s="242">
        <f>B485*5.33633333333333/100</f>
        <v>5.3363333333333296</v>
      </c>
      <c r="U485" s="245" t="s">
        <v>455</v>
      </c>
      <c r="V485" s="242" t="s">
        <v>455</v>
      </c>
      <c r="W485" s="242" t="s">
        <v>454</v>
      </c>
      <c r="X485" s="238">
        <f>B485*0.893333333333333/100</f>
        <v>0.89333333333333298</v>
      </c>
      <c r="Y485" s="245" t="s">
        <v>455</v>
      </c>
      <c r="Z485" s="256" t="s">
        <v>3254</v>
      </c>
      <c r="AA485" s="256" t="s">
        <v>3254</v>
      </c>
      <c r="AB485" s="256" t="s">
        <v>3254</v>
      </c>
    </row>
    <row r="486" spans="1:28">
      <c r="A486" s="232" t="s">
        <v>820</v>
      </c>
      <c r="B486" s="59">
        <v>100</v>
      </c>
      <c r="C486" s="238">
        <f>B486*2.24790995796521/100</f>
        <v>2.2479099579652102</v>
      </c>
      <c r="D486" s="238">
        <v>0</v>
      </c>
      <c r="E486" s="248">
        <v>0</v>
      </c>
      <c r="F486" s="263"/>
      <c r="G486" s="263"/>
      <c r="H486" s="263"/>
      <c r="I486" s="263"/>
      <c r="J486" s="263"/>
      <c r="K486" s="242" t="s">
        <v>454</v>
      </c>
      <c r="L486" s="242">
        <f>B486*0.629666666666665/100</f>
        <v>0.62966666666666504</v>
      </c>
      <c r="M486" s="240" t="s">
        <v>454</v>
      </c>
      <c r="N486" s="238">
        <f>B486*0.252333333333333/100</f>
        <v>0.25233333333333302</v>
      </c>
      <c r="O486" s="238">
        <f>B486*0.956/100</f>
        <v>0.95599999999999996</v>
      </c>
      <c r="P486" s="238">
        <f>B486*0.0886666666666667/100</f>
        <v>8.8666666666666713E-2</v>
      </c>
      <c r="Q486" s="238">
        <f>B486*1.51133333333333/100</f>
        <v>1.5113333333333301</v>
      </c>
      <c r="R486" s="242" t="s">
        <v>455</v>
      </c>
      <c r="S486" s="242" t="s">
        <v>455</v>
      </c>
      <c r="T486" s="238">
        <f>B486*13.4376666666667/100</f>
        <v>13.437666666666701</v>
      </c>
      <c r="U486" s="245" t="s">
        <v>455</v>
      </c>
      <c r="V486" s="242" t="s">
        <v>455</v>
      </c>
      <c r="W486" s="242" t="s">
        <v>454</v>
      </c>
      <c r="X486" s="238">
        <f>B486*3.11333333333333/100</f>
        <v>3.1133333333333302</v>
      </c>
      <c r="Y486" s="238">
        <f>B486*0.483333333333333/100</f>
        <v>0.483333333333333</v>
      </c>
      <c r="Z486" s="256" t="s">
        <v>3254</v>
      </c>
      <c r="AA486" s="256" t="s">
        <v>3254</v>
      </c>
      <c r="AB486" s="256" t="s">
        <v>3254</v>
      </c>
    </row>
    <row r="487" spans="1:28">
      <c r="A487" s="232" t="s">
        <v>814</v>
      </c>
      <c r="B487" s="59">
        <v>100</v>
      </c>
      <c r="C487" s="238">
        <f>B487*21.5085942405065/100</f>
        <v>21.5085942405065</v>
      </c>
      <c r="D487" s="238">
        <v>0</v>
      </c>
      <c r="E487" s="238">
        <v>0</v>
      </c>
      <c r="F487" s="263"/>
      <c r="G487" s="263"/>
      <c r="H487" s="263"/>
      <c r="I487" s="263"/>
      <c r="J487" s="263"/>
      <c r="K487" s="242" t="s">
        <v>454</v>
      </c>
      <c r="L487" s="242">
        <f>B487*5.28466666666667/100</f>
        <v>5.28466666666667</v>
      </c>
      <c r="M487" s="238">
        <f>B487*0.130333333333333/100</f>
        <v>0.130333333333333</v>
      </c>
      <c r="N487" s="243">
        <f>B487*18.8373333333333/100</f>
        <v>18.837333333333302</v>
      </c>
      <c r="O487" s="243">
        <f>B487*5.15833333333333/100</f>
        <v>5.1583333333333288</v>
      </c>
      <c r="P487" s="243">
        <f>B487*0.253/100</f>
        <v>0.253</v>
      </c>
      <c r="Q487" s="243">
        <f>B487*3.75533333333333/100</f>
        <v>3.7553333333333301</v>
      </c>
      <c r="R487" s="243" t="s">
        <v>455</v>
      </c>
      <c r="S487" s="243">
        <f>B487*1.78233333333333/100</f>
        <v>1.78233333333333</v>
      </c>
      <c r="T487" s="243">
        <f>B487*161.651/100</f>
        <v>161.65100000000001</v>
      </c>
      <c r="U487" s="243" t="s">
        <v>455</v>
      </c>
      <c r="V487" s="243" t="s">
        <v>455</v>
      </c>
      <c r="W487" s="242" t="s">
        <v>454</v>
      </c>
      <c r="X487" s="238">
        <f>B487*0.005/100</f>
        <v>5.0000000000000001E-3</v>
      </c>
      <c r="Y487" s="242" t="s">
        <v>455</v>
      </c>
      <c r="Z487" s="245" t="s">
        <v>455</v>
      </c>
      <c r="AA487" s="245" t="s">
        <v>455</v>
      </c>
      <c r="AB487" s="238">
        <f>B487*2.40866666666667/100</f>
        <v>2.4086666666666701</v>
      </c>
    </row>
    <row r="488" spans="1:28">
      <c r="A488" s="232" t="s">
        <v>821</v>
      </c>
      <c r="B488" s="59">
        <v>100</v>
      </c>
      <c r="C488" s="238">
        <f>B488*30.7794/100</f>
        <v>30.779399999999999</v>
      </c>
      <c r="D488" s="238">
        <v>0</v>
      </c>
      <c r="E488" s="238">
        <v>0</v>
      </c>
      <c r="F488" s="263"/>
      <c r="G488" s="263"/>
      <c r="H488" s="263"/>
      <c r="I488" s="263"/>
      <c r="J488" s="263"/>
      <c r="K488" s="242" t="s">
        <v>454</v>
      </c>
      <c r="L488" s="242">
        <f>B488*7.95333333333334/100</f>
        <v>7.9533333333333402</v>
      </c>
      <c r="M488" s="240" t="s">
        <v>454</v>
      </c>
      <c r="N488" s="238">
        <f>B488*1.07533333333333/100</f>
        <v>1.0753333333333299</v>
      </c>
      <c r="O488" s="242" t="s">
        <v>455</v>
      </c>
      <c r="P488" s="242" t="s">
        <v>455</v>
      </c>
      <c r="Q488" s="238">
        <f>B488*0.151666666666667/100</f>
        <v>0.151666666666667</v>
      </c>
      <c r="R488" s="242" t="s">
        <v>455</v>
      </c>
      <c r="S488" s="238">
        <f>B488*8.29033333333333/100</f>
        <v>8.2903333333333293</v>
      </c>
      <c r="T488" s="238">
        <f>B488*1.50566666666667/100</f>
        <v>1.50566666666667</v>
      </c>
      <c r="U488" s="242" t="s">
        <v>455</v>
      </c>
      <c r="V488" s="242" t="s">
        <v>455</v>
      </c>
      <c r="W488" s="242" t="s">
        <v>454</v>
      </c>
      <c r="X488" s="242"/>
      <c r="Y488" s="242"/>
      <c r="Z488" s="242"/>
      <c r="AA488" s="242"/>
      <c r="AB488" s="242"/>
    </row>
    <row r="489" spans="1:28">
      <c r="A489" s="232" t="s">
        <v>822</v>
      </c>
      <c r="B489" s="59">
        <v>100</v>
      </c>
      <c r="C489" s="238">
        <f>B489*33.5142/100</f>
        <v>33.514200000000002</v>
      </c>
      <c r="D489" s="238">
        <v>0</v>
      </c>
      <c r="E489" s="238">
        <v>0</v>
      </c>
      <c r="F489" s="263"/>
      <c r="G489" s="263"/>
      <c r="H489" s="263"/>
      <c r="I489" s="263"/>
      <c r="J489" s="263"/>
      <c r="K489" s="242" t="s">
        <v>454</v>
      </c>
      <c r="L489" s="242">
        <f>B489*8.66000000000001/100</f>
        <v>8.6600000000000108</v>
      </c>
      <c r="M489" s="240" t="s">
        <v>454</v>
      </c>
      <c r="N489" s="238">
        <f>B489*1.37233333333333/100</f>
        <v>1.3723333333333301</v>
      </c>
      <c r="O489" s="242" t="s">
        <v>455</v>
      </c>
      <c r="P489" s="242" t="s">
        <v>455</v>
      </c>
      <c r="Q489" s="238">
        <f>B489*16.6773333333333/100</f>
        <v>16.677333333333301</v>
      </c>
      <c r="R489" s="242" t="s">
        <v>455</v>
      </c>
      <c r="S489" s="238">
        <f>B489*7.11933333333333/100</f>
        <v>7.1193333333333291</v>
      </c>
      <c r="T489" s="238">
        <f>B489*0.905/100</f>
        <v>0.90500000000000003</v>
      </c>
      <c r="U489" s="242" t="s">
        <v>455</v>
      </c>
      <c r="V489" s="242" t="s">
        <v>455</v>
      </c>
      <c r="W489" s="242" t="s">
        <v>454</v>
      </c>
      <c r="X489" s="242"/>
      <c r="Y489" s="242"/>
      <c r="Z489" s="242"/>
      <c r="AA489" s="242"/>
      <c r="AB489" s="242"/>
    </row>
    <row r="490" spans="1:28">
      <c r="A490" s="232" t="s">
        <v>823</v>
      </c>
      <c r="B490" s="59">
        <v>100</v>
      </c>
      <c r="C490" s="238">
        <f>B490*38.7/100</f>
        <v>38.700000000000003</v>
      </c>
      <c r="D490" s="238">
        <v>0</v>
      </c>
      <c r="E490" s="238">
        <v>0</v>
      </c>
      <c r="F490" s="263"/>
      <c r="G490" s="263"/>
      <c r="H490" s="263"/>
      <c r="I490" s="263"/>
      <c r="J490" s="263"/>
      <c r="K490" s="242" t="s">
        <v>454</v>
      </c>
      <c r="L490" s="242">
        <f>B490*10/100</f>
        <v>10</v>
      </c>
      <c r="M490" s="240" t="s">
        <v>454</v>
      </c>
      <c r="N490" s="238">
        <f>B490*1.40766666666667/100</f>
        <v>1.40766666666667</v>
      </c>
      <c r="O490" s="242" t="s">
        <v>455</v>
      </c>
      <c r="P490" s="242" t="s">
        <v>455</v>
      </c>
      <c r="Q490" s="242" t="s">
        <v>455</v>
      </c>
      <c r="R490" s="242" t="s">
        <v>455</v>
      </c>
      <c r="S490" s="238">
        <f>B490*9.00966666666667/100</f>
        <v>9.0096666666666696</v>
      </c>
      <c r="T490" s="238">
        <f>B490*1.38133333333333/100</f>
        <v>1.3813333333333297</v>
      </c>
      <c r="U490" s="242" t="s">
        <v>455</v>
      </c>
      <c r="V490" s="242" t="s">
        <v>455</v>
      </c>
      <c r="W490" s="242" t="s">
        <v>454</v>
      </c>
      <c r="X490" s="242"/>
      <c r="Y490" s="242"/>
      <c r="Z490" s="242"/>
      <c r="AA490" s="242"/>
      <c r="AB490" s="242"/>
    </row>
    <row r="491" spans="1:28">
      <c r="A491" s="232" t="s">
        <v>824</v>
      </c>
      <c r="B491" s="59">
        <v>100</v>
      </c>
      <c r="C491" s="238">
        <f>B491*45.6273/100</f>
        <v>45.627299999999998</v>
      </c>
      <c r="D491" s="238">
        <v>0</v>
      </c>
      <c r="E491" s="238">
        <v>0</v>
      </c>
      <c r="F491" s="263"/>
      <c r="G491" s="263"/>
      <c r="H491" s="263"/>
      <c r="I491" s="263"/>
      <c r="J491" s="263"/>
      <c r="K491" s="242" t="s">
        <v>454</v>
      </c>
      <c r="L491" s="242">
        <f>B491*11.79/100</f>
        <v>11.79</v>
      </c>
      <c r="M491" s="240" t="s">
        <v>454</v>
      </c>
      <c r="N491" s="238">
        <f>B491*2.34433333333333/100</f>
        <v>2.34433333333333</v>
      </c>
      <c r="O491" s="238">
        <f>B491*1.20766666666667/100</f>
        <v>1.20766666666667</v>
      </c>
      <c r="P491" s="242" t="s">
        <v>455</v>
      </c>
      <c r="Q491" s="238">
        <f>B491*1.467/100</f>
        <v>1.4670000000000001</v>
      </c>
      <c r="R491" s="242" t="s">
        <v>455</v>
      </c>
      <c r="S491" s="238">
        <f>B491*9.27166666666667/100</f>
        <v>9.2716666666666701</v>
      </c>
      <c r="T491" s="238">
        <f>B491*15.5043333333333/100</f>
        <v>15.5043333333333</v>
      </c>
      <c r="U491" s="242" t="s">
        <v>455</v>
      </c>
      <c r="V491" s="242" t="s">
        <v>455</v>
      </c>
      <c r="W491" s="242" t="s">
        <v>454</v>
      </c>
      <c r="X491" s="242"/>
      <c r="Y491" s="242"/>
      <c r="Z491" s="242"/>
      <c r="AA491" s="242"/>
      <c r="AB491" s="242"/>
    </row>
    <row r="492" spans="1:28">
      <c r="A492" s="232" t="s">
        <v>825</v>
      </c>
      <c r="B492" s="59">
        <v>100</v>
      </c>
      <c r="C492" s="238">
        <f>B492*39.7191/100</f>
        <v>39.719099999999997</v>
      </c>
      <c r="D492" s="238">
        <v>0</v>
      </c>
      <c r="E492" s="238">
        <v>0</v>
      </c>
      <c r="F492" s="263"/>
      <c r="G492" s="263"/>
      <c r="H492" s="263"/>
      <c r="I492" s="263"/>
      <c r="J492" s="263"/>
      <c r="K492" s="242" t="s">
        <v>454</v>
      </c>
      <c r="L492" s="242">
        <f>B492*10.2633333333333/100</f>
        <v>10.2633333333333</v>
      </c>
      <c r="M492" s="240" t="s">
        <v>454</v>
      </c>
      <c r="N492" s="238">
        <f>B492*1.75066666666667/100</f>
        <v>1.7506666666666701</v>
      </c>
      <c r="O492" s="238">
        <f>B492*0.531/100</f>
        <v>0.53100000000000003</v>
      </c>
      <c r="P492" s="242" t="s">
        <v>455</v>
      </c>
      <c r="Q492" s="242" t="s">
        <v>455</v>
      </c>
      <c r="R492" s="242" t="s">
        <v>455</v>
      </c>
      <c r="S492" s="238">
        <f>B492*8.80333333333333/100</f>
        <v>8.8033333333333292</v>
      </c>
      <c r="T492" s="238">
        <f>B492*4.269/100</f>
        <v>4.2690000000000001</v>
      </c>
      <c r="U492" s="242" t="s">
        <v>455</v>
      </c>
      <c r="V492" s="242" t="s">
        <v>455</v>
      </c>
      <c r="W492" s="242" t="s">
        <v>454</v>
      </c>
      <c r="X492" s="242"/>
      <c r="Y492" s="242"/>
      <c r="Z492" s="242"/>
      <c r="AA492" s="242"/>
      <c r="AB492" s="242"/>
    </row>
    <row r="493" spans="1:28" s="220" customFormat="1">
      <c r="A493" s="237" t="s">
        <v>831</v>
      </c>
      <c r="B493" s="237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  <c r="AA493" s="268"/>
      <c r="AB493" s="268"/>
    </row>
    <row r="494" spans="1:28">
      <c r="A494" s="222" t="s">
        <v>3192</v>
      </c>
      <c r="B494" s="59">
        <v>100</v>
      </c>
      <c r="C494" s="247">
        <f>B494*268.006772182425/100</f>
        <v>268.00677218242498</v>
      </c>
      <c r="D494" s="247">
        <f>B494*15.5708333333333/100</f>
        <v>15.570833333333301</v>
      </c>
      <c r="E494" s="244">
        <f>B494*22.0076666666667/100</f>
        <v>22.007666666666701</v>
      </c>
      <c r="F494" s="258">
        <f>B494*6.398/100</f>
        <v>6.3979999999999997</v>
      </c>
      <c r="G494" s="258">
        <f>B494*6.98766666666667/100</f>
        <v>6.9876666666666702</v>
      </c>
      <c r="H494" s="258">
        <f>B494*6.198/100</f>
        <v>6.1980000000000004</v>
      </c>
      <c r="I494" s="263">
        <f>B494*5.67066666666667/100</f>
        <v>5.670666666666671</v>
      </c>
      <c r="J494" s="263">
        <f>B494*0.485333333333333/100</f>
        <v>0.48533333333333301</v>
      </c>
      <c r="K494" s="244">
        <f>B494*383.825333333333/100</f>
        <v>383.82533333333299</v>
      </c>
      <c r="L494" s="247">
        <f>B494*0.437166666666668/100</f>
        <v>0.43716666666666798</v>
      </c>
      <c r="M494" s="258" t="s">
        <v>454</v>
      </c>
      <c r="N494" s="244">
        <f>B494*165.727333333333/100</f>
        <v>165.72733333333301</v>
      </c>
      <c r="O494" s="244">
        <f>B494*14.2676666666667/100</f>
        <v>14.267666666666701</v>
      </c>
      <c r="P494" s="244">
        <f>B494*0.0256666666666667/100</f>
        <v>2.5666666666666699E-2</v>
      </c>
      <c r="Q494" s="244">
        <f>B494*313.611333333333/100</f>
        <v>313.61133333333299</v>
      </c>
      <c r="R494" s="244">
        <f>B494*1.36966666666667/100</f>
        <v>1.3696666666666699</v>
      </c>
      <c r="S494" s="244">
        <f>B494*216.051/100</f>
        <v>216.05099999999999</v>
      </c>
      <c r="T494" s="244">
        <f>B494*126.931/100</f>
        <v>126.931</v>
      </c>
      <c r="U494" s="244">
        <f>B494*0.0316666666666667/100</f>
        <v>3.1666666666666697E-2</v>
      </c>
      <c r="V494" s="244">
        <f>B494*1.36066666666667/100</f>
        <v>1.36066666666667</v>
      </c>
      <c r="W494" s="244">
        <f>B494*58.7533333333333/100</f>
        <v>58.753333333333302</v>
      </c>
      <c r="X494" s="244">
        <f>B494*0.03/100</f>
        <v>0.03</v>
      </c>
      <c r="Y494" s="244">
        <f>B494*0.243333333333333/100</f>
        <v>0.24333333333333301</v>
      </c>
      <c r="Z494" s="244" t="s">
        <v>455</v>
      </c>
      <c r="AA494" s="244" t="s">
        <v>455</v>
      </c>
      <c r="AB494" s="244" t="s">
        <v>455</v>
      </c>
    </row>
    <row r="495" spans="1:28">
      <c r="A495" s="232" t="s">
        <v>826</v>
      </c>
      <c r="B495" s="59">
        <v>100</v>
      </c>
      <c r="C495" s="238">
        <f>B495*176.8939/100</f>
        <v>176.8939</v>
      </c>
      <c r="D495" s="238">
        <f>B495*13.6875/100</f>
        <v>13.6875</v>
      </c>
      <c r="E495" s="248">
        <f>B495*12.68/100</f>
        <v>12.68</v>
      </c>
      <c r="F495" s="252">
        <f>B495*8.9/100</f>
        <v>8.9</v>
      </c>
      <c r="G495" s="252">
        <f>B495*12.1/100</f>
        <v>12.1</v>
      </c>
      <c r="H495" s="252">
        <f>B495*2.7/100</f>
        <v>2.7</v>
      </c>
      <c r="I495" s="263">
        <f>B495*2.64/100</f>
        <v>2.64</v>
      </c>
      <c r="J495" s="263">
        <f>B495*0.1/100</f>
        <v>0.1</v>
      </c>
      <c r="K495" s="238">
        <f>B495*568/100</f>
        <v>568</v>
      </c>
      <c r="L495" s="242">
        <f>B495*0.772499999999999/100</f>
        <v>0.77249999999999897</v>
      </c>
      <c r="M495" s="242" t="s">
        <v>454</v>
      </c>
      <c r="N495" s="238">
        <f>B495*78.7293333333333/100</f>
        <v>78.729333333333301</v>
      </c>
      <c r="O495" s="238">
        <f>B495*11.063/100</f>
        <v>11.062999999999999</v>
      </c>
      <c r="P495" s="242" t="s">
        <v>455</v>
      </c>
      <c r="Q495" s="238">
        <f>B495*279.443666666667/100</f>
        <v>279.44366666666701</v>
      </c>
      <c r="R495" s="238">
        <f>B495*3.34866666666667/100</f>
        <v>3.34866666666667</v>
      </c>
      <c r="S495" s="238">
        <f>B495*128.987/100</f>
        <v>128.98699999999999</v>
      </c>
      <c r="T495" s="238">
        <f>B495*78.7293333333333/100</f>
        <v>78.729333333333301</v>
      </c>
      <c r="U495" s="238">
        <f>B495*0.0353333333333333/100</f>
        <v>3.53333333333333E-2</v>
      </c>
      <c r="V495" s="238">
        <f>B495*2.05433333333333/100</f>
        <v>2.05433333333333</v>
      </c>
      <c r="W495" s="238">
        <f>B495*305.173333333333/100</f>
        <v>305.17333333333301</v>
      </c>
      <c r="X495" s="238">
        <f>B495*0.11/100</f>
        <v>0.11</v>
      </c>
      <c r="Y495" s="238">
        <f>B495*0.123333333333333/100</f>
        <v>0.123333333333333</v>
      </c>
      <c r="Z495" s="242" t="s">
        <v>455</v>
      </c>
      <c r="AA495" s="238">
        <f>B495*0.966666666666667/100</f>
        <v>0.96666666666666701</v>
      </c>
      <c r="AB495" s="242" t="s">
        <v>3254</v>
      </c>
    </row>
    <row r="496" spans="1:28">
      <c r="A496" s="232" t="s">
        <v>3193</v>
      </c>
      <c r="B496" s="59">
        <v>100</v>
      </c>
      <c r="C496" s="238">
        <f>B496*59.4356966666667/100</f>
        <v>59.435696666666701</v>
      </c>
      <c r="D496" s="238">
        <f>B496*13.4479166666667/100</f>
        <v>13.4479166666667</v>
      </c>
      <c r="E496" s="248">
        <f>B496*0.089/100</f>
        <v>8.900000000000001E-2</v>
      </c>
      <c r="F496" s="252"/>
      <c r="G496" s="252"/>
      <c r="H496" s="252"/>
      <c r="I496" s="263"/>
      <c r="J496" s="263"/>
      <c r="K496" s="242" t="s">
        <v>454</v>
      </c>
      <c r="L496" s="242">
        <v>0</v>
      </c>
      <c r="M496" s="242" t="s">
        <v>454</v>
      </c>
      <c r="N496" s="238">
        <f>B496*6.232/100</f>
        <v>6.2320000000000002</v>
      </c>
      <c r="O496" s="238">
        <f>B496*11.007/100</f>
        <v>11.007</v>
      </c>
      <c r="P496" s="242" t="s">
        <v>455</v>
      </c>
      <c r="Q496" s="238">
        <f>B496*15.4276666666667/100</f>
        <v>15.427666666666701</v>
      </c>
      <c r="R496" s="238">
        <f>B496*0.0786666666666667/100</f>
        <v>7.8666666666666704E-2</v>
      </c>
      <c r="S496" s="238">
        <f>B496*180.537666666667/100</f>
        <v>180.53766666666698</v>
      </c>
      <c r="T496" s="238">
        <f>B496*145.870333333333/100</f>
        <v>145.87033333333301</v>
      </c>
      <c r="U496" s="238">
        <f>B496*0.0286666666666667/100</f>
        <v>2.8666666666666701E-2</v>
      </c>
      <c r="V496" s="242" t="s">
        <v>455</v>
      </c>
      <c r="W496" s="242" t="s">
        <v>454</v>
      </c>
      <c r="X496" s="242" t="s">
        <v>455</v>
      </c>
      <c r="Y496" s="238">
        <f>B496*0.08/100</f>
        <v>0.08</v>
      </c>
      <c r="Z496" s="242" t="s">
        <v>455</v>
      </c>
      <c r="AA496" s="242" t="s">
        <v>455</v>
      </c>
      <c r="AB496" s="242" t="s">
        <v>3254</v>
      </c>
    </row>
    <row r="497" spans="1:28">
      <c r="A497" s="232" t="s">
        <v>3194</v>
      </c>
      <c r="B497" s="59">
        <v>100</v>
      </c>
      <c r="C497" s="238">
        <f>B497*352.67334/100</f>
        <v>352.67334000000005</v>
      </c>
      <c r="D497" s="238">
        <f>B497*15.9/100</f>
        <v>15.9</v>
      </c>
      <c r="E497" s="248">
        <f>B497*30.777/100</f>
        <v>30.777000000000001</v>
      </c>
      <c r="F497" s="252">
        <f>B497*9.2/100</f>
        <v>9.1999999999999993</v>
      </c>
      <c r="G497" s="252">
        <f>B497*12.1/100</f>
        <v>12.1</v>
      </c>
      <c r="H497" s="252">
        <f>B497*4/100</f>
        <v>4</v>
      </c>
      <c r="I497" s="263">
        <f>B497*3.69/100</f>
        <v>3.69</v>
      </c>
      <c r="J497" s="263">
        <f>B497*0.15/100</f>
        <v>0.15</v>
      </c>
      <c r="K497" s="238">
        <f>B497*1272.372/100</f>
        <v>1272.3720000000001</v>
      </c>
      <c r="L497" s="242">
        <f>B497*1.56000000000001/100</f>
        <v>1.56000000000001</v>
      </c>
      <c r="M497" s="242" t="s">
        <v>454</v>
      </c>
      <c r="N497" s="238">
        <f>B497*114.431/100</f>
        <v>114.431</v>
      </c>
      <c r="O497" s="238">
        <f>B497*9.36733333333333/100</f>
        <v>9.3673333333333293</v>
      </c>
      <c r="P497" s="238">
        <f>B497*0.0593333333333333/100</f>
        <v>5.93333333333333E-2</v>
      </c>
      <c r="Q497" s="238">
        <f>B497*385.747/100</f>
        <v>385.74700000000007</v>
      </c>
      <c r="R497" s="238">
        <f>B497*2.92333333333333/100</f>
        <v>2.9233333333333298</v>
      </c>
      <c r="S497" s="238">
        <f>B497*44.9086666666667/100</f>
        <v>44.908666666666697</v>
      </c>
      <c r="T497" s="238">
        <f>B497*87.3773333333333/100</f>
        <v>87.377333333333297</v>
      </c>
      <c r="U497" s="242" t="s">
        <v>455</v>
      </c>
      <c r="V497" s="238">
        <f>B497*2.87366666666667/100</f>
        <v>2.8736666666666704</v>
      </c>
      <c r="W497" s="242">
        <f>B497*148.48/100</f>
        <v>148.47999999999999</v>
      </c>
      <c r="X497" s="238">
        <f>B497*0.18/100</f>
        <v>0.18</v>
      </c>
      <c r="Y497" s="238">
        <f>B497*0.216666666666667/100</f>
        <v>0.21666666666666701</v>
      </c>
      <c r="Z497" s="242" t="s">
        <v>455</v>
      </c>
      <c r="AA497" s="242" t="s">
        <v>455</v>
      </c>
      <c r="AB497" s="242" t="s">
        <v>3254</v>
      </c>
    </row>
    <row r="498" spans="1:28">
      <c r="A498" s="232" t="s">
        <v>3195</v>
      </c>
      <c r="B498" s="59">
        <v>100</v>
      </c>
      <c r="C498" s="238">
        <f>B498*145.70017/100</f>
        <v>145.70017000000001</v>
      </c>
      <c r="D498" s="238">
        <f>B498*13.29375/100</f>
        <v>13.293749999999999</v>
      </c>
      <c r="E498" s="248">
        <f>B498*9.47633333333333/100</f>
        <v>9.4763333333333293</v>
      </c>
      <c r="F498" s="252">
        <f>B498*2.9/100</f>
        <v>2.9</v>
      </c>
      <c r="G498" s="252">
        <f>B498*3.8/100</f>
        <v>3.8</v>
      </c>
      <c r="H498" s="252">
        <f>B498*1.1/100</f>
        <v>1.1000000000000001</v>
      </c>
      <c r="I498" s="263">
        <f>B498*1.06/100</f>
        <v>1.06</v>
      </c>
      <c r="J498" s="263">
        <f>B498*0.04/100</f>
        <v>0.04</v>
      </c>
      <c r="K498" s="238">
        <f>B498*396.571666666667/100</f>
        <v>396.571666666667</v>
      </c>
      <c r="L498" s="242">
        <f>B498*0.614916666666674/100</f>
        <v>0.61491666666667399</v>
      </c>
      <c r="M498" s="242" t="s">
        <v>454</v>
      </c>
      <c r="N498" s="238">
        <f>B498*49.2183333333333/100</f>
        <v>49.218333333333291</v>
      </c>
      <c r="O498" s="238">
        <f>B498*11.2443333333333/100</f>
        <v>11.2443333333333</v>
      </c>
      <c r="P498" s="248">
        <f>B498*0.0236666666666667/100</f>
        <v>2.3666666666666704E-2</v>
      </c>
      <c r="Q498" s="238">
        <f>B498*184.190333333333/100</f>
        <v>184.190333333333</v>
      </c>
      <c r="R498" s="238">
        <f>B498*1.51533333333333/100</f>
        <v>1.5153333333333301</v>
      </c>
      <c r="S498" s="238">
        <f>B498*145.901/100</f>
        <v>145.90100000000001</v>
      </c>
      <c r="T498" s="238">
        <f>B498*138.897/100</f>
        <v>138.89699999999999</v>
      </c>
      <c r="U498" s="238">
        <f>B498*0.0396666666666667/100</f>
        <v>3.9666666666666697E-2</v>
      </c>
      <c r="V498" s="238">
        <f>B498*1.236/100</f>
        <v>1.236</v>
      </c>
      <c r="W498" s="238">
        <f>B498*32.44/100</f>
        <v>32.44</v>
      </c>
      <c r="X498" s="238">
        <f>B498*0.0766666666666667/100</f>
        <v>7.6666666666666702E-2</v>
      </c>
      <c r="Y498" s="238">
        <f>B498*0.3/100</f>
        <v>0.3</v>
      </c>
      <c r="Z498" s="242" t="s">
        <v>455</v>
      </c>
      <c r="AA498" s="242" t="s">
        <v>455</v>
      </c>
      <c r="AB498" s="242" t="s">
        <v>3254</v>
      </c>
    </row>
    <row r="499" spans="1:28">
      <c r="A499" s="232" t="s">
        <v>830</v>
      </c>
      <c r="B499" s="59">
        <v>100</v>
      </c>
      <c r="C499" s="240">
        <f>B499*143.111733333333/100</f>
        <v>143.11173333333301</v>
      </c>
      <c r="D499" s="239">
        <f>B499*13.03/100</f>
        <v>13.03</v>
      </c>
      <c r="E499" s="240">
        <f>B499*8.9/100</f>
        <v>8.9</v>
      </c>
      <c r="F499" s="252">
        <f>B499*2.6/100</f>
        <v>2.6</v>
      </c>
      <c r="G499" s="252">
        <f>B499*3.6/100</f>
        <v>3.6</v>
      </c>
      <c r="H499" s="252">
        <f>B499*1.2/100</f>
        <v>1.2</v>
      </c>
      <c r="I499" s="263">
        <f>B499*1.02/100</f>
        <v>1.02</v>
      </c>
      <c r="J499" s="263">
        <f>B499*0.11/100</f>
        <v>0.11</v>
      </c>
      <c r="K499" s="239">
        <f>B499*355.94/100</f>
        <v>355.94</v>
      </c>
      <c r="L499" s="242">
        <f>B499*1.63666666666667/100</f>
        <v>1.63666666666667</v>
      </c>
      <c r="M499" s="242" t="s">
        <v>454</v>
      </c>
      <c r="N499" s="240">
        <f>B499*42.0233333333333/100</f>
        <v>42.023333333333291</v>
      </c>
      <c r="O499" s="240">
        <f>B499*12.66/100</f>
        <v>12.66</v>
      </c>
      <c r="P499" s="240" t="s">
        <v>455</v>
      </c>
      <c r="Q499" s="240">
        <f>B499*164.35/100</f>
        <v>164.35</v>
      </c>
      <c r="R499" s="240">
        <f>B499*1.56333333333333/100</f>
        <v>1.5633333333333299</v>
      </c>
      <c r="S499" s="240">
        <f>B499*167.91/100</f>
        <v>167.91</v>
      </c>
      <c r="T499" s="240">
        <f>B499*150/100</f>
        <v>150</v>
      </c>
      <c r="U499" s="240">
        <f>B499*0.06/100</f>
        <v>0.06</v>
      </c>
      <c r="V499" s="240">
        <f>B499*1.08333333333333/100</f>
        <v>1.0833333333333299</v>
      </c>
      <c r="W499" s="240">
        <f>B499*78.8266666666667/100</f>
        <v>78.826666666666696</v>
      </c>
      <c r="X499" s="240">
        <f>B499*0.07/100</f>
        <v>7.0000000000000007E-2</v>
      </c>
      <c r="Y499" s="240">
        <f>B499*0.58/100</f>
        <v>0.57999999999999996</v>
      </c>
      <c r="Z499" s="240" t="s">
        <v>455</v>
      </c>
      <c r="AA499" s="240">
        <f>B499*0.75/100</f>
        <v>0.75</v>
      </c>
      <c r="AB499" s="240" t="s">
        <v>3254</v>
      </c>
    </row>
    <row r="500" spans="1:28">
      <c r="A500" s="222" t="s">
        <v>3196</v>
      </c>
      <c r="B500" s="59">
        <v>100</v>
      </c>
      <c r="C500" s="247">
        <f>B500*240.187224009117/100</f>
        <v>240.18722400911699</v>
      </c>
      <c r="D500" s="247">
        <f>B500*15.6166666666667/100</f>
        <v>15.616666666666699</v>
      </c>
      <c r="E500" s="244">
        <f>B500*18.5926666666667/100</f>
        <v>18.592666666666702</v>
      </c>
      <c r="F500" s="258">
        <f>B500*4.11633333333333/100</f>
        <v>4.1163333333333298</v>
      </c>
      <c r="G500" s="258">
        <f>B500*5.727/100</f>
        <v>5.7270000000000003</v>
      </c>
      <c r="H500" s="258">
        <f>B500*4.91333333333333/100</f>
        <v>4.9133333333333304</v>
      </c>
      <c r="I500" s="263">
        <f>B500*4.51666666666667/100</f>
        <v>4.5166666666666702</v>
      </c>
      <c r="J500" s="263">
        <f>B500*0.366666666666667/100</f>
        <v>0.36666666666666697</v>
      </c>
      <c r="K500" s="244">
        <f>B500*516.263666666667/100</f>
        <v>516.26366666666695</v>
      </c>
      <c r="L500" s="247">
        <f>B500*1.19366666666666/100</f>
        <v>1.19366666666666</v>
      </c>
      <c r="M500" s="258" t="s">
        <v>454</v>
      </c>
      <c r="N500" s="244">
        <f>B500*72.8873333333333/100</f>
        <v>72.887333333333302</v>
      </c>
      <c r="O500" s="244">
        <f>B500*16.2503333333333/100</f>
        <v>16.250333333333302</v>
      </c>
      <c r="P500" s="244">
        <f>B500*0.0343333333333333/100</f>
        <v>3.4333333333333299E-2</v>
      </c>
      <c r="Q500" s="244">
        <f>B500*422.410666666667/100</f>
        <v>422.410666666667</v>
      </c>
      <c r="R500" s="244">
        <f>B500*2.09666666666667/100</f>
        <v>2.0966666666666698</v>
      </c>
      <c r="S500" s="244">
        <f>B500*166.112333333333/100</f>
        <v>166.112333333333</v>
      </c>
      <c r="T500" s="244">
        <f>B500*184.007/100</f>
        <v>184.00700000000001</v>
      </c>
      <c r="U500" s="244">
        <f>B500*0.0386666666666667/100</f>
        <v>3.8666666666666703E-2</v>
      </c>
      <c r="V500" s="244">
        <f>B500*1.46133333333333/100</f>
        <v>1.46133333333333</v>
      </c>
      <c r="W500" s="244">
        <f>B500*93.8933333333333/100</f>
        <v>93.893333333333302</v>
      </c>
      <c r="X500" s="244">
        <f>B500*0.0633333333333333/100</f>
        <v>6.3333333333333297E-2</v>
      </c>
      <c r="Y500" s="244">
        <f>B500*0.316666666666667/100</f>
        <v>0.31666666666666698</v>
      </c>
      <c r="Z500" s="244" t="s">
        <v>455</v>
      </c>
      <c r="AA500" s="244" t="s">
        <v>455</v>
      </c>
      <c r="AB500" s="244" t="s">
        <v>455</v>
      </c>
    </row>
    <row r="501" spans="1:28" s="220" customFormat="1">
      <c r="A501" s="228" t="s">
        <v>832</v>
      </c>
      <c r="B501" s="237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  <c r="AA501" s="268"/>
      <c r="AB501" s="268"/>
    </row>
    <row r="502" spans="1:28">
      <c r="A502" s="232" t="s">
        <v>833</v>
      </c>
      <c r="B502" s="59">
        <v>100</v>
      </c>
      <c r="C502" s="239">
        <f>B502*401.02/100</f>
        <v>401.02</v>
      </c>
      <c r="D502" s="239">
        <f>B502*4.20333333333333/100</f>
        <v>4.2033333333333296</v>
      </c>
      <c r="E502" s="272">
        <f>B502*2.16666666666667/100</f>
        <v>2.1666666666666701</v>
      </c>
      <c r="F502" s="252">
        <f>B502*1.1/100</f>
        <v>1.1000000000000001</v>
      </c>
      <c r="G502" s="252">
        <f>B502*0.6/100</f>
        <v>0.6</v>
      </c>
      <c r="H502" s="252">
        <f>B502*0.3/100</f>
        <v>0.3</v>
      </c>
      <c r="I502" s="263">
        <f>B502*0.29/100</f>
        <v>0.28999999999999998</v>
      </c>
      <c r="J502" s="263">
        <f>B502*0.03/100</f>
        <v>0.03</v>
      </c>
      <c r="K502" s="239" t="s">
        <v>455</v>
      </c>
      <c r="L502" s="242">
        <f>B502*91.1766666666667/100</f>
        <v>91.176666666666691</v>
      </c>
      <c r="M502" s="239">
        <f>B502*3.89/100</f>
        <v>3.89</v>
      </c>
      <c r="N502" s="240">
        <f>B502*44.4033333333333/100</f>
        <v>44.4033333333333</v>
      </c>
      <c r="O502" s="240">
        <f>B502*76.7433333333333/100</f>
        <v>76.743333333333297</v>
      </c>
      <c r="P502" s="240">
        <f>B502*0.550666666666667/100</f>
        <v>0.55066666666666697</v>
      </c>
      <c r="Q502" s="240">
        <f>B502*199.966666666667/100</f>
        <v>199.96666666666701</v>
      </c>
      <c r="R502" s="240">
        <f>B502*5.36/100</f>
        <v>5.36</v>
      </c>
      <c r="S502" s="240">
        <f>B502*64.7866666666667/100</f>
        <v>64.786666666666704</v>
      </c>
      <c r="T502" s="240">
        <f>B502*496.45/100</f>
        <v>496.45</v>
      </c>
      <c r="U502" s="240">
        <f>B502*0.56/100</f>
        <v>0.56000000000000005</v>
      </c>
      <c r="V502" s="240">
        <f>B502*1.04/100</f>
        <v>1.04</v>
      </c>
      <c r="W502" s="240">
        <f>B502*795.85/100</f>
        <v>795.85</v>
      </c>
      <c r="X502" s="257">
        <f>B502*1.38/100</f>
        <v>1.38</v>
      </c>
      <c r="Y502" s="240">
        <f>B502*1.02/100</f>
        <v>1.02</v>
      </c>
      <c r="Z502" s="240">
        <f>B502*1.52333333333333/100</f>
        <v>1.5233333333333301</v>
      </c>
      <c r="AA502" s="240">
        <f>B502*4.98666666666667/100</f>
        <v>4.9866666666666699</v>
      </c>
      <c r="AB502" s="240" t="s">
        <v>455</v>
      </c>
    </row>
    <row r="503" spans="1:28">
      <c r="A503" s="232" t="s">
        <v>834</v>
      </c>
      <c r="B503" s="59">
        <v>100</v>
      </c>
      <c r="C503" s="239">
        <f>B503*386.845724/100</f>
        <v>386.84572400000002</v>
      </c>
      <c r="D503" s="239">
        <f>B503*0.32/100</f>
        <v>0.32</v>
      </c>
      <c r="E503" s="246" t="s">
        <v>455</v>
      </c>
      <c r="F503" s="252"/>
      <c r="G503" s="252"/>
      <c r="H503" s="252"/>
      <c r="I503" s="263"/>
      <c r="J503" s="263"/>
      <c r="K503" s="239" t="s">
        <v>454</v>
      </c>
      <c r="L503" s="242">
        <f>B503*99.61/100</f>
        <v>99.61</v>
      </c>
      <c r="M503" s="239" t="s">
        <v>454</v>
      </c>
      <c r="N503" s="239">
        <f>B503*7.58666666666667/100</f>
        <v>7.5866666666666696</v>
      </c>
      <c r="O503" s="239">
        <f>B503*1.00666666666667/100</f>
        <v>1.0066666666666699</v>
      </c>
      <c r="P503" s="240" t="s">
        <v>3254</v>
      </c>
      <c r="Q503" s="250" t="s">
        <v>455</v>
      </c>
      <c r="R503" s="239">
        <f>B503*0.163333333333333/100</f>
        <v>0.163333333333333</v>
      </c>
      <c r="S503" s="239" t="s">
        <v>455</v>
      </c>
      <c r="T503" s="239">
        <f>B503*2.56/100</f>
        <v>2.56</v>
      </c>
      <c r="U503" s="239" t="s">
        <v>3255</v>
      </c>
      <c r="V503" s="239" t="s">
        <v>455</v>
      </c>
      <c r="W503" s="239" t="s">
        <v>454</v>
      </c>
      <c r="X503" s="239"/>
      <c r="Y503" s="239"/>
      <c r="Z503" s="239"/>
      <c r="AA503" s="239"/>
      <c r="AB503" s="239"/>
    </row>
    <row r="504" spans="1:28">
      <c r="A504" s="222" t="s">
        <v>3197</v>
      </c>
      <c r="B504" s="59">
        <v>100</v>
      </c>
      <c r="C504" s="247">
        <f>B504*368.554822524389/100</f>
        <v>368.55482252438901</v>
      </c>
      <c r="D504" s="247">
        <f>B504*0.758333333333333/100</f>
        <v>0.75833333333333297</v>
      </c>
      <c r="E504" s="244">
        <f>B504*0.092/100</f>
        <v>9.1999999999999998E-2</v>
      </c>
      <c r="F504" s="252"/>
      <c r="G504" s="252"/>
      <c r="H504" s="252"/>
      <c r="I504" s="263"/>
      <c r="J504" s="263"/>
      <c r="K504" s="247" t="s">
        <v>454</v>
      </c>
      <c r="L504" s="247">
        <f>B504*94.45/100</f>
        <v>94.45</v>
      </c>
      <c r="M504" s="239" t="s">
        <v>454</v>
      </c>
      <c r="N504" s="244">
        <f>B504*126.529/100</f>
        <v>126.529</v>
      </c>
      <c r="O504" s="244">
        <f>B504*79.9466666666667/100</f>
        <v>79.946666666666701</v>
      </c>
      <c r="P504" s="244">
        <f>B504*2.026/100</f>
        <v>2.0259999999999998</v>
      </c>
      <c r="Q504" s="244">
        <f>B504*38.16/100</f>
        <v>38.159999999999997</v>
      </c>
      <c r="R504" s="244">
        <f>B504*8.30366666666667/100</f>
        <v>8.3036666666666701</v>
      </c>
      <c r="S504" s="244">
        <f>B504*25.204/100</f>
        <v>25.204000000000001</v>
      </c>
      <c r="T504" s="244">
        <f>B504*521.626666666667/100</f>
        <v>521.62666666666701</v>
      </c>
      <c r="U504" s="244">
        <f>B504*0.171333333333333/100</f>
        <v>0.171333333333333</v>
      </c>
      <c r="V504" s="244">
        <f>B504*0.477666666666667/100</f>
        <v>0.47766666666666702</v>
      </c>
      <c r="W504" s="247" t="s">
        <v>454</v>
      </c>
      <c r="X504" s="244" t="s">
        <v>455</v>
      </c>
      <c r="Y504" s="244">
        <f>B504*0.03/100</f>
        <v>0.03</v>
      </c>
      <c r="Z504" s="244" t="s">
        <v>455</v>
      </c>
      <c r="AA504" s="244" t="s">
        <v>455</v>
      </c>
      <c r="AB504" s="244" t="s">
        <v>455</v>
      </c>
    </row>
    <row r="505" spans="1:28">
      <c r="A505" s="232" t="s">
        <v>835</v>
      </c>
      <c r="B505" s="59">
        <v>100</v>
      </c>
      <c r="C505" s="239">
        <f>B505*386.574824/100</f>
        <v>386.57482400000004</v>
      </c>
      <c r="D505" s="239">
        <f>B505*0.32/100</f>
        <v>0.32</v>
      </c>
      <c r="E505" s="246" t="s">
        <v>455</v>
      </c>
      <c r="F505" s="252"/>
      <c r="G505" s="252"/>
      <c r="H505" s="252"/>
      <c r="I505" s="263"/>
      <c r="J505" s="263"/>
      <c r="K505" s="239" t="s">
        <v>454</v>
      </c>
      <c r="L505" s="242">
        <f>B505*99.54/100</f>
        <v>99.54</v>
      </c>
      <c r="M505" s="239" t="s">
        <v>454</v>
      </c>
      <c r="N505" s="239">
        <f>B505*3.5/100</f>
        <v>3.5</v>
      </c>
      <c r="O505" s="239">
        <f>B505*0.546666666666667/100</f>
        <v>0.54666666666666697</v>
      </c>
      <c r="P505" s="240" t="s">
        <v>3254</v>
      </c>
      <c r="Q505" s="250" t="s">
        <v>455</v>
      </c>
      <c r="R505" s="239">
        <f>B505*0.106666666666667/100</f>
        <v>0.10666666666666699</v>
      </c>
      <c r="S505" s="240">
        <f>B505*12.16/100</f>
        <v>12.16</v>
      </c>
      <c r="T505" s="239">
        <f>B505*6.35333333333333/100</f>
        <v>6.3533333333333299</v>
      </c>
      <c r="U505" s="239" t="s">
        <v>3255</v>
      </c>
      <c r="V505" s="239" t="s">
        <v>455</v>
      </c>
      <c r="W505" s="239" t="s">
        <v>454</v>
      </c>
      <c r="X505" s="239"/>
      <c r="Y505" s="239"/>
      <c r="Z505" s="239"/>
      <c r="AA505" s="239"/>
      <c r="AB505" s="239"/>
    </row>
    <row r="506" spans="1:28">
      <c r="A506" s="232" t="s">
        <v>836</v>
      </c>
      <c r="B506" s="59">
        <v>100</v>
      </c>
      <c r="C506" s="240">
        <f>B506*539.586666666667/100</f>
        <v>539.58666666666704</v>
      </c>
      <c r="D506" s="239">
        <f>B506*7.22/100</f>
        <v>7.22</v>
      </c>
      <c r="E506" s="240">
        <f>B506*30.2666666666667/100</f>
        <v>30.266666666666701</v>
      </c>
      <c r="F506" s="252">
        <f>B506*17.5/100</f>
        <v>17.5</v>
      </c>
      <c r="G506" s="252">
        <f>B506*10/100</f>
        <v>10</v>
      </c>
      <c r="H506" s="252">
        <f>B506*0.9/100</f>
        <v>0.9</v>
      </c>
      <c r="I506" s="263">
        <f>B506*0.91/100</f>
        <v>0.91</v>
      </c>
      <c r="J506" s="263">
        <f>B506*0.03/100</f>
        <v>0.03</v>
      </c>
      <c r="K506" s="240">
        <f>B506*16.5175/100</f>
        <v>16.517499999999998</v>
      </c>
      <c r="L506" s="242">
        <f>B506*59.5766666666667/100</f>
        <v>59.576666666666704</v>
      </c>
      <c r="M506" s="240">
        <f>B506*2.17/100</f>
        <v>2.17</v>
      </c>
      <c r="N506" s="240">
        <f>B506*191.19/100</f>
        <v>191.19</v>
      </c>
      <c r="O506" s="240">
        <f>B506*57.1/100</f>
        <v>57.1</v>
      </c>
      <c r="P506" s="240">
        <f>B506*0.302666666666667/100</f>
        <v>0.30266666666666697</v>
      </c>
      <c r="Q506" s="240">
        <f>B506*212.113333333333/100</f>
        <v>212.113333333333</v>
      </c>
      <c r="R506" s="240">
        <f>B506*1.57666666666667/100</f>
        <v>1.57666666666667</v>
      </c>
      <c r="S506" s="240">
        <f>B506*77.1/100</f>
        <v>77.099999999999994</v>
      </c>
      <c r="T506" s="240">
        <f>B506*354.513333333333/100</f>
        <v>354.51333333333298</v>
      </c>
      <c r="U506" s="240">
        <f>B506*0.313333333333333/100</f>
        <v>0.31333333333333302</v>
      </c>
      <c r="V506" s="240">
        <f>B506*1.06333333333333/100</f>
        <v>1.0633333333333299</v>
      </c>
      <c r="W506" s="240" t="s">
        <v>455</v>
      </c>
      <c r="X506" s="240">
        <f>B506*0.05/100</f>
        <v>0.05</v>
      </c>
      <c r="Y506" s="240">
        <f>B506*0.216666666666667/100</f>
        <v>0.21666666666666701</v>
      </c>
      <c r="Z506" s="240">
        <f>B506*0.59/100</f>
        <v>0.59</v>
      </c>
      <c r="AA506" s="240">
        <f>B506*0.63/100</f>
        <v>0.63</v>
      </c>
      <c r="AB506" s="240" t="s">
        <v>455</v>
      </c>
    </row>
    <row r="507" spans="1:28">
      <c r="A507" s="232" t="s">
        <v>940</v>
      </c>
      <c r="B507" s="59">
        <v>100</v>
      </c>
      <c r="C507" s="238">
        <f>B507*558.876333333333/100</f>
        <v>558.87633333333304</v>
      </c>
      <c r="D507" s="238">
        <f>B507*7.4125/100</f>
        <v>7.4124999999999996</v>
      </c>
      <c r="E507" s="248">
        <f>B507*34.191/100</f>
        <v>34.191000000000003</v>
      </c>
      <c r="F507" s="252">
        <f>B507*14.1/100</f>
        <v>14.1</v>
      </c>
      <c r="G507" s="252">
        <f>B507*9.3/100</f>
        <v>9.3000000000000007</v>
      </c>
      <c r="H507" s="252">
        <f>B507*3.2/100</f>
        <v>3.2</v>
      </c>
      <c r="I507" s="263">
        <f>B507*3.09/100</f>
        <v>3.09</v>
      </c>
      <c r="J507" s="263">
        <f>B507*0.07/100</f>
        <v>7.0000000000000007E-2</v>
      </c>
      <c r="K507" s="238">
        <f>B507*15.5013333333333/100</f>
        <v>15.501333333333299</v>
      </c>
      <c r="L507" s="242">
        <f>B507*55.3768333333333/100</f>
        <v>55.376833333333295</v>
      </c>
      <c r="M507" s="238">
        <f>B507*2.458/100</f>
        <v>2.4580000000000002</v>
      </c>
      <c r="N507" s="238">
        <f>B507*171.232666666667/100</f>
        <v>171.232666666667</v>
      </c>
      <c r="O507" s="238">
        <f>B507*79.566/100</f>
        <v>79.566000000000003</v>
      </c>
      <c r="P507" s="238">
        <f>B507*0.363666666666667/100</f>
        <v>0.36366666666666703</v>
      </c>
      <c r="Q507" s="238">
        <f>B507*302.522/100</f>
        <v>302.52199999999999</v>
      </c>
      <c r="R507" s="238">
        <f>B507*1.471/100</f>
        <v>1.4710000000000003</v>
      </c>
      <c r="S507" s="238">
        <f>B507*64.05/100</f>
        <v>64.05</v>
      </c>
      <c r="T507" s="238">
        <f>B507*430.915666666667/100</f>
        <v>430.91566666666699</v>
      </c>
      <c r="U507" s="238">
        <f>B507*0.452/100</f>
        <v>0.45200000000000001</v>
      </c>
      <c r="V507" s="238">
        <f>B507*1.304/100</f>
        <v>1.304</v>
      </c>
      <c r="W507" s="238">
        <f>B507*36.1533333333333/100</f>
        <v>36.1533333333333</v>
      </c>
      <c r="X507" s="238">
        <f>B507*0.04/100</f>
        <v>0.04</v>
      </c>
      <c r="Y507" s="238">
        <f>B507*0.243333333333333/100</f>
        <v>0.24333333333333301</v>
      </c>
      <c r="Z507" s="242" t="s">
        <v>455</v>
      </c>
      <c r="AA507" s="238">
        <f>B507*1.36666666666667/100</f>
        <v>1.36666666666667</v>
      </c>
      <c r="AB507" s="238">
        <f>B507*1.42/100</f>
        <v>1.42</v>
      </c>
    </row>
    <row r="508" spans="1:28">
      <c r="A508" s="232" t="s">
        <v>837</v>
      </c>
      <c r="B508" s="59">
        <v>100</v>
      </c>
      <c r="C508" s="238">
        <f>B508*556.824333333333/100</f>
        <v>556.82433333333302</v>
      </c>
      <c r="D508" s="238">
        <f>B508*6.89791666666667/100</f>
        <v>6.8979166666666698</v>
      </c>
      <c r="E508" s="248">
        <f>B508*33.771/100</f>
        <v>33.771000000000001</v>
      </c>
      <c r="F508" s="252">
        <f>B508*19.2/100</f>
        <v>19.2</v>
      </c>
      <c r="G508" s="252">
        <f>B508*11.4/100</f>
        <v>11.4</v>
      </c>
      <c r="H508" s="252">
        <f>B508*1.5/100</f>
        <v>1.5</v>
      </c>
      <c r="I508" s="263">
        <f>B508*1.41/100</f>
        <v>1.41</v>
      </c>
      <c r="J508" s="263">
        <f>B508*0.1/100</f>
        <v>0.1</v>
      </c>
      <c r="K508" s="238">
        <f>B508*12.9603333333333/100</f>
        <v>12.960333333333301</v>
      </c>
      <c r="L508" s="242">
        <f>B508*56.3234166666667/100</f>
        <v>56.323416666666702</v>
      </c>
      <c r="M508" s="238">
        <f>B508*2.84666666666667/100</f>
        <v>2.8466666666666698</v>
      </c>
      <c r="N508" s="238">
        <f>B508*187.885666666667/100</f>
        <v>187.88566666666699</v>
      </c>
      <c r="O508" s="238">
        <f>B508*67.2063333333333/100</f>
        <v>67.206333333333305</v>
      </c>
      <c r="P508" s="238">
        <f>B508*0.406666666666667/100</f>
        <v>0.40666666666666701</v>
      </c>
      <c r="Q508" s="238">
        <f>B508*276.471/100</f>
        <v>276.471</v>
      </c>
      <c r="R508" s="238">
        <f>B508*3.31066666666667/100</f>
        <v>3.3106666666666702</v>
      </c>
      <c r="S508" s="238">
        <f>B508*84.7083333333333/100</f>
        <v>84.7083333333333</v>
      </c>
      <c r="T508" s="238">
        <f>B508*458.401666666667/100</f>
        <v>458.40166666666698</v>
      </c>
      <c r="U508" s="238">
        <f>B508*0.425333333333333/100</f>
        <v>0.42533333333333301</v>
      </c>
      <c r="V508" s="238">
        <f>B508*1.11566666666667/100</f>
        <v>1.1156666666666699</v>
      </c>
      <c r="W508" s="238">
        <f>B508*7.03666666666667/100</f>
        <v>7.0366666666666697</v>
      </c>
      <c r="X508" s="238">
        <f>B508*0.306666666666667/100</f>
        <v>0.30666666666666698</v>
      </c>
      <c r="Y508" s="238">
        <f>B508*0.25/100</f>
        <v>0.25</v>
      </c>
      <c r="Z508" s="242" t="s">
        <v>455</v>
      </c>
      <c r="AA508" s="238">
        <f>B508*0.79/100</f>
        <v>0.79</v>
      </c>
      <c r="AB508" s="238">
        <f>B508*2.04666666666667/100</f>
        <v>2.04666666666667</v>
      </c>
    </row>
    <row r="509" spans="1:28">
      <c r="A509" s="232" t="s">
        <v>838</v>
      </c>
      <c r="B509" s="59">
        <v>100</v>
      </c>
      <c r="C509" s="238">
        <f>B509*474.917769973274/100</f>
        <v>474.91776997327395</v>
      </c>
      <c r="D509" s="238">
        <f>B509*4.86244343217214/100</f>
        <v>4.8624434321721397</v>
      </c>
      <c r="E509" s="248">
        <f>B509*29.8566666666667/100</f>
        <v>29.856666666666701</v>
      </c>
      <c r="F509" s="252">
        <f>B509*13.1/100</f>
        <v>13.1</v>
      </c>
      <c r="G509" s="252">
        <f>B509*8.1/100</f>
        <v>8.1</v>
      </c>
      <c r="H509" s="252">
        <f>B509*1/100</f>
        <v>1</v>
      </c>
      <c r="I509" s="263">
        <f>B509*0.94/100</f>
        <v>0.94</v>
      </c>
      <c r="J509" s="263">
        <f>B509*0.06/100</f>
        <v>0.06</v>
      </c>
      <c r="K509" s="238">
        <f>B509*2.22033333333333/100</f>
        <v>2.2203333333333299</v>
      </c>
      <c r="L509" s="242">
        <f>B509*62.4228899011612/100</f>
        <v>62.422889901161199</v>
      </c>
      <c r="M509" s="238">
        <f>B509*4.94366666666667/100</f>
        <v>4.9436666666666698</v>
      </c>
      <c r="N509" s="238">
        <f>B509*44.6653333333333/100</f>
        <v>44.665333333333301</v>
      </c>
      <c r="O509" s="238">
        <f>B509*107.363666666667/100</f>
        <v>107.363666666667</v>
      </c>
      <c r="P509" s="238">
        <f>B509*0.832333333333333/100</f>
        <v>0.83233333333333304</v>
      </c>
      <c r="Q509" s="238">
        <f>B509*219.979333333333/100</f>
        <v>219.97933333333299</v>
      </c>
      <c r="R509" s="238">
        <f>B509*3.61066666666667/100</f>
        <v>3.61066666666667</v>
      </c>
      <c r="S509" s="238">
        <f>B509*8.867/100</f>
        <v>8.8670000000000009</v>
      </c>
      <c r="T509" s="238">
        <f>B509*431.695666666667/100</f>
        <v>431.69566666666702</v>
      </c>
      <c r="U509" s="238">
        <f>B509*0.765666666666667/100</f>
        <v>0.76566666666666705</v>
      </c>
      <c r="V509" s="238">
        <f>B509*1.52133333333333/100</f>
        <v>1.5213333333333301</v>
      </c>
      <c r="W509" s="242" t="s">
        <v>455</v>
      </c>
      <c r="X509" s="238">
        <f>B509*0.2/100</f>
        <v>0.2</v>
      </c>
      <c r="Y509" s="238">
        <f>B509*0.0366666666666667/100</f>
        <v>3.6666666666666702E-2</v>
      </c>
      <c r="Z509" s="242" t="s">
        <v>455</v>
      </c>
      <c r="AA509" s="238">
        <f>B509*1.06333333333333/100</f>
        <v>1.0633333333333299</v>
      </c>
      <c r="AB509" s="238">
        <f>B509*2.09666666666667/100</f>
        <v>2.0966666666666698</v>
      </c>
    </row>
    <row r="510" spans="1:28">
      <c r="A510" s="232" t="s">
        <v>839</v>
      </c>
      <c r="B510" s="59">
        <v>100</v>
      </c>
      <c r="C510" s="238">
        <f>B510*448.84545242331/100</f>
        <v>448.84545242331001</v>
      </c>
      <c r="D510" s="238">
        <f>B510*1.12183337370555/100</f>
        <v>1.1218333737055499</v>
      </c>
      <c r="E510" s="248">
        <f>B510*13.587/100</f>
        <v>13.587</v>
      </c>
      <c r="F510" s="252">
        <f>B510*8.4/100</f>
        <v>8.4</v>
      </c>
      <c r="G510" s="252">
        <f>B510*0.4/100</f>
        <v>0.4</v>
      </c>
      <c r="H510" s="252">
        <f>B510*0.1/100</f>
        <v>0.1</v>
      </c>
      <c r="I510" s="263">
        <f>B510*0.07/100</f>
        <v>7.0000000000000007E-2</v>
      </c>
      <c r="J510" s="263"/>
      <c r="K510" s="242" t="s">
        <v>454</v>
      </c>
      <c r="L510" s="242">
        <f>B510*81.3831666262945/100</f>
        <v>81.383166626294496</v>
      </c>
      <c r="M510" s="238">
        <f>B510*3.569/100</f>
        <v>3.569</v>
      </c>
      <c r="N510" s="238">
        <f>B510*7.05733333333333/100</f>
        <v>7.0573333333333297</v>
      </c>
      <c r="O510" s="238">
        <f>B510*17.4086666666667/100</f>
        <v>17.408666666666701</v>
      </c>
      <c r="P510" s="238">
        <f>B510*0.360666666666667/100</f>
        <v>0.36066666666666708</v>
      </c>
      <c r="Q510" s="238">
        <f>B510*396.41/100</f>
        <v>396.41</v>
      </c>
      <c r="R510" s="238">
        <f>B510*1.243/100</f>
        <v>1.2430000000000001</v>
      </c>
      <c r="S510" s="238">
        <f>B510*28.9923333333333/100</f>
        <v>28.992333333333299</v>
      </c>
      <c r="T510" s="238">
        <f>B510*183.073/100</f>
        <v>183.07299999999998</v>
      </c>
      <c r="U510" s="238">
        <f>B510*0.202333333333333/100</f>
        <v>0.20233333333333298</v>
      </c>
      <c r="V510" s="238">
        <f>B510*0.412/100</f>
        <v>0.41199999999999998</v>
      </c>
      <c r="W510" s="242" t="s">
        <v>454</v>
      </c>
      <c r="X510" s="242" t="s">
        <v>455</v>
      </c>
      <c r="Y510" s="242" t="s">
        <v>455</v>
      </c>
      <c r="Z510" s="238">
        <f>B510*0.163333333333333/100</f>
        <v>0.163333333333333</v>
      </c>
      <c r="AA510" s="238">
        <f>B510*0.466666666666667/100</f>
        <v>0.46666666666666701</v>
      </c>
      <c r="AB510" s="242" t="s">
        <v>455</v>
      </c>
    </row>
    <row r="511" spans="1:28">
      <c r="A511" s="232" t="s">
        <v>3198</v>
      </c>
      <c r="B511" s="59">
        <v>100</v>
      </c>
      <c r="C511" s="238">
        <f>B511*198.936063049634/100</f>
        <v>198.93606304963399</v>
      </c>
      <c r="D511" s="238">
        <f>B511*0.916666666666667/100</f>
        <v>0.91666666666666696</v>
      </c>
      <c r="E511" s="248">
        <f>B511*0.206666666666667/100</f>
        <v>0.206666666666667</v>
      </c>
      <c r="F511" s="252" t="s">
        <v>455</v>
      </c>
      <c r="G511" s="252" t="s">
        <v>455</v>
      </c>
      <c r="H511" s="252" t="s">
        <v>455</v>
      </c>
      <c r="I511" s="263">
        <f>B511*0.01/100</f>
        <v>0.01</v>
      </c>
      <c r="J511" s="263">
        <f>B511*0.01/100</f>
        <v>0.01</v>
      </c>
      <c r="K511" s="242" t="s">
        <v>454</v>
      </c>
      <c r="L511" s="242">
        <f>B511*54.6133333333333/100</f>
        <v>54.613333333333301</v>
      </c>
      <c r="M511" s="243">
        <f>B511*2.28/100</f>
        <v>2.2799999999999998</v>
      </c>
      <c r="N511" s="243">
        <f>B511*12.9866666666667/100</f>
        <v>12.9866666666667</v>
      </c>
      <c r="O511" s="243">
        <f>B511*5.521/100</f>
        <v>5.5209999999999999</v>
      </c>
      <c r="P511" s="248">
        <f>B511*0.008/100</f>
        <v>8.0000000000000002E-3</v>
      </c>
      <c r="Q511" s="243">
        <f>B511*13.7356666666667/100</f>
        <v>13.735666666666701</v>
      </c>
      <c r="R511" s="243">
        <f>B511*0.853333333333333/100</f>
        <v>0.85333333333333306</v>
      </c>
      <c r="S511" s="243" t="s">
        <v>455</v>
      </c>
      <c r="T511" s="243">
        <f>B511*136.746333333333/100</f>
        <v>136.74633333333301</v>
      </c>
      <c r="U511" s="243" t="s">
        <v>455</v>
      </c>
      <c r="V511" s="243" t="s">
        <v>455</v>
      </c>
      <c r="W511" s="256" t="s">
        <v>454</v>
      </c>
      <c r="X511" s="243">
        <f>B511*0.0766666666666667/100</f>
        <v>7.6666666666666702E-2</v>
      </c>
      <c r="Y511" s="243" t="s">
        <v>455</v>
      </c>
      <c r="Z511" s="243">
        <f>B511*0.04/100</f>
        <v>0.04</v>
      </c>
      <c r="AA511" s="243" t="s">
        <v>455</v>
      </c>
      <c r="AB511" s="248">
        <f>B511*0.113333333333333/100</f>
        <v>0.11333333333333301</v>
      </c>
    </row>
    <row r="512" spans="1:28">
      <c r="A512" s="222" t="s">
        <v>3199</v>
      </c>
      <c r="B512" s="59">
        <v>100</v>
      </c>
      <c r="C512" s="247">
        <f>B512*306.310130231059/100</f>
        <v>306.31013023105902</v>
      </c>
      <c r="D512" s="247">
        <f>B512*5.47829343159994/100</f>
        <v>5.4782934315999396</v>
      </c>
      <c r="E512" s="244">
        <f>B512*5.993/100</f>
        <v>5.9930000000000003</v>
      </c>
      <c r="F512" s="244">
        <f>B512*1.31666666666667/100</f>
        <v>1.31666666666667</v>
      </c>
      <c r="G512" s="244">
        <f>B512*3.86/100</f>
        <v>3.86</v>
      </c>
      <c r="H512" s="244">
        <f>B512*1.95/100</f>
        <v>1.95</v>
      </c>
      <c r="I512" s="263">
        <f>B512*1.94/100</f>
        <v>1.94</v>
      </c>
      <c r="J512" s="263">
        <f>B512*0.01/100</f>
        <v>0.01</v>
      </c>
      <c r="K512" s="244">
        <f>B512*20.0586666666667/100</f>
        <v>20.058666666666699</v>
      </c>
      <c r="L512" s="247">
        <f>B512*59.4933732350667/100</f>
        <v>59.493373235066699</v>
      </c>
      <c r="M512" s="258" t="s">
        <v>454</v>
      </c>
      <c r="N512" s="244">
        <f>B512*195.100666666667/100</f>
        <v>195.100666666667</v>
      </c>
      <c r="O512" s="244">
        <f>B512*16.262/100</f>
        <v>16.262</v>
      </c>
      <c r="P512" s="244">
        <f>B512*0.0133333333333333/100</f>
        <v>1.3333333333333299E-2</v>
      </c>
      <c r="Q512" s="244">
        <f>B512*140.784/100</f>
        <v>140.78399999999999</v>
      </c>
      <c r="R512" s="244">
        <f>B512*0.0656666666666667/100</f>
        <v>6.5666666666666706E-2</v>
      </c>
      <c r="S512" s="244">
        <f>B512*120.088666666667/100</f>
        <v>120.088666666667</v>
      </c>
      <c r="T512" s="244">
        <f>B512*259.464/100</f>
        <v>259.464</v>
      </c>
      <c r="U512" s="244">
        <f>B512*0.0223333333333333/100</f>
        <v>2.2333333333333299E-2</v>
      </c>
      <c r="V512" s="244">
        <f>B512*0.525333333333333/100</f>
        <v>0.52533333333333299</v>
      </c>
      <c r="W512" s="244">
        <f>B512*35.6366666666667/100</f>
        <v>35.636666666666699</v>
      </c>
      <c r="X512" s="244">
        <f>B512*0.05/100</f>
        <v>0.05</v>
      </c>
      <c r="Y512" s="244">
        <f>B512*0.256666666666667/100</f>
        <v>0.25666666666666699</v>
      </c>
      <c r="Z512" s="244" t="s">
        <v>455</v>
      </c>
      <c r="AA512" s="244" t="s">
        <v>455</v>
      </c>
      <c r="AB512" s="244" t="s">
        <v>455</v>
      </c>
    </row>
    <row r="513" spans="1:28">
      <c r="A513" s="232" t="s">
        <v>3200</v>
      </c>
      <c r="B513" s="59">
        <v>100</v>
      </c>
      <c r="C513" s="238">
        <f>B513*106.086666666667/100</f>
        <v>106.086666666667</v>
      </c>
      <c r="D513" s="238">
        <f>B513*2.125/100</f>
        <v>2.125</v>
      </c>
      <c r="E513" s="248">
        <f>B513*0.0733333333333333/100</f>
        <v>7.3333333333333306E-2</v>
      </c>
      <c r="F513" s="252" t="s">
        <v>455</v>
      </c>
      <c r="G513" s="252" t="s">
        <v>455</v>
      </c>
      <c r="H513" s="252" t="s">
        <v>455</v>
      </c>
      <c r="I513" s="263" t="s">
        <v>455</v>
      </c>
      <c r="J513" s="263"/>
      <c r="K513" s="242" t="s">
        <v>455</v>
      </c>
      <c r="L513" s="242">
        <f>B513*24.2316666666667/100</f>
        <v>24.231666666666701</v>
      </c>
      <c r="M513" s="242" t="s">
        <v>454</v>
      </c>
      <c r="N513" s="238">
        <f>B513*3.52333333333333/100</f>
        <v>3.5233333333333299</v>
      </c>
      <c r="O513" s="238">
        <f>B513*0.746333333333333/100</f>
        <v>0.74633333333333296</v>
      </c>
      <c r="P513" s="242" t="s">
        <v>455</v>
      </c>
      <c r="Q513" s="242" t="s">
        <v>455</v>
      </c>
      <c r="R513" s="238">
        <f>B513*0.116333333333333/100</f>
        <v>0.116333333333333</v>
      </c>
      <c r="S513" s="238">
        <f>B513*42.6803333333333/100</f>
        <v>42.680333333333301</v>
      </c>
      <c r="T513" s="238">
        <f>B513*2.005/100</f>
        <v>2.0049999999999999</v>
      </c>
      <c r="U513" s="242" t="s">
        <v>455</v>
      </c>
      <c r="V513" s="242" t="s">
        <v>455</v>
      </c>
      <c r="W513" s="242" t="s">
        <v>455</v>
      </c>
      <c r="X513" s="238">
        <f>B513*0.19/100</f>
        <v>0.19</v>
      </c>
      <c r="Y513" s="242" t="s">
        <v>455</v>
      </c>
      <c r="Z513" s="238">
        <f>B513*0.223333333333333/100</f>
        <v>0.223333333333333</v>
      </c>
      <c r="AA513" s="242" t="s">
        <v>455</v>
      </c>
      <c r="AB513" s="242" t="s">
        <v>455</v>
      </c>
    </row>
    <row r="514" spans="1:28">
      <c r="A514" s="232" t="s">
        <v>40</v>
      </c>
      <c r="B514" s="59">
        <v>100</v>
      </c>
      <c r="C514" s="238">
        <f>B514*292.118405299187/100</f>
        <v>292.11840529918697</v>
      </c>
      <c r="D514" s="242">
        <v>0</v>
      </c>
      <c r="E514" s="238">
        <v>0</v>
      </c>
      <c r="F514" s="252"/>
      <c r="G514" s="252"/>
      <c r="H514" s="252"/>
      <c r="I514" s="263"/>
      <c r="J514" s="263"/>
      <c r="K514" s="242" t="s">
        <v>454</v>
      </c>
      <c r="L514" s="242">
        <f>B514*79.38/100</f>
        <v>79.38</v>
      </c>
      <c r="M514" s="242" t="s">
        <v>454</v>
      </c>
      <c r="N514" s="238">
        <f>B514*5.66533333333333/100</f>
        <v>5.6653333333333311</v>
      </c>
      <c r="O514" s="238">
        <f>B514*1.89533333333333/100</f>
        <v>1.89533333333333</v>
      </c>
      <c r="P514" s="242" t="s">
        <v>455</v>
      </c>
      <c r="Q514" s="243">
        <f>B514*4.77566666666667/100</f>
        <v>4.7756666666666696</v>
      </c>
      <c r="R514" s="238">
        <f>B514*0.0513333333333333/100</f>
        <v>5.13333333333333E-2</v>
      </c>
      <c r="S514" s="243">
        <f>B514*58.9296666666667/100</f>
        <v>58.929666666666698</v>
      </c>
      <c r="T514" s="238">
        <f>B514*5.05633333333333/100</f>
        <v>5.0563333333333302</v>
      </c>
      <c r="U514" s="243" t="s">
        <v>455</v>
      </c>
      <c r="V514" s="243" t="s">
        <v>455</v>
      </c>
      <c r="W514" s="242" t="s">
        <v>454</v>
      </c>
      <c r="X514" s="242" t="s">
        <v>3254</v>
      </c>
      <c r="Y514" s="242" t="s">
        <v>3254</v>
      </c>
      <c r="Z514" s="242" t="s">
        <v>3254</v>
      </c>
      <c r="AA514" s="242" t="s">
        <v>3254</v>
      </c>
      <c r="AB514" s="242" t="s">
        <v>3254</v>
      </c>
    </row>
    <row r="515" spans="1:28">
      <c r="A515" s="222" t="s">
        <v>3201</v>
      </c>
      <c r="B515" s="59">
        <v>100</v>
      </c>
      <c r="C515" s="247">
        <f>B515*301.235887537/100</f>
        <v>301.235887537</v>
      </c>
      <c r="D515" s="247">
        <f>B515*3.81285013103485/100</f>
        <v>3.8128501310348502</v>
      </c>
      <c r="E515" s="244">
        <f>B515*0.19/100</f>
        <v>0.19</v>
      </c>
      <c r="F515" s="252"/>
      <c r="G515" s="252"/>
      <c r="H515" s="252"/>
      <c r="I515" s="263"/>
      <c r="J515" s="263"/>
      <c r="K515" s="258" t="s">
        <v>454</v>
      </c>
      <c r="L515" s="247">
        <f>B515*73.5534832022985/100</f>
        <v>73.553483202298494</v>
      </c>
      <c r="M515" s="244">
        <f>B515*0.666666666666667/100</f>
        <v>0.66666666666666696</v>
      </c>
      <c r="N515" s="244">
        <f>B515*13.3576666666667/100</f>
        <v>13.357666666666701</v>
      </c>
      <c r="O515" s="244">
        <f>B515*6.88666666666667/100</f>
        <v>6.8866666666666694</v>
      </c>
      <c r="P515" s="244">
        <f>B515*0.058/100</f>
        <v>5.800000000000001E-2</v>
      </c>
      <c r="Q515" s="244">
        <f>B515*4.34766666666667/100</f>
        <v>4.3476666666666697</v>
      </c>
      <c r="R515" s="244">
        <f>B515*0.394666666666667/100</f>
        <v>0.39466666666666694</v>
      </c>
      <c r="S515" s="244">
        <f>B515*15.3093333333333/100</f>
        <v>15.309333333333299</v>
      </c>
      <c r="T515" s="244">
        <f>B515*23.5593333333333/100</f>
        <v>23.559333333333299</v>
      </c>
      <c r="U515" s="244">
        <f>B515*0.195/100</f>
        <v>0.19500000000000001</v>
      </c>
      <c r="V515" s="244">
        <f>B515*0.0853333333333333/100</f>
        <v>8.5333333333333303E-2</v>
      </c>
      <c r="W515" s="258" t="s">
        <v>454</v>
      </c>
      <c r="X515" s="244">
        <f>B515*0.0433333333333333/100</f>
        <v>4.3333333333333307E-2</v>
      </c>
      <c r="Y515" s="244" t="s">
        <v>455</v>
      </c>
      <c r="Z515" s="244" t="s">
        <v>455</v>
      </c>
      <c r="AA515" s="244" t="s">
        <v>455</v>
      </c>
      <c r="AB515" s="244" t="s">
        <v>455</v>
      </c>
    </row>
    <row r="516" spans="1:28">
      <c r="A516" s="222" t="s">
        <v>3202</v>
      </c>
      <c r="B516" s="59">
        <v>100</v>
      </c>
      <c r="C516" s="247">
        <f>B516*306.631896997018/100</f>
        <v>306.63189699701798</v>
      </c>
      <c r="D516" s="247">
        <f>B516*3.93495013523102/100</f>
        <v>3.9349501352310199</v>
      </c>
      <c r="E516" s="244">
        <f>B516*0.0893333333333333/100</f>
        <v>8.9333333333333306E-2</v>
      </c>
      <c r="F516" s="252"/>
      <c r="G516" s="252"/>
      <c r="H516" s="252"/>
      <c r="I516" s="263"/>
      <c r="J516" s="263"/>
      <c r="K516" s="258" t="s">
        <v>454</v>
      </c>
      <c r="L516" s="247">
        <f>B516*75.0593831981023/100</f>
        <v>75.059383198102296</v>
      </c>
      <c r="M516" s="244">
        <f>B516*0.636666666666667/100</f>
        <v>0.63666666666666705</v>
      </c>
      <c r="N516" s="244">
        <f>B516*19.4563333333333/100</f>
        <v>19.456333333333301</v>
      </c>
      <c r="O516" s="244">
        <f>B516*5.98766666666667/100</f>
        <v>5.9876666666666702</v>
      </c>
      <c r="P516" s="244">
        <f>B516*0.085/100</f>
        <v>8.5000000000000006E-2</v>
      </c>
      <c r="Q516" s="244">
        <f>B516*5.41666666666667/100</f>
        <v>5.4166666666666696</v>
      </c>
      <c r="R516" s="244">
        <f>B516*0.471333333333333/100</f>
        <v>0.47133333333333299</v>
      </c>
      <c r="S516" s="244">
        <f>B516*14.2873333333333/100</f>
        <v>14.287333333333301</v>
      </c>
      <c r="T516" s="244">
        <f>B516*35.959/100</f>
        <v>35.959000000000003</v>
      </c>
      <c r="U516" s="244">
        <f>B516*0.0266666666666667/100</f>
        <v>2.66666666666667E-2</v>
      </c>
      <c r="V516" s="244">
        <f>B516*0.0946666666666667/100</f>
        <v>9.4666666666666704E-2</v>
      </c>
      <c r="W516" s="258" t="s">
        <v>454</v>
      </c>
      <c r="X516" s="244">
        <f>B516*0.0366666666666667/100</f>
        <v>3.6666666666666702E-2</v>
      </c>
      <c r="Y516" s="244" t="s">
        <v>455</v>
      </c>
      <c r="Z516" s="244" t="s">
        <v>455</v>
      </c>
      <c r="AA516" s="244" t="s">
        <v>455</v>
      </c>
      <c r="AB516" s="244" t="s">
        <v>455</v>
      </c>
    </row>
    <row r="517" spans="1:28">
      <c r="A517" s="233" t="s">
        <v>3203</v>
      </c>
      <c r="B517" s="59">
        <v>100</v>
      </c>
      <c r="C517" s="247">
        <f>B517*257.241473193804/100</f>
        <v>257.24147319380398</v>
      </c>
      <c r="D517" s="247">
        <f>B517*0.4/100</f>
        <v>0.4</v>
      </c>
      <c r="E517" s="244">
        <f>B517*0.137333333333333/100</f>
        <v>0.137333333333333</v>
      </c>
      <c r="F517" s="252"/>
      <c r="G517" s="252"/>
      <c r="H517" s="252"/>
      <c r="I517" s="263"/>
      <c r="J517" s="263"/>
      <c r="K517" s="258" t="s">
        <v>454</v>
      </c>
      <c r="L517" s="247">
        <f>B517*70.7633333333333/100</f>
        <v>70.763333333333307</v>
      </c>
      <c r="M517" s="244">
        <f>B517*4.07/100</f>
        <v>4.07</v>
      </c>
      <c r="N517" s="244">
        <f>B517*11.3246666666667/100</f>
        <v>11.324666666666699</v>
      </c>
      <c r="O517" s="244">
        <f>B517*5.80333333333333/100</f>
        <v>5.8033333333333301</v>
      </c>
      <c r="P517" s="244">
        <f>B517*0.055/100</f>
        <v>5.5E-2</v>
      </c>
      <c r="Q517" s="244">
        <f>B517*19.6206666666667/100</f>
        <v>19.6206666666667</v>
      </c>
      <c r="R517" s="244">
        <f>B517*0.729/100</f>
        <v>0.72899999999999987</v>
      </c>
      <c r="S517" s="244">
        <f>B517*10.8836666666667/100</f>
        <v>10.8836666666667</v>
      </c>
      <c r="T517" s="244">
        <f>B517*83.1466666666667/100</f>
        <v>83.146666666666704</v>
      </c>
      <c r="U517" s="244">
        <f>B517*0.0886666666666667/100</f>
        <v>8.8666666666666713E-2</v>
      </c>
      <c r="V517" s="244">
        <f>B517*0.0776666666666667/100</f>
        <v>7.7666666666666703E-2</v>
      </c>
      <c r="W517" s="258" t="s">
        <v>454</v>
      </c>
      <c r="X517" s="244" t="s">
        <v>455</v>
      </c>
      <c r="Y517" s="244" t="s">
        <v>455</v>
      </c>
      <c r="Z517" s="244" t="s">
        <v>455</v>
      </c>
      <c r="AA517" s="244" t="s">
        <v>455</v>
      </c>
      <c r="AB517" s="244" t="s">
        <v>455</v>
      </c>
    </row>
    <row r="518" spans="1:28">
      <c r="A518" s="234" t="s">
        <v>842</v>
      </c>
      <c r="B518" s="59">
        <v>100</v>
      </c>
      <c r="C518" s="238">
        <f>B518*309.242666666667/100</f>
        <v>309.24266666666699</v>
      </c>
      <c r="D518" s="238">
        <v>0</v>
      </c>
      <c r="E518" s="238">
        <v>0</v>
      </c>
      <c r="F518" s="252"/>
      <c r="G518" s="252"/>
      <c r="H518" s="252"/>
      <c r="I518" s="263"/>
      <c r="J518" s="263"/>
      <c r="K518" s="256" t="s">
        <v>454</v>
      </c>
      <c r="L518" s="242">
        <f>B518*84.0333333333333/100</f>
        <v>84.033333333333303</v>
      </c>
      <c r="M518" s="242" t="s">
        <v>454</v>
      </c>
      <c r="N518" s="238">
        <f>B518*10.2043333333333/100</f>
        <v>10.204333333333301</v>
      </c>
      <c r="O518" s="238">
        <f>B518*5.51133333333333/100</f>
        <v>5.5113333333333294</v>
      </c>
      <c r="P518" s="238">
        <f>B518*0.383/100</f>
        <v>0.38299999999999995</v>
      </c>
      <c r="Q518" s="238">
        <f>B518*3.88633333333333/100</f>
        <v>3.8863333333333299</v>
      </c>
      <c r="R518" s="238">
        <f>B518*0.250666666666667/100</f>
        <v>0.25066666666666698</v>
      </c>
      <c r="S518" s="238">
        <f>B518*6.04/100</f>
        <v>6.04</v>
      </c>
      <c r="T518" s="238">
        <f>B518*99.3216666666667/100</f>
        <v>99.321666666666701</v>
      </c>
      <c r="U518" s="242" t="s">
        <v>455</v>
      </c>
      <c r="V518" s="238">
        <f>B518*0.172333333333333/100</f>
        <v>0.17233333333333298</v>
      </c>
      <c r="W518" s="242" t="s">
        <v>454</v>
      </c>
      <c r="X518" s="242">
        <f>B518*0.106666666666667/100</f>
        <v>0.10666666666666699</v>
      </c>
      <c r="Y518" s="242" t="s">
        <v>455</v>
      </c>
      <c r="Z518" s="242" t="s">
        <v>455</v>
      </c>
      <c r="AA518" s="242" t="s">
        <v>455</v>
      </c>
      <c r="AB518" s="238">
        <f>B518*0.736666666666667/100</f>
        <v>0.73666666666666702</v>
      </c>
    </row>
    <row r="519" spans="1:28">
      <c r="A519" s="234" t="s">
        <v>41</v>
      </c>
      <c r="B519" s="59">
        <v>100</v>
      </c>
      <c r="C519" s="238">
        <f>B519*296.506491231918/100</f>
        <v>296.50649123191801</v>
      </c>
      <c r="D519" s="238">
        <v>0</v>
      </c>
      <c r="E519" s="243">
        <v>0</v>
      </c>
      <c r="F519" s="252"/>
      <c r="G519" s="252"/>
      <c r="H519" s="252"/>
      <c r="I519" s="263"/>
      <c r="J519" s="263"/>
      <c r="K519" s="256" t="s">
        <v>454</v>
      </c>
      <c r="L519" s="242">
        <f>B519*76.6166666666667/100</f>
        <v>76.616666666666703</v>
      </c>
      <c r="M519" s="256" t="s">
        <v>454</v>
      </c>
      <c r="N519" s="238">
        <f>B519*102.063333333333/100</f>
        <v>102.06333333333301</v>
      </c>
      <c r="O519" s="238">
        <f>B519*115.136666666667/100</f>
        <v>115.13666666666701</v>
      </c>
      <c r="P519" s="238">
        <f>B519*2.62333333333333/100</f>
        <v>2.6233333333333295</v>
      </c>
      <c r="Q519" s="238">
        <f>B519*73.6133333333333/100</f>
        <v>73.613333333333301</v>
      </c>
      <c r="R519" s="243">
        <f>B519*5.39166666666667/100</f>
        <v>5.3916666666666693</v>
      </c>
      <c r="S519" s="238">
        <f>B519*4.01/100</f>
        <v>4.01</v>
      </c>
      <c r="T519" s="238">
        <f>B519*395.06/100</f>
        <v>395.06</v>
      </c>
      <c r="U519" s="243">
        <f>B519*0.836333333333333/100</f>
        <v>0.83633333333333293</v>
      </c>
      <c r="V519" s="238">
        <f>B519*0.273333333333333/100</f>
        <v>0.27333333333333298</v>
      </c>
      <c r="W519" s="242" t="s">
        <v>454</v>
      </c>
      <c r="X519" s="243" t="s">
        <v>455</v>
      </c>
      <c r="Y519" s="243">
        <f>B519*0.05/100</f>
        <v>0.05</v>
      </c>
      <c r="Z519" s="243">
        <f>B519*0.2/100</f>
        <v>0.2</v>
      </c>
      <c r="AA519" s="243" t="s">
        <v>455</v>
      </c>
      <c r="AB519" s="243" t="s">
        <v>455</v>
      </c>
    </row>
    <row r="520" spans="1:28">
      <c r="A520" s="233" t="s">
        <v>3204</v>
      </c>
      <c r="B520" s="59">
        <v>100</v>
      </c>
      <c r="C520" s="247">
        <f>B520*411.348721570849/100</f>
        <v>411.34872157084902</v>
      </c>
      <c r="D520" s="247">
        <f>B520*4.7375/100</f>
        <v>4.7374999999999998</v>
      </c>
      <c r="E520" s="244">
        <f>B520*24.425/100</f>
        <v>24.425000000000001</v>
      </c>
      <c r="F520" s="244">
        <f>B520*11.3266666666667/100</f>
        <v>11.3266666666667</v>
      </c>
      <c r="G520" s="244">
        <f>B520*4.75333333333333/100</f>
        <v>4.7533333333333303</v>
      </c>
      <c r="H520" s="244">
        <f>B520*4.69666666666667/100</f>
        <v>4.6966666666666699</v>
      </c>
      <c r="I520" s="263">
        <f>B520*4.29333333333333/100</f>
        <v>4.2933333333333303</v>
      </c>
      <c r="J520" s="263">
        <f>B520*0.35/100</f>
        <v>0.35</v>
      </c>
      <c r="K520" s="244">
        <f>B520*271.017/100</f>
        <v>271.017</v>
      </c>
      <c r="L520" s="247">
        <f>B520*46.2988333333333/100</f>
        <v>46.298833333333299</v>
      </c>
      <c r="M520" s="244">
        <f>B520*3.22333333333333/100</f>
        <v>3.2233333333333305</v>
      </c>
      <c r="N520" s="244">
        <f>B520*37.1786666666667/100</f>
        <v>37.1786666666667</v>
      </c>
      <c r="O520" s="244">
        <f>B520*14.904/100</f>
        <v>14.904000000000002</v>
      </c>
      <c r="P520" s="244">
        <f>B520*0.246333333333333/100</f>
        <v>0.24633333333333296</v>
      </c>
      <c r="Q520" s="244">
        <f>B520*167.910666666667/100</f>
        <v>167.910666666667</v>
      </c>
      <c r="R520" s="244">
        <f>B520*1.38166666666667/100</f>
        <v>1.3816666666666699</v>
      </c>
      <c r="S520" s="244">
        <f>B520*27.366/100</f>
        <v>27.366</v>
      </c>
      <c r="T520" s="244">
        <f>B520*111.004666666667/100</f>
        <v>111.00466666666699</v>
      </c>
      <c r="U520" s="244">
        <f>B520*0.104666666666667/100</f>
        <v>0.104666666666667</v>
      </c>
      <c r="V520" s="244">
        <f>B520*1.109/100</f>
        <v>1.109</v>
      </c>
      <c r="W520" s="244">
        <f>B520*75.9766666666667/100</f>
        <v>75.976666666666702</v>
      </c>
      <c r="X520" s="244" t="s">
        <v>455</v>
      </c>
      <c r="Y520" s="244">
        <f>B520*0.04/100</f>
        <v>0.04</v>
      </c>
      <c r="Z520" s="244">
        <f>B520*0.04/100</f>
        <v>0.04</v>
      </c>
      <c r="AA520" s="244">
        <f>B520*1.14/100</f>
        <v>1.1399999999999999</v>
      </c>
      <c r="AB520" s="244" t="s">
        <v>455</v>
      </c>
    </row>
    <row r="521" spans="1:28">
      <c r="A521" s="233" t="s">
        <v>3205</v>
      </c>
      <c r="B521" s="59">
        <v>100</v>
      </c>
      <c r="C521" s="247">
        <f>B521*351.958122101545/100</f>
        <v>351.95812210154492</v>
      </c>
      <c r="D521" s="247">
        <f>B521*0.989583333333333/100</f>
        <v>0.98958333333333304</v>
      </c>
      <c r="E521" s="244">
        <f>B521*0.0706666666666667/100</f>
        <v>7.0666666666666697E-2</v>
      </c>
      <c r="F521" s="263"/>
      <c r="G521" s="263"/>
      <c r="H521" s="263"/>
      <c r="I521" s="263"/>
      <c r="J521" s="263"/>
      <c r="K521" s="258" t="s">
        <v>454</v>
      </c>
      <c r="L521" s="247">
        <f>B521*90.7924166666667/100</f>
        <v>90.792416666666711</v>
      </c>
      <c r="M521" s="258" t="s">
        <v>454</v>
      </c>
      <c r="N521" s="244">
        <f>B521*30.4863333333333/100</f>
        <v>30.486333333333299</v>
      </c>
      <c r="O521" s="244">
        <f>B521*47.1803333333333/100</f>
        <v>47.180333333333301</v>
      </c>
      <c r="P521" s="244">
        <f>B521*1.663/100</f>
        <v>1.663</v>
      </c>
      <c r="Q521" s="244">
        <f>B521*21.3006666666667/100</f>
        <v>21.300666666666704</v>
      </c>
      <c r="R521" s="244">
        <f>B521*4.44133333333333/100</f>
        <v>4.44133333333333</v>
      </c>
      <c r="S521" s="244">
        <f>B521*21.7106666666667/100</f>
        <v>21.710666666666704</v>
      </c>
      <c r="T521" s="244">
        <f>B521*458.874/100</f>
        <v>458.87400000000002</v>
      </c>
      <c r="U521" s="244">
        <f>B521*0.173333333333333/100</f>
        <v>0.17333333333333301</v>
      </c>
      <c r="V521" s="244">
        <f>B521*0.562333333333333/100</f>
        <v>0.56233333333333302</v>
      </c>
      <c r="W521" s="258" t="s">
        <v>454</v>
      </c>
      <c r="X521" s="244" t="s">
        <v>455</v>
      </c>
      <c r="Y521" s="244" t="s">
        <v>455</v>
      </c>
      <c r="Z521" s="244">
        <f>B521*0.0366666666666667/100</f>
        <v>3.6666666666666702E-2</v>
      </c>
      <c r="AA521" s="244" t="s">
        <v>455</v>
      </c>
      <c r="AB521" s="244" t="s">
        <v>455</v>
      </c>
    </row>
    <row r="522" spans="1:28" s="220" customFormat="1">
      <c r="A522" s="228" t="s">
        <v>3206</v>
      </c>
      <c r="B522" s="237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  <c r="AA522" s="268"/>
      <c r="AB522" s="268"/>
    </row>
    <row r="523" spans="1:28">
      <c r="A523" s="232" t="s">
        <v>843</v>
      </c>
      <c r="B523" s="59">
        <v>100</v>
      </c>
      <c r="C523" s="240">
        <f>B523*418.618666666667/100</f>
        <v>418.61866666666702</v>
      </c>
      <c r="D523" s="239">
        <f>B523*14.7/100</f>
        <v>14.7</v>
      </c>
      <c r="E523" s="240">
        <f>B523*11.9466666666667/100</f>
        <v>11.946666666666699</v>
      </c>
      <c r="F523" s="252">
        <f>B523*5.3/100</f>
        <v>5.3</v>
      </c>
      <c r="G523" s="252">
        <f>B523*1.1/100</f>
        <v>1.1000000000000001</v>
      </c>
      <c r="H523" s="252">
        <f>B523*4.9/100</f>
        <v>4.9000000000000004</v>
      </c>
      <c r="I523" s="263">
        <f>B523*4.82/100</f>
        <v>4.82</v>
      </c>
      <c r="J523" s="263">
        <f>B523*0.11/100</f>
        <v>0.11</v>
      </c>
      <c r="K523" s="240" t="s">
        <v>454</v>
      </c>
      <c r="L523" s="242">
        <f>B523*65.7533333333333/100</f>
        <v>65.753333333333302</v>
      </c>
      <c r="M523" s="240">
        <f>B523*51.2266666666667/100</f>
        <v>51.226666666666709</v>
      </c>
      <c r="N523" s="240">
        <f>B523*106.893333333333/100</f>
        <v>106.89333333333302</v>
      </c>
      <c r="O523" s="240">
        <f>B523*165.12/100</f>
        <v>165.12</v>
      </c>
      <c r="P523" s="240">
        <f>B523*2.57933333333333/100</f>
        <v>2.5793333333333299</v>
      </c>
      <c r="Q523" s="240">
        <f>B523*169.48/100</f>
        <v>169.48</v>
      </c>
      <c r="R523" s="240">
        <f>B523*8.13333333333333/100</f>
        <v>8.1333333333333293</v>
      </c>
      <c r="S523" s="240">
        <f>B523*1.13333333333333/100</f>
        <v>1.13333333333333</v>
      </c>
      <c r="T523" s="240">
        <f>B523*1608.58/100</f>
        <v>1608.58</v>
      </c>
      <c r="U523" s="240">
        <f>B523*1.30333333333333/100</f>
        <v>1.3033333333333301</v>
      </c>
      <c r="V523" s="240">
        <f>B523*0.523333333333333/100</f>
        <v>0.52333333333333298</v>
      </c>
      <c r="W523" s="240" t="s">
        <v>454</v>
      </c>
      <c r="X523" s="240" t="s">
        <v>455</v>
      </c>
      <c r="Y523" s="240" t="s">
        <v>455</v>
      </c>
      <c r="Z523" s="240" t="s">
        <v>455</v>
      </c>
      <c r="AA523" s="240">
        <f>B523*11.8866666666667/100</f>
        <v>11.886666666666702</v>
      </c>
      <c r="AB523" s="240" t="s">
        <v>455</v>
      </c>
    </row>
    <row r="524" spans="1:28">
      <c r="A524" s="232" t="s">
        <v>844</v>
      </c>
      <c r="B524" s="59">
        <v>100</v>
      </c>
      <c r="C524" s="238">
        <f>B524*417.406666666667/100</f>
        <v>417.40666666666698</v>
      </c>
      <c r="D524" s="238">
        <f>B524*11.3125/100</f>
        <v>11.3125</v>
      </c>
      <c r="E524" s="248">
        <f>B524*8.63333333333333/100</f>
        <v>8.6333333333333293</v>
      </c>
      <c r="F524" s="252">
        <f>B524*4/100</f>
        <v>4</v>
      </c>
      <c r="G524" s="252">
        <f>B524*1.6/100</f>
        <v>1.6</v>
      </c>
      <c r="H524" s="252">
        <f>B524*0.1/100</f>
        <v>0.1</v>
      </c>
      <c r="I524" s="263">
        <f>B524*0.11/100</f>
        <v>0.11</v>
      </c>
      <c r="J524" s="263">
        <f>B524*0.04/100</f>
        <v>0.04</v>
      </c>
      <c r="K524" s="243">
        <f>B524*28.901/100</f>
        <v>28.901</v>
      </c>
      <c r="L524" s="242">
        <f>B524*73.6141666666666/100</f>
        <v>73.614166666666605</v>
      </c>
      <c r="M524" s="243">
        <f>B524*2.44333333333333/100</f>
        <v>2.4433333333333298</v>
      </c>
      <c r="N524" s="243">
        <f>B524*466.590666666667/100</f>
        <v>466.590666666667</v>
      </c>
      <c r="O524" s="243">
        <f>B524*70.8496666666667/100</f>
        <v>70.849666666666707</v>
      </c>
      <c r="P524" s="243">
        <f>B524*0.171/100</f>
        <v>0.17100000000000001</v>
      </c>
      <c r="Q524" s="243">
        <f>B524*357.608666666667/100</f>
        <v>357.60866666666698</v>
      </c>
      <c r="R524" s="243">
        <f>B524*2.27566666666667/100</f>
        <v>2.2756666666666701</v>
      </c>
      <c r="S524" s="243">
        <f>B524*382.286666666667/100</f>
        <v>382.28666666666703</v>
      </c>
      <c r="T524" s="243">
        <f>B524*885.795666666667/100</f>
        <v>885.79566666666699</v>
      </c>
      <c r="U524" s="245" t="s">
        <v>455</v>
      </c>
      <c r="V524" s="243">
        <f>B524*1.14466666666667/100</f>
        <v>1.1446666666666701</v>
      </c>
      <c r="W524" s="238">
        <f>B524*51.53/100</f>
        <v>51.53</v>
      </c>
      <c r="X524" s="245" t="s">
        <v>455</v>
      </c>
      <c r="Y524" s="238">
        <f>B524*1.41/100</f>
        <v>1.41</v>
      </c>
      <c r="Z524" s="245" t="s">
        <v>455</v>
      </c>
      <c r="AA524" s="242" t="s">
        <v>455</v>
      </c>
      <c r="AB524" s="242" t="s">
        <v>455</v>
      </c>
    </row>
    <row r="525" spans="1:28">
      <c r="A525" s="232" t="s">
        <v>845</v>
      </c>
      <c r="B525" s="59">
        <v>100</v>
      </c>
      <c r="C525" s="238">
        <f>B525*89.7220666511218/100</f>
        <v>89.722066651121807</v>
      </c>
      <c r="D525" s="238">
        <f>B525*0.475333318710327/100</f>
        <v>0.47533331871032702</v>
      </c>
      <c r="E525" s="248">
        <f>B525*0.0733333333333333/100</f>
        <v>7.3333333333333306E-2</v>
      </c>
      <c r="F525" s="252"/>
      <c r="G525" s="252"/>
      <c r="H525" s="252"/>
      <c r="I525" s="263"/>
      <c r="J525" s="263"/>
      <c r="K525" s="242" t="s">
        <v>454</v>
      </c>
      <c r="L525" s="242">
        <f>B525*43.9113333479563/100</f>
        <v>43.911333347956294</v>
      </c>
      <c r="M525" s="242" t="s">
        <v>454</v>
      </c>
      <c r="N525" s="242" t="s">
        <v>3254</v>
      </c>
      <c r="O525" s="242" t="s">
        <v>3254</v>
      </c>
      <c r="P525" s="242" t="s">
        <v>3254</v>
      </c>
      <c r="Q525" s="242" t="s">
        <v>3254</v>
      </c>
      <c r="R525" s="242" t="s">
        <v>3254</v>
      </c>
      <c r="S525" s="238">
        <f>B525*10052.4113333333/100</f>
        <v>10052.411333333301</v>
      </c>
      <c r="T525" s="242" t="s">
        <v>3254</v>
      </c>
      <c r="U525" s="242" t="s">
        <v>3254</v>
      </c>
      <c r="V525" s="242" t="s">
        <v>3254</v>
      </c>
      <c r="W525" s="242" t="s">
        <v>454</v>
      </c>
      <c r="X525" s="242" t="s">
        <v>3254</v>
      </c>
      <c r="Y525" s="242" t="s">
        <v>3254</v>
      </c>
      <c r="Z525" s="242" t="s">
        <v>3254</v>
      </c>
      <c r="AA525" s="242" t="s">
        <v>3254</v>
      </c>
      <c r="AB525" s="242" t="s">
        <v>3254</v>
      </c>
    </row>
    <row r="526" spans="1:28">
      <c r="A526" s="232" t="s">
        <v>846</v>
      </c>
      <c r="B526" s="59">
        <v>100</v>
      </c>
      <c r="C526" s="238">
        <f>B526*89.7948670305888/100</f>
        <v>89.794867030588819</v>
      </c>
      <c r="D526" s="238">
        <f>B526*16.9569994783401/100</f>
        <v>16.956999478340101</v>
      </c>
      <c r="E526" s="248">
        <f>B526*1.51766666666667/100</f>
        <v>1.5176666666666698</v>
      </c>
      <c r="F526" s="252"/>
      <c r="G526" s="252"/>
      <c r="H526" s="252"/>
      <c r="I526" s="263"/>
      <c r="J526" s="263"/>
      <c r="K526" s="242" t="s">
        <v>454</v>
      </c>
      <c r="L526" s="242">
        <f>B526*7.69866718832652/100</f>
        <v>7.698667188326521</v>
      </c>
      <c r="M526" s="238">
        <f>B526*4.16566666666667/100</f>
        <v>4.1656666666666702</v>
      </c>
      <c r="N526" s="238">
        <f>B526*18.0086666666667/100</f>
        <v>18.008666666666699</v>
      </c>
      <c r="O526" s="238">
        <f>B526*38.4486666666667/100</f>
        <v>38.448666666666703</v>
      </c>
      <c r="P526" s="238">
        <f>B526*0.203/100</f>
        <v>0.20300000000000001</v>
      </c>
      <c r="Q526" s="238">
        <f>B526*418.656666666667/100</f>
        <v>418.65666666666698</v>
      </c>
      <c r="R526" s="238">
        <f>B526*2.618/100</f>
        <v>2.6180000000000003</v>
      </c>
      <c r="S526" s="238">
        <f>B526*39.6106666666667/100</f>
        <v>39.610666666666702</v>
      </c>
      <c r="T526" s="238">
        <f>B526*576.244333333333/100</f>
        <v>576.24433333333297</v>
      </c>
      <c r="U526" s="238">
        <f>B526*0.288/100</f>
        <v>0.28799999999999998</v>
      </c>
      <c r="V526" s="238">
        <f>B526*10.9996666666667/100</f>
        <v>10.999666666666702</v>
      </c>
      <c r="W526" s="242" t="s">
        <v>454</v>
      </c>
      <c r="X526" s="238">
        <f>B526*0.303333333333333/100</f>
        <v>0.30333333333333301</v>
      </c>
      <c r="Y526" s="238">
        <f>B526*0.356666666666667/100</f>
        <v>0.35666666666666702</v>
      </c>
      <c r="Z526" s="245" t="s">
        <v>455</v>
      </c>
      <c r="AA526" s="243" t="s">
        <v>455</v>
      </c>
      <c r="AB526" s="245" t="s">
        <v>455</v>
      </c>
    </row>
    <row r="527" spans="1:28">
      <c r="A527" s="232" t="s">
        <v>847</v>
      </c>
      <c r="B527" s="59">
        <v>100</v>
      </c>
      <c r="C527" s="239">
        <f>B527*380.2229/100</f>
        <v>380.22289999999998</v>
      </c>
      <c r="D527" s="239">
        <f>B527*8.88666666666667/100</f>
        <v>8.8866666666666703</v>
      </c>
      <c r="E527" s="246" t="s">
        <v>455</v>
      </c>
      <c r="F527" s="252"/>
      <c r="G527" s="252"/>
      <c r="H527" s="252"/>
      <c r="I527" s="263"/>
      <c r="J527" s="263"/>
      <c r="K527" s="239" t="s">
        <v>454</v>
      </c>
      <c r="L527" s="242">
        <f>B527*89.2233333333333/100</f>
        <v>89.223333333333301</v>
      </c>
      <c r="M527" s="239" t="s">
        <v>454</v>
      </c>
      <c r="N527" s="239">
        <f>B527*26.8366666666667/100</f>
        <v>26.836666666666702</v>
      </c>
      <c r="O527" s="239">
        <f>B527*2.30666666666667/100</f>
        <v>2.3066666666666702</v>
      </c>
      <c r="P527" s="239">
        <f>B527*0.0263333333333333/100</f>
        <v>2.6333333333333299E-2</v>
      </c>
      <c r="Q527" s="239">
        <f>B527*1.99/100</f>
        <v>1.99</v>
      </c>
      <c r="R527" s="239">
        <f>B527*0.333333333333333/100</f>
        <v>0.33333333333333298</v>
      </c>
      <c r="S527" s="239">
        <f>B527*234.923333333333/100</f>
        <v>234.92333333333301</v>
      </c>
      <c r="T527" s="239">
        <f>B527*7.25/100</f>
        <v>7.25</v>
      </c>
      <c r="U527" s="239" t="s">
        <v>455</v>
      </c>
      <c r="V527" s="239" t="s">
        <v>455</v>
      </c>
      <c r="W527" s="239" t="s">
        <v>454</v>
      </c>
      <c r="X527" s="239" t="s">
        <v>455</v>
      </c>
      <c r="Y527" s="239" t="s">
        <v>455</v>
      </c>
      <c r="Z527" s="239" t="s">
        <v>455</v>
      </c>
      <c r="AA527" s="239" t="s">
        <v>455</v>
      </c>
      <c r="AB527" s="239">
        <f>B527*39.9966666666667/100</f>
        <v>39.996666666666698</v>
      </c>
    </row>
    <row r="528" spans="1:28">
      <c r="A528" s="232" t="s">
        <v>848</v>
      </c>
      <c r="B528" s="59">
        <v>100</v>
      </c>
      <c r="C528" s="242" t="s">
        <v>454</v>
      </c>
      <c r="D528" s="242" t="s">
        <v>454</v>
      </c>
      <c r="E528" s="242" t="s">
        <v>454</v>
      </c>
      <c r="F528" s="252"/>
      <c r="G528" s="252"/>
      <c r="H528" s="252"/>
      <c r="I528" s="263"/>
      <c r="J528" s="263"/>
      <c r="K528" s="242" t="s">
        <v>454</v>
      </c>
      <c r="L528" s="242" t="s">
        <v>454</v>
      </c>
      <c r="M528" s="242" t="s">
        <v>454</v>
      </c>
      <c r="N528" s="238"/>
      <c r="O528" s="238"/>
      <c r="P528" s="238"/>
      <c r="Q528" s="238"/>
      <c r="R528" s="238"/>
      <c r="S528" s="238">
        <f>B528*23431.5216666667/100</f>
        <v>23431.521666666704</v>
      </c>
      <c r="T528" s="238">
        <f>B528*20467.637/100</f>
        <v>20467.636999999999</v>
      </c>
      <c r="U528" s="242"/>
      <c r="V528" s="242"/>
      <c r="W528" s="242" t="s">
        <v>454</v>
      </c>
      <c r="X528" s="238"/>
      <c r="Y528" s="242"/>
      <c r="Z528" s="238"/>
      <c r="AA528" s="242"/>
      <c r="AB528" s="242"/>
    </row>
    <row r="529" spans="1:28">
      <c r="A529" s="232" t="s">
        <v>941</v>
      </c>
      <c r="B529" s="59">
        <v>100</v>
      </c>
      <c r="C529" s="242" t="s">
        <v>454</v>
      </c>
      <c r="D529" s="242" t="s">
        <v>454</v>
      </c>
      <c r="E529" s="242" t="s">
        <v>454</v>
      </c>
      <c r="F529" s="252"/>
      <c r="G529" s="252"/>
      <c r="H529" s="252"/>
      <c r="I529" s="263"/>
      <c r="J529" s="263"/>
      <c r="K529" s="242" t="s">
        <v>454</v>
      </c>
      <c r="L529" s="242" t="s">
        <v>454</v>
      </c>
      <c r="M529" s="242" t="s">
        <v>454</v>
      </c>
      <c r="N529" s="242"/>
      <c r="O529" s="242"/>
      <c r="P529" s="242"/>
      <c r="Q529" s="242"/>
      <c r="R529" s="242"/>
      <c r="S529" s="238">
        <f>B529*39943.203/100</f>
        <v>39943.203000000001</v>
      </c>
      <c r="T529" s="242"/>
      <c r="U529" s="242"/>
      <c r="V529" s="242"/>
      <c r="W529" s="242" t="s">
        <v>454</v>
      </c>
      <c r="X529" s="242"/>
      <c r="Y529" s="242"/>
      <c r="Z529" s="242"/>
      <c r="AA529" s="242"/>
      <c r="AB529" s="242"/>
    </row>
    <row r="530" spans="1:28">
      <c r="A530" s="232" t="s">
        <v>45</v>
      </c>
      <c r="B530" s="59">
        <v>100</v>
      </c>
      <c r="C530" s="238">
        <f>B530*60.9277498753866/100</f>
        <v>60.927749875386596</v>
      </c>
      <c r="D530" s="238">
        <f>B530*3.3125/100</f>
        <v>3.3125</v>
      </c>
      <c r="E530" s="248">
        <f>B530*0.326666666666667/100</f>
        <v>0.32666666666666699</v>
      </c>
      <c r="F530" s="252" t="s">
        <v>455</v>
      </c>
      <c r="G530" s="252" t="s">
        <v>455</v>
      </c>
      <c r="H530" s="252" t="s">
        <v>455</v>
      </c>
      <c r="I530" s="263">
        <f>B530*0.01/100</f>
        <v>0.01</v>
      </c>
      <c r="J530" s="263" t="s">
        <v>455</v>
      </c>
      <c r="K530" s="242" t="s">
        <v>454</v>
      </c>
      <c r="L530" s="242">
        <f>B530*11.6475/100</f>
        <v>11.647500000000001</v>
      </c>
      <c r="M530" s="242" t="s">
        <v>454</v>
      </c>
      <c r="N530" s="243">
        <f>B530*14.528/100</f>
        <v>14.527999999999999</v>
      </c>
      <c r="O530" s="243">
        <f>B530*23.627/100</f>
        <v>23.626999999999999</v>
      </c>
      <c r="P530" s="243">
        <f>B530*0.065/100</f>
        <v>6.5000000000000002E-2</v>
      </c>
      <c r="Q530" s="243">
        <f>B530*47.043/100</f>
        <v>47.042999999999999</v>
      </c>
      <c r="R530" s="243">
        <f>B530*0.498666666666667/100</f>
        <v>0.49866666666666698</v>
      </c>
      <c r="S530" s="243">
        <f>B530*5024.20833333333/100</f>
        <v>5024.2083333333303</v>
      </c>
      <c r="T530" s="243">
        <f>B530*165.177333333333/100</f>
        <v>165.177333333333</v>
      </c>
      <c r="U530" s="243" t="s">
        <v>455</v>
      </c>
      <c r="V530" s="243">
        <f>B530*0.186/100</f>
        <v>0.18600000000000003</v>
      </c>
      <c r="W530" s="242" t="s">
        <v>454</v>
      </c>
      <c r="X530" s="242">
        <f>B530*0.826666666666667/100</f>
        <v>0.82666666666666699</v>
      </c>
      <c r="Y530" s="245">
        <f>B530*0.06</f>
        <v>6</v>
      </c>
      <c r="Z530" s="242">
        <f>B530*0.153333333333333/100</f>
        <v>0.15333333333333299</v>
      </c>
      <c r="AA530" s="243">
        <f>B530*2.1/100</f>
        <v>2.1</v>
      </c>
      <c r="AB530" s="245" t="s">
        <v>455</v>
      </c>
    </row>
    <row r="531" spans="1:28">
      <c r="A531" s="232" t="s">
        <v>43</v>
      </c>
      <c r="B531" s="59">
        <v>100</v>
      </c>
      <c r="C531" s="239">
        <f>B531*21.33/100</f>
        <v>21.33</v>
      </c>
      <c r="D531" s="239">
        <f>B531*2.66666666666667/100</f>
        <v>2.6666666666666701</v>
      </c>
      <c r="E531" s="246">
        <f>B531*0.263333333333333/100</f>
        <v>0.26333333333333298</v>
      </c>
      <c r="F531" s="263"/>
      <c r="G531" s="263"/>
      <c r="H531" s="263"/>
      <c r="I531" s="263"/>
      <c r="J531" s="263"/>
      <c r="K531" s="242" t="s">
        <v>454</v>
      </c>
      <c r="L531" s="242">
        <f>B531*2.07333333333334/100</f>
        <v>2.0733333333333399</v>
      </c>
      <c r="M531" s="239">
        <f>B531*0.556666666666667/100</f>
        <v>0.55666666666666698</v>
      </c>
      <c r="N531" s="263"/>
      <c r="O531" s="239"/>
      <c r="P531" s="239"/>
      <c r="Q531" s="239"/>
      <c r="R531" s="239"/>
      <c r="S531" s="239">
        <f>B531*32560/100</f>
        <v>32560</v>
      </c>
      <c r="T531" s="239"/>
      <c r="U531" s="239"/>
      <c r="V531" s="239"/>
      <c r="W531" s="239" t="s">
        <v>454</v>
      </c>
      <c r="X531" s="239"/>
      <c r="Y531" s="239"/>
      <c r="Z531" s="239"/>
      <c r="AA531" s="239"/>
      <c r="AB531" s="239"/>
    </row>
    <row r="532" spans="1:28" s="220" customFormat="1">
      <c r="A532" s="237" t="s">
        <v>849</v>
      </c>
      <c r="B532" s="237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  <c r="AA532" s="268"/>
      <c r="AB532" s="268"/>
    </row>
    <row r="533" spans="1:28">
      <c r="A533" s="232" t="s">
        <v>850</v>
      </c>
      <c r="B533" s="59">
        <v>100</v>
      </c>
      <c r="C533" s="238">
        <f>B533*194.153847020984/100</f>
        <v>194.15384702098399</v>
      </c>
      <c r="D533" s="238">
        <f>B533*1.1625/100</f>
        <v>1.1625000000000001</v>
      </c>
      <c r="E533" s="248">
        <f>B533*20.345/100</f>
        <v>20.344999999999999</v>
      </c>
      <c r="F533" s="252">
        <f>B533*3.5/100</f>
        <v>3.5</v>
      </c>
      <c r="G533" s="252">
        <f>B533*11/100</f>
        <v>11</v>
      </c>
      <c r="H533" s="252">
        <f>B533*3/100</f>
        <v>3</v>
      </c>
      <c r="I533" s="263">
        <f>533*2.77/100</f>
        <v>14.764100000000001</v>
      </c>
      <c r="J533" s="263">
        <f>533*0.19/100</f>
        <v>1.0126999999999999</v>
      </c>
      <c r="K533" s="256" t="s">
        <v>454</v>
      </c>
      <c r="L533" s="242">
        <f>B533*5.5445/100</f>
        <v>5.5445000000000002</v>
      </c>
      <c r="M533" s="238">
        <f>B533*4.555/100</f>
        <v>4.5549999999999997</v>
      </c>
      <c r="N533" s="243">
        <f>B533*58.7506666666667/100</f>
        <v>58.750666666666703</v>
      </c>
      <c r="O533" s="243">
        <f>B533*4.762/100</f>
        <v>4.7619999999999996</v>
      </c>
      <c r="P533" s="243">
        <f>B533*0.055/100</f>
        <v>5.5E-2</v>
      </c>
      <c r="Q533" s="243">
        <f>B533*16.0026666666667/100</f>
        <v>16.002666666666698</v>
      </c>
      <c r="R533" s="243">
        <f>B533*5.45/100</f>
        <v>5.45</v>
      </c>
      <c r="S533" s="243">
        <f>B533*1566.661/100</f>
        <v>1566.6610000000001</v>
      </c>
      <c r="T533" s="243">
        <f>B533*78.572/100</f>
        <v>78.572000000000003</v>
      </c>
      <c r="U533" s="243">
        <f>B533*0.252333333333333/100</f>
        <v>0.25233333333333302</v>
      </c>
      <c r="V533" s="243">
        <f>B533*0.293966666666667/100</f>
        <v>0.29396666666666699</v>
      </c>
      <c r="W533" s="269" t="s">
        <v>454</v>
      </c>
      <c r="X533" s="245" t="s">
        <v>455</v>
      </c>
      <c r="Y533" s="245" t="s">
        <v>455</v>
      </c>
      <c r="Z533" s="238">
        <f>B533*0.04/100</f>
        <v>0.04</v>
      </c>
      <c r="AA533" s="245" t="s">
        <v>455</v>
      </c>
      <c r="AB533" s="245" t="s">
        <v>455</v>
      </c>
    </row>
    <row r="534" spans="1:28">
      <c r="A534" s="232" t="s">
        <v>851</v>
      </c>
      <c r="B534" s="59">
        <v>100</v>
      </c>
      <c r="C534" s="238">
        <f>B534*136.93643/100</f>
        <v>136.93643</v>
      </c>
      <c r="D534" s="238">
        <f>B534*0.947916666666667/100</f>
        <v>0.94791666666666696</v>
      </c>
      <c r="E534" s="248">
        <f>B534*14.2156666666667/100</f>
        <v>14.215666666666699</v>
      </c>
      <c r="F534" s="252">
        <f>B534*2.3/100</f>
        <v>2.2999999999999998</v>
      </c>
      <c r="G534" s="252">
        <f>B534*8.3/100</f>
        <v>8.3000000000000007</v>
      </c>
      <c r="H534" s="252">
        <f>B534*1/100</f>
        <v>1</v>
      </c>
      <c r="I534" s="263">
        <f>534*0.91/100</f>
        <v>4.8593999999999999</v>
      </c>
      <c r="J534" s="263">
        <f>534*0.13/100</f>
        <v>0.69420000000000004</v>
      </c>
      <c r="K534" s="256" t="s">
        <v>454</v>
      </c>
      <c r="L534" s="242">
        <f>B534*4.10175/100</f>
        <v>4.10175</v>
      </c>
      <c r="M534" s="238">
        <f>B534*3.84566666666667/100</f>
        <v>3.8456666666666699</v>
      </c>
      <c r="N534" s="243">
        <f>B534*45.6393333333333/100</f>
        <v>45.639333333333298</v>
      </c>
      <c r="O534" s="243">
        <f>B534*3.93666666666667/100</f>
        <v>3.9366666666666701</v>
      </c>
      <c r="P534" s="243">
        <f>B534*0.0256666666666667/100</f>
        <v>2.5666666666666699E-2</v>
      </c>
      <c r="Q534" s="243">
        <f>B534*5.36/100</f>
        <v>5.36</v>
      </c>
      <c r="R534" s="243">
        <f>B534*0.176333333333333/100</f>
        <v>0.17633333333333301</v>
      </c>
      <c r="S534" s="243">
        <f>B534*1347.17766666667/100</f>
        <v>1347.1776666666699</v>
      </c>
      <c r="T534" s="243">
        <f>B534*19.8053333333333/100</f>
        <v>19.805333333333301</v>
      </c>
      <c r="U534" s="243">
        <f>B534*0.141/100</f>
        <v>0.14099999999999999</v>
      </c>
      <c r="V534" s="243">
        <f>B534*0.0773333333333333/100</f>
        <v>7.7333333333333296E-2</v>
      </c>
      <c r="W534" s="269" t="s">
        <v>454</v>
      </c>
      <c r="X534" s="245" t="s">
        <v>455</v>
      </c>
      <c r="Y534" s="245" t="s">
        <v>455</v>
      </c>
      <c r="Z534" s="245" t="s">
        <v>455</v>
      </c>
      <c r="AA534" s="245" t="s">
        <v>455</v>
      </c>
      <c r="AB534" s="245" t="s">
        <v>455</v>
      </c>
    </row>
    <row r="535" spans="1:28">
      <c r="A535" s="232" t="s">
        <v>852</v>
      </c>
      <c r="B535" s="59">
        <v>100</v>
      </c>
      <c r="C535" s="238">
        <f>B535*314.956000266667/100</f>
        <v>314.95600026666699</v>
      </c>
      <c r="D535" s="238">
        <f>B535*0.525/100</f>
        <v>0.52500000000000002</v>
      </c>
      <c r="E535" s="248">
        <f>B535*27.2706666666667/100</f>
        <v>27.270666666666699</v>
      </c>
      <c r="F535" s="252">
        <f>B535*25.9/100</f>
        <v>25.9</v>
      </c>
      <c r="G535" s="252">
        <f>B535*0.1/100</f>
        <v>0.1</v>
      </c>
      <c r="H535" s="252">
        <f>B535*0.1/100</f>
        <v>0.1</v>
      </c>
      <c r="I535" s="263">
        <f>535*0.08/100</f>
        <v>0.42800000000000005</v>
      </c>
      <c r="J535" s="263"/>
      <c r="K535" s="245" t="s">
        <v>455</v>
      </c>
      <c r="L535" s="242">
        <f>B535*16.8550000666667/100</f>
        <v>16.855000066666701</v>
      </c>
      <c r="M535" s="242" t="s">
        <v>454</v>
      </c>
      <c r="N535" s="243">
        <f>B535*2.27433333333333/100</f>
        <v>2.2743333333333302</v>
      </c>
      <c r="O535" s="238">
        <f>B535*0.846333333333333/100</f>
        <v>0.84633333333333316</v>
      </c>
      <c r="P535" s="245" t="s">
        <v>455</v>
      </c>
      <c r="Q535" s="238">
        <f>B535*15.6463333333333/100</f>
        <v>15.646333333333301</v>
      </c>
      <c r="R535" s="242" t="s">
        <v>455</v>
      </c>
      <c r="S535" s="238">
        <f>B535*109.703666666667/100</f>
        <v>109.70366666666702</v>
      </c>
      <c r="T535" s="238">
        <f>B535*5.11133333333333/100</f>
        <v>5.11133333333333</v>
      </c>
      <c r="U535" s="238">
        <f>B535*0.0143333333333333/100</f>
        <v>1.43333333333333E-2</v>
      </c>
      <c r="V535" s="238">
        <f>B535*0.074/100</f>
        <v>7.3999999999999996E-2</v>
      </c>
      <c r="W535" s="245" t="s">
        <v>455</v>
      </c>
      <c r="X535" s="238">
        <f>B535*0.07/100</f>
        <v>7.0000000000000007E-2</v>
      </c>
      <c r="Y535" s="245" t="s">
        <v>455</v>
      </c>
      <c r="Z535" s="245" t="s">
        <v>455</v>
      </c>
      <c r="AA535" s="245" t="s">
        <v>455</v>
      </c>
      <c r="AB535" s="242"/>
    </row>
    <row r="536" spans="1:28">
      <c r="A536" s="232" t="s">
        <v>3207</v>
      </c>
      <c r="B536" s="59">
        <v>100</v>
      </c>
      <c r="C536" s="238">
        <f>B536*166.160301615546/100</f>
        <v>166.16030161554599</v>
      </c>
      <c r="D536" s="238">
        <f>B536*1.0140667031606/100</f>
        <v>1.0140667031606001</v>
      </c>
      <c r="E536" s="248">
        <f>B536*18.3643333333333/100</f>
        <v>18.364333333333299</v>
      </c>
      <c r="F536" s="252">
        <f>B536*15.6/100</f>
        <v>15.6</v>
      </c>
      <c r="G536" s="252">
        <f>B536*0.9/100</f>
        <v>0.9</v>
      </c>
      <c r="H536" s="252">
        <f>B536*0.2/100</f>
        <v>0.2</v>
      </c>
      <c r="I536" s="263">
        <f>536*0.17/100</f>
        <v>0.91120000000000001</v>
      </c>
      <c r="J536" s="263"/>
      <c r="K536" s="242" t="s">
        <v>454</v>
      </c>
      <c r="L536" s="242">
        <f>B536*2.19459996350605/100</f>
        <v>2.1945999635060498</v>
      </c>
      <c r="M536" s="238">
        <f>B536*0.683666666666667/100</f>
        <v>0.68366666666666698</v>
      </c>
      <c r="N536" s="238">
        <f>B536*5.85033333333333/100</f>
        <v>5.8503333333333298</v>
      </c>
      <c r="O536" s="238">
        <f>B536*16.8253333333333/100</f>
        <v>16.825333333333301</v>
      </c>
      <c r="P536" s="238">
        <f>B536*0.238333333333333/100</f>
        <v>0.23833333333333301</v>
      </c>
      <c r="Q536" s="238">
        <f>B536*25.519/100</f>
        <v>25.518999999999995</v>
      </c>
      <c r="R536" s="238">
        <f>B536*0.455666666666667/100</f>
        <v>0.455666666666667</v>
      </c>
      <c r="S536" s="238">
        <f>B536*44.2946666666667/100</f>
        <v>44.2946666666667</v>
      </c>
      <c r="T536" s="238">
        <f>B536*143.673/100</f>
        <v>143.673</v>
      </c>
      <c r="U536" s="238">
        <f>B536*0.155333333333333/100</f>
        <v>0.15533333333333299</v>
      </c>
      <c r="V536" s="238">
        <f>B536*0.315666666666667/100</f>
        <v>0.31566666666666698</v>
      </c>
      <c r="W536" s="242" t="s">
        <v>454</v>
      </c>
      <c r="X536" s="242" t="s">
        <v>455</v>
      </c>
      <c r="Y536" s="242" t="s">
        <v>455</v>
      </c>
      <c r="Z536" s="242" t="s">
        <v>455</v>
      </c>
      <c r="AA536" s="242" t="s">
        <v>455</v>
      </c>
      <c r="AB536" s="242" t="s">
        <v>455</v>
      </c>
    </row>
    <row r="537" spans="1:28">
      <c r="A537" s="232" t="s">
        <v>3208</v>
      </c>
      <c r="B537" s="59">
        <v>100</v>
      </c>
      <c r="C537" s="238">
        <f>B537*302.152677687824/100</f>
        <v>302.152677687824</v>
      </c>
      <c r="D537" s="238">
        <f>B537*0.58125/100</f>
        <v>0.58125000000000004</v>
      </c>
      <c r="E537" s="248">
        <f>B537*30.4976666666667/100</f>
        <v>30.497666666666699</v>
      </c>
      <c r="F537" s="252">
        <f>B537*4.1/100</f>
        <v>4.0999999999999996</v>
      </c>
      <c r="G537" s="252">
        <f>B537*6.4/100</f>
        <v>6.4</v>
      </c>
      <c r="H537" s="252">
        <f>B537*15.4/100</f>
        <v>15.4</v>
      </c>
      <c r="I537" s="263">
        <f>537*13.86/100</f>
        <v>74.428200000000004</v>
      </c>
      <c r="J537" s="263">
        <f>537*1.43/100</f>
        <v>7.6791</v>
      </c>
      <c r="K537" s="238">
        <f>B537*42.4673333333333/100</f>
        <v>42.467333333333301</v>
      </c>
      <c r="L537" s="242">
        <f>B537*7.89975/100</f>
        <v>7.89975</v>
      </c>
      <c r="M537" s="242" t="s">
        <v>454</v>
      </c>
      <c r="N537" s="238">
        <f>B537*3.47833333333333/100</f>
        <v>3.4783333333333299</v>
      </c>
      <c r="O537" s="238">
        <f>B537*0.855333333333333/100</f>
        <v>0.85533333333333283</v>
      </c>
      <c r="P537" s="245" t="s">
        <v>455</v>
      </c>
      <c r="Q537" s="243">
        <f>B537*14.4533333333333/100</f>
        <v>14.453333333333298</v>
      </c>
      <c r="R537" s="238">
        <f>B537*0.097/100</f>
        <v>9.7000000000000017E-2</v>
      </c>
      <c r="S537" s="238">
        <f>B537*786.827333333333/100</f>
        <v>786.82733333333294</v>
      </c>
      <c r="T537" s="238">
        <f>B537*16.088/100</f>
        <v>16.088000000000001</v>
      </c>
      <c r="U537" s="245" t="s">
        <v>455</v>
      </c>
      <c r="V537" s="238">
        <f>B537*0.06/100</f>
        <v>0.06</v>
      </c>
      <c r="W537" s="242">
        <f>B537*8/100</f>
        <v>8</v>
      </c>
      <c r="X537" s="245" t="s">
        <v>455</v>
      </c>
      <c r="Y537" s="238">
        <f>B537*0.0533333333333333/100</f>
        <v>5.3333333333333302E-2</v>
      </c>
      <c r="Z537" s="245" t="s">
        <v>455</v>
      </c>
      <c r="AA537" s="245" t="s">
        <v>455</v>
      </c>
      <c r="AB537" s="245" t="s">
        <v>455</v>
      </c>
    </row>
    <row r="538" spans="1:28" s="220" customFormat="1">
      <c r="A538" s="237" t="s">
        <v>3209</v>
      </c>
      <c r="B538" s="237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  <c r="AA538" s="268"/>
      <c r="AB538" s="268"/>
    </row>
    <row r="539" spans="1:28">
      <c r="A539" s="232" t="s">
        <v>47</v>
      </c>
      <c r="B539" s="59">
        <v>100</v>
      </c>
      <c r="C539" s="238">
        <f>B539*289.211666666667/100</f>
        <v>289.21166666666699</v>
      </c>
      <c r="D539" s="242">
        <f>B539*8.34583333333333/100</f>
        <v>8.3458333333333297</v>
      </c>
      <c r="E539" s="248">
        <f>B539*19.9303333333333/100</f>
        <v>19.930333333333301</v>
      </c>
      <c r="F539" s="252">
        <f>B539*9.1/100</f>
        <v>9.1</v>
      </c>
      <c r="G539" s="252">
        <f>B539*7.8/100</f>
        <v>7.8</v>
      </c>
      <c r="H539" s="252">
        <f>B539*2.1/100</f>
        <v>2.1</v>
      </c>
      <c r="I539" s="263">
        <f>B539*2.01/100</f>
        <v>2.0099999999999998</v>
      </c>
      <c r="J539" s="263">
        <f>B539*0.12/100</f>
        <v>0.12</v>
      </c>
      <c r="K539" s="238">
        <f>B539*25.4643333333333/100</f>
        <v>25.4643333333333</v>
      </c>
      <c r="L539" s="242">
        <f>B539*19.1138333333333/100</f>
        <v>19.1138333333333</v>
      </c>
      <c r="M539" s="238">
        <f>B539*9.35833333333333/100</f>
        <v>9.3583333333333307</v>
      </c>
      <c r="N539" s="238">
        <f>B539*124.419333333333/100</f>
        <v>124.419333333333</v>
      </c>
      <c r="O539" s="238">
        <f>B539*51.1243333333333/100</f>
        <v>51.124333333333297</v>
      </c>
      <c r="P539" s="238">
        <f>B539*0.594666666666667/100</f>
        <v>0.59466666666666701</v>
      </c>
      <c r="Q539" s="238">
        <f>B539*141.556666666667/100</f>
        <v>141.55666666666701</v>
      </c>
      <c r="R539" s="238">
        <v>1.9329999999999998</v>
      </c>
      <c r="S539" s="238">
        <f>B539*304.888666666667/100</f>
        <v>304.88866666666701</v>
      </c>
      <c r="T539" s="238">
        <f>B539*353.660333333333/100</f>
        <v>353.66033333333303</v>
      </c>
      <c r="U539" s="238">
        <f>B539*0.225666666666667/100</f>
        <v>0.22566666666666699</v>
      </c>
      <c r="V539" s="238">
        <f>B539*1.19366666666667/100</f>
        <v>1.19366666666667</v>
      </c>
      <c r="W539" s="245" t="s">
        <v>455</v>
      </c>
      <c r="X539" s="238">
        <f>B539*0.0633333333333333/100</f>
        <v>6.3333333333333297E-2</v>
      </c>
      <c r="Y539" s="245" t="s">
        <v>455</v>
      </c>
      <c r="Z539" s="245" t="s">
        <v>455</v>
      </c>
      <c r="AA539" s="245" t="s">
        <v>455</v>
      </c>
      <c r="AB539" s="242" t="s">
        <v>3254</v>
      </c>
    </row>
    <row r="540" spans="1:28">
      <c r="A540" s="232" t="s">
        <v>3210</v>
      </c>
      <c r="B540" s="59">
        <v>100</v>
      </c>
      <c r="C540" s="238">
        <f>B540*153.772/100</f>
        <v>153.77199999999999</v>
      </c>
      <c r="D540" s="238">
        <f>B540*10.8291666666667/100</f>
        <v>10.829166666666699</v>
      </c>
      <c r="E540" s="242">
        <f>B540*7.124/100</f>
        <v>7.1239999999999997</v>
      </c>
      <c r="F540" s="252">
        <f>B540*3.2/100</f>
        <v>3.2</v>
      </c>
      <c r="G540" s="252">
        <f>B540*3/100</f>
        <v>3</v>
      </c>
      <c r="H540" s="252">
        <f>B540*0.2/100</f>
        <v>0.2</v>
      </c>
      <c r="I540" s="263">
        <f>B540*0.17/100</f>
        <v>0.17</v>
      </c>
      <c r="J540" s="263">
        <f>B540*0.04/100</f>
        <v>0.04</v>
      </c>
      <c r="K540" s="238">
        <f>B540*36.0886666666667/100</f>
        <v>36.088666666666697</v>
      </c>
      <c r="L540" s="242">
        <f>B540*11.5848333333333/100</f>
        <v>11.5848333333333</v>
      </c>
      <c r="M540" s="242">
        <f>B540*1.50166666666667/100</f>
        <v>1.50166666666667</v>
      </c>
      <c r="N540" s="242">
        <f>B540*13.256/100</f>
        <v>13.255999999999998</v>
      </c>
      <c r="O540" s="238">
        <f>B540*9.29066666666667/100</f>
        <v>9.2906666666666702</v>
      </c>
      <c r="P540" s="238">
        <f>B540*0.182666666666667/100</f>
        <v>0.182666666666667</v>
      </c>
      <c r="Q540" s="238">
        <f>B540*47.638/100</f>
        <v>47.638000000000005</v>
      </c>
      <c r="R540" s="242">
        <v>0.95499999999999996</v>
      </c>
      <c r="S540" s="238">
        <f>B540*1621.728/100</f>
        <v>1621.7280000000001</v>
      </c>
      <c r="T540" s="238">
        <f>B540*87.15/100</f>
        <v>87.15</v>
      </c>
      <c r="U540" s="238">
        <f>B540*0.078/100</f>
        <v>7.8E-2</v>
      </c>
      <c r="V540" s="238">
        <f>B540*2.67066666666667/100</f>
        <v>2.6706666666666701</v>
      </c>
      <c r="W540" s="245" t="s">
        <v>455</v>
      </c>
      <c r="X540" s="238">
        <f>B540*0.03/100</f>
        <v>0.03</v>
      </c>
      <c r="Y540" s="245" t="s">
        <v>455</v>
      </c>
      <c r="Z540" s="238">
        <f>B540*0.0733333333333333/100</f>
        <v>7.3333333333333306E-2</v>
      </c>
      <c r="AA540" s="242">
        <f>B540*1.60333333333333/100</f>
        <v>1.6033333333333299</v>
      </c>
      <c r="AB540" s="242" t="s">
        <v>3254</v>
      </c>
    </row>
    <row r="541" spans="1:28">
      <c r="A541" s="232" t="s">
        <v>3211</v>
      </c>
      <c r="B541" s="59">
        <v>100</v>
      </c>
      <c r="C541" s="238">
        <f>B541*135.681333333333/100</f>
        <v>135.68133333333299</v>
      </c>
      <c r="D541" s="238">
        <f>B541*6.23958333333333/100</f>
        <v>6.2395833333333304</v>
      </c>
      <c r="E541" s="248">
        <f>B541*3.228/100</f>
        <v>3.2280000000000002</v>
      </c>
      <c r="F541" s="252">
        <f>B541*0.6/100</f>
        <v>0.6</v>
      </c>
      <c r="G541" s="252">
        <f>B541*1/100</f>
        <v>1</v>
      </c>
      <c r="H541" s="252">
        <f>B541*1.5/100</f>
        <v>1.5</v>
      </c>
      <c r="I541" s="263">
        <f>B541*1.36/100</f>
        <v>1.36</v>
      </c>
      <c r="J541" s="263">
        <f>B541*0.13/100</f>
        <v>0.13</v>
      </c>
      <c r="K541" s="238">
        <f>B541*4.10333333333333/100</f>
        <v>4.1033333333333299</v>
      </c>
      <c r="L541" s="242">
        <f>B541*20.41775/100</f>
        <v>20.417750000000002</v>
      </c>
      <c r="M541" s="238">
        <f>B541*5.069/100</f>
        <v>5.069</v>
      </c>
      <c r="N541" s="238">
        <f>B541*33.2966666666667/100</f>
        <v>33.296666666666702</v>
      </c>
      <c r="O541" s="238">
        <f>B541*18.6776666666667/100</f>
        <v>18.677666666666699</v>
      </c>
      <c r="P541" s="238">
        <f>B541*0.272333333333333/100</f>
        <v>0.27233333333333298</v>
      </c>
      <c r="Q541" s="238">
        <f>B541*71.676/100</f>
        <v>71.676000000000002</v>
      </c>
      <c r="R541" s="238">
        <v>0.56233333333333324</v>
      </c>
      <c r="S541" s="238">
        <f>B541*93.2996666666667/100</f>
        <v>93.299666666666695</v>
      </c>
      <c r="T541" s="242">
        <f>B541*157.308666666667/100</f>
        <v>157.30866666666699</v>
      </c>
      <c r="U541" s="238">
        <f>B541*0.0753333333333333/100</f>
        <v>7.5333333333333294E-2</v>
      </c>
      <c r="V541" s="238">
        <f>B541*0.599/100</f>
        <v>0.59899999999999998</v>
      </c>
      <c r="W541" s="245" t="s">
        <v>455</v>
      </c>
      <c r="X541" s="238">
        <f>B541*0.0366666666666667/100</f>
        <v>3.6666666666666702E-2</v>
      </c>
      <c r="Y541" s="245" t="s">
        <v>455</v>
      </c>
      <c r="Z541" s="238">
        <f>B541*0.0366666666666667/100</f>
        <v>3.6666666666666702E-2</v>
      </c>
      <c r="AA541" s="245" t="s">
        <v>455</v>
      </c>
      <c r="AB541" s="245" t="s">
        <v>455</v>
      </c>
    </row>
    <row r="542" spans="1:28">
      <c r="A542" s="233" t="s">
        <v>3212</v>
      </c>
      <c r="B542" s="59">
        <v>100</v>
      </c>
      <c r="C542" s="247">
        <f>B542*164.975234047413/100</f>
        <v>164.97523404741298</v>
      </c>
      <c r="D542" s="247">
        <f>B542*18.26875/100</f>
        <v>18.268750000000001</v>
      </c>
      <c r="E542" s="244">
        <f>B542*9.534/100</f>
        <v>9.5340000000000007</v>
      </c>
      <c r="F542" s="258">
        <f>B542*3.327/100</f>
        <v>3.327</v>
      </c>
      <c r="G542" s="258">
        <f>B542*4.26466666666667/100</f>
        <v>4.2646666666666704</v>
      </c>
      <c r="H542" s="258">
        <f>B542*1.40933333333333/100</f>
        <v>1.40933333333333</v>
      </c>
      <c r="I542" s="263">
        <f>B542*1.282/100</f>
        <v>1.2819999999999998</v>
      </c>
      <c r="J542" s="263">
        <f>B542*0.082/100</f>
        <v>8.2000000000000017E-2</v>
      </c>
      <c r="K542" s="244">
        <f>B542*60.11/100</f>
        <v>60.11</v>
      </c>
      <c r="L542" s="247">
        <f>B542*0.23625/100</f>
        <v>0.23624999999999999</v>
      </c>
      <c r="M542" s="258">
        <f>B542*0.146666666666667/100</f>
        <v>0.146666666666667</v>
      </c>
      <c r="N542" s="244">
        <f>B542*14.5123333333333/100</f>
        <v>14.512333333333299</v>
      </c>
      <c r="O542" s="244">
        <f>B542*21.3713333333333/100</f>
        <v>21.3713333333333</v>
      </c>
      <c r="P542" s="244">
        <f>B542*0.0506666666666667/100</f>
        <v>5.06666666666667E-2</v>
      </c>
      <c r="Q542" s="244">
        <f>B542*169.314666666667/100</f>
        <v>169.31466666666699</v>
      </c>
      <c r="R542" s="244">
        <v>2.4439999999999995</v>
      </c>
      <c r="S542" s="244">
        <f>B542*47.6273333333333/100</f>
        <v>47.627333333333297</v>
      </c>
      <c r="T542" s="244">
        <f>B542*294.556333333333/100</f>
        <v>294.55633333333299</v>
      </c>
      <c r="U542" s="244">
        <f>B542*0.165333333333333/100</f>
        <v>0.165333333333333</v>
      </c>
      <c r="V542" s="244">
        <f>B542*4.82566666666667/100</f>
        <v>4.8256666666666703</v>
      </c>
      <c r="W542" s="244" t="s">
        <v>455</v>
      </c>
      <c r="X542" s="244">
        <f>B542*0.03/100</f>
        <v>0.03</v>
      </c>
      <c r="Y542" s="244">
        <f>B542*0.04/100</f>
        <v>0.04</v>
      </c>
      <c r="Z542" s="244" t="s">
        <v>455</v>
      </c>
      <c r="AA542" s="244">
        <f>B542*2.09333333333333/100</f>
        <v>2.0933333333333302</v>
      </c>
      <c r="AB542" s="244" t="s">
        <v>455</v>
      </c>
    </row>
    <row r="543" spans="1:28">
      <c r="A543" s="233" t="s">
        <v>3213</v>
      </c>
      <c r="B543" s="59">
        <v>100</v>
      </c>
      <c r="C543" s="247">
        <f>B543*291.229509244959/100</f>
        <v>291.22950924495899</v>
      </c>
      <c r="D543" s="247">
        <f>B543*23.6604166666667/100</f>
        <v>23.660416666666698</v>
      </c>
      <c r="E543" s="244">
        <f>B543*21.1466666666667/100</f>
        <v>21.1466666666667</v>
      </c>
      <c r="F543" s="258">
        <f>B543*7.938/100</f>
        <v>7.9379999999999997</v>
      </c>
      <c r="G543" s="258">
        <f>B543*8.19526666666667/100</f>
        <v>8.1952666666666705</v>
      </c>
      <c r="H543" s="258">
        <f>B543*3.26166666666667/100</f>
        <v>3.2616666666666698</v>
      </c>
      <c r="I543" s="263">
        <f>B543*2.958/100</f>
        <v>2.9580000000000002</v>
      </c>
      <c r="J543" s="263">
        <f>B543*0.303666666666667/100</f>
        <v>0.30366666666666697</v>
      </c>
      <c r="K543" s="244">
        <f>B543*256.633333333333/100</f>
        <v>256.63333333333298</v>
      </c>
      <c r="L543" s="247">
        <v>0</v>
      </c>
      <c r="M543" s="258" t="s">
        <v>454</v>
      </c>
      <c r="N543" s="244">
        <f>B543*25.9793333333333/100</f>
        <v>25.979333333333301</v>
      </c>
      <c r="O543" s="244">
        <f>B543*19.4873333333333/100</f>
        <v>19.4873333333333</v>
      </c>
      <c r="P543" s="244">
        <f>B543*0.0153333333333333/100</f>
        <v>1.53333333333333E-2</v>
      </c>
      <c r="Q543" s="244">
        <f>B543*215.817/100</f>
        <v>215.81700000000001</v>
      </c>
      <c r="R543" s="244">
        <v>2.1033333333333335</v>
      </c>
      <c r="S543" s="244">
        <f>B543*82.8746666666667/100</f>
        <v>82.874666666666684</v>
      </c>
      <c r="T543" s="244">
        <f>B543*272.233333333333/100</f>
        <v>272.23333333333301</v>
      </c>
      <c r="U543" s="244">
        <f>B543*0.0566666666666667/100</f>
        <v>5.6666666666666698E-2</v>
      </c>
      <c r="V543" s="244">
        <f>B543*3.20866666666667/100</f>
        <v>3.2086666666666703</v>
      </c>
      <c r="W543" s="244">
        <f>B543*36.7966666666667/100</f>
        <v>36.796666666666702</v>
      </c>
      <c r="X543" s="244">
        <f>B543*0.0466666666666667/100</f>
        <v>4.6666666666666697E-2</v>
      </c>
      <c r="Y543" s="244">
        <f>B543*0.103333333333333/100</f>
        <v>0.103333333333333</v>
      </c>
      <c r="Z543" s="244" t="s">
        <v>455</v>
      </c>
      <c r="AA543" s="244">
        <f>B543*2.91666666666667/100</f>
        <v>2.9166666666666701</v>
      </c>
      <c r="AB543" s="258"/>
    </row>
    <row r="544" spans="1:28">
      <c r="A544" s="232" t="s">
        <v>3214</v>
      </c>
      <c r="B544" s="59">
        <v>100</v>
      </c>
      <c r="C544" s="238">
        <f>B544*273.514333333333/100</f>
        <v>273.51433333333301</v>
      </c>
      <c r="D544" s="238">
        <f>B544*8.03958333333333/100</f>
        <v>8.0395833333333293</v>
      </c>
      <c r="E544" s="248">
        <f>B544*8.29166666666667/100</f>
        <v>8.2916666666666696</v>
      </c>
      <c r="F544" s="252">
        <f>B544*1.8/100</f>
        <v>1.8</v>
      </c>
      <c r="G544" s="252">
        <f>B544*2.5/100</f>
        <v>2.5</v>
      </c>
      <c r="H544" s="252">
        <f>B544*3.5/100</f>
        <v>3.5</v>
      </c>
      <c r="I544" s="263">
        <f>B544*3.26/100</f>
        <v>3.26</v>
      </c>
      <c r="J544" s="263">
        <f>B544*0.24/100</f>
        <v>0.24</v>
      </c>
      <c r="K544" s="243">
        <f>B544*70.2956666666667/100</f>
        <v>70.295666666666705</v>
      </c>
      <c r="L544" s="242">
        <f>B544*41.68275/100</f>
        <v>41.682749999999999</v>
      </c>
      <c r="M544" s="238">
        <f>B544*2.73733333333333/100</f>
        <v>2.7373333333333303</v>
      </c>
      <c r="N544" s="238">
        <f>B544*23.5696666666667/100</f>
        <v>23.569666666666699</v>
      </c>
      <c r="O544" s="238">
        <f>B544*13.4526666666667/100</f>
        <v>13.452666666666698</v>
      </c>
      <c r="P544" s="238">
        <f>B544*0.415666666666667/100</f>
        <v>0.41566666666666696</v>
      </c>
      <c r="Q544" s="238">
        <f>B544*87.2716666666667/100</f>
        <v>87.271666666666704</v>
      </c>
      <c r="R544" s="238">
        <v>2.1226666666666669</v>
      </c>
      <c r="S544" s="238">
        <f>B544*58.8573333333333/100</f>
        <v>58.857333333333301</v>
      </c>
      <c r="T544" s="238">
        <f>B544*96.4536666666667/100</f>
        <v>96.453666666666706</v>
      </c>
      <c r="U544" s="238">
        <f>B544*0.131333333333333/100</f>
        <v>0.131333333333333</v>
      </c>
      <c r="V544" s="238">
        <f>B544*0.860333333333333/100</f>
        <v>0.86033333333333284</v>
      </c>
      <c r="W544" s="245" t="s">
        <v>455</v>
      </c>
      <c r="X544" s="238">
        <f>B544*0.0833333333333333/100</f>
        <v>8.3333333333333301E-2</v>
      </c>
      <c r="Y544" s="238">
        <f>B544*0.0466666666666667/100</f>
        <v>4.6666666666666697E-2</v>
      </c>
      <c r="Z544" s="245" t="s">
        <v>455</v>
      </c>
      <c r="AA544" s="245" t="s">
        <v>455</v>
      </c>
      <c r="AB544" s="245" t="s">
        <v>455</v>
      </c>
    </row>
    <row r="545" spans="1:28">
      <c r="A545" s="233" t="s">
        <v>3215</v>
      </c>
      <c r="B545" s="59">
        <v>100</v>
      </c>
      <c r="C545" s="247">
        <f>B545*100.783043004036/100</f>
        <v>100.783043004036</v>
      </c>
      <c r="D545" s="247">
        <f>B545*7.94166666666667/100</f>
        <v>7.94166666666667</v>
      </c>
      <c r="E545" s="244">
        <f>B545*5.96766666666667/100</f>
        <v>5.9676666666666698</v>
      </c>
      <c r="F545" s="258">
        <f>B545*1.64233333333333/100</f>
        <v>1.6423333333333301</v>
      </c>
      <c r="G545" s="258">
        <f>B545*0.903/100</f>
        <v>0.90300000000000002</v>
      </c>
      <c r="H545" s="258">
        <f>B545*1.52466666666667/100</f>
        <v>1.5246666666666697</v>
      </c>
      <c r="I545" s="263">
        <f>B545*1.33633333333333/100</f>
        <v>1.33633333333333</v>
      </c>
      <c r="J545" s="263">
        <f>B545*0.188333333333333/100</f>
        <v>0.18833333333333299</v>
      </c>
      <c r="K545" s="244">
        <f>B545*116.782333333333/100</f>
        <v>116.78233333333301</v>
      </c>
      <c r="L545" s="247">
        <f>B545*3.17366666666667/100</f>
        <v>3.1736666666666702</v>
      </c>
      <c r="M545" s="244">
        <f>B545*0.386666666666667/100</f>
        <v>0.38666666666666699</v>
      </c>
      <c r="N545" s="244">
        <f>B545*42.6806666666667/100</f>
        <v>42.680666666666703</v>
      </c>
      <c r="O545" s="244">
        <f>B545*14.864/100</f>
        <v>14.864000000000001</v>
      </c>
      <c r="P545" s="244">
        <f>B545*0.108333333333333/100</f>
        <v>0.108333333333333</v>
      </c>
      <c r="Q545" s="244">
        <f>B545*244.086666666667/100</f>
        <v>244.08666666666701</v>
      </c>
      <c r="R545" s="244">
        <v>1.4179999999999999</v>
      </c>
      <c r="S545" s="244">
        <f>B545*84.7866666666667/100</f>
        <v>84.78666666666669</v>
      </c>
      <c r="T545" s="244">
        <f>B545*139.138/100</f>
        <v>139.13800000000001</v>
      </c>
      <c r="U545" s="244">
        <f>B545*0.073/100</f>
        <v>7.2999999999999995E-2</v>
      </c>
      <c r="V545" s="244">
        <f>B545*0.468666666666667/100</f>
        <v>0.46866666666666701</v>
      </c>
      <c r="W545" s="244" t="s">
        <v>455</v>
      </c>
      <c r="X545" s="244" t="s">
        <v>455</v>
      </c>
      <c r="Y545" s="244" t="s">
        <v>455</v>
      </c>
      <c r="Z545" s="244" t="s">
        <v>455</v>
      </c>
      <c r="AA545" s="244">
        <f>B545*0.306666666666667/100</f>
        <v>0.30666666666666698</v>
      </c>
      <c r="AB545" s="244">
        <f>B545*4.07/100</f>
        <v>4.07</v>
      </c>
    </row>
    <row r="546" spans="1:28">
      <c r="A546" s="233" t="s">
        <v>3216</v>
      </c>
      <c r="B546" s="59">
        <v>100</v>
      </c>
      <c r="C546" s="247">
        <f>B546*78.2347292222182/100</f>
        <v>78.234729222218206</v>
      </c>
      <c r="D546" s="247">
        <f>B546*6.77916666666667/100</f>
        <v>6.7791666666666712</v>
      </c>
      <c r="E546" s="244">
        <f>B546*1.11666666666667/100</f>
        <v>1.11666666666667</v>
      </c>
      <c r="F546" s="258">
        <f>B546*0.463/100</f>
        <v>0.46300000000000002</v>
      </c>
      <c r="G546" s="258">
        <f>B546*0.471666666666667/100</f>
        <v>0.47166666666666701</v>
      </c>
      <c r="H546" s="258">
        <f>B546*0.0973333333333333/100</f>
        <v>9.7333333333333313E-2</v>
      </c>
      <c r="I546" s="263">
        <f>B546*0.082/100</f>
        <v>8.2000000000000017E-2</v>
      </c>
      <c r="J546" s="263">
        <f>B546*0.0153333333333333/100</f>
        <v>1.53333333333333E-2</v>
      </c>
      <c r="K546" s="244">
        <f>B546*21.3426666666667/100</f>
        <v>21.342666666666702</v>
      </c>
      <c r="L546" s="247">
        <f>B546*10.1331666666667/100</f>
        <v>10.1331666666667</v>
      </c>
      <c r="M546" s="244">
        <f>B546*1.46/100</f>
        <v>1.46</v>
      </c>
      <c r="N546" s="244">
        <f>B546*22.8873333333333/100</f>
        <v>22.887333333333299</v>
      </c>
      <c r="O546" s="244">
        <f>B546*13.4596666666667/100</f>
        <v>13.459666666666701</v>
      </c>
      <c r="P546" s="244">
        <f>B546*0.219666666666667/100</f>
        <v>0.21966666666666701</v>
      </c>
      <c r="Q546" s="244">
        <f>B546*67.8856666666667/100</f>
        <v>67.885666666666694</v>
      </c>
      <c r="R546" s="244">
        <v>0.8620000000000001</v>
      </c>
      <c r="S546" s="244">
        <f>B546*12.1006666666667/100</f>
        <v>12.100666666666701</v>
      </c>
      <c r="T546" s="244">
        <f>B546*184.033666666667/100</f>
        <v>184.03366666666699</v>
      </c>
      <c r="U546" s="244">
        <f>B546*1.44666666666667/100</f>
        <v>1.4466666666666699</v>
      </c>
      <c r="V546" s="244">
        <f>B546*1.75033333333333/100</f>
        <v>1.75033333333333</v>
      </c>
      <c r="W546" s="244" t="s">
        <v>455</v>
      </c>
      <c r="X546" s="244">
        <f>B546*0.03/100</f>
        <v>0.03</v>
      </c>
      <c r="Y546" s="244" t="s">
        <v>455</v>
      </c>
      <c r="Z546" s="244" t="s">
        <v>455</v>
      </c>
      <c r="AA546" s="244">
        <f>B546*0.32/100</f>
        <v>0.32</v>
      </c>
      <c r="AB546" s="244">
        <f>B546*4.77333333333333/100</f>
        <v>4.7733333333333299</v>
      </c>
    </row>
    <row r="547" spans="1:28">
      <c r="A547" s="232" t="s">
        <v>859</v>
      </c>
      <c r="B547" s="59">
        <v>100</v>
      </c>
      <c r="C547" s="238">
        <f>B547*113.459481666667/100</f>
        <v>113.459481666667</v>
      </c>
      <c r="D547" s="238">
        <f>B547*2.15625/100</f>
        <v>2.15625</v>
      </c>
      <c r="E547" s="248">
        <f>B547*0.679666666666667/100</f>
        <v>0.67966666666666697</v>
      </c>
      <c r="F547" s="252">
        <f>B547*0.2/100</f>
        <v>0.2</v>
      </c>
      <c r="G547" s="252">
        <f>B547*0.2/100</f>
        <v>0.2</v>
      </c>
      <c r="H547" s="252">
        <f>B547*0.3/100</f>
        <v>0.3</v>
      </c>
      <c r="I547" s="263">
        <f>B547*0.26/100</f>
        <v>0.26</v>
      </c>
      <c r="J547" s="263" t="s">
        <v>455</v>
      </c>
      <c r="K547" s="245" t="s">
        <v>454</v>
      </c>
      <c r="L547" s="242">
        <f>B547*25.2814166666667/100</f>
        <v>25.281416666666701</v>
      </c>
      <c r="M547" s="238">
        <f>B547*2.05333333333333/100</f>
        <v>2.0533333333333301</v>
      </c>
      <c r="N547" s="238">
        <f>B547*1.54066666666667/100</f>
        <v>1.54066666666667</v>
      </c>
      <c r="O547" s="238">
        <f>B547*2.718/100</f>
        <v>2.718</v>
      </c>
      <c r="P547" s="248">
        <f>B547*0.023/100</f>
        <v>2.3E-2</v>
      </c>
      <c r="Q547" s="238">
        <f>B547*23.1826666666667/100</f>
        <v>23.182666666666702</v>
      </c>
      <c r="R547" s="238">
        <v>0.17333333333333334</v>
      </c>
      <c r="S547" s="238">
        <f>B547*247.666/100</f>
        <v>247.666</v>
      </c>
      <c r="T547" s="238">
        <f>B547*10.8536666666667/100</f>
        <v>10.853666666666699</v>
      </c>
      <c r="U547" s="245" t="s">
        <v>455</v>
      </c>
      <c r="V547" s="238">
        <f>B547*0.202/100</f>
        <v>0.20200000000000004</v>
      </c>
      <c r="W547" s="245" t="s">
        <v>455</v>
      </c>
      <c r="X547" s="245" t="s">
        <v>455</v>
      </c>
      <c r="Y547" s="245" t="s">
        <v>455</v>
      </c>
      <c r="Z547" s="238">
        <f>B547*0.0633333333333333/100</f>
        <v>6.3333333333333297E-2</v>
      </c>
      <c r="AA547" s="245" t="s">
        <v>455</v>
      </c>
      <c r="AB547" s="245" t="s">
        <v>455</v>
      </c>
    </row>
    <row r="548" spans="1:28">
      <c r="A548" s="232" t="s">
        <v>860</v>
      </c>
      <c r="B548" s="59">
        <v>100</v>
      </c>
      <c r="C548" s="238">
        <f>B548*142.123/100</f>
        <v>142.12299999999999</v>
      </c>
      <c r="D548" s="238">
        <f>B548*2.55833333333333/100</f>
        <v>2.55833333333333</v>
      </c>
      <c r="E548" s="248">
        <f>B548*4.64833333333333/100</f>
        <v>4.6483333333333299</v>
      </c>
      <c r="F548" s="252">
        <f>B548*1.8/100</f>
        <v>1.8</v>
      </c>
      <c r="G548" s="252">
        <f>B548*1.8/100</f>
        <v>1.8</v>
      </c>
      <c r="H548" s="252">
        <f>B548*0.8/100</f>
        <v>0.8</v>
      </c>
      <c r="I548" s="263">
        <f>B548*0.69/100</f>
        <v>0.69</v>
      </c>
      <c r="J548" s="263">
        <f>B548*0.1/100</f>
        <v>0.1</v>
      </c>
      <c r="K548" s="238">
        <f>B548*15.0486666666667/100</f>
        <v>15.048666666666699</v>
      </c>
      <c r="L548" s="242">
        <f>B548*22.5136666666667/100</f>
        <v>22.513666666666701</v>
      </c>
      <c r="M548" s="238">
        <f>B548*2.43266666666667/100</f>
        <v>2.4326666666666701</v>
      </c>
      <c r="N548" s="238">
        <f>B548*14.1613333333333/100</f>
        <v>14.1613333333333</v>
      </c>
      <c r="O548" s="243">
        <f>B548*5.096/100</f>
        <v>5.0960000000000001</v>
      </c>
      <c r="P548" s="238">
        <f>B548*0.0626666666666667/100</f>
        <v>6.2666666666666704E-2</v>
      </c>
      <c r="Q548" s="238">
        <f>B548*25.9523333333333/100</f>
        <v>25.9523333333333</v>
      </c>
      <c r="R548" s="238">
        <v>0.33</v>
      </c>
      <c r="S548" s="238">
        <f>B548*235.709666666667/100</f>
        <v>235.709666666667</v>
      </c>
      <c r="T548" s="238">
        <f>B548*52.9326666666667/100</f>
        <v>52.932666666666698</v>
      </c>
      <c r="U548" s="238">
        <f>B548*0.049/100</f>
        <v>4.9000000000000002E-2</v>
      </c>
      <c r="V548" s="238">
        <f>B548*0.21/100</f>
        <v>0.21</v>
      </c>
      <c r="W548" s="245" t="s">
        <v>455</v>
      </c>
      <c r="X548" s="245" t="s">
        <v>455</v>
      </c>
      <c r="Y548" s="245" t="s">
        <v>455</v>
      </c>
      <c r="Z548" s="245" t="s">
        <v>455</v>
      </c>
      <c r="AA548" s="238">
        <f>B548*0.933333333333333/100</f>
        <v>0.93333333333333302</v>
      </c>
      <c r="AB548" s="245" t="s">
        <v>455</v>
      </c>
    </row>
    <row r="549" spans="1:28">
      <c r="A549" s="233" t="s">
        <v>3217</v>
      </c>
      <c r="B549" s="59">
        <v>100</v>
      </c>
      <c r="C549" s="247">
        <f>B549*80.0916156365077/100</f>
        <v>80.091615636507697</v>
      </c>
      <c r="D549" s="247">
        <f>B549*5.64375/100</f>
        <v>5.6437499999999998</v>
      </c>
      <c r="E549" s="244">
        <f>B549*3.59266666666667/100</f>
        <v>3.5926666666666698</v>
      </c>
      <c r="F549" s="258">
        <f>B549*0.588333333333333/100</f>
        <v>0.58833333333333304</v>
      </c>
      <c r="G549" s="258">
        <f>B549*1.26633333333333/100</f>
        <v>1.26633333333333</v>
      </c>
      <c r="H549" s="258">
        <f>B549*1.548/100</f>
        <v>1.548</v>
      </c>
      <c r="I549" s="263">
        <f>B549*1.444/100</f>
        <v>1.444</v>
      </c>
      <c r="J549" s="263">
        <f>B549*0.0993333333333333/100</f>
        <v>9.9333333333333301E-2</v>
      </c>
      <c r="K549" s="244">
        <f>B549*58.3863333333333/100</f>
        <v>58.386333333333297</v>
      </c>
      <c r="L549" s="247">
        <f>B549*5.73891666666667/100</f>
        <v>5.73891666666667</v>
      </c>
      <c r="M549" s="244">
        <f>B549*3.01666666666667/100</f>
        <v>3.0166666666666702</v>
      </c>
      <c r="N549" s="244">
        <f>B549*105.480666666667/100</f>
        <v>105.48066666666701</v>
      </c>
      <c r="O549" s="244">
        <f>B549*33.5793333333333/100</f>
        <v>33.579333333333302</v>
      </c>
      <c r="P549" s="244">
        <f>B549*0.234333333333333/100</f>
        <v>0.234333333333333</v>
      </c>
      <c r="Q549" s="244">
        <f>B549*111.134666666667/100</f>
        <v>111.134666666667</v>
      </c>
      <c r="R549" s="244">
        <v>0.94399999999999995</v>
      </c>
      <c r="S549" s="244">
        <f>B549*1344.29466666667/100</f>
        <v>1344.2946666666699</v>
      </c>
      <c r="T549" s="244">
        <f>B549*124.056333333333/100</f>
        <v>124.056333333333</v>
      </c>
      <c r="U549" s="244">
        <f>B549*0.172/100</f>
        <v>0.17199999999999999</v>
      </c>
      <c r="V549" s="244">
        <f>B549*0.570666666666667/100</f>
        <v>0.57066666666666699</v>
      </c>
      <c r="W549" s="244" t="s">
        <v>455</v>
      </c>
      <c r="X549" s="244">
        <f>B549*0.04/100</f>
        <v>0.04</v>
      </c>
      <c r="Y549" s="244" t="s">
        <v>455</v>
      </c>
      <c r="Z549" s="244">
        <f>B549*0.03/100</f>
        <v>0.03</v>
      </c>
      <c r="AA549" s="244">
        <f>B549*1.09666666666667/100</f>
        <v>1.09666666666667</v>
      </c>
      <c r="AB549" s="244">
        <f>B549*10.28/100</f>
        <v>10.28</v>
      </c>
    </row>
    <row r="550" spans="1:28">
      <c r="A550" s="232" t="s">
        <v>48</v>
      </c>
      <c r="B550" s="59">
        <v>100</v>
      </c>
      <c r="C550" s="238">
        <f>B550*124.500200833333/100</f>
        <v>124.500200833333</v>
      </c>
      <c r="D550" s="238">
        <f>B550*19.7729166666667/100</f>
        <v>19.772916666666699</v>
      </c>
      <c r="E550" s="248">
        <f>B550*4.44233333333333/100</f>
        <v>4.4423333333333304</v>
      </c>
      <c r="F550" s="252">
        <f>B550*2.5/100</f>
        <v>2.5</v>
      </c>
      <c r="G550" s="252">
        <f>B550*1.2/100</f>
        <v>1.2</v>
      </c>
      <c r="H550" s="252">
        <f>B550*0.1/100</f>
        <v>0.1</v>
      </c>
      <c r="I550" s="263">
        <f>B550*0.1/100</f>
        <v>0.1</v>
      </c>
      <c r="J550" s="263">
        <f>B550*0.03/100</f>
        <v>0.03</v>
      </c>
      <c r="K550" s="238">
        <f>B550*144.018/100</f>
        <v>144.018</v>
      </c>
      <c r="L550" s="242">
        <v>0</v>
      </c>
      <c r="M550" s="242" t="s">
        <v>454</v>
      </c>
      <c r="N550" s="238">
        <f>B550*11.3366666666667/100</f>
        <v>11.3366666666667</v>
      </c>
      <c r="O550" s="238">
        <f>B550*8.25033333333333/100</f>
        <v>8.2503333333333302</v>
      </c>
      <c r="P550" s="238">
        <f>B550*0.105/100</f>
        <v>0.105</v>
      </c>
      <c r="Q550" s="238">
        <f>B550*57.1176666666667/100</f>
        <v>57.1176666666667</v>
      </c>
      <c r="R550" s="238">
        <v>1.01</v>
      </c>
      <c r="S550" s="238">
        <f>B550*28.7736666666667/100</f>
        <v>28.773666666666699</v>
      </c>
      <c r="T550" s="238">
        <f>B550*57.5773333333333/100</f>
        <v>57.5773333333333</v>
      </c>
      <c r="U550" s="238">
        <f>B550*0.055/100</f>
        <v>5.5E-2</v>
      </c>
      <c r="V550" s="238">
        <f>B550*2.72066666666667/100</f>
        <v>2.7206666666666699</v>
      </c>
      <c r="W550" s="245" t="s">
        <v>455</v>
      </c>
      <c r="X550" s="245" t="s">
        <v>455</v>
      </c>
      <c r="Y550" s="245" t="s">
        <v>455</v>
      </c>
      <c r="Z550" s="245" t="s">
        <v>455</v>
      </c>
      <c r="AA550" s="238">
        <f>B550*4.26666666666667/100</f>
        <v>4.2666666666666702</v>
      </c>
      <c r="AB550" s="242" t="s">
        <v>3254</v>
      </c>
    </row>
    <row r="551" spans="1:28">
      <c r="A551" s="233" t="s">
        <v>3218</v>
      </c>
      <c r="B551" s="59">
        <v>100</v>
      </c>
      <c r="C551" s="247">
        <f>B551*173.141364318013/100</f>
        <v>173.14136431801299</v>
      </c>
      <c r="D551" s="247">
        <f>B551*15.03125/100</f>
        <v>15.03125</v>
      </c>
      <c r="E551" s="244">
        <f>B551*10.803/100</f>
        <v>10.803000000000003</v>
      </c>
      <c r="F551" s="258">
        <f>B551*5.25566666666667/100</f>
        <v>5.2556666666666709</v>
      </c>
      <c r="G551" s="258">
        <f>B551*3.322/100</f>
        <v>3.3220000000000001</v>
      </c>
      <c r="H551" s="258">
        <f>B551*0.856333333333333/100</f>
        <v>0.85633333333333295</v>
      </c>
      <c r="I551" s="263">
        <f>B551*0.757333333333333/100</f>
        <v>0.75733333333333297</v>
      </c>
      <c r="J551" s="263">
        <f>B551*0.089/100</f>
        <v>8.900000000000001E-2</v>
      </c>
      <c r="K551" s="244">
        <f>B551*66.216/100</f>
        <v>66.215999999999994</v>
      </c>
      <c r="L551" s="247">
        <f>B551*2.97541666666667/100</f>
        <v>2.9754166666666695</v>
      </c>
      <c r="M551" s="258"/>
      <c r="N551" s="244">
        <f>B551*28.318/100</f>
        <v>28.318000000000001</v>
      </c>
      <c r="O551" s="244">
        <f>B551*21.5116666666667/100</f>
        <v>21.511666666666699</v>
      </c>
      <c r="P551" s="244">
        <f>B551*0.0333333333333333/100</f>
        <v>3.3333333333333298E-2</v>
      </c>
      <c r="Q551" s="244">
        <f>B551*185.571/100</f>
        <v>185.571</v>
      </c>
      <c r="R551" s="244">
        <v>2.6993333333333331</v>
      </c>
      <c r="S551" s="244">
        <f>B551*122.848/100</f>
        <v>122.848</v>
      </c>
      <c r="T551" s="244">
        <f>B551*322.313666666667/100</f>
        <v>322.31366666666702</v>
      </c>
      <c r="U551" s="244">
        <f>B551*0.140333333333333/100</f>
        <v>0.140333333333333</v>
      </c>
      <c r="V551" s="244">
        <f>B551*2.04133333333333/100</f>
        <v>2.0413333333333301</v>
      </c>
      <c r="W551" s="244">
        <f>B551*27.6333333333333/100</f>
        <v>27.633333333333304</v>
      </c>
      <c r="X551" s="244">
        <f>B551*0.06/100</f>
        <v>0.06</v>
      </c>
      <c r="Y551" s="244">
        <f>B551*0.05/100</f>
        <v>0.05</v>
      </c>
      <c r="Z551" s="244" t="s">
        <v>455</v>
      </c>
      <c r="AA551" s="244">
        <f>B551*3.25333333333333/100</f>
        <v>3.2533333333333299</v>
      </c>
      <c r="AB551" s="244" t="s">
        <v>455</v>
      </c>
    </row>
    <row r="552" spans="1:28">
      <c r="A552" s="233" t="s">
        <v>3219</v>
      </c>
      <c r="B552" s="59">
        <v>100</v>
      </c>
      <c r="C552" s="247">
        <f>B552*156.806103013237/100</f>
        <v>156.80610301323699</v>
      </c>
      <c r="D552" s="247">
        <f>B552*17.5520833333333/100</f>
        <v>17.5520833333333</v>
      </c>
      <c r="E552" s="244">
        <f>B552*7.96233333333333/100</f>
        <v>7.9623333333333299</v>
      </c>
      <c r="F552" s="258">
        <f>B552*3.692/100</f>
        <v>3.6920000000000006</v>
      </c>
      <c r="G552" s="258">
        <f>B552*2.23966666666667/100</f>
        <v>2.23966666666667</v>
      </c>
      <c r="H552" s="258">
        <f>B552*1.01466666666667/100</f>
        <v>1.0146666666666699</v>
      </c>
      <c r="I552" s="263">
        <f>B552*0.949/100</f>
        <v>0.94899999999999995</v>
      </c>
      <c r="J552" s="263">
        <f>B552*0.0656666666666667/100</f>
        <v>6.5666666666666706E-2</v>
      </c>
      <c r="K552" s="244">
        <f>B552*79.9593333333333/100</f>
        <v>79.959333333333305</v>
      </c>
      <c r="L552" s="247">
        <f>B552*2.59391666666666/100</f>
        <v>2.5939166666666602</v>
      </c>
      <c r="M552" s="258"/>
      <c r="N552" s="244">
        <f>B552*26.0493333333333/100</f>
        <v>26.049333333333301</v>
      </c>
      <c r="O552" s="244">
        <f>B552*24.7643333333333/100</f>
        <v>24.764333333333301</v>
      </c>
      <c r="P552" s="244">
        <f>B552*0.0276666666666667/100</f>
        <v>2.76666666666667E-2</v>
      </c>
      <c r="Q552" s="244">
        <f>B552*195.157666666667/100</f>
        <v>195.15766666666704</v>
      </c>
      <c r="R552" s="244">
        <v>1.5213333333333334</v>
      </c>
      <c r="S552" s="244">
        <f>B552*99.455/100</f>
        <v>99.454999999999998</v>
      </c>
      <c r="T552" s="244">
        <f>B552*307.086333333333/100</f>
        <v>307.08633333333302</v>
      </c>
      <c r="U552" s="244">
        <f>B552*0.123333333333333/100</f>
        <v>0.123333333333333</v>
      </c>
      <c r="V552" s="244">
        <f>B552*0.583333333333333/100</f>
        <v>0.58333333333333304</v>
      </c>
      <c r="W552" s="244">
        <f>B552*28.2233333333333/100</f>
        <v>28.223333333333304</v>
      </c>
      <c r="X552" s="244">
        <f>B552*0.0733333333333333/100</f>
        <v>7.3333333333333306E-2</v>
      </c>
      <c r="Y552" s="244">
        <f>B552*0.04/100</f>
        <v>0.04</v>
      </c>
      <c r="Z552" s="244">
        <f>B552*0.03/100</f>
        <v>0.03</v>
      </c>
      <c r="AA552" s="244">
        <f>B552*3.36666666666667/100</f>
        <v>3.3666666666666698</v>
      </c>
      <c r="AB552" s="244" t="s">
        <v>455</v>
      </c>
    </row>
    <row r="553" spans="1:28">
      <c r="A553" s="222" t="s">
        <v>3220</v>
      </c>
      <c r="B553" s="59">
        <v>100</v>
      </c>
      <c r="C553" s="247">
        <f>B553*151.561856830955/100</f>
        <v>151.56185683095501</v>
      </c>
      <c r="D553" s="247">
        <f>B553*10.1708333333333/100</f>
        <v>10.170833333333301</v>
      </c>
      <c r="E553" s="244">
        <f>B553*6.79066666666667/100</f>
        <v>6.7906666666666702</v>
      </c>
      <c r="F553" s="258">
        <f>B553*2.16/100</f>
        <v>2.16</v>
      </c>
      <c r="G553" s="258">
        <f>B553*2.86666666666667/100</f>
        <v>2.8666666666666698</v>
      </c>
      <c r="H553" s="258">
        <f>B553*1.52666666666667/100</f>
        <v>1.5266666666666699</v>
      </c>
      <c r="I553" s="263">
        <f>B553*1.29666666666667/100</f>
        <v>1.29666666666667</v>
      </c>
      <c r="J553" s="263">
        <f>B553*0.193333333333333/100</f>
        <v>0.193333333333333</v>
      </c>
      <c r="K553" s="244">
        <f>B553*67.8793333333333/100</f>
        <v>67.879333333333307</v>
      </c>
      <c r="L553" s="247">
        <f>B553*19.5818333333333/100</f>
        <v>19.5818333333333</v>
      </c>
      <c r="M553" s="258">
        <f>B553*3.57333333333333/100</f>
        <v>3.5733333333333301</v>
      </c>
      <c r="N553" s="244">
        <f>B553*41.1956666666667/100</f>
        <v>41.195666666666703</v>
      </c>
      <c r="O553" s="244">
        <f>B553*36.1053333333333/100</f>
        <v>36.105333333333299</v>
      </c>
      <c r="P553" s="244">
        <f>B553*0.381666666666667/100</f>
        <v>0.38166666666666699</v>
      </c>
      <c r="Q553" s="244">
        <f>B553*199.255/100</f>
        <v>199.255</v>
      </c>
      <c r="R553" s="244">
        <v>2.1623333333333332</v>
      </c>
      <c r="S553" s="244">
        <f>B553*365.074333333333/100</f>
        <v>365.07433333333307</v>
      </c>
      <c r="T553" s="244">
        <f>B553*348.929333333333/100</f>
        <v>348.92933333333298</v>
      </c>
      <c r="U553" s="244">
        <f>B553*0.217/100</f>
        <v>0.217</v>
      </c>
      <c r="V553" s="244">
        <f>B553*1.44633333333333/100</f>
        <v>1.4463333333333299</v>
      </c>
      <c r="W553" s="244">
        <f>B553*8.77/100</f>
        <v>8.77</v>
      </c>
      <c r="X553" s="244" t="s">
        <v>455</v>
      </c>
      <c r="Y553" s="244" t="s">
        <v>455</v>
      </c>
      <c r="Z553" s="244" t="s">
        <v>455</v>
      </c>
      <c r="AA553" s="244">
        <f>B553*1.43666666666667/100</f>
        <v>1.4366666666666701</v>
      </c>
      <c r="AB553" s="244" t="s">
        <v>455</v>
      </c>
    </row>
    <row r="554" spans="1:28">
      <c r="A554" s="222" t="s">
        <v>3221</v>
      </c>
      <c r="B554" s="59">
        <v>100</v>
      </c>
      <c r="C554" s="247">
        <f>B554*116.933457311034/100</f>
        <v>116.933457311034</v>
      </c>
      <c r="D554" s="247">
        <f>B554*8.67083333333333/100</f>
        <v>8.6708333333333307</v>
      </c>
      <c r="E554" s="244">
        <f>B554*6.47733333333333/100</f>
        <v>6.4773333333333305</v>
      </c>
      <c r="F554" s="258">
        <f>B554*1.92333333333333/100</f>
        <v>1.92333333333333</v>
      </c>
      <c r="G554" s="258">
        <f>B554*2.58666666666667/100</f>
        <v>2.5866666666666704</v>
      </c>
      <c r="H554" s="258">
        <f>B554*1.58333333333333/100</f>
        <v>1.5833333333333299</v>
      </c>
      <c r="I554" s="263">
        <f>B554*1.37/100</f>
        <v>1.37</v>
      </c>
      <c r="J554" s="263">
        <f>B554*0.18/100</f>
        <v>0.18</v>
      </c>
      <c r="K554" s="244">
        <f>B554*21.9633333333333/100</f>
        <v>21.963333333333299</v>
      </c>
      <c r="L554" s="247">
        <f>B554*11.6418333333333/100</f>
        <v>11.641833333333301</v>
      </c>
      <c r="M554" s="258">
        <f>B554*5.09/100</f>
        <v>5.09</v>
      </c>
      <c r="N554" s="244">
        <f>B554*32.3816666666667/100</f>
        <v>32.381666666666703</v>
      </c>
      <c r="O554" s="244">
        <f>B554*31.8496666666667/100</f>
        <v>31.8496666666667</v>
      </c>
      <c r="P554" s="244">
        <f>B554*0.243333333333333/100</f>
        <v>0.24333333333333301</v>
      </c>
      <c r="Q554" s="244">
        <f>B554*105.462333333333/100</f>
        <v>105.46233333333301</v>
      </c>
      <c r="R554" s="244">
        <v>1.3470000000000002</v>
      </c>
      <c r="S554" s="244">
        <f>B554*278.220333333333/100</f>
        <v>278.22033333333297</v>
      </c>
      <c r="T554" s="244">
        <f>B554*303.493/100</f>
        <v>303.49299999999999</v>
      </c>
      <c r="U554" s="244">
        <f>B554*0.153666666666667/100</f>
        <v>0.15366666666666701</v>
      </c>
      <c r="V554" s="244">
        <f>B554*0.831666666666667/100</f>
        <v>0.831666666666667</v>
      </c>
      <c r="W554" s="244" t="s">
        <v>455</v>
      </c>
      <c r="X554" s="244">
        <f>B554*0.0766666666666667/100</f>
        <v>7.6666666666666702E-2</v>
      </c>
      <c r="Y554" s="244">
        <f>B554*0.03/100</f>
        <v>0.03</v>
      </c>
      <c r="Z554" s="244" t="s">
        <v>455</v>
      </c>
      <c r="AA554" s="244">
        <f>B554*0.93/100</f>
        <v>0.93</v>
      </c>
      <c r="AB554" s="244" t="s">
        <v>455</v>
      </c>
    </row>
    <row r="555" spans="1:28">
      <c r="A555" s="222" t="s">
        <v>3222</v>
      </c>
      <c r="B555" s="59">
        <v>100</v>
      </c>
      <c r="C555" s="247">
        <f>B555*112.783768841227/100</f>
        <v>112.78376884122699</v>
      </c>
      <c r="D555" s="247">
        <f>B555*9.69791666666667/100</f>
        <v>9.6979166666666696</v>
      </c>
      <c r="E555" s="244">
        <f>B555*6.17/100</f>
        <v>6.17</v>
      </c>
      <c r="F555" s="258">
        <f>B555*1.61/100</f>
        <v>1.61</v>
      </c>
      <c r="G555" s="258">
        <f>B555*2.50833333333333/100</f>
        <v>2.5083333333333302</v>
      </c>
      <c r="H555" s="258">
        <f>B555*1.793/100</f>
        <v>1.7929999999999999</v>
      </c>
      <c r="I555" s="263">
        <f>B555*1.60066666666667/100</f>
        <v>1.60066666666667</v>
      </c>
      <c r="J555" s="263">
        <f>B555*0.112333333333333/100</f>
        <v>0.11233333333333299</v>
      </c>
      <c r="K555" s="244">
        <f>B555*50.4176666666667/100</f>
        <v>50.417666666666697</v>
      </c>
      <c r="L555" s="247">
        <f>B555*4.06208333333332/100</f>
        <v>4.0620833333333204</v>
      </c>
      <c r="M555" s="258">
        <f>B555*0.223333333333333/100</f>
        <v>0.223333333333333</v>
      </c>
      <c r="N555" s="244">
        <f>B555*12.9883333333333/100</f>
        <v>12.988333333333298</v>
      </c>
      <c r="O555" s="244">
        <f>B555*16.0876666666667/100</f>
        <v>16.087666666666699</v>
      </c>
      <c r="P555" s="244">
        <f>B555*0.0893333333333333/100</f>
        <v>8.9333333333333306E-2</v>
      </c>
      <c r="Q555" s="244">
        <f>B555*166.844666666667/100</f>
        <v>166.844666666667</v>
      </c>
      <c r="R555" s="244">
        <v>0.83799999999999997</v>
      </c>
      <c r="S555" s="244">
        <f>B555*28.812/100</f>
        <v>28.812000000000001</v>
      </c>
      <c r="T555" s="244">
        <f>B555*256.374666666667/100</f>
        <v>256.374666666667</v>
      </c>
      <c r="U555" s="244">
        <f>B555*0.0206666666666667/100</f>
        <v>2.0666666666666701E-2</v>
      </c>
      <c r="V555" s="244">
        <f>B555*0.503/100</f>
        <v>0.503</v>
      </c>
      <c r="W555" s="244">
        <f>B555*8.08666666666667/100</f>
        <v>8.0866666666666696</v>
      </c>
      <c r="X555" s="244">
        <f>B555*0.03/100</f>
        <v>0.03</v>
      </c>
      <c r="Y555" s="244" t="s">
        <v>455</v>
      </c>
      <c r="Z555" s="244" t="s">
        <v>455</v>
      </c>
      <c r="AA555" s="244">
        <f>B555*1.64/100</f>
        <v>1.64</v>
      </c>
      <c r="AB555" s="244">
        <f>B555*5.28/100</f>
        <v>5.28</v>
      </c>
    </row>
    <row r="556" spans="1:28">
      <c r="A556" s="222" t="s">
        <v>3223</v>
      </c>
      <c r="B556" s="59">
        <v>100</v>
      </c>
      <c r="C556" s="247">
        <f>B556*119.53177144556/100</f>
        <v>119.53177144555998</v>
      </c>
      <c r="D556" s="247">
        <f>B556*4.93429983488719/100</f>
        <v>4.9342998348871898</v>
      </c>
      <c r="E556" s="244">
        <f>B556*0.889666666666667/100</f>
        <v>0.88966666666666716</v>
      </c>
      <c r="F556" s="258">
        <f>B556*0.271/100</f>
        <v>0.27100000000000002</v>
      </c>
      <c r="G556" s="258">
        <f>B556*0.264666666666667/100</f>
        <v>0.26466666666666699</v>
      </c>
      <c r="H556" s="258">
        <f>B556*0.288333333333333/100</f>
        <v>0.288333333333333</v>
      </c>
      <c r="I556" s="263">
        <f>B556*0.275/100</f>
        <v>0.27500000000000002</v>
      </c>
      <c r="J556" s="263">
        <f>B556*0.0133333333333333/100</f>
        <v>1.3333333333333299E-2</v>
      </c>
      <c r="K556" s="244">
        <f>B556*6.92966666666667/100</f>
        <v>6.9296666666666704</v>
      </c>
      <c r="L556" s="247">
        <f>B556*22.5223668317795/100</f>
        <v>22.5223668317795</v>
      </c>
      <c r="M556" s="244">
        <f>B556*0.776666666666667/100</f>
        <v>0.77666666666666695</v>
      </c>
      <c r="N556" s="244">
        <f>B556*10.5483333333333/100</f>
        <v>10.5483333333333</v>
      </c>
      <c r="O556" s="244">
        <f>B556*9.98133333333333/100</f>
        <v>9.9813333333333301</v>
      </c>
      <c r="P556" s="244">
        <f>B556*0.220333333333333/100</f>
        <v>0.22033333333333299</v>
      </c>
      <c r="Q556" s="244">
        <f>B556*53.9606666666667/100</f>
        <v>53.960666666666697</v>
      </c>
      <c r="R556" s="244">
        <v>1.389</v>
      </c>
      <c r="S556" s="244">
        <f>B556*8.93933333333333/100</f>
        <v>8.9393333333333302</v>
      </c>
      <c r="T556" s="244">
        <f>B556*83.5736666666667/100</f>
        <v>83.573666666666711</v>
      </c>
      <c r="U556" s="244">
        <f>B556*0.087/100</f>
        <v>8.6999999999999994E-2</v>
      </c>
      <c r="V556" s="244">
        <f>B556*0.752/100</f>
        <v>0.752</v>
      </c>
      <c r="W556" s="244" t="s">
        <v>455</v>
      </c>
      <c r="X556" s="244">
        <f>B556*0.0366666666666667/100</f>
        <v>3.6666666666666702E-2</v>
      </c>
      <c r="Y556" s="244" t="s">
        <v>455</v>
      </c>
      <c r="Z556" s="244" t="s">
        <v>455</v>
      </c>
      <c r="AA556" s="244">
        <f>B556*1.43666666666667/100</f>
        <v>1.4366666666666701</v>
      </c>
      <c r="AB556" s="244" t="s">
        <v>455</v>
      </c>
    </row>
    <row r="557" spans="1:28">
      <c r="A557" s="222" t="s">
        <v>3224</v>
      </c>
      <c r="B557" s="59">
        <v>100</v>
      </c>
      <c r="C557" s="247">
        <f>B557*134.222893400987/100</f>
        <v>134.222893400987</v>
      </c>
      <c r="D557" s="247">
        <f>B557*9.95833333333333/100</f>
        <v>9.9583333333333304</v>
      </c>
      <c r="E557" s="244">
        <f>B557*8.69933333333333/100</f>
        <v>8.69933333333333</v>
      </c>
      <c r="F557" s="258">
        <f>B557*2.89333333333333/100</f>
        <v>2.8933333333333295</v>
      </c>
      <c r="G557" s="258">
        <f>B557*3.676/100</f>
        <v>3.6760000000000002</v>
      </c>
      <c r="H557" s="258">
        <f>B557*1.67366666666667/100</f>
        <v>1.67366666666667</v>
      </c>
      <c r="I557" s="263">
        <f>B557*1.44666666666667/100</f>
        <v>1.4466666666666699</v>
      </c>
      <c r="J557" s="263">
        <f>B557*0.155/100</f>
        <v>0.155</v>
      </c>
      <c r="K557" s="244">
        <f>B557*42.7663333333333/100</f>
        <v>42.766333333333293</v>
      </c>
      <c r="L557" s="247">
        <f>B557*3.41933333333333/100</f>
        <v>3.4193333333333298</v>
      </c>
      <c r="M557" s="244">
        <f>B557*2.16/100</f>
        <v>2.16</v>
      </c>
      <c r="N557" s="244">
        <f>B557*65.9806666666667/100</f>
        <v>65.980666666666707</v>
      </c>
      <c r="O557" s="244">
        <f>B557*23.6523333333333/100</f>
        <v>23.652333333333299</v>
      </c>
      <c r="P557" s="244">
        <f>B557*0.596/100</f>
        <v>0.59599999999999997</v>
      </c>
      <c r="Q557" s="244">
        <f>B557*54.8826666666667/100</f>
        <v>54.882666666666701</v>
      </c>
      <c r="R557" s="244">
        <v>3.2153333333333332</v>
      </c>
      <c r="S557" s="244">
        <f>B557*406.704333333333/100</f>
        <v>406.70433333333295</v>
      </c>
      <c r="T557" s="244">
        <f>B557*147.712666666667/100</f>
        <v>147.71266666666699</v>
      </c>
      <c r="U557" s="244">
        <f>B557*0.159666666666667/100</f>
        <v>0.15966666666666701</v>
      </c>
      <c r="V557" s="244">
        <f>B557*2.02533333333333/100</f>
        <v>2.0253333333333301</v>
      </c>
      <c r="W557" s="244" t="s">
        <v>455</v>
      </c>
      <c r="X557" s="244">
        <f>B557*0.0433333333333333/100</f>
        <v>4.3333333333333307E-2</v>
      </c>
      <c r="Y557" s="244">
        <f>B557*0.07/100</f>
        <v>7.0000000000000007E-2</v>
      </c>
      <c r="Z557" s="244">
        <f>B557*0.05/100</f>
        <v>0.05</v>
      </c>
      <c r="AA557" s="244">
        <f>B557*2.57666666666667/100</f>
        <v>2.5766666666666702</v>
      </c>
      <c r="AB557" s="244" t="s">
        <v>455</v>
      </c>
    </row>
    <row r="558" spans="1:28">
      <c r="A558" s="222" t="s">
        <v>3225</v>
      </c>
      <c r="B558" s="59">
        <v>100</v>
      </c>
      <c r="C558" s="247">
        <f>B558*86.349230299592/100</f>
        <v>86.349230299591994</v>
      </c>
      <c r="D558" s="247">
        <f>B558*8.55625/100</f>
        <v>8.5562500000000004</v>
      </c>
      <c r="E558" s="244">
        <f>B558*2.672/100</f>
        <v>2.6719999999999997</v>
      </c>
      <c r="F558" s="258">
        <f>B558*1.04233333333333/100</f>
        <v>1.04233333333333</v>
      </c>
      <c r="G558" s="258">
        <f>B558*1.10533333333333/100</f>
        <v>1.1053333333333299</v>
      </c>
      <c r="H558" s="258">
        <f>B558*0.24/100</f>
        <v>0.24</v>
      </c>
      <c r="I558" s="263">
        <f>B558*0.177/100</f>
        <v>0.17699999999999999</v>
      </c>
      <c r="J558" s="263">
        <f>B558*0.063/100</f>
        <v>6.3E-2</v>
      </c>
      <c r="K558" s="258" t="s">
        <v>454</v>
      </c>
      <c r="L558" s="247">
        <f>B558*6.64408333333332/100</f>
        <v>6.6440833333333202</v>
      </c>
      <c r="M558" s="244">
        <f>B558*1.66666666666667/100</f>
        <v>1.6666666666666701</v>
      </c>
      <c r="N558" s="244">
        <f>B558*7.68466666666667/100</f>
        <v>7.6846666666666703</v>
      </c>
      <c r="O558" s="244">
        <f>B558*10.395/100</f>
        <v>10.395</v>
      </c>
      <c r="P558" s="244">
        <f>B558*0.0533333333333333/100</f>
        <v>5.3333333333333302E-2</v>
      </c>
      <c r="Q558" s="244">
        <f>B558*42.525/100</f>
        <v>42.524999999999999</v>
      </c>
      <c r="R558" s="244">
        <v>0.77833333333333332</v>
      </c>
      <c r="S558" s="244">
        <f>B558*246.614/100</f>
        <v>246.614</v>
      </c>
      <c r="T558" s="244">
        <f>B558*152.812666666667/100</f>
        <v>152.81266666666701</v>
      </c>
      <c r="U558" s="244">
        <f>B558*0.606/100</f>
        <v>0.60599999999999998</v>
      </c>
      <c r="V558" s="244">
        <f>B558*1.63666666666667/100</f>
        <v>1.63666666666667</v>
      </c>
      <c r="W558" s="244" t="s">
        <v>455</v>
      </c>
      <c r="X558" s="244" t="s">
        <v>455</v>
      </c>
      <c r="Y558" s="244">
        <f>B558*0.03/100</f>
        <v>0.03</v>
      </c>
      <c r="Z558" s="244">
        <f>B558*0.0366666666666667/100</f>
        <v>3.6666666666666702E-2</v>
      </c>
      <c r="AA558" s="258"/>
      <c r="AB558" s="244" t="s">
        <v>455</v>
      </c>
    </row>
    <row r="559" spans="1:28">
      <c r="A559" s="221" t="s">
        <v>3226</v>
      </c>
      <c r="B559" s="59">
        <v>100</v>
      </c>
      <c r="C559" s="247">
        <f>B559*96.1035883984566/100</f>
        <v>96.103588398456594</v>
      </c>
      <c r="D559" s="247">
        <f>B559*1.05/100</f>
        <v>1.05</v>
      </c>
      <c r="E559" s="241">
        <f>B559*7.039/100</f>
        <v>7.0389999999999997</v>
      </c>
      <c r="F559" s="247">
        <f>B559*1.09433333333333/100</f>
        <v>1.09433333333333</v>
      </c>
      <c r="G559" s="247">
        <f>B559*1.76733333333333/100</f>
        <v>1.7673333333333301</v>
      </c>
      <c r="H559" s="247">
        <f>B559*3.81533333333333/100</f>
        <v>3.8153333333333301</v>
      </c>
      <c r="I559" s="263">
        <f>B559*3.45866666666667/100</f>
        <v>3.4586666666666703</v>
      </c>
      <c r="J559" s="263">
        <f>B559*0.356666666666667/100</f>
        <v>0.35666666666666702</v>
      </c>
      <c r="K559" s="241">
        <f>B559*7.20133333333333/100</f>
        <v>7.2013333333333298</v>
      </c>
      <c r="L559" s="247">
        <f>B559*8.92399999999999/100</f>
        <v>8.9239999999999906</v>
      </c>
      <c r="M559" s="241">
        <f>B559*2.21666666666667/100</f>
        <v>2.2166666666666699</v>
      </c>
      <c r="N559" s="241">
        <f>B559*12.1283333333333/100</f>
        <v>12.1283333333333</v>
      </c>
      <c r="O559" s="241">
        <f>B559*8.71433333333333/100</f>
        <v>8.7143333333333306</v>
      </c>
      <c r="P559" s="241">
        <f>B559*0.0966666666666667/100</f>
        <v>9.666666666666672E-2</v>
      </c>
      <c r="Q559" s="241">
        <f>B559*22.265/100</f>
        <v>22.265000000000001</v>
      </c>
      <c r="R559" s="241">
        <v>0.22900000000000001</v>
      </c>
      <c r="S559" s="241">
        <f>B559*228.425666666667/100</f>
        <v>228.42566666666701</v>
      </c>
      <c r="T559" s="241">
        <f>B559*141.294333333333/100</f>
        <v>141.29433333333299</v>
      </c>
      <c r="U559" s="241">
        <f>B559*0.035/100</f>
        <v>3.5000000000000003E-2</v>
      </c>
      <c r="V559" s="241">
        <f>B559*0.156333333333333/100</f>
        <v>0.15633333333333299</v>
      </c>
      <c r="W559" s="241" t="s">
        <v>455</v>
      </c>
      <c r="X559" s="241">
        <f>B559*0.0366666666666667/100</f>
        <v>3.6666666666666702E-2</v>
      </c>
      <c r="Y559" s="241" t="s">
        <v>455</v>
      </c>
      <c r="Z559" s="241">
        <f>B559*0.04/100</f>
        <v>0.04</v>
      </c>
      <c r="AA559" s="241" t="s">
        <v>455</v>
      </c>
      <c r="AB559" s="241" t="s">
        <v>455</v>
      </c>
    </row>
    <row r="560" spans="1:28">
      <c r="A560" s="221" t="s">
        <v>3227</v>
      </c>
      <c r="B560" s="59">
        <v>100</v>
      </c>
      <c r="C560" s="247">
        <f>B560*35.4081042984724/100</f>
        <v>35.408104298472402</v>
      </c>
      <c r="D560" s="247">
        <f>B560*2.00625/100</f>
        <v>2.0062500000000001</v>
      </c>
      <c r="E560" s="241">
        <f>B560*0.311666666666667/100</f>
        <v>0.31166666666666698</v>
      </c>
      <c r="F560" s="247">
        <f>B560*0.0623333333333333/100</f>
        <v>6.233333333333331E-2</v>
      </c>
      <c r="G560" s="247" t="s">
        <v>455</v>
      </c>
      <c r="H560" s="247">
        <f>B560*0.162333333333333/100</f>
        <v>0.162333333333333</v>
      </c>
      <c r="I560" s="263">
        <f>B560*0.0723333333333333/100</f>
        <v>7.2333333333333305E-2</v>
      </c>
      <c r="J560" s="263">
        <f>B560*0.0766666666666667/100</f>
        <v>7.6666666666666702E-2</v>
      </c>
      <c r="K560" s="258" t="s">
        <v>454</v>
      </c>
      <c r="L560" s="247">
        <f>B560*7.08908333333333/100</f>
        <v>7.0890833333333312</v>
      </c>
      <c r="M560" s="241">
        <f>B560*2.51/100</f>
        <v>2.5099999999999998</v>
      </c>
      <c r="N560" s="241">
        <f>B560*32.895/100</f>
        <v>32.895000000000003</v>
      </c>
      <c r="O560" s="241">
        <f>B560*18.5783333333333/100</f>
        <v>18.578333333333301</v>
      </c>
      <c r="P560" s="241">
        <f>B560*0.235333333333333/100</f>
        <v>0.23533333333333301</v>
      </c>
      <c r="Q560" s="241">
        <f>B560*44.791/100</f>
        <v>44.790999999999997</v>
      </c>
      <c r="R560" s="241">
        <v>0.44066666666666671</v>
      </c>
      <c r="S560" s="241">
        <f>B560*2.50966666666667/100</f>
        <v>2.50966666666667</v>
      </c>
      <c r="T560" s="241">
        <f>B560*244.303666666667/100</f>
        <v>244.30366666666703</v>
      </c>
      <c r="U560" s="241">
        <f>B560*0.171333333333333/100</f>
        <v>0.171333333333333</v>
      </c>
      <c r="V560" s="241">
        <f>B560*0.3/100</f>
        <v>0.3</v>
      </c>
      <c r="W560" s="241" t="s">
        <v>454</v>
      </c>
      <c r="X560" s="241">
        <f>B560*0.05/100</f>
        <v>0.05</v>
      </c>
      <c r="Y560" s="241">
        <f>B560*0.03/100</f>
        <v>0.03</v>
      </c>
      <c r="Z560" s="241">
        <f>B560*0.0333333333333333/100</f>
        <v>3.3333333333333298E-2</v>
      </c>
      <c r="AA560" s="241" t="s">
        <v>455</v>
      </c>
      <c r="AB560" s="241">
        <f>B560*29.35/100</f>
        <v>29.35</v>
      </c>
    </row>
    <row r="561" spans="1:28">
      <c r="A561" s="222" t="s">
        <v>3228</v>
      </c>
      <c r="B561" s="59">
        <v>100</v>
      </c>
      <c r="C561" s="247">
        <f>B561*147.864596134027/100</f>
        <v>147.86459613402701</v>
      </c>
      <c r="D561" s="247">
        <f>B561*13.925/100</f>
        <v>13.925000000000001</v>
      </c>
      <c r="E561" s="244">
        <f>B561*7.84066666666667/100</f>
        <v>7.8406666666666691</v>
      </c>
      <c r="F561" s="247">
        <f>B561*1.339/100</f>
        <v>1.339</v>
      </c>
      <c r="G561" s="247">
        <f>B561*2.08066666666667/100</f>
        <v>2.0806666666666702</v>
      </c>
      <c r="H561" s="247">
        <f>B561*3.99766666666667/100</f>
        <v>3.99766666666667</v>
      </c>
      <c r="I561" s="263">
        <f>B561*3.63766666666667/100</f>
        <v>3.6376666666666697</v>
      </c>
      <c r="J561" s="263">
        <f>B561*0.36/100</f>
        <v>0.36</v>
      </c>
      <c r="K561" s="244">
        <f>B561*52.5236666666667/100</f>
        <v>52.523666666666692</v>
      </c>
      <c r="L561" s="247">
        <f>B561*4.56899999999999/100</f>
        <v>4.5689999999999902</v>
      </c>
      <c r="M561" s="258">
        <f>B561*0.41/100</f>
        <v>0.41</v>
      </c>
      <c r="N561" s="244">
        <f>B561*9.409/100</f>
        <v>9.4090000000000007</v>
      </c>
      <c r="O561" s="244">
        <f>B561*13.254/100</f>
        <v>13.253999999999998</v>
      </c>
      <c r="P561" s="244">
        <f>B561*0.027/100</f>
        <v>2.7000000000000003E-2</v>
      </c>
      <c r="Q561" s="244">
        <f>B561*102.583/100</f>
        <v>102.583</v>
      </c>
      <c r="R561" s="244">
        <v>0.31833333333333336</v>
      </c>
      <c r="S561" s="244">
        <f>B561*248.345666666667/100</f>
        <v>248.34566666666697</v>
      </c>
      <c r="T561" s="244">
        <f>B561*148.968/100</f>
        <v>148.96799999999999</v>
      </c>
      <c r="U561" s="244">
        <f>B561*0.0776666666666667/100</f>
        <v>7.7666666666666703E-2</v>
      </c>
      <c r="V561" s="244">
        <f>B561*0.392666666666667/100</f>
        <v>0.392666666666667</v>
      </c>
      <c r="W561" s="244" t="s">
        <v>455</v>
      </c>
      <c r="X561" s="244">
        <f>B561*0.05/100</f>
        <v>0.05</v>
      </c>
      <c r="Y561" s="259" t="s">
        <v>455</v>
      </c>
      <c r="Z561" s="259" t="s">
        <v>455</v>
      </c>
      <c r="AA561" s="244">
        <f>B561*1.47666666666667/100</f>
        <v>1.4766666666666699</v>
      </c>
      <c r="AB561" s="258">
        <f>B561*9.25666666666667/100</f>
        <v>9.2566666666666695</v>
      </c>
    </row>
    <row r="562" spans="1:28">
      <c r="A562" s="235" t="s">
        <v>3229</v>
      </c>
      <c r="B562" s="59">
        <v>100</v>
      </c>
      <c r="C562" s="247">
        <f>B562*122.981858212431/100</f>
        <v>122.98185821243099</v>
      </c>
      <c r="D562" s="247">
        <f>B562*18.4729166666667/100</f>
        <v>18.472916666666698</v>
      </c>
      <c r="E562" s="241">
        <f>B562*4.42/100</f>
        <v>4.42</v>
      </c>
      <c r="F562" s="247">
        <f>B562*1.393/100</f>
        <v>1.393</v>
      </c>
      <c r="G562" s="247">
        <f>B562*1.106/100</f>
        <v>1.1060000000000001</v>
      </c>
      <c r="H562" s="247">
        <f>B562*0.718/100</f>
        <v>0.71799999999999997</v>
      </c>
      <c r="I562" s="263">
        <f>B562*0.657333333333333/100</f>
        <v>0.6573333333333331</v>
      </c>
      <c r="J562" s="263">
        <f>B562*0.0276666666666667/100</f>
        <v>2.76666666666667E-2</v>
      </c>
      <c r="K562" s="241">
        <f>B562*315.357333333333/100</f>
        <v>315.35733333333297</v>
      </c>
      <c r="L562" s="247">
        <f>B562*1.09408333333334/100</f>
        <v>1.09408333333334</v>
      </c>
      <c r="M562" s="247"/>
      <c r="N562" s="241">
        <f>B562*12.2343333333333/100</f>
        <v>12.2343333333333</v>
      </c>
      <c r="O562" s="241">
        <f>B562*12.797/100</f>
        <v>12.797000000000001</v>
      </c>
      <c r="P562" s="241">
        <f>B562*0.103666666666667/100</f>
        <v>0.103666666666667</v>
      </c>
      <c r="Q562" s="241">
        <f>B562*163.502/100</f>
        <v>163.50200000000001</v>
      </c>
      <c r="R562" s="241">
        <v>7.176333333333333</v>
      </c>
      <c r="S562" s="241">
        <f>B562*215.622666666667/100</f>
        <v>215.62266666666699</v>
      </c>
      <c r="T562" s="241">
        <f>B562*198.757/100</f>
        <v>198.75700000000001</v>
      </c>
      <c r="U562" s="241">
        <f>B562*1.48333333333333/100</f>
        <v>1.4833333333333301</v>
      </c>
      <c r="V562" s="241">
        <f>B562*1.77033333333333/100</f>
        <v>1.77033333333333</v>
      </c>
      <c r="W562" s="241">
        <f>B562*1463.66666666667/100</f>
        <v>1463.6666666666702</v>
      </c>
      <c r="X562" s="241" t="s">
        <v>455</v>
      </c>
      <c r="Y562" s="241">
        <f>B562*0.11/100</f>
        <v>0.11</v>
      </c>
      <c r="Z562" s="241" t="s">
        <v>455</v>
      </c>
      <c r="AA562" s="241">
        <f>B562*3.83666666666667/100</f>
        <v>3.8366666666666704</v>
      </c>
      <c r="AB562" s="241" t="s">
        <v>455</v>
      </c>
    </row>
    <row r="563" spans="1:28">
      <c r="A563" s="235" t="s">
        <v>3230</v>
      </c>
      <c r="B563" s="59">
        <v>100</v>
      </c>
      <c r="C563" s="247">
        <f>B563*57.4534766884806/100</f>
        <v>57.453476688480599</v>
      </c>
      <c r="D563" s="247">
        <f>B563*2.04632997322082/100</f>
        <v>2.04632997322082</v>
      </c>
      <c r="E563" s="241">
        <f>B563*1.208/100</f>
        <v>1.208</v>
      </c>
      <c r="F563" s="247">
        <f>B563*0.21/100</f>
        <v>0.21</v>
      </c>
      <c r="G563" s="247">
        <f>B563*0.83/100</f>
        <v>0.83</v>
      </c>
      <c r="H563" s="247">
        <f>B563*0.233333333333333/100</f>
        <v>0.233333333333333</v>
      </c>
      <c r="I563" s="263">
        <f>B563*0.203333333333333/100</f>
        <v>0.20333333333333301</v>
      </c>
      <c r="J563" s="263">
        <f>B563*0.03/100</f>
        <v>0.03</v>
      </c>
      <c r="K563" s="258" t="s">
        <v>454</v>
      </c>
      <c r="L563" s="247">
        <f>B563*10.5810033601125/100</f>
        <v>10.581003360112499</v>
      </c>
      <c r="M563" s="241">
        <f>B563*2.08333333333333/100</f>
        <v>2.0833333333333299</v>
      </c>
      <c r="N563" s="241">
        <f>B563*18.8473333333333/100</f>
        <v>18.8473333333333</v>
      </c>
      <c r="O563" s="241">
        <f>B563*17.9773333333333/100</f>
        <v>17.977333333333299</v>
      </c>
      <c r="P563" s="241">
        <f>B563*0.368333333333333/100</f>
        <v>0.36833333333333301</v>
      </c>
      <c r="Q563" s="241">
        <f>B563*35.4703333333333/100</f>
        <v>35.470333333333301</v>
      </c>
      <c r="R563" s="241">
        <v>0.55133333333333334</v>
      </c>
      <c r="S563" s="241">
        <f>B563*1.192/100</f>
        <v>1.1919999999999999</v>
      </c>
      <c r="T563" s="241">
        <f>B563*187.626666666667/100</f>
        <v>187.62666666666701</v>
      </c>
      <c r="U563" s="241">
        <f>B563*0.121333333333333/100</f>
        <v>0.12133333333333302</v>
      </c>
      <c r="V563" s="241">
        <f>B563*0.578/100</f>
        <v>0.57799999999999996</v>
      </c>
      <c r="W563" s="247" t="s">
        <v>454</v>
      </c>
      <c r="X563" s="241">
        <f>B563*0.03/100</f>
        <v>0.03</v>
      </c>
      <c r="Y563" s="241" t="s">
        <v>455</v>
      </c>
      <c r="Z563" s="241" t="s">
        <v>455</v>
      </c>
      <c r="AA563" s="241">
        <f>B563*0.6/100</f>
        <v>0.6</v>
      </c>
      <c r="AB563" s="241">
        <f>B563*16.2166666666667/100</f>
        <v>16.216666666666701</v>
      </c>
    </row>
    <row r="564" spans="1:28">
      <c r="A564" s="235" t="s">
        <v>3231</v>
      </c>
      <c r="B564" s="59">
        <v>100</v>
      </c>
      <c r="C564" s="247">
        <f>B564*46.8891771512032/100</f>
        <v>46.889177151203199</v>
      </c>
      <c r="D564" s="247">
        <f>B564*6.95833333333333/100</f>
        <v>6.9583333333333304</v>
      </c>
      <c r="E564" s="241">
        <f>B564*0.359666666666667/100</f>
        <v>0.35966666666666702</v>
      </c>
      <c r="F564" s="247">
        <f>B564*0.175666666666667/100</f>
        <v>0.17566666666666697</v>
      </c>
      <c r="G564" s="247">
        <f>B564*0.128333333333333/100</f>
        <v>0.12833333333333299</v>
      </c>
      <c r="H564" s="247" t="s">
        <v>455</v>
      </c>
      <c r="I564" s="263">
        <f>B564*0.028/100</f>
        <v>2.8000000000000004E-2</v>
      </c>
      <c r="J564" s="263"/>
      <c r="K564" s="241">
        <f>B564*70.562/100</f>
        <v>70.561999999999998</v>
      </c>
      <c r="L564" s="247">
        <f>B564*3.39/100</f>
        <v>3.39</v>
      </c>
      <c r="M564" s="241">
        <f>B564*0.213333333333333/100</f>
        <v>0.21333333333333301</v>
      </c>
      <c r="N564" s="241">
        <f>B564*44.8186666666667/100</f>
        <v>44.818666666666701</v>
      </c>
      <c r="O564" s="241">
        <f>B564*29.899/100</f>
        <v>29.899000000000001</v>
      </c>
      <c r="P564" s="241">
        <f>B564*0.115333333333333/100</f>
        <v>0.115333333333333</v>
      </c>
      <c r="Q564" s="241">
        <f>B564*89.168/100</f>
        <v>89.168000000000006</v>
      </c>
      <c r="R564" s="241">
        <v>0.94933333333333325</v>
      </c>
      <c r="S564" s="241">
        <f>B564*1349.06266666667/100</f>
        <v>1349.0626666666701</v>
      </c>
      <c r="T564" s="241">
        <f>B564*240.183333333333/100</f>
        <v>240.183333333333</v>
      </c>
      <c r="U564" s="241">
        <f>B564*0.219/100</f>
        <v>0.21899999999999997</v>
      </c>
      <c r="V564" s="241">
        <f>B564*0.794/100</f>
        <v>0.79400000000000004</v>
      </c>
      <c r="W564" s="241" t="s">
        <v>455</v>
      </c>
      <c r="X564" s="241">
        <f>B564*0.0466666666666667/100</f>
        <v>4.6666666666666697E-2</v>
      </c>
      <c r="Y564" s="241" t="s">
        <v>455</v>
      </c>
      <c r="Z564" s="241" t="s">
        <v>455</v>
      </c>
      <c r="AA564" s="247"/>
      <c r="AB564" s="241" t="s">
        <v>455</v>
      </c>
    </row>
    <row r="565" spans="1:28">
      <c r="A565" s="235" t="s">
        <v>3232</v>
      </c>
      <c r="B565" s="59">
        <v>100</v>
      </c>
      <c r="C565" s="247">
        <f>B565*347.826556257824/100</f>
        <v>347.826556257824</v>
      </c>
      <c r="D565" s="247">
        <f>B565*0.0895833333333333/100</f>
        <v>8.9583333333333307E-2</v>
      </c>
      <c r="E565" s="241">
        <f>B565*10.9083333333333/100</f>
        <v>10.908333333333298</v>
      </c>
      <c r="F565" s="247">
        <f>B565*6.04533333333333/100</f>
        <v>6.0453333333333292</v>
      </c>
      <c r="G565" s="247">
        <f>B565*2.963/100</f>
        <v>2.9630000000000001</v>
      </c>
      <c r="H565" s="247">
        <f>B565*0.187666666666667/100</f>
        <v>0.18766666666666701</v>
      </c>
      <c r="I565" s="263">
        <f>B565*0.166666666666667/100</f>
        <v>0.16666666666666699</v>
      </c>
      <c r="J565" s="263">
        <f>B565*0.021/100</f>
        <v>2.1000000000000001E-2</v>
      </c>
      <c r="K565" s="241">
        <f>B565*31.1903333333333/100</f>
        <v>31.190333333333299</v>
      </c>
      <c r="L565" s="247">
        <f>B565*63.59175/100</f>
        <v>63.591750000000005</v>
      </c>
      <c r="M565" s="241" t="s">
        <v>455</v>
      </c>
      <c r="N565" s="241">
        <f>B565*30.0253333333333/100</f>
        <v>30.0253333333333</v>
      </c>
      <c r="O565" s="241">
        <f>B565*3.218/100</f>
        <v>3.218</v>
      </c>
      <c r="P565" s="241">
        <f>B565*0.06/100</f>
        <v>0.06</v>
      </c>
      <c r="Q565" s="241">
        <f>B565*8.427/100</f>
        <v>8.4269999999999996</v>
      </c>
      <c r="R565" s="241">
        <v>0.24</v>
      </c>
      <c r="S565" s="241">
        <f>B565*157.524333333333/100</f>
        <v>157.524333333333</v>
      </c>
      <c r="T565" s="241">
        <f>B565*19.305/100</f>
        <v>19.305</v>
      </c>
      <c r="U565" s="241">
        <f>B565*0.008/100</f>
        <v>8.0000000000000002E-3</v>
      </c>
      <c r="V565" s="241">
        <f>B565*0.038/100</f>
        <v>3.7999999999999999E-2</v>
      </c>
      <c r="W565" s="241">
        <f>B565*75.2666666666667/100</f>
        <v>75.266666666666694</v>
      </c>
      <c r="X565" s="241" t="s">
        <v>455</v>
      </c>
      <c r="Y565" s="241" t="s">
        <v>455</v>
      </c>
      <c r="Z565" s="241" t="s">
        <v>455</v>
      </c>
      <c r="AA565" s="241" t="s">
        <v>455</v>
      </c>
      <c r="AB565" s="241" t="s">
        <v>455</v>
      </c>
    </row>
    <row r="566" spans="1:28">
      <c r="A566" s="235" t="s">
        <v>3233</v>
      </c>
      <c r="B566" s="59">
        <v>100</v>
      </c>
      <c r="C566" s="247">
        <f>B566*27.1837984027266/100</f>
        <v>27.183798402726602</v>
      </c>
      <c r="D566" s="247">
        <f>B566*2.05625/100</f>
        <v>2.0562499999999999</v>
      </c>
      <c r="E566" s="241">
        <f>B566*0.283666666666667/100</f>
        <v>0.28366666666666701</v>
      </c>
      <c r="F566" s="247">
        <f>B566*0.0613333333333333/100</f>
        <v>6.1333333333333302E-2</v>
      </c>
      <c r="G566" s="247">
        <f>B566*0.145333333333333/100</f>
        <v>0.14533333333333301</v>
      </c>
      <c r="H566" s="247" t="s">
        <v>455</v>
      </c>
      <c r="I566" s="263">
        <f>B566*0.043/100</f>
        <v>4.2999999999999997E-2</v>
      </c>
      <c r="J566" s="263" t="s">
        <v>455</v>
      </c>
      <c r="K566" s="258" t="s">
        <v>454</v>
      </c>
      <c r="L566" s="247">
        <f>B566*4.73774999999999/100</f>
        <v>4.7377499999999904</v>
      </c>
      <c r="M566" s="241">
        <f>B566*0.226666666666667/100</f>
        <v>0.22666666666666699</v>
      </c>
      <c r="N566" s="241">
        <f>B566*28.256/100</f>
        <v>28.256</v>
      </c>
      <c r="O566" s="241">
        <f>B566*42.4856666666667/100</f>
        <v>42.485666666666702</v>
      </c>
      <c r="P566" s="241">
        <f>B566*0.521333333333333/100</f>
        <v>0.52133333333333298</v>
      </c>
      <c r="Q566" s="241">
        <f>B566*30.808/100</f>
        <v>30.808000000000003</v>
      </c>
      <c r="R566" s="241">
        <v>1.1483333333333332</v>
      </c>
      <c r="S566" s="241">
        <f>B566*5.131/100</f>
        <v>5.1310000000000002</v>
      </c>
      <c r="T566" s="241">
        <f>B566*390.837333333333/100</f>
        <v>390.83733333333299</v>
      </c>
      <c r="U566" s="241">
        <f>B566*0.119666666666667/100</f>
        <v>0.119666666666667</v>
      </c>
      <c r="V566" s="241">
        <f>B566*0.853666666666667/100</f>
        <v>0.85366666666666702</v>
      </c>
      <c r="W566" s="247" t="s">
        <v>454</v>
      </c>
      <c r="X566" s="241" t="s">
        <v>455</v>
      </c>
      <c r="Y566" s="241" t="s">
        <v>455</v>
      </c>
      <c r="Z566" s="241">
        <f>B566*0.0533333333333333/100</f>
        <v>5.3333333333333302E-2</v>
      </c>
      <c r="AA566" s="241" t="s">
        <v>455</v>
      </c>
      <c r="AB566" s="241">
        <f>B566*46.3966666666667/100</f>
        <v>46.396666666666697</v>
      </c>
    </row>
    <row r="567" spans="1:28">
      <c r="A567" s="235" t="s">
        <v>3234</v>
      </c>
      <c r="B567" s="59">
        <v>100</v>
      </c>
      <c r="C567" s="247">
        <f>B567*144.89697968479/100</f>
        <v>144.89697968479001</v>
      </c>
      <c r="D567" s="247">
        <f>B567*5.12291666666667/100</f>
        <v>5.1229166666666712</v>
      </c>
      <c r="E567" s="241">
        <f>B567*9.322/100</f>
        <v>9.3219999999999992</v>
      </c>
      <c r="F567" s="247">
        <f>B567*4.138/100</f>
        <v>4.1379999999999999</v>
      </c>
      <c r="G567" s="247">
        <f>B567*3.15833333333333/100</f>
        <v>3.1583333333333301</v>
      </c>
      <c r="H567" s="247">
        <f>B567*1.22966666666667/100</f>
        <v>1.22966666666667</v>
      </c>
      <c r="I567" s="263">
        <f>B567*1.111/100</f>
        <v>1.111</v>
      </c>
      <c r="J567" s="263">
        <f>B567*0.118666666666667/100</f>
        <v>0.118666666666667</v>
      </c>
      <c r="K567" s="241">
        <f>B567*18.5863333333333/100</f>
        <v>18.5863333333333</v>
      </c>
      <c r="L567" s="247">
        <f>B567*10.0614166666667/100</f>
        <v>10.0614166666667</v>
      </c>
      <c r="M567" s="241">
        <f>B567*2.34333333333333/100</f>
        <v>2.3433333333333302</v>
      </c>
      <c r="N567" s="241">
        <f>B567*62.659/100</f>
        <v>62.658999999999999</v>
      </c>
      <c r="O567" s="241">
        <f>B567*15.7543333333333/100</f>
        <v>15.7543333333333</v>
      </c>
      <c r="P567" s="241">
        <f>B567*0.039/100</f>
        <v>3.9E-2</v>
      </c>
      <c r="Q567" s="241">
        <f>B567*71.77/100</f>
        <v>71.77</v>
      </c>
      <c r="R567" s="241">
        <v>0.73</v>
      </c>
      <c r="S567" s="241">
        <f>B567*25.6336666666667/100</f>
        <v>25.633666666666699</v>
      </c>
      <c r="T567" s="241">
        <f>B567*219.811333333333/100</f>
        <v>219.81133333333301</v>
      </c>
      <c r="U567" s="241">
        <f>B567*0.120333333333333/100</f>
        <v>0.120333333333333</v>
      </c>
      <c r="V567" s="241">
        <f>B567*1.196/100</f>
        <v>1.196</v>
      </c>
      <c r="W567" s="241" t="s">
        <v>455</v>
      </c>
      <c r="X567" s="241" t="s">
        <v>455</v>
      </c>
      <c r="Y567" s="241" t="s">
        <v>455</v>
      </c>
      <c r="Z567" s="241" t="s">
        <v>455</v>
      </c>
      <c r="AA567" s="241">
        <f>B567*0.77/100</f>
        <v>0.77</v>
      </c>
      <c r="AB567" s="241" t="s">
        <v>455</v>
      </c>
    </row>
    <row r="568" spans="1:28">
      <c r="A568" s="235" t="s">
        <v>3235</v>
      </c>
      <c r="B568" s="59">
        <v>100</v>
      </c>
      <c r="C568" s="247">
        <f>B568*254.893285724155/100</f>
        <v>254.89328572415499</v>
      </c>
      <c r="D568" s="247">
        <f>B568*5.99783354918162/100</f>
        <v>5.9978335491816201</v>
      </c>
      <c r="E568" s="241">
        <f>B568*23.2263333333333/100</f>
        <v>23.226333333333301</v>
      </c>
      <c r="F568" s="247">
        <f>B568*7.49733333333333/100</f>
        <v>7.4973333333333301</v>
      </c>
      <c r="G568" s="247">
        <f>B568*9.673/100</f>
        <v>9.673</v>
      </c>
      <c r="H568" s="247">
        <f>B568*4.73/100</f>
        <v>4.7300000000000004</v>
      </c>
      <c r="I568" s="263">
        <f>B568*4.271/100</f>
        <v>4.2709999999999999</v>
      </c>
      <c r="J568" s="263">
        <f>B568*0.303666666666667/100</f>
        <v>0.30366666666666697</v>
      </c>
      <c r="K568" s="241">
        <f>B568*44.4496666666667/100</f>
        <v>44.449666666666701</v>
      </c>
      <c r="L568" s="247">
        <f>B568*9.74849978415171/100</f>
        <v>9.7484997841517096</v>
      </c>
      <c r="M568" s="241">
        <f>B568*1.69666666666667/100</f>
        <v>1.6966666666666699</v>
      </c>
      <c r="N568" s="241">
        <f>B568*46.8173333333333/100</f>
        <v>46.817333333333302</v>
      </c>
      <c r="O568" s="241">
        <f>B568*39.3163333333333/100</f>
        <v>39.316333333333297</v>
      </c>
      <c r="P568" s="241">
        <f>B568*0.48/100</f>
        <v>0.48</v>
      </c>
      <c r="Q568" s="241">
        <f>B568*108.442/100</f>
        <v>108.44199999999999</v>
      </c>
      <c r="R568" s="241">
        <v>1.4429999999999998</v>
      </c>
      <c r="S568" s="241">
        <f>B568*879.850666666667/100</f>
        <v>879.85066666666705</v>
      </c>
      <c r="T568" s="241">
        <f>B568*209.405/100</f>
        <v>209.405</v>
      </c>
      <c r="U568" s="241">
        <f>B568*0.279/100</f>
        <v>0.27900000000000003</v>
      </c>
      <c r="V568" s="241">
        <f>B568*0.850666666666667/100</f>
        <v>0.85066666666666702</v>
      </c>
      <c r="W568" s="241" t="s">
        <v>455</v>
      </c>
      <c r="X568" s="241" t="s">
        <v>455</v>
      </c>
      <c r="Y568" s="241" t="s">
        <v>455</v>
      </c>
      <c r="Z568" s="241" t="s">
        <v>455</v>
      </c>
      <c r="AA568" s="241">
        <f>B568*1.79666666666667/100</f>
        <v>1.79666666666667</v>
      </c>
      <c r="AB568" s="241" t="s">
        <v>455</v>
      </c>
    </row>
    <row r="569" spans="1:28">
      <c r="A569" s="235" t="s">
        <v>3236</v>
      </c>
      <c r="B569" s="59">
        <v>100</v>
      </c>
      <c r="C569" s="247">
        <f>B569*306.94678645132/100</f>
        <v>306.94678645132001</v>
      </c>
      <c r="D569" s="247">
        <f>B569*10.18125/100</f>
        <v>10.18125</v>
      </c>
      <c r="E569" s="241">
        <f>B569*25.5906666666667/100</f>
        <v>25.590666666666699</v>
      </c>
      <c r="F569" s="247">
        <f>B569*8.277/100</f>
        <v>8.2769999999999992</v>
      </c>
      <c r="G569" s="247">
        <f>B569*10.5846666666667/100</f>
        <v>10.584666666666701</v>
      </c>
      <c r="H569" s="247">
        <f>B569*5.12133333333333/100</f>
        <v>5.1213333333333297</v>
      </c>
      <c r="I569" s="263">
        <f>B569*4.632/100</f>
        <v>4.6319999999999997</v>
      </c>
      <c r="J569" s="263">
        <f>B569*0.318333333333333/100</f>
        <v>0.31833333333333302</v>
      </c>
      <c r="K569" s="241">
        <f>B569*65.8426666666667/100</f>
        <v>65.842666666666702</v>
      </c>
      <c r="L569" s="247">
        <f>B569*14.1090833333333/100</f>
        <v>14.109083333333301</v>
      </c>
      <c r="M569" s="241">
        <f>B569*2.16333333333333/100</f>
        <v>2.16333333333333</v>
      </c>
      <c r="N569" s="241">
        <f>B569*40.7066666666667/100</f>
        <v>40.706666666666699</v>
      </c>
      <c r="O569" s="241">
        <f>B569*21.8103333333333/100</f>
        <v>21.8103333333333</v>
      </c>
      <c r="P569" s="241">
        <f>B569*0.154/100</f>
        <v>0.154</v>
      </c>
      <c r="Q569" s="241">
        <f>B569*135.494/100</f>
        <v>135.494</v>
      </c>
      <c r="R569" s="241">
        <v>1.0509999999999999</v>
      </c>
      <c r="S569" s="241">
        <f>B569*345.526/100</f>
        <v>345.52600000000001</v>
      </c>
      <c r="T569" s="241">
        <f>B569*237.261666666667/100</f>
        <v>237.261666666667</v>
      </c>
      <c r="U569" s="241">
        <f>B569*0.072/100</f>
        <v>7.1999999999999995E-2</v>
      </c>
      <c r="V569" s="241">
        <f>B569*1.041/100</f>
        <v>1.0409999999999999</v>
      </c>
      <c r="W569" s="241">
        <f>B569*10.1733333333333/100</f>
        <v>10.1733333333333</v>
      </c>
      <c r="X569" s="241">
        <f>B569*0.14/100</f>
        <v>0.14000000000000001</v>
      </c>
      <c r="Y569" s="241">
        <f>B569*0.05/100</f>
        <v>0.05</v>
      </c>
      <c r="Z569" s="241" t="s">
        <v>455</v>
      </c>
      <c r="AA569" s="241">
        <f>B569*2.59666666666667/100</f>
        <v>2.5966666666666698</v>
      </c>
      <c r="AB569" s="241" t="s">
        <v>455</v>
      </c>
    </row>
    <row r="570" spans="1:28">
      <c r="A570" s="235" t="s">
        <v>3237</v>
      </c>
      <c r="B570" s="59">
        <v>100</v>
      </c>
      <c r="C570" s="247">
        <f>B570*112.802041253408/100</f>
        <v>112.80204125340801</v>
      </c>
      <c r="D570" s="247">
        <f>B570*7.51666666666667/100</f>
        <v>7.5166666666666693</v>
      </c>
      <c r="E570" s="241">
        <f>B570*2.607/100</f>
        <v>2.6070000000000007</v>
      </c>
      <c r="F570" s="247">
        <f>B570*0.583/100</f>
        <v>0.58299999999999996</v>
      </c>
      <c r="G570" s="247">
        <f>B570*0.868/100</f>
        <v>0.86799999999999999</v>
      </c>
      <c r="H570" s="247">
        <f>B570*0.988666666666667/100</f>
        <v>0.98866666666666703</v>
      </c>
      <c r="I570" s="263">
        <f>B570*0.943/100</f>
        <v>0.94299999999999995</v>
      </c>
      <c r="J570" s="263">
        <f>B570*0.0456666666666667/100</f>
        <v>4.5666666666666703E-2</v>
      </c>
      <c r="K570" s="258" t="s">
        <v>454</v>
      </c>
      <c r="L570" s="247">
        <f>B570*18.2513333333333/100</f>
        <v>18.251333333333299</v>
      </c>
      <c r="M570" s="241">
        <f>B570*1.05666666666667/100</f>
        <v>1.05666666666667</v>
      </c>
      <c r="N570" s="241">
        <f>B570*13.947/100</f>
        <v>13.946999999999997</v>
      </c>
      <c r="O570" s="241">
        <f>B570*13.335/100</f>
        <v>13.335000000000001</v>
      </c>
      <c r="P570" s="241">
        <f>B570*0.147/100</f>
        <v>0.14699999999999999</v>
      </c>
      <c r="Q570" s="241">
        <f>B570*83.0256666666667/100</f>
        <v>83.025666666666694</v>
      </c>
      <c r="R570" s="241">
        <v>0.62233333333333329</v>
      </c>
      <c r="S570" s="241">
        <f>B570*793.762/100</f>
        <v>793.76199999999994</v>
      </c>
      <c r="T570" s="241">
        <f>B570*158.571333333333/100</f>
        <v>158.571333333333</v>
      </c>
      <c r="U570" s="241">
        <f>B570*0.061/100</f>
        <v>6.0999999999999999E-2</v>
      </c>
      <c r="V570" s="241">
        <f>B570*0.679666666666667/100</f>
        <v>0.67966666666666697</v>
      </c>
      <c r="W570" s="247" t="s">
        <v>454</v>
      </c>
      <c r="X570" s="241">
        <f>B570*0.163333333333333/100</f>
        <v>0.163333333333333</v>
      </c>
      <c r="Y570" s="241" t="s">
        <v>455</v>
      </c>
      <c r="Z570" s="241" t="s">
        <v>455</v>
      </c>
      <c r="AA570" s="241">
        <f>B570*2.09333333333333/100</f>
        <v>2.0933333333333302</v>
      </c>
      <c r="AB570" s="241" t="s">
        <v>455</v>
      </c>
    </row>
    <row r="571" spans="1:28" s="220" customFormat="1">
      <c r="A571" s="237" t="s">
        <v>861</v>
      </c>
      <c r="B571" s="237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  <c r="AA571" s="268"/>
      <c r="AB571" s="268"/>
    </row>
    <row r="572" spans="1:28">
      <c r="A572" s="232" t="s">
        <v>862</v>
      </c>
      <c r="B572" s="59">
        <v>100</v>
      </c>
      <c r="C572" s="238">
        <f>B572*544.052655799433/100</f>
        <v>544.05265579943296</v>
      </c>
      <c r="D572" s="238">
        <f>B572*27.1908001899719/100</f>
        <v>27.190800189971903</v>
      </c>
      <c r="E572" s="248">
        <f>B572*43.85/100</f>
        <v>43.85</v>
      </c>
      <c r="F572" s="252">
        <f>B572*8.7/100</f>
        <v>8.6999999999999993</v>
      </c>
      <c r="G572" s="252">
        <f>B572*17.2/100</f>
        <v>17.2</v>
      </c>
      <c r="H572" s="252">
        <f>B572*16.2/100</f>
        <v>16.2</v>
      </c>
      <c r="I572" s="263">
        <f>B572*16.17/100</f>
        <v>16.170000000000002</v>
      </c>
      <c r="J572" s="263">
        <f>B572*0.04/100</f>
        <v>0.04</v>
      </c>
      <c r="K572" s="242" t="s">
        <v>454</v>
      </c>
      <c r="L572" s="242">
        <f>B572*20.3135333333333/100</f>
        <v>20.3135333333333</v>
      </c>
      <c r="M572" s="238">
        <f>B572*8.036/100</f>
        <v>8.0359999999999996</v>
      </c>
      <c r="N572" s="242" t="s">
        <v>455</v>
      </c>
      <c r="O572" s="238">
        <f>B572*170.511/100</f>
        <v>170.511</v>
      </c>
      <c r="P572" s="238">
        <f>B572*1.95733333333333/100</f>
        <v>1.95733333333333</v>
      </c>
      <c r="Q572" s="238">
        <f>B572*407.201/100</f>
        <v>407.20100000000008</v>
      </c>
      <c r="R572" s="238">
        <f>B572*2.532/100</f>
        <v>2.532</v>
      </c>
      <c r="S572" s="242" t="s">
        <v>455</v>
      </c>
      <c r="T572" s="238">
        <f>B572*580.436/100</f>
        <v>580.43600000000004</v>
      </c>
      <c r="U572" s="238">
        <f>B572*0.780666666666667/100</f>
        <v>0.78066666666666695</v>
      </c>
      <c r="V572" s="238">
        <f>B572*3.16733333333333/100</f>
        <v>3.16733333333333</v>
      </c>
      <c r="W572" s="242" t="s">
        <v>454</v>
      </c>
      <c r="X572" s="238">
        <f>B572*0.1/100</f>
        <v>0.1</v>
      </c>
      <c r="Y572" s="238">
        <f>B572*0.03/100</f>
        <v>0.03</v>
      </c>
      <c r="Z572" s="238">
        <f>B572*0.763333333333333/100</f>
        <v>0.76333333333333298</v>
      </c>
      <c r="AA572" s="238">
        <f>B572*10.1766666666667/100</f>
        <v>10.1766666666667</v>
      </c>
      <c r="AB572" s="245" t="s">
        <v>455</v>
      </c>
    </row>
    <row r="573" spans="1:28">
      <c r="A573" s="222" t="s">
        <v>3238</v>
      </c>
      <c r="B573" s="59">
        <v>100</v>
      </c>
      <c r="C573" s="247">
        <f>B573*605.781092917019/100</f>
        <v>605.78109291701901</v>
      </c>
      <c r="D573" s="247">
        <f>B573*22.4751801570257/100</f>
        <v>22.475180157025701</v>
      </c>
      <c r="E573" s="244">
        <f>B573*53.9633333333333/100</f>
        <v>53.963333333333303</v>
      </c>
      <c r="F573" s="244">
        <f>B573*9.74/100</f>
        <v>9.74</v>
      </c>
      <c r="G573" s="244">
        <f>B573*29.06/100</f>
        <v>29.06</v>
      </c>
      <c r="H573" s="244">
        <f>B573*14.2333333333333/100</f>
        <v>14.233333333333301</v>
      </c>
      <c r="I573" s="263">
        <f>B573*14.1766666666667/100</f>
        <v>14.1766666666667</v>
      </c>
      <c r="J573" s="263">
        <f>B573*0.0633333333333333/100</f>
        <v>6.3333333333333297E-2</v>
      </c>
      <c r="K573" s="247" t="s">
        <v>454</v>
      </c>
      <c r="L573" s="247">
        <f>B573*18.702486509641/100</f>
        <v>18.702486509640998</v>
      </c>
      <c r="M573" s="244">
        <f>B573*7.76333333333333/100</f>
        <v>7.7633333333333301</v>
      </c>
      <c r="N573" s="244">
        <f>B573*39.4256666666667/100</f>
        <v>39.4256666666667</v>
      </c>
      <c r="O573" s="244">
        <f>B573*159.336333333333/100</f>
        <v>159.33633333333299</v>
      </c>
      <c r="P573" s="244">
        <f>B573*1.701/100</f>
        <v>1.7009999999999998</v>
      </c>
      <c r="Q573" s="244">
        <f>B573*260.755666666667/100</f>
        <v>260.75566666666703</v>
      </c>
      <c r="R573" s="244">
        <f>B573*1.33266666666667/100</f>
        <v>1.33266666666667</v>
      </c>
      <c r="S573" s="244">
        <f>B573*375.732666666667/100</f>
        <v>375.732666666667</v>
      </c>
      <c r="T573" s="244">
        <f>B573*495.671/100</f>
        <v>495.67099999999999</v>
      </c>
      <c r="U573" s="244">
        <f>B573*0.681666666666667/100</f>
        <v>0.68166666666666698</v>
      </c>
      <c r="V573" s="244">
        <f>B573*2.116/100</f>
        <v>2.1160000000000001</v>
      </c>
      <c r="W573" s="247" t="s">
        <v>454</v>
      </c>
      <c r="X573" s="244">
        <f>B573*0.0833333333333333/100</f>
        <v>8.3333333333333301E-2</v>
      </c>
      <c r="Y573" s="244" t="s">
        <v>455</v>
      </c>
      <c r="Z573" s="244">
        <f>B573*0.21/100</f>
        <v>0.21</v>
      </c>
      <c r="AA573" s="244">
        <f>B573*7.47/100</f>
        <v>7.47</v>
      </c>
      <c r="AB573" s="244" t="s">
        <v>455</v>
      </c>
    </row>
    <row r="574" spans="1:28">
      <c r="A574" s="232" t="s">
        <v>863</v>
      </c>
      <c r="B574" s="59">
        <v>100</v>
      </c>
      <c r="C574" s="240">
        <f>B574*88.0935819997785/100</f>
        <v>88.093581999778493</v>
      </c>
      <c r="D574" s="239">
        <f>B574*7.45208333333333/100</f>
        <v>7.4520833333333307</v>
      </c>
      <c r="E574" s="248">
        <f>B574*0.471/100</f>
        <v>0.47099999999999992</v>
      </c>
      <c r="F574" s="252" t="s">
        <v>455</v>
      </c>
      <c r="G574" s="252">
        <f>B574*0.1/100</f>
        <v>0.1</v>
      </c>
      <c r="H574" s="252">
        <f>B574*0.3/100</f>
        <v>0.3</v>
      </c>
      <c r="I574" s="263">
        <f>B574*0.27/100</f>
        <v>0.27</v>
      </c>
      <c r="J574" s="263">
        <f>B574*0.04/100</f>
        <v>0.04</v>
      </c>
      <c r="K574" s="242" t="s">
        <v>454</v>
      </c>
      <c r="L574" s="242">
        <f>B574*14.2275833333333/100</f>
        <v>14.2275833333333</v>
      </c>
      <c r="M574" s="238">
        <f>B574*9.721/100</f>
        <v>9.7210000000000001</v>
      </c>
      <c r="N574" s="238">
        <f>B574*24.4439666666667/100</f>
        <v>24.4439666666667</v>
      </c>
      <c r="O574" s="238">
        <f>B574*41.7596666666667/100</f>
        <v>41.75966666666671</v>
      </c>
      <c r="P574" s="238">
        <f>B574*0.402333333333333/100</f>
        <v>0.40233333333333299</v>
      </c>
      <c r="Q574" s="238">
        <f>B574*151.978333333333/100</f>
        <v>151.97833333333301</v>
      </c>
      <c r="R574" s="238">
        <f>B574*1.439/100</f>
        <v>1.4390000000000001</v>
      </c>
      <c r="S574" s="242" t="s">
        <v>455</v>
      </c>
      <c r="T574" s="238">
        <f>B574*310.976333333333/100</f>
        <v>310.976333333333</v>
      </c>
      <c r="U574" s="238">
        <f>B574*0.196333333333333/100</f>
        <v>0.196333333333333</v>
      </c>
      <c r="V574" s="238">
        <f>B574*1.23/100</f>
        <v>1.23</v>
      </c>
      <c r="W574" s="242" t="s">
        <v>454</v>
      </c>
      <c r="X574" s="238">
        <f>B574*0.273333333333333/100</f>
        <v>0.27333333333333298</v>
      </c>
      <c r="Y574" s="238">
        <f>B574*0.07/100</f>
        <v>7.0000000000000007E-2</v>
      </c>
      <c r="Z574" s="238">
        <f>B574*0.06/100</f>
        <v>0.06</v>
      </c>
      <c r="AA574" s="238">
        <f>B574*1.16333333333333/100</f>
        <v>1.16333333333333</v>
      </c>
      <c r="AB574" s="238">
        <f>B574*12.4433333333333/100</f>
        <v>12.443333333333298</v>
      </c>
    </row>
    <row r="575" spans="1:28">
      <c r="A575" s="232" t="s">
        <v>864</v>
      </c>
      <c r="B575" s="59">
        <v>100</v>
      </c>
      <c r="C575" s="240">
        <f>B575*73.8447043478261/100</f>
        <v>73.844704347826095</v>
      </c>
      <c r="D575" s="239">
        <f>B575*4.59782608695652/100</f>
        <v>4.5978260869565197</v>
      </c>
      <c r="E575" s="240">
        <f>B575*0.38/100</f>
        <v>0.38</v>
      </c>
      <c r="F575" s="252">
        <f>B575*0.1/100</f>
        <v>0.1</v>
      </c>
      <c r="G575" s="252">
        <f>B575*0.1/100</f>
        <v>0.1</v>
      </c>
      <c r="H575" s="252">
        <f>B575*0.2/100</f>
        <v>0.2</v>
      </c>
      <c r="I575" s="263">
        <f>B575*0.15/100</f>
        <v>0.15</v>
      </c>
      <c r="J575" s="263">
        <f>B575*0.02/100</f>
        <v>0.02</v>
      </c>
      <c r="K575" s="242" t="s">
        <v>454</v>
      </c>
      <c r="L575" s="242">
        <f>B575*13.4421739130435/100</f>
        <v>13.442173913043501</v>
      </c>
      <c r="M575" s="240">
        <f>B575*5.08/100</f>
        <v>5.08</v>
      </c>
      <c r="N575" s="240">
        <f>B575*22.215/100</f>
        <v>22.215</v>
      </c>
      <c r="O575" s="240">
        <f>B575*23.1903333333333/100</f>
        <v>23.190333333333299</v>
      </c>
      <c r="P575" s="240">
        <f>B575*0.460333333333333/100</f>
        <v>0.46033333333333298</v>
      </c>
      <c r="Q575" s="240">
        <f>B575*78.5103333333333/100</f>
        <v>78.510333333333307</v>
      </c>
      <c r="R575" s="240">
        <f>B575*1.38533333333333/100</f>
        <v>1.38533333333333</v>
      </c>
      <c r="S575" s="240">
        <f>B575*372.109666666667/100</f>
        <v>372.10966666666701</v>
      </c>
      <c r="T575" s="240">
        <f>B575*147.123333333333/100</f>
        <v>147.12333333333299</v>
      </c>
      <c r="U575" s="240">
        <f>B575*0.137666666666667/100</f>
        <v>0.13766666666666699</v>
      </c>
      <c r="V575" s="240">
        <f>B575*0.878333333333333/100</f>
        <v>0.87833333333333297</v>
      </c>
      <c r="W575" s="242" t="s">
        <v>454</v>
      </c>
      <c r="X575" s="240">
        <f>B575*0.0666666666666667/100</f>
        <v>6.6666666666666693E-2</v>
      </c>
      <c r="Y575" s="240">
        <f>B575*0.03/100</f>
        <v>0.03</v>
      </c>
      <c r="Z575" s="240" t="s">
        <v>455</v>
      </c>
      <c r="AA575" s="240" t="s">
        <v>455</v>
      </c>
      <c r="AB575" s="240" t="s">
        <v>3254</v>
      </c>
    </row>
    <row r="576" spans="1:28">
      <c r="A576" s="232" t="s">
        <v>865</v>
      </c>
      <c r="B576" s="59">
        <v>100</v>
      </c>
      <c r="C576" s="238">
        <f>B576*76.4240856666667/100</f>
        <v>76.424085666666699</v>
      </c>
      <c r="D576" s="238">
        <f>B576*4.775/100</f>
        <v>4.7750000000000004</v>
      </c>
      <c r="E576" s="248">
        <f>B576*0.542333333333333/100</f>
        <v>0.542333333333333</v>
      </c>
      <c r="F576" s="252">
        <f>B576*0.1/100</f>
        <v>0.1</v>
      </c>
      <c r="G576" s="252">
        <f>B576*0.1/100</f>
        <v>0.1</v>
      </c>
      <c r="H576" s="252">
        <f>B576*0.3/100</f>
        <v>0.3</v>
      </c>
      <c r="I576" s="263">
        <f>B576*0.16/100</f>
        <v>0.16</v>
      </c>
      <c r="J576" s="263">
        <f>B576*0.14/100</f>
        <v>0.14000000000000001</v>
      </c>
      <c r="K576" s="242" t="s">
        <v>454</v>
      </c>
      <c r="L576" s="242">
        <f>B576*13.5910333333333/100</f>
        <v>13.5910333333333</v>
      </c>
      <c r="M576" s="238">
        <f>B576*8.51033333333333/100</f>
        <v>8.51033333333333</v>
      </c>
      <c r="N576" s="238">
        <f>B576*26.5946666666667/100</f>
        <v>26.594666666666697</v>
      </c>
      <c r="O576" s="238">
        <f>B576*42.3396666666667/100</f>
        <v>42.339666666666702</v>
      </c>
      <c r="P576" s="238">
        <f>B576*0.284333333333333/100</f>
        <v>0.28433333333333299</v>
      </c>
      <c r="Q576" s="238">
        <f>B576*86.8543333333333/100</f>
        <v>86.854333333333301</v>
      </c>
      <c r="R576" s="238">
        <f>B576*1.289/100</f>
        <v>1.2890000000000001</v>
      </c>
      <c r="S576" s="238">
        <f>B576*1.759/100</f>
        <v>1.7589999999999997</v>
      </c>
      <c r="T576" s="238">
        <f>B576*254.616666666667/100</f>
        <v>254.61666666666696</v>
      </c>
      <c r="U576" s="238">
        <f>B576*0.188333333333333/100</f>
        <v>0.18833333333333299</v>
      </c>
      <c r="V576" s="238">
        <f>B576*0.7/100</f>
        <v>0.7</v>
      </c>
      <c r="W576" s="242" t="s">
        <v>454</v>
      </c>
      <c r="X576" s="238">
        <f>B576*0.04/100</f>
        <v>0.04</v>
      </c>
      <c r="Y576" s="245" t="s">
        <v>455</v>
      </c>
      <c r="Z576" s="245" t="s">
        <v>455</v>
      </c>
      <c r="AA576" s="245" t="s">
        <v>455</v>
      </c>
      <c r="AB576" s="245" t="s">
        <v>455</v>
      </c>
    </row>
    <row r="577" spans="1:28">
      <c r="A577" s="232" t="s">
        <v>866</v>
      </c>
      <c r="B577" s="59">
        <v>100</v>
      </c>
      <c r="C577" s="240">
        <f>B577*329.026736231884/100</f>
        <v>329.026736231884</v>
      </c>
      <c r="D577" s="239">
        <f>B577*19.981884057971/100</f>
        <v>19.981884057971001</v>
      </c>
      <c r="E577" s="240">
        <f>B577*1.25666666666667/100</f>
        <v>1.2566666666666699</v>
      </c>
      <c r="F577" s="252">
        <f>B577*0.2/100</f>
        <v>0.2</v>
      </c>
      <c r="G577" s="252">
        <f>B577*0.1/100</f>
        <v>0.1</v>
      </c>
      <c r="H577" s="252">
        <f>B577*0.9/100</f>
        <v>0.9</v>
      </c>
      <c r="I577" s="263">
        <f>B577*0.4/100</f>
        <v>0.4</v>
      </c>
      <c r="J577" s="263">
        <f>B577*0.49/100</f>
        <v>0.49</v>
      </c>
      <c r="K577" s="242" t="s">
        <v>454</v>
      </c>
      <c r="L577" s="242">
        <f>B577*61.2214492753623/100</f>
        <v>61.221449275362303</v>
      </c>
      <c r="M577" s="240">
        <f>B577*18.42/100</f>
        <v>18.420000000000002</v>
      </c>
      <c r="N577" s="240">
        <f>B577*122.57/100</f>
        <v>122.57</v>
      </c>
      <c r="O577" s="240">
        <f>B577*209.946666666667/100</f>
        <v>209.946666666667</v>
      </c>
      <c r="P577" s="240">
        <f>B577*1.02/100</f>
        <v>1.02</v>
      </c>
      <c r="Q577" s="240">
        <f>B577*385.376666666667/100</f>
        <v>385.37666666666701</v>
      </c>
      <c r="R577" s="240">
        <f>B577*7.98666666666667/100</f>
        <v>7.9866666666666699</v>
      </c>
      <c r="S577" s="240" t="s">
        <v>455</v>
      </c>
      <c r="T577" s="240">
        <f>B577*1352.45666666667/100</f>
        <v>1352.4566666666697</v>
      </c>
      <c r="U577" s="240">
        <f>B577*0.79/100</f>
        <v>0.79</v>
      </c>
      <c r="V577" s="240">
        <f>B577*2.90333333333333/100</f>
        <v>2.9033333333333302</v>
      </c>
      <c r="W577" s="242" t="s">
        <v>454</v>
      </c>
      <c r="X577" s="240">
        <f>B577*0.166666666666667/100</f>
        <v>0.16666666666666699</v>
      </c>
      <c r="Y577" s="240" t="s">
        <v>455</v>
      </c>
      <c r="Z577" s="240">
        <f>B577*0.65/100</f>
        <v>0.65</v>
      </c>
      <c r="AA577" s="240">
        <f>B577*4.02333333333333/100</f>
        <v>4.0233333333333299</v>
      </c>
      <c r="AB577" s="240" t="s">
        <v>3254</v>
      </c>
    </row>
    <row r="578" spans="1:28">
      <c r="A578" s="234" t="s">
        <v>867</v>
      </c>
      <c r="B578" s="59">
        <v>100</v>
      </c>
      <c r="C578" s="238">
        <f>B578*78.0088966666667/100</f>
        <v>78.008896666666701</v>
      </c>
      <c r="D578" s="238">
        <f>B578*5.09375/100</f>
        <v>5.09375</v>
      </c>
      <c r="E578" s="248">
        <f>B578*0.644/100</f>
        <v>0.64400000000000002</v>
      </c>
      <c r="F578" s="252">
        <f>B578*0.2/100</f>
        <v>0.2</v>
      </c>
      <c r="G578" s="252">
        <f>B578*0.1/100</f>
        <v>0.1</v>
      </c>
      <c r="H578" s="252">
        <f>B578*0.3/100</f>
        <v>0.3</v>
      </c>
      <c r="I578" s="263">
        <f>B578*0.21/100</f>
        <v>0.21</v>
      </c>
      <c r="J578" s="263">
        <f>B578*0.1/100</f>
        <v>0.1</v>
      </c>
      <c r="K578" s="242" t="s">
        <v>454</v>
      </c>
      <c r="L578" s="242">
        <f>B578*13.4995833333333/100</f>
        <v>13.4995833333333</v>
      </c>
      <c r="M578" s="243">
        <f>B578*7.472/100</f>
        <v>7.4720000000000004</v>
      </c>
      <c r="N578" s="243">
        <f>B578*17.4533333333333/100</f>
        <v>17.453333333333301</v>
      </c>
      <c r="O578" s="243">
        <f>B578*38.1183333333333/100</f>
        <v>38.118333333333297</v>
      </c>
      <c r="P578" s="243">
        <f>B578*0.53/100</f>
        <v>0.53</v>
      </c>
      <c r="Q578" s="243">
        <f>B578*84.5926666666667/100</f>
        <v>84.592666666666702</v>
      </c>
      <c r="R578" s="243">
        <f>B578*1.05966666666667/100</f>
        <v>1.0596666666666701</v>
      </c>
      <c r="S578" s="243">
        <f>B578*0.982/100</f>
        <v>0.98199999999999998</v>
      </c>
      <c r="T578" s="243">
        <f>B578*252.976333333333/100</f>
        <v>252.97633333333297</v>
      </c>
      <c r="U578" s="243">
        <f>B578*0.102666666666667/100</f>
        <v>0.10266666666666699</v>
      </c>
      <c r="V578" s="243">
        <f>B578*1.11533333333333/100</f>
        <v>1.11533333333333</v>
      </c>
      <c r="W578" s="242" t="s">
        <v>454</v>
      </c>
      <c r="X578" s="243">
        <f>B578*0.123333333333333/100</f>
        <v>0.123333333333333</v>
      </c>
      <c r="Y578" s="245" t="s">
        <v>455</v>
      </c>
      <c r="Z578" s="245" t="s">
        <v>455</v>
      </c>
      <c r="AA578" s="245" t="s">
        <v>455</v>
      </c>
      <c r="AB578" s="245" t="s">
        <v>455</v>
      </c>
    </row>
    <row r="579" spans="1:28">
      <c r="A579" s="232" t="s">
        <v>868</v>
      </c>
      <c r="B579" s="59">
        <v>100</v>
      </c>
      <c r="C579" s="238">
        <f>B579*339.164766666667/100</f>
        <v>339.16476666666699</v>
      </c>
      <c r="D579" s="238">
        <f>B579*20.2083333333333/100</f>
        <v>20.2083333333333</v>
      </c>
      <c r="E579" s="248">
        <f>B579*2.365/100</f>
        <v>2.3650000000000002</v>
      </c>
      <c r="F579" s="252">
        <f>B579*0.7/100</f>
        <v>0.7</v>
      </c>
      <c r="G579" s="252">
        <f>B579*0.2/100</f>
        <v>0.2</v>
      </c>
      <c r="H579" s="252">
        <f>B579*0.9/100</f>
        <v>0.9</v>
      </c>
      <c r="I579" s="263">
        <f>B579*0.58/100</f>
        <v>0.57999999999999996</v>
      </c>
      <c r="J579" s="263">
        <f>B579*0.28/100</f>
        <v>0.28000000000000003</v>
      </c>
      <c r="K579" s="242" t="s">
        <v>454</v>
      </c>
      <c r="L579" s="242">
        <f>B579*61.24/100</f>
        <v>61.24</v>
      </c>
      <c r="M579" s="243">
        <f>B579*23.5933333333333/100</f>
        <v>23.593333333333302</v>
      </c>
      <c r="N579" s="243">
        <f>B579*77.523/100</f>
        <v>77.522999999999996</v>
      </c>
      <c r="O579" s="243">
        <f>B579*178.390666666667/100</f>
        <v>178.39066666666699</v>
      </c>
      <c r="P579" s="243">
        <f>B579*1.428/100</f>
        <v>1.4279999999999999</v>
      </c>
      <c r="Q579" s="243">
        <f>B579*354.515/100</f>
        <v>354.51499999999999</v>
      </c>
      <c r="R579" s="243">
        <f>B579*5.12866666666667/100</f>
        <v>5.1286666666666703</v>
      </c>
      <c r="S579" s="243">
        <f>B579*10.3136666666667/100</f>
        <v>10.3136666666667</v>
      </c>
      <c r="T579" s="243">
        <f>B579*1082.74333333333/100</f>
        <v>1082.7433333333299</v>
      </c>
      <c r="U579" s="243">
        <f>B579*0.698666666666667/100</f>
        <v>0.69866666666666699</v>
      </c>
      <c r="V579" s="243">
        <f>B579*3.88266666666667/100</f>
        <v>3.8826666666666698</v>
      </c>
      <c r="W579" s="242" t="s">
        <v>454</v>
      </c>
      <c r="X579" s="238">
        <f>B579*0.136666666666667/100</f>
        <v>0.13666666666666699</v>
      </c>
      <c r="Y579" s="238">
        <f>B579*0.03/100</f>
        <v>0.03</v>
      </c>
      <c r="Z579" s="238">
        <f>B579*0.26/100</f>
        <v>0.26</v>
      </c>
      <c r="AA579" s="242" t="s">
        <v>455</v>
      </c>
      <c r="AB579" s="245" t="s">
        <v>455</v>
      </c>
    </row>
    <row r="580" spans="1:28">
      <c r="A580" s="234" t="s">
        <v>869</v>
      </c>
      <c r="B580" s="59">
        <v>100</v>
      </c>
      <c r="C580" s="238">
        <f>B580*92.73992/100</f>
        <v>92.739919999999998</v>
      </c>
      <c r="D580" s="242">
        <f>B580*6.14375/100</f>
        <v>6.1437499999999998</v>
      </c>
      <c r="E580" s="248">
        <f>B580*0.512/100</f>
        <v>0.51200000000000001</v>
      </c>
      <c r="F580" s="252">
        <f>B580*0.1/100</f>
        <v>0.1</v>
      </c>
      <c r="G580" s="252">
        <f>B580*0.1/100</f>
        <v>0.1</v>
      </c>
      <c r="H580" s="252">
        <f>B580*0.3/100</f>
        <v>0.3</v>
      </c>
      <c r="I580" s="263">
        <f>B580*0.11/100</f>
        <v>0.11</v>
      </c>
      <c r="J580" s="263">
        <f>B580*0.2/100</f>
        <v>0.2</v>
      </c>
      <c r="K580" s="242" t="s">
        <v>454</v>
      </c>
      <c r="L580" s="242">
        <f>B580*16.49525/100</f>
        <v>16.495249999999999</v>
      </c>
      <c r="M580" s="243">
        <f>B580*13.866/100</f>
        <v>13.866</v>
      </c>
      <c r="N580" s="243">
        <f>B580*29.4006666666667/100</f>
        <v>29.400666666666702</v>
      </c>
      <c r="O580" s="243">
        <f>B580*44.104/100</f>
        <v>44.103999999999999</v>
      </c>
      <c r="P580" s="243">
        <f>B580*0.320333333333333/100</f>
        <v>0.32033333333333303</v>
      </c>
      <c r="Q580" s="243">
        <f>B580*121.008333333333/100</f>
        <v>121.008333333333</v>
      </c>
      <c r="R580" s="243">
        <f>B580*1.921/100</f>
        <v>1.921</v>
      </c>
      <c r="S580" s="243">
        <f>B580*0.520333333333333/100</f>
        <v>0.52033333333333298</v>
      </c>
      <c r="T580" s="243">
        <f>B580*347.720666666667/100</f>
        <v>347.720666666667</v>
      </c>
      <c r="U580" s="243">
        <f>B580*0.236333333333333/100</f>
        <v>0.23633333333333301</v>
      </c>
      <c r="V580" s="243">
        <f>B580*1.014/100</f>
        <v>1.014</v>
      </c>
      <c r="W580" s="242" t="s">
        <v>454</v>
      </c>
      <c r="X580" s="243">
        <f>B580*0.126666666666667/100</f>
        <v>0.12666666666666701</v>
      </c>
      <c r="Y580" s="245" t="s">
        <v>455</v>
      </c>
      <c r="Z580" s="243">
        <f>B580*0.04/100</f>
        <v>0.04</v>
      </c>
      <c r="AA580" s="245" t="s">
        <v>455</v>
      </c>
      <c r="AB580" s="245" t="s">
        <v>455</v>
      </c>
    </row>
    <row r="581" spans="1:28">
      <c r="A581" s="232" t="s">
        <v>870</v>
      </c>
      <c r="B581" s="59">
        <v>100</v>
      </c>
      <c r="C581" s="238">
        <f>B581*327.905266666667/100</f>
        <v>327.90526666666699</v>
      </c>
      <c r="D581" s="238">
        <f>B581*20.1041666666667/100</f>
        <v>20.1041666666667</v>
      </c>
      <c r="E581" s="248">
        <f>B581*0.946666666666667/100</f>
        <v>0.94666666666666699</v>
      </c>
      <c r="F581" s="252">
        <f>B581*0.3/100</f>
        <v>0.3</v>
      </c>
      <c r="G581" s="252">
        <f>B581*0.2/100</f>
        <v>0.2</v>
      </c>
      <c r="H581" s="252">
        <f>B581*0.6/100</f>
        <v>0.6</v>
      </c>
      <c r="I581" s="263">
        <f>B581*0.23/100</f>
        <v>0.23</v>
      </c>
      <c r="J581" s="263">
        <f>B581*0.41/100</f>
        <v>0.41</v>
      </c>
      <c r="K581" s="242" t="s">
        <v>454</v>
      </c>
      <c r="L581" s="242">
        <f>B581*61.4791666666667/100</f>
        <v>61.4791666666667</v>
      </c>
      <c r="M581" s="243">
        <f>B581*30.32/100</f>
        <v>30.32</v>
      </c>
      <c r="N581" s="243">
        <f>B581*97.97/100</f>
        <v>97.97</v>
      </c>
      <c r="O581" s="243">
        <f>B581*169.903/100</f>
        <v>169.90299999999999</v>
      </c>
      <c r="P581" s="243">
        <f>B581*0.991/100</f>
        <v>0.99099999999999999</v>
      </c>
      <c r="Q581" s="243">
        <f>B581*427.189/100</f>
        <v>427.18900000000002</v>
      </c>
      <c r="R581" s="243">
        <f>B581*7.02766666666667/100</f>
        <v>7.0276666666666703</v>
      </c>
      <c r="S581" s="243">
        <f>B581*24.5803333333333/100</f>
        <v>24.5803333333333</v>
      </c>
      <c r="T581" s="243">
        <f>B581*1275.95133333333/100</f>
        <v>1275.95133333333</v>
      </c>
      <c r="U581" s="243">
        <f>B581*0.951/100</f>
        <v>0.95099999999999996</v>
      </c>
      <c r="V581" s="243">
        <f>B581*3.006/100</f>
        <v>3.0059999999999998</v>
      </c>
      <c r="W581" s="242" t="s">
        <v>454</v>
      </c>
      <c r="X581" s="238">
        <f>B581*0.1/100</f>
        <v>0.1</v>
      </c>
      <c r="Y581" s="245" t="s">
        <v>455</v>
      </c>
      <c r="Z581" s="238">
        <f>B581*0.123333333333333/100</f>
        <v>0.123333333333333</v>
      </c>
      <c r="AA581" s="245" t="s">
        <v>455</v>
      </c>
      <c r="AB581" s="245" t="s">
        <v>455</v>
      </c>
    </row>
    <row r="582" spans="1:28">
      <c r="A582" s="232" t="s">
        <v>871</v>
      </c>
      <c r="B582" s="59">
        <v>100</v>
      </c>
      <c r="C582" s="238">
        <f>B582*77.0272666666667/100</f>
        <v>77.027266666666705</v>
      </c>
      <c r="D582" s="238">
        <f>B582*4.47916666666667/100</f>
        <v>4.4791666666666696</v>
      </c>
      <c r="E582" s="248">
        <f>B582*0.535666666666667/100</f>
        <v>0.53566666666666696</v>
      </c>
      <c r="F582" s="252">
        <f>B582*0.1/100</f>
        <v>0.1</v>
      </c>
      <c r="G582" s="252">
        <f>B582*0.1/100</f>
        <v>0.1</v>
      </c>
      <c r="H582" s="252">
        <f>B582*0.3/100</f>
        <v>0.3</v>
      </c>
      <c r="I582" s="263">
        <f>B582*0.16/100</f>
        <v>0.16</v>
      </c>
      <c r="J582" s="263">
        <f>B582*0.11/100</f>
        <v>0.11</v>
      </c>
      <c r="K582" s="242" t="s">
        <v>454</v>
      </c>
      <c r="L582" s="242">
        <f>B582*14.0051666666667/100</f>
        <v>14.005166666666701</v>
      </c>
      <c r="M582" s="238">
        <f>B582*8.40233333333333/100</f>
        <v>8.4023333333333294</v>
      </c>
      <c r="N582" s="238">
        <f>B582*29.0043333333333/100</f>
        <v>29.004333333333296</v>
      </c>
      <c r="O582" s="238">
        <f>B582*40.3713333333333/100</f>
        <v>40.371333333333297</v>
      </c>
      <c r="P582" s="238">
        <f>B582*0.365333333333333/100</f>
        <v>0.36533333333333301</v>
      </c>
      <c r="Q582" s="238">
        <f>B582*88.0306666666667/100</f>
        <v>88.030666666666718</v>
      </c>
      <c r="R582" s="238">
        <f>B582*1.46566666666667/100</f>
        <v>1.46566666666667</v>
      </c>
      <c r="S582" s="238">
        <f>B582*1.854/100</f>
        <v>1.8540000000000001</v>
      </c>
      <c r="T582" s="238">
        <f>B582*256.373333333333/100</f>
        <v>256.37333333333299</v>
      </c>
      <c r="U582" s="238">
        <f>B582*0.197666666666667/100</f>
        <v>0.19766666666666699</v>
      </c>
      <c r="V582" s="238">
        <f>B582*0.721/100</f>
        <v>0.72099999999999997</v>
      </c>
      <c r="W582" s="242" t="s">
        <v>454</v>
      </c>
      <c r="X582" s="238">
        <f>B582*0.06/100</f>
        <v>0.06</v>
      </c>
      <c r="Y582" s="245" t="s">
        <v>455</v>
      </c>
      <c r="Z582" s="238">
        <f>B582*0.03/100</f>
        <v>0.03</v>
      </c>
      <c r="AA582" s="245" t="s">
        <v>455</v>
      </c>
      <c r="AB582" s="245" t="s">
        <v>455</v>
      </c>
    </row>
    <row r="583" spans="1:28">
      <c r="A583" s="232" t="s">
        <v>883</v>
      </c>
      <c r="B583" s="59">
        <v>100</v>
      </c>
      <c r="C583" s="240">
        <f>B583*323.565711594203/100</f>
        <v>323.56571159420298</v>
      </c>
      <c r="D583" s="239">
        <f>B583*21.3442028985507/100</f>
        <v>21.344202898550702</v>
      </c>
      <c r="E583" s="240">
        <f>B583*1.24/100</f>
        <v>1.24</v>
      </c>
      <c r="F583" s="252">
        <f>B583*0.2/100</f>
        <v>0.2</v>
      </c>
      <c r="G583" s="252">
        <f>B583*0.1/100</f>
        <v>0.1</v>
      </c>
      <c r="H583" s="252">
        <f>B583*0.8/100</f>
        <v>0.8</v>
      </c>
      <c r="I583" s="263">
        <f>B583*0.38/100</f>
        <v>0.38</v>
      </c>
      <c r="J583" s="263">
        <f>B583*0.47/100</f>
        <v>0.47</v>
      </c>
      <c r="K583" s="242" t="s">
        <v>454</v>
      </c>
      <c r="L583" s="242">
        <f>B583*58.752463768116/100</f>
        <v>58.752463768116002</v>
      </c>
      <c r="M583" s="240">
        <f>B583*21.8333333333333/100</f>
        <v>21.8333333333333</v>
      </c>
      <c r="N583" s="240">
        <f>B583*110.903333333333/100</f>
        <v>110.90333333333299</v>
      </c>
      <c r="O583" s="240">
        <f>B583*188.106666666667/100</f>
        <v>188.106666666667</v>
      </c>
      <c r="P583" s="240">
        <f>B583*1.316/100</f>
        <v>1.3159999999999998</v>
      </c>
      <c r="Q583" s="240">
        <f>B583*471.156666666667/100</f>
        <v>471.15666666666698</v>
      </c>
      <c r="R583" s="240">
        <f>B583*6.46333333333333/100</f>
        <v>6.4633333333333303</v>
      </c>
      <c r="S583" s="240" t="s">
        <v>455</v>
      </c>
      <c r="T583" s="240">
        <f>B583*1415.68/100</f>
        <v>1415.68</v>
      </c>
      <c r="U583" s="240">
        <f>B583*0.826666666666667/100</f>
        <v>0.82666666666666699</v>
      </c>
      <c r="V583" s="240">
        <f>B583*2.85333333333333/100</f>
        <v>2.8533333333333299</v>
      </c>
      <c r="W583" s="242" t="s">
        <v>454</v>
      </c>
      <c r="X583" s="240">
        <f>B583*0.116666666666667/100</f>
        <v>0.116666666666667</v>
      </c>
      <c r="Y583" s="240" t="s">
        <v>455</v>
      </c>
      <c r="Z583" s="240">
        <f>B583*0.59/100</f>
        <v>0.59</v>
      </c>
      <c r="AA583" s="240">
        <f>B583*4.6/100</f>
        <v>4.5999999999999996</v>
      </c>
      <c r="AB583" s="239" t="s">
        <v>3254</v>
      </c>
    </row>
    <row r="584" spans="1:28">
      <c r="A584" s="234" t="s">
        <v>872</v>
      </c>
      <c r="B584" s="59">
        <v>100</v>
      </c>
      <c r="C584" s="238">
        <f>B584*84.7018527334929/100</f>
        <v>84.701852733492899</v>
      </c>
      <c r="D584" s="238">
        <f>B584*5.5375/100</f>
        <v>5.5374999999999996</v>
      </c>
      <c r="E584" s="248">
        <f>B584*0.4/100</f>
        <v>0.4</v>
      </c>
      <c r="F584" s="252">
        <f>B584*0.1/100</f>
        <v>0.1</v>
      </c>
      <c r="G584" s="252" t="s">
        <v>455</v>
      </c>
      <c r="H584" s="252">
        <f>B584*0.2/100</f>
        <v>0.2</v>
      </c>
      <c r="I584" s="263">
        <f>B584*0.09/100</f>
        <v>0.09</v>
      </c>
      <c r="J584" s="263">
        <f>B584*0.13/100</f>
        <v>0.13</v>
      </c>
      <c r="K584" s="242" t="s">
        <v>454</v>
      </c>
      <c r="L584" s="242">
        <f>B584*15.2675/100</f>
        <v>15.2675</v>
      </c>
      <c r="M584" s="243">
        <f>B584*9.318/100</f>
        <v>9.3179999999999996</v>
      </c>
      <c r="N584" s="243">
        <f>B584*29.1896666666667/100</f>
        <v>29.1896666666667</v>
      </c>
      <c r="O584" s="243">
        <f>B584*41.7073333333333/100</f>
        <v>41.707333333333303</v>
      </c>
      <c r="P584" s="243">
        <f>B584*0.294333333333333/100</f>
        <v>0.294333333333333</v>
      </c>
      <c r="Q584" s="243">
        <f>B584*112.931666666667/100</f>
        <v>112.93166666666701</v>
      </c>
      <c r="R584" s="243">
        <f>B584*1.35733333333333/100</f>
        <v>1.3573333333333302</v>
      </c>
      <c r="S584" s="243">
        <f>B584*0.687/100</f>
        <v>0.68700000000000006</v>
      </c>
      <c r="T584" s="243">
        <f>B584*314.584/100</f>
        <v>314.584</v>
      </c>
      <c r="U584" s="243">
        <f>B584*0.227/100</f>
        <v>0.22699999999999998</v>
      </c>
      <c r="V584" s="243">
        <f>B584*0.919/100</f>
        <v>0.91900000000000004</v>
      </c>
      <c r="W584" s="242" t="s">
        <v>454</v>
      </c>
      <c r="X584" s="243">
        <f>B584*0.0933333333333333/100</f>
        <v>9.333333333333331E-2</v>
      </c>
      <c r="Y584" s="245" t="s">
        <v>455</v>
      </c>
      <c r="Z584" s="243">
        <f>B584*0.04/100</f>
        <v>0.04</v>
      </c>
      <c r="AA584" s="245" t="s">
        <v>455</v>
      </c>
      <c r="AB584" s="245" t="s">
        <v>455</v>
      </c>
    </row>
    <row r="585" spans="1:28">
      <c r="A585" s="232" t="s">
        <v>873</v>
      </c>
      <c r="B585" s="59">
        <v>100</v>
      </c>
      <c r="C585" s="238">
        <f>B585*325.844411162734/100</f>
        <v>325.84441116273399</v>
      </c>
      <c r="D585" s="238">
        <f>B585*17.2708333333333/100</f>
        <v>17.2708333333333</v>
      </c>
      <c r="E585" s="248">
        <f>B585*1.17/100</f>
        <v>1.17</v>
      </c>
      <c r="F585" s="252">
        <f>B585*0.4/100</f>
        <v>0.4</v>
      </c>
      <c r="G585" s="252">
        <f>B585*0.1/100</f>
        <v>0.1</v>
      </c>
      <c r="H585" s="252">
        <f>B585*0.8/100</f>
        <v>0.8</v>
      </c>
      <c r="I585" s="263">
        <f>B585*0.29/100</f>
        <v>0.28999999999999998</v>
      </c>
      <c r="J585" s="263">
        <f>B585*0.46/100</f>
        <v>0.46</v>
      </c>
      <c r="K585" s="242" t="s">
        <v>454</v>
      </c>
      <c r="L585" s="242">
        <f>B585*62.9291666666667/100</f>
        <v>62.929166666666703</v>
      </c>
      <c r="M585" s="243">
        <f>B585*24.0066666666667/100</f>
        <v>24.006666666666703</v>
      </c>
      <c r="N585" s="243">
        <f>B585*111.425333333333/100</f>
        <v>111.425333333333</v>
      </c>
      <c r="O585" s="243">
        <f>B585*169.900333333333/100</f>
        <v>169.90033333333301</v>
      </c>
      <c r="P585" s="243">
        <f>B585*1.17/100</f>
        <v>1.17</v>
      </c>
      <c r="Q585" s="243">
        <f>B585*334.788333333333/100</f>
        <v>334.78833333333301</v>
      </c>
      <c r="R585" s="243">
        <f>B585*18.5816666666667/100</f>
        <v>18.581666666666699</v>
      </c>
      <c r="S585" s="243">
        <f>B585*13.6503333333333/100</f>
        <v>13.6503333333333</v>
      </c>
      <c r="T585" s="243">
        <f>B585*1134.54166666667/100</f>
        <v>1134.5416666666699</v>
      </c>
      <c r="U585" s="243">
        <f>B585*0.844333333333333/100</f>
        <v>0.84433333333333305</v>
      </c>
      <c r="V585" s="243">
        <f>B585*2.59666666666667/100</f>
        <v>2.5966666666666698</v>
      </c>
      <c r="W585" s="242" t="s">
        <v>454</v>
      </c>
      <c r="X585" s="238">
        <f>B585*0.07/100</f>
        <v>7.0000000000000007E-2</v>
      </c>
      <c r="Y585" s="238">
        <f>B585*0.03/100</f>
        <v>0.03</v>
      </c>
      <c r="Z585" s="238">
        <f>B585*0.0666666666666667/100</f>
        <v>6.6666666666666693E-2</v>
      </c>
      <c r="AA585" s="245" t="s">
        <v>455</v>
      </c>
      <c r="AB585" s="245" t="s">
        <v>455</v>
      </c>
    </row>
    <row r="586" spans="1:28">
      <c r="A586" s="232" t="s">
        <v>874</v>
      </c>
      <c r="B586" s="59">
        <v>100</v>
      </c>
      <c r="C586" s="238">
        <f>B586*67.8662287714283/100</f>
        <v>67.866228771428297</v>
      </c>
      <c r="D586" s="238">
        <f>B586*4.53958333333333/100</f>
        <v>4.5395833333333302</v>
      </c>
      <c r="E586" s="273">
        <f>B586*0.477333333333333/100</f>
        <v>0.477333333333333</v>
      </c>
      <c r="F586" s="252">
        <f>B586*0.2/100</f>
        <v>0.2</v>
      </c>
      <c r="G586" s="252" t="s">
        <v>455</v>
      </c>
      <c r="H586" s="252">
        <f>B586*0.2/100</f>
        <v>0.2</v>
      </c>
      <c r="I586" s="263">
        <f>B586*0.16/100</f>
        <v>0.16</v>
      </c>
      <c r="J586" s="263">
        <f>B586*0.07/100</f>
        <v>7.0000000000000007E-2</v>
      </c>
      <c r="K586" s="242" t="s">
        <v>454</v>
      </c>
      <c r="L586" s="242">
        <f>B586*11.82275/100</f>
        <v>11.822749999999999</v>
      </c>
      <c r="M586" s="238">
        <f>B586*4.76/100</f>
        <v>4.76</v>
      </c>
      <c r="N586" s="238">
        <f>B586*19.244/100</f>
        <v>19.244</v>
      </c>
      <c r="O586" s="238">
        <f>B586*42.9596666666667/100</f>
        <v>42.959666666666699</v>
      </c>
      <c r="P586" s="238">
        <f>B586*0.461333333333333/100</f>
        <v>0.46133333333333298</v>
      </c>
      <c r="Q586" s="238">
        <f>B586*89.509/100</f>
        <v>89.509</v>
      </c>
      <c r="R586" s="238">
        <f>B586*1.18433333333333/100</f>
        <v>1.1843333333333299</v>
      </c>
      <c r="S586" s="238">
        <f>B586*2.08066666666667/100</f>
        <v>2.0806666666666702</v>
      </c>
      <c r="T586" s="238">
        <f>B586*240.567/100</f>
        <v>240.56700000000001</v>
      </c>
      <c r="U586" s="238">
        <f>B586*0.0916666666666667/100</f>
        <v>9.1666666666666702E-2</v>
      </c>
      <c r="V586" s="238">
        <f>B586*1.305/100</f>
        <v>1.3049999999999999</v>
      </c>
      <c r="W586" s="242" t="s">
        <v>454</v>
      </c>
      <c r="X586" s="245" t="s">
        <v>455</v>
      </c>
      <c r="Y586" s="245" t="s">
        <v>455</v>
      </c>
      <c r="Z586" s="245" t="s">
        <v>455</v>
      </c>
      <c r="AA586" s="260">
        <f>B586*3.69/100</f>
        <v>3.69</v>
      </c>
      <c r="AB586" s="245" t="s">
        <v>455</v>
      </c>
    </row>
    <row r="587" spans="1:28">
      <c r="A587" s="234" t="s">
        <v>875</v>
      </c>
      <c r="B587" s="59">
        <v>100</v>
      </c>
      <c r="C587" s="238">
        <f>B587*336.961911127567/100</f>
        <v>336.96191112756702</v>
      </c>
      <c r="D587" s="238">
        <f>B587*20.9166666666667/100</f>
        <v>20.9166666666667</v>
      </c>
      <c r="E587" s="242">
        <f>B587*1.33/100</f>
        <v>1.33</v>
      </c>
      <c r="F587" s="252">
        <f>B587*0.6/100</f>
        <v>0.6</v>
      </c>
      <c r="G587" s="252">
        <f>B587*0.1/100</f>
        <v>0.1</v>
      </c>
      <c r="H587" s="252">
        <f>B587*0.7/100</f>
        <v>0.7</v>
      </c>
      <c r="I587" s="263">
        <f>B587*0.33/100</f>
        <v>0.33</v>
      </c>
      <c r="J587" s="263">
        <f>B587*0.14/100</f>
        <v>0.14000000000000001</v>
      </c>
      <c r="K587" s="242" t="s">
        <v>454</v>
      </c>
      <c r="L587" s="242">
        <f>B587*62.2233333333333/100</f>
        <v>62.223333333333301</v>
      </c>
      <c r="M587" s="242">
        <f>B587*20.6266666666667/100</f>
        <v>20.626666666666701</v>
      </c>
      <c r="N587" s="242">
        <f>B587*67.6616666666667/100</f>
        <v>67.661666666666704</v>
      </c>
      <c r="O587" s="242">
        <f>B587*184.497333333333/100</f>
        <v>184.49733333333296</v>
      </c>
      <c r="P587" s="242">
        <f>B587*1.07833333333333/100</f>
        <v>1.07833333333333</v>
      </c>
      <c r="Q587" s="242">
        <f>B587*393.586/100</f>
        <v>393.58600000000001</v>
      </c>
      <c r="R587" s="242">
        <f>B587*5.32033333333333/100</f>
        <v>5.3203333333333296</v>
      </c>
      <c r="S587" s="242">
        <f>B587*24.1143333333333/100</f>
        <v>24.114333333333299</v>
      </c>
      <c r="T587" s="242">
        <f>B587*1108.65966666667/100</f>
        <v>1108.6596666666701</v>
      </c>
      <c r="U587" s="242">
        <f>B587*0.595333333333333/100</f>
        <v>0.59533333333333305</v>
      </c>
      <c r="V587" s="242">
        <f>B587*3.978/100</f>
        <v>3.9780000000000002</v>
      </c>
      <c r="W587" s="242" t="s">
        <v>454</v>
      </c>
      <c r="X587" s="243">
        <f>B587*0.163333333333333/100</f>
        <v>0.163333333333333</v>
      </c>
      <c r="Y587" s="243">
        <f>B587*0.03/100</f>
        <v>0.03</v>
      </c>
      <c r="Z587" s="245" t="s">
        <v>455</v>
      </c>
      <c r="AA587" s="243">
        <f>B587*3.92333333333333/100</f>
        <v>3.9233333333333298</v>
      </c>
      <c r="AB587" s="245" t="s">
        <v>455</v>
      </c>
    </row>
    <row r="588" spans="1:28">
      <c r="A588" s="234" t="s">
        <v>876</v>
      </c>
      <c r="B588" s="59">
        <v>100</v>
      </c>
      <c r="C588" s="238">
        <f>B588*76.8933823179006/100</f>
        <v>76.893382317900603</v>
      </c>
      <c r="D588" s="238">
        <f>B588*5.72083333333333/100</f>
        <v>5.7208333333333288</v>
      </c>
      <c r="E588" s="248">
        <f>B588*0.538333333333333/100</f>
        <v>0.538333333333333</v>
      </c>
      <c r="F588" s="252">
        <f>B588*0.1/100</f>
        <v>0.1</v>
      </c>
      <c r="G588" s="252">
        <f>B588*0.1/100</f>
        <v>0.1</v>
      </c>
      <c r="H588" s="252">
        <f>B588*0.3/100</f>
        <v>0.3</v>
      </c>
      <c r="I588" s="263">
        <f>B588*0.14/100</f>
        <v>0.14000000000000001</v>
      </c>
      <c r="J588" s="263">
        <f>B588*0.19/100</f>
        <v>0.19</v>
      </c>
      <c r="K588" s="242" t="s">
        <v>454</v>
      </c>
      <c r="L588" s="242">
        <f>B588*12.9081666666667/100</f>
        <v>12.9081666666667</v>
      </c>
      <c r="M588" s="243">
        <f>B588*11.5143333333333/100</f>
        <v>11.514333333333299</v>
      </c>
      <c r="N588" s="243">
        <f>B588*22.532/100</f>
        <v>22.531999999999996</v>
      </c>
      <c r="O588" s="243">
        <f>B588*34.3926666666667/100</f>
        <v>34.392666666666699</v>
      </c>
      <c r="P588" s="243">
        <f>B588*0.321/100</f>
        <v>0.32100000000000001</v>
      </c>
      <c r="Q588" s="243">
        <f>B588*106.325/100</f>
        <v>106.325</v>
      </c>
      <c r="R588" s="243">
        <f>B588*1.411/100</f>
        <v>1.411</v>
      </c>
      <c r="S588" s="243">
        <f>B588*1.457/100</f>
        <v>1.4570000000000001</v>
      </c>
      <c r="T588" s="243">
        <f>B588*268.086333333333/100</f>
        <v>268.08633333333302</v>
      </c>
      <c r="U588" s="243">
        <f>B588*0.224666666666667/100</f>
        <v>0.22466666666666696</v>
      </c>
      <c r="V588" s="243">
        <f>B588*1.006/100</f>
        <v>1.006</v>
      </c>
      <c r="W588" s="242" t="s">
        <v>454</v>
      </c>
      <c r="X588" s="243">
        <f>B588*0.146666666666667/100</f>
        <v>0.146666666666667</v>
      </c>
      <c r="Y588" s="245" t="s">
        <v>455</v>
      </c>
      <c r="Z588" s="243">
        <f>B588*0.03/100</f>
        <v>0.03</v>
      </c>
      <c r="AA588" s="245" t="s">
        <v>455</v>
      </c>
      <c r="AB588" s="245" t="s">
        <v>455</v>
      </c>
    </row>
    <row r="589" spans="1:28">
      <c r="A589" s="232" t="s">
        <v>877</v>
      </c>
      <c r="B589" s="59">
        <v>100</v>
      </c>
      <c r="C589" s="238">
        <f>B589*331.414977456729/100</f>
        <v>331.41497745672893</v>
      </c>
      <c r="D589" s="238">
        <f>B589*22.1666666666667/100</f>
        <v>22.1666666666667</v>
      </c>
      <c r="E589" s="248">
        <f>B589*1.23666666666667/100</f>
        <v>1.2366666666666699</v>
      </c>
      <c r="F589" s="252">
        <f>B589*0.3/100</f>
        <v>0.3</v>
      </c>
      <c r="G589" s="252">
        <f>B589*0.2/100</f>
        <v>0.2</v>
      </c>
      <c r="H589" s="252">
        <f>B589*0.8/100</f>
        <v>0.8</v>
      </c>
      <c r="I589" s="263">
        <f>B589*0.34/100</f>
        <v>0.34</v>
      </c>
      <c r="J589" s="263">
        <f>B589*0.46/100</f>
        <v>0.46</v>
      </c>
      <c r="K589" s="242" t="s">
        <v>454</v>
      </c>
      <c r="L589" s="242">
        <f>B589*59.9866666666667/100</f>
        <v>59.9866666666667</v>
      </c>
      <c r="M589" s="242">
        <f>B589*33.8433333333333/100</f>
        <v>33.843333333333298</v>
      </c>
      <c r="N589" s="242">
        <f>B589*120.457666666667/100</f>
        <v>120.457666666667</v>
      </c>
      <c r="O589" s="242">
        <f>B589*161.935333333333/100</f>
        <v>161.93533333333301</v>
      </c>
      <c r="P589" s="242">
        <f>B589*1.34066666666667/100</f>
        <v>1.34066666666667</v>
      </c>
      <c r="Q589" s="242">
        <f>B589*393.698333333333/100</f>
        <v>393.69833333333298</v>
      </c>
      <c r="R589" s="242">
        <f>B589*6.91733333333333/100</f>
        <v>6.91733333333333</v>
      </c>
      <c r="S589" s="242">
        <f>B589*9.75766666666667/100</f>
        <v>9.7576666666666707</v>
      </c>
      <c r="T589" s="242">
        <f>B589*1221.397/100</f>
        <v>1221.3969999999999</v>
      </c>
      <c r="U589" s="242">
        <f>B589*1.03733333333333/100</f>
        <v>1.0373333333333301</v>
      </c>
      <c r="V589" s="242">
        <f>B589*3.293/100</f>
        <v>3.2930000000000001</v>
      </c>
      <c r="W589" s="242" t="s">
        <v>454</v>
      </c>
      <c r="X589" s="238">
        <f>B589*0.263333333333333/100</f>
        <v>0.26333333333333298</v>
      </c>
      <c r="Y589" s="245" t="s">
        <v>455</v>
      </c>
      <c r="Z589" s="238">
        <f>B589*0.08/100</f>
        <v>0.08</v>
      </c>
      <c r="AA589" s="245" t="s">
        <v>455</v>
      </c>
      <c r="AB589" s="245" t="s">
        <v>455</v>
      </c>
    </row>
    <row r="590" spans="1:28">
      <c r="A590" s="232" t="s">
        <v>878</v>
      </c>
      <c r="B590" s="59">
        <v>100</v>
      </c>
      <c r="C590" s="238">
        <f>B590*354.7028765891/100</f>
        <v>354.70287658910007</v>
      </c>
      <c r="D590" s="238">
        <f>B590*21.2291666666667/100</f>
        <v>21.2291666666667</v>
      </c>
      <c r="E590" s="248">
        <f>B590*5.43/100</f>
        <v>5.43</v>
      </c>
      <c r="F590" s="252">
        <f>B590*0.9/100</f>
        <v>0.9</v>
      </c>
      <c r="G590" s="252">
        <f>B590*1.4/100</f>
        <v>1.4</v>
      </c>
      <c r="H590" s="252">
        <f>B590*2.8/100</f>
        <v>2.8</v>
      </c>
      <c r="I590" s="263">
        <f>B590*2.71/100</f>
        <v>2.71</v>
      </c>
      <c r="J590" s="263">
        <f>B590*0.13/100</f>
        <v>0.13</v>
      </c>
      <c r="K590" s="242" t="s">
        <v>454</v>
      </c>
      <c r="L590" s="242">
        <f>B590*57.8841666666667/100</f>
        <v>57.884166666666694</v>
      </c>
      <c r="M590" s="238">
        <f>B590*12.3566666666667/100</f>
        <v>12.356666666666699</v>
      </c>
      <c r="N590" s="238">
        <f>B590*114.359333333333/100</f>
        <v>114.359333333333</v>
      </c>
      <c r="O590" s="238">
        <f>B590*146.387/100</f>
        <v>146.387</v>
      </c>
      <c r="P590" s="238">
        <f>B590*3.15666666666667/100</f>
        <v>3.1566666666666698</v>
      </c>
      <c r="Q590" s="238">
        <f>B590*342.335333333333/100</f>
        <v>342.33533333333298</v>
      </c>
      <c r="R590" s="238">
        <f>B590*5.37766666666667/100</f>
        <v>5.3776666666666699</v>
      </c>
      <c r="S590" s="243">
        <f>B590*5.194/100</f>
        <v>5.194</v>
      </c>
      <c r="T590" s="243">
        <f>B590*1115.70166666667/100</f>
        <v>1115.70166666667</v>
      </c>
      <c r="U590" s="238">
        <f>B590*0.670666666666667/100</f>
        <v>0.67066666666666697</v>
      </c>
      <c r="V590" s="238">
        <f>B590*3.191/100</f>
        <v>3.1909999999999998</v>
      </c>
      <c r="W590" s="242" t="s">
        <v>454</v>
      </c>
      <c r="X590" s="238">
        <f>B590*0.52/100</f>
        <v>0.52</v>
      </c>
      <c r="Y590" s="245" t="s">
        <v>455</v>
      </c>
      <c r="Z590" s="238">
        <f>B590*0.753333333333333/100</f>
        <v>0.75333333333333297</v>
      </c>
      <c r="AA590" s="245" t="s">
        <v>455</v>
      </c>
      <c r="AB590" s="245" t="s">
        <v>455</v>
      </c>
    </row>
    <row r="591" spans="1:28">
      <c r="A591" s="232" t="s">
        <v>879</v>
      </c>
      <c r="B591" s="59">
        <v>100</v>
      </c>
      <c r="C591" s="238">
        <f>B591*344.133651284993/100</f>
        <v>344.13365128499294</v>
      </c>
      <c r="D591" s="238">
        <f>B591*18.9645833333333/100</f>
        <v>18.964583333333302</v>
      </c>
      <c r="E591" s="248">
        <f>B591*2.132/100</f>
        <v>2.1320000000000001</v>
      </c>
      <c r="F591" s="252">
        <f>B591*0.6/100</f>
        <v>0.6</v>
      </c>
      <c r="G591" s="252">
        <f>B591*0.2/100</f>
        <v>0.2</v>
      </c>
      <c r="H591" s="252">
        <f>B591*0.9/100</f>
        <v>0.9</v>
      </c>
      <c r="I591" s="263">
        <f>B591*0.86/100</f>
        <v>0.86</v>
      </c>
      <c r="J591" s="263">
        <f>B591*0.06/100</f>
        <v>0.06</v>
      </c>
      <c r="K591" s="242" t="s">
        <v>454</v>
      </c>
      <c r="L591" s="242">
        <f>B591*64.0004166666667/100</f>
        <v>64.000416666666695</v>
      </c>
      <c r="M591" s="238">
        <f>B591*21.3136666666667/100</f>
        <v>21.313666666666698</v>
      </c>
      <c r="N591" s="238">
        <f>B591*129.337666666667/100</f>
        <v>129.33766666666699</v>
      </c>
      <c r="O591" s="238">
        <f>B591*166/100</f>
        <v>166</v>
      </c>
      <c r="P591" s="238">
        <f>B591*1.01566666666667/100</f>
        <v>1.01566666666667</v>
      </c>
      <c r="Q591" s="242">
        <f>B591*269.194333333333/100</f>
        <v>269.19433333333302</v>
      </c>
      <c r="R591" s="243">
        <f>B591*1.94333333333333/100</f>
        <v>1.94333333333333</v>
      </c>
      <c r="S591" s="243">
        <f>B591*1.617/100</f>
        <v>1.617</v>
      </c>
      <c r="T591" s="238">
        <f>B591*1214.79766666667/100</f>
        <v>1214.79766666667</v>
      </c>
      <c r="U591" s="238">
        <f>B591*0.573/100</f>
        <v>0.57299999999999995</v>
      </c>
      <c r="V591" s="238">
        <f>B591*2.01666666666667/100</f>
        <v>2.0166666666666702</v>
      </c>
      <c r="W591" s="242" t="s">
        <v>454</v>
      </c>
      <c r="X591" s="238">
        <f>B591*1.06333333333333/100</f>
        <v>1.0633333333333299</v>
      </c>
      <c r="Y591" s="243" t="s">
        <v>455</v>
      </c>
      <c r="Z591" s="243">
        <f>B591*0.07/100</f>
        <v>7.0000000000000007E-2</v>
      </c>
      <c r="AA591" s="238">
        <f>B591*2.69333333333333/100</f>
        <v>2.6933333333333298</v>
      </c>
      <c r="AB591" s="238">
        <f>B591*1.46666666666667/100</f>
        <v>1.4666666666666699</v>
      </c>
    </row>
    <row r="592" spans="1:28">
      <c r="A592" s="232" t="s">
        <v>3239</v>
      </c>
      <c r="B592" s="59">
        <v>100</v>
      </c>
      <c r="C592" s="238">
        <f>B592*92.6387662522991/100</f>
        <v>92.638766252299106</v>
      </c>
      <c r="D592" s="238">
        <f>B592*6.31041666666667/100</f>
        <v>6.3104166666666712</v>
      </c>
      <c r="E592" s="248">
        <f>B592*0.524666666666667/100</f>
        <v>0.52466666666666695</v>
      </c>
      <c r="F592" s="252">
        <f>B592*0.1/100</f>
        <v>0.1</v>
      </c>
      <c r="G592" s="252">
        <f>B592*0.1/100</f>
        <v>0.1</v>
      </c>
      <c r="H592" s="252">
        <f>B592*0.3/100</f>
        <v>0.3</v>
      </c>
      <c r="I592" s="263">
        <f>B592*0.21/100</f>
        <v>0.21</v>
      </c>
      <c r="J592" s="263">
        <f>B592*0.04/100</f>
        <v>0.04</v>
      </c>
      <c r="K592" s="242" t="s">
        <v>454</v>
      </c>
      <c r="L592" s="242">
        <f>B592*16.30225/100</f>
        <v>16.302250000000001</v>
      </c>
      <c r="M592" s="238">
        <f>B592*7.86233333333333/100</f>
        <v>7.8623333333333303</v>
      </c>
      <c r="N592" s="243">
        <f>B592*16.101/100</f>
        <v>16.100999999999999</v>
      </c>
      <c r="O592" s="243">
        <f>B592*21.646/100</f>
        <v>21.646000000000001</v>
      </c>
      <c r="P592" s="243">
        <f>B592*0.285333333333333/100</f>
        <v>0.28533333333333299</v>
      </c>
      <c r="Q592" s="243">
        <f>B592*103.74/100</f>
        <v>103.74</v>
      </c>
      <c r="R592" s="243">
        <f>B592*1.47933333333333/100</f>
        <v>1.4793333333333301</v>
      </c>
      <c r="S592" s="243">
        <f>B592*1.17633333333333/100</f>
        <v>1.1763333333333299</v>
      </c>
      <c r="T592" s="243">
        <f>B592*219.903666666667/100</f>
        <v>219.90366666666696</v>
      </c>
      <c r="U592" s="243">
        <f>B592*0.174666666666667/100</f>
        <v>0.174666666666667</v>
      </c>
      <c r="V592" s="243">
        <f>B592*1.13066666666667/100</f>
        <v>1.13066666666667</v>
      </c>
      <c r="W592" s="256" t="s">
        <v>454</v>
      </c>
      <c r="X592" s="243">
        <f>B592*0.03/100</f>
        <v>0.03</v>
      </c>
      <c r="Y592" s="243" t="s">
        <v>455</v>
      </c>
      <c r="Z592" s="243" t="s">
        <v>455</v>
      </c>
      <c r="AA592" s="243" t="s">
        <v>455</v>
      </c>
      <c r="AB592" s="243" t="s">
        <v>455</v>
      </c>
    </row>
    <row r="593" spans="1:28">
      <c r="A593" s="232" t="s">
        <v>881</v>
      </c>
      <c r="B593" s="59">
        <v>100</v>
      </c>
      <c r="C593" s="240">
        <f>B593*339.141240203553/100</f>
        <v>339.14124020355302</v>
      </c>
      <c r="D593" s="239">
        <f>B593*23.1521739130435/100</f>
        <v>23.152173913043502</v>
      </c>
      <c r="E593" s="240">
        <f>B593*0.77/100</f>
        <v>0.77</v>
      </c>
      <c r="F593" s="252">
        <f>B593*0.1/100</f>
        <v>0.1</v>
      </c>
      <c r="G593" s="252">
        <f>B593*0.2/100</f>
        <v>0.2</v>
      </c>
      <c r="H593" s="252">
        <f>B593*0.4/100</f>
        <v>0.4</v>
      </c>
      <c r="I593" s="263">
        <f>B593*0.33/100</f>
        <v>0.33</v>
      </c>
      <c r="J593" s="263">
        <f>B593*0.09/100</f>
        <v>0.09</v>
      </c>
      <c r="K593" s="242" t="s">
        <v>454</v>
      </c>
      <c r="L593" s="242">
        <f>B593*62.0044927536232/100</f>
        <v>62.004492753623197</v>
      </c>
      <c r="M593" s="240">
        <f>B593*16.9366666666667/100</f>
        <v>16.936666666666699</v>
      </c>
      <c r="N593" s="240">
        <f>B593*53.5233333333333/100</f>
        <v>53.523333333333291</v>
      </c>
      <c r="O593" s="240">
        <f>B593*93.53/100</f>
        <v>93.53</v>
      </c>
      <c r="P593" s="240">
        <f>B593*1.08433333333333/100</f>
        <v>1.08433333333333</v>
      </c>
      <c r="Q593" s="240">
        <f>B593*367.736666666667/100</f>
        <v>367.73666666666702</v>
      </c>
      <c r="R593" s="240">
        <f>B593*7.04666666666667/100</f>
        <v>7.0466666666666704</v>
      </c>
      <c r="S593" s="240" t="s">
        <v>455</v>
      </c>
      <c r="T593" s="240">
        <f>B593*886.883333333333/100</f>
        <v>886.88333333333298</v>
      </c>
      <c r="U593" s="240">
        <f>B593*0.833333333333333/100</f>
        <v>0.83333333333333304</v>
      </c>
      <c r="V593" s="240">
        <f>B593*3.48666666666667/100</f>
        <v>3.4866666666666699</v>
      </c>
      <c r="W593" s="242" t="s">
        <v>454</v>
      </c>
      <c r="X593" s="240">
        <f>B593*0.113333333333333/100</f>
        <v>0.11333333333333301</v>
      </c>
      <c r="Y593" s="240" t="s">
        <v>455</v>
      </c>
      <c r="Z593" s="240">
        <f>B593*0.416666666666667/100</f>
        <v>0.41666666666666702</v>
      </c>
      <c r="AA593" s="240">
        <f>B593*5.07333333333333/100</f>
        <v>5.0733333333333297</v>
      </c>
      <c r="AB593" s="240" t="s">
        <v>3254</v>
      </c>
    </row>
    <row r="594" spans="1:28">
      <c r="A594" s="232" t="s">
        <v>882</v>
      </c>
      <c r="B594" s="59">
        <v>100</v>
      </c>
      <c r="C594" s="238">
        <f>B594*486.927086464524/100</f>
        <v>486.92708646452394</v>
      </c>
      <c r="D594" s="238">
        <f>B594*15.9958333333333/100</f>
        <v>15.995833333333302</v>
      </c>
      <c r="E594" s="248">
        <f>B594*26.0753333333333/100</f>
        <v>26.075333333333301</v>
      </c>
      <c r="F594" s="252">
        <f>B594*4.1/100</f>
        <v>4.0999999999999996</v>
      </c>
      <c r="G594" s="252">
        <f>B594*10/100</f>
        <v>10</v>
      </c>
      <c r="H594" s="252">
        <f>B594*7.3/100</f>
        <v>7.3</v>
      </c>
      <c r="I594" s="263">
        <f>B594*7.25/100</f>
        <v>7.25</v>
      </c>
      <c r="J594" s="263">
        <f>B594*0.02/100</f>
        <v>0.02</v>
      </c>
      <c r="K594" s="242" t="s">
        <v>454</v>
      </c>
      <c r="L594" s="242">
        <f>B594*52.3761666666667/100</f>
        <v>52.376166666666698</v>
      </c>
      <c r="M594" s="238">
        <f>B594*7.319/100</f>
        <v>7.319</v>
      </c>
      <c r="N594" s="243">
        <f>B594*22.4813333333333/100</f>
        <v>22.4813333333333</v>
      </c>
      <c r="O594" s="238">
        <f>B594*100.674666666667/100</f>
        <v>100.67466666666699</v>
      </c>
      <c r="P594" s="238">
        <f>B594*1.055/100</f>
        <v>1.0549999999999999</v>
      </c>
      <c r="Q594" s="238">
        <f>B594*198.496666666667/100</f>
        <v>198.49666666666701</v>
      </c>
      <c r="R594" s="238">
        <f>B594*1.13466666666667/100</f>
        <v>1.13466666666667</v>
      </c>
      <c r="S594" s="238">
        <f>B594*166.840666666667/100</f>
        <v>166.84066666666703</v>
      </c>
      <c r="T594" s="238">
        <f>B594*347.601/100</f>
        <v>347.601</v>
      </c>
      <c r="U594" s="238">
        <f>B594*0.379333333333333/100</f>
        <v>0.37933333333333302</v>
      </c>
      <c r="V594" s="238">
        <f>B594*1.56/100</f>
        <v>1.56</v>
      </c>
      <c r="W594" s="242" t="s">
        <v>454</v>
      </c>
      <c r="X594" s="245" t="s">
        <v>455</v>
      </c>
      <c r="Y594" s="245" t="s">
        <v>455</v>
      </c>
      <c r="Z594" s="238">
        <f>B594*1.19666666666667/100</f>
        <v>1.1966666666666701</v>
      </c>
      <c r="AA594" s="245" t="s">
        <v>455</v>
      </c>
      <c r="AB594" s="245" t="s">
        <v>455</v>
      </c>
    </row>
    <row r="595" spans="1:28">
      <c r="A595" s="222" t="s">
        <v>3240</v>
      </c>
      <c r="B595" s="59">
        <v>100</v>
      </c>
      <c r="C595" s="247">
        <f>B595*503.190365839956/100</f>
        <v>503.19036583995597</v>
      </c>
      <c r="D595" s="247">
        <f>B595*13.1622400919596/100</f>
        <v>13.1622400919596</v>
      </c>
      <c r="E595" s="244">
        <f>B595*28.0483333333333/100</f>
        <v>28.0483333333333</v>
      </c>
      <c r="F595" s="244">
        <f>B595*5.08/100</f>
        <v>5.08</v>
      </c>
      <c r="G595" s="244">
        <f>B595*14.39/100</f>
        <v>14.39</v>
      </c>
      <c r="H595" s="244">
        <f>B595*8.25/100</f>
        <v>8.25</v>
      </c>
      <c r="I595" s="263">
        <f>B595*8.25/100</f>
        <v>8.25</v>
      </c>
      <c r="J595" s="263"/>
      <c r="K595" s="258" t="s">
        <v>454</v>
      </c>
      <c r="L595" s="247">
        <f>B595*54.730426574707/100</f>
        <v>54.73042657470701</v>
      </c>
      <c r="M595" s="244">
        <f>B595*3.39333333333333/100</f>
        <v>3.3933333333333295</v>
      </c>
      <c r="N595" s="244">
        <f>B595*27.108/100</f>
        <v>27.108000000000001</v>
      </c>
      <c r="O595" s="244">
        <f>B595*107.903666666667/100</f>
        <v>107.90366666666699</v>
      </c>
      <c r="P595" s="244">
        <f>B595*1.089/100</f>
        <v>1.089</v>
      </c>
      <c r="Q595" s="244">
        <f>B595*170.708333333333/100</f>
        <v>170.708333333333</v>
      </c>
      <c r="R595" s="244">
        <f>B595*1.25666666666667/100</f>
        <v>1.2566666666666699</v>
      </c>
      <c r="S595" s="244">
        <f>B595*16.3453333333333/100</f>
        <v>16.345333333333301</v>
      </c>
      <c r="T595" s="244">
        <f>B595*355.414666666667/100</f>
        <v>355.41466666666702</v>
      </c>
      <c r="U595" s="244">
        <f>B595*0.427/100</f>
        <v>0.42699999999999994</v>
      </c>
      <c r="V595" s="244">
        <f>B595*1.431/100</f>
        <v>1.431</v>
      </c>
      <c r="W595" s="258" t="s">
        <v>454</v>
      </c>
      <c r="X595" s="244">
        <f>B595*0.0433333333333333/100</f>
        <v>4.3333333333333307E-2</v>
      </c>
      <c r="Y595" s="244">
        <f>B595*0.03/100</f>
        <v>0.03</v>
      </c>
      <c r="Z595" s="244">
        <f>B595*0.11/100</f>
        <v>0.11</v>
      </c>
      <c r="AA595" s="244">
        <f>B595*5.94/100</f>
        <v>5.94</v>
      </c>
      <c r="AB595" s="244" t="s">
        <v>455</v>
      </c>
    </row>
    <row r="596" spans="1:28">
      <c r="A596" s="232" t="s">
        <v>3241</v>
      </c>
      <c r="B596" s="59">
        <v>100</v>
      </c>
      <c r="C596" s="238">
        <f>B596*403.955845810399/100</f>
        <v>403.95584581039907</v>
      </c>
      <c r="D596" s="238">
        <f>B596*36.0301002407074/100</f>
        <v>36.030100240707398</v>
      </c>
      <c r="E596" s="248">
        <f>B596*14.6333333333333/100</f>
        <v>14.633333333333301</v>
      </c>
      <c r="F596" s="244"/>
      <c r="G596" s="244"/>
      <c r="H596" s="244"/>
      <c r="I596" s="263"/>
      <c r="J596" s="263"/>
      <c r="K596" s="242" t="s">
        <v>454</v>
      </c>
      <c r="L596" s="242">
        <f>B596*38.4398997592926/100</f>
        <v>38.439899759292601</v>
      </c>
      <c r="M596" s="238">
        <f>B596*20.18/100</f>
        <v>20.18</v>
      </c>
      <c r="N596" s="238">
        <f>B596*206.020333333333/100</f>
        <v>206.02033333333301</v>
      </c>
      <c r="O596" s="243">
        <f>B596*241.9/100</f>
        <v>241.9</v>
      </c>
      <c r="P596" s="238">
        <f>B596*2.87133333333333/100</f>
        <v>2.8713333333333306</v>
      </c>
      <c r="Q596" s="238">
        <f>B596*539.249333333333/100</f>
        <v>539.24933333333297</v>
      </c>
      <c r="R596" s="243">
        <f>B596*13.0553333333333/100</f>
        <v>13.0553333333333</v>
      </c>
      <c r="S596" s="243">
        <f>B596*5.75366666666667/100</f>
        <v>5.7536666666666703</v>
      </c>
      <c r="T596" s="238">
        <f>B596*1922.39166666667/100</f>
        <v>1922.3916666666701</v>
      </c>
      <c r="U596" s="238">
        <f>B596*1.287/100</f>
        <v>1.2869999999999999</v>
      </c>
      <c r="V596" s="238">
        <f>B596*4.54/100</f>
        <v>4.54</v>
      </c>
      <c r="W596" s="242" t="s">
        <v>454</v>
      </c>
      <c r="X596" s="238">
        <f>B596*0.2/100</f>
        <v>0.2</v>
      </c>
      <c r="Y596" s="238">
        <f>B596*0.0366666666666667/100</f>
        <v>3.6666666666666702E-2</v>
      </c>
      <c r="Z596" s="238">
        <f>B596*0.03/100</f>
        <v>0.03</v>
      </c>
      <c r="AA596" s="242" t="s">
        <v>455</v>
      </c>
      <c r="AB596" s="245" t="s">
        <v>455</v>
      </c>
    </row>
    <row r="597" spans="1:28">
      <c r="A597" s="232" t="s">
        <v>885</v>
      </c>
      <c r="B597" s="59">
        <v>100</v>
      </c>
      <c r="C597" s="238">
        <f>B597*39.1048552753508/100</f>
        <v>39.104855275350801</v>
      </c>
      <c r="D597" s="238">
        <f>B597*2.38107001590729/100</f>
        <v>2.3810700159072899</v>
      </c>
      <c r="E597" s="248">
        <f>B597*1.606/100</f>
        <v>1.6060000000000003</v>
      </c>
      <c r="F597" s="252">
        <f>B597*0.2/100</f>
        <v>0.2</v>
      </c>
      <c r="G597" s="252">
        <f>B597*0.3/100</f>
        <v>0.3</v>
      </c>
      <c r="H597" s="252">
        <f>B597*0.6/100</f>
        <v>0.6</v>
      </c>
      <c r="I597" s="263">
        <f>B597*0.58/100</f>
        <v>0.57999999999999996</v>
      </c>
      <c r="J597" s="263">
        <f>B597*0.06/100</f>
        <v>0.06</v>
      </c>
      <c r="K597" s="242" t="s">
        <v>454</v>
      </c>
      <c r="L597" s="242">
        <f>B597*4.27526333333334/100</f>
        <v>4.2752633333333403</v>
      </c>
      <c r="M597" s="243">
        <f>B597*0.366333333333333/100</f>
        <v>0.36633333333333307</v>
      </c>
      <c r="N597" s="243">
        <f>B597*16.517/100</f>
        <v>16.516999999999999</v>
      </c>
      <c r="O597" s="243">
        <f>B597*15.454/100</f>
        <v>15.454000000000001</v>
      </c>
      <c r="P597" s="238">
        <f>B597*0.146333333333333/100</f>
        <v>0.14633333333333301</v>
      </c>
      <c r="Q597" s="238">
        <f>B597*52.8916666666667/100</f>
        <v>52.891666666666694</v>
      </c>
      <c r="R597" s="238">
        <f>B597*0.434/100</f>
        <v>0.434</v>
      </c>
      <c r="S597" s="238">
        <f>B597*56.528/100</f>
        <v>56.527999999999999</v>
      </c>
      <c r="T597" s="238">
        <f>B597*121.044/100</f>
        <v>121.044</v>
      </c>
      <c r="U597" s="238">
        <f>B597*0.083/100</f>
        <v>8.3000000000000004E-2</v>
      </c>
      <c r="V597" s="238">
        <f>B597*0.277666666666667/100</f>
        <v>0.27766666666666701</v>
      </c>
      <c r="W597" s="242" t="s">
        <v>454</v>
      </c>
      <c r="X597" s="245" t="s">
        <v>455</v>
      </c>
      <c r="Y597" s="245" t="s">
        <v>455</v>
      </c>
      <c r="Z597" s="245" t="s">
        <v>455</v>
      </c>
      <c r="AA597" s="245" t="s">
        <v>455</v>
      </c>
      <c r="AB597" s="245" t="s">
        <v>455</v>
      </c>
    </row>
    <row r="598" spans="1:28">
      <c r="A598" s="232" t="s">
        <v>3242</v>
      </c>
      <c r="B598" s="59">
        <v>100</v>
      </c>
      <c r="C598" s="238">
        <f>B598*458.895729437868/100</f>
        <v>458.895729437868</v>
      </c>
      <c r="D598" s="238">
        <f>B598*35.6875002384185/100</f>
        <v>35.687500238418501</v>
      </c>
      <c r="E598" s="248">
        <f>B598*26.181/100</f>
        <v>26.180999999999997</v>
      </c>
      <c r="F598" s="252">
        <f>B598*3.3/100</f>
        <v>3.3</v>
      </c>
      <c r="G598" s="252">
        <f>B598*6.4/100</f>
        <v>6.4</v>
      </c>
      <c r="H598" s="252">
        <f>B598*12.9/100</f>
        <v>12.9</v>
      </c>
      <c r="I598" s="263">
        <f>B598*11.67/100</f>
        <v>11.67</v>
      </c>
      <c r="J598" s="263">
        <f>B598*1.23/100</f>
        <v>1.23</v>
      </c>
      <c r="K598" s="242" t="s">
        <v>454</v>
      </c>
      <c r="L598" s="242">
        <f>B598*28.4828333333333/100</f>
        <v>28.4828333333333</v>
      </c>
      <c r="M598" s="243">
        <f>B598*7.313/100</f>
        <v>7.3129999999999997</v>
      </c>
      <c r="N598" s="238">
        <f>B598*359.038/100</f>
        <v>359.03800000000001</v>
      </c>
      <c r="O598" s="238">
        <f>B598*215.615666666667/100</f>
        <v>215.61566666666701</v>
      </c>
      <c r="P598" s="238">
        <f>B598*2.67566666666667/100</f>
        <v>2.67566666666667</v>
      </c>
      <c r="Q598" s="238">
        <f>B598*646.55/100</f>
        <v>646.54999999999995</v>
      </c>
      <c r="R598" s="238">
        <f>B598*7.009/100</f>
        <v>7.0090000000000012</v>
      </c>
      <c r="S598" s="238">
        <f>B598*83.471/100</f>
        <v>83.471000000000004</v>
      </c>
      <c r="T598" s="238">
        <f>B598*1606.80066666667/100</f>
        <v>1606.8006666666699</v>
      </c>
      <c r="U598" s="238">
        <f>B598*1.18533333333333/100</f>
        <v>1.18533333333333</v>
      </c>
      <c r="V598" s="238">
        <f>B598*5.83766666666667/100</f>
        <v>5.8376666666666699</v>
      </c>
      <c r="W598" s="242" t="s">
        <v>454</v>
      </c>
      <c r="X598" s="245" t="s">
        <v>455</v>
      </c>
      <c r="Y598" s="238">
        <f>B598*0.106666666666667/100</f>
        <v>0.10666666666666699</v>
      </c>
      <c r="Z598" s="238">
        <f>B598*0.353333333333333/100</f>
        <v>0.353333333333333</v>
      </c>
      <c r="AA598" s="245" t="s">
        <v>455</v>
      </c>
      <c r="AB598" s="243">
        <f>B598*9.21333333333333/100</f>
        <v>9.2133333333333294</v>
      </c>
    </row>
    <row r="599" spans="1:28">
      <c r="A599" s="232" t="s">
        <v>3243</v>
      </c>
      <c r="B599" s="59">
        <v>100</v>
      </c>
      <c r="C599" s="238">
        <f>B599*64.4850940738902/100</f>
        <v>64.485094073890195</v>
      </c>
      <c r="D599" s="238">
        <f>B599*6.55317671044668/100</f>
        <v>6.5531767104466807</v>
      </c>
      <c r="E599" s="248">
        <f>B599*3.95333333333333/100</f>
        <v>3.9533333333333305</v>
      </c>
      <c r="F599" s="252">
        <f>B599*0.4/100</f>
        <v>0.4</v>
      </c>
      <c r="G599" s="252">
        <f>B599*0.5/100</f>
        <v>0.5</v>
      </c>
      <c r="H599" s="252">
        <f>B599*1.7/100</f>
        <v>1.7</v>
      </c>
      <c r="I599" s="263">
        <f>B599*1.48/100</f>
        <v>1.48</v>
      </c>
      <c r="J599" s="263">
        <f>B599*0.2/100</f>
        <v>0.2</v>
      </c>
      <c r="K599" s="242" t="s">
        <v>454</v>
      </c>
      <c r="L599" s="242">
        <f>B599*2.12682333333333/100</f>
        <v>2.1268233333333302</v>
      </c>
      <c r="M599" s="238">
        <f>B599*0.752666666666667/100</f>
        <v>0.75266666666666704</v>
      </c>
      <c r="N599" s="243">
        <f>B599*80.7573333333333/100</f>
        <v>80.757333333333307</v>
      </c>
      <c r="O599" s="238">
        <f>B599*38.202/100</f>
        <v>38.201999999999998</v>
      </c>
      <c r="P599" s="238">
        <f>B599*0.334333333333333/100</f>
        <v>0.33433333333333304</v>
      </c>
      <c r="Q599" s="238">
        <f>B599*129.516333333333/100</f>
        <v>129.51633333333299</v>
      </c>
      <c r="R599" s="243">
        <f>B599*1.43033333333333/100</f>
        <v>1.4303333333333299</v>
      </c>
      <c r="S599" s="243">
        <f>B599*1.21366666666667/100</f>
        <v>1.21366666666667</v>
      </c>
      <c r="T599" s="238">
        <f>B599*181.691/100</f>
        <v>181.69099999999997</v>
      </c>
      <c r="U599" s="238">
        <f>B599*0.178666666666667/100</f>
        <v>0.178666666666667</v>
      </c>
      <c r="V599" s="238">
        <f>B599*0.893333333333333/100</f>
        <v>0.89333333333333298</v>
      </c>
      <c r="W599" s="242" t="s">
        <v>454</v>
      </c>
      <c r="X599" s="238">
        <f>B599*0.0366666666666667/100</f>
        <v>3.6666666666666702E-2</v>
      </c>
      <c r="Y599" s="242" t="s">
        <v>455</v>
      </c>
      <c r="Z599" s="238">
        <f>B599*0.0333333333333333/100</f>
        <v>3.3333333333333298E-2</v>
      </c>
      <c r="AA599" s="242" t="s">
        <v>455</v>
      </c>
      <c r="AB599" s="242" t="s">
        <v>455</v>
      </c>
    </row>
    <row r="600" spans="1:28">
      <c r="A600" s="232" t="s">
        <v>595</v>
      </c>
      <c r="B600" s="59">
        <v>100</v>
      </c>
      <c r="C600" s="238">
        <f>B600*381.278173960129/100</f>
        <v>381.27817396012898</v>
      </c>
      <c r="D600" s="238">
        <f>B600*33.575/100</f>
        <v>33.575000000000003</v>
      </c>
      <c r="E600" s="238">
        <f>B600*10.342/100</f>
        <v>10.342000000000001</v>
      </c>
      <c r="F600" s="252">
        <f>B600*1.2/100</f>
        <v>1.2</v>
      </c>
      <c r="G600" s="252">
        <f>B600*5.4/100</f>
        <v>5.4</v>
      </c>
      <c r="H600" s="252">
        <f>B600*1.7/100</f>
        <v>1.7</v>
      </c>
      <c r="I600" s="263">
        <f>B600*1.08/100</f>
        <v>1.08</v>
      </c>
      <c r="J600" s="263">
        <f>B600*0.57/100</f>
        <v>0.56999999999999995</v>
      </c>
      <c r="K600" s="269" t="s">
        <v>454</v>
      </c>
      <c r="L600" s="242">
        <f>B600*43.7863333333333/100</f>
        <v>43.786333333333303</v>
      </c>
      <c r="M600" s="242">
        <f>B600*32.307/100</f>
        <v>32.307000000000002</v>
      </c>
      <c r="N600" s="242">
        <f>B600*176.745333333333/100</f>
        <v>176.74533333333301</v>
      </c>
      <c r="O600" s="242">
        <f>B600*121.432333333333/100</f>
        <v>121.43233333333301</v>
      </c>
      <c r="P600" s="242" t="s">
        <v>23</v>
      </c>
      <c r="Q600" s="242">
        <f>B600*264.683666666667/100</f>
        <v>264.68366666666702</v>
      </c>
      <c r="R600" s="242">
        <f>B600*2.78866666666667/100</f>
        <v>2.78866666666667</v>
      </c>
      <c r="S600" s="242">
        <f>B600*3.29066666666667/100</f>
        <v>3.2906666666666702</v>
      </c>
      <c r="T600" s="242">
        <f>B600*708.321/100</f>
        <v>708.32100000000003</v>
      </c>
      <c r="U600" s="242">
        <f>B600*0.791/100</f>
        <v>0.79100000000000004</v>
      </c>
      <c r="V600" s="242">
        <f>B600*4.23766666666667/100</f>
        <v>4.2376666666666702</v>
      </c>
      <c r="W600" s="269" t="s">
        <v>454</v>
      </c>
      <c r="X600" s="238">
        <f>B600*0.24/100</f>
        <v>0.24</v>
      </c>
      <c r="Y600" s="242" t="s">
        <v>455</v>
      </c>
      <c r="Z600" s="238">
        <f>B600*0.0666666666666667/100</f>
        <v>6.6666666666666693E-2</v>
      </c>
      <c r="AA600" s="242" t="s">
        <v>455</v>
      </c>
      <c r="AB600" s="238">
        <f>B600*24.9733333333333/100</f>
        <v>24.973333333333304</v>
      </c>
    </row>
    <row r="601" spans="1:28">
      <c r="A601" s="232" t="s">
        <v>596</v>
      </c>
      <c r="B601" s="59">
        <v>100</v>
      </c>
      <c r="C601" s="238">
        <f>B601*120.642585344871/100</f>
        <v>120.64258534487098</v>
      </c>
      <c r="D601" s="238">
        <f>B601*11.1083333333333/100</f>
        <v>11.108333333333301</v>
      </c>
      <c r="E601" s="238">
        <f>B601*3.784/100</f>
        <v>3.7839999999999998</v>
      </c>
      <c r="F601" s="252">
        <f>B601*0.4/100</f>
        <v>0.4</v>
      </c>
      <c r="G601" s="252">
        <f>B601*1.9/100</f>
        <v>1.9</v>
      </c>
      <c r="H601" s="252">
        <f>B601*0.6/100</f>
        <v>0.6</v>
      </c>
      <c r="I601" s="263">
        <f>B601*0.4/100</f>
        <v>0.4</v>
      </c>
      <c r="J601" s="263">
        <f>B601*0.22/100</f>
        <v>0.22</v>
      </c>
      <c r="K601" s="269" t="s">
        <v>454</v>
      </c>
      <c r="L601" s="242">
        <f>B601*12.3893333333333/100</f>
        <v>12.389333333333299</v>
      </c>
      <c r="M601" s="238">
        <f>B601*14.44/100</f>
        <v>14.44</v>
      </c>
      <c r="N601" s="242">
        <f>B601*15.5373333333333/100</f>
        <v>15.537333333333301</v>
      </c>
      <c r="O601" s="242">
        <f>B601*3.517/100</f>
        <v>3.5169999999999999</v>
      </c>
      <c r="P601" s="242" t="s">
        <v>23</v>
      </c>
      <c r="Q601" s="242">
        <f>B601*39.7246666666667/100</f>
        <v>39.7246666666667</v>
      </c>
      <c r="R601" s="242">
        <f>B601*0.338/100</f>
        <v>0.33800000000000002</v>
      </c>
      <c r="S601" s="242">
        <f>B601*1808.75766666667/100</f>
        <v>1808.75766666667</v>
      </c>
      <c r="T601" s="242">
        <f>B601*5.2/100</f>
        <v>5.2</v>
      </c>
      <c r="U601" s="242">
        <f>B601*0.265333333333333/100</f>
        <v>0.26533333333333298</v>
      </c>
      <c r="V601" s="242">
        <f>B601*0.636333333333333/100</f>
        <v>0.63633333333333297</v>
      </c>
      <c r="W601" s="269" t="s">
        <v>454</v>
      </c>
      <c r="X601" s="242" t="s">
        <v>455</v>
      </c>
      <c r="Y601" s="242" t="s">
        <v>455</v>
      </c>
      <c r="Z601" s="242" t="s">
        <v>455</v>
      </c>
      <c r="AA601" s="242" t="s">
        <v>455</v>
      </c>
      <c r="AB601" s="242" t="s">
        <v>455</v>
      </c>
    </row>
    <row r="602" spans="1:28" s="220" customFormat="1">
      <c r="A602" s="237" t="s">
        <v>888</v>
      </c>
      <c r="B602" s="237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  <c r="AA602" s="268"/>
      <c r="AB602" s="268"/>
    </row>
    <row r="603" spans="1:28">
      <c r="A603" s="232" t="s">
        <v>3244</v>
      </c>
      <c r="B603" s="59">
        <v>100</v>
      </c>
      <c r="C603" s="238">
        <f>B603*580.74695455607/100</f>
        <v>580.74695455607002</v>
      </c>
      <c r="D603" s="238">
        <f>B603*18.5547593851089/100</f>
        <v>18.554759385108898</v>
      </c>
      <c r="E603" s="238">
        <f>B603*47.3243333333333/100</f>
        <v>47.3243333333333</v>
      </c>
      <c r="F603" s="252">
        <f>B603*4.8/100</f>
        <v>4.8</v>
      </c>
      <c r="G603" s="252">
        <f>B603*32.3/100</f>
        <v>32.299999999999997</v>
      </c>
      <c r="H603" s="252">
        <f>B603*16.2/100</f>
        <v>16.2</v>
      </c>
      <c r="I603" s="263">
        <f>B603*16.17/100</f>
        <v>16.170000000000002</v>
      </c>
      <c r="J603" s="263">
        <f>B603*0.03/100</f>
        <v>0.03</v>
      </c>
      <c r="K603" s="256" t="s">
        <v>454</v>
      </c>
      <c r="L603" s="242">
        <f>B603*29.54724/100</f>
        <v>29.547239999999999</v>
      </c>
      <c r="M603" s="238">
        <f>B603*11.64/100</f>
        <v>11.64</v>
      </c>
      <c r="N603" s="238">
        <f>B603*236.704333333333/100</f>
        <v>236.70433333333301</v>
      </c>
      <c r="O603" s="238">
        <f>B603*222.099/100</f>
        <v>222.09899999999999</v>
      </c>
      <c r="P603" s="238">
        <f>B603*1.948/100</f>
        <v>1.9479999999999997</v>
      </c>
      <c r="Q603" s="238">
        <f>B603*493.056666666667/100</f>
        <v>493.05666666666701</v>
      </c>
      <c r="R603" s="238">
        <f>B603*3.05566666666667/100</f>
        <v>3.0556666666666699</v>
      </c>
      <c r="S603" s="238">
        <f>B603*278.522666666667/100</f>
        <v>278.52266666666702</v>
      </c>
      <c r="T603" s="238">
        <f>B603*639.602/100</f>
        <v>639.60199999999998</v>
      </c>
      <c r="U603" s="238">
        <f>B603*0.932/100</f>
        <v>0.93200000000000005</v>
      </c>
      <c r="V603" s="238">
        <f>B603*2.57666666666667/100</f>
        <v>2.5766666666666702</v>
      </c>
      <c r="W603" s="269" t="s">
        <v>454</v>
      </c>
      <c r="X603" s="238">
        <f>B603*0.29/100</f>
        <v>0.28999999999999998</v>
      </c>
      <c r="Y603" s="238">
        <f>B603*0.163333333333333/100</f>
        <v>0.163333333333333</v>
      </c>
      <c r="Z603" s="245" t="s">
        <v>455</v>
      </c>
      <c r="AA603" s="245" t="s">
        <v>455</v>
      </c>
      <c r="AB603" s="245" t="s">
        <v>455</v>
      </c>
    </row>
    <row r="604" spans="1:28">
      <c r="A604" s="232" t="s">
        <v>3245</v>
      </c>
      <c r="B604" s="59">
        <v>100</v>
      </c>
      <c r="C604" s="238">
        <f>B604*570.167626501619/100</f>
        <v>570.167626501619</v>
      </c>
      <c r="D604" s="238">
        <f>B604*18.5093673327764/100</f>
        <v>18.509367332776399</v>
      </c>
      <c r="E604" s="248">
        <f>B604*46.2796666666667/100</f>
        <v>46.279666666666699</v>
      </c>
      <c r="F604" s="252">
        <f>B604*7.7/100</f>
        <v>7.7</v>
      </c>
      <c r="G604" s="252">
        <f>B604*26.5/100</f>
        <v>26.5</v>
      </c>
      <c r="H604" s="252">
        <f>B604*8.1/100</f>
        <v>8.1</v>
      </c>
      <c r="I604" s="263">
        <f>B604*8/100</f>
        <v>8</v>
      </c>
      <c r="J604" s="263">
        <f>B604*0.08/100</f>
        <v>0.08</v>
      </c>
      <c r="K604" s="256" t="s">
        <v>454</v>
      </c>
      <c r="L604" s="242">
        <f>B604*29.134966000557/100</f>
        <v>29.134966000557</v>
      </c>
      <c r="M604" s="238">
        <f>B604*3.663/100</f>
        <v>3.6629999999999994</v>
      </c>
      <c r="N604" s="238">
        <f>B604*32.5876666666667/100</f>
        <v>32.587666666666699</v>
      </c>
      <c r="O604" s="238">
        <f>B604*236.61/100</f>
        <v>236.61</v>
      </c>
      <c r="P604" s="238">
        <f>B604*1.59/100</f>
        <v>1.59</v>
      </c>
      <c r="Q604" s="238">
        <f>B604*594.222333333333/100</f>
        <v>594.22233333333304</v>
      </c>
      <c r="R604" s="238">
        <f>B604*5.221/100</f>
        <v>5.2210000000000001</v>
      </c>
      <c r="S604" s="242">
        <f>B604*125/100</f>
        <v>125</v>
      </c>
      <c r="T604" s="238">
        <f>B604*671.463666666667/100</f>
        <v>671.463666666667</v>
      </c>
      <c r="U604" s="238">
        <f>B604*1.91533333333333/100</f>
        <v>1.91533333333333</v>
      </c>
      <c r="V604" s="238">
        <f>B604*4.71666666666667/100</f>
        <v>4.7166666666666703</v>
      </c>
      <c r="W604" s="269" t="s">
        <v>454</v>
      </c>
      <c r="X604" s="238">
        <f>B604*0.286666666666667/100</f>
        <v>0.28666666666666701</v>
      </c>
      <c r="Y604" s="238">
        <f>B604*0.0466666666666667/100</f>
        <v>4.6666666666666697E-2</v>
      </c>
      <c r="Z604" s="238">
        <f>B604*0.393333333333333/100</f>
        <v>0.39333333333333298</v>
      </c>
      <c r="AA604" s="245" t="s">
        <v>455</v>
      </c>
      <c r="AB604" s="245" t="s">
        <v>455</v>
      </c>
    </row>
    <row r="605" spans="1:28">
      <c r="A605" s="232" t="s">
        <v>891</v>
      </c>
      <c r="B605" s="59">
        <v>100</v>
      </c>
      <c r="C605" s="238">
        <f>B605*642.963071681069/100</f>
        <v>642.96307168106898</v>
      </c>
      <c r="D605" s="238">
        <f>B605*14.53634010156/100</f>
        <v>14.536340101559999</v>
      </c>
      <c r="E605" s="248">
        <f>B605*63.459/100</f>
        <v>63.459000000000003</v>
      </c>
      <c r="F605" s="252">
        <f>B605*15.3/100</f>
        <v>15.3</v>
      </c>
      <c r="G605" s="252">
        <f>B605*27.4/100</f>
        <v>27.4</v>
      </c>
      <c r="H605" s="252">
        <f>B605*21/100</f>
        <v>21</v>
      </c>
      <c r="I605" s="263">
        <f>B605*20.97/100</f>
        <v>20.97</v>
      </c>
      <c r="J605" s="263">
        <f>B605*0.04/100</f>
        <v>0.04</v>
      </c>
      <c r="K605" s="256" t="s">
        <v>454</v>
      </c>
      <c r="L605" s="242">
        <f>B605*15.07865989844/100</f>
        <v>15.078659898440002</v>
      </c>
      <c r="M605" s="238">
        <f>B605*7.931/100</f>
        <v>7.931</v>
      </c>
      <c r="N605" s="238">
        <f>B605*146.336666666667/100</f>
        <v>146.33666666666701</v>
      </c>
      <c r="O605" s="238">
        <f>B605*365.123333333333/100</f>
        <v>365.12333333333299</v>
      </c>
      <c r="P605" s="238">
        <f>B605*1.10366666666667/100</f>
        <v>1.1036666666666699</v>
      </c>
      <c r="Q605" s="238">
        <f>B605*853.283333333333/100</f>
        <v>853.28333333333296</v>
      </c>
      <c r="R605" s="238">
        <f>B605*2.31/100</f>
        <v>2.31</v>
      </c>
      <c r="S605" s="238">
        <f>B605*0.654/100</f>
        <v>0.65400000000000003</v>
      </c>
      <c r="T605" s="238">
        <f>B605*650.994/100</f>
        <v>650.99400000000003</v>
      </c>
      <c r="U605" s="238">
        <f>B605*1.78833333333333/100</f>
        <v>1.78833333333333</v>
      </c>
      <c r="V605" s="238">
        <f>B605*4.21933333333333/100</f>
        <v>4.2193333333333296</v>
      </c>
      <c r="W605" s="269" t="s">
        <v>454</v>
      </c>
      <c r="X605" s="238">
        <f>B605*0.303333333333333/100</f>
        <v>0.30333333333333301</v>
      </c>
      <c r="Y605" s="245" t="s">
        <v>455</v>
      </c>
      <c r="Z605" s="238">
        <f>B605*0.44/100</f>
        <v>0.44</v>
      </c>
      <c r="AA605" s="245" t="s">
        <v>455</v>
      </c>
      <c r="AB605" s="245" t="s">
        <v>455</v>
      </c>
    </row>
    <row r="606" spans="1:28">
      <c r="A606" s="232" t="s">
        <v>3246</v>
      </c>
      <c r="B606" s="59">
        <v>100</v>
      </c>
      <c r="C606" s="238">
        <f>B606*406.48735310781/100</f>
        <v>406.48735310780995</v>
      </c>
      <c r="D606" s="238">
        <f>B606*3.69183412310697/100</f>
        <v>3.69183412310697</v>
      </c>
      <c r="E606" s="248">
        <f>B606*41.9763333333333/100</f>
        <v>41.976333333333308</v>
      </c>
      <c r="F606" s="252">
        <f>B606*30/100</f>
        <v>30</v>
      </c>
      <c r="G606" s="252">
        <f>B606*1.5/100</f>
        <v>1.5</v>
      </c>
      <c r="H606" s="252">
        <f>B606*0.3/100</f>
        <v>0.3</v>
      </c>
      <c r="I606" s="263">
        <f>B606*0.32/100</f>
        <v>0.32</v>
      </c>
      <c r="J606" s="263"/>
      <c r="K606" s="256" t="s">
        <v>454</v>
      </c>
      <c r="L606" s="242">
        <f>B606*10.401665876893/100</f>
        <v>10.401665876893</v>
      </c>
      <c r="M606" s="238">
        <f>B606*5.37816666666667/100</f>
        <v>5.3781666666666696</v>
      </c>
      <c r="N606" s="238">
        <f>B606*6.4845/100</f>
        <v>6.4844999999999997</v>
      </c>
      <c r="O606" s="238">
        <f>B606*51.4595/100</f>
        <v>51.459499999999998</v>
      </c>
      <c r="P606" s="238">
        <f>B606*0.999833333333333/100</f>
        <v>0.99983333333333302</v>
      </c>
      <c r="Q606" s="238">
        <f>B606*117.54/100</f>
        <v>117.54</v>
      </c>
      <c r="R606" s="238">
        <f>B606*1.75833333333333/100</f>
        <v>1.75833333333333</v>
      </c>
      <c r="S606" s="238">
        <f>B606*15.32/100</f>
        <v>15.32</v>
      </c>
      <c r="T606" s="238">
        <f>B606*354.149166666667/100</f>
        <v>354.14916666666699</v>
      </c>
      <c r="U606" s="238">
        <f>B606*0.452666666666667/100</f>
        <v>0.45266666666666699</v>
      </c>
      <c r="V606" s="238">
        <f>B606*0.943333333333333/100</f>
        <v>0.94333333333333302</v>
      </c>
      <c r="W606" s="269" t="s">
        <v>454</v>
      </c>
      <c r="X606" s="245" t="s">
        <v>455</v>
      </c>
      <c r="Y606" s="245" t="s">
        <v>455</v>
      </c>
      <c r="Z606" s="238">
        <f>B606*0.025/100</f>
        <v>2.5000000000000001E-2</v>
      </c>
      <c r="AA606" s="245" t="s">
        <v>455</v>
      </c>
      <c r="AB606" s="238">
        <f>B606*2.49333333333333/100</f>
        <v>2.4933333333333301</v>
      </c>
    </row>
    <row r="607" spans="1:28">
      <c r="A607" s="232" t="s">
        <v>3247</v>
      </c>
      <c r="B607" s="59">
        <v>100</v>
      </c>
      <c r="C607" s="239" t="s">
        <v>23</v>
      </c>
      <c r="D607" s="239" t="s">
        <v>23</v>
      </c>
      <c r="E607" s="239" t="s">
        <v>23</v>
      </c>
      <c r="F607" s="252">
        <f>B607*3.14033333333333/100</f>
        <v>3.1403333333333294</v>
      </c>
      <c r="G607" s="252">
        <f>B607*1.14766666666667/100</f>
        <v>1.1476666666666699</v>
      </c>
      <c r="H607" s="252">
        <f>B607*0.277333333333333/100</f>
        <v>0.27733333333333299</v>
      </c>
      <c r="I607" s="263">
        <f>B607*0.277333333333333/100</f>
        <v>0.27733333333333299</v>
      </c>
      <c r="J607" s="263"/>
      <c r="K607" s="239" t="s">
        <v>23</v>
      </c>
      <c r="L607" s="239" t="s">
        <v>23</v>
      </c>
      <c r="M607" s="239" t="s">
        <v>23</v>
      </c>
      <c r="N607" s="239" t="s">
        <v>23</v>
      </c>
      <c r="O607" s="239" t="s">
        <v>23</v>
      </c>
      <c r="P607" s="239" t="s">
        <v>23</v>
      </c>
      <c r="Q607" s="239" t="s">
        <v>23</v>
      </c>
      <c r="R607" s="239" t="s">
        <v>23</v>
      </c>
      <c r="S607" s="239" t="s">
        <v>23</v>
      </c>
      <c r="T607" s="239" t="s">
        <v>23</v>
      </c>
      <c r="U607" s="239" t="s">
        <v>23</v>
      </c>
      <c r="V607" s="239" t="s">
        <v>23</v>
      </c>
      <c r="W607" s="239" t="s">
        <v>454</v>
      </c>
      <c r="X607" s="239" t="s">
        <v>23</v>
      </c>
      <c r="Y607" s="239" t="s">
        <v>23</v>
      </c>
      <c r="Z607" s="239" t="s">
        <v>23</v>
      </c>
      <c r="AA607" s="239" t="s">
        <v>23</v>
      </c>
      <c r="AB607" s="239" t="s">
        <v>23</v>
      </c>
    </row>
    <row r="608" spans="1:28">
      <c r="A608" s="233" t="s">
        <v>3248</v>
      </c>
      <c r="B608" s="59">
        <v>100</v>
      </c>
      <c r="C608" s="247">
        <f>B608*328.771400244834/100</f>
        <v>328.77140024483401</v>
      </c>
      <c r="D608" s="247">
        <f>B608*1.40626671727498/100</f>
        <v>1.4062667172749801</v>
      </c>
      <c r="E608" s="244">
        <f>B608*0.198/100</f>
        <v>0.19800000000000001</v>
      </c>
      <c r="F608" s="252"/>
      <c r="G608" s="252"/>
      <c r="H608" s="252"/>
      <c r="I608" s="263"/>
      <c r="J608" s="263"/>
      <c r="K608" s="258" t="s">
        <v>454</v>
      </c>
      <c r="L608" s="247">
        <f>B608*79.1730666160583/100</f>
        <v>79.173066616058307</v>
      </c>
      <c r="M608" s="258">
        <f>B608*17.86/100</f>
        <v>17.86</v>
      </c>
      <c r="N608" s="244">
        <f>B608*60.9523333333333/100</f>
        <v>60.9523333333333</v>
      </c>
      <c r="O608" s="244">
        <f>B608*39.3456666666667/100</f>
        <v>39.345666666666702</v>
      </c>
      <c r="P608" s="244">
        <f>B608*0.382333333333333/100</f>
        <v>0.38233333333333308</v>
      </c>
      <c r="Q608" s="244">
        <f>B608*25.561/100</f>
        <v>25.561</v>
      </c>
      <c r="R608" s="244">
        <f>B608*18.3336666666667/100</f>
        <v>18.333666666666701</v>
      </c>
      <c r="S608" s="244">
        <f>B608*12.463/100</f>
        <v>12.462999999999999</v>
      </c>
      <c r="T608" s="244">
        <f>B608*362.074666666667/100</f>
        <v>362.07466666666699</v>
      </c>
      <c r="U608" s="244">
        <f>B608*0.223/100</f>
        <v>0.223</v>
      </c>
      <c r="V608" s="244">
        <f>B608*0.340666666666667/100</f>
        <v>0.34066666666666701</v>
      </c>
      <c r="W608" s="258" t="s">
        <v>454</v>
      </c>
      <c r="X608" s="244" t="s">
        <v>455</v>
      </c>
      <c r="Y608" s="244" t="s">
        <v>455</v>
      </c>
      <c r="Z608" s="244" t="s">
        <v>455</v>
      </c>
      <c r="AA608" s="244">
        <f>B608*2.57666666666667/100</f>
        <v>2.5766666666666702</v>
      </c>
      <c r="AB608" s="258" t="s">
        <v>455</v>
      </c>
    </row>
    <row r="609" spans="1:28">
      <c r="A609" s="232" t="s">
        <v>893</v>
      </c>
      <c r="B609" s="59">
        <v>100</v>
      </c>
      <c r="C609" s="238">
        <f>B609*583.546714754549/100</f>
        <v>583.54671475454904</v>
      </c>
      <c r="D609" s="238">
        <f>B609*21.1646674283346/100</f>
        <v>21.164667428334599</v>
      </c>
      <c r="E609" s="248">
        <f>B609*50.4326666666667/100</f>
        <v>50.432666666666698</v>
      </c>
      <c r="F609" s="252">
        <f>B609*7.8/100</f>
        <v>7.8</v>
      </c>
      <c r="G609" s="252">
        <f>B609*19.9/100</f>
        <v>19.899999999999999</v>
      </c>
      <c r="H609" s="252">
        <f>B609*22.5/100</f>
        <v>22.5</v>
      </c>
      <c r="I609" s="263">
        <f>B609*22.39/100</f>
        <v>22.39</v>
      </c>
      <c r="J609" s="263">
        <f>B609*0.16/100</f>
        <v>0.16</v>
      </c>
      <c r="K609" s="242" t="s">
        <v>454</v>
      </c>
      <c r="L609" s="242">
        <f>B609*21.6176659049988/100</f>
        <v>21.617665904998798</v>
      </c>
      <c r="M609" s="238">
        <f>B609*11.8683333333333/100</f>
        <v>11.8683333333333</v>
      </c>
      <c r="N609" s="242">
        <f>B609*825.45/100</f>
        <v>825.45</v>
      </c>
      <c r="O609" s="242">
        <f>B609*360.69/100</f>
        <v>360.69</v>
      </c>
      <c r="P609" s="242">
        <f>B609*2.67/100</f>
        <v>2.67</v>
      </c>
      <c r="Q609" s="258">
        <f>B609*740.71/100</f>
        <v>740.71</v>
      </c>
      <c r="R609" s="242">
        <f>B609*5.45/100</f>
        <v>5.45</v>
      </c>
      <c r="S609" s="242">
        <f>B609*2.58/100</f>
        <v>2.58</v>
      </c>
      <c r="T609" s="242">
        <f>B609*546.29/100</f>
        <v>546.29</v>
      </c>
      <c r="U609" s="242">
        <f>B609*1.51/100</f>
        <v>1.51</v>
      </c>
      <c r="V609" s="242">
        <f>B609*5.24/100</f>
        <v>5.24</v>
      </c>
      <c r="W609" s="242" t="s">
        <v>454</v>
      </c>
      <c r="X609" s="243">
        <f>B609*0.936666666666667/100</f>
        <v>0.93666666666666698</v>
      </c>
      <c r="Y609" s="243" t="s">
        <v>455</v>
      </c>
      <c r="Z609" s="243">
        <f>B609*0.13/100</f>
        <v>0.13</v>
      </c>
      <c r="AA609" s="243">
        <f>B609*5.92333333333333/100</f>
        <v>5.9233333333333302</v>
      </c>
      <c r="AB609" s="243" t="s">
        <v>455</v>
      </c>
    </row>
    <row r="610" spans="1:28">
      <c r="A610" s="232" t="s">
        <v>894</v>
      </c>
      <c r="B610" s="59">
        <v>100</v>
      </c>
      <c r="C610" s="238">
        <f>B610*495.096113843651/100</f>
        <v>495.09611384365098</v>
      </c>
      <c r="D610" s="238">
        <f>B610*14.0838671735128/100</f>
        <v>14.083867173512798</v>
      </c>
      <c r="E610" s="248">
        <f>B610*32.2529333333333/100</f>
        <v>32.252933333333303</v>
      </c>
      <c r="F610" s="252">
        <f>B610*4.2/100</f>
        <v>4.2</v>
      </c>
      <c r="G610" s="252">
        <f>B610*7.1/100</f>
        <v>7.1</v>
      </c>
      <c r="H610" s="252">
        <f>B610*25.3/100</f>
        <v>25.3</v>
      </c>
      <c r="I610" s="263">
        <f>B610*5.42/100</f>
        <v>5.42</v>
      </c>
      <c r="J610" s="263">
        <f>B610*19.81/100</f>
        <v>19.809999999999999</v>
      </c>
      <c r="K610" s="242" t="s">
        <v>454</v>
      </c>
      <c r="L610" s="242">
        <f>B610*43.3121994931539/100</f>
        <v>43.312199493153891</v>
      </c>
      <c r="M610" s="238">
        <f>B610*33.5026666666667/100</f>
        <v>33.502666666666698</v>
      </c>
      <c r="N610" s="238">
        <f>B610*211.497666666667/100</f>
        <v>211.49766666666699</v>
      </c>
      <c r="O610" s="243">
        <f>B610*346.922333333333/100</f>
        <v>346.92233333333292</v>
      </c>
      <c r="P610" s="238">
        <f>B610*2.81433333333333/100</f>
        <v>2.8143333333333298</v>
      </c>
      <c r="Q610" s="238">
        <f>B610*615.182/100</f>
        <v>615.18200000000002</v>
      </c>
      <c r="R610" s="238">
        <f>B610*4.697/100</f>
        <v>4.6970000000000001</v>
      </c>
      <c r="S610" s="243">
        <f>B610*8.67333333333333/100</f>
        <v>8.6733333333333302</v>
      </c>
      <c r="T610" s="238">
        <f>B610*869.287/100</f>
        <v>869.28699999999992</v>
      </c>
      <c r="U610" s="238">
        <f>B610*1.08733333333333/100</f>
        <v>1.0873333333333299</v>
      </c>
      <c r="V610" s="238">
        <f>B610*4.38833333333333/100</f>
        <v>4.3883333333333301</v>
      </c>
      <c r="W610" s="242" t="s">
        <v>454</v>
      </c>
      <c r="X610" s="238">
        <f>B610*0.116666666666667/100</f>
        <v>0.116666666666667</v>
      </c>
      <c r="Y610" s="243" t="s">
        <v>455</v>
      </c>
      <c r="Z610" s="243">
        <f>B610*0.133333333333333/100</f>
        <v>0.133333333333333</v>
      </c>
      <c r="AA610" s="243" t="s">
        <v>455</v>
      </c>
      <c r="AB610" s="243" t="s">
        <v>455</v>
      </c>
    </row>
    <row r="611" spans="1:28">
      <c r="A611" s="232" t="s">
        <v>895</v>
      </c>
      <c r="B611" s="59">
        <v>100</v>
      </c>
      <c r="C611" s="238">
        <f>B611*174.369902/100</f>
        <v>174.369902</v>
      </c>
      <c r="D611" s="238">
        <f>B611*2.98036666666667/100</f>
        <v>2.9803666666666699</v>
      </c>
      <c r="E611" s="248">
        <f>B611*0.747/100</f>
        <v>0.747</v>
      </c>
      <c r="F611" s="252">
        <f>B611*0.3/100</f>
        <v>0.3</v>
      </c>
      <c r="G611" s="252">
        <f>B611*0.1/100</f>
        <v>0.1</v>
      </c>
      <c r="H611" s="252">
        <f>B611*0.2/100</f>
        <v>0.2</v>
      </c>
      <c r="I611" s="263">
        <f>B611*0.22/100</f>
        <v>0.22</v>
      </c>
      <c r="J611" s="263"/>
      <c r="K611" s="256" t="s">
        <v>454</v>
      </c>
      <c r="L611" s="242">
        <f>B611*43.9176333333333/100</f>
        <v>43.917633333333299</v>
      </c>
      <c r="M611" s="238">
        <f>B611*15.6033333333333/100</f>
        <v>15.603333333333302</v>
      </c>
      <c r="N611" s="238">
        <f>B611*15.7673333333333/100</f>
        <v>15.767333333333299</v>
      </c>
      <c r="O611" s="238">
        <f>B611*52.9743333333333/100</f>
        <v>52.974333333333298</v>
      </c>
      <c r="P611" s="238">
        <f>B611*0.409333333333333/100</f>
        <v>0.40933333333333299</v>
      </c>
      <c r="Q611" s="238">
        <f>B611*165.841/100</f>
        <v>165.84100000000001</v>
      </c>
      <c r="R611" s="238">
        <f>B611*0.755333333333333/100</f>
        <v>0.75533333333333308</v>
      </c>
      <c r="S611" s="238">
        <f>B611*0.862666666666667/100</f>
        <v>0.86266666666666714</v>
      </c>
      <c r="T611" s="238">
        <f>B611*727.006333333333/100</f>
        <v>727.00633333333303</v>
      </c>
      <c r="U611" s="238">
        <f>B611*0.183333333333333/100</f>
        <v>0.18333333333333302</v>
      </c>
      <c r="V611" s="238">
        <f>B611*0.827/100</f>
        <v>0.82699999999999985</v>
      </c>
      <c r="W611" s="269" t="s">
        <v>454</v>
      </c>
      <c r="X611" s="242" t="s">
        <v>455</v>
      </c>
      <c r="Y611" s="242" t="s">
        <v>455</v>
      </c>
      <c r="Z611" s="242" t="s">
        <v>455</v>
      </c>
      <c r="AA611" s="242" t="s">
        <v>455</v>
      </c>
      <c r="AB611" s="238">
        <f>B611*27.69/100</f>
        <v>27.69</v>
      </c>
    </row>
    <row r="612" spans="1:28">
      <c r="A612" s="233" t="s">
        <v>3249</v>
      </c>
      <c r="B612" s="59">
        <v>100</v>
      </c>
      <c r="C612" s="247">
        <f>B612*218.533880876601/100</f>
        <v>218.53388087660099</v>
      </c>
      <c r="D612" s="247">
        <f>B612*2.52291666666667/100</f>
        <v>2.5229166666666698</v>
      </c>
      <c r="E612" s="244">
        <f>B612*12.7616666666667/100</f>
        <v>12.761666666666702</v>
      </c>
      <c r="F612" s="258">
        <f>B612*3.066/100</f>
        <v>3.0659999999999998</v>
      </c>
      <c r="G612" s="258">
        <f>B612*6.78233333333333/100</f>
        <v>6.7823333333333302</v>
      </c>
      <c r="H612" s="258">
        <f>B612*0.360666666666667/100</f>
        <v>0.36066666666666708</v>
      </c>
      <c r="I612" s="263">
        <f>B612*0.279/100</f>
        <v>0.27900000000000003</v>
      </c>
      <c r="J612" s="263">
        <f>B612*0.0816666666666667/100</f>
        <v>8.1666666666666721E-2</v>
      </c>
      <c r="K612" s="258" t="s">
        <v>454</v>
      </c>
      <c r="L612" s="247">
        <f>B612*29.5694166666667/100</f>
        <v>29.569416666666701</v>
      </c>
      <c r="M612" s="244">
        <f>B612*4.25333333333333/100</f>
        <v>4.2533333333333303</v>
      </c>
      <c r="N612" s="244">
        <f>B612*27.5863333333333/100</f>
        <v>27.5863333333333</v>
      </c>
      <c r="O612" s="244">
        <f>B612*25.2893333333333/100</f>
        <v>25.289333333333296</v>
      </c>
      <c r="P612" s="244">
        <f>B612*0.126666666666667/100</f>
        <v>0.12666666666666701</v>
      </c>
      <c r="Q612" s="244">
        <f>B612*48.774/100</f>
        <v>48.773999999999994</v>
      </c>
      <c r="R612" s="244">
        <f>B612*0.518666666666667/100</f>
        <v>0.51866666666666705</v>
      </c>
      <c r="S612" s="244">
        <f>B612*0.908666666666667/100</f>
        <v>0.90866666666666707</v>
      </c>
      <c r="T612" s="244">
        <f>B612*303.355333333333/100</f>
        <v>303.35533333333302</v>
      </c>
      <c r="U612" s="244">
        <f>B612*0.282333333333333/100</f>
        <v>0.28233333333333299</v>
      </c>
      <c r="V612" s="244">
        <f>B612*0.291666666666667/100</f>
        <v>0.29166666666666702</v>
      </c>
      <c r="W612" s="258" t="s">
        <v>454</v>
      </c>
      <c r="X612" s="244" t="s">
        <v>455</v>
      </c>
      <c r="Y612" s="244">
        <f>B612*0.0866666666666667/100</f>
        <v>8.6666666666666697E-2</v>
      </c>
      <c r="Z612" s="244">
        <f>B612*0.03/100</f>
        <v>0.03</v>
      </c>
      <c r="AA612" s="244" t="s">
        <v>455</v>
      </c>
      <c r="AB612" s="244">
        <f>B612*2.18/100</f>
        <v>2.1800000000000002</v>
      </c>
    </row>
    <row r="613" spans="1:28">
      <c r="A613" s="232" t="s">
        <v>896</v>
      </c>
      <c r="B613" s="59">
        <v>100</v>
      </c>
      <c r="C613" s="238">
        <f>B613*620.060019790567/100</f>
        <v>620.06001979056703</v>
      </c>
      <c r="D613" s="238">
        <f>B613*13.9708005027771/100</f>
        <v>13.970800502777102</v>
      </c>
      <c r="E613" s="248">
        <f>B613*59.3596666666667/100</f>
        <v>59.359666666666698</v>
      </c>
      <c r="F613" s="252">
        <f>B613*5.6/100</f>
        <v>5.6</v>
      </c>
      <c r="G613" s="252">
        <f>B613*8.7/100</f>
        <v>8.6999999999999993</v>
      </c>
      <c r="H613" s="252">
        <f>B613*44.1/100</f>
        <v>44.1</v>
      </c>
      <c r="I613" s="263">
        <f>B613*35.3/100</f>
        <v>35.299999999999997</v>
      </c>
      <c r="J613" s="263">
        <f>B613*8.82/100</f>
        <v>8.82</v>
      </c>
      <c r="K613" s="256" t="s">
        <v>454</v>
      </c>
      <c r="L613" s="242">
        <f>B613*18.3638661638896/100</f>
        <v>18.3638661638896</v>
      </c>
      <c r="M613" s="238">
        <f>B613*7.24966666666667/100</f>
        <v>7.2496666666666689</v>
      </c>
      <c r="N613" s="238">
        <f>B613*105.306333333333/100</f>
        <v>105.306333333333</v>
      </c>
      <c r="O613" s="238">
        <f>B613*152.890666666667/100</f>
        <v>152.89066666666699</v>
      </c>
      <c r="P613" s="238">
        <f>B613*4.05266666666667/100</f>
        <v>4.0526666666666697</v>
      </c>
      <c r="Q613" s="238">
        <f>B613*396.276666666667/100</f>
        <v>396.27666666666698</v>
      </c>
      <c r="R613" s="238">
        <f>B613*2.035/100</f>
        <v>2.0350000000000001</v>
      </c>
      <c r="S613" s="238">
        <f>B613*4.57066666666667/100</f>
        <v>4.5706666666666704</v>
      </c>
      <c r="T613" s="238">
        <f>B613*533.255/100</f>
        <v>533.255</v>
      </c>
      <c r="U613" s="238">
        <f>B613*0.754333333333333/100</f>
        <v>0.75433333333333297</v>
      </c>
      <c r="V613" s="238">
        <f>B613*2.06433333333333/100</f>
        <v>2.0643333333333298</v>
      </c>
      <c r="W613" s="269" t="s">
        <v>454</v>
      </c>
      <c r="X613" s="238">
        <f>B613*0.376666666666667/100</f>
        <v>0.37666666666666698</v>
      </c>
      <c r="Y613" s="243" t="s">
        <v>455</v>
      </c>
      <c r="Z613" s="238">
        <f>B613*0.13/100</f>
        <v>0.13</v>
      </c>
      <c r="AA613" s="238">
        <f>B613*1.08333333333333/100</f>
        <v>1.0833333333333299</v>
      </c>
      <c r="AB613" s="243" t="s">
        <v>455</v>
      </c>
    </row>
    <row r="614" spans="1:28"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</row>
    <row r="615" spans="1:28" s="220" customFormat="1">
      <c r="A615" s="219" t="s">
        <v>3250</v>
      </c>
      <c r="B615" s="223"/>
    </row>
    <row r="616" spans="1:28">
      <c r="A616" s="226" t="s">
        <v>3256</v>
      </c>
      <c r="B616" s="225"/>
    </row>
    <row r="617" spans="1:28">
      <c r="A617" s="226" t="s">
        <v>3251</v>
      </c>
    </row>
    <row r="618" spans="1:28">
      <c r="A618" s="226" t="s">
        <v>3252</v>
      </c>
    </row>
    <row r="619" spans="1:28">
      <c r="A619" s="227" t="s">
        <v>3257</v>
      </c>
    </row>
    <row r="620" spans="1:28">
      <c r="A620" s="227" t="s">
        <v>3253</v>
      </c>
    </row>
    <row r="621" spans="1:28">
      <c r="A621" s="261"/>
      <c r="B621" s="262"/>
    </row>
    <row r="622" spans="1:28">
      <c r="A622" s="261"/>
      <c r="B622" s="262"/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A6F0-F2F7-44D1-B111-951923641743}">
  <dimension ref="A1:AN1973"/>
  <sheetViews>
    <sheetView topLeftCell="U1" zoomScaleNormal="100" workbookViewId="0">
      <selection activeCell="A17" sqref="A17:AM17"/>
    </sheetView>
  </sheetViews>
  <sheetFormatPr defaultRowHeight="12.75"/>
  <cols>
    <col min="1" max="1" width="55.828125" style="164" customWidth="1"/>
    <col min="2" max="2" width="12.9453125" customWidth="1"/>
    <col min="3" max="3" width="12.13671875" customWidth="1"/>
    <col min="4" max="4" width="11.4609375" customWidth="1"/>
    <col min="5" max="5" width="11.19140625" customWidth="1"/>
    <col min="6" max="6" width="12" customWidth="1"/>
    <col min="7" max="7" width="12.80859375" customWidth="1"/>
    <col min="8" max="8" width="12" customWidth="1"/>
    <col min="9" max="10" width="9.3046875" bestFit="1" customWidth="1"/>
    <col min="11" max="11" width="15.640625" customWidth="1"/>
    <col min="12" max="13" width="9.57421875" bestFit="1" customWidth="1"/>
    <col min="14" max="14" width="11.32421875" customWidth="1"/>
    <col min="15" max="17" width="9.57421875" bestFit="1" customWidth="1"/>
    <col min="18" max="18" width="10.515625" customWidth="1"/>
    <col min="19" max="19" width="10.11328125" customWidth="1"/>
    <col min="20" max="20" width="13.078125" customWidth="1"/>
    <col min="21" max="21" width="11.0546875" customWidth="1"/>
    <col min="22" max="22" width="9.84375" customWidth="1"/>
    <col min="23" max="23" width="12.5390625" customWidth="1"/>
    <col min="24" max="24" width="11.59375" customWidth="1"/>
    <col min="25" max="25" width="15.37109375" customWidth="1"/>
    <col min="26" max="26" width="13.88671875" customWidth="1"/>
    <col min="27" max="27" width="11.8671875" customWidth="1"/>
    <col min="28" max="28" width="14.5625" customWidth="1"/>
    <col min="29" max="39" width="9.57421875" bestFit="1" customWidth="1"/>
  </cols>
  <sheetData>
    <row r="1" spans="1:40" ht="27.75" customHeight="1">
      <c r="A1" s="139" t="s">
        <v>1028</v>
      </c>
      <c r="B1" s="139" t="s">
        <v>1029</v>
      </c>
      <c r="C1" s="139" t="s">
        <v>1030</v>
      </c>
      <c r="D1" s="139" t="s">
        <v>1031</v>
      </c>
      <c r="E1" s="139" t="s">
        <v>1032</v>
      </c>
      <c r="F1" s="139" t="s">
        <v>1033</v>
      </c>
      <c r="G1" s="139" t="s">
        <v>1034</v>
      </c>
      <c r="H1" s="139" t="s">
        <v>1035</v>
      </c>
      <c r="I1" s="139" t="s">
        <v>52</v>
      </c>
      <c r="J1" s="139" t="s">
        <v>53</v>
      </c>
      <c r="K1" s="139" t="s">
        <v>1036</v>
      </c>
      <c r="L1" s="139" t="s">
        <v>6</v>
      </c>
      <c r="M1" s="139" t="s">
        <v>1037</v>
      </c>
      <c r="N1" s="139" t="s">
        <v>1038</v>
      </c>
      <c r="O1" s="139" t="s">
        <v>9</v>
      </c>
      <c r="P1" s="139" t="s">
        <v>10</v>
      </c>
      <c r="Q1" s="139" t="s">
        <v>11</v>
      </c>
      <c r="R1" s="139" t="s">
        <v>1039</v>
      </c>
      <c r="S1" s="139" t="s">
        <v>1040</v>
      </c>
      <c r="T1" s="139" t="s">
        <v>1041</v>
      </c>
      <c r="U1" s="139" t="s">
        <v>1042</v>
      </c>
      <c r="V1" s="139" t="s">
        <v>1043</v>
      </c>
      <c r="W1" s="139" t="s">
        <v>1044</v>
      </c>
      <c r="X1" s="139" t="s">
        <v>1045</v>
      </c>
      <c r="Y1" s="139" t="s">
        <v>1046</v>
      </c>
      <c r="Z1" s="140" t="s">
        <v>1047</v>
      </c>
      <c r="AA1" s="139" t="s">
        <v>1048</v>
      </c>
      <c r="AB1" s="139" t="s">
        <v>1049</v>
      </c>
      <c r="AC1" s="139" t="s">
        <v>1050</v>
      </c>
      <c r="AD1" s="139" t="s">
        <v>1051</v>
      </c>
      <c r="AE1" s="139" t="s">
        <v>1052</v>
      </c>
      <c r="AF1" s="139" t="s">
        <v>1053</v>
      </c>
      <c r="AG1" s="139" t="s">
        <v>1054</v>
      </c>
      <c r="AH1" s="139" t="s">
        <v>1055</v>
      </c>
      <c r="AI1" s="139" t="s">
        <v>1056</v>
      </c>
      <c r="AJ1" s="139" t="s">
        <v>1057</v>
      </c>
      <c r="AK1" s="139" t="s">
        <v>1058</v>
      </c>
      <c r="AL1" s="139" t="s">
        <v>1059</v>
      </c>
      <c r="AM1" s="139" t="s">
        <v>1060</v>
      </c>
      <c r="AN1" s="161"/>
    </row>
    <row r="2" spans="1:40">
      <c r="A2" s="143" t="s">
        <v>1061</v>
      </c>
      <c r="B2" s="141">
        <v>100</v>
      </c>
      <c r="C2" s="142">
        <f>B2*IBGE_2!C$2/100</f>
        <v>135.622945707133</v>
      </c>
      <c r="D2" s="142">
        <f>B2*IBGE_2!D$2/100</f>
        <v>2.4961126633333302</v>
      </c>
      <c r="E2" s="142">
        <f>B2*IBGE_2!E$2/100</f>
        <v>1.2000420000000001</v>
      </c>
      <c r="F2" s="142">
        <f>B2*IBGE_2!F$2/100</f>
        <v>0.35066520000000007</v>
      </c>
      <c r="G2" s="142">
        <f>B2*IBGE_2!G$2/100</f>
        <v>0.22219539999999999</v>
      </c>
      <c r="H2" s="142">
        <f>B2*IBGE_2!H$2/100</f>
        <v>0.5631178</v>
      </c>
      <c r="I2" s="142">
        <f>B2*IBGE_2!I$2/100</f>
        <v>0.55633080000000001</v>
      </c>
      <c r="J2" s="142">
        <f>B2*IBGE_2!J$2/100</f>
        <v>6.6208799999999998E-2</v>
      </c>
      <c r="K2" s="142" t="s">
        <v>3047</v>
      </c>
      <c r="L2" s="142">
        <f>B2*IBGE_2!L$2/100</f>
        <v>27.784863469999994</v>
      </c>
      <c r="M2" s="142">
        <f>B2*IBGE_2!M$2/100</f>
        <v>1.5457021999999998</v>
      </c>
      <c r="N2" s="142">
        <f>B2*IBGE_2!N$2/100</f>
        <v>3.5095988666666669</v>
      </c>
      <c r="O2" s="142">
        <f>B2*IBGE_2!O$2/100</f>
        <v>2.2312506666666665</v>
      </c>
      <c r="P2" s="142">
        <f>B2*IBGE_2!P$2/100</f>
        <v>0.29375933333333332</v>
      </c>
      <c r="Q2" s="142">
        <f>B2*IBGE_2!Q$2/100</f>
        <v>17.769138999999999</v>
      </c>
      <c r="R2" s="142">
        <f>B2*IBGE_2!R$2/100</f>
        <v>7.6405333333333325E-2</v>
      </c>
      <c r="S2" s="142">
        <f>B2*IBGE_2!S$2/100</f>
        <v>1.1889001333333331</v>
      </c>
      <c r="T2" s="142">
        <f>B2*IBGE_2!T$2/100</f>
        <v>14.529864733333334</v>
      </c>
      <c r="U2" s="142">
        <f>B2*IBGE_2!U$2/100</f>
        <v>1.4852999999999998E-2</v>
      </c>
      <c r="V2" s="142">
        <f>B2*IBGE_2!V$2/100</f>
        <v>0.48661626666666663</v>
      </c>
      <c r="W2" s="142" t="s">
        <v>3047</v>
      </c>
      <c r="X2" s="142" t="s">
        <v>3047</v>
      </c>
      <c r="Y2" s="142" t="s">
        <v>3047</v>
      </c>
      <c r="Z2" s="142" t="s">
        <v>3047</v>
      </c>
      <c r="AA2" s="142" t="s">
        <v>3047</v>
      </c>
      <c r="AB2" s="142" t="s">
        <v>3047</v>
      </c>
      <c r="AC2" s="142" t="s">
        <v>3047</v>
      </c>
      <c r="AD2" s="142" t="s">
        <v>3047</v>
      </c>
      <c r="AE2" s="142" t="s">
        <v>3047</v>
      </c>
      <c r="AF2" s="142" t="s">
        <v>3047</v>
      </c>
      <c r="AG2" s="142">
        <f>B2*IBGE_2!AG$2/100</f>
        <v>7.97818E-2</v>
      </c>
      <c r="AH2" s="142">
        <f>B2*IBGE_2!AH$2/100</f>
        <v>5.1939999999999998E-3</v>
      </c>
      <c r="AI2" s="142">
        <f>B2*IBGE_2!AI$2/100</f>
        <v>382</v>
      </c>
      <c r="AJ2" s="142">
        <f>B2*IBGE_2!AJ$2/100</f>
        <v>0.44696819999999993</v>
      </c>
      <c r="AK2" s="142" t="s">
        <v>3047</v>
      </c>
      <c r="AL2" s="142" t="s">
        <v>3047</v>
      </c>
      <c r="AM2" s="142" t="s">
        <v>3047</v>
      </c>
      <c r="AN2" s="161"/>
    </row>
    <row r="3" spans="1:40">
      <c r="A3" s="143" t="s">
        <v>1062</v>
      </c>
      <c r="B3" s="141">
        <v>100</v>
      </c>
      <c r="C3" s="142">
        <f>B3*IBGE_2!C$3/100</f>
        <v>130.94564375350001</v>
      </c>
      <c r="D3" s="142">
        <f>B3*IBGE_2!D$3/100</f>
        <v>2.5628851500000001</v>
      </c>
      <c r="E3" s="142">
        <f>B3*IBGE_2!E$3/100</f>
        <v>1.9657966666666666</v>
      </c>
      <c r="F3" s="142">
        <f>B3*IBGE_2!F$3/100</f>
        <v>0.44968520000000001</v>
      </c>
      <c r="G3" s="142">
        <f>B3*IBGE_2!G$3/100</f>
        <v>0.61827539999999992</v>
      </c>
      <c r="H3" s="142">
        <f>B3*IBGE_2!H$3/100</f>
        <v>0.86017779999999999</v>
      </c>
      <c r="I3" s="142">
        <f>B3*IBGE_2!I$3/100</f>
        <v>0.80388080000000006</v>
      </c>
      <c r="J3" s="142">
        <f>B3*IBGE_2!J$3/100</f>
        <v>7.6110799999999992E-2</v>
      </c>
      <c r="K3" s="142" t="s">
        <v>3047</v>
      </c>
      <c r="L3" s="142">
        <f>B3*IBGE_2!L$3/100</f>
        <v>25.556814450000001</v>
      </c>
      <c r="M3" s="142">
        <f>B3*IBGE_2!M$3/100</f>
        <v>2.7223898666666675</v>
      </c>
      <c r="N3" s="142">
        <f>B3*IBGE_2!N$3/100</f>
        <v>5.1530007999999983</v>
      </c>
      <c r="O3" s="142">
        <f>B3*IBGE_2!O$3/100</f>
        <v>58.126720399999996</v>
      </c>
      <c r="P3" s="142">
        <f>B3*IBGE_2!P$3/100</f>
        <v>0.62118546666666663</v>
      </c>
      <c r="Q3" s="142">
        <f>B3*IBGE_2!Q$3/100</f>
        <v>104.81564060000001</v>
      </c>
      <c r="R3" s="142">
        <f>B3*IBGE_2!R$3/100</f>
        <v>0.2599224</v>
      </c>
      <c r="S3" s="142">
        <f>B3*IBGE_2!S$3/100</f>
        <v>1.2324689333333332</v>
      </c>
      <c r="T3" s="142">
        <f>B3*IBGE_2!T$3/100</f>
        <v>74.415180333333325</v>
      </c>
      <c r="U3" s="142">
        <f>B3*IBGE_2!U$3/100</f>
        <v>2.0134066666666665E-2</v>
      </c>
      <c r="V3" s="142">
        <f>B3*IBGE_2!V$3/100</f>
        <v>0.67607453333333334</v>
      </c>
      <c r="W3" s="142" t="s">
        <v>3047</v>
      </c>
      <c r="X3" s="142">
        <f>B3*IBGE_2!X$3/100</f>
        <v>7.9215999999999995E-2</v>
      </c>
      <c r="Y3" s="142" t="s">
        <v>3047</v>
      </c>
      <c r="Z3" s="142">
        <f>B3*IBGE_2!Z$3/100</f>
        <v>7.9215999999999995E-2</v>
      </c>
      <c r="AA3" s="142" t="s">
        <v>3047</v>
      </c>
      <c r="AB3" s="142" t="s">
        <v>3047</v>
      </c>
      <c r="AC3" s="142" t="s">
        <v>3047</v>
      </c>
      <c r="AD3" s="142" t="s">
        <v>3047</v>
      </c>
      <c r="AE3" s="142" t="s">
        <v>3047</v>
      </c>
      <c r="AF3" s="142" t="s">
        <v>3047</v>
      </c>
      <c r="AG3" s="142">
        <f>B3*IBGE_2!AG$3/100</f>
        <v>7.97818E-2</v>
      </c>
      <c r="AH3" s="142">
        <f>B3*IBGE_2!AH$3/100</f>
        <v>5.1939999999999998E-3</v>
      </c>
      <c r="AI3" s="142">
        <f>B3*IBGE_2!AI$3/100</f>
        <v>282</v>
      </c>
      <c r="AJ3" s="142">
        <f>B3*IBGE_2!AJ$3/100</f>
        <v>0.44696819999999993</v>
      </c>
      <c r="AK3" s="142" t="s">
        <v>3047</v>
      </c>
      <c r="AL3" s="142" t="s">
        <v>3047</v>
      </c>
      <c r="AM3" s="142" t="s">
        <v>3047</v>
      </c>
      <c r="AN3" s="161"/>
    </row>
    <row r="4" spans="1:40">
      <c r="A4" s="143" t="s">
        <v>1063</v>
      </c>
      <c r="B4" s="141">
        <v>100</v>
      </c>
      <c r="C4" s="142">
        <f>B4*IBGE_2!C$4/100</f>
        <v>160.14099999999999</v>
      </c>
      <c r="D4" s="142">
        <f>B4*IBGE_2!D$4/100</f>
        <v>3.32</v>
      </c>
      <c r="E4" s="142">
        <f>B4*IBGE_2!E$4/100</f>
        <v>7.1779999999999999</v>
      </c>
      <c r="F4" s="142">
        <f>B4*IBGE_2!F$4/100</f>
        <v>1.1200000000000001</v>
      </c>
      <c r="G4" s="142">
        <f>B4*IBGE_2!G$4/100</f>
        <v>1.7180000000000002</v>
      </c>
      <c r="H4" s="142">
        <f>B4*IBGE_2!H$4/100</f>
        <v>4.0090000000000003</v>
      </c>
      <c r="I4" s="142">
        <f>B4*IBGE_2!I$4/100</f>
        <v>3.5910000000000002</v>
      </c>
      <c r="J4" s="142">
        <f>B4*IBGE_2!J$4/100</f>
        <v>0.41799999999999998</v>
      </c>
      <c r="K4" s="142" t="s">
        <v>3047</v>
      </c>
      <c r="L4" s="142">
        <f>B4*IBGE_2!L$4/100</f>
        <v>25.11</v>
      </c>
      <c r="M4" s="142">
        <f>B4*IBGE_2!M$4/100</f>
        <v>4.25</v>
      </c>
      <c r="N4" s="142">
        <f>B4*IBGE_2!N$4/100</f>
        <v>3.1519999999999997</v>
      </c>
      <c r="O4" s="142">
        <f>B4*IBGE_2!O$4/100</f>
        <v>26.006</v>
      </c>
      <c r="P4" s="142">
        <f>B4*IBGE_2!P$4/100</f>
        <v>0.159</v>
      </c>
      <c r="Q4" s="142">
        <f>B4*IBGE_2!Q$4/100</f>
        <v>75</v>
      </c>
      <c r="R4" s="142">
        <f>B4*IBGE_2!R$4/100</f>
        <v>0.44500000000000001</v>
      </c>
      <c r="S4" s="142">
        <f>B4*IBGE_2!S$4/100</f>
        <v>244.96400000000003</v>
      </c>
      <c r="T4" s="142">
        <f>B4*IBGE_2!T$4/100</f>
        <v>212.05099999999999</v>
      </c>
      <c r="U4" s="142">
        <f>B4*IBGE_2!U$4/100</f>
        <v>4.7E-2</v>
      </c>
      <c r="V4" s="142">
        <f>B4*IBGE_2!V$4/100</f>
        <v>0.61099999999999999</v>
      </c>
      <c r="W4" s="142" t="s">
        <v>3047</v>
      </c>
      <c r="X4" s="142">
        <f>B4*IBGE_2!X$4/100</f>
        <v>0.215</v>
      </c>
      <c r="Y4" s="142">
        <f>B4*IBGE_2!Y4/100</f>
        <v>7.1999999999999995E-2</v>
      </c>
      <c r="Z4" s="142">
        <f>B4*IBGE_2!Z$4/100</f>
        <v>0.06</v>
      </c>
      <c r="AA4" s="142">
        <f>B4*IBGE_2!AA$4/100</f>
        <v>1.6140000000000001</v>
      </c>
      <c r="AB4" s="142">
        <f>B4*IBGE_2!AB$4/100</f>
        <v>6.2</v>
      </c>
      <c r="AC4" s="142">
        <f>B4*IBGE_2!AC$4/100</f>
        <v>1.9970000000000001</v>
      </c>
      <c r="AD4" s="142" t="s">
        <v>3047</v>
      </c>
      <c r="AE4" s="142">
        <f>B4*IBGE_2!AE$4/100</f>
        <v>46</v>
      </c>
      <c r="AF4" s="142" t="s">
        <v>3047</v>
      </c>
      <c r="AG4" s="142">
        <f>B4*IBGE_2!AG$4/100</f>
        <v>0.57199999999999995</v>
      </c>
      <c r="AH4" s="142">
        <f>B4*IBGE_2!AH$4/100</f>
        <v>3.1E-2</v>
      </c>
      <c r="AI4" s="142">
        <f>B4*IBGE_2!AI$4/100</f>
        <v>245</v>
      </c>
      <c r="AJ4" s="142">
        <f>B4*IBGE_2!AJ$4/100</f>
        <v>2.9039999999999999</v>
      </c>
      <c r="AK4" s="142">
        <f>B4*IBGE_2!AK$4/100</f>
        <v>13.167</v>
      </c>
      <c r="AL4" s="142">
        <f>B4*IBGE_2!AL$4/100</f>
        <v>3.16</v>
      </c>
      <c r="AM4" s="142" t="s">
        <v>3047</v>
      </c>
      <c r="AN4" s="161"/>
    </row>
    <row r="5" spans="1:40">
      <c r="A5" s="143" t="s">
        <v>1064</v>
      </c>
      <c r="B5" s="141">
        <v>100</v>
      </c>
      <c r="C5" s="142">
        <f>B5*IBGE_2!C$5/100</f>
        <v>160.14099999999999</v>
      </c>
      <c r="D5" s="142">
        <f>B5*IBGE_2!D$5/100</f>
        <v>3.32</v>
      </c>
      <c r="E5" s="142">
        <f>B5*IBGE_2!E$5/100</f>
        <v>7.1779999999999999</v>
      </c>
      <c r="F5" s="142">
        <f>B5*IBGE_2!F$5/100</f>
        <v>1.1200000000000001</v>
      </c>
      <c r="G5" s="142">
        <f>B5*IBGE_2!G$5/100</f>
        <v>1.7180000000000002</v>
      </c>
      <c r="H5" s="142">
        <f>B5*IBGE_2!H$5/100</f>
        <v>4.0090000000000003</v>
      </c>
      <c r="I5" s="142">
        <f>B5*IBGE_2!I$5/100</f>
        <v>3.5910000000000002</v>
      </c>
      <c r="J5" s="142">
        <f>B5*IBGE_2!J$5/100</f>
        <v>0.41799999999999998</v>
      </c>
      <c r="K5" s="142" t="s">
        <v>3047</v>
      </c>
      <c r="L5" s="142">
        <f>B5*IBGE_2!L$5/100</f>
        <v>25.11</v>
      </c>
      <c r="M5" s="142">
        <f>B5*IBGE_2!M$5/100</f>
        <v>4.25</v>
      </c>
      <c r="N5" s="142">
        <f>B5*IBGE_2!N$5/100</f>
        <v>3.1519999999999997</v>
      </c>
      <c r="O5" s="142">
        <f>B5*IBGE_2!O$5/100</f>
        <v>26.006</v>
      </c>
      <c r="P5" s="142">
        <f>B5*IBGE_2!P$5/100</f>
        <v>0.159</v>
      </c>
      <c r="Q5" s="142">
        <f>B5*IBGE_2!Q$5/100</f>
        <v>75</v>
      </c>
      <c r="R5" s="142">
        <f>B5*IBGE_2!R$5/100</f>
        <v>0.44500000000000001</v>
      </c>
      <c r="S5" s="142">
        <f>B5*IBGE_2!S$5/100</f>
        <v>244.96400000000003</v>
      </c>
      <c r="T5" s="142">
        <f>B5*IBGE_2!T$5/100</f>
        <v>212.05099999999999</v>
      </c>
      <c r="U5" s="142">
        <f>B5*IBGE_2!U$5/100</f>
        <v>4.7E-2</v>
      </c>
      <c r="V5" s="142">
        <f>B5*IBGE_2!V$5/100</f>
        <v>0.61099999999999999</v>
      </c>
      <c r="W5" s="142" t="s">
        <v>3047</v>
      </c>
      <c r="X5" s="142">
        <f>B5*IBGE_2!X$5/100</f>
        <v>0.215</v>
      </c>
      <c r="Y5" s="142">
        <f>B5*IBGE_2!Y$5/100</f>
        <v>7.1999999999999995E-2</v>
      </c>
      <c r="Z5" s="142">
        <f>B5*IBGE_2!Z$5/100</f>
        <v>0.06</v>
      </c>
      <c r="AA5" s="142">
        <f>B5*IBGE_2!AA$5/100</f>
        <v>1.6140000000000001</v>
      </c>
      <c r="AB5" s="142">
        <f>B5*IBGE_2!AB$5/100</f>
        <v>6.2</v>
      </c>
      <c r="AC5" s="142">
        <f>B5*IBGE_2!AC$5/100</f>
        <v>1.9970000000000001</v>
      </c>
      <c r="AD5" s="142" t="s">
        <v>3047</v>
      </c>
      <c r="AE5" s="142">
        <f>B5*IBGE_2!AE$5/100</f>
        <v>46</v>
      </c>
      <c r="AF5" s="142" t="s">
        <v>3047</v>
      </c>
      <c r="AG5" s="142">
        <f>B5*IBGE_2!AG$5/100</f>
        <v>0.57199999999999995</v>
      </c>
      <c r="AH5" s="142">
        <f>B5*IBGE_2!AH$5/100</f>
        <v>3.1E-2</v>
      </c>
      <c r="AI5" s="142">
        <f>B5*IBGE_2!AI$5/100</f>
        <v>245</v>
      </c>
      <c r="AJ5" s="142">
        <f>B5*IBGE_2!AJ$5/100</f>
        <v>2.9039999999999999</v>
      </c>
      <c r="AK5" s="142">
        <f>B5*IBGE_2!AK$5/100</f>
        <v>13.167</v>
      </c>
      <c r="AL5" s="142">
        <f>B5*IBGE_2!AL$5/100</f>
        <v>3.16</v>
      </c>
      <c r="AM5" s="142" t="s">
        <v>3047</v>
      </c>
      <c r="AN5" s="161"/>
    </row>
    <row r="6" spans="1:40">
      <c r="A6" s="143" t="s">
        <v>1065</v>
      </c>
      <c r="B6" s="141">
        <v>100</v>
      </c>
      <c r="C6" s="142">
        <f>B6*IBGE_2!C$6/100</f>
        <v>160.14099999999999</v>
      </c>
      <c r="D6" s="142">
        <f>B6*IBGE_2!D$6/100</f>
        <v>3.32</v>
      </c>
      <c r="E6" s="142">
        <f>B6*IBGE_2!E$6/100</f>
        <v>7.1779999999999999</v>
      </c>
      <c r="F6" s="142">
        <f>B6*IBGE_2!F$6/100</f>
        <v>1.1200000000000001</v>
      </c>
      <c r="G6" s="142">
        <f>B6*IBGE_2!G$6/100</f>
        <v>1.7180000000000002</v>
      </c>
      <c r="H6" s="142">
        <f>B6*IBGE_2!H$6/100</f>
        <v>4.0090000000000003</v>
      </c>
      <c r="I6" s="142">
        <f>B6*IBGE_2!I$6/100</f>
        <v>3.5910000000000002</v>
      </c>
      <c r="J6" s="142">
        <f>B6*IBGE_2!J$6/100</f>
        <v>0.41799999999999998</v>
      </c>
      <c r="K6" s="142" t="s">
        <v>3047</v>
      </c>
      <c r="L6" s="142">
        <f>B6*IBGE_2!L$6/100</f>
        <v>25.11</v>
      </c>
      <c r="M6" s="142">
        <f>B6*IBGE_2!M$6/100</f>
        <v>4.25</v>
      </c>
      <c r="N6" s="142">
        <f>B6*IBGE_2!N$6/100</f>
        <v>3.1519999999999997</v>
      </c>
      <c r="O6" s="142">
        <f>B6*IBGE_2!O$6/100</f>
        <v>26.006</v>
      </c>
      <c r="P6" s="142">
        <f>B6*IBGE_2!P$6/100</f>
        <v>0.159</v>
      </c>
      <c r="Q6" s="142">
        <f>B6*IBGE_2!Q$6/100</f>
        <v>75</v>
      </c>
      <c r="R6" s="142">
        <f>B6*IBGE_2!R$6/100</f>
        <v>0.44500000000000001</v>
      </c>
      <c r="S6" s="142">
        <f>B6*IBGE_2!S$6/100</f>
        <v>244.96400000000003</v>
      </c>
      <c r="T6" s="142">
        <f>B6*IBGE_2!T$6/100</f>
        <v>212.05099999999999</v>
      </c>
      <c r="U6" s="142">
        <f>B6*IBGE_2!U$6/100</f>
        <v>4.7E-2</v>
      </c>
      <c r="V6" s="142">
        <f>B6*IBGE_2!V$6/100</f>
        <v>0.61099999999999999</v>
      </c>
      <c r="W6" s="142" t="s">
        <v>3047</v>
      </c>
      <c r="X6" s="142">
        <f>B6*IBGE_2!X$6/100</f>
        <v>0.215</v>
      </c>
      <c r="Y6" s="142">
        <f>B6*IBGE_2!Y$6/100</f>
        <v>7.1999999999999995E-2</v>
      </c>
      <c r="Z6" s="142">
        <f>B6*IBGE_2!Z$6/100</f>
        <v>0.06</v>
      </c>
      <c r="AA6" s="142">
        <f>B6*IBGE_2!AA$6/100</f>
        <v>1.6140000000000001</v>
      </c>
      <c r="AB6" s="142">
        <f>B6*IBGE_2!AB$6/100</f>
        <v>6.2</v>
      </c>
      <c r="AC6" s="142">
        <f>B6*IBGE_2!AC$6/100</f>
        <v>1.9970000000000001</v>
      </c>
      <c r="AD6" s="142" t="s">
        <v>3047</v>
      </c>
      <c r="AE6" s="142">
        <f>B6*IBGE_2!AE$6/100</f>
        <v>46</v>
      </c>
      <c r="AF6" s="142" t="s">
        <v>3047</v>
      </c>
      <c r="AG6" s="142">
        <f>B6*IBGE_2!AG$6/100</f>
        <v>0.57199999999999995</v>
      </c>
      <c r="AH6" s="142">
        <f>B6*IBGE_2!AH$6/100</f>
        <v>3.1E-2</v>
      </c>
      <c r="AI6" s="142">
        <f>B6*IBGE_2!AI$6/100</f>
        <v>245</v>
      </c>
      <c r="AJ6" s="142">
        <f>B6*IBGE_2!AJ$6/100</f>
        <v>2.9039999999999999</v>
      </c>
      <c r="AK6" s="142">
        <f>B6*IBGE_2!AK$6/100</f>
        <v>13.167</v>
      </c>
      <c r="AL6" s="142">
        <f>B6*IBGE_2!AL$6/100</f>
        <v>3.16</v>
      </c>
      <c r="AM6" s="142" t="s">
        <v>3047</v>
      </c>
      <c r="AN6" s="161"/>
    </row>
    <row r="7" spans="1:40">
      <c r="A7" s="143" t="s">
        <v>1066</v>
      </c>
      <c r="B7" s="141">
        <v>100</v>
      </c>
      <c r="C7" s="142">
        <f>B7*IBGE_2!C$7/100</f>
        <v>160.14099999999999</v>
      </c>
      <c r="D7" s="142">
        <f>B7*IBGE_2!D$7/100</f>
        <v>3.32</v>
      </c>
      <c r="E7" s="142">
        <f>B7*IBGE_2!E$7/100</f>
        <v>7.1779999999999999</v>
      </c>
      <c r="F7" s="142">
        <f>B7*IBGE_2!F$7/100</f>
        <v>1.1200000000000001</v>
      </c>
      <c r="G7" s="142">
        <f>B7*IBGE_2!G$7/100</f>
        <v>1.7180000000000002</v>
      </c>
      <c r="H7" s="142">
        <f>B7*IBGE_2!H$7/100</f>
        <v>4.0090000000000003</v>
      </c>
      <c r="I7" s="142">
        <f>B7*IBGE_2!I$7/100</f>
        <v>3.5910000000000002</v>
      </c>
      <c r="J7" s="142">
        <f>B7*IBGE_2!J$7/100</f>
        <v>0.41799999999999998</v>
      </c>
      <c r="K7" s="142" t="s">
        <v>3047</v>
      </c>
      <c r="L7" s="142">
        <f>B7*IBGE_2!L$7/100</f>
        <v>25.11</v>
      </c>
      <c r="M7" s="142">
        <f>B7*IBGE_2!M$7/100</f>
        <v>4.25</v>
      </c>
      <c r="N7" s="142">
        <f>B7*IBGE_2!N$7/100</f>
        <v>3.1519999999999997</v>
      </c>
      <c r="O7" s="142">
        <f>B7*IBGE_2!O$7/100</f>
        <v>26.006</v>
      </c>
      <c r="P7" s="142">
        <f>B7*IBGE_2!P$7/100</f>
        <v>0.159</v>
      </c>
      <c r="Q7" s="142">
        <f>B7*IBGE_2!Q$7/100</f>
        <v>75</v>
      </c>
      <c r="R7" s="142">
        <f>B7*IBGE_2!R$7/100</f>
        <v>0.44500000000000001</v>
      </c>
      <c r="S7" s="142">
        <f>B7*IBGE_2!S$7/100</f>
        <v>244.96400000000003</v>
      </c>
      <c r="T7" s="142">
        <f>B7*IBGE_2!T$7/100</f>
        <v>212.05099999999999</v>
      </c>
      <c r="U7" s="142">
        <f>B7*IBGE_2!U$7/100</f>
        <v>4.7E-2</v>
      </c>
      <c r="V7" s="142">
        <f>B7*IBGE_2!V$7/100</f>
        <v>0.61099999999999999</v>
      </c>
      <c r="W7" s="142" t="s">
        <v>3047</v>
      </c>
      <c r="X7" s="142">
        <f>B7*IBGE_2!X$7/100</f>
        <v>0.215</v>
      </c>
      <c r="Y7" s="142">
        <f>B7*IBGE_2!Y$7/100</f>
        <v>7.1999999999999995E-2</v>
      </c>
      <c r="Z7" s="142">
        <f>B7*IBGE_2!Z$7/100</f>
        <v>0.06</v>
      </c>
      <c r="AA7" s="142">
        <f>B7*IBGE_2!AA$7/100</f>
        <v>1.6140000000000001</v>
      </c>
      <c r="AB7" s="142">
        <f>B7*IBGE_2!AB$7/100</f>
        <v>6.2</v>
      </c>
      <c r="AC7" s="142">
        <f>B7*IBGE_2!AC$7/100</f>
        <v>1.9970000000000001</v>
      </c>
      <c r="AD7" s="142" t="s">
        <v>3047</v>
      </c>
      <c r="AE7" s="142">
        <f>B7*IBGE_2!AE$7/100</f>
        <v>46</v>
      </c>
      <c r="AF7" s="142" t="s">
        <v>3047</v>
      </c>
      <c r="AG7" s="142">
        <f>B7*IBGE_2!AG$7/100</f>
        <v>0.57199999999999995</v>
      </c>
      <c r="AH7" s="142">
        <f>B7*IBGE_2!AH$7/100</f>
        <v>3.1E-2</v>
      </c>
      <c r="AI7" s="142">
        <f>B7*IBGE_2!AI$7/100</f>
        <v>245</v>
      </c>
      <c r="AJ7" s="142">
        <f>B7*IBGE_2!AJ$7/100</f>
        <v>2.9039999999999999</v>
      </c>
      <c r="AK7" s="142">
        <f>B7*IBGE_2!AK$7/100</f>
        <v>13.167</v>
      </c>
      <c r="AL7" s="142">
        <f>B7*IBGE_2!AL$7/100</f>
        <v>3.16</v>
      </c>
      <c r="AM7" s="142" t="s">
        <v>3047</v>
      </c>
      <c r="AN7" s="161"/>
    </row>
    <row r="8" spans="1:40">
      <c r="A8" s="143" t="s">
        <v>1067</v>
      </c>
      <c r="B8" s="141">
        <v>100</v>
      </c>
      <c r="C8" s="142">
        <f>B8*IBGE_2!C$8/100</f>
        <v>160.14099999999999</v>
      </c>
      <c r="D8" s="142">
        <f>B8*IBGE_2!D$8/100</f>
        <v>3.32</v>
      </c>
      <c r="E8" s="142">
        <f>B8*IBGE_2!E$8/100</f>
        <v>7.1779999999999999</v>
      </c>
      <c r="F8" s="142">
        <f>B8*IBGE_2!F$8/100</f>
        <v>1.1200000000000001</v>
      </c>
      <c r="G8" s="142">
        <f>B8*IBGE_2!G$8/100</f>
        <v>1.7180000000000002</v>
      </c>
      <c r="H8" s="142">
        <f>B8*IBGE_2!H$8/100</f>
        <v>4.0090000000000003</v>
      </c>
      <c r="I8" s="142">
        <f>B8*IBGE_2!I$8/100</f>
        <v>3.5910000000000002</v>
      </c>
      <c r="J8" s="142">
        <f>B8*IBGE_2!J$8/100</f>
        <v>0.41799999999999998</v>
      </c>
      <c r="K8" s="142" t="s">
        <v>3047</v>
      </c>
      <c r="L8" s="142">
        <f>B8*IBGE_2!L$8/100</f>
        <v>25.11</v>
      </c>
      <c r="M8" s="142">
        <f>B8*IBGE_2!M$8/100</f>
        <v>4.25</v>
      </c>
      <c r="N8" s="142">
        <f>B8*IBGE_2!N$8/100</f>
        <v>3</v>
      </c>
      <c r="O8" s="142">
        <f>B8*IBGE_2!O$8/100</f>
        <v>26</v>
      </c>
      <c r="P8" s="142">
        <f>B8*IBGE_2!P$8/100</f>
        <v>0.158</v>
      </c>
      <c r="Q8" s="142">
        <f>B8*IBGE_2!Q$8/100</f>
        <v>75</v>
      </c>
      <c r="R8" s="142">
        <f>B8*IBGE_2!R$8/100</f>
        <v>0.44299999999999995</v>
      </c>
      <c r="S8" s="142" t="s">
        <v>3047</v>
      </c>
      <c r="T8" s="142">
        <f>B8*IBGE_2!T$8/100</f>
        <v>212</v>
      </c>
      <c r="U8" s="142">
        <f>B8*IBGE_2!U$8/100</f>
        <v>4.7E-2</v>
      </c>
      <c r="V8" s="142">
        <f>B8*IBGE_2!V$8/100</f>
        <v>0.61099999999999999</v>
      </c>
      <c r="W8" s="142" t="s">
        <v>3047</v>
      </c>
      <c r="X8" s="142">
        <f>B8*IBGE_2!X$8/100</f>
        <v>0.215</v>
      </c>
      <c r="Y8" s="142">
        <f>B8*IBGE_2!Y$8/100</f>
        <v>7.1999999999999995E-2</v>
      </c>
      <c r="Z8" s="142">
        <f>B8*IBGE_2!Z$8/100</f>
        <v>0.06</v>
      </c>
      <c r="AA8" s="142">
        <f>B8*IBGE_2!AA$8/100</f>
        <v>1.6140000000000001</v>
      </c>
      <c r="AB8" s="142">
        <f>B8*IBGE_2!AB$8/100</f>
        <v>6.2</v>
      </c>
      <c r="AC8" s="142">
        <f>B8*IBGE_2!AC$8/100</f>
        <v>1.9970000000000001</v>
      </c>
      <c r="AD8" s="142" t="s">
        <v>3047</v>
      </c>
      <c r="AE8" s="142">
        <f>B8*IBGE_2!AE$8/100</f>
        <v>46</v>
      </c>
      <c r="AF8" s="142" t="s">
        <v>3047</v>
      </c>
      <c r="AG8" s="142">
        <f>B8*IBGE_2!AG$8/100</f>
        <v>0.57199999999999995</v>
      </c>
      <c r="AH8" s="142">
        <f>B8*IBGE_2!AH$8/100</f>
        <v>3.1E-2</v>
      </c>
      <c r="AI8" s="142">
        <f>B8*IBGE_2!AI$8/100</f>
        <v>245</v>
      </c>
      <c r="AJ8" s="142">
        <f>B8*IBGE_2!AJ$8/100</f>
        <v>2.903</v>
      </c>
      <c r="AK8" s="142">
        <f>B8*IBGE_2!AK$8/100</f>
        <v>13.167</v>
      </c>
      <c r="AL8" s="142">
        <f>B8*IBGE_2!AL$8/100</f>
        <v>3.16</v>
      </c>
      <c r="AM8" s="142" t="s">
        <v>3047</v>
      </c>
      <c r="AN8" s="161"/>
    </row>
    <row r="9" spans="1:40">
      <c r="A9" s="143" t="s">
        <v>1068</v>
      </c>
      <c r="B9" s="141">
        <v>100</v>
      </c>
      <c r="C9" s="142">
        <f>B9*IBGE_2!C$9/100</f>
        <v>160.14099999999999</v>
      </c>
      <c r="D9" s="142">
        <f>B9*IBGE_2!D$9/100</f>
        <v>3.32</v>
      </c>
      <c r="E9" s="142">
        <f>B9*IBGE_2!E$9/100</f>
        <v>7.1779999999999999</v>
      </c>
      <c r="F9" s="142">
        <f>B9*IBGE_2!F$9/100</f>
        <v>1.1200000000000001</v>
      </c>
      <c r="G9" s="142">
        <f>B9*IBGE_2!G$9/100</f>
        <v>1.7180000000000002</v>
      </c>
      <c r="H9" s="142">
        <f>B9*IBGE_2!H$9/100</f>
        <v>4.0090000000000003</v>
      </c>
      <c r="I9" s="142">
        <f>B9*IBGE_2!I$9/100</f>
        <v>3.5910000000000002</v>
      </c>
      <c r="J9" s="142">
        <f>B9*IBGE_2!J$9/100</f>
        <v>0.41799999999999998</v>
      </c>
      <c r="K9" s="142" t="s">
        <v>3047</v>
      </c>
      <c r="L9" s="142">
        <f>B9*IBGE_2!L$9/100</f>
        <v>25.11</v>
      </c>
      <c r="M9" s="142">
        <f>B9*IBGE_2!M$9/100</f>
        <v>4.25</v>
      </c>
      <c r="N9" s="142">
        <f>B9*IBGE_2!N$9/100</f>
        <v>3</v>
      </c>
      <c r="O9" s="142">
        <f>B9*IBGE_2!O$9/100</f>
        <v>26</v>
      </c>
      <c r="P9" s="142">
        <f>B9*IBGE_2!P$9/100</f>
        <v>0.158</v>
      </c>
      <c r="Q9" s="142">
        <f>B9*IBGE_2!Q$9/100</f>
        <v>75</v>
      </c>
      <c r="R9" s="142">
        <f>B9*IBGE_2!R$9/100</f>
        <v>0.44299999999999995</v>
      </c>
      <c r="S9" s="142" t="s">
        <v>3047</v>
      </c>
      <c r="T9" s="142">
        <f>B9*IBGE_2!T$9/100</f>
        <v>212</v>
      </c>
      <c r="U9" s="142">
        <f>B9*IBGE_2!U$9/100</f>
        <v>4.7E-2</v>
      </c>
      <c r="V9" s="142">
        <f>B9*IBGE_2!V$9/100</f>
        <v>0.61099999999999999</v>
      </c>
      <c r="W9" s="142" t="s">
        <v>3047</v>
      </c>
      <c r="X9" s="142">
        <f>B9*IBGE_2!X$9/100</f>
        <v>0.215</v>
      </c>
      <c r="Y9" s="142">
        <f>B9*IBGE_2!Y$9/100</f>
        <v>7.1999999999999995E-2</v>
      </c>
      <c r="Z9" s="142">
        <f>B9*IBGE_2!Z$9/100</f>
        <v>0.06</v>
      </c>
      <c r="AA9" s="142">
        <f>B9*IBGE_2!AA$9/100</f>
        <v>1.6140000000000001</v>
      </c>
      <c r="AB9" s="142">
        <f>B9*IBGE_2!AB$9/100</f>
        <v>6.2</v>
      </c>
      <c r="AC9" s="142">
        <f>B9*IBGE_2!AC$9/100</f>
        <v>1.9970000000000001</v>
      </c>
      <c r="AD9" s="142" t="s">
        <v>3047</v>
      </c>
      <c r="AE9" s="142">
        <f>B9*IBGE_2!AE$9/100</f>
        <v>46</v>
      </c>
      <c r="AF9" s="142" t="s">
        <v>3047</v>
      </c>
      <c r="AG9" s="142">
        <f>B9*IBGE_2!AG$9/100</f>
        <v>0.57199999999999995</v>
      </c>
      <c r="AH9" s="142">
        <f>B9*IBGE_2!AH$9/100</f>
        <v>3.1E-2</v>
      </c>
      <c r="AI9" s="142">
        <f>B9*IBGE_2!AI$9/100</f>
        <v>245</v>
      </c>
      <c r="AJ9" s="142">
        <f>B9*IBGE_2!AJ$9/100</f>
        <v>2.903</v>
      </c>
      <c r="AK9" s="142">
        <f>B9*IBGE_2!AK$9/100</f>
        <v>13.167</v>
      </c>
      <c r="AL9" s="142">
        <f>B9*IBGE_2!AL$9/100</f>
        <v>3.16</v>
      </c>
      <c r="AM9" s="142" t="s">
        <v>3047</v>
      </c>
      <c r="AN9" s="161"/>
    </row>
    <row r="10" spans="1:40">
      <c r="A10" s="143" t="s">
        <v>1069</v>
      </c>
      <c r="B10" s="141">
        <v>100</v>
      </c>
      <c r="C10" s="142">
        <f>B10*IBGE_2!C$10/100</f>
        <v>160.14099999999999</v>
      </c>
      <c r="D10" s="142">
        <f>B10*IBGE_2!D$10/100</f>
        <v>3.32</v>
      </c>
      <c r="E10" s="142">
        <f>B10*IBGE_2!E$10/100</f>
        <v>7.1779999999999999</v>
      </c>
      <c r="F10" s="142">
        <f>B10*IBGE_2!F$10/100</f>
        <v>1.1200000000000001</v>
      </c>
      <c r="G10" s="142">
        <f>B10*IBGE_2!G$10/100</f>
        <v>1.7180000000000002</v>
      </c>
      <c r="H10" s="142">
        <f>B10*IBGE_2!H$10/100</f>
        <v>4.0090000000000003</v>
      </c>
      <c r="I10" s="142">
        <f>B10*IBGE_2!I$10/100</f>
        <v>3.5910000000000002</v>
      </c>
      <c r="J10" s="142">
        <f>B10*IBGE_2!J$10/100</f>
        <v>0.41799999999999998</v>
      </c>
      <c r="K10" s="142" t="s">
        <v>3047</v>
      </c>
      <c r="L10" s="142">
        <f>B10*IBGE_2!L$10/100</f>
        <v>25.11</v>
      </c>
      <c r="M10" s="142">
        <f>B10*IBGE_2!M$10/100</f>
        <v>4.25</v>
      </c>
      <c r="N10" s="142">
        <f>B10*IBGE_2!N$10/100</f>
        <v>3.1519999999999997</v>
      </c>
      <c r="O10" s="142">
        <f>B10*IBGE_2!O$10/100</f>
        <v>26.006</v>
      </c>
      <c r="P10" s="142">
        <f>B10*IBGE_2!P$10/100</f>
        <v>0.159</v>
      </c>
      <c r="Q10" s="142">
        <f>B10*IBGE_2!Q$10/100</f>
        <v>75</v>
      </c>
      <c r="R10" s="142">
        <f>B10*IBGE_2!R$10/100</f>
        <v>0.44500000000000001</v>
      </c>
      <c r="S10" s="142">
        <f>B10*IBGE_2!S$10/100</f>
        <v>244.96400000000003</v>
      </c>
      <c r="T10" s="142">
        <f>B10*IBGE_2!T$10/100</f>
        <v>212.05099999999999</v>
      </c>
      <c r="U10" s="142">
        <f>B10*IBGE_2!U$10/100</f>
        <v>4.7E-2</v>
      </c>
      <c r="V10" s="142">
        <f>B10*IBGE_2!V$10/100</f>
        <v>0.61099999999999999</v>
      </c>
      <c r="W10" s="142" t="s">
        <v>3047</v>
      </c>
      <c r="X10" s="142">
        <f>B10*IBGE_2!X$10/100</f>
        <v>0.215</v>
      </c>
      <c r="Y10" s="142">
        <f>B10*IBGE_2!Y$10/100</f>
        <v>7.1999999999999995E-2</v>
      </c>
      <c r="Z10" s="142">
        <f>B10*IBGE_2!Z$10/100</f>
        <v>0.06</v>
      </c>
      <c r="AA10" s="142">
        <f>B10*IBGE_2!AA$10/100</f>
        <v>1.6140000000000001</v>
      </c>
      <c r="AB10" s="142">
        <f>B10*IBGE_2!AB$10/100</f>
        <v>6.2</v>
      </c>
      <c r="AC10" s="142">
        <f>B10*IBGE_2!AC$10/100</f>
        <v>1.9970000000000001</v>
      </c>
      <c r="AD10" s="142" t="s">
        <v>3047</v>
      </c>
      <c r="AE10" s="142">
        <f>B10*IBGE_2!AE$10/100</f>
        <v>46</v>
      </c>
      <c r="AF10" s="142" t="s">
        <v>3047</v>
      </c>
      <c r="AG10" s="142">
        <f>B10*IBGE_2!AG$10/100</f>
        <v>0.57199999999999995</v>
      </c>
      <c r="AH10" s="142">
        <f>B10*IBGE_2!AH$10/100</f>
        <v>3.1E-2</v>
      </c>
      <c r="AI10" s="142">
        <f>B10*IBGE_2!AI$10/100</f>
        <v>245</v>
      </c>
      <c r="AJ10" s="142">
        <f>B10*IBGE_2!AJ$10/100</f>
        <v>2.9039999999999999</v>
      </c>
      <c r="AK10" s="142">
        <f>B10*IBGE_2!AK$10/100</f>
        <v>13.167</v>
      </c>
      <c r="AL10" s="142">
        <f>B10*IBGE_2!AL$10/100</f>
        <v>3.16</v>
      </c>
      <c r="AM10" s="142" t="s">
        <v>3047</v>
      </c>
      <c r="AN10" s="161"/>
    </row>
    <row r="11" spans="1:40">
      <c r="A11" s="143" t="s">
        <v>1070</v>
      </c>
      <c r="B11" s="141">
        <v>100</v>
      </c>
      <c r="C11" s="142">
        <f>B11*IBGE_2!C$11/100</f>
        <v>79.680000000000007</v>
      </c>
      <c r="D11" s="142">
        <f>B11*IBGE_2!D$11/100</f>
        <v>1.2370000000000001</v>
      </c>
      <c r="E11" s="142">
        <f>B11*IBGE_2!E$11/100</f>
        <v>2.198</v>
      </c>
      <c r="F11" s="142">
        <f>B11*IBGE_2!F$11/100</f>
        <v>0.32899999999999996</v>
      </c>
      <c r="G11" s="142">
        <f>B11*IBGE_2!G$11/100</f>
        <v>0.49</v>
      </c>
      <c r="H11" s="142">
        <f>B11*IBGE_2!H$11/100</f>
        <v>1.218</v>
      </c>
      <c r="I11" s="142">
        <f>B11*IBGE_2!I$11/100</f>
        <v>1.0860000000000001</v>
      </c>
      <c r="J11" s="142">
        <f>B11*IBGE_2!J$11/100</f>
        <v>0.13200000000000001</v>
      </c>
      <c r="K11" s="142" t="s">
        <v>3047</v>
      </c>
      <c r="L11" s="142">
        <f>B11*IBGE_2!L$11/100</f>
        <v>13.503</v>
      </c>
      <c r="M11" s="142">
        <f>B11*IBGE_2!M$11/100</f>
        <v>0.67200000000000004</v>
      </c>
      <c r="N11" s="142">
        <f>B11*IBGE_2!N$11/100</f>
        <v>3.4510000000000001</v>
      </c>
      <c r="O11" s="142">
        <f>B11*IBGE_2!O$11/100</f>
        <v>6.9279999999999999</v>
      </c>
      <c r="P11" s="142">
        <f>B11*IBGE_2!P$11/100</f>
        <v>3.1E-2</v>
      </c>
      <c r="Q11" s="142">
        <f>B11*IBGE_2!Q$11/100</f>
        <v>17.913</v>
      </c>
      <c r="R11" s="142">
        <f>B11*IBGE_2!R$11/100</f>
        <v>0.7390000000000001</v>
      </c>
      <c r="S11" s="142">
        <f>B11*IBGE_2!S$11/100</f>
        <v>131.499</v>
      </c>
      <c r="T11" s="142">
        <f>B11*IBGE_2!T$11/100</f>
        <v>25.957000000000004</v>
      </c>
      <c r="U11" s="142">
        <f>B11*IBGE_2!U$11/100</f>
        <v>2.3E-2</v>
      </c>
      <c r="V11" s="142">
        <f>B11*IBGE_2!V$11/100</f>
        <v>0.13100000000000001</v>
      </c>
      <c r="W11" s="142" t="s">
        <v>3047</v>
      </c>
      <c r="X11" s="142">
        <f>B11*IBGE_2!X$11/100</f>
        <v>0.105</v>
      </c>
      <c r="Y11" s="142">
        <f>B11*IBGE_2!Y$11/100</f>
        <v>7.0999999999999994E-2</v>
      </c>
      <c r="Z11" s="142">
        <f>B11*IBGE_2!Z$11/100</f>
        <v>3.4000000000000002E-2</v>
      </c>
      <c r="AA11" s="142">
        <f>B11*IBGE_2!AA$11/100</f>
        <v>0.90600000000000014</v>
      </c>
      <c r="AB11" s="142" t="s">
        <v>3047</v>
      </c>
      <c r="AC11" s="142">
        <f>B11*IBGE_2!AC$11/100</f>
        <v>1.0169999999999999</v>
      </c>
      <c r="AD11" s="142" t="s">
        <v>3047</v>
      </c>
      <c r="AE11" s="142">
        <f>B11*IBGE_2!AE$11/100</f>
        <v>20.812999999999999</v>
      </c>
      <c r="AF11" s="142" t="s">
        <v>3047</v>
      </c>
      <c r="AG11" s="142">
        <f>B11*IBGE_2!AG$11/100</f>
        <v>0.182</v>
      </c>
      <c r="AH11" s="142">
        <f>B11*IBGE_2!AH$11/100</f>
        <v>0.01</v>
      </c>
      <c r="AI11" s="142">
        <f>B11*IBGE_2!AI$11/100</f>
        <v>126</v>
      </c>
      <c r="AJ11" s="142">
        <f>B11*IBGE_2!AJ$11/100</f>
        <v>2.847</v>
      </c>
      <c r="AK11" s="142">
        <f>B11*IBGE_2!AK$11/100</f>
        <v>1.827</v>
      </c>
      <c r="AL11" s="142">
        <f>B11*IBGE_2!AL$11/100</f>
        <v>0.28499999999999998</v>
      </c>
      <c r="AM11" s="142" t="s">
        <v>3047</v>
      </c>
      <c r="AN11" s="161"/>
    </row>
    <row r="12" spans="1:40">
      <c r="A12" s="143" t="s">
        <v>1071</v>
      </c>
      <c r="B12" s="141">
        <v>100</v>
      </c>
      <c r="C12" s="142">
        <f>B12*IBGE_2!C$12/100</f>
        <v>62.951999999999998</v>
      </c>
      <c r="D12" s="142">
        <f>B12*IBGE_2!D$12/100</f>
        <v>1.2370000000000001</v>
      </c>
      <c r="E12" s="142">
        <f>B12*IBGE_2!E$12/100</f>
        <v>0.30499999999999999</v>
      </c>
      <c r="F12" s="142">
        <f>B12*IBGE_2!F$12/100</f>
        <v>3.3000000000000002E-2</v>
      </c>
      <c r="G12" s="142">
        <f>B12*IBGE_2!G$12/100</f>
        <v>5.8999999999999997E-2</v>
      </c>
      <c r="H12" s="142">
        <f>B12*IBGE_2!H$12/100</f>
        <v>0.125</v>
      </c>
      <c r="I12" s="142">
        <f>B12*IBGE_2!I$12/100</f>
        <v>0.122</v>
      </c>
      <c r="J12" s="142">
        <f>B12*IBGE_2!J$12/100</f>
        <v>3.0000000000000001E-3</v>
      </c>
      <c r="K12" s="142" t="s">
        <v>3047</v>
      </c>
      <c r="L12" s="142">
        <f>B12*IBGE_2!L$12/100</f>
        <v>13.503</v>
      </c>
      <c r="M12" s="142">
        <f>B12*IBGE_2!M$12/100</f>
        <v>0.67200000000000004</v>
      </c>
      <c r="N12" s="142">
        <f>B12*IBGE_2!N$12/100</f>
        <v>3.3730000000000002</v>
      </c>
      <c r="O12" s="142">
        <f>B12*IBGE_2!O$12/100</f>
        <v>6.9249999999999998</v>
      </c>
      <c r="P12" s="142">
        <f>B12*IBGE_2!P$12/100</f>
        <v>3.1E-2</v>
      </c>
      <c r="Q12" s="142">
        <f>B12*IBGE_2!Q$12/100</f>
        <v>17.913</v>
      </c>
      <c r="R12" s="142">
        <f>B12*IBGE_2!R$12/100</f>
        <v>0.73699999999999999</v>
      </c>
      <c r="S12" s="142">
        <f>B12*IBGE_2!S$12/100</f>
        <v>5.0090000000000003</v>
      </c>
      <c r="T12" s="142">
        <f>B12*IBGE_2!T$12/100</f>
        <v>25.930999999999997</v>
      </c>
      <c r="U12" s="142">
        <f>B12*IBGE_2!U$12/100</f>
        <v>2.3E-2</v>
      </c>
      <c r="V12" s="142">
        <f>B12*IBGE_2!V$12/100</f>
        <v>0.13100000000000001</v>
      </c>
      <c r="W12" s="142" t="s">
        <v>3047</v>
      </c>
      <c r="X12" s="142">
        <f>B12*IBGE_2!X$12/100</f>
        <v>0.105</v>
      </c>
      <c r="Y12" s="142">
        <f>B12*IBGE_2!Y$12/100</f>
        <v>7.0999999999999994E-2</v>
      </c>
      <c r="Z12" s="142">
        <f>B12*IBGE_2!Z$12/100</f>
        <v>3.4000000000000002E-2</v>
      </c>
      <c r="AA12" s="142">
        <f>B12*IBGE_2!AA$12/100</f>
        <v>0.90600000000000014</v>
      </c>
      <c r="AB12" s="142" t="s">
        <v>3047</v>
      </c>
      <c r="AC12" s="142">
        <f>B12*IBGE_2!AC$12/100</f>
        <v>1.0169999999999999</v>
      </c>
      <c r="AD12" s="142" t="s">
        <v>3047</v>
      </c>
      <c r="AE12" s="142">
        <f>B12*IBGE_2!AE$12/100</f>
        <v>20.812999999999999</v>
      </c>
      <c r="AF12" s="142" t="s">
        <v>3047</v>
      </c>
      <c r="AG12" s="142">
        <f>B12*IBGE_2!AG$12/100</f>
        <v>2.7000000000000003E-2</v>
      </c>
      <c r="AH12" s="142" t="s">
        <v>3047</v>
      </c>
      <c r="AI12" s="142">
        <f>B12*IBGE_2!AI$12/100</f>
        <v>126</v>
      </c>
      <c r="AJ12" s="142">
        <f>B12*IBGE_2!AJ$12/100</f>
        <v>1.9790000000000001</v>
      </c>
      <c r="AK12" s="142">
        <f>B12*IBGE_2!AK$12/100</f>
        <v>1.827</v>
      </c>
      <c r="AL12" s="142">
        <f>B12*IBGE_2!AL$12/100</f>
        <v>0.28499999999999998</v>
      </c>
      <c r="AM12" s="142" t="s">
        <v>3047</v>
      </c>
      <c r="AN12" s="161"/>
    </row>
    <row r="13" spans="1:40">
      <c r="A13" s="143" t="s">
        <v>1072</v>
      </c>
      <c r="B13" s="141">
        <v>100</v>
      </c>
      <c r="C13" s="142">
        <f>B13*IBGE_2!C$13/100</f>
        <v>79.680000000000007</v>
      </c>
      <c r="D13" s="142">
        <f>B13*IBGE_2!D$13/100</f>
        <v>1.2370000000000001</v>
      </c>
      <c r="E13" s="142">
        <f>B13*IBGE_2!E$13/100</f>
        <v>2.198</v>
      </c>
      <c r="F13" s="142">
        <f>B13*IBGE_2!F$13/100</f>
        <v>0.32899999999999996</v>
      </c>
      <c r="G13" s="142">
        <f>B13*IBGE_2!G$13/100</f>
        <v>0.49</v>
      </c>
      <c r="H13" s="142">
        <f>B13*IBGE_2!H$13/100</f>
        <v>1.218</v>
      </c>
      <c r="I13" s="142">
        <f>B13*IBGE_2!I$13/100</f>
        <v>1.0860000000000001</v>
      </c>
      <c r="J13" s="142">
        <f>B13*IBGE_2!J$13/100</f>
        <v>0.13200000000000001</v>
      </c>
      <c r="K13" s="142" t="s">
        <v>3047</v>
      </c>
      <c r="L13" s="142">
        <f>B13*IBGE_2!L$13/100</f>
        <v>13.503</v>
      </c>
      <c r="M13" s="142">
        <f>B13*IBGE_2!M$13/100</f>
        <v>0.67200000000000004</v>
      </c>
      <c r="N13" s="142">
        <f>B13*IBGE_2!N$13/100</f>
        <v>3.3730000000000002</v>
      </c>
      <c r="O13" s="142">
        <f>B13*IBGE_2!O$13/100</f>
        <v>6.9249999999999998</v>
      </c>
      <c r="P13" s="142">
        <f>B13*IBGE_2!P$13/100</f>
        <v>3.1E-2</v>
      </c>
      <c r="Q13" s="142">
        <f>B13*IBGE_2!Q$13/100</f>
        <v>17.913</v>
      </c>
      <c r="R13" s="142">
        <f>B13*IBGE_2!R$13/100</f>
        <v>0.73799999999999999</v>
      </c>
      <c r="S13" s="142">
        <f>B13*IBGE_2!S$13/100</f>
        <v>5.0090000000000003</v>
      </c>
      <c r="T13" s="142">
        <f>B13*IBGE_2!T$13/100</f>
        <v>25.930999999999997</v>
      </c>
      <c r="U13" s="142">
        <f>B13*IBGE_2!U$13/100</f>
        <v>2.3E-2</v>
      </c>
      <c r="V13" s="142">
        <f>B13*IBGE_2!V$13/100</f>
        <v>0.13100000000000001</v>
      </c>
      <c r="W13" s="142" t="s">
        <v>3047</v>
      </c>
      <c r="X13" s="142">
        <f>B13*IBGE_2!X$13/100</f>
        <v>0.105</v>
      </c>
      <c r="Y13" s="142">
        <f>B13*IBGE_2!Y$13/100</f>
        <v>7.0999999999999994E-2</v>
      </c>
      <c r="Z13" s="142">
        <f>B13*IBGE_2!Z$13/100</f>
        <v>3.4000000000000002E-2</v>
      </c>
      <c r="AA13" s="142">
        <f>B13*IBGE_2!AA$13/100</f>
        <v>0.90600000000000014</v>
      </c>
      <c r="AB13" s="142" t="s">
        <v>3047</v>
      </c>
      <c r="AC13" s="142">
        <f>B13*IBGE_2!AC$13/100</f>
        <v>1.0169999999999999</v>
      </c>
      <c r="AD13" s="142" t="s">
        <v>3047</v>
      </c>
      <c r="AE13" s="142">
        <f>B13*IBGE_2!AE$13/100</f>
        <v>20.812999999999999</v>
      </c>
      <c r="AF13" s="142" t="s">
        <v>3047</v>
      </c>
      <c r="AG13" s="142">
        <f>B13*IBGE_2!AG$13/100</f>
        <v>0.182</v>
      </c>
      <c r="AH13" s="142">
        <f>B13*IBGE_2!AH$13/100</f>
        <v>0.01</v>
      </c>
      <c r="AI13" s="142">
        <f>B13*IBGE_2!AI$13/100</f>
        <v>126</v>
      </c>
      <c r="AJ13" s="142">
        <f>B13*IBGE_2!AJ$13/100</f>
        <v>2.8460000000000001</v>
      </c>
      <c r="AK13" s="142">
        <f>B13*IBGE_2!AK$13/100</f>
        <v>1.827</v>
      </c>
      <c r="AL13" s="142">
        <f>B13*IBGE_2!AL$13/100</f>
        <v>0.28499999999999998</v>
      </c>
      <c r="AM13" s="142" t="s">
        <v>3047</v>
      </c>
      <c r="AN13" s="161"/>
    </row>
    <row r="14" spans="1:40">
      <c r="A14" s="143" t="s">
        <v>1073</v>
      </c>
      <c r="B14" s="141">
        <v>100</v>
      </c>
      <c r="C14" s="142">
        <f>B14*IBGE_2!C$14/100</f>
        <v>62.951999999999998</v>
      </c>
      <c r="D14" s="142">
        <f>B14*IBGE_2!D$14/100</f>
        <v>1.2370000000000001</v>
      </c>
      <c r="E14" s="142">
        <f>B14*IBGE_2!E$14/100</f>
        <v>0.30499999999999999</v>
      </c>
      <c r="F14" s="142">
        <f>B14*IBGE_2!F$14/100</f>
        <v>3.3000000000000002E-2</v>
      </c>
      <c r="G14" s="142">
        <f>B14*IBGE_2!G$14/100</f>
        <v>5.8999999999999997E-2</v>
      </c>
      <c r="H14" s="142">
        <f>B14*IBGE_2!H$14/100</f>
        <v>0.125</v>
      </c>
      <c r="I14" s="142">
        <f>B14*IBGE_2!I$14/100</f>
        <v>0.122</v>
      </c>
      <c r="J14" s="142">
        <f>B14*IBGE_2!J$14/100</f>
        <v>3.0000000000000001E-3</v>
      </c>
      <c r="K14" s="142" t="s">
        <v>3047</v>
      </c>
      <c r="L14" s="142">
        <f>B14*IBGE_2!L$14/100</f>
        <v>13.503</v>
      </c>
      <c r="M14" s="142">
        <f>B14*IBGE_2!M$14/100</f>
        <v>0.67200000000000004</v>
      </c>
      <c r="N14" s="142">
        <f>B14*IBGE_2!N$14/100</f>
        <v>3.3730000000000002</v>
      </c>
      <c r="O14" s="142">
        <f>B14*IBGE_2!O$14/100</f>
        <v>6.9249999999999998</v>
      </c>
      <c r="P14" s="142">
        <f>B14*IBGE_2!P$14/100</f>
        <v>3.1E-2</v>
      </c>
      <c r="Q14" s="142">
        <f>B14*IBGE_2!Q$14/100</f>
        <v>17.913</v>
      </c>
      <c r="R14" s="142">
        <f>B14*IBGE_2!R$14/100</f>
        <v>0.73699999999999999</v>
      </c>
      <c r="S14" s="142">
        <f>B14*IBGE_2!S$14/100</f>
        <v>5.0090000000000003</v>
      </c>
      <c r="T14" s="142">
        <f>B14*IBGE_2!T$14/100</f>
        <v>25.930999999999997</v>
      </c>
      <c r="U14" s="142">
        <f>B14*IBGE_2!U$14/100</f>
        <v>2.3E-2</v>
      </c>
      <c r="V14" s="142">
        <f>B14*IBGE_2!V$14/100</f>
        <v>0.13100000000000001</v>
      </c>
      <c r="W14" s="142" t="s">
        <v>3047</v>
      </c>
      <c r="X14" s="142">
        <f>B14*IBGE_2!X$14/100</f>
        <v>0.105</v>
      </c>
      <c r="Y14" s="142">
        <f>B14*IBGE_2!Y$14/100</f>
        <v>7.0999999999999994E-2</v>
      </c>
      <c r="Z14" s="142">
        <f>B14*IBGE_2!Z$14/100</f>
        <v>3.4000000000000002E-2</v>
      </c>
      <c r="AA14" s="142">
        <f>B14*IBGE_2!AA$14/100</f>
        <v>0.90600000000000014</v>
      </c>
      <c r="AB14" s="142" t="s">
        <v>3047</v>
      </c>
      <c r="AC14" s="142">
        <f>B14*IBGE_2!AC$14/100</f>
        <v>1.0169999999999999</v>
      </c>
      <c r="AD14" s="142" t="s">
        <v>3047</v>
      </c>
      <c r="AE14" s="142">
        <f>B14*IBGE_2!AE$14/100</f>
        <v>20.812999999999999</v>
      </c>
      <c r="AF14" s="142" t="s">
        <v>3047</v>
      </c>
      <c r="AG14" s="142">
        <f>B14*IBGE_2!AG$14/100</f>
        <v>2.7000000000000003E-2</v>
      </c>
      <c r="AH14" s="142" t="s">
        <v>3047</v>
      </c>
      <c r="AI14" s="142">
        <f>B14*IBGE_2!AI$14/100</f>
        <v>126</v>
      </c>
      <c r="AJ14" s="142">
        <f>B14*IBGE_2!AJ$14/100</f>
        <v>1.9790000000000001</v>
      </c>
      <c r="AK14" s="142">
        <f>B14*IBGE_2!AK$14/100</f>
        <v>1.827</v>
      </c>
      <c r="AL14" s="142">
        <f>B14*IBGE_2!AL$14/100</f>
        <v>0.28499999999999998</v>
      </c>
      <c r="AM14" s="142" t="s">
        <v>3047</v>
      </c>
      <c r="AN14" s="161"/>
    </row>
    <row r="15" spans="1:40">
      <c r="A15" s="143" t="s">
        <v>1074</v>
      </c>
      <c r="B15" s="141">
        <v>100</v>
      </c>
      <c r="C15" s="142">
        <f>B15*IBGE_2!C$15/100</f>
        <v>31.443000000000001</v>
      </c>
      <c r="D15" s="142">
        <f>B15*IBGE_2!D$15/100</f>
        <v>0.94799999999999995</v>
      </c>
      <c r="E15" s="142">
        <f>B15*IBGE_2!E$15/100</f>
        <v>0.12300000000000001</v>
      </c>
      <c r="F15" s="142">
        <f>B15*IBGE_2!F$15/100</f>
        <v>3.9E-2</v>
      </c>
      <c r="G15" s="142">
        <f>B15*IBGE_2!G$15/100</f>
        <v>2.7000000000000003E-2</v>
      </c>
      <c r="H15" s="142">
        <f>B15*IBGE_2!H$15/100</f>
        <v>3.2000000000000001E-2</v>
      </c>
      <c r="I15" s="142">
        <f>B15*IBGE_2!I$15/100</f>
        <v>2.7000000000000003E-2</v>
      </c>
      <c r="J15" s="142">
        <f>B15*IBGE_2!J$15/100</f>
        <v>5.0000000000000001E-3</v>
      </c>
      <c r="K15" s="142" t="s">
        <v>3047</v>
      </c>
      <c r="L15" s="142">
        <f>B15*IBGE_2!L$15/100</f>
        <v>7.0119999999999996</v>
      </c>
      <c r="M15" s="142">
        <f>B15*IBGE_2!M$15/100</f>
        <v>0.71099999999999997</v>
      </c>
      <c r="N15" s="142">
        <f>B15*IBGE_2!N$15/100</f>
        <v>8.5549999999999997</v>
      </c>
      <c r="O15" s="142">
        <f>B15*IBGE_2!O$15/100</f>
        <v>6.3470000000000004</v>
      </c>
      <c r="P15" s="142">
        <f>B15*IBGE_2!P$15/100</f>
        <v>6.8000000000000005E-2</v>
      </c>
      <c r="Q15" s="142">
        <f>B15*IBGE_2!Q$15/100</f>
        <v>15.762</v>
      </c>
      <c r="R15" s="142">
        <f>B15*IBGE_2!R$15/100</f>
        <v>0.28499999999999998</v>
      </c>
      <c r="S15" s="142">
        <f>B15*IBGE_2!S$15/100</f>
        <v>310.43200000000002</v>
      </c>
      <c r="T15" s="142">
        <f>B15*IBGE_2!T$15/100</f>
        <v>88.314999999999998</v>
      </c>
      <c r="U15" s="142">
        <f>B15*IBGE_2!U$15/100</f>
        <v>3.9E-2</v>
      </c>
      <c r="V15" s="142">
        <f>B15*IBGE_2!V$15/100</f>
        <v>0.115</v>
      </c>
      <c r="W15" s="142" t="s">
        <v>3047</v>
      </c>
      <c r="X15" s="142">
        <f>B15*IBGE_2!X$15/100</f>
        <v>0.03</v>
      </c>
      <c r="Y15" s="142">
        <f>B15*IBGE_2!Y$15/100</f>
        <v>2.6000000000000002E-2</v>
      </c>
      <c r="Z15" s="142">
        <f>B15*IBGE_2!Z$15/100</f>
        <v>0.04</v>
      </c>
      <c r="AA15" s="142">
        <f>B15*IBGE_2!AA$15/100</f>
        <v>0.505</v>
      </c>
      <c r="AB15" s="142">
        <f>B15*IBGE_2!AB$15/100</f>
        <v>2.0990000000000002</v>
      </c>
      <c r="AC15" s="142">
        <f>B15*IBGE_2!AC$15/100</f>
        <v>0.66700000000000004</v>
      </c>
      <c r="AD15" s="142">
        <f>B15*IBGE_2!AD$15/100</f>
        <v>1.4999999999999999E-2</v>
      </c>
      <c r="AE15" s="142">
        <f>B15*IBGE_2!AE$15/100</f>
        <v>9.2759999999999998</v>
      </c>
      <c r="AF15" s="142" t="s">
        <v>3047</v>
      </c>
      <c r="AG15" s="142">
        <f>B15*IBGE_2!AG$15/100</f>
        <v>0.20399999999999999</v>
      </c>
      <c r="AH15" s="142">
        <f>B15*IBGE_2!AH$15/100</f>
        <v>2E-3</v>
      </c>
      <c r="AI15" s="142" t="s">
        <v>3047</v>
      </c>
      <c r="AJ15" s="142">
        <f>B15*IBGE_2!AJ$15/100</f>
        <v>1.3440000000000001</v>
      </c>
      <c r="AK15" s="142">
        <f>B15*IBGE_2!AK$15/100</f>
        <v>33.475999999999999</v>
      </c>
      <c r="AL15" s="142">
        <f>B15*IBGE_2!AL$15/100</f>
        <v>3.2749999999999999</v>
      </c>
      <c r="AM15" s="142">
        <f>B15*IBGE_2!AM$15/100</f>
        <v>2.5230000000000001</v>
      </c>
      <c r="AN15" s="161"/>
    </row>
    <row r="16" spans="1:40">
      <c r="A16" s="143" t="s">
        <v>1075</v>
      </c>
      <c r="B16" s="141">
        <v>100</v>
      </c>
      <c r="C16" s="142">
        <f>B16*IBGE_2!C$16/100</f>
        <v>62.951999999999998</v>
      </c>
      <c r="D16" s="142">
        <f>B16*IBGE_2!D$16/100</f>
        <v>1.2370000000000001</v>
      </c>
      <c r="E16" s="142">
        <f>B16*IBGE_2!E$16/100</f>
        <v>0.30499999999999999</v>
      </c>
      <c r="F16" s="142">
        <f>B16*IBGE_2!F$16/100</f>
        <v>3.3000000000000002E-2</v>
      </c>
      <c r="G16" s="142">
        <f>B16*IBGE_2!G$16/100</f>
        <v>5.8999999999999997E-2</v>
      </c>
      <c r="H16" s="142">
        <f>B16*IBGE_2!H$16/100</f>
        <v>0.125</v>
      </c>
      <c r="I16" s="142">
        <f>B16*IBGE_2!I$16/100</f>
        <v>0.122</v>
      </c>
      <c r="J16" s="142">
        <f>B16*IBGE_2!J$16/100</f>
        <v>3.0000000000000001E-3</v>
      </c>
      <c r="K16" s="142" t="s">
        <v>3047</v>
      </c>
      <c r="L16" s="142">
        <f>B16*IBGE_2!L$16/100</f>
        <v>13.503</v>
      </c>
      <c r="M16" s="142">
        <f>B16*IBGE_2!M$16/100</f>
        <v>0.67200000000000004</v>
      </c>
      <c r="N16" s="142">
        <f>B16*IBGE_2!N$16/100</f>
        <v>3.3730000000000002</v>
      </c>
      <c r="O16" s="142">
        <f>B16*IBGE_2!O$16/100</f>
        <v>6.9249999999999998</v>
      </c>
      <c r="P16" s="142">
        <f>B16*IBGE_2!P$16/100</f>
        <v>3.1E-2</v>
      </c>
      <c r="Q16" s="142">
        <f>B16*IBGE_2!Q$16/100</f>
        <v>17.913</v>
      </c>
      <c r="R16" s="142">
        <f>B16*IBGE_2!R$16/100</f>
        <v>0.73699999999999999</v>
      </c>
      <c r="S16" s="142">
        <f>B16*IBGE_2!S$16/100</f>
        <v>5.0090000000000003</v>
      </c>
      <c r="T16" s="142">
        <f>B16*IBGE_2!T$16/100</f>
        <v>25.930999999999997</v>
      </c>
      <c r="U16" s="142">
        <f>B16*IBGE_2!U$16/100</f>
        <v>2.3E-2</v>
      </c>
      <c r="V16" s="142">
        <f>B16*IBGE_2!V$16/100</f>
        <v>0.13100000000000001</v>
      </c>
      <c r="W16" s="142" t="s">
        <v>3047</v>
      </c>
      <c r="X16" s="142">
        <f>B16*IBGE_2!X$16/100</f>
        <v>0.105</v>
      </c>
      <c r="Y16" s="142">
        <f>B16*IBGE_2!Y$16/100</f>
        <v>7.0999999999999994E-2</v>
      </c>
      <c r="Z16" s="142">
        <f>B16*IBGE_2!Z$16/100</f>
        <v>3.4000000000000002E-2</v>
      </c>
      <c r="AA16" s="142">
        <f>B16*IBGE_2!AA$16/100</f>
        <v>0.90600000000000014</v>
      </c>
      <c r="AB16" s="142" t="s">
        <v>3047</v>
      </c>
      <c r="AC16" s="142">
        <f>B16*IBGE_2!AC$16/100</f>
        <v>1.0169999999999999</v>
      </c>
      <c r="AD16" s="142" t="s">
        <v>3047</v>
      </c>
      <c r="AE16" s="142">
        <f>B16*IBGE_2!AE$16/100</f>
        <v>20.812999999999999</v>
      </c>
      <c r="AF16" s="142" t="s">
        <v>3047</v>
      </c>
      <c r="AG16" s="142">
        <f>B16*IBGE_2!AG$16/100</f>
        <v>2.7000000000000003E-2</v>
      </c>
      <c r="AH16" s="142" t="s">
        <v>3047</v>
      </c>
      <c r="AI16" s="142">
        <f>B16*IBGE_2!AI$16/100</f>
        <v>126</v>
      </c>
      <c r="AJ16" s="142">
        <f>B16*IBGE_2!AJ$16/100</f>
        <v>1.9790000000000001</v>
      </c>
      <c r="AK16" s="142">
        <f>B16*IBGE_2!AK$16/100</f>
        <v>1.827</v>
      </c>
      <c r="AL16" s="142">
        <f>B16*IBGE_2!AL$16/100</f>
        <v>0.28499999999999998</v>
      </c>
      <c r="AM16" s="142" t="s">
        <v>3047</v>
      </c>
      <c r="AN16" s="161"/>
    </row>
    <row r="17" spans="1:40">
      <c r="A17" s="143" t="s">
        <v>1076</v>
      </c>
      <c r="B17" s="141">
        <v>100</v>
      </c>
      <c r="C17" s="142">
        <f>B17*IBGE_2!C$17/100</f>
        <v>62.951999999999998</v>
      </c>
      <c r="D17" s="142">
        <f>B17*IBGE_2!D$17/100</f>
        <v>1.2370000000000001</v>
      </c>
      <c r="E17" s="142">
        <f>B17*IBGE_2!E$17/100</f>
        <v>0.30499999999999999</v>
      </c>
      <c r="F17" s="142">
        <f>B17*IBGE_2!F$17/100</f>
        <v>3.3000000000000002E-2</v>
      </c>
      <c r="G17" s="142">
        <f>B17*IBGE_2!G$17/100</f>
        <v>5.8999999999999997E-2</v>
      </c>
      <c r="H17" s="142">
        <f>B17*IBGE_2!H$17/100</f>
        <v>0.125</v>
      </c>
      <c r="I17" s="142">
        <f>B17*IBGE_2!I$17/100</f>
        <v>0.122</v>
      </c>
      <c r="J17" s="142">
        <f>B17*IBGE_2!J$17/100</f>
        <v>3.0000000000000001E-3</v>
      </c>
      <c r="K17" s="142" t="s">
        <v>3047</v>
      </c>
      <c r="L17" s="142">
        <f>B17*IBGE_2!L$17/100</f>
        <v>13.503</v>
      </c>
      <c r="M17" s="142">
        <f>B17*IBGE_2!M$17/100</f>
        <v>0.67200000000000004</v>
      </c>
      <c r="N17" s="142">
        <f>B17*IBGE_2!N$17/100</f>
        <v>3.3730000000000002</v>
      </c>
      <c r="O17" s="142">
        <f>B17*IBGE_2!O$17/100</f>
        <v>6.9249999999999998</v>
      </c>
      <c r="P17" s="142">
        <f>B17*IBGE_2!P$17/100</f>
        <v>3.1E-2</v>
      </c>
      <c r="Q17" s="142">
        <f>B17*IBGE_2!Q$17/100</f>
        <v>17.913</v>
      </c>
      <c r="R17" s="142">
        <f>B17*IBGE_2!R$17/100</f>
        <v>0.73699999999999999</v>
      </c>
      <c r="S17" s="142">
        <f>B17*IBGE_2!S$17/100</f>
        <v>5.0090000000000003</v>
      </c>
      <c r="T17" s="142">
        <f>B17*IBGE_2!T$17/100</f>
        <v>25.930999999999997</v>
      </c>
      <c r="U17" s="142">
        <f>B17*IBGE_2!U$17/100</f>
        <v>2.3E-2</v>
      </c>
      <c r="V17" s="142">
        <f>B17*IBGE_2!V$17/100</f>
        <v>0.13100000000000001</v>
      </c>
      <c r="W17" s="142" t="s">
        <v>3047</v>
      </c>
      <c r="X17" s="142">
        <f>B17*IBGE_2!X$17/100</f>
        <v>0.105</v>
      </c>
      <c r="Y17" s="142">
        <f>B17*IBGE_2!Y$17/100</f>
        <v>7.0999999999999994E-2</v>
      </c>
      <c r="Z17" s="142">
        <f>B17*IBGE_2!Z$17/100</f>
        <v>3.4000000000000002E-2</v>
      </c>
      <c r="AA17" s="142">
        <f>B17*IBGE_2!AA$17/100</f>
        <v>0.90600000000000014</v>
      </c>
      <c r="AB17" s="142" t="s">
        <v>3047</v>
      </c>
      <c r="AC17" s="142">
        <f>B17*IBGE_2!AC$17/100</f>
        <v>1.0169999999999999</v>
      </c>
      <c r="AD17" s="142" t="s">
        <v>3047</v>
      </c>
      <c r="AE17" s="142">
        <f>B17*IBGE_2!AE$17/100</f>
        <v>20.812999999999999</v>
      </c>
      <c r="AF17" s="142" t="s">
        <v>3047</v>
      </c>
      <c r="AG17" s="142">
        <f>B17*IBGE_2!AG$17/100</f>
        <v>2.7000000000000003E-2</v>
      </c>
      <c r="AH17" s="142" t="s">
        <v>3047</v>
      </c>
      <c r="AI17" s="142">
        <f>B17*IBGE_2!AI$17/100</f>
        <v>126</v>
      </c>
      <c r="AJ17" s="142">
        <f>B17*IBGE_2!AJ$17/100</f>
        <v>1.9790000000000001</v>
      </c>
      <c r="AK17" s="142">
        <f>B17*IBGE_2!AK$17/100</f>
        <v>1.827</v>
      </c>
      <c r="AL17" s="142">
        <f>B17*IBGE_2!AL$17/100</f>
        <v>0.28499999999999998</v>
      </c>
      <c r="AM17" s="142" t="s">
        <v>3047</v>
      </c>
      <c r="AN17" s="161"/>
    </row>
    <row r="18" spans="1:40">
      <c r="A18" s="143" t="s">
        <v>1077</v>
      </c>
      <c r="B18" s="141">
        <v>100</v>
      </c>
      <c r="C18" s="142">
        <f>B18*IBGE_2!C$18/100</f>
        <v>567</v>
      </c>
      <c r="D18" s="142">
        <f>B18*IBGE_2!D$18/100</f>
        <v>25.8</v>
      </c>
      <c r="E18" s="142">
        <f>B18*IBGE_2!E$18/100</f>
        <v>49.24</v>
      </c>
      <c r="F18" s="142">
        <f>B18*IBGE_2!F$18/100</f>
        <v>6.8339999999999996</v>
      </c>
      <c r="G18" s="142">
        <f>B18*IBGE_2!G$18/100</f>
        <v>24.428999999999995</v>
      </c>
      <c r="H18" s="142">
        <f>B18*IBGE_2!H$18/100</f>
        <v>15.558999999999999</v>
      </c>
      <c r="I18" s="142">
        <f>B18*IBGE_2!I$18/100</f>
        <v>15.555</v>
      </c>
      <c r="J18" s="142">
        <f>B18*IBGE_2!J$18/100</f>
        <v>3.0000000000000001E-3</v>
      </c>
      <c r="K18" s="142" t="s">
        <v>3047</v>
      </c>
      <c r="L18" s="142">
        <f>B18*IBGE_2!L$18/100</f>
        <v>16.13</v>
      </c>
      <c r="M18" s="142">
        <f>B18*IBGE_2!M$18/100</f>
        <v>8.5</v>
      </c>
      <c r="N18" s="142">
        <f>B18*IBGE_2!N$18/100</f>
        <v>92</v>
      </c>
      <c r="O18" s="142">
        <f>B18*IBGE_2!O$18/100</f>
        <v>168</v>
      </c>
      <c r="P18" s="142">
        <f>B18*IBGE_2!P$18/100</f>
        <v>1.9340000000000002</v>
      </c>
      <c r="Q18" s="142">
        <f>B18*IBGE_2!Q$18/100</f>
        <v>376</v>
      </c>
      <c r="R18" s="142">
        <f>B18*IBGE_2!R$18/100</f>
        <v>4.58</v>
      </c>
      <c r="S18" s="142">
        <f>B18*IBGE_2!S$18/100</f>
        <v>18</v>
      </c>
      <c r="T18" s="142">
        <f>B18*IBGE_2!T$18/100</f>
        <v>705</v>
      </c>
      <c r="U18" s="142">
        <f>B18*IBGE_2!U$18/100</f>
        <v>1.1439999999999999</v>
      </c>
      <c r="V18" s="142">
        <f>B18*IBGE_2!V$18/100</f>
        <v>3.27</v>
      </c>
      <c r="W18" s="142" t="s">
        <v>3047</v>
      </c>
      <c r="X18" s="142">
        <f>B18*IBGE_2!X$18/100</f>
        <v>0.64</v>
      </c>
      <c r="Y18" s="142">
        <f>B18*IBGE_2!Y$18/100</f>
        <v>0.13500000000000001</v>
      </c>
      <c r="Z18" s="142">
        <f>B18*IBGE_2!Z$18/100</f>
        <v>0.34799999999999998</v>
      </c>
      <c r="AA18" s="142">
        <f>B18*IBGE_2!AA$18/100</f>
        <v>12.066000000000001</v>
      </c>
      <c r="AB18" s="142" t="s">
        <v>3047</v>
      </c>
      <c r="AC18" s="142">
        <f>B18*IBGE_2!AC$18/100</f>
        <v>16.233000000000001</v>
      </c>
      <c r="AD18" s="142" t="s">
        <v>3047</v>
      </c>
      <c r="AE18" s="142">
        <f>B18*IBGE_2!AE$18/100</f>
        <v>240</v>
      </c>
      <c r="AF18" s="142" t="s">
        <v>3047</v>
      </c>
      <c r="AG18" s="142">
        <f>B18*IBGE_2!AG$18/100</f>
        <v>8.33</v>
      </c>
      <c r="AH18" s="142" t="s">
        <v>3047</v>
      </c>
      <c r="AI18" s="142" t="s">
        <v>3047</v>
      </c>
      <c r="AJ18" s="142">
        <f>B18*IBGE_2!AJ$18/100</f>
        <v>7.2</v>
      </c>
      <c r="AK18" s="142" t="s">
        <v>3047</v>
      </c>
      <c r="AL18" s="142">
        <f>B18*IBGE_2!AL$18/100</f>
        <v>4</v>
      </c>
      <c r="AM18" s="142" t="s">
        <v>3047</v>
      </c>
      <c r="AN18" s="161"/>
    </row>
    <row r="19" spans="1:40">
      <c r="A19" s="143" t="s">
        <v>1078</v>
      </c>
      <c r="B19" s="141">
        <v>100</v>
      </c>
      <c r="C19" s="142">
        <f>B19*IBGE_2!C$19/100</f>
        <v>109.09300000000002</v>
      </c>
      <c r="D19" s="142">
        <f>B19*IBGE_2!D$19/100</f>
        <v>5.36</v>
      </c>
      <c r="E19" s="142">
        <f>B19*IBGE_2!E$19/100</f>
        <v>3.0590000000000002</v>
      </c>
      <c r="F19" s="142">
        <f>B19*IBGE_2!F$19/100</f>
        <v>0.48299999999999998</v>
      </c>
      <c r="G19" s="142">
        <f>B19*IBGE_2!G$19/100</f>
        <v>0.66600000000000004</v>
      </c>
      <c r="H19" s="142">
        <f>B19*IBGE_2!H$19/100</f>
        <v>1.7410000000000003</v>
      </c>
      <c r="I19" s="142">
        <f>B19*IBGE_2!I$19/100</f>
        <v>1.528</v>
      </c>
      <c r="J19" s="142">
        <f>B19*IBGE_2!J$19/100</f>
        <v>0.21199999999999999</v>
      </c>
      <c r="K19" s="142" t="s">
        <v>3047</v>
      </c>
      <c r="L19" s="142">
        <f>B19*IBGE_2!L$19/100</f>
        <v>15.63</v>
      </c>
      <c r="M19" s="142">
        <f>B19*IBGE_2!M$19/100</f>
        <v>5.5</v>
      </c>
      <c r="N19" s="142">
        <f>B19*IBGE_2!N$19/100</f>
        <v>27</v>
      </c>
      <c r="O19" s="142">
        <f>B19*IBGE_2!O$19/100</f>
        <v>39</v>
      </c>
      <c r="P19" s="142">
        <f>B19*IBGE_2!P$19/100</f>
        <v>0.52500000000000002</v>
      </c>
      <c r="Q19" s="142">
        <f>B19*IBGE_2!Q$19/100</f>
        <v>117</v>
      </c>
      <c r="R19" s="142">
        <f>B19*IBGE_2!R$19/100</f>
        <v>1.5409999999999999</v>
      </c>
      <c r="S19" s="142">
        <f>B19*IBGE_2!S$19/100</f>
        <v>3</v>
      </c>
      <c r="T19" s="142">
        <f>B19*IBGE_2!T$19/100</f>
        <v>271</v>
      </c>
      <c r="U19" s="142">
        <f>B19*IBGE_2!U$19/100</f>
        <v>0.17299999999999996</v>
      </c>
      <c r="V19" s="142">
        <f>B19*IBGE_2!V$19/100</f>
        <v>1.19</v>
      </c>
      <c r="W19" s="142" t="s">
        <v>3047</v>
      </c>
      <c r="X19" s="142">
        <f>B19*IBGE_2!X$19/100</f>
        <v>0.25900000000000001</v>
      </c>
      <c r="Y19" s="142">
        <f>B19*IBGE_2!Y$19/100</f>
        <v>0.14899999999999999</v>
      </c>
      <c r="Z19" s="142">
        <f>B19*IBGE_2!Z$19/100</f>
        <v>0.21600000000000003</v>
      </c>
      <c r="AA19" s="142">
        <f>B19*IBGE_2!AA$19/100</f>
        <v>2.0209999999999999</v>
      </c>
      <c r="AB19" s="142">
        <f>B19*IBGE_2!AB$19/100</f>
        <v>14.2</v>
      </c>
      <c r="AC19" s="142">
        <f>B19*IBGE_2!AC$19/100</f>
        <v>2.6379999999999999</v>
      </c>
      <c r="AD19" s="142" t="s">
        <v>3047</v>
      </c>
      <c r="AE19" s="142">
        <f>B19*IBGE_2!AE$19/100</f>
        <v>63</v>
      </c>
      <c r="AF19" s="142" t="s">
        <v>3047</v>
      </c>
      <c r="AG19" s="142">
        <f>B19*IBGE_2!AG$19/100</f>
        <v>0.37200000000000005</v>
      </c>
      <c r="AH19" s="142">
        <f>B19*IBGE_2!AH$19/100</f>
        <v>1.4999999999999999E-2</v>
      </c>
      <c r="AI19" s="142">
        <f>B19*IBGE_2!AI$19/100</f>
        <v>236</v>
      </c>
      <c r="AJ19" s="142">
        <f>B19*IBGE_2!AJ$19/100</f>
        <v>3.2010000000000001</v>
      </c>
      <c r="AK19" s="142">
        <f>B19*IBGE_2!AK$19/100</f>
        <v>40.082999999999998</v>
      </c>
      <c r="AL19" s="142">
        <f>B19*IBGE_2!AL$19/100</f>
        <v>5.94</v>
      </c>
      <c r="AM19" s="142" t="s">
        <v>3047</v>
      </c>
      <c r="AN19" s="161"/>
    </row>
    <row r="20" spans="1:40">
      <c r="A20" s="143" t="s">
        <v>1079</v>
      </c>
      <c r="B20" s="141">
        <v>100</v>
      </c>
      <c r="C20" s="142">
        <f>B20*IBGE_2!C$20/100</f>
        <v>85.617000000000004</v>
      </c>
      <c r="D20" s="142">
        <f>B20*IBGE_2!D$20/100</f>
        <v>4.8</v>
      </c>
      <c r="E20" s="142">
        <f>B20*IBGE_2!E$20/100</f>
        <v>3.1719999999999997</v>
      </c>
      <c r="F20" s="142">
        <f>B20*IBGE_2!F$20/100</f>
        <v>0.56000000000000005</v>
      </c>
      <c r="G20" s="142">
        <f>B20*IBGE_2!G$20/100</f>
        <v>0.629</v>
      </c>
      <c r="H20" s="142">
        <f>B20*IBGE_2!H$20/100</f>
        <v>1.8460000000000003</v>
      </c>
      <c r="I20" s="142">
        <f>B20*IBGE_2!I$20/100</f>
        <v>1.482</v>
      </c>
      <c r="J20" s="142">
        <f>B20*IBGE_2!J$20/100</f>
        <v>0.36299999999999999</v>
      </c>
      <c r="K20" s="142" t="s">
        <v>3047</v>
      </c>
      <c r="L20" s="142">
        <f>B20*IBGE_2!L$20/100</f>
        <v>10.1</v>
      </c>
      <c r="M20" s="142">
        <f>B20*IBGE_2!M$20/100</f>
        <v>3.6</v>
      </c>
      <c r="N20" s="142">
        <f>B20*IBGE_2!N$20/100</f>
        <v>18</v>
      </c>
      <c r="O20" s="142">
        <f>B20*IBGE_2!O$20/100</f>
        <v>31</v>
      </c>
      <c r="P20" s="142">
        <f>B20*IBGE_2!P$20/100</f>
        <v>0.26100000000000001</v>
      </c>
      <c r="Q20" s="142">
        <f>B20*IBGE_2!Q$20/100</f>
        <v>73</v>
      </c>
      <c r="R20" s="142">
        <f>B20*IBGE_2!R$20/100</f>
        <v>1.5009999999999999</v>
      </c>
      <c r="S20" s="142">
        <f>B20*IBGE_2!S$20/100</f>
        <v>41</v>
      </c>
      <c r="T20" s="142">
        <f>B20*IBGE_2!T$20/100</f>
        <v>193</v>
      </c>
      <c r="U20" s="142">
        <f>B20*IBGE_2!U$20/100</f>
        <v>0.06</v>
      </c>
      <c r="V20" s="142">
        <f>B20*IBGE_2!V$20/100</f>
        <v>0.47</v>
      </c>
      <c r="W20" s="142" t="s">
        <v>3047</v>
      </c>
      <c r="X20" s="142">
        <f>B20*IBGE_2!X$20/100</f>
        <v>0.128</v>
      </c>
      <c r="Y20" s="142">
        <f>B20*IBGE_2!Y$20/100</f>
        <v>0.09</v>
      </c>
      <c r="Z20" s="142">
        <f>B20*IBGE_2!Z$20/100</f>
        <v>2.9000000000000005E-2</v>
      </c>
      <c r="AA20" s="142">
        <f>B20*IBGE_2!AA$20/100</f>
        <v>1.2</v>
      </c>
      <c r="AB20" s="142">
        <f>B20*IBGE_2!AB$20/100</f>
        <v>19.8</v>
      </c>
      <c r="AC20" s="142">
        <f>B20*IBGE_2!AC$20/100</f>
        <v>2</v>
      </c>
      <c r="AD20" s="142" t="s">
        <v>3047</v>
      </c>
      <c r="AE20" s="142">
        <f>B20*IBGE_2!AE$20/100</f>
        <v>58</v>
      </c>
      <c r="AF20" s="142" t="s">
        <v>3047</v>
      </c>
      <c r="AG20" s="142">
        <f>B20*IBGE_2!AG$20/100</f>
        <v>0.33600000000000002</v>
      </c>
      <c r="AH20" s="142">
        <f>B20*IBGE_2!AH$20/100</f>
        <v>1.4000000000000002E-2</v>
      </c>
      <c r="AI20" s="142">
        <f>B20*IBGE_2!AI$20/100</f>
        <v>222</v>
      </c>
      <c r="AJ20" s="142">
        <f>B20*IBGE_2!AJ$20/100</f>
        <v>2.2240000000000002</v>
      </c>
      <c r="AK20" s="142">
        <f>B20*IBGE_2!AK$20/100</f>
        <v>18.832999999999998</v>
      </c>
      <c r="AL20" s="142">
        <f>B20*IBGE_2!AL$20/100</f>
        <v>1.2350000000000001</v>
      </c>
      <c r="AM20" s="142" t="s">
        <v>3047</v>
      </c>
      <c r="AN20" s="161"/>
    </row>
    <row r="21" spans="1:40">
      <c r="A21" s="143" t="s">
        <v>1080</v>
      </c>
      <c r="B21" s="141">
        <v>100</v>
      </c>
      <c r="C21" s="142">
        <f>B21*IBGE_2!C$21/100</f>
        <v>85.617000000000004</v>
      </c>
      <c r="D21" s="142">
        <f>B21*IBGE_2!D$21/100</f>
        <v>4.8</v>
      </c>
      <c r="E21" s="142">
        <f>B21*IBGE_2!E$21/100</f>
        <v>3.1719999999999997</v>
      </c>
      <c r="F21" s="142">
        <f>B21*IBGE_2!F$21/100</f>
        <v>0.56000000000000005</v>
      </c>
      <c r="G21" s="142">
        <f>B21*IBGE_2!G$21/100</f>
        <v>0.629</v>
      </c>
      <c r="H21" s="142">
        <f>B21*IBGE_2!H$21/100</f>
        <v>1.8460000000000003</v>
      </c>
      <c r="I21" s="142">
        <f>B21*IBGE_2!I$21/100</f>
        <v>1.482</v>
      </c>
      <c r="J21" s="142">
        <f>B21*IBGE_2!J$21/100</f>
        <v>0.36299999999999999</v>
      </c>
      <c r="K21" s="142" t="s">
        <v>3047</v>
      </c>
      <c r="L21" s="142">
        <f>B21*IBGE_2!L$21/100</f>
        <v>10.1</v>
      </c>
      <c r="M21" s="142">
        <f>B21*IBGE_2!M$21/100</f>
        <v>3.6</v>
      </c>
      <c r="N21" s="142">
        <f>B21*IBGE_2!N$21/100</f>
        <v>18</v>
      </c>
      <c r="O21" s="142">
        <f>B21*IBGE_2!O$21/100</f>
        <v>31</v>
      </c>
      <c r="P21" s="142">
        <f>B21*IBGE_2!P$21/100</f>
        <v>0.26100000000000001</v>
      </c>
      <c r="Q21" s="142">
        <f>B21*IBGE_2!Q$21/100</f>
        <v>73</v>
      </c>
      <c r="R21" s="142">
        <f>B21*IBGE_2!R$21/100</f>
        <v>1.5009999999999999</v>
      </c>
      <c r="S21" s="142">
        <f>B21*IBGE_2!S$21/100</f>
        <v>41</v>
      </c>
      <c r="T21" s="142">
        <f>B21*IBGE_2!T$21/100</f>
        <v>193</v>
      </c>
      <c r="U21" s="142">
        <f>B21*IBGE_2!U$21/100</f>
        <v>0.06</v>
      </c>
      <c r="V21" s="142">
        <f>B21*IBGE_2!V$21/100</f>
        <v>0.47</v>
      </c>
      <c r="W21" s="142" t="s">
        <v>3047</v>
      </c>
      <c r="X21" s="142">
        <f>B21*IBGE_2!X$21/100</f>
        <v>0.128</v>
      </c>
      <c r="Y21" s="142">
        <f>B21*IBGE_2!Y$21/100</f>
        <v>0.09</v>
      </c>
      <c r="Z21" s="142">
        <f>B21*IBGE_2!Z$21/100</f>
        <v>2.9000000000000005E-2</v>
      </c>
      <c r="AA21" s="142">
        <f>B21*IBGE_2!AA$21/100</f>
        <v>1.2</v>
      </c>
      <c r="AB21" s="142">
        <f>B21*IBGE_2!AB$21/100</f>
        <v>19.8</v>
      </c>
      <c r="AC21" s="142">
        <f>B21*IBGE_2!AC$21/100</f>
        <v>2</v>
      </c>
      <c r="AD21" s="142" t="s">
        <v>3047</v>
      </c>
      <c r="AE21" s="142">
        <f>B21*IBGE_2!AE$21/100</f>
        <v>58</v>
      </c>
      <c r="AF21" s="142" t="s">
        <v>3047</v>
      </c>
      <c r="AG21" s="142">
        <f>B21*IBGE_2!AG$21/100</f>
        <v>0.33600000000000002</v>
      </c>
      <c r="AH21" s="142">
        <f>B21*IBGE_2!AH$21/100</f>
        <v>1.4000000000000002E-2</v>
      </c>
      <c r="AI21" s="142">
        <f>B21*IBGE_2!AI$21/100</f>
        <v>222</v>
      </c>
      <c r="AJ21" s="142">
        <f>B21*IBGE_2!AJ$21/100</f>
        <v>2.2240000000000002</v>
      </c>
      <c r="AK21" s="142">
        <f>B21*IBGE_2!AK$21/100</f>
        <v>18.832999999999998</v>
      </c>
      <c r="AL21" s="142">
        <f>B21*IBGE_2!AL$21/100</f>
        <v>1.2350000000000001</v>
      </c>
      <c r="AM21" s="142" t="s">
        <v>3047</v>
      </c>
      <c r="AN21" s="161"/>
    </row>
    <row r="22" spans="1:40">
      <c r="A22" s="143" t="s">
        <v>1081</v>
      </c>
      <c r="B22" s="141">
        <v>100</v>
      </c>
      <c r="C22" s="142">
        <f>B22*IBGE_2!C$22/100</f>
        <v>121.33199999999999</v>
      </c>
      <c r="D22" s="142">
        <f>B22*IBGE_2!D$22/100</f>
        <v>3.17</v>
      </c>
      <c r="E22" s="142">
        <f>B22*IBGE_2!E$22/100</f>
        <v>3.133</v>
      </c>
      <c r="F22" s="142">
        <f>B22*IBGE_2!F$22/100</f>
        <v>0.52700000000000002</v>
      </c>
      <c r="G22" s="142">
        <f>B22*IBGE_2!G$22/100</f>
        <v>0.66100000000000003</v>
      </c>
      <c r="H22" s="142">
        <f>B22*IBGE_2!H$22/100</f>
        <v>1.75</v>
      </c>
      <c r="I22" s="142">
        <f>B22*IBGE_2!I$22/100</f>
        <v>1.4950000000000001</v>
      </c>
      <c r="J22" s="142">
        <f>B22*IBGE_2!J$22/100</f>
        <v>0.255</v>
      </c>
      <c r="K22" s="142" t="s">
        <v>3047</v>
      </c>
      <c r="L22" s="142">
        <f>B22*IBGE_2!L$22/100</f>
        <v>20.32</v>
      </c>
      <c r="M22" s="142">
        <f>B22*IBGE_2!M$22/100</f>
        <v>5</v>
      </c>
      <c r="N22" s="142">
        <f>B22*IBGE_2!N$22/100</f>
        <v>128</v>
      </c>
      <c r="O22" s="142">
        <f>B22*IBGE_2!O$22/100</f>
        <v>52</v>
      </c>
      <c r="P22" s="142">
        <f>B22*IBGE_2!P$22/100</f>
        <v>0.57199999999999995</v>
      </c>
      <c r="Q22" s="142">
        <f>B22*IBGE_2!Q$22/100</f>
        <v>51</v>
      </c>
      <c r="R22" s="142">
        <f>B22*IBGE_2!R$22/100</f>
        <v>1.121</v>
      </c>
      <c r="S22" s="142">
        <f>B22*IBGE_2!S$22/100</f>
        <v>4</v>
      </c>
      <c r="T22" s="142">
        <f>B22*IBGE_2!T$22/100</f>
        <v>418</v>
      </c>
      <c r="U22" s="142">
        <f>B22*IBGE_2!U$22/100</f>
        <v>0.13300000000000001</v>
      </c>
      <c r="V22" s="142">
        <f>B22*IBGE_2!V$22/100</f>
        <v>1.03</v>
      </c>
      <c r="W22" s="142" t="s">
        <v>3047</v>
      </c>
      <c r="X22" s="142">
        <f>B22*IBGE_2!X$22/100</f>
        <v>0.10100000000000002</v>
      </c>
      <c r="Y22" s="142">
        <f>B22*IBGE_2!Y$22/100</f>
        <v>0.14799999999999999</v>
      </c>
      <c r="Z22" s="142">
        <f>B22*IBGE_2!Z$22/100</f>
        <v>6.5000000000000002E-2</v>
      </c>
      <c r="AA22" s="142">
        <f>B22*IBGE_2!AA$22/100</f>
        <v>1.403</v>
      </c>
      <c r="AB22" s="142">
        <f>B22*IBGE_2!AB$22/100</f>
        <v>2.2000000000000002</v>
      </c>
      <c r="AC22" s="142">
        <f>B22*IBGE_2!AC$22/100</f>
        <v>2.02</v>
      </c>
      <c r="AD22" s="142" t="s">
        <v>3047</v>
      </c>
      <c r="AE22" s="142">
        <f>B22*IBGE_2!AE$22/100</f>
        <v>127</v>
      </c>
      <c r="AF22" s="142" t="s">
        <v>3047</v>
      </c>
      <c r="AG22" s="142">
        <f>B22*IBGE_2!AG$22/100</f>
        <v>0.44500000000000001</v>
      </c>
      <c r="AH22" s="142">
        <f>B22*IBGE_2!AH$22/100</f>
        <v>1.4999999999999999E-2</v>
      </c>
      <c r="AI22" s="142">
        <f>B22*IBGE_2!AI$22/100</f>
        <v>229</v>
      </c>
      <c r="AJ22" s="142">
        <f>B22*IBGE_2!AJ$22/100</f>
        <v>3.7610000000000001</v>
      </c>
      <c r="AK22" s="142">
        <f>B22*IBGE_2!AK$22/100</f>
        <v>39.582999999999998</v>
      </c>
      <c r="AL22" s="142">
        <f>B22*IBGE_2!AL$22/100</f>
        <v>0.34</v>
      </c>
      <c r="AM22" s="142" t="s">
        <v>3047</v>
      </c>
      <c r="AN22" s="161"/>
    </row>
    <row r="23" spans="1:40">
      <c r="A23" s="143" t="s">
        <v>1082</v>
      </c>
      <c r="B23" s="141">
        <v>100</v>
      </c>
      <c r="C23" s="142">
        <f>B23*IBGE_2!C$23/100</f>
        <v>121.33199999999999</v>
      </c>
      <c r="D23" s="142">
        <f>B23*IBGE_2!D$23/100</f>
        <v>3.17</v>
      </c>
      <c r="E23" s="142">
        <f>B23*IBGE_2!E$23/100</f>
        <v>3.133</v>
      </c>
      <c r="F23" s="142">
        <f>B23*IBGE_2!F$23/100</f>
        <v>0.52700000000000002</v>
      </c>
      <c r="G23" s="142">
        <f>B23*IBGE_2!G$23/100</f>
        <v>0.66100000000000003</v>
      </c>
      <c r="H23" s="142">
        <f>B23*IBGE_2!H$23/100</f>
        <v>1.75</v>
      </c>
      <c r="I23" s="142">
        <f>B23*IBGE_2!I$23/100</f>
        <v>1.4950000000000001</v>
      </c>
      <c r="J23" s="142">
        <f>B23*IBGE_2!J$23/100</f>
        <v>0.255</v>
      </c>
      <c r="K23" s="142" t="s">
        <v>3047</v>
      </c>
      <c r="L23" s="142">
        <f>B23*IBGE_2!L$23/100</f>
        <v>20.32</v>
      </c>
      <c r="M23" s="142">
        <f>B23*IBGE_2!M$23/100</f>
        <v>5</v>
      </c>
      <c r="N23" s="142">
        <f>B23*IBGE_2!N$23/100</f>
        <v>128</v>
      </c>
      <c r="O23" s="142">
        <f>B23*IBGE_2!O$23/100</f>
        <v>52</v>
      </c>
      <c r="P23" s="142">
        <f>B23*IBGE_2!P$23/100</f>
        <v>0.57199999999999995</v>
      </c>
      <c r="Q23" s="142">
        <f>B23*IBGE_2!Q$23/100</f>
        <v>51</v>
      </c>
      <c r="R23" s="142">
        <f>B23*IBGE_2!R$23/100</f>
        <v>1.121</v>
      </c>
      <c r="S23" s="142">
        <f>B23*IBGE_2!S$23/100</f>
        <v>4</v>
      </c>
      <c r="T23" s="142">
        <f>B23*IBGE_2!T$23/100</f>
        <v>418</v>
      </c>
      <c r="U23" s="142">
        <f>B23*IBGE_2!U$23/100</f>
        <v>0.13300000000000001</v>
      </c>
      <c r="V23" s="142">
        <f>B23*IBGE_2!V$23/100</f>
        <v>1.03</v>
      </c>
      <c r="W23" s="142" t="s">
        <v>3047</v>
      </c>
      <c r="X23" s="142">
        <f>B23*IBGE_2!X$23/100</f>
        <v>0.10100000000000002</v>
      </c>
      <c r="Y23" s="142">
        <f>B23*IBGE_2!Y$23/100</f>
        <v>0.14799999999999999</v>
      </c>
      <c r="Z23" s="142">
        <f>B23*IBGE_2!Z$23/100</f>
        <v>6.5000000000000002E-2</v>
      </c>
      <c r="AA23" s="142">
        <f>B23*IBGE_2!AA$23/100</f>
        <v>1.403</v>
      </c>
      <c r="AB23" s="142">
        <f>B23*IBGE_2!AB$23/100</f>
        <v>2.2000000000000002</v>
      </c>
      <c r="AC23" s="142">
        <f>B23*IBGE_2!AC$23/100</f>
        <v>2.02</v>
      </c>
      <c r="AD23" s="142" t="s">
        <v>3047</v>
      </c>
      <c r="AE23" s="142">
        <f>B23*IBGE_2!AE$23/100</f>
        <v>127</v>
      </c>
      <c r="AF23" s="142" t="s">
        <v>3047</v>
      </c>
      <c r="AG23" s="142">
        <f>B23*IBGE_2!AG$23/100</f>
        <v>0.44500000000000001</v>
      </c>
      <c r="AH23" s="142">
        <f>B23*IBGE_2!AH$23/100</f>
        <v>1.4999999999999999E-2</v>
      </c>
      <c r="AI23" s="142">
        <f>B23*IBGE_2!AI$23/100</f>
        <v>229</v>
      </c>
      <c r="AJ23" s="142">
        <f>B23*IBGE_2!AJ$23/100</f>
        <v>3.7610000000000001</v>
      </c>
      <c r="AK23" s="142">
        <f>B23*IBGE_2!AK$23/100</f>
        <v>39.582999999999998</v>
      </c>
      <c r="AL23" s="142">
        <f>B23*IBGE_2!AL$23/100</f>
        <v>0.34</v>
      </c>
      <c r="AM23" s="142" t="s">
        <v>3047</v>
      </c>
      <c r="AN23" s="161"/>
    </row>
    <row r="24" spans="1:40">
      <c r="A24" s="143" t="s">
        <v>1083</v>
      </c>
      <c r="B24" s="141">
        <v>100</v>
      </c>
      <c r="C24" s="142">
        <f>B24*IBGE_2!C$24/100</f>
        <v>534</v>
      </c>
      <c r="D24" s="142">
        <f>B24*IBGE_2!D$24/100</f>
        <v>18.29</v>
      </c>
      <c r="E24" s="142">
        <f>B24*IBGE_2!E$24/100</f>
        <v>42.16</v>
      </c>
      <c r="F24" s="142">
        <f>B24*IBGE_2!F$24/100</f>
        <v>3.6629999999999994</v>
      </c>
      <c r="G24" s="142">
        <f>B24*IBGE_2!G$24/100</f>
        <v>7.5270000000000001</v>
      </c>
      <c r="H24" s="142">
        <f>B24*IBGE_2!H$24/100</f>
        <v>28.73</v>
      </c>
      <c r="I24" s="142">
        <f>B24*IBGE_2!I$24/100</f>
        <v>5.9029999999999996</v>
      </c>
      <c r="J24" s="142">
        <f>B24*IBGE_2!J$24/100</f>
        <v>22.812999999999999</v>
      </c>
      <c r="K24" s="142" t="s">
        <v>3047</v>
      </c>
      <c r="L24" s="142">
        <f>B24*IBGE_2!L$24/100</f>
        <v>28.88</v>
      </c>
      <c r="M24" s="142">
        <f>B24*IBGE_2!M$24/100</f>
        <v>27.3</v>
      </c>
      <c r="N24" s="142">
        <f>B24*IBGE_2!N$24/100</f>
        <v>255</v>
      </c>
      <c r="O24" s="142">
        <f>B24*IBGE_2!O$24/100</f>
        <v>392</v>
      </c>
      <c r="P24" s="142">
        <f>B24*IBGE_2!P$24/100</f>
        <v>2.4820000000000002</v>
      </c>
      <c r="Q24" s="142">
        <f>B24*IBGE_2!Q$24/100</f>
        <v>642</v>
      </c>
      <c r="R24" s="142">
        <f>B24*IBGE_2!R$24/100</f>
        <v>5.73</v>
      </c>
      <c r="S24" s="142">
        <f>B24*IBGE_2!S$24/100</f>
        <v>30</v>
      </c>
      <c r="T24" s="142">
        <f>B24*IBGE_2!T$24/100</f>
        <v>813</v>
      </c>
      <c r="U24" s="142">
        <f>B24*IBGE_2!U$24/100</f>
        <v>1.22</v>
      </c>
      <c r="V24" s="142">
        <f>B24*IBGE_2!V$24/100</f>
        <v>4.34</v>
      </c>
      <c r="W24" s="142" t="s">
        <v>3047</v>
      </c>
      <c r="X24" s="142">
        <f>B24*IBGE_2!X$24/100</f>
        <v>1.6439999999999997</v>
      </c>
      <c r="Y24" s="142">
        <f>B24*IBGE_2!Y$24/100</f>
        <v>0.161</v>
      </c>
      <c r="Z24" s="142">
        <f>B24*IBGE_2!Z$24/100</f>
        <v>0.47299999999999998</v>
      </c>
      <c r="AA24" s="142">
        <f>B24*IBGE_2!AA$24/100</f>
        <v>3.08</v>
      </c>
      <c r="AB24" s="142">
        <f>B24*IBGE_2!AB$24/100</f>
        <v>0.6</v>
      </c>
      <c r="AC24" s="142">
        <f>B24*IBGE_2!AC$24/100</f>
        <v>8.0299999999999994</v>
      </c>
      <c r="AD24" s="142" t="s">
        <v>3047</v>
      </c>
      <c r="AE24" s="142">
        <f>B24*IBGE_2!AE$24/100</f>
        <v>87</v>
      </c>
      <c r="AF24" s="142" t="s">
        <v>3047</v>
      </c>
      <c r="AG24" s="142">
        <f>B24*IBGE_2!AG$24/100</f>
        <v>0.31</v>
      </c>
      <c r="AH24" s="142" t="s">
        <v>3047</v>
      </c>
      <c r="AI24" s="142" t="s">
        <v>3047</v>
      </c>
      <c r="AJ24" s="142">
        <f>B24*IBGE_2!AJ$24/100</f>
        <v>25.4</v>
      </c>
      <c r="AK24" s="142" t="s">
        <v>3047</v>
      </c>
      <c r="AL24" s="142">
        <f>B24*IBGE_2!AL$24/100</f>
        <v>1.55</v>
      </c>
      <c r="AM24" s="142" t="s">
        <v>3047</v>
      </c>
      <c r="AN24" s="161"/>
    </row>
    <row r="25" spans="1:40">
      <c r="A25" s="143" t="s">
        <v>1084</v>
      </c>
      <c r="B25" s="141">
        <v>100</v>
      </c>
      <c r="C25" s="142">
        <f>B25*IBGE_2!C$25/100</f>
        <v>97.405000000000001</v>
      </c>
      <c r="D25" s="142">
        <f>B25*IBGE_2!D$25/100</f>
        <v>5.8379999999999992</v>
      </c>
      <c r="E25" s="142">
        <f>B25*IBGE_2!E$25/100</f>
        <v>1.794</v>
      </c>
      <c r="F25" s="142">
        <f>B25*IBGE_2!F$25/100</f>
        <v>0.30299999999999999</v>
      </c>
      <c r="G25" s="142">
        <f>B25*IBGE_2!G$25/100</f>
        <v>0.38</v>
      </c>
      <c r="H25" s="142">
        <f>B25*IBGE_2!H$25/100</f>
        <v>1.006</v>
      </c>
      <c r="I25" s="142">
        <f>B25*IBGE_2!I$25/100</f>
        <v>0.85699999999999998</v>
      </c>
      <c r="J25" s="142">
        <f>B25*IBGE_2!J$25/100</f>
        <v>0.14899999999999999</v>
      </c>
      <c r="K25" s="142" t="s">
        <v>3047</v>
      </c>
      <c r="L25" s="142">
        <f>B25*IBGE_2!L$25/100</f>
        <v>15.054</v>
      </c>
      <c r="M25" s="142">
        <f>B25*IBGE_2!M$25/100</f>
        <v>3.78</v>
      </c>
      <c r="N25" s="142">
        <f>B25*IBGE_2!N$25/100</f>
        <v>55.201999999999998</v>
      </c>
      <c r="O25" s="142">
        <f>B25*IBGE_2!O$25/100</f>
        <v>38.201000000000001</v>
      </c>
      <c r="P25" s="142">
        <f>B25*IBGE_2!P$25/100</f>
        <v>0.38200000000000001</v>
      </c>
      <c r="Q25" s="142">
        <f>B25*IBGE_2!Q$25/100</f>
        <v>67.8</v>
      </c>
      <c r="R25" s="142">
        <f>B25*IBGE_2!R$25/100</f>
        <v>2.2210000000000001</v>
      </c>
      <c r="S25" s="142">
        <f>B25*IBGE_2!S$25/100</f>
        <v>5.2030000000000003</v>
      </c>
      <c r="T25" s="142">
        <f>B25*IBGE_2!T$25/100</f>
        <v>336.6</v>
      </c>
      <c r="U25" s="142">
        <f>B25*IBGE_2!U$25/100</f>
        <v>0.17599999999999999</v>
      </c>
      <c r="V25" s="142">
        <f>B25*IBGE_2!V$25/100</f>
        <v>0.83200000000000007</v>
      </c>
      <c r="W25" s="142" t="s">
        <v>3047</v>
      </c>
      <c r="X25" s="142">
        <f>B25*IBGE_2!X$25/100</f>
        <v>7.0999999999999994E-2</v>
      </c>
      <c r="Y25" s="142">
        <f>B25*IBGE_2!Y$25/100</f>
        <v>2.8000000000000004E-2</v>
      </c>
      <c r="Z25" s="142">
        <f>B25*IBGE_2!Z$25/100</f>
        <v>5.6000000000000008E-2</v>
      </c>
      <c r="AA25" s="142">
        <f>B25*IBGE_2!AA$25/100</f>
        <v>8.4000000000000005E-2</v>
      </c>
      <c r="AB25" s="142" t="s">
        <v>3047</v>
      </c>
      <c r="AC25" s="142">
        <f>B25*IBGE_2!AC$25/100</f>
        <v>1.234</v>
      </c>
      <c r="AD25" s="142" t="s">
        <v>3047</v>
      </c>
      <c r="AE25" s="142">
        <f>B25*IBGE_2!AE$25/100</f>
        <v>48.6</v>
      </c>
      <c r="AF25" s="142" t="s">
        <v>3047</v>
      </c>
      <c r="AG25" s="142">
        <f>B25*IBGE_2!AG$25/100</f>
        <v>0.69399999999999995</v>
      </c>
      <c r="AH25" s="142">
        <f>B25*IBGE_2!AH$25/100</f>
        <v>8.0000000000000002E-3</v>
      </c>
      <c r="AI25" s="142">
        <f>B25*IBGE_2!AI$25/100</f>
        <v>219</v>
      </c>
      <c r="AJ25" s="142">
        <f>B25*IBGE_2!AJ$25/100</f>
        <v>1.506</v>
      </c>
      <c r="AK25" s="142" t="s">
        <v>3047</v>
      </c>
      <c r="AL25" s="142">
        <f>B25*IBGE_2!AL$25/100</f>
        <v>0.3</v>
      </c>
      <c r="AM25" s="142" t="s">
        <v>3047</v>
      </c>
      <c r="AN25" s="161"/>
    </row>
    <row r="26" spans="1:40">
      <c r="A26" s="143" t="s">
        <v>1085</v>
      </c>
      <c r="B26" s="141">
        <v>100</v>
      </c>
      <c r="C26" s="142">
        <f>B26*IBGE_2!C$26/100</f>
        <v>188.48099999999999</v>
      </c>
      <c r="D26" s="142">
        <f>B26*IBGE_2!D$26/100</f>
        <v>8.86</v>
      </c>
      <c r="E26" s="142">
        <f>B26*IBGE_2!E$26/100</f>
        <v>5.359</v>
      </c>
      <c r="F26" s="142">
        <f>B26*IBGE_2!F$26/100</f>
        <v>0.70199999999999985</v>
      </c>
      <c r="G26" s="142">
        <f>B26*IBGE_2!G$26/100</f>
        <v>1.214</v>
      </c>
      <c r="H26" s="142">
        <f>B26*IBGE_2!H$26/100</f>
        <v>2.7549999999999999</v>
      </c>
      <c r="I26" s="142">
        <f>B26*IBGE_2!I$26/100</f>
        <v>2.524</v>
      </c>
      <c r="J26" s="142">
        <f>B26*IBGE_2!J$26/100</f>
        <v>0.23100000000000001</v>
      </c>
      <c r="K26" s="142" t="s">
        <v>3047</v>
      </c>
      <c r="L26" s="142">
        <f>B26*IBGE_2!L$26/100</f>
        <v>27.42</v>
      </c>
      <c r="M26" s="142">
        <f>B26*IBGE_2!M$26/100</f>
        <v>7.6</v>
      </c>
      <c r="N26" s="142">
        <f>B26*IBGE_2!N$26/100</f>
        <v>49</v>
      </c>
      <c r="O26" s="142">
        <f>B26*IBGE_2!O$26/100</f>
        <v>48</v>
      </c>
      <c r="P26" s="142">
        <f>B26*IBGE_2!P$26/100</f>
        <v>1.03</v>
      </c>
      <c r="Q26" s="142">
        <f>B26*IBGE_2!Q$26/100</f>
        <v>168</v>
      </c>
      <c r="R26" s="142">
        <f>B26*IBGE_2!R$26/100</f>
        <v>2.891</v>
      </c>
      <c r="S26" s="142">
        <f>B26*IBGE_2!S$26/100</f>
        <v>7</v>
      </c>
      <c r="T26" s="142">
        <f>B26*IBGE_2!T$26/100</f>
        <v>291</v>
      </c>
      <c r="U26" s="142">
        <f>B26*IBGE_2!U$26/100</f>
        <v>0.35199999999999998</v>
      </c>
      <c r="V26" s="142">
        <f>B26*IBGE_2!V$26/100</f>
        <v>1.53</v>
      </c>
      <c r="W26" s="142" t="s">
        <v>3047</v>
      </c>
      <c r="X26" s="142">
        <f>B26*IBGE_2!X$26/100</f>
        <v>0.11600000000000002</v>
      </c>
      <c r="Y26" s="142">
        <f>B26*IBGE_2!Y$26/100</f>
        <v>6.3E-2</v>
      </c>
      <c r="Z26" s="142">
        <f>B26*IBGE_2!Z$26/100</f>
        <v>0.13900000000000001</v>
      </c>
      <c r="AA26" s="142">
        <f>B26*IBGE_2!AA$26/100</f>
        <v>0.52600000000000002</v>
      </c>
      <c r="AB26" s="142">
        <f>B26*IBGE_2!AB$26/100</f>
        <v>1.3</v>
      </c>
      <c r="AC26" s="142">
        <f>B26*IBGE_2!AC$26/100</f>
        <v>1.9430000000000001</v>
      </c>
      <c r="AD26" s="142" t="s">
        <v>3047</v>
      </c>
      <c r="AE26" s="142">
        <f>B26*IBGE_2!AE$26/100</f>
        <v>172</v>
      </c>
      <c r="AF26" s="142" t="s">
        <v>3047</v>
      </c>
      <c r="AG26" s="142">
        <f>B26*IBGE_2!AG$26/100</f>
        <v>0.57699999999999996</v>
      </c>
      <c r="AH26" s="142">
        <f>B26*IBGE_2!AH$26/100</f>
        <v>1.4999999999999999E-2</v>
      </c>
      <c r="AI26" s="142">
        <f>B26*IBGE_2!AI$26/100</f>
        <v>230</v>
      </c>
      <c r="AJ26" s="142">
        <f>B26*IBGE_2!AJ$26/100</f>
        <v>4.9690000000000003</v>
      </c>
      <c r="AK26" s="142">
        <f>B26*IBGE_2!AK$26/100</f>
        <v>1.3329999999999997</v>
      </c>
      <c r="AL26" s="142">
        <f>B26*IBGE_2!AL$26/100</f>
        <v>1.7</v>
      </c>
      <c r="AM26" s="142" t="s">
        <v>3047</v>
      </c>
      <c r="AN26" s="161"/>
    </row>
    <row r="27" spans="1:40">
      <c r="A27" s="143" t="s">
        <v>1086</v>
      </c>
      <c r="B27" s="141">
        <v>100</v>
      </c>
      <c r="C27" s="142">
        <f>B27*IBGE_2!C$27/100</f>
        <v>136.27699999999999</v>
      </c>
      <c r="D27" s="142">
        <f>B27*IBGE_2!D$27/100</f>
        <v>9.02</v>
      </c>
      <c r="E27" s="142">
        <f>B27*IBGE_2!E$27/100</f>
        <v>2.6739999999999999</v>
      </c>
      <c r="F27" s="142">
        <f>B27*IBGE_2!F$27/100</f>
        <v>0.41199999999999998</v>
      </c>
      <c r="G27" s="142">
        <f>B27*IBGE_2!G$27/100</f>
        <v>0.58699999999999997</v>
      </c>
      <c r="H27" s="142">
        <f>B27*IBGE_2!H$27/100</f>
        <v>1.4990000000000001</v>
      </c>
      <c r="I27" s="142">
        <f>B27*IBGE_2!I$27/100</f>
        <v>1.306</v>
      </c>
      <c r="J27" s="142">
        <f>B27*IBGE_2!J$27/100</f>
        <v>0.193</v>
      </c>
      <c r="K27" s="142" t="s">
        <v>3047</v>
      </c>
      <c r="L27" s="142">
        <f>B27*IBGE_2!L$27/100</f>
        <v>20.13</v>
      </c>
      <c r="M27" s="142">
        <f>B27*IBGE_2!M$27/100</f>
        <v>5.86</v>
      </c>
      <c r="N27" s="142">
        <f>B27*IBGE_2!N$27/100</f>
        <v>19</v>
      </c>
      <c r="O27" s="142">
        <f>B27*IBGE_2!O$27/100</f>
        <v>36</v>
      </c>
      <c r="P27" s="142">
        <f>B27*IBGE_2!P$27/100</f>
        <v>0.49399999999999999</v>
      </c>
      <c r="Q27" s="142">
        <f>B27*IBGE_2!Q$27/100</f>
        <v>180</v>
      </c>
      <c r="R27" s="142">
        <f>B27*IBGE_2!R$27/100</f>
        <v>3.3310000000000004</v>
      </c>
      <c r="S27" s="142">
        <f>B27*IBGE_2!S$27/100</f>
        <v>2</v>
      </c>
      <c r="T27" s="142">
        <f>B27*IBGE_2!T$27/100</f>
        <v>369</v>
      </c>
      <c r="U27" s="142">
        <f>B27*IBGE_2!U$27/100</f>
        <v>0.251</v>
      </c>
      <c r="V27" s="142">
        <f>B27*IBGE_2!V$27/100</f>
        <v>1.27</v>
      </c>
      <c r="W27" s="142" t="s">
        <v>3047</v>
      </c>
      <c r="X27" s="142">
        <f>B27*IBGE_2!X$27/100</f>
        <v>0.16900000000000001</v>
      </c>
      <c r="Y27" s="142">
        <f>B27*IBGE_2!Y$27/100</f>
        <v>7.2999999999999995E-2</v>
      </c>
      <c r="Z27" s="142">
        <f>B27*IBGE_2!Z$27/100</f>
        <v>0.17800000000000002</v>
      </c>
      <c r="AA27" s="142">
        <f>B27*IBGE_2!AA$27/100</f>
        <v>1.06</v>
      </c>
      <c r="AB27" s="142">
        <f>B27*IBGE_2!AB$27/100</f>
        <v>1.5</v>
      </c>
      <c r="AC27" s="142">
        <f>B27*IBGE_2!AC$27/100</f>
        <v>2.41</v>
      </c>
      <c r="AD27" s="142" t="s">
        <v>3047</v>
      </c>
      <c r="AE27" s="142">
        <f>B27*IBGE_2!AE$27/100</f>
        <v>181</v>
      </c>
      <c r="AF27" s="142" t="s">
        <v>3047</v>
      </c>
      <c r="AG27" s="142">
        <f>B27*IBGE_2!AG$27/100</f>
        <v>0.29799999999999999</v>
      </c>
      <c r="AH27" s="142">
        <f>B27*IBGE_2!AH$27/100</f>
        <v>1.2E-2</v>
      </c>
      <c r="AI27" s="142">
        <f>B27*IBGE_2!AI$27/100</f>
        <v>191</v>
      </c>
      <c r="AJ27" s="142">
        <f>B27*IBGE_2!AJ$27/100</f>
        <v>3.8510000000000004</v>
      </c>
      <c r="AK27" s="142">
        <f>B27*IBGE_2!AK$27/100</f>
        <v>0.41699999999999998</v>
      </c>
      <c r="AL27" s="142">
        <f>B27*IBGE_2!AL$27/100</f>
        <v>0.39</v>
      </c>
      <c r="AM27" s="142" t="s">
        <v>3047</v>
      </c>
      <c r="AN27" s="161"/>
    </row>
    <row r="28" spans="1:40">
      <c r="A28" s="143" t="s">
        <v>1087</v>
      </c>
      <c r="B28" s="141">
        <v>100</v>
      </c>
      <c r="C28" s="142">
        <f>B28*IBGE_2!C$28/100</f>
        <v>196.34200000000001</v>
      </c>
      <c r="D28" s="142">
        <f>B28*IBGE_2!D$28/100</f>
        <v>16.64</v>
      </c>
      <c r="E28" s="142">
        <f>B28*IBGE_2!E$28/100</f>
        <v>11.611000000000001</v>
      </c>
      <c r="F28" s="142">
        <f>B28*IBGE_2!F$28/100</f>
        <v>1.71</v>
      </c>
      <c r="G28" s="142">
        <f>B28*IBGE_2!G$28/100</f>
        <v>2.5830000000000002</v>
      </c>
      <c r="H28" s="142">
        <f>B28*IBGE_2!H$28/100</f>
        <v>6.5890000000000013</v>
      </c>
      <c r="I28" s="142">
        <f>B28*IBGE_2!I$28/100</f>
        <v>5.81</v>
      </c>
      <c r="J28" s="142">
        <f>B28*IBGE_2!J$28/100</f>
        <v>0.77700000000000002</v>
      </c>
      <c r="K28" s="142" t="s">
        <v>3047</v>
      </c>
      <c r="L28" s="142">
        <f>B28*IBGE_2!L$28/100</f>
        <v>9.93</v>
      </c>
      <c r="M28" s="142">
        <f>B28*IBGE_2!M$28/100</f>
        <v>6</v>
      </c>
      <c r="N28" s="142">
        <f>B28*IBGE_2!N$28/100</f>
        <v>102</v>
      </c>
      <c r="O28" s="142">
        <f>B28*IBGE_2!O$28/100</f>
        <v>86</v>
      </c>
      <c r="P28" s="142">
        <f>B28*IBGE_2!P$28/100</f>
        <v>0.82399999999999995</v>
      </c>
      <c r="Q28" s="142">
        <f>B28*IBGE_2!Q$28/100</f>
        <v>245</v>
      </c>
      <c r="R28" s="142">
        <f>B28*IBGE_2!R$28/100</f>
        <v>5.141</v>
      </c>
      <c r="S28" s="142">
        <f>B28*IBGE_2!S$28/100</f>
        <v>1</v>
      </c>
      <c r="T28" s="142">
        <f>B28*IBGE_2!T$28/100</f>
        <v>515</v>
      </c>
      <c r="U28" s="142">
        <f>B28*IBGE_2!U$28/100</f>
        <v>0.40699999999999997</v>
      </c>
      <c r="V28" s="142">
        <f>B28*IBGE_2!V$28/100</f>
        <v>1.1499999999999999</v>
      </c>
      <c r="W28" s="142" t="s">
        <v>3047</v>
      </c>
      <c r="X28" s="142">
        <f>B28*IBGE_2!X$28/100</f>
        <v>0.155</v>
      </c>
      <c r="Y28" s="142">
        <f>B28*IBGE_2!Y$28/100</f>
        <v>0.28499999999999998</v>
      </c>
      <c r="Z28" s="142">
        <f>B28*IBGE_2!Z$28/100</f>
        <v>0.23400000000000001</v>
      </c>
      <c r="AA28" s="142">
        <f>B28*IBGE_2!AA$28/100</f>
        <v>0.39900000000000008</v>
      </c>
      <c r="AB28" s="142">
        <f>B28*IBGE_2!AB$28/100</f>
        <v>1.7</v>
      </c>
      <c r="AC28" s="142">
        <f>B28*IBGE_2!AC$28/100</f>
        <v>4.4320000000000004</v>
      </c>
      <c r="AD28" s="142" t="s">
        <v>3047</v>
      </c>
      <c r="AE28" s="142">
        <f>B28*IBGE_2!AE$28/100</f>
        <v>54</v>
      </c>
      <c r="AF28" s="142" t="s">
        <v>3047</v>
      </c>
      <c r="AG28" s="142">
        <f>B28*IBGE_2!AG$28/100</f>
        <v>0.56599999999999995</v>
      </c>
      <c r="AH28" s="142">
        <f>B28*IBGE_2!AH$28/100</f>
        <v>1.4000000000000002E-2</v>
      </c>
      <c r="AI28" s="142">
        <f>B28*IBGE_2!AI$28/100</f>
        <v>219</v>
      </c>
      <c r="AJ28" s="142">
        <f>B28*IBGE_2!AJ$28/100</f>
        <v>8.51</v>
      </c>
      <c r="AK28" s="142">
        <f>B28*IBGE_2!AK$28/100</f>
        <v>0.41699999999999998</v>
      </c>
      <c r="AL28" s="142">
        <f>B28*IBGE_2!AL$28/100</f>
        <v>0.8</v>
      </c>
      <c r="AM28" s="142" t="s">
        <v>3047</v>
      </c>
      <c r="AN28" s="161"/>
    </row>
    <row r="29" spans="1:40">
      <c r="A29" s="143" t="s">
        <v>1088</v>
      </c>
      <c r="B29" s="141">
        <v>100</v>
      </c>
      <c r="C29" s="142">
        <f>B29*IBGE_2!C$29/100</f>
        <v>97.405000000000001</v>
      </c>
      <c r="D29" s="142">
        <f>B29*IBGE_2!D$29/100</f>
        <v>5.8379999999999992</v>
      </c>
      <c r="E29" s="142">
        <f>B29*IBGE_2!E$29/100</f>
        <v>1.794</v>
      </c>
      <c r="F29" s="142">
        <f>B29*IBGE_2!F$29/100</f>
        <v>0.30299999999999999</v>
      </c>
      <c r="G29" s="142">
        <f>B29*IBGE_2!G$29/100</f>
        <v>0.38</v>
      </c>
      <c r="H29" s="142">
        <f>B29*IBGE_2!H$29/100</f>
        <v>1.006</v>
      </c>
      <c r="I29" s="142">
        <f>B29*IBGE_2!I$29/100</f>
        <v>0.85699999999999998</v>
      </c>
      <c r="J29" s="142">
        <f>B29*IBGE_2!J$29/100</f>
        <v>0.14899999999999999</v>
      </c>
      <c r="K29" s="142" t="s">
        <v>3047</v>
      </c>
      <c r="L29" s="142">
        <f>B29*IBGE_2!L$29/100</f>
        <v>15.054</v>
      </c>
      <c r="M29" s="142">
        <f>B29*IBGE_2!M$29/100</f>
        <v>3.78</v>
      </c>
      <c r="N29" s="142">
        <f>B29*IBGE_2!N$29/100</f>
        <v>55.201999999999998</v>
      </c>
      <c r="O29" s="142">
        <f>B29*IBGE_2!O$29/100</f>
        <v>38.201000000000001</v>
      </c>
      <c r="P29" s="142">
        <f>B29*IBGE_2!P$29/100</f>
        <v>0.38200000000000001</v>
      </c>
      <c r="Q29" s="142">
        <f>B29*IBGE_2!Q$29/100</f>
        <v>67.8</v>
      </c>
      <c r="R29" s="142">
        <f>B29*IBGE_2!R$29/100</f>
        <v>2.2210000000000001</v>
      </c>
      <c r="S29" s="142">
        <f>B29*IBGE_2!S$29/100</f>
        <v>5.2030000000000003</v>
      </c>
      <c r="T29" s="142">
        <f>B29*IBGE_2!T$29/100</f>
        <v>336.6</v>
      </c>
      <c r="U29" s="142">
        <f>B29*IBGE_2!U$29/100</f>
        <v>0.17599999999999999</v>
      </c>
      <c r="V29" s="142">
        <f>B29*IBGE_2!V$29/100</f>
        <v>0.83200000000000007</v>
      </c>
      <c r="W29" s="142" t="s">
        <v>3047</v>
      </c>
      <c r="X29" s="142">
        <f>B29*IBGE_2!X$29/100</f>
        <v>7.0999999999999994E-2</v>
      </c>
      <c r="Y29" s="142">
        <f>B29*IBGE_2!Y$29/100</f>
        <v>2.8000000000000004E-2</v>
      </c>
      <c r="Z29" s="142">
        <f>B29*IBGE_2!Z$29/100</f>
        <v>5.6000000000000008E-2</v>
      </c>
      <c r="AA29" s="142">
        <f>B29*IBGE_2!AA$29/100</f>
        <v>8.4000000000000005E-2</v>
      </c>
      <c r="AB29" s="142" t="s">
        <v>3047</v>
      </c>
      <c r="AC29" s="142">
        <f>B29*IBGE_2!AC$29/100</f>
        <v>1.234</v>
      </c>
      <c r="AD29" s="142" t="s">
        <v>3047</v>
      </c>
      <c r="AE29" s="142">
        <f>B29*IBGE_2!AE$29/100</f>
        <v>48.6</v>
      </c>
      <c r="AF29" s="142" t="s">
        <v>3047</v>
      </c>
      <c r="AG29" s="142">
        <f>B29*IBGE_2!AG$29/100</f>
        <v>0.69399999999999995</v>
      </c>
      <c r="AH29" s="142">
        <f>B29*IBGE_2!AH$29/100</f>
        <v>8.0000000000000002E-3</v>
      </c>
      <c r="AI29" s="142">
        <f>B29*IBGE_2!AI$29/100</f>
        <v>219</v>
      </c>
      <c r="AJ29" s="142">
        <f>B29*IBGE_2!AJ$29/100</f>
        <v>1.506</v>
      </c>
      <c r="AK29" s="142" t="s">
        <v>3047</v>
      </c>
      <c r="AL29" s="142">
        <f>B29*IBGE_2!AL$29/100</f>
        <v>0.3</v>
      </c>
      <c r="AM29" s="142" t="s">
        <v>3047</v>
      </c>
      <c r="AN29" s="161"/>
    </row>
    <row r="30" spans="1:40">
      <c r="A30" s="143" t="s">
        <v>1089</v>
      </c>
      <c r="B30" s="141">
        <v>100</v>
      </c>
      <c r="C30" s="142">
        <f>B30*IBGE_2!C$30/100</f>
        <v>62.951999999999998</v>
      </c>
      <c r="D30" s="142">
        <f>B30*IBGE_2!D$30/100</f>
        <v>1.2370000000000001</v>
      </c>
      <c r="E30" s="142">
        <f>B30*IBGE_2!E$30/100</f>
        <v>0.30499999999999999</v>
      </c>
      <c r="F30" s="142">
        <f>B30*IBGE_2!F$30/100</f>
        <v>3.3000000000000002E-2</v>
      </c>
      <c r="G30" s="142">
        <f>B30*IBGE_2!G$30/100</f>
        <v>5.8999999999999997E-2</v>
      </c>
      <c r="H30" s="142">
        <f>B30*IBGE_2!H$30/100</f>
        <v>0.125</v>
      </c>
      <c r="I30" s="142">
        <f>B30*IBGE_2!I$30/100</f>
        <v>0.122</v>
      </c>
      <c r="J30" s="142">
        <f>B30*IBGE_2!J$30/100</f>
        <v>3.0000000000000001E-3</v>
      </c>
      <c r="K30" s="142" t="s">
        <v>3047</v>
      </c>
      <c r="L30" s="142">
        <f>B30*IBGE_2!L$30/100</f>
        <v>13.503</v>
      </c>
      <c r="M30" s="142">
        <f>B30*IBGE_2!M$30/100</f>
        <v>0.67200000000000004</v>
      </c>
      <c r="N30" s="142">
        <f>B30*IBGE_2!N$30/100</f>
        <v>3.3730000000000002</v>
      </c>
      <c r="O30" s="142">
        <f>B30*IBGE_2!O$30/100</f>
        <v>6.9249999999999998</v>
      </c>
      <c r="P30" s="142">
        <f>B30*IBGE_2!P$30/100</f>
        <v>3.1E-2</v>
      </c>
      <c r="Q30" s="142">
        <f>B30*IBGE_2!Q$30/100</f>
        <v>17.913</v>
      </c>
      <c r="R30" s="142">
        <f>B30*IBGE_2!R$30/100</f>
        <v>0.73699999999999999</v>
      </c>
      <c r="S30" s="142">
        <f>B30*IBGE_2!S$30/100</f>
        <v>5.0090000000000003</v>
      </c>
      <c r="T30" s="142">
        <f>B30*IBGE_2!T$30/100</f>
        <v>25.930999999999997</v>
      </c>
      <c r="U30" s="142">
        <f>B30*IBGE_2!U$30/100</f>
        <v>2.3E-2</v>
      </c>
      <c r="V30" s="142">
        <f>B30*IBGE_2!V$30/100</f>
        <v>0.13100000000000001</v>
      </c>
      <c r="W30" s="142" t="s">
        <v>3047</v>
      </c>
      <c r="X30" s="142">
        <f>B30*IBGE_2!X$30/100</f>
        <v>0.105</v>
      </c>
      <c r="Y30" s="142">
        <f>B30*IBGE_2!Y$30/100</f>
        <v>7.0999999999999994E-2</v>
      </c>
      <c r="Z30" s="142">
        <f>B30*IBGE_2!Z$30/100</f>
        <v>3.4000000000000002E-2</v>
      </c>
      <c r="AA30" s="142">
        <f>B30*IBGE_2!AA$30/100</f>
        <v>0.90600000000000014</v>
      </c>
      <c r="AB30" s="142" t="s">
        <v>3047</v>
      </c>
      <c r="AC30" s="142">
        <f>B30*IBGE_2!AC$30/100</f>
        <v>1.0169999999999999</v>
      </c>
      <c r="AD30" s="142" t="s">
        <v>3047</v>
      </c>
      <c r="AE30" s="142">
        <f>B30*IBGE_2!AE$30/100</f>
        <v>20.812999999999999</v>
      </c>
      <c r="AF30" s="142" t="s">
        <v>3047</v>
      </c>
      <c r="AG30" s="142">
        <f>B30*IBGE_2!AG$30/100</f>
        <v>2.7000000000000003E-2</v>
      </c>
      <c r="AH30" s="142" t="s">
        <v>3047</v>
      </c>
      <c r="AI30" s="142">
        <f>B30*IBGE_2!AI$30/100</f>
        <v>126</v>
      </c>
      <c r="AJ30" s="142">
        <f>B30*IBGE_2!AJ$30/100</f>
        <v>1.9790000000000001</v>
      </c>
      <c r="AK30" s="142">
        <f>B30*IBGE_2!AK$30/100</f>
        <v>1.827</v>
      </c>
      <c r="AL30" s="142">
        <f>B30*IBGE_2!AL$30/100</f>
        <v>0.28499999999999998</v>
      </c>
      <c r="AM30" s="142" t="s">
        <v>3047</v>
      </c>
      <c r="AN30" s="161"/>
    </row>
    <row r="31" spans="1:40">
      <c r="A31" s="143" t="s">
        <v>1090</v>
      </c>
      <c r="B31" s="141">
        <v>100</v>
      </c>
      <c r="C31" s="142">
        <f>B31*IBGE_2!C$31/100</f>
        <v>121.33199999999999</v>
      </c>
      <c r="D31" s="142">
        <f>B31*IBGE_2!D$31/100</f>
        <v>3.17</v>
      </c>
      <c r="E31" s="142">
        <f>B31*IBGE_2!E$31/100</f>
        <v>3.133</v>
      </c>
      <c r="F31" s="142">
        <f>B31*IBGE_2!F$31/100</f>
        <v>0.52700000000000002</v>
      </c>
      <c r="G31" s="142">
        <f>B31*IBGE_2!G$31/100</f>
        <v>0.66100000000000003</v>
      </c>
      <c r="H31" s="142">
        <f>B31*IBGE_2!H$31/100</f>
        <v>1.75</v>
      </c>
      <c r="I31" s="142">
        <f>B31*IBGE_2!I$31/100</f>
        <v>1.4950000000000001</v>
      </c>
      <c r="J31" s="142">
        <f>B31*IBGE_2!J$31/100</f>
        <v>0.255</v>
      </c>
      <c r="K31" s="142" t="s">
        <v>3047</v>
      </c>
      <c r="L31" s="142">
        <f>B31*IBGE_2!L$31/100</f>
        <v>20.32</v>
      </c>
      <c r="M31" s="142">
        <f>B31*IBGE_2!M$31/100</f>
        <v>5</v>
      </c>
      <c r="N31" s="142">
        <f>B31*IBGE_2!N$31/100</f>
        <v>128</v>
      </c>
      <c r="O31" s="142">
        <f>B31*IBGE_2!O$31/100</f>
        <v>52</v>
      </c>
      <c r="P31" s="142">
        <f>B31*IBGE_2!P$31/100</f>
        <v>0.57199999999999995</v>
      </c>
      <c r="Q31" s="142">
        <f>B31*IBGE_2!Q$31/100</f>
        <v>51</v>
      </c>
      <c r="R31" s="142">
        <f>B31*IBGE_2!R$31/100</f>
        <v>1.121</v>
      </c>
      <c r="S31" s="142">
        <f>B31*IBGE_2!S$31/100</f>
        <v>4</v>
      </c>
      <c r="T31" s="142">
        <f>B31*IBGE_2!T$31/100</f>
        <v>418</v>
      </c>
      <c r="U31" s="142">
        <f>B31*IBGE_2!U$31/100</f>
        <v>0.13300000000000001</v>
      </c>
      <c r="V31" s="142">
        <f>B31*IBGE_2!V$31/100</f>
        <v>1.03</v>
      </c>
      <c r="W31" s="142" t="s">
        <v>3047</v>
      </c>
      <c r="X31" s="142">
        <f>B31*IBGE_2!X$31/100</f>
        <v>0.10100000000000002</v>
      </c>
      <c r="Y31" s="142">
        <f>B31*IBGE_2!Y$31/100</f>
        <v>0.14799999999999999</v>
      </c>
      <c r="Z31" s="142">
        <f>B31*IBGE_2!Z$31/100</f>
        <v>6.5000000000000002E-2</v>
      </c>
      <c r="AA31" s="142">
        <f>B31*IBGE_2!AA$31/100</f>
        <v>1.403</v>
      </c>
      <c r="AB31" s="142">
        <f>B31*IBGE_2!AB$31/100</f>
        <v>2.2000000000000002</v>
      </c>
      <c r="AC31" s="142">
        <f>B31*IBGE_2!AC$31/100</f>
        <v>2.02</v>
      </c>
      <c r="AD31" s="142" t="s">
        <v>3047</v>
      </c>
      <c r="AE31" s="142">
        <f>B31*IBGE_2!AE$31/100</f>
        <v>127</v>
      </c>
      <c r="AF31" s="142" t="s">
        <v>3047</v>
      </c>
      <c r="AG31" s="142">
        <f>B31*IBGE_2!AG$31/100</f>
        <v>0.44500000000000001</v>
      </c>
      <c r="AH31" s="142">
        <f>B31*IBGE_2!AH$31/100</f>
        <v>1.4999999999999999E-2</v>
      </c>
      <c r="AI31" s="142">
        <f>B31*IBGE_2!AI$31/100</f>
        <v>229</v>
      </c>
      <c r="AJ31" s="142">
        <f>B31*IBGE_2!AJ$31/100</f>
        <v>3.7610000000000001</v>
      </c>
      <c r="AK31" s="142">
        <f>B31*IBGE_2!AK$31/100</f>
        <v>39.582999999999998</v>
      </c>
      <c r="AL31" s="142">
        <f>B31*IBGE_2!AL$31/100</f>
        <v>0.34</v>
      </c>
      <c r="AM31" s="142" t="s">
        <v>3047</v>
      </c>
      <c r="AN31" s="161"/>
    </row>
    <row r="32" spans="1:40">
      <c r="A32" s="143" t="s">
        <v>1091</v>
      </c>
      <c r="B32" s="141">
        <v>100</v>
      </c>
      <c r="C32" s="142">
        <f>B32*IBGE_2!C$32/100</f>
        <v>97.405000000000001</v>
      </c>
      <c r="D32" s="142">
        <f>B32*IBGE_2!D$32/100</f>
        <v>5.8379999999999992</v>
      </c>
      <c r="E32" s="142">
        <f>B32*IBGE_2!E$32/100</f>
        <v>1.794</v>
      </c>
      <c r="F32" s="142">
        <f>B32*IBGE_2!F$32/100</f>
        <v>0.30299999999999999</v>
      </c>
      <c r="G32" s="142">
        <f>B32*IBGE_2!G$32/100</f>
        <v>0.38</v>
      </c>
      <c r="H32" s="142">
        <f>B32*IBGE_2!H$32/100</f>
        <v>1.006</v>
      </c>
      <c r="I32" s="142">
        <f>B32*IBGE_2!I$32/100</f>
        <v>0.85699999999999998</v>
      </c>
      <c r="J32" s="142">
        <f>B32*IBGE_2!J$32/100</f>
        <v>0.14899999999999999</v>
      </c>
      <c r="K32" s="142" t="s">
        <v>3047</v>
      </c>
      <c r="L32" s="142">
        <f>B32*IBGE_2!L$32/100</f>
        <v>15.054</v>
      </c>
      <c r="M32" s="142">
        <f>B32*IBGE_2!M$32/100</f>
        <v>3.78</v>
      </c>
      <c r="N32" s="142">
        <f>B32*IBGE_2!N$32/100</f>
        <v>55.201999999999998</v>
      </c>
      <c r="O32" s="142">
        <f>B32*IBGE_2!O$32/100</f>
        <v>38.201000000000001</v>
      </c>
      <c r="P32" s="142">
        <f>B32*IBGE_2!P$32/100</f>
        <v>0.38200000000000001</v>
      </c>
      <c r="Q32" s="142">
        <f>B32*IBGE_2!Q$32/100</f>
        <v>67.8</v>
      </c>
      <c r="R32" s="142">
        <f>B32*IBGE_2!R$32/100</f>
        <v>2.2210000000000001</v>
      </c>
      <c r="S32" s="142">
        <f>B32*IBGE_2!S$32/100</f>
        <v>5.2030000000000003</v>
      </c>
      <c r="T32" s="142">
        <f>B32*IBGE_2!T$32/100</f>
        <v>336.6</v>
      </c>
      <c r="U32" s="142">
        <f>B32*IBGE_2!U$32/100</f>
        <v>0.17599999999999999</v>
      </c>
      <c r="V32" s="142">
        <f>B32*IBGE_2!V$32/100</f>
        <v>0.83200000000000007</v>
      </c>
      <c r="W32" s="142" t="s">
        <v>3047</v>
      </c>
      <c r="X32" s="142">
        <f>B32*IBGE_2!X$32/100</f>
        <v>7.0999999999999994E-2</v>
      </c>
      <c r="Y32" s="142">
        <f>B32*IBGE_2!Y$32/100</f>
        <v>2.8000000000000004E-2</v>
      </c>
      <c r="Z32" s="142">
        <f>B32*IBGE_2!Z$32/100</f>
        <v>5.6000000000000008E-2</v>
      </c>
      <c r="AA32" s="142">
        <f>B32*IBGE_2!AA$32/100</f>
        <v>8.4000000000000005E-2</v>
      </c>
      <c r="AB32" s="142" t="s">
        <v>3047</v>
      </c>
      <c r="AC32" s="142">
        <f>B32*IBGE_2!AC$32/100</f>
        <v>1.234</v>
      </c>
      <c r="AD32" s="142" t="s">
        <v>3047</v>
      </c>
      <c r="AE32" s="142">
        <f>B32*IBGE_2!AE$32/100</f>
        <v>48.6</v>
      </c>
      <c r="AF32" s="142" t="s">
        <v>3047</v>
      </c>
      <c r="AG32" s="142">
        <f>B32*IBGE_2!AG$32/100</f>
        <v>0.69399999999999995</v>
      </c>
      <c r="AH32" s="142">
        <f>B32*IBGE_2!AH$32/100</f>
        <v>8.0000000000000002E-3</v>
      </c>
      <c r="AI32" s="142">
        <f>B32*IBGE_2!AI$32/100</f>
        <v>219</v>
      </c>
      <c r="AJ32" s="142">
        <f>B32*IBGE_2!AJ$32/100</f>
        <v>1.506</v>
      </c>
      <c r="AK32" s="142" t="s">
        <v>3047</v>
      </c>
      <c r="AL32" s="142">
        <f>B32*IBGE_2!AL$32/100</f>
        <v>0.3</v>
      </c>
      <c r="AM32" s="142" t="s">
        <v>3047</v>
      </c>
      <c r="AN32" s="161"/>
    </row>
    <row r="33" spans="1:40">
      <c r="A33" s="143" t="s">
        <v>1092</v>
      </c>
      <c r="B33" s="141">
        <v>100</v>
      </c>
      <c r="C33" s="142">
        <f>B33*IBGE_2!C$33/100</f>
        <v>445.93799999999993</v>
      </c>
      <c r="D33" s="142">
        <f>B33*IBGE_2!D$33/100</f>
        <v>10.773</v>
      </c>
      <c r="E33" s="142">
        <f>B33*IBGE_2!E$33/100</f>
        <v>17.78</v>
      </c>
      <c r="F33" s="142">
        <f>B33*IBGE_2!F$33/100</f>
        <v>3.7480000000000002</v>
      </c>
      <c r="G33" s="142">
        <f>B33*IBGE_2!G$33/100</f>
        <v>9.3580000000000005</v>
      </c>
      <c r="H33" s="142">
        <f>B33*IBGE_2!H$33/100</f>
        <v>3.7240000000000002</v>
      </c>
      <c r="I33" s="142">
        <f>B33*IBGE_2!I$33/100</f>
        <v>3.6360000000000001</v>
      </c>
      <c r="J33" s="142">
        <f>B33*IBGE_2!J$33/100</f>
        <v>8.7999999999999995E-2</v>
      </c>
      <c r="K33" s="142" t="s">
        <v>3047</v>
      </c>
      <c r="L33" s="142">
        <f>B33*IBGE_2!L$33/100</f>
        <v>64.852000000000004</v>
      </c>
      <c r="M33" s="142">
        <f>B33*IBGE_2!M$33/100</f>
        <v>12.071</v>
      </c>
      <c r="N33" s="142">
        <f>B33*IBGE_2!N$33/100</f>
        <v>6.4880000000000004</v>
      </c>
      <c r="O33" s="142">
        <f>B33*IBGE_2!O$33/100</f>
        <v>119.90799999999999</v>
      </c>
      <c r="P33" s="142">
        <f>B33*IBGE_2!P$33/100</f>
        <v>0.92900000000000005</v>
      </c>
      <c r="Q33" s="142">
        <f>B33*IBGE_2!Q$33/100</f>
        <v>298.03500000000003</v>
      </c>
      <c r="R33" s="142">
        <f>B33*IBGE_2!R$33/100</f>
        <v>2.665</v>
      </c>
      <c r="S33" s="142">
        <f>B33*IBGE_2!S$33/100</f>
        <v>1072.5050000000001</v>
      </c>
      <c r="T33" s="142">
        <f>B33*IBGE_2!T$33/100</f>
        <v>274.113</v>
      </c>
      <c r="U33" s="142">
        <f>B33*IBGE_2!U$33/100</f>
        <v>0.21899999999999997</v>
      </c>
      <c r="V33" s="142">
        <f>B33*IBGE_2!V$33/100</f>
        <v>2.5670000000000006</v>
      </c>
      <c r="W33" s="142" t="s">
        <v>3047</v>
      </c>
      <c r="X33" s="142">
        <f>B33*IBGE_2!X$33/100</f>
        <v>8.6999999999999994E-2</v>
      </c>
      <c r="Y33" s="142">
        <f>B33*IBGE_2!Y$33/100</f>
        <v>6.9000000000000006E-2</v>
      </c>
      <c r="Z33" s="142">
        <f>B33*IBGE_2!Z$33/100</f>
        <v>0.13100000000000001</v>
      </c>
      <c r="AA33" s="142">
        <f>B33*IBGE_2!AA$33/100</f>
        <v>1.921</v>
      </c>
      <c r="AB33" s="142" t="s">
        <v>3047</v>
      </c>
      <c r="AC33" s="142">
        <f>B33*IBGE_2!AC$33/100</f>
        <v>3.1010000000000004</v>
      </c>
      <c r="AD33" s="142" t="s">
        <v>3047</v>
      </c>
      <c r="AE33" s="142">
        <f>B33*IBGE_2!AE$33/100</f>
        <v>25.808000000000003</v>
      </c>
      <c r="AF33" s="142" t="s">
        <v>3047</v>
      </c>
      <c r="AG33" s="142">
        <f>B33*IBGE_2!AG$33/100</f>
        <v>1.2350000000000001</v>
      </c>
      <c r="AH33" s="142">
        <f>B33*IBGE_2!AH$33/100</f>
        <v>4.2030000000000003</v>
      </c>
      <c r="AI33" s="142" t="s">
        <v>3047</v>
      </c>
      <c r="AJ33" s="142">
        <f>B33*IBGE_2!AJ$33/100</f>
        <v>3.0000000000000001E-3</v>
      </c>
      <c r="AK33" s="142">
        <f>B33*IBGE_2!AK$33/100</f>
        <v>8.1859999999999999</v>
      </c>
      <c r="AL33" s="142">
        <f>B33*IBGE_2!AL$33/100</f>
        <v>0.71599999999999997</v>
      </c>
      <c r="AM33" s="142" t="s">
        <v>3047</v>
      </c>
      <c r="AN33" s="161"/>
    </row>
    <row r="34" spans="1:40">
      <c r="A34" s="143" t="s">
        <v>1093</v>
      </c>
      <c r="B34" s="141">
        <v>100</v>
      </c>
      <c r="C34" s="142">
        <f>B34*IBGE_2!C$34/100</f>
        <v>135.62294570713331</v>
      </c>
      <c r="D34" s="142">
        <f>B34*IBGE_2!D$34/100</f>
        <v>2.4961126633333333</v>
      </c>
      <c r="E34" s="142">
        <f>B34*IBGE_2!E$34/100</f>
        <v>1.2000420000000001</v>
      </c>
      <c r="F34" s="142">
        <f>B34*IBGE_2!F$34/100</f>
        <v>0.35066520000000007</v>
      </c>
      <c r="G34" s="142">
        <f>B34*IBGE_2!G$34/100</f>
        <v>0.22219539999999999</v>
      </c>
      <c r="H34" s="142">
        <f>B34*IBGE_2!H$34/100</f>
        <v>0.5631178</v>
      </c>
      <c r="I34" s="142">
        <f>B34*IBGE_2!I$34/100</f>
        <v>0.55633080000000001</v>
      </c>
      <c r="J34" s="142">
        <f>B34*IBGE_2!J$34/100</f>
        <v>6.6208799999999998E-2</v>
      </c>
      <c r="K34" s="142" t="s">
        <v>3047</v>
      </c>
      <c r="L34" s="142">
        <f>B34*IBGE_2!L$34/100</f>
        <v>27.784863469999994</v>
      </c>
      <c r="M34" s="142">
        <f>B34*IBGE_2!M$34/100</f>
        <v>1.5457021999999998</v>
      </c>
      <c r="N34" s="142">
        <f>B34*IBGE_2!N$34/100</f>
        <v>3.5095988666666669</v>
      </c>
      <c r="O34" s="142">
        <f>B34*IBGE_2!O$34/100</f>
        <v>2.2312506666666665</v>
      </c>
      <c r="P34" s="142">
        <f>B34*IBGE_2!P$34/100</f>
        <v>0.29375933333333332</v>
      </c>
      <c r="Q34" s="142">
        <f>B34*IBGE_2!Q$34/100</f>
        <v>17.769138999999999</v>
      </c>
      <c r="R34" s="142">
        <f>B34*IBGE_2!R$34/100</f>
        <v>7.6405333333333325E-2</v>
      </c>
      <c r="S34" s="142">
        <f>B34*IBGE_2!S$34/100</f>
        <v>1.1889001333333331</v>
      </c>
      <c r="T34" s="142">
        <f>B34*IBGE_2!T$34/100</f>
        <v>14.529864733333334</v>
      </c>
      <c r="U34" s="142">
        <f>B34*IBGE_2!U$34/100</f>
        <v>1.4852999999999998E-2</v>
      </c>
      <c r="V34" s="142">
        <f>B34*IBGE_2!V$34/100</f>
        <v>0.48661626666666663</v>
      </c>
      <c r="W34" s="142" t="s">
        <v>3047</v>
      </c>
      <c r="X34" s="142" t="s">
        <v>3047</v>
      </c>
      <c r="Y34" s="142" t="s">
        <v>3047</v>
      </c>
      <c r="Z34" s="142" t="s">
        <v>3047</v>
      </c>
      <c r="AA34" s="142" t="s">
        <v>3047</v>
      </c>
      <c r="AB34" s="142" t="s">
        <v>3047</v>
      </c>
      <c r="AC34" s="142" t="s">
        <v>3047</v>
      </c>
      <c r="AD34" s="142" t="s">
        <v>3047</v>
      </c>
      <c r="AE34" s="142" t="s">
        <v>3047</v>
      </c>
      <c r="AF34" s="142" t="s">
        <v>3047</v>
      </c>
      <c r="AG34" s="142">
        <f>B34*IBGE_2!AG$34/100</f>
        <v>7.97818E-2</v>
      </c>
      <c r="AH34" s="142">
        <f>B34*IBGE_2!AH$34/100</f>
        <v>5.1939999999999998E-3</v>
      </c>
      <c r="AI34" s="142">
        <f>B34*IBGE_2!AI$34/100</f>
        <v>382</v>
      </c>
      <c r="AJ34" s="142">
        <f>B34*IBGE_2!AJ$34/100</f>
        <v>0.44696819999999993</v>
      </c>
      <c r="AK34" s="142" t="s">
        <v>3047</v>
      </c>
      <c r="AL34" s="142" t="s">
        <v>3047</v>
      </c>
      <c r="AM34" s="142" t="s">
        <v>3047</v>
      </c>
      <c r="AN34" s="161"/>
    </row>
    <row r="35" spans="1:40">
      <c r="A35" s="143" t="s">
        <v>1094</v>
      </c>
      <c r="B35" s="141">
        <v>100</v>
      </c>
      <c r="C35" s="142">
        <f>B35*IBGE_2!C$35/100</f>
        <v>130.94564375350001</v>
      </c>
      <c r="D35" s="142">
        <f>B35*IBGE_2!D$35/100</f>
        <v>2.5628851500000001</v>
      </c>
      <c r="E35" s="142">
        <f>B35*IBGE_2!E$35/100</f>
        <v>1.9657966666666666</v>
      </c>
      <c r="F35" s="142">
        <f>B35*IBGE_2!F$35/100</f>
        <v>0.44968520000000001</v>
      </c>
      <c r="G35" s="142">
        <f>B35*IBGE_2!G$35/100</f>
        <v>0.61827539999999992</v>
      </c>
      <c r="H35" s="142">
        <f>B35*IBGE_2!H$35/100</f>
        <v>0.86017779999999999</v>
      </c>
      <c r="I35" s="142">
        <f>B35*IBGE_2!I$35/100</f>
        <v>0.80388080000000006</v>
      </c>
      <c r="J35" s="142">
        <f>B35*IBGE_2!J$35/100</f>
        <v>7.6110799999999992E-2</v>
      </c>
      <c r="K35" s="142" t="s">
        <v>3047</v>
      </c>
      <c r="L35" s="142">
        <f>B35*IBGE_2!L$35/100</f>
        <v>25.556814450000001</v>
      </c>
      <c r="M35" s="142">
        <f>B35*IBGE_2!M$35/100</f>
        <v>2.7223898666666675</v>
      </c>
      <c r="N35" s="142">
        <f>B35*IBGE_2!N$35/100</f>
        <v>5.1530007999999983</v>
      </c>
      <c r="O35" s="142">
        <f>B35*IBGE_2!O$35/100</f>
        <v>58.126720399999996</v>
      </c>
      <c r="P35" s="142">
        <f>B35*IBGE_2!P$35/100</f>
        <v>0.62118546666666663</v>
      </c>
      <c r="Q35" s="142">
        <f>B35*IBGE_2!Q$35/100</f>
        <v>104.81564060000001</v>
      </c>
      <c r="R35" s="142">
        <f>B35*IBGE_2!R$35/100</f>
        <v>0.2599224</v>
      </c>
      <c r="S35" s="142">
        <f>B35*IBGE_2!S$35/100</f>
        <v>1.2324689333333332</v>
      </c>
      <c r="T35" s="142">
        <f>B35*IBGE_2!T$35/100</f>
        <v>74.415180333333325</v>
      </c>
      <c r="U35" s="142">
        <f>B35*IBGE_2!U$35/100</f>
        <v>2.0134066666666665E-2</v>
      </c>
      <c r="V35" s="142">
        <f>B35*IBGE_2!V$35/100</f>
        <v>0.67607453333333334</v>
      </c>
      <c r="W35" s="142" t="s">
        <v>3047</v>
      </c>
      <c r="X35" s="142">
        <f>B35*IBGE_2!X$35/100</f>
        <v>7.9215999999999995E-2</v>
      </c>
      <c r="Y35" s="142" t="s">
        <v>3047</v>
      </c>
      <c r="Z35" s="142">
        <f>B35*IBGE_2!Z$35/100</f>
        <v>7.9215999999999995E-2</v>
      </c>
      <c r="AA35" s="142" t="s">
        <v>3047</v>
      </c>
      <c r="AB35" s="142" t="s">
        <v>3047</v>
      </c>
      <c r="AC35" s="142" t="s">
        <v>3047</v>
      </c>
      <c r="AD35" s="142" t="s">
        <v>3047</v>
      </c>
      <c r="AE35" s="142" t="s">
        <v>3047</v>
      </c>
      <c r="AF35" s="142" t="s">
        <v>3047</v>
      </c>
      <c r="AG35" s="142">
        <f>B35*IBGE_2!AG$35/100</f>
        <v>7.97818E-2</v>
      </c>
      <c r="AH35" s="142">
        <f>B35*IBGE_2!AH$35/100</f>
        <v>5.1939999999999998E-3</v>
      </c>
      <c r="AI35" s="142">
        <f>B35*IBGE_2!AI$35/100</f>
        <v>282</v>
      </c>
      <c r="AJ35" s="142">
        <f>B35*IBGE_2!AJ$35/100</f>
        <v>0.44696819999999993</v>
      </c>
      <c r="AK35" s="142" t="s">
        <v>3047</v>
      </c>
      <c r="AL35" s="142" t="s">
        <v>3047</v>
      </c>
      <c r="AM35" s="142" t="s">
        <v>3047</v>
      </c>
      <c r="AN35" s="161"/>
    </row>
    <row r="36" spans="1:40">
      <c r="A36" s="143" t="s">
        <v>1095</v>
      </c>
      <c r="B36" s="141">
        <v>100</v>
      </c>
      <c r="C36" s="142">
        <f>B36*IBGE_2!C$36/100</f>
        <v>196.34200000000001</v>
      </c>
      <c r="D36" s="142">
        <f>B36*IBGE_2!D$36/100</f>
        <v>16.64</v>
      </c>
      <c r="E36" s="142">
        <f>B36*IBGE_2!E$36/100</f>
        <v>11.611000000000001</v>
      </c>
      <c r="F36" s="142">
        <f>B36*IBGE_2!F$36/100</f>
        <v>1.71</v>
      </c>
      <c r="G36" s="142">
        <f>B36*IBGE_2!G$36/100</f>
        <v>2.5830000000000002</v>
      </c>
      <c r="H36" s="142">
        <f>B36*IBGE_2!H$36/100</f>
        <v>6.5890000000000013</v>
      </c>
      <c r="I36" s="142">
        <f>B36*IBGE_2!I$36/100</f>
        <v>5.81</v>
      </c>
      <c r="J36" s="142">
        <f>B36*IBGE_2!J$36/100</f>
        <v>0.77700000000000002</v>
      </c>
      <c r="K36" s="142" t="s">
        <v>3047</v>
      </c>
      <c r="L36" s="142">
        <f>B36*IBGE_2!L$36/100</f>
        <v>9.93</v>
      </c>
      <c r="M36" s="142">
        <f>B36*IBGE_2!M$36/100</f>
        <v>6</v>
      </c>
      <c r="N36" s="142">
        <f>B36*IBGE_2!N$36/100</f>
        <v>102</v>
      </c>
      <c r="O36" s="142">
        <f>B36*IBGE_2!O$36/100</f>
        <v>86</v>
      </c>
      <c r="P36" s="142">
        <f>B36*IBGE_2!P$36/100</f>
        <v>0.82399999999999995</v>
      </c>
      <c r="Q36" s="142">
        <f>B36*IBGE_2!Q$36/100</f>
        <v>245</v>
      </c>
      <c r="R36" s="142">
        <f>B36*IBGE_2!R$36/100</f>
        <v>5.141</v>
      </c>
      <c r="S36" s="142">
        <f>B36*IBGE_2!S$36/100</f>
        <v>1</v>
      </c>
      <c r="T36" s="142">
        <f>B36*IBGE_2!T$36/100</f>
        <v>515</v>
      </c>
      <c r="U36" s="142">
        <f>B36*IBGE_2!U$36/100</f>
        <v>0.40699999999999997</v>
      </c>
      <c r="V36" s="142">
        <f>B36*IBGE_2!V$36/100</f>
        <v>1.1499999999999999</v>
      </c>
      <c r="W36" s="142" t="s">
        <v>3047</v>
      </c>
      <c r="X36" s="142">
        <f>B36*IBGE_2!X$36/100</f>
        <v>0.155</v>
      </c>
      <c r="Y36" s="142">
        <f>B36*IBGE_2!Y$36/100</f>
        <v>0.28499999999999998</v>
      </c>
      <c r="Z36" s="142">
        <f>B36*IBGE_2!Z$36/100</f>
        <v>0.23400000000000001</v>
      </c>
      <c r="AA36" s="142">
        <f>B36*IBGE_2!AA$36/100</f>
        <v>0.39900000000000008</v>
      </c>
      <c r="AB36" s="142">
        <f>B36*IBGE_2!AB$36/100</f>
        <v>1.7</v>
      </c>
      <c r="AC36" s="142">
        <f>B36*IBGE_2!AC$36/100</f>
        <v>4.4320000000000004</v>
      </c>
      <c r="AD36" s="142" t="s">
        <v>3047</v>
      </c>
      <c r="AE36" s="142">
        <f>B36*IBGE_2!AE$36/100</f>
        <v>54</v>
      </c>
      <c r="AF36" s="142" t="s">
        <v>3047</v>
      </c>
      <c r="AG36" s="142">
        <f>B36*IBGE_2!AG$36/100</f>
        <v>0.56599999999999995</v>
      </c>
      <c r="AH36" s="142">
        <f>B36*IBGE_2!AH$36/100</f>
        <v>1.4000000000000002E-2</v>
      </c>
      <c r="AI36" s="142">
        <f>B36*IBGE_2!AI$36/100</f>
        <v>219</v>
      </c>
      <c r="AJ36" s="142">
        <f>B36*IBGE_2!AJ$36/100</f>
        <v>8.51</v>
      </c>
      <c r="AK36" s="142">
        <f>B36*IBGE_2!AK$36/100</f>
        <v>0.41699999999999998</v>
      </c>
      <c r="AL36" s="142">
        <f>B36*IBGE_2!AL$36/100</f>
        <v>0.8</v>
      </c>
      <c r="AM36" s="142" t="s">
        <v>3047</v>
      </c>
      <c r="AN36" s="161"/>
    </row>
    <row r="37" spans="1:40">
      <c r="A37" s="143" t="s">
        <v>1096</v>
      </c>
      <c r="B37" s="141">
        <v>100</v>
      </c>
      <c r="C37" s="142">
        <f>B37*IBGE_2!C$37/100</f>
        <v>135.465</v>
      </c>
      <c r="D37" s="142">
        <f>B37*IBGE_2!D$37/100</f>
        <v>4.3650000000000002</v>
      </c>
      <c r="E37" s="142">
        <f>B37*IBGE_2!E$37/100</f>
        <v>4.3310000000000004</v>
      </c>
      <c r="F37" s="142">
        <f>B37*IBGE_2!F$37/100</f>
        <v>0.60199999999999998</v>
      </c>
      <c r="G37" s="142">
        <f>B37*IBGE_2!G$37/100</f>
        <v>1.0580000000000001</v>
      </c>
      <c r="H37" s="142">
        <f>B37*IBGE_2!H$37/100</f>
        <v>2.4350000000000001</v>
      </c>
      <c r="I37" s="142">
        <f>B37*IBGE_2!I$37/100</f>
        <v>2.1709999999999998</v>
      </c>
      <c r="J37" s="142">
        <f>B37*IBGE_2!J$37/100</f>
        <v>0.247</v>
      </c>
      <c r="K37" s="142" t="s">
        <v>3047</v>
      </c>
      <c r="L37" s="142">
        <f>B37*IBGE_2!L$37/100</f>
        <v>19.834</v>
      </c>
      <c r="M37" s="142">
        <f>B37*IBGE_2!M$37/100</f>
        <v>2.1640000000000001</v>
      </c>
      <c r="N37" s="142">
        <f>B37*IBGE_2!N$37/100</f>
        <v>16.573</v>
      </c>
      <c r="O37" s="142">
        <f>B37*IBGE_2!O$37/100</f>
        <v>61.582000000000001</v>
      </c>
      <c r="P37" s="142">
        <f>B37*IBGE_2!P$37/100</f>
        <v>0.628</v>
      </c>
      <c r="Q37" s="142">
        <f>B37*IBGE_2!Q$37/100</f>
        <v>141.27699999999999</v>
      </c>
      <c r="R37" s="142">
        <f>B37*IBGE_2!R$37/100</f>
        <v>1.4140000000000001</v>
      </c>
      <c r="S37" s="142">
        <f>B37*IBGE_2!S$37/100</f>
        <v>4.2709999999999999</v>
      </c>
      <c r="T37" s="142">
        <f>B37*IBGE_2!T$37/100</f>
        <v>174.04599999999999</v>
      </c>
      <c r="U37" s="142">
        <f>B37*IBGE_2!U$37/100</f>
        <v>0.18899999999999997</v>
      </c>
      <c r="V37" s="142">
        <f>B37*IBGE_2!V$37/100</f>
        <v>0.96499999999999997</v>
      </c>
      <c r="W37" s="142" t="s">
        <v>3047</v>
      </c>
      <c r="X37" s="142">
        <f>B37*IBGE_2!X$37/100</f>
        <v>0.111</v>
      </c>
      <c r="Y37" s="142">
        <f>B37*IBGE_2!Y$37/100</f>
        <v>9.8000000000000004E-2</v>
      </c>
      <c r="Z37" s="142">
        <f>B37*IBGE_2!Z$37/100</f>
        <v>0.151</v>
      </c>
      <c r="AA37" s="142">
        <f>B37*IBGE_2!AA$37/100</f>
        <v>0.47</v>
      </c>
      <c r="AB37" s="142" t="s">
        <v>3047</v>
      </c>
      <c r="AC37" s="142">
        <f>B37*IBGE_2!AC$37/100</f>
        <v>1.2689999999999999</v>
      </c>
      <c r="AD37" s="142" t="s">
        <v>3047</v>
      </c>
      <c r="AE37" s="142">
        <f>B37*IBGE_2!AE$37/100</f>
        <v>56.881999999999998</v>
      </c>
      <c r="AF37" s="142" t="s">
        <v>3047</v>
      </c>
      <c r="AG37" s="142">
        <f>B37*IBGE_2!AG$37/100</f>
        <v>0.95499999999999996</v>
      </c>
      <c r="AH37" s="142">
        <f>B37*IBGE_2!AH$37/100</f>
        <v>1.3000000000000001E-2</v>
      </c>
      <c r="AI37" s="142">
        <f>B37*IBGE_2!AI$37/100</f>
        <v>374</v>
      </c>
      <c r="AJ37" s="142">
        <f>B37*IBGE_2!AJ$37/100</f>
        <v>3.7530000000000001</v>
      </c>
      <c r="AK37" s="142">
        <f>B37*IBGE_2!AK$37/100</f>
        <v>0.21899999999999997</v>
      </c>
      <c r="AL37" s="142">
        <f>B37*IBGE_2!AL$37/100</f>
        <v>1.8859999999999999</v>
      </c>
      <c r="AM37" s="142" t="s">
        <v>3047</v>
      </c>
      <c r="AN37" s="161"/>
    </row>
    <row r="38" spans="1:40">
      <c r="A38" s="143" t="s">
        <v>1097</v>
      </c>
      <c r="B38" s="141">
        <v>100</v>
      </c>
      <c r="C38" s="142">
        <f>B38*IBGE_2!C$38/100</f>
        <v>86</v>
      </c>
      <c r="D38" s="142">
        <f>B38*IBGE_2!D$38/100</f>
        <v>1.71</v>
      </c>
      <c r="E38" s="142">
        <f>B38*IBGE_2!E$38/100</f>
        <v>0.1</v>
      </c>
      <c r="F38" s="142">
        <f>B38*IBGE_2!F$38/100</f>
        <v>2.6000000000000002E-2</v>
      </c>
      <c r="G38" s="142">
        <f>B38*IBGE_2!G$38/100</f>
        <v>2E-3</v>
      </c>
      <c r="H38" s="142">
        <f>B38*IBGE_2!H$38/100</f>
        <v>4.2999999999999997E-2</v>
      </c>
      <c r="I38" s="142">
        <f>B38*IBGE_2!I$38/100</f>
        <v>3.2000000000000001E-2</v>
      </c>
      <c r="J38" s="142">
        <f>B38*IBGE_2!J$38/100</f>
        <v>0.01</v>
      </c>
      <c r="K38" s="142" t="s">
        <v>3047</v>
      </c>
      <c r="L38" s="142">
        <f>B38*IBGE_2!L$38/100</f>
        <v>20.010000000000002</v>
      </c>
      <c r="M38" s="142">
        <f>B38*IBGE_2!M$38/100</f>
        <v>2.0499999999999998</v>
      </c>
      <c r="N38" s="142">
        <f>B38*IBGE_2!N$38/100</f>
        <v>8</v>
      </c>
      <c r="O38" s="142">
        <f>B38*IBGE_2!O$38/100</f>
        <v>20</v>
      </c>
      <c r="P38" s="142">
        <f>B38*IBGE_2!P$38/100</f>
        <v>0.14000000000000001</v>
      </c>
      <c r="Q38" s="142">
        <f>B38*IBGE_2!Q$38/100</f>
        <v>40</v>
      </c>
      <c r="R38" s="142">
        <f>B38*IBGE_2!R$38/100</f>
        <v>0.31</v>
      </c>
      <c r="S38" s="142">
        <f>B38*IBGE_2!S$38/100</f>
        <v>5</v>
      </c>
      <c r="T38" s="142">
        <f>B38*IBGE_2!T$38/100</f>
        <v>328</v>
      </c>
      <c r="U38" s="142">
        <f>B38*IBGE_2!U$38/100</f>
        <v>0.16699999999999998</v>
      </c>
      <c r="V38" s="142">
        <f>B38*IBGE_2!V$38/100</f>
        <v>0.27</v>
      </c>
      <c r="W38" s="142" t="s">
        <v>3047</v>
      </c>
      <c r="X38" s="142">
        <f>B38*IBGE_2!X$38/100</f>
        <v>9.8000000000000004E-2</v>
      </c>
      <c r="Y38" s="142">
        <f>B38*IBGE_2!Y$38/100</f>
        <v>1.9E-2</v>
      </c>
      <c r="Z38" s="142">
        <f>B38*IBGE_2!Z$38/100</f>
        <v>0.26900000000000002</v>
      </c>
      <c r="AA38" s="142">
        <f>B38*IBGE_2!AA$38/100</f>
        <v>1.3120000000000003</v>
      </c>
      <c r="AB38" s="142">
        <f>B38*IBGE_2!AB$38/100</f>
        <v>7.4</v>
      </c>
      <c r="AC38" s="142">
        <f>B38*IBGE_2!AC$38/100</f>
        <v>1.7619999999999998</v>
      </c>
      <c r="AD38" s="142" t="s">
        <v>3047</v>
      </c>
      <c r="AE38" s="142">
        <f>B38*IBGE_2!AE$38/100</f>
        <v>9</v>
      </c>
      <c r="AF38" s="142" t="s">
        <v>3047</v>
      </c>
      <c r="AG38" s="142">
        <f>B38*IBGE_2!AG$38/100</f>
        <v>0.06</v>
      </c>
      <c r="AH38" s="142" t="s">
        <v>3047</v>
      </c>
      <c r="AI38" s="142">
        <f>B38*IBGE_2!AI$38/100</f>
        <v>242</v>
      </c>
      <c r="AJ38" s="142">
        <f>B38*IBGE_2!AJ$38/100</f>
        <v>0.3</v>
      </c>
      <c r="AK38" s="142">
        <f>B38*IBGE_2!AK$38/100</f>
        <v>0.16699999999999998</v>
      </c>
      <c r="AL38" s="142">
        <f>B38*IBGE_2!AL$38/100</f>
        <v>0.86</v>
      </c>
      <c r="AM38" s="142" t="s">
        <v>3047</v>
      </c>
      <c r="AN38" s="161"/>
    </row>
    <row r="39" spans="1:40">
      <c r="A39" s="143" t="s">
        <v>1098</v>
      </c>
      <c r="B39" s="141">
        <v>100</v>
      </c>
      <c r="C39" s="142">
        <f>B39*IBGE_2!C$39/100</f>
        <v>86</v>
      </c>
      <c r="D39" s="142">
        <f>B39*IBGE_2!D$39/100</f>
        <v>1.71</v>
      </c>
      <c r="E39" s="142">
        <f>B39*IBGE_2!E$39/100</f>
        <v>0.1</v>
      </c>
      <c r="F39" s="142">
        <f>B39*IBGE_2!F$39/100</f>
        <v>2.6000000000000002E-2</v>
      </c>
      <c r="G39" s="142">
        <f>B39*IBGE_2!G$39/100</f>
        <v>2E-3</v>
      </c>
      <c r="H39" s="142">
        <f>B39*IBGE_2!H$39/100</f>
        <v>4.2999999999999997E-2</v>
      </c>
      <c r="I39" s="142">
        <f>B39*IBGE_2!I$39/100</f>
        <v>3.2000000000000001E-2</v>
      </c>
      <c r="J39" s="142">
        <f>B39*IBGE_2!J$39/100</f>
        <v>0.01</v>
      </c>
      <c r="K39" s="142" t="s">
        <v>3047</v>
      </c>
      <c r="L39" s="142">
        <f>B39*IBGE_2!L$39/100</f>
        <v>20.010000000000002</v>
      </c>
      <c r="M39" s="142">
        <f>B39*IBGE_2!M$39/100</f>
        <v>2.0499999999999998</v>
      </c>
      <c r="N39" s="142">
        <f>B39*IBGE_2!N$39/100</f>
        <v>8</v>
      </c>
      <c r="O39" s="142">
        <f>B39*IBGE_2!O$39/100</f>
        <v>20</v>
      </c>
      <c r="P39" s="142">
        <f>B39*IBGE_2!P$39/100</f>
        <v>0.14000000000000001</v>
      </c>
      <c r="Q39" s="142">
        <f>B39*IBGE_2!Q$39/100</f>
        <v>40</v>
      </c>
      <c r="R39" s="142">
        <f>B39*IBGE_2!R$39/100</f>
        <v>0.31</v>
      </c>
      <c r="S39" s="142">
        <f>B39*IBGE_2!S$39/100</f>
        <v>5</v>
      </c>
      <c r="T39" s="142">
        <f>B39*IBGE_2!T$39/100</f>
        <v>328</v>
      </c>
      <c r="U39" s="142">
        <f>B39*IBGE_2!U$39/100</f>
        <v>0.16699999999999998</v>
      </c>
      <c r="V39" s="142">
        <f>B39*IBGE_2!V$39/100</f>
        <v>0.27</v>
      </c>
      <c r="W39" s="142" t="s">
        <v>3047</v>
      </c>
      <c r="X39" s="142">
        <f>B39*IBGE_2!X$39/100</f>
        <v>9.8000000000000004E-2</v>
      </c>
      <c r="Y39" s="142">
        <f>B39*IBGE_2!Y$39/100</f>
        <v>1.9E-2</v>
      </c>
      <c r="Z39" s="142">
        <f>B39*IBGE_2!Z$39/100</f>
        <v>0.26900000000000002</v>
      </c>
      <c r="AA39" s="142">
        <f>B39*IBGE_2!AA$39/100</f>
        <v>1.3120000000000003</v>
      </c>
      <c r="AB39" s="142">
        <f>B39*IBGE_2!AB$39/100</f>
        <v>7.4</v>
      </c>
      <c r="AC39" s="142">
        <f>B39*IBGE_2!AC$39/100</f>
        <v>1.7619999999999998</v>
      </c>
      <c r="AD39" s="142" t="s">
        <v>3047</v>
      </c>
      <c r="AE39" s="142">
        <f>B39*IBGE_2!AE$39/100</f>
        <v>9</v>
      </c>
      <c r="AF39" s="142" t="s">
        <v>3047</v>
      </c>
      <c r="AG39" s="142">
        <f>B39*IBGE_2!AG$39/100</f>
        <v>0.06</v>
      </c>
      <c r="AH39" s="142" t="s">
        <v>3047</v>
      </c>
      <c r="AI39" s="142">
        <f>B39*IBGE_2!AI$39/100</f>
        <v>242</v>
      </c>
      <c r="AJ39" s="142">
        <f>B39*IBGE_2!AJ$39/100</f>
        <v>0.3</v>
      </c>
      <c r="AK39" s="142">
        <f>B39*IBGE_2!AK$39/100</f>
        <v>0.16699999999999998</v>
      </c>
      <c r="AL39" s="142">
        <f>B39*IBGE_2!AL$39/100</f>
        <v>0.86</v>
      </c>
      <c r="AM39" s="142" t="s">
        <v>3047</v>
      </c>
      <c r="AN39" s="161"/>
    </row>
    <row r="40" spans="1:40">
      <c r="A40" s="143" t="s">
        <v>1099</v>
      </c>
      <c r="B40" s="141">
        <v>100</v>
      </c>
      <c r="C40" s="142">
        <f>B40*IBGE_2!C$40/100</f>
        <v>86</v>
      </c>
      <c r="D40" s="142">
        <f>B40*IBGE_2!D$40/100</f>
        <v>1.71</v>
      </c>
      <c r="E40" s="142">
        <f>B40*IBGE_2!E$40/100</f>
        <v>0.1</v>
      </c>
      <c r="F40" s="142">
        <f>B40*IBGE_2!F$40/100</f>
        <v>2.6000000000000002E-2</v>
      </c>
      <c r="G40" s="142">
        <f>B40*IBGE_2!G$40/100</f>
        <v>2E-3</v>
      </c>
      <c r="H40" s="142">
        <f>B40*IBGE_2!H$40/100</f>
        <v>4.2999999999999997E-2</v>
      </c>
      <c r="I40" s="142">
        <f>B40*IBGE_2!I$40/100</f>
        <v>3.2000000000000001E-2</v>
      </c>
      <c r="J40" s="142">
        <f>B40*IBGE_2!J$40/100</f>
        <v>0.01</v>
      </c>
      <c r="K40" s="142" t="s">
        <v>3047</v>
      </c>
      <c r="L40" s="142">
        <f>B40*IBGE_2!L$40/100</f>
        <v>20.010000000000002</v>
      </c>
      <c r="M40" s="142">
        <f>B40*IBGE_2!M$40/100</f>
        <v>2.0499999999999998</v>
      </c>
      <c r="N40" s="142">
        <f>B40*IBGE_2!N$40/100</f>
        <v>8</v>
      </c>
      <c r="O40" s="142">
        <f>B40*IBGE_2!O$40/100</f>
        <v>20</v>
      </c>
      <c r="P40" s="142">
        <f>B40*IBGE_2!P$40/100</f>
        <v>0.14000000000000001</v>
      </c>
      <c r="Q40" s="142">
        <f>B40*IBGE_2!Q$40/100</f>
        <v>40</v>
      </c>
      <c r="R40" s="142">
        <f>B40*IBGE_2!R$40/100</f>
        <v>0.31</v>
      </c>
      <c r="S40" s="142">
        <f>B40*IBGE_2!S$40/100</f>
        <v>5</v>
      </c>
      <c r="T40" s="142">
        <f>B40*IBGE_2!T$40/100</f>
        <v>328</v>
      </c>
      <c r="U40" s="142">
        <f>B40*IBGE_2!U$40/100</f>
        <v>0.16699999999999998</v>
      </c>
      <c r="V40" s="142">
        <f>B40*IBGE_2!V$40/100</f>
        <v>0.27</v>
      </c>
      <c r="W40" s="142" t="s">
        <v>3047</v>
      </c>
      <c r="X40" s="142">
        <f>B40*IBGE_2!X$40/100</f>
        <v>9.8000000000000004E-2</v>
      </c>
      <c r="Y40" s="142">
        <f>B40*IBGE_2!Y$40/100</f>
        <v>1.9E-2</v>
      </c>
      <c r="Z40" s="142">
        <f>B40*IBGE_2!Z$40/100</f>
        <v>0.26900000000000002</v>
      </c>
      <c r="AA40" s="142">
        <f>B40*IBGE_2!AA$40/100</f>
        <v>1.3120000000000003</v>
      </c>
      <c r="AB40" s="142">
        <f>B40*IBGE_2!AB$40/100</f>
        <v>7.4</v>
      </c>
      <c r="AC40" s="142">
        <f>B40*IBGE_2!AC$40/100</f>
        <v>1.7619999999999998</v>
      </c>
      <c r="AD40" s="142" t="s">
        <v>3047</v>
      </c>
      <c r="AE40" s="142">
        <f>B40*IBGE_2!AE$40/100</f>
        <v>9</v>
      </c>
      <c r="AF40" s="142" t="s">
        <v>3047</v>
      </c>
      <c r="AG40" s="142">
        <f>B40*IBGE_2!AG$40/100</f>
        <v>0.06</v>
      </c>
      <c r="AH40" s="142" t="s">
        <v>3047</v>
      </c>
      <c r="AI40" s="142">
        <f>B40*IBGE_2!AI$40/100</f>
        <v>242</v>
      </c>
      <c r="AJ40" s="142">
        <f>B40*IBGE_2!AJ$40/100</f>
        <v>0.3</v>
      </c>
      <c r="AK40" s="142">
        <f>B40*IBGE_2!AK$40/100</f>
        <v>0.16699999999999998</v>
      </c>
      <c r="AL40" s="142">
        <f>B40*IBGE_2!AL$40/100</f>
        <v>0.86</v>
      </c>
      <c r="AM40" s="142" t="s">
        <v>3047</v>
      </c>
      <c r="AN40" s="161"/>
    </row>
    <row r="41" spans="1:40">
      <c r="A41" s="143" t="s">
        <v>1100</v>
      </c>
      <c r="B41" s="141">
        <v>100</v>
      </c>
      <c r="C41" s="142">
        <f>B41*IBGE_2!C$41/100</f>
        <v>86</v>
      </c>
      <c r="D41" s="142">
        <f>B41*IBGE_2!D$41/100</f>
        <v>1.71</v>
      </c>
      <c r="E41" s="142">
        <f>B41*IBGE_2!E$41/100</f>
        <v>0.1</v>
      </c>
      <c r="F41" s="142">
        <f>B41*IBGE_2!F$41/100</f>
        <v>2.6000000000000002E-2</v>
      </c>
      <c r="G41" s="142">
        <f>B41*IBGE_2!G$41/100</f>
        <v>2E-3</v>
      </c>
      <c r="H41" s="142">
        <f>B41*IBGE_2!H$41/100</f>
        <v>4.2999999999999997E-2</v>
      </c>
      <c r="I41" s="142">
        <f>B41*IBGE_2!I$41/100</f>
        <v>3.2000000000000001E-2</v>
      </c>
      <c r="J41" s="142">
        <f>B41*IBGE_2!J$41/100</f>
        <v>0.01</v>
      </c>
      <c r="K41" s="142" t="s">
        <v>3047</v>
      </c>
      <c r="L41" s="142">
        <f>B41*IBGE_2!L$41/100</f>
        <v>20.010000000000002</v>
      </c>
      <c r="M41" s="142">
        <f>B41*IBGE_2!M$41/100</f>
        <v>2.0499999999999998</v>
      </c>
      <c r="N41" s="142">
        <f>B41*IBGE_2!N$41/100</f>
        <v>8</v>
      </c>
      <c r="O41" s="142">
        <f>B41*IBGE_2!O$41/100</f>
        <v>20</v>
      </c>
      <c r="P41" s="142">
        <f>B41*IBGE_2!P$41/100</f>
        <v>0.14000000000000001</v>
      </c>
      <c r="Q41" s="142">
        <f>B41*IBGE_2!Q$41/100</f>
        <v>40</v>
      </c>
      <c r="R41" s="142">
        <f>B41*IBGE_2!R$41/100</f>
        <v>0.31</v>
      </c>
      <c r="S41" s="142">
        <f>B41*IBGE_2!S$41/100</f>
        <v>5</v>
      </c>
      <c r="T41" s="142">
        <f>B41*IBGE_2!T$41/100</f>
        <v>328</v>
      </c>
      <c r="U41" s="142">
        <f>B41*IBGE_2!U$41/100</f>
        <v>0.16699999999999998</v>
      </c>
      <c r="V41" s="142">
        <f>B41*IBGE_2!V$41/100</f>
        <v>0.27</v>
      </c>
      <c r="W41" s="142" t="s">
        <v>3047</v>
      </c>
      <c r="X41" s="142">
        <f>B41*IBGE_2!X$41/100</f>
        <v>9.8000000000000004E-2</v>
      </c>
      <c r="Y41" s="142">
        <f>B41*IBGE_2!Y$41/100</f>
        <v>1.9E-2</v>
      </c>
      <c r="Z41" s="142">
        <f>B41*IBGE_2!Z$41/100</f>
        <v>0.26900000000000002</v>
      </c>
      <c r="AA41" s="142">
        <f>B41*IBGE_2!AA$41/100</f>
        <v>1.3120000000000003</v>
      </c>
      <c r="AB41" s="142">
        <f>B41*IBGE_2!AB$41/100</f>
        <v>7.4</v>
      </c>
      <c r="AC41" s="142">
        <f>B41*IBGE_2!AC$41/100</f>
        <v>1.7619999999999998</v>
      </c>
      <c r="AD41" s="142" t="s">
        <v>3047</v>
      </c>
      <c r="AE41" s="142">
        <f>B41*IBGE_2!AE$41/100</f>
        <v>9</v>
      </c>
      <c r="AF41" s="142" t="s">
        <v>3047</v>
      </c>
      <c r="AG41" s="142">
        <f>B41*IBGE_2!AG$41/100</f>
        <v>0.06</v>
      </c>
      <c r="AH41" s="142" t="s">
        <v>3047</v>
      </c>
      <c r="AI41" s="142">
        <f>B41*IBGE_2!AI$41/100</f>
        <v>242</v>
      </c>
      <c r="AJ41" s="142">
        <f>B41*IBGE_2!AJ$41/100</f>
        <v>0.3</v>
      </c>
      <c r="AK41" s="142">
        <f>B41*IBGE_2!AK$41/100</f>
        <v>0.16699999999999998</v>
      </c>
      <c r="AL41" s="142">
        <f>B41*IBGE_2!AL$41/100</f>
        <v>0.86</v>
      </c>
      <c r="AM41" s="142" t="s">
        <v>3047</v>
      </c>
      <c r="AN41" s="161"/>
    </row>
    <row r="42" spans="1:40">
      <c r="A42" s="143" t="s">
        <v>1101</v>
      </c>
      <c r="B42" s="141">
        <v>100</v>
      </c>
      <c r="C42" s="142">
        <f>B42*IBGE_2!C$42/100</f>
        <v>263.5</v>
      </c>
      <c r="D42" s="142">
        <f>B42*IBGE_2!D$42/100</f>
        <v>2.8710000000000004</v>
      </c>
      <c r="E42" s="142">
        <f>B42*IBGE_2!E$42/100</f>
        <v>13.64</v>
      </c>
      <c r="F42" s="142">
        <f>B42*IBGE_2!F$42/100</f>
        <v>2.1520000000000001</v>
      </c>
      <c r="G42" s="142">
        <f>B42*IBGE_2!G$42/100</f>
        <v>3.073</v>
      </c>
      <c r="H42" s="142">
        <f>B42*IBGE_2!H$42/100</f>
        <v>7.851</v>
      </c>
      <c r="I42" s="142">
        <f>B42*IBGE_2!I$42/100</f>
        <v>6.918000000000001</v>
      </c>
      <c r="J42" s="142">
        <f>B42*IBGE_2!J$42/100</f>
        <v>0.93100000000000005</v>
      </c>
      <c r="K42" s="142" t="s">
        <v>3047</v>
      </c>
      <c r="L42" s="142">
        <f>B42*IBGE_2!L$42/100</f>
        <v>33.6</v>
      </c>
      <c r="M42" s="142">
        <f>B42*IBGE_2!M$42/100</f>
        <v>3.4420000000000006</v>
      </c>
      <c r="N42" s="142">
        <f>B42*IBGE_2!N$42/100</f>
        <v>13.433</v>
      </c>
      <c r="O42" s="142">
        <f>B42*IBGE_2!O$42/100</f>
        <v>33.582999999999998</v>
      </c>
      <c r="P42" s="142">
        <f>B42*IBGE_2!P$42/100</f>
        <v>0.23499999999999999</v>
      </c>
      <c r="Q42" s="142">
        <f>B42*IBGE_2!Q$42/100</f>
        <v>67.165999999999997</v>
      </c>
      <c r="R42" s="142">
        <f>B42*IBGE_2!R$42/100</f>
        <v>0.52700000000000002</v>
      </c>
      <c r="S42" s="142">
        <f>B42*IBGE_2!S$42/100</f>
        <v>8.3960000000000008</v>
      </c>
      <c r="T42" s="142">
        <f>B42*IBGE_2!T$42/100</f>
        <v>550.76400000000001</v>
      </c>
      <c r="U42" s="142">
        <f>B42*IBGE_2!U$42/100</f>
        <v>0.28000000000000003</v>
      </c>
      <c r="V42" s="142">
        <f>B42*IBGE_2!V$42/100</f>
        <v>0.45500000000000002</v>
      </c>
      <c r="W42" s="142" t="s">
        <v>3047</v>
      </c>
      <c r="X42" s="142">
        <f>B42*IBGE_2!X$42/100</f>
        <v>0.16500000000000001</v>
      </c>
      <c r="Y42" s="142">
        <f>B42*IBGE_2!Y$42/100</f>
        <v>3.2000000000000001E-2</v>
      </c>
      <c r="Z42" s="142">
        <f>B42*IBGE_2!Z$42/100</f>
        <v>0.45200000000000001</v>
      </c>
      <c r="AA42" s="142">
        <f>B42*IBGE_2!AA$42/100</f>
        <v>2.2029999999999998</v>
      </c>
      <c r="AB42" s="142">
        <f>B42*IBGE_2!AB$42/100</f>
        <v>12.425999999999998</v>
      </c>
      <c r="AC42" s="142">
        <f>B42*IBGE_2!AC$42/100</f>
        <v>2.9590000000000005</v>
      </c>
      <c r="AD42" s="142" t="s">
        <v>3047</v>
      </c>
      <c r="AE42" s="142">
        <f>B42*IBGE_2!AE$42/100</f>
        <v>15.112</v>
      </c>
      <c r="AF42" s="142" t="s">
        <v>3047</v>
      </c>
      <c r="AG42" s="142">
        <f>B42*IBGE_2!AG$42/100</f>
        <v>1.2030000000000001</v>
      </c>
      <c r="AH42" s="142">
        <f>B42*IBGE_2!AH$42/100</f>
        <v>7.1999999999999995E-2</v>
      </c>
      <c r="AI42" s="142">
        <f>B42*IBGE_2!AI$42/100</f>
        <v>380</v>
      </c>
      <c r="AJ42" s="142">
        <f>B42*IBGE_2!AJ$42/100</f>
        <v>6.6779999999999999</v>
      </c>
      <c r="AK42" s="142">
        <f>B42*IBGE_2!AK$42/100</f>
        <v>0.28000000000000003</v>
      </c>
      <c r="AL42" s="142">
        <f>B42*IBGE_2!AL$42/100</f>
        <v>1.444</v>
      </c>
      <c r="AM42" s="142" t="s">
        <v>3047</v>
      </c>
      <c r="AN42" s="161"/>
    </row>
    <row r="43" spans="1:40">
      <c r="A43" s="143" t="s">
        <v>1102</v>
      </c>
      <c r="B43" s="141">
        <v>100</v>
      </c>
      <c r="C43" s="142">
        <f>B43*IBGE_2!C$43/100</f>
        <v>111.736</v>
      </c>
      <c r="D43" s="142">
        <f>B43*IBGE_2!D$43/100</f>
        <v>1.71</v>
      </c>
      <c r="E43" s="142">
        <f>B43*IBGE_2!E$43/100</f>
        <v>3.0110000000000001</v>
      </c>
      <c r="F43" s="142">
        <f>B43*IBGE_2!F$43/100</f>
        <v>0.48199999999999998</v>
      </c>
      <c r="G43" s="142">
        <f>B43*IBGE_2!G$43/100</f>
        <v>0.66500000000000004</v>
      </c>
      <c r="H43" s="142">
        <f>B43*IBGE_2!H$43/100</f>
        <v>1.724</v>
      </c>
      <c r="I43" s="142">
        <f>B43*IBGE_2!I$43/100</f>
        <v>1.5149999999999999</v>
      </c>
      <c r="J43" s="142">
        <f>B43*IBGE_2!J$43/100</f>
        <v>0.20800000000000002</v>
      </c>
      <c r="K43" s="142" t="s">
        <v>3047</v>
      </c>
      <c r="L43" s="142">
        <f>B43*IBGE_2!L$43/100</f>
        <v>20.010000000000002</v>
      </c>
      <c r="M43" s="142">
        <f>B43*IBGE_2!M$43/100</f>
        <v>2.0499999999999998</v>
      </c>
      <c r="N43" s="142">
        <f>B43*IBGE_2!N$43/100</f>
        <v>8</v>
      </c>
      <c r="O43" s="142">
        <f>B43*IBGE_2!O$43/100</f>
        <v>20</v>
      </c>
      <c r="P43" s="142">
        <f>B43*IBGE_2!P$43/100</f>
        <v>0.14000000000000001</v>
      </c>
      <c r="Q43" s="142">
        <f>B43*IBGE_2!Q$43/100</f>
        <v>40</v>
      </c>
      <c r="R43" s="142">
        <f>B43*IBGE_2!R$43/100</f>
        <v>0.311</v>
      </c>
      <c r="S43" s="142">
        <f>B43*IBGE_2!S$43/100</f>
        <v>5</v>
      </c>
      <c r="T43" s="142">
        <f>B43*IBGE_2!T$43/100</f>
        <v>328</v>
      </c>
      <c r="U43" s="142">
        <f>B43*IBGE_2!U$43/100</f>
        <v>0.16699999999999998</v>
      </c>
      <c r="V43" s="142">
        <f>B43*IBGE_2!V$43/100</f>
        <v>0.27</v>
      </c>
      <c r="W43" s="142" t="s">
        <v>3047</v>
      </c>
      <c r="X43" s="142">
        <f>B43*IBGE_2!X$43/100</f>
        <v>9.8000000000000004E-2</v>
      </c>
      <c r="Y43" s="142">
        <f>B43*IBGE_2!Y$43/100</f>
        <v>1.9E-2</v>
      </c>
      <c r="Z43" s="142">
        <f>B43*IBGE_2!Z$43/100</f>
        <v>0.26900000000000002</v>
      </c>
      <c r="AA43" s="142">
        <f>B43*IBGE_2!AA$43/100</f>
        <v>1.3120000000000003</v>
      </c>
      <c r="AB43" s="142">
        <f>B43*IBGE_2!AB$43/100</f>
        <v>7.4</v>
      </c>
      <c r="AC43" s="142">
        <f>B43*IBGE_2!AC$43/100</f>
        <v>1.7619999999999998</v>
      </c>
      <c r="AD43" s="142" t="s">
        <v>3047</v>
      </c>
      <c r="AE43" s="142">
        <f>B43*IBGE_2!AE$43/100</f>
        <v>9</v>
      </c>
      <c r="AF43" s="142" t="s">
        <v>3047</v>
      </c>
      <c r="AG43" s="142">
        <f>B43*IBGE_2!AG$43/100</f>
        <v>0.29799999999999999</v>
      </c>
      <c r="AH43" s="142">
        <f>B43*IBGE_2!AH$43/100</f>
        <v>1.6E-2</v>
      </c>
      <c r="AI43" s="142">
        <f>B43*IBGE_2!AI$43/100</f>
        <v>242</v>
      </c>
      <c r="AJ43" s="142">
        <f>B43*IBGE_2!AJ$43/100</f>
        <v>1.6339999999999997</v>
      </c>
      <c r="AK43" s="142">
        <f>B43*IBGE_2!AK$43/100</f>
        <v>0.16699999999999998</v>
      </c>
      <c r="AL43" s="142">
        <f>B43*IBGE_2!AL$43/100</f>
        <v>0.86</v>
      </c>
      <c r="AM43" s="142" t="s">
        <v>3047</v>
      </c>
      <c r="AN43" s="161"/>
    </row>
    <row r="44" spans="1:40">
      <c r="A44" s="143" t="s">
        <v>1103</v>
      </c>
      <c r="B44" s="141">
        <v>100</v>
      </c>
      <c r="C44" s="142">
        <f>B44*IBGE_2!C$44/100</f>
        <v>73.599999999999994</v>
      </c>
      <c r="D44" s="142">
        <f>B44*IBGE_2!D$44/100</f>
        <v>1.6319999999999999</v>
      </c>
      <c r="E44" s="142">
        <f>B44*IBGE_2!E$44/100</f>
        <v>0.11600000000000002</v>
      </c>
      <c r="F44" s="142">
        <f>B44*IBGE_2!F$44/100</f>
        <v>2.6000000000000002E-2</v>
      </c>
      <c r="G44" s="142">
        <f>B44*IBGE_2!G$44/100</f>
        <v>7.000000000000001E-3</v>
      </c>
      <c r="H44" s="142">
        <f>B44*IBGE_2!H$44/100</f>
        <v>4.9000000000000002E-2</v>
      </c>
      <c r="I44" s="142">
        <f>B44*IBGE_2!I$44/100</f>
        <v>3.9E-2</v>
      </c>
      <c r="J44" s="142">
        <f>B44*IBGE_2!J$44/100</f>
        <v>8.9999999999999993E-3</v>
      </c>
      <c r="K44" s="142" t="s">
        <v>3047</v>
      </c>
      <c r="L44" s="142">
        <f>B44*IBGE_2!L$44/100</f>
        <v>17.084</v>
      </c>
      <c r="M44" s="142">
        <f>B44*IBGE_2!M$44/100</f>
        <v>1.94</v>
      </c>
      <c r="N44" s="142">
        <f>B44*IBGE_2!N$44/100</f>
        <v>9</v>
      </c>
      <c r="O44" s="142">
        <f>B44*IBGE_2!O$44/100</f>
        <v>19.2</v>
      </c>
      <c r="P44" s="142">
        <f>B44*IBGE_2!P$44/100</f>
        <v>0.13300000000000001</v>
      </c>
      <c r="Q44" s="142">
        <f>B44*IBGE_2!Q$44/100</f>
        <v>37.200000000000003</v>
      </c>
      <c r="R44" s="142">
        <f>B44*IBGE_2!R$44/100</f>
        <v>0.45200000000000001</v>
      </c>
      <c r="S44" s="142">
        <f>B44*IBGE_2!S$44/100</f>
        <v>108.8</v>
      </c>
      <c r="T44" s="142">
        <f>B44*IBGE_2!T$44/100</f>
        <v>328.6</v>
      </c>
      <c r="U44" s="142">
        <f>B44*IBGE_2!U$44/100</f>
        <v>0.157</v>
      </c>
      <c r="V44" s="142">
        <f>B44*IBGE_2!V$44/100</f>
        <v>0.25600000000000001</v>
      </c>
      <c r="W44" s="142" t="s">
        <v>3047</v>
      </c>
      <c r="X44" s="142">
        <f>B44*IBGE_2!X$44/100</f>
        <v>8.3000000000000004E-2</v>
      </c>
      <c r="Y44" s="142">
        <f>B44*IBGE_2!Y$44/100</f>
        <v>2.8000000000000004E-2</v>
      </c>
      <c r="Z44" s="142">
        <f>B44*IBGE_2!Z$44/100</f>
        <v>0.23499999999999999</v>
      </c>
      <c r="AA44" s="142">
        <f>B44*IBGE_2!AA$44/100</f>
        <v>1.2450000000000001</v>
      </c>
      <c r="AB44" s="142">
        <f>B44*IBGE_2!AB$44/100</f>
        <v>7.32</v>
      </c>
      <c r="AC44" s="142">
        <f>B44*IBGE_2!AC$44/100</f>
        <v>1.6379999999999999</v>
      </c>
      <c r="AD44" s="142" t="s">
        <v>3047</v>
      </c>
      <c r="AE44" s="142">
        <f>B44*IBGE_2!AE$44/100</f>
        <v>9.4</v>
      </c>
      <c r="AF44" s="142" t="s">
        <v>3047</v>
      </c>
      <c r="AG44" s="142">
        <f>B44*IBGE_2!AG$44/100</f>
        <v>0.33200000000000002</v>
      </c>
      <c r="AH44" s="142" t="s">
        <v>3047</v>
      </c>
      <c r="AI44" s="142">
        <f>B44*IBGE_2!AI$44/100</f>
        <v>242</v>
      </c>
      <c r="AJ44" s="142">
        <f>B44*IBGE_2!AJ$44/100</f>
        <v>0.28000000000000003</v>
      </c>
      <c r="AK44" s="142">
        <f>B44*IBGE_2!AK$44/100</f>
        <v>3.617</v>
      </c>
      <c r="AL44" s="142">
        <f>B44*IBGE_2!AL$44/100</f>
        <v>1.538</v>
      </c>
      <c r="AM44" s="142" t="s">
        <v>3047</v>
      </c>
      <c r="AN44" s="161"/>
    </row>
    <row r="45" spans="1:40">
      <c r="A45" s="143" t="s">
        <v>1104</v>
      </c>
      <c r="B45" s="141">
        <v>100</v>
      </c>
      <c r="C45" s="142">
        <f>B45*IBGE_2!C$45/100</f>
        <v>101.39</v>
      </c>
      <c r="D45" s="142">
        <f>B45*IBGE_2!D$45/100</f>
        <v>2.1469999999999998</v>
      </c>
      <c r="E45" s="142">
        <f>B45*IBGE_2!E$45/100</f>
        <v>2.569</v>
      </c>
      <c r="F45" s="142">
        <f>B45*IBGE_2!F$45/100</f>
        <v>1.5529999999999999</v>
      </c>
      <c r="G45" s="142">
        <f>B45*IBGE_2!G$45/100</f>
        <v>0.63900000000000001</v>
      </c>
      <c r="H45" s="142">
        <f>B45*IBGE_2!H$45/100</f>
        <v>0.14699999999999999</v>
      </c>
      <c r="I45" s="142">
        <f>B45*IBGE_2!I$45/100</f>
        <v>0.11600000000000002</v>
      </c>
      <c r="J45" s="142">
        <f>B45*IBGE_2!J$45/100</f>
        <v>0.03</v>
      </c>
      <c r="K45" s="142">
        <f>B45*IBGE_2!K$45/100</f>
        <v>6.8330000000000011</v>
      </c>
      <c r="L45" s="142">
        <f>B45*IBGE_2!L$45/100</f>
        <v>17.859000000000002</v>
      </c>
      <c r="M45" s="142">
        <f>B45*IBGE_2!M$45/100</f>
        <v>1.6830000000000001</v>
      </c>
      <c r="N45" s="142">
        <f>B45*IBGE_2!N$45/100</f>
        <v>29.279</v>
      </c>
      <c r="O45" s="142">
        <f>B45*IBGE_2!O$45/100</f>
        <v>18.312000000000001</v>
      </c>
      <c r="P45" s="142">
        <f>B45*IBGE_2!P$45/100</f>
        <v>0.122</v>
      </c>
      <c r="Q45" s="142">
        <f>B45*IBGE_2!Q$45/100</f>
        <v>51.693000000000005</v>
      </c>
      <c r="R45" s="142">
        <f>B45*IBGE_2!R$45/100</f>
        <v>0.318</v>
      </c>
      <c r="S45" s="142">
        <f>B45*IBGE_2!S$45/100</f>
        <v>24.917000000000002</v>
      </c>
      <c r="T45" s="142">
        <f>B45*IBGE_2!T$45/100</f>
        <v>292.45400000000001</v>
      </c>
      <c r="U45" s="142">
        <f>B45*IBGE_2!U$45/100</f>
        <v>0.13800000000000001</v>
      </c>
      <c r="V45" s="142">
        <f>B45*IBGE_2!V$45/100</f>
        <v>0.30499999999999999</v>
      </c>
      <c r="W45" s="142">
        <f>B45*IBGE_2!W$45/100</f>
        <v>20.696999999999999</v>
      </c>
      <c r="X45" s="142">
        <f>B45*IBGE_2!X$45/100</f>
        <v>9.7000000000000017E-2</v>
      </c>
      <c r="Y45" s="142">
        <f>B45*IBGE_2!Y$45/100</f>
        <v>5.800000000000001E-2</v>
      </c>
      <c r="Z45" s="142">
        <f>B45*IBGE_2!Z$45/100</f>
        <v>0.223</v>
      </c>
      <c r="AA45" s="142">
        <f>B45*IBGE_2!AA$45/100</f>
        <v>1.145</v>
      </c>
      <c r="AB45" s="142">
        <f>B45*IBGE_2!AB$45/100</f>
        <v>5.9240000000000013</v>
      </c>
      <c r="AC45" s="142">
        <f>B45*IBGE_2!AC$45/100</f>
        <v>1.78</v>
      </c>
      <c r="AD45" s="142">
        <f>B45*IBGE_2!AD$45/100</f>
        <v>0.09</v>
      </c>
      <c r="AE45" s="142">
        <f>B45*IBGE_2!AE$45/100</f>
        <v>10.795999999999999</v>
      </c>
      <c r="AF45" s="142">
        <f>B45*IBGE_2!AF$45/100</f>
        <v>0.22699999999999998</v>
      </c>
      <c r="AG45" s="142">
        <f>B45*IBGE_2!AG$45/100</f>
        <v>0.113</v>
      </c>
      <c r="AH45" s="142">
        <f>B45*IBGE_2!AH$45/100</f>
        <v>9.7000000000000017E-2</v>
      </c>
      <c r="AI45" s="142">
        <f>B45*IBGE_2!AI$45/100</f>
        <v>242</v>
      </c>
      <c r="AJ45" s="142">
        <f>B45*IBGE_2!AJ$45/100</f>
        <v>1.409</v>
      </c>
      <c r="AK45" s="142">
        <f>B45*IBGE_2!AK$45/100</f>
        <v>21.213999999999995</v>
      </c>
      <c r="AL45" s="142">
        <f>B45*IBGE_2!AL$45/100</f>
        <v>1.7210000000000003</v>
      </c>
      <c r="AM45" s="142" t="s">
        <v>3047</v>
      </c>
      <c r="AN45" s="161"/>
    </row>
    <row r="46" spans="1:40">
      <c r="A46" s="143" t="s">
        <v>1105</v>
      </c>
      <c r="B46" s="141">
        <v>100</v>
      </c>
      <c r="C46" s="142">
        <f>B46*IBGE_2!C$46/100</f>
        <v>263.5</v>
      </c>
      <c r="D46" s="142">
        <f>B46*IBGE_2!D$46/100</f>
        <v>2.8710000000000004</v>
      </c>
      <c r="E46" s="142">
        <f>B46*IBGE_2!E$46/100</f>
        <v>13.64</v>
      </c>
      <c r="F46" s="142">
        <f>B46*IBGE_2!F$46/100</f>
        <v>2.1520000000000001</v>
      </c>
      <c r="G46" s="142">
        <f>B46*IBGE_2!G$46/100</f>
        <v>3.073</v>
      </c>
      <c r="H46" s="142">
        <f>B46*IBGE_2!H$46/100</f>
        <v>7.851</v>
      </c>
      <c r="I46" s="142">
        <f>B46*IBGE_2!I$46/100</f>
        <v>6.918000000000001</v>
      </c>
      <c r="J46" s="142">
        <f>B46*IBGE_2!J$46/100</f>
        <v>0.93100000000000005</v>
      </c>
      <c r="K46" s="142" t="s">
        <v>3047</v>
      </c>
      <c r="L46" s="142">
        <f>B46*IBGE_2!L$46/100</f>
        <v>33.6</v>
      </c>
      <c r="M46" s="142">
        <f>B46*IBGE_2!M$46/100</f>
        <v>3.4420000000000006</v>
      </c>
      <c r="N46" s="142">
        <f>B46*IBGE_2!N$46/100</f>
        <v>13.433</v>
      </c>
      <c r="O46" s="142">
        <f>B46*IBGE_2!O$46/100</f>
        <v>33.582999999999998</v>
      </c>
      <c r="P46" s="142">
        <f>B46*IBGE_2!P$46/100</f>
        <v>0.23499999999999999</v>
      </c>
      <c r="Q46" s="142">
        <f>B46*IBGE_2!Q$46/100</f>
        <v>67.165999999999997</v>
      </c>
      <c r="R46" s="142">
        <f>B46*IBGE_2!R$46/100</f>
        <v>0.52700000000000002</v>
      </c>
      <c r="S46" s="142">
        <f>B46*IBGE_2!S$46/100</f>
        <v>8.3960000000000008</v>
      </c>
      <c r="T46" s="142">
        <f>B46*IBGE_2!T$46/100</f>
        <v>550.76400000000001</v>
      </c>
      <c r="U46" s="142">
        <f>B46*IBGE_2!U$46/100</f>
        <v>0.28000000000000003</v>
      </c>
      <c r="V46" s="142">
        <f>B46*IBGE_2!V$46/100</f>
        <v>0.45500000000000002</v>
      </c>
      <c r="W46" s="142" t="s">
        <v>3047</v>
      </c>
      <c r="X46" s="142">
        <f>B46*IBGE_2!X$46/100</f>
        <v>0.16500000000000001</v>
      </c>
      <c r="Y46" s="142">
        <f>B46*IBGE_2!Y$46/100</f>
        <v>3.2000000000000001E-2</v>
      </c>
      <c r="Z46" s="142">
        <f>B46*IBGE_2!Z$46/100</f>
        <v>0.45200000000000001</v>
      </c>
      <c r="AA46" s="142">
        <f>B46*IBGE_2!AA$46/100</f>
        <v>2.2029999999999998</v>
      </c>
      <c r="AB46" s="142">
        <f>B46*IBGE_2!AB$46/100</f>
        <v>12.425999999999998</v>
      </c>
      <c r="AC46" s="142">
        <f>B46*IBGE_2!AC$46/100</f>
        <v>2.9590000000000005</v>
      </c>
      <c r="AD46" s="142" t="s">
        <v>3047</v>
      </c>
      <c r="AE46" s="142">
        <f>B46*IBGE_2!AE$46/100</f>
        <v>15.112</v>
      </c>
      <c r="AF46" s="142" t="s">
        <v>3047</v>
      </c>
      <c r="AG46" s="142">
        <f>B46*IBGE_2!AG$46/100</f>
        <v>1.2030000000000001</v>
      </c>
      <c r="AH46" s="142">
        <f>B46*IBGE_2!AH$46/100</f>
        <v>7.1999999999999995E-2</v>
      </c>
      <c r="AI46" s="142">
        <f>B46*IBGE_2!AI$46/100</f>
        <v>380</v>
      </c>
      <c r="AJ46" s="142">
        <f>B46*IBGE_2!AJ$46/100</f>
        <v>6.6779999999999999</v>
      </c>
      <c r="AK46" s="142">
        <f>B46*IBGE_2!AK$46/100</f>
        <v>0.28000000000000003</v>
      </c>
      <c r="AL46" s="142">
        <f>B46*IBGE_2!AL$46/100</f>
        <v>1.444</v>
      </c>
      <c r="AM46" s="142" t="s">
        <v>3047</v>
      </c>
      <c r="AN46" s="161"/>
    </row>
    <row r="47" spans="1:40">
      <c r="A47" s="143" t="s">
        <v>1106</v>
      </c>
      <c r="B47" s="141">
        <v>100</v>
      </c>
      <c r="C47" s="142">
        <f>B47*IBGE_2!C$47/100</f>
        <v>111.736</v>
      </c>
      <c r="D47" s="142">
        <f>B47*IBGE_2!D$47/100</f>
        <v>1.71</v>
      </c>
      <c r="E47" s="142">
        <f>B47*IBGE_2!E$47/100</f>
        <v>3.0110000000000001</v>
      </c>
      <c r="F47" s="142">
        <f>B47*IBGE_2!F$47/100</f>
        <v>0.48199999999999998</v>
      </c>
      <c r="G47" s="142">
        <f>B47*IBGE_2!G$47/100</f>
        <v>0.66500000000000004</v>
      </c>
      <c r="H47" s="142">
        <f>B47*IBGE_2!H$47/100</f>
        <v>1.724</v>
      </c>
      <c r="I47" s="142">
        <f>B47*IBGE_2!I$47/100</f>
        <v>1.5149999999999999</v>
      </c>
      <c r="J47" s="142">
        <f>B47*IBGE_2!J$47/100</f>
        <v>0.20800000000000002</v>
      </c>
      <c r="K47" s="142" t="s">
        <v>3047</v>
      </c>
      <c r="L47" s="142">
        <f>B47*IBGE_2!L$47/100</f>
        <v>20.010000000000002</v>
      </c>
      <c r="M47" s="142">
        <f>B47*IBGE_2!M$47/100</f>
        <v>2.0499999999999998</v>
      </c>
      <c r="N47" s="142">
        <f>B47*IBGE_2!N$47/100</f>
        <v>8</v>
      </c>
      <c r="O47" s="142">
        <f>B47*IBGE_2!O$47/100</f>
        <v>20</v>
      </c>
      <c r="P47" s="142">
        <f>B47*IBGE_2!P$47/100</f>
        <v>0.14000000000000001</v>
      </c>
      <c r="Q47" s="142">
        <f>B47*IBGE_2!Q$47/100</f>
        <v>40</v>
      </c>
      <c r="R47" s="142">
        <f>B47*IBGE_2!R$47/100</f>
        <v>0.311</v>
      </c>
      <c r="S47" s="142">
        <f>B47*IBGE_2!S$47/100</f>
        <v>5</v>
      </c>
      <c r="T47" s="142">
        <f>B47*IBGE_2!T$47/100</f>
        <v>328</v>
      </c>
      <c r="U47" s="142">
        <f>B47*IBGE_2!U$47/100</f>
        <v>0.16699999999999998</v>
      </c>
      <c r="V47" s="142">
        <f>B47*IBGE_2!V$47/100</f>
        <v>0.27</v>
      </c>
      <c r="W47" s="142" t="s">
        <v>3047</v>
      </c>
      <c r="X47" s="142">
        <f>B47*IBGE_2!X$47/100</f>
        <v>9.8000000000000004E-2</v>
      </c>
      <c r="Y47" s="142">
        <f>B47*IBGE_2!Y$47/100</f>
        <v>1.9E-2</v>
      </c>
      <c r="Z47" s="142">
        <f>B47*IBGE_2!Z$47/100</f>
        <v>0.26900000000000002</v>
      </c>
      <c r="AA47" s="142">
        <f>B47*IBGE_2!AA$47/100</f>
        <v>1.3120000000000003</v>
      </c>
      <c r="AB47" s="142">
        <f>B47*IBGE_2!AB$47/100</f>
        <v>7.4</v>
      </c>
      <c r="AC47" s="142">
        <f>B47*IBGE_2!AC$47/100</f>
        <v>1.7619999999999998</v>
      </c>
      <c r="AD47" s="142" t="s">
        <v>3047</v>
      </c>
      <c r="AE47" s="142">
        <f>B47*IBGE_2!AE$47/100</f>
        <v>9</v>
      </c>
      <c r="AF47" s="142" t="s">
        <v>3047</v>
      </c>
      <c r="AG47" s="142">
        <f>B47*IBGE_2!AG$47/100</f>
        <v>0.29799999999999999</v>
      </c>
      <c r="AH47" s="142">
        <f>B47*IBGE_2!AH$47/100</f>
        <v>1.6E-2</v>
      </c>
      <c r="AI47" s="142">
        <f>B47*IBGE_2!AI$47/100</f>
        <v>242</v>
      </c>
      <c r="AJ47" s="142">
        <f>B47*IBGE_2!AJ$47/100</f>
        <v>1.6339999999999997</v>
      </c>
      <c r="AK47" s="142">
        <f>B47*IBGE_2!AK$47/100</f>
        <v>0.16699999999999998</v>
      </c>
      <c r="AL47" s="142">
        <f>B47*IBGE_2!AL$47/100</f>
        <v>0.86</v>
      </c>
      <c r="AM47" s="142" t="s">
        <v>3047</v>
      </c>
      <c r="AN47" s="161"/>
    </row>
    <row r="48" spans="1:40">
      <c r="A48" s="143" t="s">
        <v>1107</v>
      </c>
      <c r="B48" s="141">
        <v>100</v>
      </c>
      <c r="C48" s="142">
        <f>B48*IBGE_2!C$48/100</f>
        <v>111.736</v>
      </c>
      <c r="D48" s="142">
        <f>B48*IBGE_2!D$48/100</f>
        <v>1.71</v>
      </c>
      <c r="E48" s="142">
        <f>B48*IBGE_2!E$48/100</f>
        <v>3.0110000000000001</v>
      </c>
      <c r="F48" s="142">
        <f>B48*IBGE_2!F$48/100</f>
        <v>0.48199999999999998</v>
      </c>
      <c r="G48" s="142">
        <f>B48*IBGE_2!G$48/100</f>
        <v>0.66500000000000004</v>
      </c>
      <c r="H48" s="142">
        <f>B48*IBGE_2!H$48/100</f>
        <v>1.724</v>
      </c>
      <c r="I48" s="142">
        <f>B48*IBGE_2!I$48/100</f>
        <v>1.5149999999999999</v>
      </c>
      <c r="J48" s="142">
        <f>B48*IBGE_2!J$48/100</f>
        <v>0.20800000000000002</v>
      </c>
      <c r="K48" s="142" t="s">
        <v>3047</v>
      </c>
      <c r="L48" s="142">
        <f>B48*IBGE_2!L$48/100</f>
        <v>20.010000000000002</v>
      </c>
      <c r="M48" s="142">
        <f>B48*IBGE_2!M$48/100</f>
        <v>2.0499999999999998</v>
      </c>
      <c r="N48" s="142">
        <f>B48*IBGE_2!N$48/100</f>
        <v>8</v>
      </c>
      <c r="O48" s="142">
        <f>B48*IBGE_2!O$48/100</f>
        <v>20</v>
      </c>
      <c r="P48" s="142">
        <f>B48*IBGE_2!P$48/100</f>
        <v>0.14000000000000001</v>
      </c>
      <c r="Q48" s="142">
        <f>B48*IBGE_2!Q$48/100</f>
        <v>40</v>
      </c>
      <c r="R48" s="142">
        <f>B48*IBGE_2!R$48/100</f>
        <v>0.311</v>
      </c>
      <c r="S48" s="142">
        <f>B48*IBGE_2!S$48/100</f>
        <v>5</v>
      </c>
      <c r="T48" s="142">
        <f>B48*IBGE_2!T$48/100</f>
        <v>328</v>
      </c>
      <c r="U48" s="142">
        <f>B48*IBGE_2!U$48/100</f>
        <v>0.16699999999999998</v>
      </c>
      <c r="V48" s="142">
        <f>B48*IBGE_2!V$48/100</f>
        <v>0.27</v>
      </c>
      <c r="W48" s="142" t="s">
        <v>3047</v>
      </c>
      <c r="X48" s="142">
        <f>B48*IBGE_2!X$48/100</f>
        <v>9.8000000000000004E-2</v>
      </c>
      <c r="Y48" s="142">
        <f>B48*IBGE_2!Y$48/100</f>
        <v>1.9E-2</v>
      </c>
      <c r="Z48" s="142">
        <f>B48*IBGE_2!Z$48/100</f>
        <v>0.26900000000000002</v>
      </c>
      <c r="AA48" s="142">
        <f>B48*IBGE_2!AA$48/100</f>
        <v>1.3120000000000003</v>
      </c>
      <c r="AB48" s="142">
        <f>B48*IBGE_2!AB$48/100</f>
        <v>7.4</v>
      </c>
      <c r="AC48" s="142">
        <f>B48*IBGE_2!AC$48/100</f>
        <v>1.7619999999999998</v>
      </c>
      <c r="AD48" s="142" t="s">
        <v>3047</v>
      </c>
      <c r="AE48" s="142">
        <f>B48*IBGE_2!AE$48/100</f>
        <v>9</v>
      </c>
      <c r="AF48" s="142" t="s">
        <v>3047</v>
      </c>
      <c r="AG48" s="142">
        <f>B48*IBGE_2!AG$48/100</f>
        <v>0.29799999999999999</v>
      </c>
      <c r="AH48" s="142">
        <f>B48*IBGE_2!AH$48/100</f>
        <v>1.6E-2</v>
      </c>
      <c r="AI48" s="142">
        <f>B48*IBGE_2!AI$48/100</f>
        <v>242</v>
      </c>
      <c r="AJ48" s="142">
        <f>B48*IBGE_2!AJ$48/100</f>
        <v>1.6339999999999997</v>
      </c>
      <c r="AK48" s="142">
        <f>B48*IBGE_2!AK$48/100</f>
        <v>0.16699999999999998</v>
      </c>
      <c r="AL48" s="142">
        <f>B48*IBGE_2!AL$48/100</f>
        <v>0.86</v>
      </c>
      <c r="AM48" s="142" t="s">
        <v>3047</v>
      </c>
      <c r="AN48" s="161"/>
    </row>
    <row r="49" spans="1:40">
      <c r="A49" s="143" t="s">
        <v>1108</v>
      </c>
      <c r="B49" s="141">
        <v>100</v>
      </c>
      <c r="C49" s="142">
        <f>B49*IBGE_2!C$49/100</f>
        <v>31.443000000000001</v>
      </c>
      <c r="D49" s="142">
        <f>B49*IBGE_2!D$49/100</f>
        <v>0.94799999999999995</v>
      </c>
      <c r="E49" s="142">
        <f>B49*IBGE_2!E$49/100</f>
        <v>0.12300000000000001</v>
      </c>
      <c r="F49" s="142">
        <f>B49*IBGE_2!F$49/100</f>
        <v>3.9E-2</v>
      </c>
      <c r="G49" s="142">
        <f>B49*IBGE_2!G$49/100</f>
        <v>2.7000000000000003E-2</v>
      </c>
      <c r="H49" s="142">
        <f>B49*IBGE_2!H$49/100</f>
        <v>3.2000000000000001E-2</v>
      </c>
      <c r="I49" s="142">
        <f>B49*IBGE_2!I$49/100</f>
        <v>2.7000000000000003E-2</v>
      </c>
      <c r="J49" s="142">
        <f>B49*IBGE_2!J$49/100</f>
        <v>5.0000000000000001E-3</v>
      </c>
      <c r="K49" s="142" t="s">
        <v>3047</v>
      </c>
      <c r="L49" s="142">
        <f>B49*IBGE_2!L$49/100</f>
        <v>7.0119999999999996</v>
      </c>
      <c r="M49" s="142">
        <f>B49*IBGE_2!M$49/100</f>
        <v>0.71099999999999997</v>
      </c>
      <c r="N49" s="142">
        <f>B49*IBGE_2!N$49/100</f>
        <v>8.5549999999999997</v>
      </c>
      <c r="O49" s="142">
        <f>B49*IBGE_2!O$49/100</f>
        <v>6.3470000000000004</v>
      </c>
      <c r="P49" s="142">
        <f>B49*IBGE_2!P$49/100</f>
        <v>6.8000000000000005E-2</v>
      </c>
      <c r="Q49" s="142">
        <f>B49*IBGE_2!Q$49/100</f>
        <v>15.762</v>
      </c>
      <c r="R49" s="142">
        <f>B49*IBGE_2!R$49/100</f>
        <v>0.28499999999999998</v>
      </c>
      <c r="S49" s="142">
        <f>B49*IBGE_2!S$49/100</f>
        <v>310.43200000000002</v>
      </c>
      <c r="T49" s="142">
        <f>B49*IBGE_2!T$49/100</f>
        <v>88.314999999999998</v>
      </c>
      <c r="U49" s="142">
        <f>B49*IBGE_2!U$49/100</f>
        <v>3.9E-2</v>
      </c>
      <c r="V49" s="142">
        <f>B49*IBGE_2!V$49/100</f>
        <v>0.115</v>
      </c>
      <c r="W49" s="142" t="s">
        <v>3047</v>
      </c>
      <c r="X49" s="142">
        <f>B49*IBGE_2!X$49/100</f>
        <v>0.03</v>
      </c>
      <c r="Y49" s="142">
        <f>B49*IBGE_2!Y$49/100</f>
        <v>2.6000000000000002E-2</v>
      </c>
      <c r="Z49" s="142">
        <f>B49*IBGE_2!Z$49/100</f>
        <v>0.04</v>
      </c>
      <c r="AA49" s="142">
        <f>B49*IBGE_2!AA$49/100</f>
        <v>0.505</v>
      </c>
      <c r="AB49" s="142">
        <f>B49*IBGE_2!AB$49/100</f>
        <v>2.0990000000000002</v>
      </c>
      <c r="AC49" s="142">
        <f>B49*IBGE_2!AC$49/100</f>
        <v>0.66700000000000004</v>
      </c>
      <c r="AD49" s="142">
        <f>B49*IBGE_2!AD$49/100</f>
        <v>1.4999999999999999E-2</v>
      </c>
      <c r="AE49" s="142">
        <f>B49*IBGE_2!AE$49/100</f>
        <v>9.2759999999999998</v>
      </c>
      <c r="AF49" s="142" t="s">
        <v>3047</v>
      </c>
      <c r="AG49" s="142">
        <f>B49*IBGE_2!AG$49/100</f>
        <v>0.20399999999999999</v>
      </c>
      <c r="AH49" s="142">
        <f>B49*IBGE_2!AH$49/100</f>
        <v>2E-3</v>
      </c>
      <c r="AI49" s="142" t="s">
        <v>3047</v>
      </c>
      <c r="AJ49" s="142">
        <f>B49*IBGE_2!AJ$49/100</f>
        <v>1.3440000000000001</v>
      </c>
      <c r="AK49" s="142">
        <f>B49*IBGE_2!AK$49/100</f>
        <v>33.475999999999999</v>
      </c>
      <c r="AL49" s="142">
        <f>B49*IBGE_2!AL$49/100</f>
        <v>3.2749999999999999</v>
      </c>
      <c r="AM49" s="142">
        <f>B49*IBGE_2!AM$49/100</f>
        <v>2.5230000000000001</v>
      </c>
      <c r="AN49" s="161"/>
    </row>
    <row r="50" spans="1:40">
      <c r="A50" s="143" t="s">
        <v>1109</v>
      </c>
      <c r="B50" s="141">
        <v>100</v>
      </c>
      <c r="C50" s="142">
        <f>B50*IBGE_2!C$50/100</f>
        <v>86</v>
      </c>
      <c r="D50" s="142">
        <f>B50*IBGE_2!D$50/100</f>
        <v>1.71</v>
      </c>
      <c r="E50" s="142">
        <f>B50*IBGE_2!E$50/100</f>
        <v>0.1</v>
      </c>
      <c r="F50" s="142">
        <f>B50*IBGE_2!F$50/100</f>
        <v>2.6000000000000002E-2</v>
      </c>
      <c r="G50" s="142">
        <f>B50*IBGE_2!G$50/100</f>
        <v>2E-3</v>
      </c>
      <c r="H50" s="142">
        <f>B50*IBGE_2!H$50/100</f>
        <v>4.2999999999999997E-2</v>
      </c>
      <c r="I50" s="142">
        <f>B50*IBGE_2!I$50/100</f>
        <v>3.2000000000000001E-2</v>
      </c>
      <c r="J50" s="142">
        <f>B50*IBGE_2!J$50/100</f>
        <v>0.01</v>
      </c>
      <c r="K50" s="142" t="s">
        <v>3047</v>
      </c>
      <c r="L50" s="142">
        <f>B50*IBGE_2!L$50/100</f>
        <v>20.010000000000002</v>
      </c>
      <c r="M50" s="142">
        <f>B50*IBGE_2!M$50/100</f>
        <v>2.0499999999999998</v>
      </c>
      <c r="N50" s="142">
        <f>B50*IBGE_2!N$50/100</f>
        <v>8</v>
      </c>
      <c r="O50" s="142">
        <f>B50*IBGE_2!O$50/100</f>
        <v>20</v>
      </c>
      <c r="P50" s="142">
        <f>B50*IBGE_2!P$50/100</f>
        <v>0.14000000000000001</v>
      </c>
      <c r="Q50" s="142">
        <f>B50*IBGE_2!Q$50/100</f>
        <v>40</v>
      </c>
      <c r="R50" s="142">
        <f>B50*IBGE_2!R$50/100</f>
        <v>0.31</v>
      </c>
      <c r="S50" s="142">
        <f>B50*IBGE_2!S$50/100</f>
        <v>5</v>
      </c>
      <c r="T50" s="142">
        <f>B50*IBGE_2!T$50/100</f>
        <v>328</v>
      </c>
      <c r="U50" s="142">
        <f>B50*IBGE_2!U$50/100</f>
        <v>0.16699999999999998</v>
      </c>
      <c r="V50" s="142">
        <f>B50*IBGE_2!V$50/100</f>
        <v>0.27</v>
      </c>
      <c r="W50" s="142" t="s">
        <v>3047</v>
      </c>
      <c r="X50" s="142">
        <f>B50*IBGE_2!X$50/100</f>
        <v>9.8000000000000004E-2</v>
      </c>
      <c r="Y50" s="142">
        <f>B50*IBGE_2!Y$50/100</f>
        <v>1.9E-2</v>
      </c>
      <c r="Z50" s="142">
        <f>B50*IBGE_2!Z$50/100</f>
        <v>0.26900000000000002</v>
      </c>
      <c r="AA50" s="142">
        <f>B50*IBGE_2!AA$50/100</f>
        <v>1.3120000000000003</v>
      </c>
      <c r="AB50" s="142">
        <f>B50*IBGE_2!AB$50/100</f>
        <v>7.4</v>
      </c>
      <c r="AC50" s="142">
        <f>B50*IBGE_2!AC$50/100</f>
        <v>1.7619999999999998</v>
      </c>
      <c r="AD50" s="142" t="s">
        <v>3047</v>
      </c>
      <c r="AE50" s="142">
        <f>B50*IBGE_2!AE$50/100</f>
        <v>9</v>
      </c>
      <c r="AF50" s="142" t="s">
        <v>3047</v>
      </c>
      <c r="AG50" s="142">
        <f>B50*IBGE_2!AG$50/100</f>
        <v>0.06</v>
      </c>
      <c r="AH50" s="142" t="s">
        <v>3047</v>
      </c>
      <c r="AI50" s="142">
        <f>B50*IBGE_2!AI$50/100</f>
        <v>242</v>
      </c>
      <c r="AJ50" s="142">
        <f>B50*IBGE_2!AJ$50/100</f>
        <v>0.3</v>
      </c>
      <c r="AK50" s="142">
        <f>B50*IBGE_2!AK$50/100</f>
        <v>0.16699999999999998</v>
      </c>
      <c r="AL50" s="142">
        <f>B50*IBGE_2!AL$50/100</f>
        <v>0.86</v>
      </c>
      <c r="AM50" s="142" t="s">
        <v>3047</v>
      </c>
      <c r="AN50" s="161"/>
    </row>
    <row r="51" spans="1:40">
      <c r="A51" s="143" t="s">
        <v>1110</v>
      </c>
      <c r="B51" s="141">
        <v>100</v>
      </c>
      <c r="C51" s="142">
        <f>B51*IBGE_2!C$51/100</f>
        <v>76</v>
      </c>
      <c r="D51" s="142">
        <f>B51*IBGE_2!D$51/100</f>
        <v>1.37</v>
      </c>
      <c r="E51" s="142">
        <f>B51*IBGE_2!E$51/100</f>
        <v>0.14000000000000001</v>
      </c>
      <c r="F51" s="142">
        <f>B51*IBGE_2!F$51/100</f>
        <v>0.03</v>
      </c>
      <c r="G51" s="142" t="s">
        <v>3047</v>
      </c>
      <c r="H51" s="142">
        <f>B51*IBGE_2!H$51/100</f>
        <v>0.06</v>
      </c>
      <c r="I51" s="142">
        <f>B51*IBGE_2!I$51/100</f>
        <v>0.06</v>
      </c>
      <c r="J51" s="142" t="s">
        <v>3047</v>
      </c>
      <c r="K51" s="142" t="s">
        <v>3047</v>
      </c>
      <c r="L51" s="142">
        <f>B51*IBGE_2!L$51/100</f>
        <v>17.72</v>
      </c>
      <c r="M51" s="142">
        <f>B51*IBGE_2!M$51/100</f>
        <v>2.5</v>
      </c>
      <c r="N51" s="142">
        <f>B51*IBGE_2!N$51/100</f>
        <v>27</v>
      </c>
      <c r="O51" s="142">
        <f>B51*IBGE_2!O$51/100</f>
        <v>18</v>
      </c>
      <c r="P51" s="142">
        <f>B51*IBGE_2!P$51/100</f>
        <v>0.27</v>
      </c>
      <c r="Q51" s="142">
        <f>B51*IBGE_2!Q$51/100</f>
        <v>32</v>
      </c>
      <c r="R51" s="142">
        <f>B51*IBGE_2!R$51/100</f>
        <v>0.72</v>
      </c>
      <c r="S51" s="142">
        <f>B51*IBGE_2!S$51/100</f>
        <v>27</v>
      </c>
      <c r="T51" s="142">
        <f>B51*IBGE_2!T$51/100</f>
        <v>230</v>
      </c>
      <c r="U51" s="142">
        <f>B51*IBGE_2!U$51/100</f>
        <v>0.09</v>
      </c>
      <c r="V51" s="142">
        <f>B51*IBGE_2!V$51/100</f>
        <v>0.2</v>
      </c>
      <c r="W51" s="142" t="s">
        <v>3047</v>
      </c>
      <c r="X51" s="142">
        <f>B51*IBGE_2!X$51/100</f>
        <v>0.06</v>
      </c>
      <c r="Y51" s="142">
        <f>B51*IBGE_2!Y$51/100</f>
        <v>0.05</v>
      </c>
      <c r="Z51" s="142">
        <f>B51*IBGE_2!Z$51/100</f>
        <v>0.17</v>
      </c>
      <c r="AA51" s="142">
        <f>B51*IBGE_2!AA$51/100</f>
        <v>0.54</v>
      </c>
      <c r="AB51" s="142">
        <f>B51*IBGE_2!AB$51/100</f>
        <v>12.8</v>
      </c>
      <c r="AC51" s="142">
        <f>B51*IBGE_2!AC$51/100</f>
        <v>1</v>
      </c>
      <c r="AD51" s="142" t="s">
        <v>3047</v>
      </c>
      <c r="AE51" s="142">
        <f>B51*IBGE_2!AE$51/100</f>
        <v>6</v>
      </c>
      <c r="AF51" s="142" t="s">
        <v>3047</v>
      </c>
      <c r="AG51" s="142">
        <f>B51*IBGE_2!AG$51/100</f>
        <v>0.94</v>
      </c>
      <c r="AH51" s="142" t="s">
        <v>3047</v>
      </c>
      <c r="AI51" s="142">
        <f>B51*IBGE_2!AI$51/100</f>
        <v>148</v>
      </c>
      <c r="AJ51" s="142">
        <f>B51*IBGE_2!AJ$51/100</f>
        <v>0.2</v>
      </c>
      <c r="AK51" s="142">
        <f>B51*IBGE_2!AK$51/100</f>
        <v>787</v>
      </c>
      <c r="AL51" s="142">
        <f>B51*IBGE_2!AL$51/100</f>
        <v>5.74</v>
      </c>
      <c r="AM51" s="142" t="s">
        <v>3047</v>
      </c>
      <c r="AN51" s="161"/>
    </row>
    <row r="52" spans="1:40">
      <c r="A52" s="143" t="s">
        <v>1111</v>
      </c>
      <c r="B52" s="141">
        <v>100</v>
      </c>
      <c r="C52" s="142">
        <f>B52*IBGE_2!C$52/100</f>
        <v>91.74</v>
      </c>
      <c r="D52" s="142">
        <f>B52*IBGE_2!D$52/100</f>
        <v>1.37</v>
      </c>
      <c r="E52" s="142">
        <f>B52*IBGE_2!E$52/100</f>
        <v>1.92</v>
      </c>
      <c r="F52" s="142">
        <f>B52*IBGE_2!F$52/100</f>
        <v>0.28999999999999998</v>
      </c>
      <c r="G52" s="142">
        <f>B52*IBGE_2!G$52/100</f>
        <v>0.41</v>
      </c>
      <c r="H52" s="142">
        <f>B52*IBGE_2!H$52/100</f>
        <v>1.0900000000000001</v>
      </c>
      <c r="I52" s="142">
        <f>B52*IBGE_2!I$52/100</f>
        <v>0.97</v>
      </c>
      <c r="J52" s="142">
        <f>B52*IBGE_2!J$52/100</f>
        <v>0.12</v>
      </c>
      <c r="K52" s="142" t="s">
        <v>3047</v>
      </c>
      <c r="L52" s="142">
        <f>B52*IBGE_2!L$52/100</f>
        <v>17.72</v>
      </c>
      <c r="M52" s="142">
        <f>B52*IBGE_2!M$52/100</f>
        <v>2.5</v>
      </c>
      <c r="N52" s="142">
        <f>B52*IBGE_2!N$52/100</f>
        <v>27</v>
      </c>
      <c r="O52" s="142">
        <f>B52*IBGE_2!O$52/100</f>
        <v>18</v>
      </c>
      <c r="P52" s="142">
        <f>B52*IBGE_2!P$52/100</f>
        <v>0.27</v>
      </c>
      <c r="Q52" s="142">
        <f>B52*IBGE_2!Q$52/100</f>
        <v>32</v>
      </c>
      <c r="R52" s="142">
        <f>B52*IBGE_2!R$52/100</f>
        <v>0.72</v>
      </c>
      <c r="S52" s="142">
        <f>B52*IBGE_2!S$52/100</f>
        <v>27</v>
      </c>
      <c r="T52" s="142">
        <f>B52*IBGE_2!T$52/100</f>
        <v>230</v>
      </c>
      <c r="U52" s="142">
        <f>B52*IBGE_2!U$52/100</f>
        <v>0.09</v>
      </c>
      <c r="V52" s="142">
        <f>B52*IBGE_2!V$52/100</f>
        <v>0.2</v>
      </c>
      <c r="W52" s="142" t="s">
        <v>3047</v>
      </c>
      <c r="X52" s="142">
        <f>B52*IBGE_2!X$52/100</f>
        <v>0.06</v>
      </c>
      <c r="Y52" s="142">
        <f>B52*IBGE_2!Y$52/100</f>
        <v>0.05</v>
      </c>
      <c r="Z52" s="142">
        <f>B52*IBGE_2!Z$52/100</f>
        <v>0.17</v>
      </c>
      <c r="AA52" s="142">
        <f>B52*IBGE_2!AA$52/100</f>
        <v>0.54</v>
      </c>
      <c r="AB52" s="142">
        <f>B52*IBGE_2!AB$52/100</f>
        <v>12.8</v>
      </c>
      <c r="AC52" s="142">
        <f>B52*IBGE_2!AC$52/100</f>
        <v>1</v>
      </c>
      <c r="AD52" s="142" t="s">
        <v>3047</v>
      </c>
      <c r="AE52" s="142">
        <f>B52*IBGE_2!AE$52/100</f>
        <v>6</v>
      </c>
      <c r="AF52" s="142" t="s">
        <v>3047</v>
      </c>
      <c r="AG52" s="142">
        <f>B52*IBGE_2!AG$52/100</f>
        <v>1.1000000000000001</v>
      </c>
      <c r="AH52" s="142" t="s">
        <v>3047</v>
      </c>
      <c r="AI52" s="142">
        <f>B52*IBGE_2!AI$52/100</f>
        <v>148</v>
      </c>
      <c r="AJ52" s="142">
        <f>B52*IBGE_2!AJ$52/100</f>
        <v>1.02</v>
      </c>
      <c r="AK52" s="142">
        <f>B52*IBGE_2!AK$52/100</f>
        <v>787</v>
      </c>
      <c r="AL52" s="142">
        <f>B52*IBGE_2!AL$52/100</f>
        <v>5.74</v>
      </c>
      <c r="AM52" s="142" t="s">
        <v>3047</v>
      </c>
      <c r="AN52" s="161"/>
    </row>
    <row r="53" spans="1:40">
      <c r="A53" s="143" t="s">
        <v>1112</v>
      </c>
      <c r="B53" s="141">
        <v>100</v>
      </c>
      <c r="C53" s="142">
        <f>B53*IBGE_2!C$53/100</f>
        <v>91.74</v>
      </c>
      <c r="D53" s="142">
        <f>B53*IBGE_2!D$53/100</f>
        <v>1.37</v>
      </c>
      <c r="E53" s="142">
        <f>B53*IBGE_2!E$53/100</f>
        <v>1.92</v>
      </c>
      <c r="F53" s="142">
        <f>B53*IBGE_2!F$53/100</f>
        <v>0.28999999999999998</v>
      </c>
      <c r="G53" s="142">
        <f>B53*IBGE_2!G$53/100</f>
        <v>0.41</v>
      </c>
      <c r="H53" s="142">
        <f>B53*IBGE_2!H$53/100</f>
        <v>1.0900000000000001</v>
      </c>
      <c r="I53" s="142">
        <f>B53*IBGE_2!I$53/100</f>
        <v>0.97</v>
      </c>
      <c r="J53" s="142">
        <f>B53*IBGE_2!J$53/100</f>
        <v>0.12</v>
      </c>
      <c r="K53" s="142" t="s">
        <v>3047</v>
      </c>
      <c r="L53" s="142">
        <f>B53*IBGE_2!L$53/100</f>
        <v>17.72</v>
      </c>
      <c r="M53" s="142">
        <f>B53*IBGE_2!M$53/100</f>
        <v>2.5</v>
      </c>
      <c r="N53" s="142">
        <f>B53*IBGE_2!N$53/100</f>
        <v>27</v>
      </c>
      <c r="O53" s="142">
        <f>B53*IBGE_2!O$53/100</f>
        <v>18</v>
      </c>
      <c r="P53" s="142">
        <f>B53*IBGE_2!P$53/100</f>
        <v>0.27</v>
      </c>
      <c r="Q53" s="142">
        <f>B53*IBGE_2!Q$53/100</f>
        <v>32</v>
      </c>
      <c r="R53" s="142">
        <f>B53*IBGE_2!R$53/100</f>
        <v>0.72</v>
      </c>
      <c r="S53" s="142">
        <f>B53*IBGE_2!S$53/100</f>
        <v>27</v>
      </c>
      <c r="T53" s="142">
        <f>B53*IBGE_2!T$53/100</f>
        <v>230</v>
      </c>
      <c r="U53" s="142">
        <f>B53*IBGE_2!U$53/100</f>
        <v>0.09</v>
      </c>
      <c r="V53" s="142">
        <f>B53*IBGE_2!V$53/100</f>
        <v>0.2</v>
      </c>
      <c r="W53" s="142" t="s">
        <v>3047</v>
      </c>
      <c r="X53" s="142">
        <f>B53*IBGE_2!X$53/100</f>
        <v>0.06</v>
      </c>
      <c r="Y53" s="142">
        <f>B53*IBGE_2!Y$53/100</f>
        <v>0.05</v>
      </c>
      <c r="Z53" s="142">
        <f>B53*IBGE_2!Z$53/100</f>
        <v>0.17</v>
      </c>
      <c r="AA53" s="142">
        <f>B53*IBGE_2!AA$53/100</f>
        <v>0.54</v>
      </c>
      <c r="AB53" s="142">
        <f>B53*IBGE_2!AB$53/100</f>
        <v>12.8</v>
      </c>
      <c r="AC53" s="142">
        <f>B53*IBGE_2!AC$53/100</f>
        <v>1</v>
      </c>
      <c r="AD53" s="142" t="s">
        <v>3047</v>
      </c>
      <c r="AE53" s="142">
        <f>B53*IBGE_2!AE$53/100</f>
        <v>6</v>
      </c>
      <c r="AF53" s="142" t="s">
        <v>3047</v>
      </c>
      <c r="AG53" s="142">
        <f>B53*IBGE_2!AG$53/100</f>
        <v>1.1000000000000001</v>
      </c>
      <c r="AH53" s="142" t="s">
        <v>3047</v>
      </c>
      <c r="AI53" s="142">
        <f>B53*IBGE_2!AI$53/100</f>
        <v>148</v>
      </c>
      <c r="AJ53" s="142">
        <f>B53*IBGE_2!AJ$53/100</f>
        <v>1.02</v>
      </c>
      <c r="AK53" s="142">
        <f>B53*IBGE_2!AK$53/100</f>
        <v>787</v>
      </c>
      <c r="AL53" s="142">
        <f>B53*IBGE_2!AL$53/100</f>
        <v>5.74</v>
      </c>
      <c r="AM53" s="142" t="s">
        <v>3047</v>
      </c>
      <c r="AN53" s="161"/>
    </row>
    <row r="54" spans="1:40">
      <c r="A54" s="143" t="s">
        <v>1113</v>
      </c>
      <c r="B54" s="141">
        <v>100</v>
      </c>
      <c r="C54" s="142">
        <f>B54*IBGE_2!C$54/100</f>
        <v>76</v>
      </c>
      <c r="D54" s="142">
        <f>B54*IBGE_2!D$54/100</f>
        <v>1.37</v>
      </c>
      <c r="E54" s="142">
        <f>B54*IBGE_2!E$54/100</f>
        <v>0.14000000000000001</v>
      </c>
      <c r="F54" s="142">
        <f>B54*IBGE_2!F$54/100</f>
        <v>0.03</v>
      </c>
      <c r="G54" s="142" t="s">
        <v>3047</v>
      </c>
      <c r="H54" s="142">
        <f>B54*IBGE_2!H$54/100</f>
        <v>0.06</v>
      </c>
      <c r="I54" s="142">
        <f>B54*IBGE_2!I$54/100</f>
        <v>0.06</v>
      </c>
      <c r="J54" s="142" t="s">
        <v>3047</v>
      </c>
      <c r="K54" s="142" t="s">
        <v>3047</v>
      </c>
      <c r="L54" s="142">
        <f>B54*IBGE_2!L$54/100</f>
        <v>17.72</v>
      </c>
      <c r="M54" s="142">
        <f>B54*IBGE_2!M$54/100</f>
        <v>2.5</v>
      </c>
      <c r="N54" s="142">
        <f>B54*IBGE_2!N$54/100</f>
        <v>27</v>
      </c>
      <c r="O54" s="142">
        <f>B54*IBGE_2!O$54/100</f>
        <v>18</v>
      </c>
      <c r="P54" s="142">
        <f>B54*IBGE_2!P$54/100</f>
        <v>0.27</v>
      </c>
      <c r="Q54" s="142">
        <f>B54*IBGE_2!Q$54/100</f>
        <v>32</v>
      </c>
      <c r="R54" s="142">
        <f>B54*IBGE_2!R$54/100</f>
        <v>0.72</v>
      </c>
      <c r="S54" s="142">
        <f>B54*IBGE_2!S$54/100</f>
        <v>27</v>
      </c>
      <c r="T54" s="142">
        <f>B54*IBGE_2!T$54/100</f>
        <v>230</v>
      </c>
      <c r="U54" s="142">
        <f>B54*IBGE_2!U$54/100</f>
        <v>0.09</v>
      </c>
      <c r="V54" s="142">
        <f>B54*IBGE_2!V$54/100</f>
        <v>0.2</v>
      </c>
      <c r="W54" s="142" t="s">
        <v>3047</v>
      </c>
      <c r="X54" s="142">
        <f>B54*IBGE_2!X$54/100</f>
        <v>0.06</v>
      </c>
      <c r="Y54" s="142">
        <f>B54*IBGE_2!Y$54/100</f>
        <v>0.05</v>
      </c>
      <c r="Z54" s="142">
        <f>B54*IBGE_2!Z$54/100</f>
        <v>0.17</v>
      </c>
      <c r="AA54" s="142">
        <f>B54*IBGE_2!AA$54/100</f>
        <v>0.54</v>
      </c>
      <c r="AB54" s="142">
        <f>B54*IBGE_2!AB$54/100</f>
        <v>12.8</v>
      </c>
      <c r="AC54" s="142">
        <f>B54*IBGE_2!AC$54/100</f>
        <v>1</v>
      </c>
      <c r="AD54" s="142" t="s">
        <v>3047</v>
      </c>
      <c r="AE54" s="142">
        <f>B54*IBGE_2!AE$54/100</f>
        <v>6</v>
      </c>
      <c r="AF54" s="142" t="s">
        <v>3047</v>
      </c>
      <c r="AG54" s="142">
        <f>B54*IBGE_2!AG$54/100</f>
        <v>0.94</v>
      </c>
      <c r="AH54" s="142" t="s">
        <v>3047</v>
      </c>
      <c r="AI54" s="142">
        <f>B54*IBGE_2!AI$54/100</f>
        <v>148</v>
      </c>
      <c r="AJ54" s="142">
        <f>B54*IBGE_2!AJ$54/100</f>
        <v>0.2</v>
      </c>
      <c r="AK54" s="142">
        <f>B54*IBGE_2!AK$54/100</f>
        <v>787</v>
      </c>
      <c r="AL54" s="142">
        <f>B54*IBGE_2!AL$54/100</f>
        <v>5.74</v>
      </c>
      <c r="AM54" s="142" t="s">
        <v>3047</v>
      </c>
      <c r="AN54" s="161"/>
    </row>
    <row r="55" spans="1:40">
      <c r="A55" s="143" t="s">
        <v>1114</v>
      </c>
      <c r="B55" s="141">
        <v>100</v>
      </c>
      <c r="C55" s="142">
        <f>B55*IBGE_2!C$55/100</f>
        <v>76</v>
      </c>
      <c r="D55" s="142">
        <f>B55*IBGE_2!D$55/100</f>
        <v>1.37</v>
      </c>
      <c r="E55" s="142">
        <f>B55*IBGE_2!E$55/100</f>
        <v>0.14000000000000001</v>
      </c>
      <c r="F55" s="142">
        <f>B55*IBGE_2!F$55/100</f>
        <v>0.03</v>
      </c>
      <c r="G55" s="142" t="s">
        <v>3047</v>
      </c>
      <c r="H55" s="142">
        <f>B55*IBGE_2!H$55/100</f>
        <v>0.06</v>
      </c>
      <c r="I55" s="142">
        <f>B55*IBGE_2!I$55/100</f>
        <v>0.06</v>
      </c>
      <c r="J55" s="142" t="s">
        <v>3047</v>
      </c>
      <c r="K55" s="142" t="s">
        <v>3047</v>
      </c>
      <c r="L55" s="142">
        <f>B55*IBGE_2!L$55/100</f>
        <v>17.72</v>
      </c>
      <c r="M55" s="142">
        <f>B55*IBGE_2!M$55/100</f>
        <v>2.5</v>
      </c>
      <c r="N55" s="142">
        <f>B55*IBGE_2!N$55/100</f>
        <v>27</v>
      </c>
      <c r="O55" s="142">
        <f>B55*IBGE_2!O$55/100</f>
        <v>18</v>
      </c>
      <c r="P55" s="142">
        <f>B55*IBGE_2!P$55/100</f>
        <v>0.27</v>
      </c>
      <c r="Q55" s="142">
        <f>B55*IBGE_2!Q$55/100</f>
        <v>32</v>
      </c>
      <c r="R55" s="142">
        <f>B55*IBGE_2!R$55/100</f>
        <v>0.72</v>
      </c>
      <c r="S55" s="142">
        <f>B55*IBGE_2!S$55/100</f>
        <v>27</v>
      </c>
      <c r="T55" s="142">
        <f>B55*IBGE_2!T$55/100</f>
        <v>230</v>
      </c>
      <c r="U55" s="142">
        <f>B55*IBGE_2!U$55/100</f>
        <v>0.09</v>
      </c>
      <c r="V55" s="142">
        <f>B55*IBGE_2!V$55/100</f>
        <v>0.2</v>
      </c>
      <c r="W55" s="142" t="s">
        <v>3047</v>
      </c>
      <c r="X55" s="142">
        <f>B55*IBGE_2!X$55/100</f>
        <v>0.06</v>
      </c>
      <c r="Y55" s="142">
        <f>B55*IBGE_2!Y$55/100</f>
        <v>0.05</v>
      </c>
      <c r="Z55" s="142">
        <f>B55*IBGE_2!Z$55/100</f>
        <v>0.17</v>
      </c>
      <c r="AA55" s="142">
        <f>B55*IBGE_2!AA$55/100</f>
        <v>0.54</v>
      </c>
      <c r="AB55" s="142">
        <f>B55*IBGE_2!AB$55/100</f>
        <v>12.8</v>
      </c>
      <c r="AC55" s="142">
        <f>B55*IBGE_2!AC$55/100</f>
        <v>1</v>
      </c>
      <c r="AD55" s="142" t="s">
        <v>3047</v>
      </c>
      <c r="AE55" s="142">
        <f>B55*IBGE_2!AE$55/100</f>
        <v>6</v>
      </c>
      <c r="AF55" s="142" t="s">
        <v>3047</v>
      </c>
      <c r="AG55" s="142">
        <f>B55*IBGE_2!AG$55/100</f>
        <v>0.94</v>
      </c>
      <c r="AH55" s="142" t="s">
        <v>3047</v>
      </c>
      <c r="AI55" s="142">
        <f>B55*IBGE_2!AI$55/100</f>
        <v>148</v>
      </c>
      <c r="AJ55" s="142">
        <f>B55*IBGE_2!AJ$55/100</f>
        <v>0.2</v>
      </c>
      <c r="AK55" s="142">
        <f>B55*IBGE_2!AK$55/100</f>
        <v>787</v>
      </c>
      <c r="AL55" s="142">
        <f>B55*IBGE_2!AL$55/100</f>
        <v>5.74</v>
      </c>
      <c r="AM55" s="142" t="s">
        <v>3047</v>
      </c>
      <c r="AN55" s="161"/>
    </row>
    <row r="56" spans="1:40">
      <c r="A56" s="143" t="s">
        <v>1115</v>
      </c>
      <c r="B56" s="141">
        <v>100</v>
      </c>
      <c r="C56" s="142">
        <f>B56*IBGE_2!C$56/100</f>
        <v>76</v>
      </c>
      <c r="D56" s="142">
        <f>B56*IBGE_2!D$56/100</f>
        <v>1.37</v>
      </c>
      <c r="E56" s="142">
        <f>B56*IBGE_2!E$56/100</f>
        <v>0.14000000000000001</v>
      </c>
      <c r="F56" s="142">
        <f>B56*IBGE_2!F$56/100</f>
        <v>0.03</v>
      </c>
      <c r="G56" s="142" t="s">
        <v>3047</v>
      </c>
      <c r="H56" s="142">
        <f>B56*IBGE_2!H$56/100</f>
        <v>0.06</v>
      </c>
      <c r="I56" s="142">
        <f>B56*IBGE_2!I$56/100</f>
        <v>0.06</v>
      </c>
      <c r="J56" s="142" t="s">
        <v>3047</v>
      </c>
      <c r="K56" s="142" t="s">
        <v>3047</v>
      </c>
      <c r="L56" s="142">
        <f>B56*IBGE_2!L$56/100</f>
        <v>17.72</v>
      </c>
      <c r="M56" s="142">
        <f>B56*IBGE_2!M$56/100</f>
        <v>2.5</v>
      </c>
      <c r="N56" s="142">
        <f>B56*IBGE_2!N$56/100</f>
        <v>27</v>
      </c>
      <c r="O56" s="142">
        <f>B56*IBGE_2!O$56/100</f>
        <v>18</v>
      </c>
      <c r="P56" s="142">
        <f>B56*IBGE_2!P$56/100</f>
        <v>0.27</v>
      </c>
      <c r="Q56" s="142">
        <f>B56*IBGE_2!Q$56/100</f>
        <v>32</v>
      </c>
      <c r="R56" s="142">
        <f>B56*IBGE_2!R$56/100</f>
        <v>0.72</v>
      </c>
      <c r="S56" s="142">
        <f>B56*IBGE_2!S$56/100</f>
        <v>27</v>
      </c>
      <c r="T56" s="142">
        <f>B56*IBGE_2!T$56/100</f>
        <v>230</v>
      </c>
      <c r="U56" s="142">
        <f>B56*IBGE_2!U$56/100</f>
        <v>0.09</v>
      </c>
      <c r="V56" s="142">
        <f>B56*IBGE_2!V$56/100</f>
        <v>0.2</v>
      </c>
      <c r="W56" s="142" t="s">
        <v>3047</v>
      </c>
      <c r="X56" s="142">
        <f>B56*IBGE_2!X$56/100</f>
        <v>0.06</v>
      </c>
      <c r="Y56" s="142">
        <f>B56*IBGE_2!Y$56/100</f>
        <v>0.05</v>
      </c>
      <c r="Z56" s="142">
        <f>B56*IBGE_2!Z$56/100</f>
        <v>0.17</v>
      </c>
      <c r="AA56" s="142">
        <f>B56*IBGE_2!AA$56/100</f>
        <v>0.54</v>
      </c>
      <c r="AB56" s="142">
        <f>B56*IBGE_2!AB$56/100</f>
        <v>12.8</v>
      </c>
      <c r="AC56" s="142">
        <f>B56*IBGE_2!AC$56/100</f>
        <v>1</v>
      </c>
      <c r="AD56" s="142" t="s">
        <v>3047</v>
      </c>
      <c r="AE56" s="142">
        <f>B56*IBGE_2!AE$56/100</f>
        <v>6</v>
      </c>
      <c r="AF56" s="142" t="s">
        <v>3047</v>
      </c>
      <c r="AG56" s="142">
        <f>B56*IBGE_2!AG$56/100</f>
        <v>0.94</v>
      </c>
      <c r="AH56" s="142" t="s">
        <v>3047</v>
      </c>
      <c r="AI56" s="142">
        <f>B56*IBGE_2!AI$56/100</f>
        <v>148</v>
      </c>
      <c r="AJ56" s="142">
        <f>B56*IBGE_2!AJ$56/100</f>
        <v>0.2</v>
      </c>
      <c r="AK56" s="142">
        <f>B56*IBGE_2!AK$56/100</f>
        <v>787</v>
      </c>
      <c r="AL56" s="142">
        <f>B56*IBGE_2!AL$56/100</f>
        <v>5.74</v>
      </c>
      <c r="AM56" s="142" t="s">
        <v>3047</v>
      </c>
      <c r="AN56" s="161"/>
    </row>
    <row r="57" spans="1:40">
      <c r="A57" s="143" t="s">
        <v>1116</v>
      </c>
      <c r="B57" s="141">
        <v>100</v>
      </c>
      <c r="C57" s="142">
        <f>B57*IBGE_2!C$57/100</f>
        <v>76</v>
      </c>
      <c r="D57" s="142">
        <f>B57*IBGE_2!D$57/100</f>
        <v>1.37</v>
      </c>
      <c r="E57" s="142">
        <f>B57*IBGE_2!E$57/100</f>
        <v>0.14000000000000001</v>
      </c>
      <c r="F57" s="142">
        <f>B57*IBGE_2!F$57/100</f>
        <v>0.03</v>
      </c>
      <c r="G57" s="142" t="s">
        <v>3047</v>
      </c>
      <c r="H57" s="142">
        <f>B57*IBGE_2!H$57/100</f>
        <v>0.06</v>
      </c>
      <c r="I57" s="142">
        <f>B57*IBGE_2!I$57/100</f>
        <v>0.06</v>
      </c>
      <c r="J57" s="142" t="s">
        <v>3047</v>
      </c>
      <c r="K57" s="142" t="s">
        <v>3047</v>
      </c>
      <c r="L57" s="142">
        <f>B57*IBGE_2!L$57/100</f>
        <v>17.72</v>
      </c>
      <c r="M57" s="142">
        <f>B57*IBGE_2!M$57/100</f>
        <v>2.5</v>
      </c>
      <c r="N57" s="142">
        <f>B57*IBGE_2!N$57/100</f>
        <v>27</v>
      </c>
      <c r="O57" s="142">
        <f>B57*IBGE_2!O$57/100</f>
        <v>18</v>
      </c>
      <c r="P57" s="142">
        <f>B57*IBGE_2!P$57/100</f>
        <v>0.27</v>
      </c>
      <c r="Q57" s="142">
        <f>B57*IBGE_2!Q$57/100</f>
        <v>32</v>
      </c>
      <c r="R57" s="142">
        <f>B57*IBGE_2!R$57/100</f>
        <v>0.72</v>
      </c>
      <c r="S57" s="142">
        <f>B57*IBGE_2!S$57/100</f>
        <v>27</v>
      </c>
      <c r="T57" s="142">
        <f>B57*IBGE_2!T$57/100</f>
        <v>230</v>
      </c>
      <c r="U57" s="142">
        <f>B57*IBGE_2!U$57/100</f>
        <v>0.09</v>
      </c>
      <c r="V57" s="142">
        <f>B57*IBGE_2!V$57/100</f>
        <v>0.2</v>
      </c>
      <c r="W57" s="142" t="s">
        <v>3047</v>
      </c>
      <c r="X57" s="142">
        <f>B57*IBGE_2!X$57/100</f>
        <v>0.06</v>
      </c>
      <c r="Y57" s="142">
        <f>B57*IBGE_2!Y$57/100</f>
        <v>0.05</v>
      </c>
      <c r="Z57" s="142">
        <f>B57*IBGE_2!Z$57/100</f>
        <v>0.17</v>
      </c>
      <c r="AA57" s="142">
        <f>B57*IBGE_2!AA$57/100</f>
        <v>0.54</v>
      </c>
      <c r="AB57" s="142">
        <f>B57*IBGE_2!AB$57/100</f>
        <v>12.8</v>
      </c>
      <c r="AC57" s="142">
        <f>B57*IBGE_2!AC$57/100</f>
        <v>1</v>
      </c>
      <c r="AD57" s="142" t="s">
        <v>3047</v>
      </c>
      <c r="AE57" s="142">
        <f>B57*IBGE_2!AE$57/100</f>
        <v>6</v>
      </c>
      <c r="AF57" s="142" t="s">
        <v>3047</v>
      </c>
      <c r="AG57" s="142">
        <f>B57*IBGE_2!AG$57/100</f>
        <v>0.94</v>
      </c>
      <c r="AH57" s="142" t="s">
        <v>3047</v>
      </c>
      <c r="AI57" s="142">
        <f>B57*IBGE_2!AI$57/100</f>
        <v>148</v>
      </c>
      <c r="AJ57" s="142">
        <f>B57*IBGE_2!AJ$57/100</f>
        <v>0.2</v>
      </c>
      <c r="AK57" s="142">
        <f>B57*IBGE_2!AK$57/100</f>
        <v>787</v>
      </c>
      <c r="AL57" s="142">
        <f>B57*IBGE_2!AL$57/100</f>
        <v>5.74</v>
      </c>
      <c r="AM57" s="142" t="s">
        <v>3047</v>
      </c>
      <c r="AN57" s="161"/>
    </row>
    <row r="58" spans="1:40">
      <c r="A58" s="143" t="s">
        <v>1117</v>
      </c>
      <c r="B58" s="141">
        <v>100</v>
      </c>
      <c r="C58" s="142">
        <f>B58*IBGE_2!C$58/100</f>
        <v>90</v>
      </c>
      <c r="D58" s="142">
        <f>B58*IBGE_2!D$58/100</f>
        <v>2.0099999999999998</v>
      </c>
      <c r="E58" s="142">
        <f>B58*IBGE_2!E$58/100</f>
        <v>0.15</v>
      </c>
      <c r="F58" s="142">
        <f>B58*IBGE_2!F$58/100</f>
        <v>0.03</v>
      </c>
      <c r="G58" s="142" t="s">
        <v>3047</v>
      </c>
      <c r="H58" s="142">
        <f>B58*IBGE_2!H$58/100</f>
        <v>0.06</v>
      </c>
      <c r="I58" s="142">
        <f>B58*IBGE_2!I$58/100</f>
        <v>0.06</v>
      </c>
      <c r="J58" s="142" t="s">
        <v>3047</v>
      </c>
      <c r="K58" s="142" t="s">
        <v>3047</v>
      </c>
      <c r="L58" s="142">
        <f>B58*IBGE_2!L$58/100</f>
        <v>20.71</v>
      </c>
      <c r="M58" s="142">
        <f>B58*IBGE_2!M$58/100</f>
        <v>3.3</v>
      </c>
      <c r="N58" s="142">
        <f>B58*IBGE_2!N$58/100</f>
        <v>38</v>
      </c>
      <c r="O58" s="142">
        <f>B58*IBGE_2!O$58/100</f>
        <v>27</v>
      </c>
      <c r="P58" s="142">
        <f>B58*IBGE_2!P$58/100</f>
        <v>0.5</v>
      </c>
      <c r="Q58" s="142">
        <f>B58*IBGE_2!Q$58/100</f>
        <v>54</v>
      </c>
      <c r="R58" s="142">
        <f>B58*IBGE_2!R$58/100</f>
        <v>0.69</v>
      </c>
      <c r="S58" s="142">
        <f>B58*IBGE_2!S$58/100</f>
        <v>36</v>
      </c>
      <c r="T58" s="142">
        <f>B58*IBGE_2!T$58/100</f>
        <v>475</v>
      </c>
      <c r="U58" s="142">
        <f>B58*IBGE_2!U$58/100</f>
        <v>0.16</v>
      </c>
      <c r="V58" s="142">
        <f>B58*IBGE_2!V$58/100</f>
        <v>0.32</v>
      </c>
      <c r="W58" s="142" t="s">
        <v>3047</v>
      </c>
      <c r="X58" s="142">
        <f>B58*IBGE_2!X$58/100</f>
        <v>0.11</v>
      </c>
      <c r="Y58" s="142">
        <f>B58*IBGE_2!Y$58/100</f>
        <v>0.11</v>
      </c>
      <c r="Z58" s="142">
        <f>B58*IBGE_2!Z$58/100</f>
        <v>0.28999999999999998</v>
      </c>
      <c r="AA58" s="142">
        <f>B58*IBGE_2!AA$58/100</f>
        <v>1.49</v>
      </c>
      <c r="AB58" s="142">
        <f>B58*IBGE_2!AB$58/100</f>
        <v>19.600000000000001</v>
      </c>
      <c r="AC58" s="142">
        <f>B58*IBGE_2!AC$58/100</f>
        <v>2.15</v>
      </c>
      <c r="AD58" s="142" t="s">
        <v>3047</v>
      </c>
      <c r="AE58" s="142">
        <f>B58*IBGE_2!AE$58/100</f>
        <v>6</v>
      </c>
      <c r="AF58" s="142" t="s">
        <v>3047</v>
      </c>
      <c r="AG58" s="142">
        <f>B58*IBGE_2!AG$58/100</f>
        <v>0.71</v>
      </c>
      <c r="AH58" s="142" t="s">
        <v>3047</v>
      </c>
      <c r="AI58" s="142">
        <f>B58*IBGE_2!AI$58/100</f>
        <v>148</v>
      </c>
      <c r="AJ58" s="142">
        <f>B58*IBGE_2!AJ$58/100</f>
        <v>0.2</v>
      </c>
      <c r="AK58" s="142">
        <f>B58*IBGE_2!AK$58/100</f>
        <v>960.88</v>
      </c>
      <c r="AL58" s="142">
        <f>B58*IBGE_2!AL$58/100</f>
        <v>6.47</v>
      </c>
      <c r="AM58" s="142" t="s">
        <v>3047</v>
      </c>
      <c r="AN58" s="161"/>
    </row>
    <row r="59" spans="1:40">
      <c r="A59" s="143" t="s">
        <v>1118</v>
      </c>
      <c r="B59" s="141">
        <v>100</v>
      </c>
      <c r="C59" s="142">
        <f>B59*IBGE_2!C$59/100</f>
        <v>351.28</v>
      </c>
      <c r="D59" s="142">
        <f>B59*IBGE_2!D$59/100</f>
        <v>4.4000000000000004</v>
      </c>
      <c r="E59" s="142">
        <f>B59*IBGE_2!E$59/100</f>
        <v>12.59</v>
      </c>
      <c r="F59" s="142">
        <f>B59*IBGE_2!F$59/100</f>
        <v>1.85</v>
      </c>
      <c r="G59" s="142">
        <f>B59*IBGE_2!G$59/100</f>
        <v>2.83</v>
      </c>
      <c r="H59" s="142">
        <f>B59*IBGE_2!H$59/100</f>
        <v>7.22</v>
      </c>
      <c r="I59" s="142">
        <f>B59*IBGE_2!I$59/100</f>
        <v>6.39</v>
      </c>
      <c r="J59" s="142">
        <f>B59*IBGE_2!J$59/100</f>
        <v>0.83</v>
      </c>
      <c r="K59" s="142" t="s">
        <v>3047</v>
      </c>
      <c r="L59" s="142">
        <f>B59*IBGE_2!L$59/100</f>
        <v>56.88</v>
      </c>
      <c r="M59" s="142">
        <f>B59*IBGE_2!M$59/100</f>
        <v>8.0299999999999994</v>
      </c>
      <c r="N59" s="142">
        <f>B59*IBGE_2!N$59/100</f>
        <v>86.67</v>
      </c>
      <c r="O59" s="142">
        <f>B59*IBGE_2!O$59/100</f>
        <v>57.78</v>
      </c>
      <c r="P59" s="142">
        <f>B59*IBGE_2!P$59/100</f>
        <v>0.85</v>
      </c>
      <c r="Q59" s="142">
        <f>B59*IBGE_2!Q$59/100</f>
        <v>102.72</v>
      </c>
      <c r="R59" s="142">
        <f>B59*IBGE_2!R$59/100</f>
        <v>2.31</v>
      </c>
      <c r="S59" s="142">
        <f>B59*IBGE_2!S$59/100</f>
        <v>86.67</v>
      </c>
      <c r="T59" s="142">
        <f>B59*IBGE_2!T$59/100</f>
        <v>738.3</v>
      </c>
      <c r="U59" s="142">
        <f>B59*IBGE_2!U$59/100</f>
        <v>0.3</v>
      </c>
      <c r="V59" s="142">
        <f>B59*IBGE_2!V$59/100</f>
        <v>0.64</v>
      </c>
      <c r="W59" s="142" t="s">
        <v>3047</v>
      </c>
      <c r="X59" s="142">
        <f>B59*IBGE_2!X$59/100</f>
        <v>0.18</v>
      </c>
      <c r="Y59" s="142">
        <f>B59*IBGE_2!Y$59/100</f>
        <v>0.15</v>
      </c>
      <c r="Z59" s="142">
        <f>B59*IBGE_2!Z$59/100</f>
        <v>0.53</v>
      </c>
      <c r="AA59" s="142">
        <f>B59*IBGE_2!AA$59/100</f>
        <v>1.73</v>
      </c>
      <c r="AB59" s="142">
        <f>B59*IBGE_2!AB$59/100</f>
        <v>41.09</v>
      </c>
      <c r="AC59" s="142">
        <f>B59*IBGE_2!AC$59/100</f>
        <v>3.22</v>
      </c>
      <c r="AD59" s="142" t="s">
        <v>3047</v>
      </c>
      <c r="AE59" s="142">
        <f>B59*IBGE_2!AE$59/100</f>
        <v>19.260000000000002</v>
      </c>
      <c r="AF59" s="142" t="s">
        <v>3047</v>
      </c>
      <c r="AG59" s="142">
        <f>B59*IBGE_2!AG$59/100</f>
        <v>4.1399999999999997</v>
      </c>
      <c r="AH59" s="142" t="s">
        <v>3047</v>
      </c>
      <c r="AI59" s="142">
        <f>B59*IBGE_2!AI$59/100</f>
        <v>148</v>
      </c>
      <c r="AJ59" s="142">
        <f>B59*IBGE_2!AJ$59/100</f>
        <v>6.21</v>
      </c>
      <c r="AK59" s="142">
        <f>B59*IBGE_2!AK$59/100</f>
        <v>2526.27</v>
      </c>
      <c r="AL59" s="142">
        <f>B59*IBGE_2!AL$59/100</f>
        <v>18.43</v>
      </c>
      <c r="AM59" s="142" t="s">
        <v>3047</v>
      </c>
      <c r="AN59" s="161"/>
    </row>
    <row r="60" spans="1:40">
      <c r="A60" s="143" t="s">
        <v>1119</v>
      </c>
      <c r="B60" s="141">
        <v>100</v>
      </c>
      <c r="C60" s="142">
        <f>B60*IBGE_2!C$60/100</f>
        <v>91.74</v>
      </c>
      <c r="D60" s="142">
        <f>B60*IBGE_2!D$60/100</f>
        <v>1.37</v>
      </c>
      <c r="E60" s="142">
        <f>B60*IBGE_2!E$60/100</f>
        <v>1.92</v>
      </c>
      <c r="F60" s="142">
        <f>B60*IBGE_2!F$60/100</f>
        <v>0.28999999999999998</v>
      </c>
      <c r="G60" s="142">
        <f>B60*IBGE_2!G$60/100</f>
        <v>0.41</v>
      </c>
      <c r="H60" s="142">
        <f>B60*IBGE_2!H$60/100</f>
        <v>1.0900000000000001</v>
      </c>
      <c r="I60" s="142">
        <f>B60*IBGE_2!I$60/100</f>
        <v>0.97</v>
      </c>
      <c r="J60" s="142">
        <f>B60*IBGE_2!J$60/100</f>
        <v>0.12</v>
      </c>
      <c r="K60" s="142" t="s">
        <v>3047</v>
      </c>
      <c r="L60" s="142">
        <f>B60*IBGE_2!L$60/100</f>
        <v>17.72</v>
      </c>
      <c r="M60" s="142">
        <f>B60*IBGE_2!M$60/100</f>
        <v>2.5</v>
      </c>
      <c r="N60" s="142">
        <f>B60*IBGE_2!N$60/100</f>
        <v>27</v>
      </c>
      <c r="O60" s="142">
        <f>B60*IBGE_2!O$60/100</f>
        <v>18</v>
      </c>
      <c r="P60" s="142">
        <f>B60*IBGE_2!P$60/100</f>
        <v>0.27</v>
      </c>
      <c r="Q60" s="142">
        <f>B60*IBGE_2!Q$60/100</f>
        <v>32</v>
      </c>
      <c r="R60" s="142">
        <f>B60*IBGE_2!R$60/100</f>
        <v>0.72</v>
      </c>
      <c r="S60" s="142">
        <f>B60*IBGE_2!S$60/100</f>
        <v>27</v>
      </c>
      <c r="T60" s="142">
        <f>B60*IBGE_2!T$60/100</f>
        <v>230</v>
      </c>
      <c r="U60" s="142">
        <f>B60*IBGE_2!U$60/100</f>
        <v>0.09</v>
      </c>
      <c r="V60" s="142">
        <f>B60*IBGE_2!V$60/100</f>
        <v>0.2</v>
      </c>
      <c r="W60" s="142" t="s">
        <v>3047</v>
      </c>
      <c r="X60" s="142">
        <f>B60*IBGE_2!X$60/100</f>
        <v>0.06</v>
      </c>
      <c r="Y60" s="142">
        <f>B60*IBGE_2!Y$60/100</f>
        <v>0.05</v>
      </c>
      <c r="Z60" s="142">
        <f>B60*IBGE_2!Z$60/100</f>
        <v>0.17</v>
      </c>
      <c r="AA60" s="142">
        <f>B60*IBGE_2!AA$60/100</f>
        <v>0.54</v>
      </c>
      <c r="AB60" s="142">
        <f>B60*IBGE_2!AB$60/100</f>
        <v>12.8</v>
      </c>
      <c r="AC60" s="142">
        <f>B60*IBGE_2!AC$60/100</f>
        <v>1</v>
      </c>
      <c r="AD60" s="142" t="s">
        <v>3047</v>
      </c>
      <c r="AE60" s="142">
        <f>B60*IBGE_2!AE$60/100</f>
        <v>6</v>
      </c>
      <c r="AF60" s="142" t="s">
        <v>3047</v>
      </c>
      <c r="AG60" s="142">
        <f>B60*IBGE_2!AG$60/100</f>
        <v>1.1000000000000001</v>
      </c>
      <c r="AH60" s="142" t="s">
        <v>3047</v>
      </c>
      <c r="AI60" s="142">
        <f>B60*IBGE_2!AI$60/100</f>
        <v>148</v>
      </c>
      <c r="AJ60" s="142">
        <f>B60*IBGE_2!AJ$60/100</f>
        <v>1.02</v>
      </c>
      <c r="AK60" s="142">
        <f>B60*IBGE_2!AK$60/100</f>
        <v>787</v>
      </c>
      <c r="AL60" s="142">
        <f>B60*IBGE_2!AL$60/100</f>
        <v>5.74</v>
      </c>
      <c r="AM60" s="142" t="s">
        <v>3047</v>
      </c>
      <c r="AN60" s="161"/>
    </row>
    <row r="61" spans="1:40">
      <c r="A61" s="143" t="s">
        <v>1120</v>
      </c>
      <c r="B61" s="141">
        <v>100</v>
      </c>
      <c r="C61" s="142">
        <f>B61*IBGE_2!C$61/100</f>
        <v>91.74</v>
      </c>
      <c r="D61" s="142">
        <f>B61*IBGE_2!D$61/100</f>
        <v>1.37</v>
      </c>
      <c r="E61" s="142">
        <f>B61*IBGE_2!E$61/100</f>
        <v>1.92</v>
      </c>
      <c r="F61" s="142">
        <f>B61*IBGE_2!F$61/100</f>
        <v>0.28999999999999998</v>
      </c>
      <c r="G61" s="142">
        <f>B61*IBGE_2!G$61/100</f>
        <v>0.41</v>
      </c>
      <c r="H61" s="142">
        <f>B61*IBGE_2!H$61/100</f>
        <v>1.0900000000000001</v>
      </c>
      <c r="I61" s="142">
        <f>B61*IBGE_2!I$61/100</f>
        <v>0.97</v>
      </c>
      <c r="J61" s="142">
        <f>B61*IBGE_2!J$61/100</f>
        <v>0.12</v>
      </c>
      <c r="K61" s="142" t="s">
        <v>3047</v>
      </c>
      <c r="L61" s="142">
        <f>B61*IBGE_2!L$61/100</f>
        <v>17.72</v>
      </c>
      <c r="M61" s="142">
        <f>B61*IBGE_2!M$61/100</f>
        <v>2.5</v>
      </c>
      <c r="N61" s="142">
        <f>B61*IBGE_2!N$61/100</f>
        <v>27</v>
      </c>
      <c r="O61" s="142">
        <f>B61*IBGE_2!O$61/100</f>
        <v>18</v>
      </c>
      <c r="P61" s="142">
        <f>B61*IBGE_2!P$61/100</f>
        <v>0.27</v>
      </c>
      <c r="Q61" s="142">
        <f>B61*IBGE_2!Q$61/100</f>
        <v>32</v>
      </c>
      <c r="R61" s="142">
        <f>B61*IBGE_2!R$61/100</f>
        <v>0.72</v>
      </c>
      <c r="S61" s="142">
        <f>B61*IBGE_2!S$61/100</f>
        <v>27</v>
      </c>
      <c r="T61" s="142">
        <f>B61*IBGE_2!T$61/100</f>
        <v>230</v>
      </c>
      <c r="U61" s="142">
        <f>B61*IBGE_2!U$61/100</f>
        <v>0.09</v>
      </c>
      <c r="V61" s="142">
        <f>B61*IBGE_2!V$61/100</f>
        <v>0.2</v>
      </c>
      <c r="W61" s="142" t="s">
        <v>3047</v>
      </c>
      <c r="X61" s="142">
        <f>B61*IBGE_2!X$61/100</f>
        <v>0.06</v>
      </c>
      <c r="Y61" s="142">
        <f>B61*IBGE_2!Y$61/100</f>
        <v>0.05</v>
      </c>
      <c r="Z61" s="142">
        <f>B61*IBGE_2!Z$61/100</f>
        <v>0.17</v>
      </c>
      <c r="AA61" s="142">
        <f>B61*IBGE_2!AA$61/100</f>
        <v>0.54</v>
      </c>
      <c r="AB61" s="142">
        <f>B61*IBGE_2!AB$61/100</f>
        <v>12.8</v>
      </c>
      <c r="AC61" s="142">
        <f>B61*IBGE_2!AC$61/100</f>
        <v>1</v>
      </c>
      <c r="AD61" s="142" t="s">
        <v>3047</v>
      </c>
      <c r="AE61" s="142">
        <f>B61*IBGE_2!AE$61/100</f>
        <v>6</v>
      </c>
      <c r="AF61" s="142" t="s">
        <v>3047</v>
      </c>
      <c r="AG61" s="142">
        <f>B61*IBGE_2!AG$61/100</f>
        <v>1.1000000000000001</v>
      </c>
      <c r="AH61" s="142" t="s">
        <v>3047</v>
      </c>
      <c r="AI61" s="142">
        <f>B61*IBGE_2!AI$61/100</f>
        <v>148</v>
      </c>
      <c r="AJ61" s="142">
        <f>B61*IBGE_2!AJ$61/100</f>
        <v>1.02</v>
      </c>
      <c r="AK61" s="142">
        <f>B61*IBGE_2!AK$61/100</f>
        <v>787</v>
      </c>
      <c r="AL61" s="142">
        <f>B61*IBGE_2!AL$61/100</f>
        <v>5.74</v>
      </c>
      <c r="AM61" s="142" t="s">
        <v>3047</v>
      </c>
      <c r="AN61" s="161"/>
    </row>
    <row r="62" spans="1:40">
      <c r="A62" s="143" t="s">
        <v>1121</v>
      </c>
      <c r="B62" s="141">
        <v>100</v>
      </c>
      <c r="C62" s="142">
        <f>B62*IBGE_2!C$62/100</f>
        <v>76</v>
      </c>
      <c r="D62" s="142">
        <f>B62*IBGE_2!D$62/100</f>
        <v>1.37</v>
      </c>
      <c r="E62" s="142">
        <f>B62*IBGE_2!E$62/100</f>
        <v>0.14000000000000001</v>
      </c>
      <c r="F62" s="142">
        <f>B62*IBGE_2!F$62/100</f>
        <v>0.03</v>
      </c>
      <c r="G62" s="142" t="s">
        <v>3047</v>
      </c>
      <c r="H62" s="142">
        <f>B62*IBGE_2!H$62/100</f>
        <v>0.06</v>
      </c>
      <c r="I62" s="142">
        <f>B62*IBGE_2!I$62/100</f>
        <v>0.06</v>
      </c>
      <c r="J62" s="142" t="s">
        <v>3047</v>
      </c>
      <c r="K62" s="142" t="s">
        <v>3047</v>
      </c>
      <c r="L62" s="142">
        <f>B62*IBGE_2!L$62/100</f>
        <v>17.72</v>
      </c>
      <c r="M62" s="142">
        <f>B62*IBGE_2!M$62/100</f>
        <v>2.5</v>
      </c>
      <c r="N62" s="142">
        <f>B62*IBGE_2!N$62/100</f>
        <v>27</v>
      </c>
      <c r="O62" s="142">
        <f>B62*IBGE_2!O$62/100</f>
        <v>18</v>
      </c>
      <c r="P62" s="142">
        <f>B62*IBGE_2!P$62/100</f>
        <v>0.27</v>
      </c>
      <c r="Q62" s="142">
        <f>B62*IBGE_2!Q$62/100</f>
        <v>32</v>
      </c>
      <c r="R62" s="142">
        <f>B62*IBGE_2!R$62/100</f>
        <v>0.72</v>
      </c>
      <c r="S62" s="142">
        <f>B62*IBGE_2!S$62/100</f>
        <v>27</v>
      </c>
      <c r="T62" s="142">
        <f>B62*IBGE_2!T$62/100</f>
        <v>230</v>
      </c>
      <c r="U62" s="142">
        <f>B62*IBGE_2!U$62/100</f>
        <v>0.09</v>
      </c>
      <c r="V62" s="142">
        <f>B62*IBGE_2!V$62/100</f>
        <v>0.2</v>
      </c>
      <c r="W62" s="142" t="s">
        <v>3047</v>
      </c>
      <c r="X62" s="142">
        <f>B62*IBGE_2!X$62/100</f>
        <v>0.06</v>
      </c>
      <c r="Y62" s="142">
        <f>B62*IBGE_2!Y$62/100</f>
        <v>0.05</v>
      </c>
      <c r="Z62" s="142">
        <f>B62*IBGE_2!Z$62/100</f>
        <v>0.17</v>
      </c>
      <c r="AA62" s="142">
        <f>B62*IBGE_2!AA$62/100</f>
        <v>0.54</v>
      </c>
      <c r="AB62" s="142">
        <f>B62*IBGE_2!AB$62/100</f>
        <v>12.8</v>
      </c>
      <c r="AC62" s="142">
        <f>B62*IBGE_2!AC$62/100</f>
        <v>1</v>
      </c>
      <c r="AD62" s="142" t="s">
        <v>3047</v>
      </c>
      <c r="AE62" s="142">
        <f>B62*IBGE_2!AE$62/100</f>
        <v>6</v>
      </c>
      <c r="AF62" s="142" t="s">
        <v>3047</v>
      </c>
      <c r="AG62" s="142">
        <f>B62*IBGE_2!AG$62/100</f>
        <v>0.94</v>
      </c>
      <c r="AH62" s="142" t="s">
        <v>3047</v>
      </c>
      <c r="AI62" s="142">
        <f>B62*IBGE_2!AI$62/100</f>
        <v>148</v>
      </c>
      <c r="AJ62" s="142">
        <f>B62*IBGE_2!AJ$62/100</f>
        <v>0.2</v>
      </c>
      <c r="AK62" s="142">
        <f>B62*IBGE_2!AK$62/100</f>
        <v>787</v>
      </c>
      <c r="AL62" s="142">
        <f>B62*IBGE_2!AL$62/100</f>
        <v>5.74</v>
      </c>
      <c r="AM62" s="142" t="s">
        <v>3047</v>
      </c>
      <c r="AN62" s="161"/>
    </row>
    <row r="63" spans="1:40">
      <c r="A63" s="143" t="s">
        <v>1122</v>
      </c>
      <c r="B63" s="141">
        <v>100</v>
      </c>
      <c r="C63" s="142">
        <f>B63*IBGE_2!C$63/100</f>
        <v>100</v>
      </c>
      <c r="D63" s="142">
        <f>B63*IBGE_2!D$63/100</f>
        <v>1.71</v>
      </c>
      <c r="E63" s="142">
        <f>B63*IBGE_2!E$63/100</f>
        <v>0.12</v>
      </c>
      <c r="F63" s="142">
        <f>B63*IBGE_2!F$63/100</f>
        <v>0.03</v>
      </c>
      <c r="G63" s="142">
        <f>B63*IBGE_2!G$63/100</f>
        <v>0.01</v>
      </c>
      <c r="H63" s="142">
        <f>B63*IBGE_2!H$63/100</f>
        <v>0.05</v>
      </c>
      <c r="I63" s="142">
        <f>B63*IBGE_2!I$63/100</f>
        <v>0.04</v>
      </c>
      <c r="J63" s="142">
        <f>B63*IBGE_2!J$63/100</f>
        <v>0.01</v>
      </c>
      <c r="K63" s="142" t="s">
        <v>3047</v>
      </c>
      <c r="L63" s="142">
        <f>B63*IBGE_2!L$63/100</f>
        <v>23.4</v>
      </c>
      <c r="M63" s="142">
        <f>B63*IBGE_2!M$63/100</f>
        <v>1.8</v>
      </c>
      <c r="N63" s="142">
        <f>B63*IBGE_2!N$63/100</f>
        <v>35</v>
      </c>
      <c r="O63" s="142">
        <f>B63*IBGE_2!O$63/100</f>
        <v>21</v>
      </c>
      <c r="P63" s="142">
        <f>B63*IBGE_2!P$63/100</f>
        <v>0.67</v>
      </c>
      <c r="Q63" s="142">
        <f>B63*IBGE_2!Q$63/100</f>
        <v>44</v>
      </c>
      <c r="R63" s="142">
        <f>B63*IBGE_2!R$63/100</f>
        <v>0.54</v>
      </c>
      <c r="S63" s="142">
        <f>B63*IBGE_2!S$63/100</f>
        <v>8</v>
      </c>
      <c r="T63" s="142">
        <f>B63*IBGE_2!T$63/100</f>
        <v>377</v>
      </c>
      <c r="U63" s="142">
        <f>B63*IBGE_2!U$63/100</f>
        <v>0.18</v>
      </c>
      <c r="V63" s="142">
        <f>B63*IBGE_2!V$63/100</f>
        <v>0.3</v>
      </c>
      <c r="W63" s="142" t="s">
        <v>3047</v>
      </c>
      <c r="X63" s="142">
        <f>B63*IBGE_2!X$63/100</f>
        <v>7.0000000000000007E-2</v>
      </c>
      <c r="Y63" s="142">
        <f>B63*IBGE_2!Y$63/100</f>
        <v>0.06</v>
      </c>
      <c r="Z63" s="142">
        <f>B63*IBGE_2!Z$63/100</f>
        <v>0.19</v>
      </c>
      <c r="AA63" s="142">
        <f>B63*IBGE_2!AA$63/100</f>
        <v>0.56000000000000005</v>
      </c>
      <c r="AB63" s="142">
        <f>B63*IBGE_2!AB$63/100</f>
        <v>9.1</v>
      </c>
      <c r="AC63" s="142">
        <f>B63*IBGE_2!AC$63/100</f>
        <v>0.91</v>
      </c>
      <c r="AD63" s="142" t="s">
        <v>3047</v>
      </c>
      <c r="AE63" s="142">
        <f>B63*IBGE_2!AE$63/100</f>
        <v>22</v>
      </c>
      <c r="AF63" s="142" t="s">
        <v>3047</v>
      </c>
      <c r="AG63" s="142">
        <f>B63*IBGE_2!AG$63/100</f>
        <v>0.77</v>
      </c>
      <c r="AH63" s="142" t="s">
        <v>3047</v>
      </c>
      <c r="AI63" s="142">
        <f>B63*IBGE_2!AI$63/100</f>
        <v>260</v>
      </c>
      <c r="AJ63" s="142">
        <f>B63*IBGE_2!AJ$63/100</f>
        <v>0.6</v>
      </c>
      <c r="AK63" s="142">
        <f>B63*IBGE_2!AK$63/100</f>
        <v>1043.46</v>
      </c>
      <c r="AL63" s="142">
        <f>B63*IBGE_2!AL$63/100</f>
        <v>6.47</v>
      </c>
      <c r="AM63" s="142" t="s">
        <v>3047</v>
      </c>
      <c r="AN63" s="161"/>
    </row>
    <row r="64" spans="1:40">
      <c r="A64" s="143" t="s">
        <v>1123</v>
      </c>
      <c r="B64" s="141">
        <v>100</v>
      </c>
      <c r="C64" s="142">
        <f>B64*IBGE_2!C$64/100</f>
        <v>100</v>
      </c>
      <c r="D64" s="142">
        <f>B64*IBGE_2!D$64/100</f>
        <v>1.71</v>
      </c>
      <c r="E64" s="142">
        <f>B64*IBGE_2!E$64/100</f>
        <v>0.12</v>
      </c>
      <c r="F64" s="142">
        <f>B64*IBGE_2!F$64/100</f>
        <v>0.03</v>
      </c>
      <c r="G64" s="142">
        <f>B64*IBGE_2!G$64/100</f>
        <v>0.01</v>
      </c>
      <c r="H64" s="142">
        <f>B64*IBGE_2!H$64/100</f>
        <v>0.05</v>
      </c>
      <c r="I64" s="142">
        <f>B64*IBGE_2!I$64/100</f>
        <v>0.04</v>
      </c>
      <c r="J64" s="142">
        <f>B64*IBGE_2!J$64/100</f>
        <v>0.01</v>
      </c>
      <c r="K64" s="142" t="s">
        <v>3047</v>
      </c>
      <c r="L64" s="142">
        <f>B64*IBGE_2!L$64/100</f>
        <v>23.4</v>
      </c>
      <c r="M64" s="142">
        <f>B64*IBGE_2!M$64/100</f>
        <v>1.8</v>
      </c>
      <c r="N64" s="142">
        <f>B64*IBGE_2!N$64/100</f>
        <v>35</v>
      </c>
      <c r="O64" s="142">
        <f>B64*IBGE_2!O$64/100</f>
        <v>21</v>
      </c>
      <c r="P64" s="142">
        <f>B64*IBGE_2!P$64/100</f>
        <v>0.67</v>
      </c>
      <c r="Q64" s="142">
        <f>B64*IBGE_2!Q$64/100</f>
        <v>44</v>
      </c>
      <c r="R64" s="142">
        <f>B64*IBGE_2!R$64/100</f>
        <v>0.54</v>
      </c>
      <c r="S64" s="142">
        <f>B64*IBGE_2!S$64/100</f>
        <v>8</v>
      </c>
      <c r="T64" s="142">
        <f>B64*IBGE_2!T$64/100</f>
        <v>377</v>
      </c>
      <c r="U64" s="142">
        <f>B64*IBGE_2!U$64/100</f>
        <v>0.18</v>
      </c>
      <c r="V64" s="142">
        <f>B64*IBGE_2!V$64/100</f>
        <v>0.3</v>
      </c>
      <c r="W64" s="142" t="s">
        <v>3047</v>
      </c>
      <c r="X64" s="142">
        <f>B64*IBGE_2!X$64/100</f>
        <v>7.0000000000000007E-2</v>
      </c>
      <c r="Y64" s="142">
        <f>B64*IBGE_2!Y$64/100</f>
        <v>0.06</v>
      </c>
      <c r="Z64" s="142">
        <f>B64*IBGE_2!Z$64/100</f>
        <v>0.19</v>
      </c>
      <c r="AA64" s="142">
        <f>B64*IBGE_2!AA$64/100</f>
        <v>0.56000000000000005</v>
      </c>
      <c r="AB64" s="142">
        <f>B64*IBGE_2!AB$64/100</f>
        <v>9.1</v>
      </c>
      <c r="AC64" s="142">
        <f>B64*IBGE_2!AC$64/100</f>
        <v>0.91</v>
      </c>
      <c r="AD64" s="142" t="s">
        <v>3047</v>
      </c>
      <c r="AE64" s="142">
        <f>B64*IBGE_2!AE$64/100</f>
        <v>22</v>
      </c>
      <c r="AF64" s="142" t="s">
        <v>3047</v>
      </c>
      <c r="AG64" s="142">
        <f>B64*IBGE_2!AG$64/100</f>
        <v>0.77</v>
      </c>
      <c r="AH64" s="142" t="s">
        <v>3047</v>
      </c>
      <c r="AI64" s="142">
        <f>B64*IBGE_2!AI$64/100</f>
        <v>260</v>
      </c>
      <c r="AJ64" s="142">
        <f>B64*IBGE_2!AJ$64/100</f>
        <v>0.6</v>
      </c>
      <c r="AK64" s="142">
        <f>B64*IBGE_2!AK$64/100</f>
        <v>1043.46</v>
      </c>
      <c r="AL64" s="142">
        <f>B64*IBGE_2!AL$64/100</f>
        <v>6.47</v>
      </c>
      <c r="AM64" s="142" t="s">
        <v>3047</v>
      </c>
      <c r="AN64" s="161"/>
    </row>
    <row r="65" spans="1:40">
      <c r="A65" s="143" t="s">
        <v>1124</v>
      </c>
      <c r="B65" s="141">
        <v>100</v>
      </c>
      <c r="C65" s="142">
        <f>B65*IBGE_2!C$65/100</f>
        <v>90</v>
      </c>
      <c r="D65" s="142">
        <f>B65*IBGE_2!D$65/100</f>
        <v>2.0099999999999998</v>
      </c>
      <c r="E65" s="142">
        <f>B65*IBGE_2!E$65/100</f>
        <v>0.15</v>
      </c>
      <c r="F65" s="142">
        <f>B65*IBGE_2!F$65/100</f>
        <v>0.03</v>
      </c>
      <c r="G65" s="142" t="s">
        <v>3047</v>
      </c>
      <c r="H65" s="142">
        <f>B65*IBGE_2!H$65/100</f>
        <v>0.06</v>
      </c>
      <c r="I65" s="142">
        <f>B65*IBGE_2!I$65/100</f>
        <v>0.06</v>
      </c>
      <c r="J65" s="142" t="s">
        <v>3047</v>
      </c>
      <c r="K65" s="142" t="s">
        <v>3047</v>
      </c>
      <c r="L65" s="142">
        <f>B65*IBGE_2!L$65/100</f>
        <v>20.71</v>
      </c>
      <c r="M65" s="142">
        <f>B65*IBGE_2!M$65/100</f>
        <v>3.3</v>
      </c>
      <c r="N65" s="142">
        <f>B65*IBGE_2!N$65/100</f>
        <v>38</v>
      </c>
      <c r="O65" s="142">
        <f>B65*IBGE_2!O$65/100</f>
        <v>27</v>
      </c>
      <c r="P65" s="142">
        <f>B65*IBGE_2!P$65/100</f>
        <v>0.5</v>
      </c>
      <c r="Q65" s="142">
        <f>B65*IBGE_2!Q$65/100</f>
        <v>54</v>
      </c>
      <c r="R65" s="142">
        <f>B65*IBGE_2!R$65/100</f>
        <v>0.69</v>
      </c>
      <c r="S65" s="142">
        <f>B65*IBGE_2!S$65/100</f>
        <v>36</v>
      </c>
      <c r="T65" s="142">
        <f>B65*IBGE_2!T$65/100</f>
        <v>475</v>
      </c>
      <c r="U65" s="142">
        <f>B65*IBGE_2!U$65/100</f>
        <v>0.16</v>
      </c>
      <c r="V65" s="142">
        <f>B65*IBGE_2!V$65/100</f>
        <v>0.32</v>
      </c>
      <c r="W65" s="142" t="s">
        <v>3047</v>
      </c>
      <c r="X65" s="142">
        <f>B65*IBGE_2!X$65/100</f>
        <v>0.11</v>
      </c>
      <c r="Y65" s="142">
        <f>B65*IBGE_2!Y$65/100</f>
        <v>0.11</v>
      </c>
      <c r="Z65" s="142">
        <f>B65*IBGE_2!Z$65/100</f>
        <v>0.28999999999999998</v>
      </c>
      <c r="AA65" s="142">
        <f>B65*IBGE_2!AA$65/100</f>
        <v>1.49</v>
      </c>
      <c r="AB65" s="142">
        <f>B65*IBGE_2!AB$65/100</f>
        <v>19.600000000000001</v>
      </c>
      <c r="AC65" s="142">
        <f>B65*IBGE_2!AC$65/100</f>
        <v>2.15</v>
      </c>
      <c r="AD65" s="142" t="s">
        <v>3047</v>
      </c>
      <c r="AE65" s="142">
        <f>B65*IBGE_2!AE$65/100</f>
        <v>6</v>
      </c>
      <c r="AF65" s="142" t="s">
        <v>3047</v>
      </c>
      <c r="AG65" s="142">
        <f>B65*IBGE_2!AG$65/100</f>
        <v>0.71</v>
      </c>
      <c r="AH65" s="142" t="s">
        <v>3047</v>
      </c>
      <c r="AI65" s="142">
        <f>B65*IBGE_2!AI$65/100</f>
        <v>260</v>
      </c>
      <c r="AJ65" s="142">
        <f>B65*IBGE_2!AJ$65/100</f>
        <v>0.2</v>
      </c>
      <c r="AK65" s="142">
        <f>B65*IBGE_2!AK$65/100</f>
        <v>960.88</v>
      </c>
      <c r="AL65" s="142">
        <f>B65*IBGE_2!AL$65/100</f>
        <v>6.47</v>
      </c>
      <c r="AM65" s="142" t="s">
        <v>3047</v>
      </c>
      <c r="AN65" s="161"/>
    </row>
    <row r="66" spans="1:40">
      <c r="A66" s="143" t="s">
        <v>1125</v>
      </c>
      <c r="B66" s="141">
        <v>100</v>
      </c>
      <c r="C66" s="142">
        <f>B66*IBGE_2!C$66/100</f>
        <v>115.74</v>
      </c>
      <c r="D66" s="142">
        <f>B66*IBGE_2!D$66/100</f>
        <v>1.71</v>
      </c>
      <c r="E66" s="142">
        <f>B66*IBGE_2!E$66/100</f>
        <v>1.9</v>
      </c>
      <c r="F66" s="142">
        <f>B66*IBGE_2!F$66/100</f>
        <v>0.28000000000000003</v>
      </c>
      <c r="G66" s="142">
        <f>B66*IBGE_2!G$66/100</f>
        <v>0.42</v>
      </c>
      <c r="H66" s="142">
        <f>B66*IBGE_2!H$66/100</f>
        <v>1.08</v>
      </c>
      <c r="I66" s="142">
        <f>B66*IBGE_2!I$66/100</f>
        <v>0.95</v>
      </c>
      <c r="J66" s="142">
        <f>B66*IBGE_2!J$66/100</f>
        <v>0.13</v>
      </c>
      <c r="K66" s="142" t="s">
        <v>3047</v>
      </c>
      <c r="L66" s="142">
        <f>B66*IBGE_2!L$66/100</f>
        <v>23.4</v>
      </c>
      <c r="M66" s="142">
        <f>B66*IBGE_2!M$66/100</f>
        <v>1.8</v>
      </c>
      <c r="N66" s="142">
        <f>B66*IBGE_2!N$66/100</f>
        <v>35</v>
      </c>
      <c r="O66" s="142">
        <f>B66*IBGE_2!O$66/100</f>
        <v>21</v>
      </c>
      <c r="P66" s="142">
        <f>B66*IBGE_2!P$66/100</f>
        <v>0.67</v>
      </c>
      <c r="Q66" s="142">
        <f>B66*IBGE_2!Q$66/100</f>
        <v>44</v>
      </c>
      <c r="R66" s="142">
        <f>B66*IBGE_2!R$66/100</f>
        <v>0.54</v>
      </c>
      <c r="S66" s="142">
        <f>B66*IBGE_2!S$66/100</f>
        <v>8</v>
      </c>
      <c r="T66" s="142">
        <f>B66*IBGE_2!T$66/100</f>
        <v>377</v>
      </c>
      <c r="U66" s="142">
        <f>B66*IBGE_2!U$66/100</f>
        <v>0.18</v>
      </c>
      <c r="V66" s="142">
        <f>B66*IBGE_2!V$66/100</f>
        <v>0.3</v>
      </c>
      <c r="W66" s="142" t="s">
        <v>3047</v>
      </c>
      <c r="X66" s="142">
        <f>B66*IBGE_2!X$66/100</f>
        <v>7.0000000000000007E-2</v>
      </c>
      <c r="Y66" s="142">
        <f>B66*IBGE_2!Y$66/100</f>
        <v>0.06</v>
      </c>
      <c r="Z66" s="142">
        <f>B66*IBGE_2!Z$66/100</f>
        <v>0.19</v>
      </c>
      <c r="AA66" s="142">
        <f>B66*IBGE_2!AA$66/100</f>
        <v>0.56000000000000005</v>
      </c>
      <c r="AB66" s="142">
        <f>B66*IBGE_2!AB$66/100</f>
        <v>9.1</v>
      </c>
      <c r="AC66" s="142">
        <f>B66*IBGE_2!AC$66/100</f>
        <v>0.91</v>
      </c>
      <c r="AD66" s="142" t="s">
        <v>3047</v>
      </c>
      <c r="AE66" s="142">
        <f>B66*IBGE_2!AE$66/100</f>
        <v>22</v>
      </c>
      <c r="AF66" s="142" t="s">
        <v>3047</v>
      </c>
      <c r="AG66" s="142">
        <f>B66*IBGE_2!AG$66/100</f>
        <v>0.93</v>
      </c>
      <c r="AH66" s="142" t="s">
        <v>3047</v>
      </c>
      <c r="AI66" s="142">
        <f>B66*IBGE_2!AI$66/100</f>
        <v>260</v>
      </c>
      <c r="AJ66" s="142">
        <f>B66*IBGE_2!AJ$66/100</f>
        <v>1.42</v>
      </c>
      <c r="AK66" s="142">
        <f>B66*IBGE_2!AK$66/100</f>
        <v>1043.46</v>
      </c>
      <c r="AL66" s="142">
        <f>B66*IBGE_2!AL$66/100</f>
        <v>6.47</v>
      </c>
      <c r="AM66" s="142" t="s">
        <v>3047</v>
      </c>
      <c r="AN66" s="161"/>
    </row>
    <row r="67" spans="1:40">
      <c r="A67" s="143" t="s">
        <v>1126</v>
      </c>
      <c r="B67" s="141">
        <v>100</v>
      </c>
      <c r="C67" s="142">
        <f>B67*IBGE_2!C$67/100</f>
        <v>115.74</v>
      </c>
      <c r="D67" s="142">
        <f>B67*IBGE_2!D$67/100</f>
        <v>1.71</v>
      </c>
      <c r="E67" s="142">
        <f>B67*IBGE_2!E$67/100</f>
        <v>1.9</v>
      </c>
      <c r="F67" s="142">
        <f>B67*IBGE_2!F$67/100</f>
        <v>0.28000000000000003</v>
      </c>
      <c r="G67" s="142">
        <f>B67*IBGE_2!G$67/100</f>
        <v>0.42</v>
      </c>
      <c r="H67" s="142">
        <f>B67*IBGE_2!H$67/100</f>
        <v>1.08</v>
      </c>
      <c r="I67" s="142">
        <f>B67*IBGE_2!I$67/100</f>
        <v>0.95</v>
      </c>
      <c r="J67" s="142">
        <f>B67*IBGE_2!J$67/100</f>
        <v>0.13</v>
      </c>
      <c r="K67" s="142" t="s">
        <v>3047</v>
      </c>
      <c r="L67" s="142">
        <f>B67*IBGE_2!L$67/100</f>
        <v>23.4</v>
      </c>
      <c r="M67" s="142">
        <f>B67*IBGE_2!M$67/100</f>
        <v>1.8</v>
      </c>
      <c r="N67" s="142">
        <f>B67*IBGE_2!N$67/100</f>
        <v>35</v>
      </c>
      <c r="O67" s="142">
        <f>B67*IBGE_2!O$67/100</f>
        <v>21</v>
      </c>
      <c r="P67" s="142">
        <f>B67*IBGE_2!P$67/100</f>
        <v>0.67</v>
      </c>
      <c r="Q67" s="142">
        <f>B67*IBGE_2!Q$67/100</f>
        <v>44</v>
      </c>
      <c r="R67" s="142">
        <f>B67*IBGE_2!R$67/100</f>
        <v>0.54</v>
      </c>
      <c r="S67" s="142">
        <f>B67*IBGE_2!S$67/100</f>
        <v>8</v>
      </c>
      <c r="T67" s="142">
        <f>B67*IBGE_2!T$67/100</f>
        <v>377</v>
      </c>
      <c r="U67" s="142">
        <f>B67*IBGE_2!U$67/100</f>
        <v>0.18</v>
      </c>
      <c r="V67" s="142">
        <f>B67*IBGE_2!V$67/100</f>
        <v>0.3</v>
      </c>
      <c r="W67" s="142" t="s">
        <v>3047</v>
      </c>
      <c r="X67" s="142">
        <f>B67*IBGE_2!X$67/100</f>
        <v>7.0000000000000007E-2</v>
      </c>
      <c r="Y67" s="142">
        <f>B67*IBGE_2!Y$67/100</f>
        <v>0.06</v>
      </c>
      <c r="Z67" s="142">
        <f>B67*IBGE_2!Z$67/100</f>
        <v>0.19</v>
      </c>
      <c r="AA67" s="142">
        <f>B67*IBGE_2!AA$67/100</f>
        <v>0.56000000000000005</v>
      </c>
      <c r="AB67" s="142">
        <f>B67*IBGE_2!AB$67/100</f>
        <v>9.1</v>
      </c>
      <c r="AC67" s="142">
        <f>B67*IBGE_2!AC$67/100</f>
        <v>0.91</v>
      </c>
      <c r="AD67" s="142" t="s">
        <v>3047</v>
      </c>
      <c r="AE67" s="142">
        <f>B67*IBGE_2!AE$67/100</f>
        <v>22</v>
      </c>
      <c r="AF67" s="142" t="s">
        <v>3047</v>
      </c>
      <c r="AG67" s="142">
        <f>B67*IBGE_2!AG$67/100</f>
        <v>0.93</v>
      </c>
      <c r="AH67" s="142" t="s">
        <v>3047</v>
      </c>
      <c r="AI67" s="142">
        <f>B67*IBGE_2!AI$67/100</f>
        <v>260</v>
      </c>
      <c r="AJ67" s="142">
        <f>B67*IBGE_2!AJ$67/100</f>
        <v>1.42</v>
      </c>
      <c r="AK67" s="142">
        <f>B67*IBGE_2!AK$67/100</f>
        <v>1043.46</v>
      </c>
      <c r="AL67" s="142">
        <f>B67*IBGE_2!AL$67/100</f>
        <v>6.47</v>
      </c>
      <c r="AM67" s="142" t="s">
        <v>3047</v>
      </c>
      <c r="AN67" s="161"/>
    </row>
    <row r="68" spans="1:40">
      <c r="A68" s="143" t="s">
        <v>1127</v>
      </c>
      <c r="B68" s="141">
        <v>100</v>
      </c>
      <c r="C68" s="142">
        <f>B68*IBGE_2!C$68/100</f>
        <v>115.74</v>
      </c>
      <c r="D68" s="142">
        <f>B68*IBGE_2!D$68/100</f>
        <v>1.71</v>
      </c>
      <c r="E68" s="142">
        <f>B68*IBGE_2!E$68/100</f>
        <v>1.9</v>
      </c>
      <c r="F68" s="142">
        <f>B68*IBGE_2!F$68/100</f>
        <v>0.28000000000000003</v>
      </c>
      <c r="G68" s="142">
        <f>B68*IBGE_2!G$68/100</f>
        <v>0.42</v>
      </c>
      <c r="H68" s="142">
        <f>B68*IBGE_2!H$68/100</f>
        <v>1.08</v>
      </c>
      <c r="I68" s="142">
        <f>B68*IBGE_2!I$68/100</f>
        <v>0.95</v>
      </c>
      <c r="J68" s="142">
        <f>B68*IBGE_2!J$68/100</f>
        <v>0.13</v>
      </c>
      <c r="K68" s="142" t="s">
        <v>3047</v>
      </c>
      <c r="L68" s="142">
        <f>B68*IBGE_2!L$68/100</f>
        <v>23.4</v>
      </c>
      <c r="M68" s="142">
        <f>B68*IBGE_2!M$68/100</f>
        <v>1.8</v>
      </c>
      <c r="N68" s="142">
        <f>B68*IBGE_2!N$68/100</f>
        <v>35</v>
      </c>
      <c r="O68" s="142">
        <f>B68*IBGE_2!O$68/100</f>
        <v>21</v>
      </c>
      <c r="P68" s="142">
        <f>B68*IBGE_2!P$68/100</f>
        <v>0.67</v>
      </c>
      <c r="Q68" s="142">
        <f>B68*IBGE_2!Q$68/100</f>
        <v>44</v>
      </c>
      <c r="R68" s="142">
        <f>B68*IBGE_2!R$68/100</f>
        <v>0.54</v>
      </c>
      <c r="S68" s="142">
        <f>B68*IBGE_2!S$68/100</f>
        <v>8</v>
      </c>
      <c r="T68" s="142">
        <f>B68*IBGE_2!T$68/100</f>
        <v>377</v>
      </c>
      <c r="U68" s="142">
        <f>B68*IBGE_2!U$68/100</f>
        <v>0.18</v>
      </c>
      <c r="V68" s="142">
        <f>B68*IBGE_2!V$68/100</f>
        <v>0.3</v>
      </c>
      <c r="W68" s="142" t="s">
        <v>3047</v>
      </c>
      <c r="X68" s="142">
        <f>B68*IBGE_2!X$68/100</f>
        <v>7.0000000000000007E-2</v>
      </c>
      <c r="Y68" s="142">
        <f>B68*IBGE_2!Y$68/100</f>
        <v>0.06</v>
      </c>
      <c r="Z68" s="142">
        <f>B68*IBGE_2!Z$68/100</f>
        <v>0.19</v>
      </c>
      <c r="AA68" s="142">
        <f>B68*IBGE_2!AA$68/100</f>
        <v>0.56000000000000005</v>
      </c>
      <c r="AB68" s="142">
        <f>B68*IBGE_2!AB$68/100</f>
        <v>9.1</v>
      </c>
      <c r="AC68" s="142">
        <f>B68*IBGE_2!AC$68/100</f>
        <v>0.91</v>
      </c>
      <c r="AD68" s="142" t="s">
        <v>3047</v>
      </c>
      <c r="AE68" s="142">
        <f>B68*IBGE_2!AE$68/100</f>
        <v>22</v>
      </c>
      <c r="AF68" s="142" t="s">
        <v>3047</v>
      </c>
      <c r="AG68" s="142">
        <f>B68*IBGE_2!AG$68/100</f>
        <v>0.93</v>
      </c>
      <c r="AH68" s="142" t="s">
        <v>3047</v>
      </c>
      <c r="AI68" s="142">
        <f>B68*IBGE_2!AI$68/100</f>
        <v>260</v>
      </c>
      <c r="AJ68" s="142">
        <f>B68*IBGE_2!AJ$68/100</f>
        <v>1.42</v>
      </c>
      <c r="AK68" s="142">
        <f>B68*IBGE_2!AK$68/100</f>
        <v>1043.46</v>
      </c>
      <c r="AL68" s="142">
        <f>B68*IBGE_2!AL$68/100</f>
        <v>6.47</v>
      </c>
      <c r="AM68" s="142" t="s">
        <v>3047</v>
      </c>
      <c r="AN68" s="161"/>
    </row>
    <row r="69" spans="1:40">
      <c r="A69" s="143" t="s">
        <v>1128</v>
      </c>
      <c r="B69" s="141">
        <v>100</v>
      </c>
      <c r="C69" s="142">
        <f>B69*IBGE_2!C$69/100</f>
        <v>31.443000000000001</v>
      </c>
      <c r="D69" s="142">
        <f>B69*IBGE_2!D$69/100</f>
        <v>0.94799999999999995</v>
      </c>
      <c r="E69" s="142">
        <f>B69*IBGE_2!E$69/100</f>
        <v>0.12300000000000001</v>
      </c>
      <c r="F69" s="142">
        <f>B69*IBGE_2!F$69/100</f>
        <v>3.9E-2</v>
      </c>
      <c r="G69" s="142">
        <f>B69*IBGE_2!G$69/100</f>
        <v>2.7000000000000003E-2</v>
      </c>
      <c r="H69" s="142">
        <f>B69*IBGE_2!H$69/100</f>
        <v>3.2000000000000001E-2</v>
      </c>
      <c r="I69" s="142">
        <f>B69*IBGE_2!I$69/100</f>
        <v>2.7000000000000003E-2</v>
      </c>
      <c r="J69" s="142">
        <f>B69*IBGE_2!J$69/100</f>
        <v>5.0000000000000001E-3</v>
      </c>
      <c r="K69" s="142" t="s">
        <v>3047</v>
      </c>
      <c r="L69" s="142">
        <f>B69*IBGE_2!L$69/100</f>
        <v>7.0119999999999996</v>
      </c>
      <c r="M69" s="142">
        <f>B69*IBGE_2!M$69/100</f>
        <v>0.71099999999999997</v>
      </c>
      <c r="N69" s="142">
        <f>B69*IBGE_2!N$69/100</f>
        <v>8.5549999999999997</v>
      </c>
      <c r="O69" s="142">
        <f>B69*IBGE_2!O$69/100</f>
        <v>6.3470000000000004</v>
      </c>
      <c r="P69" s="142">
        <f>B69*IBGE_2!P$69/100</f>
        <v>6.8000000000000005E-2</v>
      </c>
      <c r="Q69" s="142">
        <f>B69*IBGE_2!Q$69/100</f>
        <v>15.762</v>
      </c>
      <c r="R69" s="142">
        <f>B69*IBGE_2!R$69/100</f>
        <v>0.28499999999999998</v>
      </c>
      <c r="S69" s="142">
        <f>B69*IBGE_2!S$69/100</f>
        <v>310.43200000000002</v>
      </c>
      <c r="T69" s="142">
        <f>B69*IBGE_2!T$69/100</f>
        <v>88.314999999999998</v>
      </c>
      <c r="U69" s="142">
        <f>B69*IBGE_2!U$69/100</f>
        <v>3.9E-2</v>
      </c>
      <c r="V69" s="142">
        <f>B69*IBGE_2!V$69/100</f>
        <v>0.115</v>
      </c>
      <c r="W69" s="142" t="s">
        <v>3047</v>
      </c>
      <c r="X69" s="142">
        <f>B69*IBGE_2!X$69/100</f>
        <v>0.03</v>
      </c>
      <c r="Y69" s="142">
        <f>B69*IBGE_2!Y$69/100</f>
        <v>2.6000000000000002E-2</v>
      </c>
      <c r="Z69" s="142">
        <f>B69*IBGE_2!Z$69/100</f>
        <v>0.04</v>
      </c>
      <c r="AA69" s="142">
        <f>B69*IBGE_2!AA$69/100</f>
        <v>0.505</v>
      </c>
      <c r="AB69" s="142">
        <f>B69*IBGE_2!AB$69/100</f>
        <v>2.0990000000000002</v>
      </c>
      <c r="AC69" s="142">
        <f>B69*IBGE_2!AC$69/100</f>
        <v>0.66700000000000004</v>
      </c>
      <c r="AD69" s="142">
        <f>B69*IBGE_2!AD$69/100</f>
        <v>1.4999999999999999E-2</v>
      </c>
      <c r="AE69" s="142">
        <f>B69*IBGE_2!AE$69/100</f>
        <v>9.2759999999999998</v>
      </c>
      <c r="AF69" s="142" t="s">
        <v>3047</v>
      </c>
      <c r="AG69" s="142">
        <f>B69*IBGE_2!AG$69/100</f>
        <v>0.20399999999999999</v>
      </c>
      <c r="AH69" s="142">
        <f>B69*IBGE_2!AH$69/100</f>
        <v>2E-3</v>
      </c>
      <c r="AI69" s="142" t="s">
        <v>3047</v>
      </c>
      <c r="AJ69" s="142">
        <f>B69*IBGE_2!AJ$69/100</f>
        <v>1.3440000000000001</v>
      </c>
      <c r="AK69" s="142">
        <f>B69*IBGE_2!AK$69/100</f>
        <v>33.475999999999999</v>
      </c>
      <c r="AL69" s="142">
        <f>B69*IBGE_2!AL$69/100</f>
        <v>3.2749999999999999</v>
      </c>
      <c r="AM69" s="142">
        <f>B69*IBGE_2!AM$69/100</f>
        <v>2.5230000000000001</v>
      </c>
      <c r="AN69" s="161"/>
    </row>
    <row r="70" spans="1:40">
      <c r="A70" s="143" t="s">
        <v>1129</v>
      </c>
      <c r="B70" s="141">
        <v>100</v>
      </c>
      <c r="C70" s="142">
        <f>B70*IBGE_2!C$70/100</f>
        <v>100</v>
      </c>
      <c r="D70" s="142">
        <f>B70*IBGE_2!D$70/100</f>
        <v>1.71</v>
      </c>
      <c r="E70" s="142">
        <f>B70*IBGE_2!E$70/100</f>
        <v>0.12</v>
      </c>
      <c r="F70" s="142">
        <f>B70*IBGE_2!F$70/100</f>
        <v>0.03</v>
      </c>
      <c r="G70" s="142">
        <f>B70*IBGE_2!G$70/100</f>
        <v>0.01</v>
      </c>
      <c r="H70" s="142">
        <f>B70*IBGE_2!H$70/100</f>
        <v>0.05</v>
      </c>
      <c r="I70" s="142">
        <f>B70*IBGE_2!I$70/100</f>
        <v>0.04</v>
      </c>
      <c r="J70" s="142">
        <f>B70*IBGE_2!J$70/100</f>
        <v>0.01</v>
      </c>
      <c r="K70" s="142" t="s">
        <v>3047</v>
      </c>
      <c r="L70" s="142">
        <f>B70*IBGE_2!L$70/100</f>
        <v>23.4</v>
      </c>
      <c r="M70" s="142">
        <f>B70*IBGE_2!M$70/100</f>
        <v>1.8</v>
      </c>
      <c r="N70" s="142">
        <f>B70*IBGE_2!N$70/100</f>
        <v>35</v>
      </c>
      <c r="O70" s="142">
        <f>B70*IBGE_2!O$70/100</f>
        <v>21</v>
      </c>
      <c r="P70" s="142">
        <f>B70*IBGE_2!P$70/100</f>
        <v>0.67</v>
      </c>
      <c r="Q70" s="142">
        <f>B70*IBGE_2!Q$70/100</f>
        <v>44</v>
      </c>
      <c r="R70" s="142">
        <f>B70*IBGE_2!R$70/100</f>
        <v>0.54</v>
      </c>
      <c r="S70" s="142">
        <f>B70*IBGE_2!S$70/100</f>
        <v>8</v>
      </c>
      <c r="T70" s="142">
        <f>B70*IBGE_2!T$70/100</f>
        <v>377</v>
      </c>
      <c r="U70" s="142">
        <f>B70*IBGE_2!U$70/100</f>
        <v>0.18</v>
      </c>
      <c r="V70" s="142">
        <f>B70*IBGE_2!V$70/100</f>
        <v>0.3</v>
      </c>
      <c r="W70" s="142" t="s">
        <v>3047</v>
      </c>
      <c r="X70" s="142">
        <f>B70*IBGE_2!X$70/100</f>
        <v>7.0000000000000007E-2</v>
      </c>
      <c r="Y70" s="142">
        <f>B70*IBGE_2!Y$70/100</f>
        <v>0.06</v>
      </c>
      <c r="Z70" s="142">
        <f>B70*IBGE_2!Z$70/100</f>
        <v>0.19</v>
      </c>
      <c r="AA70" s="142">
        <f>B70*IBGE_2!AA$70/100</f>
        <v>0.56000000000000005</v>
      </c>
      <c r="AB70" s="142">
        <f>B70*IBGE_2!AB$70/100</f>
        <v>9.1</v>
      </c>
      <c r="AC70" s="142">
        <f>B70*IBGE_2!AC$70/100</f>
        <v>0.91</v>
      </c>
      <c r="AD70" s="142" t="s">
        <v>3047</v>
      </c>
      <c r="AE70" s="142">
        <f>B70*IBGE_2!AE$70/100</f>
        <v>22</v>
      </c>
      <c r="AF70" s="142" t="s">
        <v>3047</v>
      </c>
      <c r="AG70" s="142">
        <f>B70*IBGE_2!AG$70/100</f>
        <v>0.77</v>
      </c>
      <c r="AH70" s="142" t="s">
        <v>3047</v>
      </c>
      <c r="AI70" s="142">
        <f>B70*IBGE_2!AI$70/100</f>
        <v>260</v>
      </c>
      <c r="AJ70" s="142">
        <f>B70*IBGE_2!AJ$70/100</f>
        <v>0.6</v>
      </c>
      <c r="AK70" s="142">
        <f>B70*IBGE_2!AK$70/100</f>
        <v>1043.46</v>
      </c>
      <c r="AL70" s="142">
        <f>B70*IBGE_2!AL$70/100</f>
        <v>6.47</v>
      </c>
      <c r="AM70" s="142" t="s">
        <v>3047</v>
      </c>
      <c r="AN70" s="161"/>
    </row>
    <row r="71" spans="1:40">
      <c r="A71" s="143" t="s">
        <v>1130</v>
      </c>
      <c r="B71" s="141">
        <v>100</v>
      </c>
      <c r="C71" s="142">
        <f>B71*IBGE_2!C$71/100</f>
        <v>125</v>
      </c>
      <c r="D71" s="142">
        <f>B71*IBGE_2!D$71/100</f>
        <v>0.6</v>
      </c>
      <c r="E71" s="142">
        <f>B71*IBGE_2!E$71/100</f>
        <v>0.3</v>
      </c>
      <c r="F71" s="142">
        <f>B71*IBGE_2!F$71/100</f>
        <v>0.1</v>
      </c>
      <c r="G71" s="142">
        <f>B71*IBGE_2!G$71/100</f>
        <v>0.1</v>
      </c>
      <c r="H71" s="142">
        <f>B71*IBGE_2!H$71/100</f>
        <v>0.1</v>
      </c>
      <c r="I71" s="142">
        <f>B71*IBGE_2!I$71/100</f>
        <v>0.05</v>
      </c>
      <c r="J71" s="142">
        <f>B71*IBGE_2!J$71/100</f>
        <v>0.01</v>
      </c>
      <c r="K71" s="142" t="s">
        <v>3047</v>
      </c>
      <c r="L71" s="142">
        <f>B71*IBGE_2!L$71/100</f>
        <v>30.1</v>
      </c>
      <c r="M71" s="142">
        <f>B71*IBGE_2!M$71/100</f>
        <v>1.6</v>
      </c>
      <c r="N71" s="142">
        <f>B71*IBGE_2!N$71/100</f>
        <v>19</v>
      </c>
      <c r="O71" s="142">
        <f>B71*IBGE_2!O$71/100</f>
        <v>27</v>
      </c>
      <c r="P71" s="142">
        <f>B71*IBGE_2!P$71/100</f>
        <v>0.06</v>
      </c>
      <c r="Q71" s="142">
        <f>B71*IBGE_2!Q$71/100</f>
        <v>22</v>
      </c>
      <c r="R71" s="142">
        <f>B71*IBGE_2!R$71/100</f>
        <v>0.1</v>
      </c>
      <c r="S71" s="142">
        <f>B71*IBGE_2!S$71/100</f>
        <v>1</v>
      </c>
      <c r="T71" s="142">
        <f>B71*IBGE_2!T$71/100</f>
        <v>100</v>
      </c>
      <c r="U71" s="142">
        <f>B71*IBGE_2!U$71/100</f>
        <v>0.01</v>
      </c>
      <c r="V71" s="142">
        <f>B71*IBGE_2!V$71/100</f>
        <v>0.2</v>
      </c>
      <c r="W71" s="142" t="s">
        <v>3047</v>
      </c>
      <c r="X71" s="142">
        <f>B71*IBGE_2!X$71/100</f>
        <v>0.06</v>
      </c>
      <c r="Y71" s="142" t="s">
        <v>3047</v>
      </c>
      <c r="Z71" s="142">
        <f>B71*IBGE_2!Z$71/100</f>
        <v>0.03</v>
      </c>
      <c r="AA71" s="142" t="s">
        <v>3047</v>
      </c>
      <c r="AB71" s="142">
        <f>B71*IBGE_2!AB$71/100</f>
        <v>11.1</v>
      </c>
      <c r="AC71" s="142" t="s">
        <v>3047</v>
      </c>
      <c r="AD71" s="142" t="s">
        <v>3047</v>
      </c>
      <c r="AE71" s="142" t="s">
        <v>3047</v>
      </c>
      <c r="AF71" s="142" t="s">
        <v>3047</v>
      </c>
      <c r="AG71" s="142" t="s">
        <v>3047</v>
      </c>
      <c r="AH71" s="142" t="s">
        <v>3047</v>
      </c>
      <c r="AI71" s="142">
        <f>B71*IBGE_2!AI$71/100</f>
        <v>286</v>
      </c>
      <c r="AJ71" s="142" t="s">
        <v>3047</v>
      </c>
      <c r="AK71" s="142" t="s">
        <v>3047</v>
      </c>
      <c r="AL71" s="142" t="s">
        <v>3047</v>
      </c>
      <c r="AM71" s="142" t="s">
        <v>3047</v>
      </c>
      <c r="AN71" s="161"/>
    </row>
    <row r="72" spans="1:40">
      <c r="A72" s="143" t="s">
        <v>1131</v>
      </c>
      <c r="B72" s="141">
        <v>100</v>
      </c>
      <c r="C72" s="142">
        <f>B72*IBGE_2!C$72/100</f>
        <v>125</v>
      </c>
      <c r="D72" s="142">
        <f>B72*IBGE_2!D$72/100</f>
        <v>0.6</v>
      </c>
      <c r="E72" s="142">
        <f>B72*IBGE_2!E$72/100</f>
        <v>0.3</v>
      </c>
      <c r="F72" s="142">
        <f>B72*IBGE_2!F$72/100</f>
        <v>0.1</v>
      </c>
      <c r="G72" s="142">
        <f>B72*IBGE_2!G$72/100</f>
        <v>0.1</v>
      </c>
      <c r="H72" s="142">
        <f>B72*IBGE_2!H$72/100</f>
        <v>0.1</v>
      </c>
      <c r="I72" s="142">
        <f>B72*IBGE_2!I$72/100</f>
        <v>0.05</v>
      </c>
      <c r="J72" s="142">
        <f>B72*IBGE_2!J$72/100</f>
        <v>0.01</v>
      </c>
      <c r="K72" s="142" t="s">
        <v>3047</v>
      </c>
      <c r="L72" s="142">
        <f>B72*IBGE_2!L$72/100</f>
        <v>30.1</v>
      </c>
      <c r="M72" s="142">
        <f>B72*IBGE_2!M$72/100</f>
        <v>1.6</v>
      </c>
      <c r="N72" s="142">
        <f>B72*IBGE_2!N$72/100</f>
        <v>19</v>
      </c>
      <c r="O72" s="142">
        <f>B72*IBGE_2!O$72/100</f>
        <v>27</v>
      </c>
      <c r="P72" s="142">
        <f>B72*IBGE_2!P$72/100</f>
        <v>0.06</v>
      </c>
      <c r="Q72" s="142">
        <f>B72*IBGE_2!Q$72/100</f>
        <v>22</v>
      </c>
      <c r="R72" s="142">
        <f>B72*IBGE_2!R$72/100</f>
        <v>0.1</v>
      </c>
      <c r="S72" s="142">
        <f>B72*IBGE_2!S$72/100</f>
        <v>1</v>
      </c>
      <c r="T72" s="142">
        <f>B72*IBGE_2!T$72/100</f>
        <v>100</v>
      </c>
      <c r="U72" s="142">
        <f>B72*IBGE_2!U$72/100</f>
        <v>0.01</v>
      </c>
      <c r="V72" s="142">
        <f>B72*IBGE_2!V$72/100</f>
        <v>0.2</v>
      </c>
      <c r="W72" s="142" t="s">
        <v>3047</v>
      </c>
      <c r="X72" s="142">
        <f>B72*IBGE_2!X$72/100</f>
        <v>0.06</v>
      </c>
      <c r="Y72" s="142" t="s">
        <v>3047</v>
      </c>
      <c r="Z72" s="142">
        <f>B72*IBGE_2!Z$72/100</f>
        <v>0.03</v>
      </c>
      <c r="AA72" s="142" t="s">
        <v>3047</v>
      </c>
      <c r="AB72" s="142">
        <f>B72*IBGE_2!AB$72/100</f>
        <v>11.1</v>
      </c>
      <c r="AC72" s="142" t="s">
        <v>3047</v>
      </c>
      <c r="AD72" s="142" t="s">
        <v>3047</v>
      </c>
      <c r="AE72" s="142" t="s">
        <v>3047</v>
      </c>
      <c r="AF72" s="142" t="s">
        <v>3047</v>
      </c>
      <c r="AG72" s="142" t="s">
        <v>3047</v>
      </c>
      <c r="AH72" s="142" t="s">
        <v>3047</v>
      </c>
      <c r="AI72" s="142">
        <f>B72*IBGE_2!AI$72/100</f>
        <v>286</v>
      </c>
      <c r="AJ72" s="142" t="s">
        <v>3047</v>
      </c>
      <c r="AK72" s="142" t="s">
        <v>3047</v>
      </c>
      <c r="AL72" s="142" t="s">
        <v>3047</v>
      </c>
      <c r="AM72" s="142" t="s">
        <v>3047</v>
      </c>
      <c r="AN72" s="161"/>
    </row>
    <row r="73" spans="1:40">
      <c r="A73" s="143" t="s">
        <v>1132</v>
      </c>
      <c r="B73" s="141">
        <v>100</v>
      </c>
      <c r="C73" s="142">
        <f>B73*IBGE_2!C$73/100</f>
        <v>125</v>
      </c>
      <c r="D73" s="142">
        <f>B73*IBGE_2!D$73/100</f>
        <v>0.6</v>
      </c>
      <c r="E73" s="142">
        <f>B73*IBGE_2!E$73/100</f>
        <v>0.3</v>
      </c>
      <c r="F73" s="142">
        <f>B73*IBGE_2!F$73/100</f>
        <v>0.1</v>
      </c>
      <c r="G73" s="142">
        <f>B73*IBGE_2!G$73/100</f>
        <v>0.1</v>
      </c>
      <c r="H73" s="142">
        <f>B73*IBGE_2!H$73/100</f>
        <v>0.1</v>
      </c>
      <c r="I73" s="142">
        <f>B73*IBGE_2!I$73/100</f>
        <v>0.05</v>
      </c>
      <c r="J73" s="142">
        <f>B73*IBGE_2!J$73/100</f>
        <v>0.01</v>
      </c>
      <c r="K73" s="142" t="s">
        <v>3047</v>
      </c>
      <c r="L73" s="142">
        <f>B73*IBGE_2!L$73/100</f>
        <v>30.1</v>
      </c>
      <c r="M73" s="142">
        <f>B73*IBGE_2!M$73/100</f>
        <v>1.6</v>
      </c>
      <c r="N73" s="142">
        <f>B73*IBGE_2!N$73/100</f>
        <v>19</v>
      </c>
      <c r="O73" s="142">
        <f>B73*IBGE_2!O$73/100</f>
        <v>27</v>
      </c>
      <c r="P73" s="142">
        <f>B73*IBGE_2!P$73/100</f>
        <v>0.06</v>
      </c>
      <c r="Q73" s="142">
        <f>B73*IBGE_2!Q$73/100</f>
        <v>22</v>
      </c>
      <c r="R73" s="142">
        <f>B73*IBGE_2!R$73/100</f>
        <v>0.1</v>
      </c>
      <c r="S73" s="142">
        <f>B73*IBGE_2!S$73/100</f>
        <v>1</v>
      </c>
      <c r="T73" s="142">
        <f>B73*IBGE_2!T$73/100</f>
        <v>100</v>
      </c>
      <c r="U73" s="142">
        <f>B73*IBGE_2!U$73/100</f>
        <v>0.01</v>
      </c>
      <c r="V73" s="142">
        <f>B73*IBGE_2!V$73/100</f>
        <v>0.2</v>
      </c>
      <c r="W73" s="142" t="s">
        <v>3047</v>
      </c>
      <c r="X73" s="142">
        <f>B73*IBGE_2!X$73/100</f>
        <v>0.06</v>
      </c>
      <c r="Y73" s="142" t="s">
        <v>3047</v>
      </c>
      <c r="Z73" s="142">
        <f>B73*IBGE_2!Z$73/100</f>
        <v>0.03</v>
      </c>
      <c r="AA73" s="142" t="s">
        <v>3047</v>
      </c>
      <c r="AB73" s="142">
        <f>B73*IBGE_2!AB$73/100</f>
        <v>11.1</v>
      </c>
      <c r="AC73" s="142" t="s">
        <v>3047</v>
      </c>
      <c r="AD73" s="142" t="s">
        <v>3047</v>
      </c>
      <c r="AE73" s="142" t="s">
        <v>3047</v>
      </c>
      <c r="AF73" s="142" t="s">
        <v>3047</v>
      </c>
      <c r="AG73" s="142" t="s">
        <v>3047</v>
      </c>
      <c r="AH73" s="142" t="s">
        <v>3047</v>
      </c>
      <c r="AI73" s="142">
        <f>B73*IBGE_2!AI$73/100</f>
        <v>286</v>
      </c>
      <c r="AJ73" s="142" t="s">
        <v>3047</v>
      </c>
      <c r="AK73" s="142" t="s">
        <v>3047</v>
      </c>
      <c r="AL73" s="142" t="s">
        <v>3047</v>
      </c>
      <c r="AM73" s="142" t="s">
        <v>3047</v>
      </c>
      <c r="AN73" s="161"/>
    </row>
    <row r="74" spans="1:40">
      <c r="A74" s="143" t="s">
        <v>1133</v>
      </c>
      <c r="B74" s="141">
        <v>100</v>
      </c>
      <c r="C74" s="142">
        <f>B74*IBGE_2!C$74/100</f>
        <v>162.73670000000001</v>
      </c>
      <c r="D74" s="142">
        <f>B74*IBGE_2!D$74/100</f>
        <v>0.56999999999999995</v>
      </c>
      <c r="E74" s="142">
        <f>B74*IBGE_2!E$74/100</f>
        <v>5.2608500000000005</v>
      </c>
      <c r="F74" s="142">
        <f>B74*IBGE_2!F$74/100</f>
        <v>0.87370000000000003</v>
      </c>
      <c r="G74" s="142">
        <f>B74*IBGE_2!G$74/100</f>
        <v>1.22865</v>
      </c>
      <c r="H74" s="142">
        <f>B74*IBGE_2!H$74/100</f>
        <v>2.9680499999999999</v>
      </c>
      <c r="I74" s="142">
        <f>B74*IBGE_2!I$74/100</f>
        <v>2.5828000000000002</v>
      </c>
      <c r="J74" s="142">
        <f>B74*IBGE_2!J$74/100</f>
        <v>0.34730000000000005</v>
      </c>
      <c r="K74" s="142" t="s">
        <v>3047</v>
      </c>
      <c r="L74" s="142">
        <f>B74*IBGE_2!L$74/100</f>
        <v>28.594999999999999</v>
      </c>
      <c r="M74" s="142">
        <f>B74*IBGE_2!M$74/100</f>
        <v>1.52</v>
      </c>
      <c r="N74" s="142">
        <f>B74*IBGE_2!N$74/100</f>
        <v>18.05</v>
      </c>
      <c r="O74" s="142">
        <f>B74*IBGE_2!O$74/100</f>
        <v>25.65</v>
      </c>
      <c r="P74" s="142">
        <f>B74*IBGE_2!P$74/100</f>
        <v>5.6999999999999995E-2</v>
      </c>
      <c r="Q74" s="142">
        <f>B74*IBGE_2!Q$74/100</f>
        <v>20.9</v>
      </c>
      <c r="R74" s="142">
        <f>B74*IBGE_2!R$74/100</f>
        <v>9.7500000000000003E-2</v>
      </c>
      <c r="S74" s="142">
        <f>B74*IBGE_2!S$74/100</f>
        <v>0.95</v>
      </c>
      <c r="T74" s="142">
        <f>B74*IBGE_2!T$74/100</f>
        <v>95</v>
      </c>
      <c r="U74" s="142">
        <f>B74*IBGE_2!U$74/100</f>
        <v>9.4999999999999998E-3</v>
      </c>
      <c r="V74" s="142">
        <f>B74*IBGE_2!V$74/100</f>
        <v>0.1905</v>
      </c>
      <c r="W74" s="142" t="s">
        <v>3047</v>
      </c>
      <c r="X74" s="142">
        <f>B74*IBGE_2!X$74/100</f>
        <v>5.6999999999999995E-2</v>
      </c>
      <c r="Y74" s="142" t="s">
        <v>3047</v>
      </c>
      <c r="Z74" s="142">
        <f>B74*IBGE_2!Z$74/100</f>
        <v>2.8499999999999998E-2</v>
      </c>
      <c r="AA74" s="142" t="s">
        <v>3047</v>
      </c>
      <c r="AB74" s="142">
        <f>B74*IBGE_2!AB$74/100</f>
        <v>10.545</v>
      </c>
      <c r="AC74" s="142" t="s">
        <v>3047</v>
      </c>
      <c r="AD74" s="142" t="s">
        <v>3047</v>
      </c>
      <c r="AE74" s="142" t="s">
        <v>3047</v>
      </c>
      <c r="AF74" s="142" t="s">
        <v>3047</v>
      </c>
      <c r="AG74" s="142">
        <f>B74*IBGE_2!AG$74/100</f>
        <v>0.40705000000000008</v>
      </c>
      <c r="AH74" s="142">
        <f>B74*IBGE_2!AH$74/100</f>
        <v>2.6500000000000003E-2</v>
      </c>
      <c r="AI74" s="142">
        <f>B74*IBGE_2!AI$74/100</f>
        <v>286</v>
      </c>
      <c r="AJ74" s="142">
        <f>B74*IBGE_2!AJ$74/100</f>
        <v>2.2804500000000001</v>
      </c>
      <c r="AK74" s="142" t="s">
        <v>3047</v>
      </c>
      <c r="AL74" s="142" t="s">
        <v>3047</v>
      </c>
      <c r="AM74" s="142" t="s">
        <v>3047</v>
      </c>
      <c r="AN74" s="161"/>
    </row>
    <row r="75" spans="1:40">
      <c r="A75" s="143" t="s">
        <v>1134</v>
      </c>
      <c r="B75" s="141">
        <v>100</v>
      </c>
      <c r="C75" s="142">
        <f>B75*IBGE_2!C$75/100</f>
        <v>162.73670000000001</v>
      </c>
      <c r="D75" s="142">
        <f>B75*IBGE_2!D$75/100</f>
        <v>0.56999999999999995</v>
      </c>
      <c r="E75" s="142">
        <f>B75*IBGE_2!E$75/100</f>
        <v>5.2608500000000005</v>
      </c>
      <c r="F75" s="142">
        <f>B75*IBGE_2!F$75/100</f>
        <v>0.87370000000000003</v>
      </c>
      <c r="G75" s="142">
        <f>B75*IBGE_2!G$75/100</f>
        <v>1.22865</v>
      </c>
      <c r="H75" s="142">
        <f>B75*IBGE_2!H$75/100</f>
        <v>2.9680499999999999</v>
      </c>
      <c r="I75" s="142">
        <f>B75*IBGE_2!I$75/100</f>
        <v>2.5828000000000002</v>
      </c>
      <c r="J75" s="142">
        <f>B75*IBGE_2!J$75/100</f>
        <v>0.34730000000000005</v>
      </c>
      <c r="K75" s="142" t="s">
        <v>3047</v>
      </c>
      <c r="L75" s="142">
        <f>B75*IBGE_2!L$75/100</f>
        <v>28.594999999999999</v>
      </c>
      <c r="M75" s="142">
        <f>B75*IBGE_2!M$75/100</f>
        <v>1.52</v>
      </c>
      <c r="N75" s="142">
        <f>B75*IBGE_2!N$75/100</f>
        <v>18.05</v>
      </c>
      <c r="O75" s="142">
        <f>B75*IBGE_2!O$75/100</f>
        <v>25.65</v>
      </c>
      <c r="P75" s="142">
        <f>B75*IBGE_2!P$75/100</f>
        <v>5.6999999999999995E-2</v>
      </c>
      <c r="Q75" s="142">
        <f>B75*IBGE_2!Q$75/100</f>
        <v>20.9</v>
      </c>
      <c r="R75" s="142">
        <f>B75*IBGE_2!R$75/100</f>
        <v>9.7500000000000003E-2</v>
      </c>
      <c r="S75" s="142">
        <f>B75*IBGE_2!S$75/100</f>
        <v>0.95</v>
      </c>
      <c r="T75" s="142">
        <f>B75*IBGE_2!T$75/100</f>
        <v>95</v>
      </c>
      <c r="U75" s="142">
        <f>B75*IBGE_2!U$75/100</f>
        <v>9.4999999999999998E-3</v>
      </c>
      <c r="V75" s="142">
        <f>B75*IBGE_2!V$75/100</f>
        <v>0.1905</v>
      </c>
      <c r="W75" s="142" t="s">
        <v>3047</v>
      </c>
      <c r="X75" s="142">
        <f>B75*IBGE_2!X$75/100</f>
        <v>5.6999999999999995E-2</v>
      </c>
      <c r="Y75" s="142" t="s">
        <v>3047</v>
      </c>
      <c r="Z75" s="142">
        <f>B75*IBGE_2!Z$75/100</f>
        <v>2.8499999999999998E-2</v>
      </c>
      <c r="AA75" s="142" t="s">
        <v>3047</v>
      </c>
      <c r="AB75" s="142">
        <f>B75*IBGE_2!AB$75/100</f>
        <v>10.545</v>
      </c>
      <c r="AC75" s="142" t="s">
        <v>3047</v>
      </c>
      <c r="AD75" s="142" t="s">
        <v>3047</v>
      </c>
      <c r="AE75" s="142" t="s">
        <v>3047</v>
      </c>
      <c r="AF75" s="142" t="s">
        <v>3047</v>
      </c>
      <c r="AG75" s="142">
        <f>B75*IBGE_2!AG$75/100</f>
        <v>0.40705000000000008</v>
      </c>
      <c r="AH75" s="142">
        <f>B75*IBGE_2!AH$75/100</f>
        <v>2.6500000000000003E-2</v>
      </c>
      <c r="AI75" s="142">
        <f>B75*IBGE_2!AI$75/100</f>
        <v>286</v>
      </c>
      <c r="AJ75" s="142">
        <f>B75*IBGE_2!AJ$75/100</f>
        <v>2.2804500000000001</v>
      </c>
      <c r="AK75" s="142" t="s">
        <v>3047</v>
      </c>
      <c r="AL75" s="142" t="s">
        <v>3047</v>
      </c>
      <c r="AM75" s="142" t="s">
        <v>3047</v>
      </c>
      <c r="AN75" s="161"/>
    </row>
    <row r="76" spans="1:40">
      <c r="A76" s="143" t="s">
        <v>1135</v>
      </c>
      <c r="B76" s="141">
        <v>100</v>
      </c>
      <c r="C76" s="142">
        <f>B76*IBGE_2!C$76/100</f>
        <v>104.8</v>
      </c>
      <c r="D76" s="142">
        <f>B76*IBGE_2!D$76/100</f>
        <v>0.74400000000000011</v>
      </c>
      <c r="E76" s="142">
        <f>B76*IBGE_2!E$76/100</f>
        <v>0.27599999999999997</v>
      </c>
      <c r="F76" s="142">
        <f>B76*IBGE_2!F$76/100</f>
        <v>8.6000000000000021E-2</v>
      </c>
      <c r="G76" s="142">
        <f>B76*IBGE_2!G$76/100</f>
        <v>8.6000000000000021E-2</v>
      </c>
      <c r="H76" s="142">
        <f>B76*IBGE_2!H$76/100</f>
        <v>9.4000000000000028E-2</v>
      </c>
      <c r="I76" s="142">
        <f>B76*IBGE_2!I$76/100</f>
        <v>5.4000000000000006E-2</v>
      </c>
      <c r="J76" s="142">
        <f>B76*IBGE_2!J$76/100</f>
        <v>8.0000000000000002E-3</v>
      </c>
      <c r="K76" s="142" t="s">
        <v>3047</v>
      </c>
      <c r="L76" s="142">
        <f>B76*IBGE_2!L$76/100</f>
        <v>25.156000000000002</v>
      </c>
      <c r="M76" s="142">
        <f>B76*IBGE_2!M$76/100</f>
        <v>1.58</v>
      </c>
      <c r="N76" s="142">
        <f>B76*IBGE_2!N$76/100</f>
        <v>17.8</v>
      </c>
      <c r="O76" s="142">
        <f>B76*IBGE_2!O$76/100</f>
        <v>24.8</v>
      </c>
      <c r="P76" s="142">
        <f>B76*IBGE_2!P$76/100</f>
        <v>7.0000000000000007E-2</v>
      </c>
      <c r="Q76" s="142">
        <f>B76*IBGE_2!Q$76/100</f>
        <v>22.8</v>
      </c>
      <c r="R76" s="142">
        <f>B76*IBGE_2!R$76/100</f>
        <v>0.28400000000000003</v>
      </c>
      <c r="S76" s="142">
        <f>B76*IBGE_2!S$76/100</f>
        <v>105.6</v>
      </c>
      <c r="T76" s="142">
        <f>B76*IBGE_2!T$76/100</f>
        <v>146.19999999999999</v>
      </c>
      <c r="U76" s="142">
        <f>B76*IBGE_2!U$76/100</f>
        <v>3.2000000000000001E-2</v>
      </c>
      <c r="V76" s="142">
        <f>B76*IBGE_2!V$76/100</f>
        <v>0.2</v>
      </c>
      <c r="W76" s="142" t="s">
        <v>3047</v>
      </c>
      <c r="X76" s="142">
        <f>B76*IBGE_2!X$76/100</f>
        <v>5.2000000000000005E-2</v>
      </c>
      <c r="Y76" s="142">
        <f>B76*IBGE_2!Y$76/100</f>
        <v>1.4000000000000002E-2</v>
      </c>
      <c r="Z76" s="142">
        <f>B76*IBGE_2!Z$76/100</f>
        <v>4.4000000000000004E-2</v>
      </c>
      <c r="AA76" s="142">
        <f>B76*IBGE_2!AA$76/100</f>
        <v>0.19600000000000001</v>
      </c>
      <c r="AB76" s="142">
        <f>B76*IBGE_2!AB$76/100</f>
        <v>10.28</v>
      </c>
      <c r="AC76" s="142">
        <f>B76*IBGE_2!AC$76/100</f>
        <v>0.22799999999999998</v>
      </c>
      <c r="AD76" s="142" t="s">
        <v>3047</v>
      </c>
      <c r="AE76" s="142">
        <f>B76*IBGE_2!AE$76/100</f>
        <v>2.2000000000000002</v>
      </c>
      <c r="AF76" s="142" t="s">
        <v>3047</v>
      </c>
      <c r="AG76" s="142">
        <f>B76*IBGE_2!AG$76/100</f>
        <v>0.28399999999999997</v>
      </c>
      <c r="AH76" s="142" t="s">
        <v>3047</v>
      </c>
      <c r="AI76" s="142">
        <f>B76*IBGE_2!AI$76/100</f>
        <v>228.8</v>
      </c>
      <c r="AJ76" s="142">
        <f>B76*IBGE_2!AJ$76/100</f>
        <v>0.04</v>
      </c>
      <c r="AK76" s="142">
        <f>B76*IBGE_2!AK$76/100</f>
        <v>3.4840000000000004</v>
      </c>
      <c r="AL76" s="142">
        <f>B76*IBGE_2!AL$76/100</f>
        <v>0.85</v>
      </c>
      <c r="AM76" s="142" t="s">
        <v>3047</v>
      </c>
      <c r="AN76" s="161"/>
    </row>
    <row r="77" spans="1:40">
      <c r="A77" s="143" t="s">
        <v>1136</v>
      </c>
      <c r="B77" s="141">
        <v>100</v>
      </c>
      <c r="C77" s="142">
        <f>B77*IBGE_2!C$77/100</f>
        <v>154.6</v>
      </c>
      <c r="D77" s="142">
        <f>B77*IBGE_2!D$77/100</f>
        <v>0.61250000000000004</v>
      </c>
      <c r="E77" s="142">
        <f>B77*IBGE_2!E$77/100</f>
        <v>4.3405000000000005</v>
      </c>
      <c r="F77" s="142">
        <f>B77*IBGE_2!F$77/100</f>
        <v>2.6635000000000004</v>
      </c>
      <c r="G77" s="142">
        <f>B77*IBGE_2!G$77/100</f>
        <v>1.1459999999999999</v>
      </c>
      <c r="H77" s="142">
        <f>B77*IBGE_2!H$77/100</f>
        <v>0.24700000000000003</v>
      </c>
      <c r="I77" s="142">
        <f>B77*IBGE_2!I$77/100</f>
        <v>0.184</v>
      </c>
      <c r="J77" s="142">
        <f>B77*IBGE_2!J$77/100</f>
        <v>2.5500000000000002E-2</v>
      </c>
      <c r="K77" s="142">
        <f>B77*IBGE_2!K$77/100</f>
        <v>10.75</v>
      </c>
      <c r="L77" s="142">
        <f>B77*IBGE_2!L$77/100</f>
        <v>28.597999999999999</v>
      </c>
      <c r="M77" s="142">
        <f>B77*IBGE_2!M$77/100</f>
        <v>1.52</v>
      </c>
      <c r="N77" s="142">
        <f>B77*IBGE_2!N$77/100</f>
        <v>19.25</v>
      </c>
      <c r="O77" s="142">
        <f>B77*IBGE_2!O$77/100</f>
        <v>25.75</v>
      </c>
      <c r="P77" s="142">
        <f>B77*IBGE_2!P$77/100</f>
        <v>5.6999999999999995E-2</v>
      </c>
      <c r="Q77" s="142">
        <f>B77*IBGE_2!Q$77/100</f>
        <v>22.1</v>
      </c>
      <c r="R77" s="142">
        <f>B77*IBGE_2!R$77/100</f>
        <v>9.6000000000000002E-2</v>
      </c>
      <c r="S77" s="142">
        <f>B77*IBGE_2!S$77/100</f>
        <v>29.75</v>
      </c>
      <c r="T77" s="142">
        <f>B77*IBGE_2!T$77/100</f>
        <v>96.2</v>
      </c>
      <c r="U77" s="142">
        <f>B77*IBGE_2!U$77/100</f>
        <v>9.4999999999999998E-3</v>
      </c>
      <c r="V77" s="142">
        <f>B77*IBGE_2!V$77/100</f>
        <v>0.19450000000000001</v>
      </c>
      <c r="W77" s="142">
        <f>B77*IBGE_2!W$77/100</f>
        <v>33.549999999999997</v>
      </c>
      <c r="X77" s="142">
        <f>B77*IBGE_2!X$77/100</f>
        <v>5.7500000000000002E-2</v>
      </c>
      <c r="Y77" s="142">
        <f>B77*IBGE_2!Y$77/100</f>
        <v>1.5E-3</v>
      </c>
      <c r="Z77" s="142">
        <f>B77*IBGE_2!Z$77/100</f>
        <v>2.8499999999999998E-2</v>
      </c>
      <c r="AA77" s="142">
        <f>B77*IBGE_2!AA$77/100</f>
        <v>2E-3</v>
      </c>
      <c r="AB77" s="142">
        <f>B77*IBGE_2!AB$77/100</f>
        <v>10.545</v>
      </c>
      <c r="AC77" s="142">
        <f>B77*IBGE_2!AC$77/100</f>
        <v>1.2E-2</v>
      </c>
      <c r="AD77" s="142">
        <f>B77*IBGE_2!AD$77/100</f>
        <v>8.5000000000000006E-3</v>
      </c>
      <c r="AE77" s="142">
        <f>B77*IBGE_2!AE$77/100</f>
        <v>0.15</v>
      </c>
      <c r="AF77" s="142">
        <f>B77*IBGE_2!AF$77/100</f>
        <v>7.0000000000000007E-2</v>
      </c>
      <c r="AG77" s="142">
        <f>B77*IBGE_2!AG$77/100</f>
        <v>0.11599999999999999</v>
      </c>
      <c r="AH77" s="142">
        <f>B77*IBGE_2!AH$77/100</f>
        <v>0.16400000000000003</v>
      </c>
      <c r="AI77" s="142">
        <f>B77*IBGE_2!AI$77/100</f>
        <v>286</v>
      </c>
      <c r="AJ77" s="142">
        <f>B77*IBGE_2!AJ$77/100</f>
        <v>0.05</v>
      </c>
      <c r="AK77" s="142">
        <f>B77*IBGE_2!AK$77/100</f>
        <v>34.208500000000001</v>
      </c>
      <c r="AL77" s="142">
        <f>B77*IBGE_2!AL$77/100</f>
        <v>5.0000000000000001E-3</v>
      </c>
      <c r="AM77" s="142" t="s">
        <v>3047</v>
      </c>
      <c r="AN77" s="161"/>
    </row>
    <row r="78" spans="1:40">
      <c r="A78" s="143" t="s">
        <v>1137</v>
      </c>
      <c r="B78" s="141">
        <v>100</v>
      </c>
      <c r="C78" s="142">
        <f>B78*IBGE_2!C$78/100</f>
        <v>162.73670000000001</v>
      </c>
      <c r="D78" s="142">
        <f>B78*IBGE_2!D$78/100</f>
        <v>0.56999999999999995</v>
      </c>
      <c r="E78" s="142">
        <f>B78*IBGE_2!E$78/100</f>
        <v>5.2608500000000005</v>
      </c>
      <c r="F78" s="142">
        <f>B78*IBGE_2!F$78/100</f>
        <v>0.87370000000000003</v>
      </c>
      <c r="G78" s="142">
        <f>B78*IBGE_2!G$78/100</f>
        <v>1.22865</v>
      </c>
      <c r="H78" s="142">
        <f>B78*IBGE_2!H$78/100</f>
        <v>2.9680499999999999</v>
      </c>
      <c r="I78" s="142">
        <f>B78*IBGE_2!I$78/100</f>
        <v>2.5828000000000002</v>
      </c>
      <c r="J78" s="142">
        <f>B78*IBGE_2!J$78/100</f>
        <v>0.34730000000000005</v>
      </c>
      <c r="K78" s="142" t="s">
        <v>3047</v>
      </c>
      <c r="L78" s="142">
        <f>B78*IBGE_2!L$78/100</f>
        <v>28.594999999999999</v>
      </c>
      <c r="M78" s="142">
        <f>B78*IBGE_2!M$78/100</f>
        <v>1.52</v>
      </c>
      <c r="N78" s="142">
        <f>B78*IBGE_2!N$78/100</f>
        <v>18.05</v>
      </c>
      <c r="O78" s="142">
        <f>B78*IBGE_2!O$78/100</f>
        <v>25.65</v>
      </c>
      <c r="P78" s="142">
        <f>B78*IBGE_2!P$78/100</f>
        <v>5.6999999999999995E-2</v>
      </c>
      <c r="Q78" s="142">
        <f>B78*IBGE_2!Q$78/100</f>
        <v>20.9</v>
      </c>
      <c r="R78" s="142">
        <f>B78*IBGE_2!R$78/100</f>
        <v>9.7500000000000003E-2</v>
      </c>
      <c r="S78" s="142">
        <f>B78*IBGE_2!S$78/100</f>
        <v>0.95</v>
      </c>
      <c r="T78" s="142">
        <f>B78*IBGE_2!T$78/100</f>
        <v>95</v>
      </c>
      <c r="U78" s="142">
        <f>B78*IBGE_2!U$78/100</f>
        <v>9.4999999999999998E-3</v>
      </c>
      <c r="V78" s="142">
        <f>B78*IBGE_2!V$78/100</f>
        <v>0.1905</v>
      </c>
      <c r="W78" s="142" t="s">
        <v>3047</v>
      </c>
      <c r="X78" s="142">
        <f>B78*IBGE_2!X$78/100</f>
        <v>5.6999999999999995E-2</v>
      </c>
      <c r="Y78" s="142" t="s">
        <v>3047</v>
      </c>
      <c r="Z78" s="142">
        <f>B78*IBGE_2!Z$78/100</f>
        <v>2.8499999999999998E-2</v>
      </c>
      <c r="AA78" s="142" t="s">
        <v>3047</v>
      </c>
      <c r="AB78" s="142">
        <f>B78*IBGE_2!AB$78/100</f>
        <v>10.545</v>
      </c>
      <c r="AC78" s="142" t="s">
        <v>3047</v>
      </c>
      <c r="AD78" s="142" t="s">
        <v>3047</v>
      </c>
      <c r="AE78" s="142" t="s">
        <v>3047</v>
      </c>
      <c r="AF78" s="142" t="s">
        <v>3047</v>
      </c>
      <c r="AG78" s="142">
        <f>B78*IBGE_2!AG$78/100</f>
        <v>0.40705000000000008</v>
      </c>
      <c r="AH78" s="142">
        <f>B78*IBGE_2!AH$78/100</f>
        <v>2.6500000000000003E-2</v>
      </c>
      <c r="AI78" s="142">
        <f>B78*IBGE_2!AI$78/100</f>
        <v>286</v>
      </c>
      <c r="AJ78" s="142">
        <f>B78*IBGE_2!AJ$78/100</f>
        <v>2.2804500000000001</v>
      </c>
      <c r="AK78" s="142" t="s">
        <v>3047</v>
      </c>
      <c r="AL78" s="142" t="s">
        <v>3047</v>
      </c>
      <c r="AM78" s="142" t="s">
        <v>3047</v>
      </c>
      <c r="AN78" s="161"/>
    </row>
    <row r="79" spans="1:40">
      <c r="A79" s="143" t="s">
        <v>1138</v>
      </c>
      <c r="B79" s="141">
        <v>100</v>
      </c>
      <c r="C79" s="142">
        <f>B79*IBGE_2!C$79/100</f>
        <v>31.443000000000001</v>
      </c>
      <c r="D79" s="142">
        <f>B79*IBGE_2!D$79/100</f>
        <v>0.94799999999999995</v>
      </c>
      <c r="E79" s="142">
        <f>B79*IBGE_2!E$79/100</f>
        <v>0.12300000000000001</v>
      </c>
      <c r="F79" s="142">
        <f>B79*IBGE_2!F$79/100</f>
        <v>3.9E-2</v>
      </c>
      <c r="G79" s="142">
        <f>B79*IBGE_2!G$79/100</f>
        <v>2.7000000000000003E-2</v>
      </c>
      <c r="H79" s="142">
        <f>B79*IBGE_2!H$79/100</f>
        <v>3.2000000000000001E-2</v>
      </c>
      <c r="I79" s="142">
        <f>B79*IBGE_2!I$79/100</f>
        <v>2.7000000000000003E-2</v>
      </c>
      <c r="J79" s="142">
        <f>B79*IBGE_2!J$79/100</f>
        <v>5.0000000000000001E-3</v>
      </c>
      <c r="K79" s="142" t="s">
        <v>3047</v>
      </c>
      <c r="L79" s="142">
        <f>B79*IBGE_2!L$79/100</f>
        <v>7.0119999999999996</v>
      </c>
      <c r="M79" s="142">
        <f>B79*IBGE_2!M$79/100</f>
        <v>0.71099999999999997</v>
      </c>
      <c r="N79" s="142">
        <f>B79*IBGE_2!N$79/100</f>
        <v>8.5549999999999997</v>
      </c>
      <c r="O79" s="142">
        <f>B79*IBGE_2!O$79/100</f>
        <v>6.3470000000000004</v>
      </c>
      <c r="P79" s="142">
        <f>B79*IBGE_2!P$79/100</f>
        <v>6.8000000000000005E-2</v>
      </c>
      <c r="Q79" s="142">
        <f>B79*IBGE_2!Q$79/100</f>
        <v>15.762</v>
      </c>
      <c r="R79" s="142">
        <f>B79*IBGE_2!R$79/100</f>
        <v>0.28499999999999998</v>
      </c>
      <c r="S79" s="142">
        <f>B79*IBGE_2!S$79/100</f>
        <v>310.43200000000002</v>
      </c>
      <c r="T79" s="142">
        <f>B79*IBGE_2!T$79/100</f>
        <v>88.314999999999998</v>
      </c>
      <c r="U79" s="142">
        <f>B79*IBGE_2!U$79/100</f>
        <v>3.9E-2</v>
      </c>
      <c r="V79" s="142">
        <f>B79*IBGE_2!V$79/100</f>
        <v>0.115</v>
      </c>
      <c r="W79" s="142" t="s">
        <v>3047</v>
      </c>
      <c r="X79" s="142">
        <f>B79*IBGE_2!X$79/100</f>
        <v>0.03</v>
      </c>
      <c r="Y79" s="142">
        <f>B79*IBGE_2!Y$79/100</f>
        <v>2.6000000000000002E-2</v>
      </c>
      <c r="Z79" s="142">
        <f>B79*IBGE_2!Z$79/100</f>
        <v>0.04</v>
      </c>
      <c r="AA79" s="142">
        <f>B79*IBGE_2!AA$79/100</f>
        <v>0.505</v>
      </c>
      <c r="AB79" s="142">
        <f>B79*IBGE_2!AB$79/100</f>
        <v>2.0990000000000002</v>
      </c>
      <c r="AC79" s="142">
        <f>B79*IBGE_2!AC$79/100</f>
        <v>0.66700000000000004</v>
      </c>
      <c r="AD79" s="142">
        <f>B79*IBGE_2!AD$79/100</f>
        <v>1.4999999999999999E-2</v>
      </c>
      <c r="AE79" s="142">
        <f>B79*IBGE_2!AE$79/100</f>
        <v>9.2759999999999998</v>
      </c>
      <c r="AF79" s="142" t="s">
        <v>3047</v>
      </c>
      <c r="AG79" s="142">
        <f>B79*IBGE_2!AG$79/100</f>
        <v>0.20399999999999999</v>
      </c>
      <c r="AH79" s="142">
        <f>B79*IBGE_2!AH$79/100</f>
        <v>2E-3</v>
      </c>
      <c r="AI79" s="142" t="s">
        <v>3047</v>
      </c>
      <c r="AJ79" s="142">
        <f>B79*IBGE_2!AJ$79/100</f>
        <v>1.3440000000000001</v>
      </c>
      <c r="AK79" s="142">
        <f>B79*IBGE_2!AK$79/100</f>
        <v>33.475999999999999</v>
      </c>
      <c r="AL79" s="142">
        <f>B79*IBGE_2!AL$79/100</f>
        <v>3.2749999999999999</v>
      </c>
      <c r="AM79" s="142">
        <f>B79*IBGE_2!AM$79/100</f>
        <v>2.5230000000000001</v>
      </c>
      <c r="AN79" s="161"/>
    </row>
    <row r="80" spans="1:40">
      <c r="A80" s="143" t="s">
        <v>1139</v>
      </c>
      <c r="B80" s="141">
        <v>100</v>
      </c>
      <c r="C80" s="142">
        <f>B80*IBGE_2!C$80/100</f>
        <v>125</v>
      </c>
      <c r="D80" s="142">
        <f>B80*IBGE_2!D$80/100</f>
        <v>0.6</v>
      </c>
      <c r="E80" s="142">
        <f>B80*IBGE_2!E$80/100</f>
        <v>0.3</v>
      </c>
      <c r="F80" s="142">
        <f>B80*IBGE_2!F$80/100</f>
        <v>0.1</v>
      </c>
      <c r="G80" s="142">
        <f>B80*IBGE_2!G$80/100</f>
        <v>0.1</v>
      </c>
      <c r="H80" s="142">
        <f>B80*IBGE_2!H$80/100</f>
        <v>0.1</v>
      </c>
      <c r="I80" s="142">
        <f>B80*IBGE_2!I$80/100</f>
        <v>0.05</v>
      </c>
      <c r="J80" s="142">
        <f>B80*IBGE_2!J$80/100</f>
        <v>0.01</v>
      </c>
      <c r="K80" s="142" t="s">
        <v>3047</v>
      </c>
      <c r="L80" s="142">
        <f>B80*IBGE_2!L$80/100</f>
        <v>30.1</v>
      </c>
      <c r="M80" s="142">
        <f>B80*IBGE_2!M$80/100</f>
        <v>1.6</v>
      </c>
      <c r="N80" s="142">
        <f>B80*IBGE_2!N$80/100</f>
        <v>19</v>
      </c>
      <c r="O80" s="142">
        <f>B80*IBGE_2!O$80/100</f>
        <v>27</v>
      </c>
      <c r="P80" s="142">
        <f>B80*IBGE_2!P$80/100</f>
        <v>0.06</v>
      </c>
      <c r="Q80" s="142">
        <f>B80*IBGE_2!Q$80/100</f>
        <v>22</v>
      </c>
      <c r="R80" s="142">
        <f>B80*IBGE_2!R$80/100</f>
        <v>0.1</v>
      </c>
      <c r="S80" s="142">
        <f>B80*IBGE_2!S$80/100</f>
        <v>1</v>
      </c>
      <c r="T80" s="142">
        <f>B80*IBGE_2!T$80/100</f>
        <v>100</v>
      </c>
      <c r="U80" s="142">
        <f>B80*IBGE_2!U$80/100</f>
        <v>0.01</v>
      </c>
      <c r="V80" s="142">
        <f>B80*IBGE_2!V$80/100</f>
        <v>0.2</v>
      </c>
      <c r="W80" s="142" t="s">
        <v>3047</v>
      </c>
      <c r="X80" s="142">
        <f>B80*IBGE_2!X$80/100</f>
        <v>0.06</v>
      </c>
      <c r="Y80" s="142" t="s">
        <v>3047</v>
      </c>
      <c r="Z80" s="142">
        <f>B80*IBGE_2!Z$80/100</f>
        <v>0.03</v>
      </c>
      <c r="AA80" s="142" t="s">
        <v>3047</v>
      </c>
      <c r="AB80" s="142">
        <f>B80*IBGE_2!AB$80/100</f>
        <v>11.1</v>
      </c>
      <c r="AC80" s="142" t="s">
        <v>3047</v>
      </c>
      <c r="AD80" s="142" t="s">
        <v>3047</v>
      </c>
      <c r="AE80" s="142" t="s">
        <v>3047</v>
      </c>
      <c r="AF80" s="142" t="s">
        <v>3047</v>
      </c>
      <c r="AG80" s="142" t="s">
        <v>3047</v>
      </c>
      <c r="AH80" s="142" t="s">
        <v>3047</v>
      </c>
      <c r="AI80" s="142">
        <f>B80*IBGE_2!AI$80/100</f>
        <v>286</v>
      </c>
      <c r="AJ80" s="142" t="s">
        <v>3047</v>
      </c>
      <c r="AK80" s="142" t="s">
        <v>3047</v>
      </c>
      <c r="AL80" s="142" t="s">
        <v>3047</v>
      </c>
      <c r="AM80" s="142" t="s">
        <v>3047</v>
      </c>
      <c r="AN80" s="161"/>
    </row>
    <row r="81" spans="1:40">
      <c r="A81" s="143" t="s">
        <v>1140</v>
      </c>
      <c r="B81" s="141">
        <v>100</v>
      </c>
      <c r="C81" s="142">
        <f>B81*IBGE_2!C$81/100</f>
        <v>125</v>
      </c>
      <c r="D81" s="142">
        <f>B81*IBGE_2!D$81/100</f>
        <v>0.6</v>
      </c>
      <c r="E81" s="142">
        <f>B81*IBGE_2!E$81/100</f>
        <v>0.3</v>
      </c>
      <c r="F81" s="142">
        <f>B81*IBGE_2!F$81/100</f>
        <v>0.1</v>
      </c>
      <c r="G81" s="142">
        <f>B81*IBGE_2!G$81/100</f>
        <v>0.1</v>
      </c>
      <c r="H81" s="142">
        <f>B81*IBGE_2!H$81/100</f>
        <v>0.1</v>
      </c>
      <c r="I81" s="142">
        <f>B81*IBGE_2!I$81/100</f>
        <v>0.05</v>
      </c>
      <c r="J81" s="142">
        <f>B81*IBGE_2!J$81/100</f>
        <v>0.01</v>
      </c>
      <c r="K81" s="142" t="s">
        <v>3047</v>
      </c>
      <c r="L81" s="142">
        <f>B81*IBGE_2!L$81/100</f>
        <v>30.1</v>
      </c>
      <c r="M81" s="142">
        <f>B81*IBGE_2!M$81/100</f>
        <v>1.6</v>
      </c>
      <c r="N81" s="142">
        <f>B81*IBGE_2!N$81/100</f>
        <v>19</v>
      </c>
      <c r="O81" s="142">
        <f>B81*IBGE_2!O$81/100</f>
        <v>27</v>
      </c>
      <c r="P81" s="142">
        <f>B81*IBGE_2!P$81/100</f>
        <v>0.06</v>
      </c>
      <c r="Q81" s="142">
        <f>B81*IBGE_2!Q$81/100</f>
        <v>22</v>
      </c>
      <c r="R81" s="142">
        <f>B81*IBGE_2!R$81/100</f>
        <v>0.1</v>
      </c>
      <c r="S81" s="142">
        <f>B81*IBGE_2!S$81/100</f>
        <v>1</v>
      </c>
      <c r="T81" s="142">
        <f>B81*IBGE_2!T$81/100</f>
        <v>100</v>
      </c>
      <c r="U81" s="142">
        <f>B81*IBGE_2!U$81/100</f>
        <v>0.01</v>
      </c>
      <c r="V81" s="142">
        <f>B81*IBGE_2!V$81/100</f>
        <v>0.2</v>
      </c>
      <c r="W81" s="142" t="s">
        <v>3047</v>
      </c>
      <c r="X81" s="142">
        <f>B81*IBGE_2!X$81/100</f>
        <v>0.06</v>
      </c>
      <c r="Y81" s="142" t="s">
        <v>3047</v>
      </c>
      <c r="Z81" s="142">
        <f>B81*IBGE_2!Z$81/100</f>
        <v>0.03</v>
      </c>
      <c r="AA81" s="142" t="s">
        <v>3047</v>
      </c>
      <c r="AB81" s="142">
        <f>B81*IBGE_2!AB$81/100</f>
        <v>11.1</v>
      </c>
      <c r="AC81" s="142" t="s">
        <v>3047</v>
      </c>
      <c r="AD81" s="142" t="s">
        <v>3047</v>
      </c>
      <c r="AE81" s="142" t="s">
        <v>3047</v>
      </c>
      <c r="AF81" s="142" t="s">
        <v>3047</v>
      </c>
      <c r="AG81" s="142" t="s">
        <v>3047</v>
      </c>
      <c r="AH81" s="142" t="s">
        <v>3047</v>
      </c>
      <c r="AI81" s="142">
        <f>B81*IBGE_2!AI$81/100</f>
        <v>286</v>
      </c>
      <c r="AJ81" s="142" t="s">
        <v>3047</v>
      </c>
      <c r="AK81" s="142" t="s">
        <v>3047</v>
      </c>
      <c r="AL81" s="142" t="s">
        <v>3047</v>
      </c>
      <c r="AM81" s="142" t="s">
        <v>3047</v>
      </c>
      <c r="AN81" s="161"/>
    </row>
    <row r="82" spans="1:40">
      <c r="A82" s="143" t="s">
        <v>1141</v>
      </c>
      <c r="B82" s="141">
        <v>100</v>
      </c>
      <c r="C82" s="142">
        <f>B82*IBGE_2!C$82/100</f>
        <v>125</v>
      </c>
      <c r="D82" s="142">
        <f>B82*IBGE_2!D$82/100</f>
        <v>0.6</v>
      </c>
      <c r="E82" s="142">
        <f>B82*IBGE_2!E$82/100</f>
        <v>0.3</v>
      </c>
      <c r="F82" s="142">
        <f>B82*IBGE_2!F$82/100</f>
        <v>0.1</v>
      </c>
      <c r="G82" s="142">
        <f>B82*IBGE_2!G$82/100</f>
        <v>0.1</v>
      </c>
      <c r="H82" s="142">
        <f>B82*IBGE_2!H$82/100</f>
        <v>0.1</v>
      </c>
      <c r="I82" s="142">
        <f>B82*IBGE_2!I$82/100</f>
        <v>0.05</v>
      </c>
      <c r="J82" s="142">
        <f>B82*IBGE_2!J$82/100</f>
        <v>0.01</v>
      </c>
      <c r="K82" s="142" t="s">
        <v>3047</v>
      </c>
      <c r="L82" s="142">
        <f>B82*IBGE_2!L$82/100</f>
        <v>30.1</v>
      </c>
      <c r="M82" s="142">
        <f>B82*IBGE_2!M$82/100</f>
        <v>1.6</v>
      </c>
      <c r="N82" s="142">
        <f>B82*IBGE_2!N$82/100</f>
        <v>19</v>
      </c>
      <c r="O82" s="142">
        <f>B82*IBGE_2!O$82/100</f>
        <v>27</v>
      </c>
      <c r="P82" s="142">
        <f>B82*IBGE_2!P$82/100</f>
        <v>0.06</v>
      </c>
      <c r="Q82" s="142">
        <f>B82*IBGE_2!Q$82/100</f>
        <v>22</v>
      </c>
      <c r="R82" s="142">
        <f>B82*IBGE_2!R$82/100</f>
        <v>0.1</v>
      </c>
      <c r="S82" s="142">
        <f>B82*IBGE_2!S$82/100</f>
        <v>1</v>
      </c>
      <c r="T82" s="142">
        <f>B82*IBGE_2!T$82/100</f>
        <v>100</v>
      </c>
      <c r="U82" s="142">
        <f>B82*IBGE_2!U$82/100</f>
        <v>0.01</v>
      </c>
      <c r="V82" s="142">
        <f>B82*IBGE_2!V$82/100</f>
        <v>0.2</v>
      </c>
      <c r="W82" s="142" t="s">
        <v>3047</v>
      </c>
      <c r="X82" s="142">
        <f>B82*IBGE_2!X$82/100</f>
        <v>0.06</v>
      </c>
      <c r="Y82" s="142" t="s">
        <v>3047</v>
      </c>
      <c r="Z82" s="142">
        <f>B82*IBGE_2!Z$82/100</f>
        <v>0.03</v>
      </c>
      <c r="AA82" s="142" t="s">
        <v>3047</v>
      </c>
      <c r="AB82" s="142">
        <f>B82*IBGE_2!AB$82/100</f>
        <v>11.1</v>
      </c>
      <c r="AC82" s="142" t="s">
        <v>3047</v>
      </c>
      <c r="AD82" s="142" t="s">
        <v>3047</v>
      </c>
      <c r="AE82" s="142" t="s">
        <v>3047</v>
      </c>
      <c r="AF82" s="142" t="s">
        <v>3047</v>
      </c>
      <c r="AG82" s="142" t="s">
        <v>3047</v>
      </c>
      <c r="AH82" s="142" t="s">
        <v>3047</v>
      </c>
      <c r="AI82" s="142">
        <f>B82*IBGE_2!AI$82/100</f>
        <v>286</v>
      </c>
      <c r="AJ82" s="142" t="s">
        <v>3047</v>
      </c>
      <c r="AK82" s="142" t="s">
        <v>3047</v>
      </c>
      <c r="AL82" s="142" t="s">
        <v>3047</v>
      </c>
      <c r="AM82" s="142" t="s">
        <v>3047</v>
      </c>
      <c r="AN82" s="161"/>
    </row>
    <row r="83" spans="1:40">
      <c r="A83" s="143" t="s">
        <v>1142</v>
      </c>
      <c r="B83" s="141">
        <v>100</v>
      </c>
      <c r="C83" s="142">
        <f>B83*IBGE_2!C$83/100</f>
        <v>162.73670000000001</v>
      </c>
      <c r="D83" s="142">
        <f>B83*IBGE_2!D$83/100</f>
        <v>0.56999999999999995</v>
      </c>
      <c r="E83" s="142">
        <f>B83*IBGE_2!E$83/100</f>
        <v>5.2608500000000005</v>
      </c>
      <c r="F83" s="142">
        <f>B83*IBGE_2!F$83/100</f>
        <v>0.87370000000000003</v>
      </c>
      <c r="G83" s="142">
        <f>B83*IBGE_2!G$83/100</f>
        <v>1.22865</v>
      </c>
      <c r="H83" s="142">
        <f>B83*IBGE_2!H$83/100</f>
        <v>2.9680499999999999</v>
      </c>
      <c r="I83" s="142">
        <f>B83*IBGE_2!I$83/100</f>
        <v>2.5828000000000002</v>
      </c>
      <c r="J83" s="142">
        <f>B83*IBGE_2!J$83/100</f>
        <v>0.34730000000000005</v>
      </c>
      <c r="K83" s="142" t="s">
        <v>3047</v>
      </c>
      <c r="L83" s="142">
        <f>B83*IBGE_2!L$83/100</f>
        <v>28.594999999999999</v>
      </c>
      <c r="M83" s="142">
        <f>B83*IBGE_2!M$83/100</f>
        <v>1.52</v>
      </c>
      <c r="N83" s="142">
        <f>B83*IBGE_2!N$83/100</f>
        <v>18.05</v>
      </c>
      <c r="O83" s="142">
        <f>B83*IBGE_2!O$83/100</f>
        <v>25.65</v>
      </c>
      <c r="P83" s="142">
        <f>B83*IBGE_2!P$83/100</f>
        <v>5.6999999999999995E-2</v>
      </c>
      <c r="Q83" s="142">
        <f>B83*IBGE_2!Q$83/100</f>
        <v>20.9</v>
      </c>
      <c r="R83" s="142">
        <f>B83*IBGE_2!R$83/100</f>
        <v>9.7500000000000003E-2</v>
      </c>
      <c r="S83" s="142">
        <f>B83*IBGE_2!S$83/100</f>
        <v>0.95</v>
      </c>
      <c r="T83" s="142">
        <f>B83*IBGE_2!T$83/100</f>
        <v>95</v>
      </c>
      <c r="U83" s="142">
        <f>B83*IBGE_2!U$83/100</f>
        <v>9.4999999999999998E-3</v>
      </c>
      <c r="V83" s="142">
        <f>B83*IBGE_2!V$83/100</f>
        <v>0.1905</v>
      </c>
      <c r="W83" s="142" t="s">
        <v>3047</v>
      </c>
      <c r="X83" s="142">
        <f>B83*IBGE_2!X$83/100</f>
        <v>5.6999999999999995E-2</v>
      </c>
      <c r="Y83" s="142" t="s">
        <v>3047</v>
      </c>
      <c r="Z83" s="142">
        <f>B83*IBGE_2!Z$83/100</f>
        <v>2.8499999999999998E-2</v>
      </c>
      <c r="AA83" s="142" t="s">
        <v>3047</v>
      </c>
      <c r="AB83" s="142">
        <f>B83*IBGE_2!AB$83/100</f>
        <v>10.545</v>
      </c>
      <c r="AC83" s="142" t="s">
        <v>3047</v>
      </c>
      <c r="AD83" s="142" t="s">
        <v>3047</v>
      </c>
      <c r="AE83" s="142" t="s">
        <v>3047</v>
      </c>
      <c r="AF83" s="142" t="s">
        <v>3047</v>
      </c>
      <c r="AG83" s="142">
        <f>B83*IBGE_2!AG$83/100</f>
        <v>0.40705000000000008</v>
      </c>
      <c r="AH83" s="142">
        <f>B83*IBGE_2!AH$83/100</f>
        <v>2.6500000000000003E-2</v>
      </c>
      <c r="AI83" s="142">
        <f>B83*IBGE_2!AI$83/100</f>
        <v>286</v>
      </c>
      <c r="AJ83" s="142">
        <f>B83*IBGE_2!AJ$83/100</f>
        <v>2.2804500000000001</v>
      </c>
      <c r="AK83" s="142" t="s">
        <v>3047</v>
      </c>
      <c r="AL83" s="142" t="s">
        <v>3047</v>
      </c>
      <c r="AM83" s="142" t="s">
        <v>3047</v>
      </c>
      <c r="AN83" s="161"/>
    </row>
    <row r="84" spans="1:40">
      <c r="A84" s="143" t="s">
        <v>1143</v>
      </c>
      <c r="B84" s="141">
        <v>100</v>
      </c>
      <c r="C84" s="142">
        <f>B84*IBGE_2!C$84/100</f>
        <v>162.73670000000001</v>
      </c>
      <c r="D84" s="142">
        <f>B84*IBGE_2!D$84/100</f>
        <v>0.56999999999999995</v>
      </c>
      <c r="E84" s="142">
        <f>B84*IBGE_2!E$84/100</f>
        <v>5.2608500000000005</v>
      </c>
      <c r="F84" s="142">
        <f>B84*IBGE_2!F$84/100</f>
        <v>0.87370000000000003</v>
      </c>
      <c r="G84" s="142">
        <f>B84*IBGE_2!G$84/100</f>
        <v>1.22865</v>
      </c>
      <c r="H84" s="142">
        <f>B84*IBGE_2!H$84/100</f>
        <v>2.9680499999999999</v>
      </c>
      <c r="I84" s="142">
        <f>B84*IBGE_2!I$84/100</f>
        <v>2.5828000000000002</v>
      </c>
      <c r="J84" s="142">
        <f>B84*IBGE_2!J$84/100</f>
        <v>0.34730000000000005</v>
      </c>
      <c r="K84" s="142" t="s">
        <v>3047</v>
      </c>
      <c r="L84" s="142">
        <f>B84*IBGE_2!L$84/100</f>
        <v>28.594999999999999</v>
      </c>
      <c r="M84" s="142">
        <f>B84*IBGE_2!M$84/100</f>
        <v>1.52</v>
      </c>
      <c r="N84" s="142">
        <f>B84*IBGE_2!N$84/100</f>
        <v>18.05</v>
      </c>
      <c r="O84" s="142">
        <f>B84*IBGE_2!O$84/100</f>
        <v>25.65</v>
      </c>
      <c r="P84" s="142">
        <f>B84*IBGE_2!P$84/100</f>
        <v>5.6999999999999995E-2</v>
      </c>
      <c r="Q84" s="142">
        <f>B84*IBGE_2!Q$84/100</f>
        <v>20.9</v>
      </c>
      <c r="R84" s="142">
        <f>B84*IBGE_2!R$84/100</f>
        <v>9.7500000000000003E-2</v>
      </c>
      <c r="S84" s="142">
        <f>B84*IBGE_2!S$84/100</f>
        <v>0.95</v>
      </c>
      <c r="T84" s="142">
        <f>B84*IBGE_2!T$84/100</f>
        <v>95</v>
      </c>
      <c r="U84" s="142">
        <f>B84*IBGE_2!U$84/100</f>
        <v>9.4999999999999998E-3</v>
      </c>
      <c r="V84" s="142">
        <f>B84*IBGE_2!V$84/100</f>
        <v>0.1905</v>
      </c>
      <c r="W84" s="142" t="s">
        <v>3047</v>
      </c>
      <c r="X84" s="142">
        <f>B84*IBGE_2!X$84/100</f>
        <v>5.6999999999999995E-2</v>
      </c>
      <c r="Y84" s="142" t="s">
        <v>3047</v>
      </c>
      <c r="Z84" s="142">
        <f>B84*IBGE_2!Z$84/100</f>
        <v>2.8499999999999998E-2</v>
      </c>
      <c r="AA84" s="142" t="s">
        <v>3047</v>
      </c>
      <c r="AB84" s="142">
        <f>B84*IBGE_2!AB$84/100</f>
        <v>10.545</v>
      </c>
      <c r="AC84" s="142" t="s">
        <v>3047</v>
      </c>
      <c r="AD84" s="142" t="s">
        <v>3047</v>
      </c>
      <c r="AE84" s="142" t="s">
        <v>3047</v>
      </c>
      <c r="AF84" s="142" t="s">
        <v>3047</v>
      </c>
      <c r="AG84" s="142">
        <f>B84*IBGE_2!AG$84/100</f>
        <v>0.40705000000000008</v>
      </c>
      <c r="AH84" s="142">
        <f>B84*IBGE_2!AH$84/100</f>
        <v>2.6500000000000003E-2</v>
      </c>
      <c r="AI84" s="142">
        <f>B84*IBGE_2!AI$84/100</f>
        <v>286</v>
      </c>
      <c r="AJ84" s="142">
        <f>B84*IBGE_2!AJ$84/100</f>
        <v>2.2804500000000001</v>
      </c>
      <c r="AK84" s="142" t="s">
        <v>3047</v>
      </c>
      <c r="AL84" s="142" t="s">
        <v>3047</v>
      </c>
      <c r="AM84" s="142" t="s">
        <v>3047</v>
      </c>
      <c r="AN84" s="161"/>
    </row>
    <row r="85" spans="1:40">
      <c r="A85" s="143" t="s">
        <v>1144</v>
      </c>
      <c r="B85" s="141">
        <v>100</v>
      </c>
      <c r="C85" s="142">
        <f>B85*IBGE_2!C$85/100</f>
        <v>162.73670000000001</v>
      </c>
      <c r="D85" s="142">
        <f>B85*IBGE_2!D$85/100</f>
        <v>0.56999999999999995</v>
      </c>
      <c r="E85" s="142">
        <f>B85*IBGE_2!E$85/100</f>
        <v>5.2608500000000005</v>
      </c>
      <c r="F85" s="142">
        <f>B85*IBGE_2!F$85/100</f>
        <v>0.87370000000000003</v>
      </c>
      <c r="G85" s="142">
        <f>B85*IBGE_2!G$85/100</f>
        <v>1.22865</v>
      </c>
      <c r="H85" s="142">
        <f>B85*IBGE_2!H$85/100</f>
        <v>2.9680499999999999</v>
      </c>
      <c r="I85" s="142">
        <f>B85*IBGE_2!I$85/100</f>
        <v>2.5828000000000002</v>
      </c>
      <c r="J85" s="142">
        <f>B85*IBGE_2!J$85/100</f>
        <v>0.34730000000000005</v>
      </c>
      <c r="K85" s="142" t="s">
        <v>3047</v>
      </c>
      <c r="L85" s="142">
        <f>B85*IBGE_2!L$85/100</f>
        <v>28.594999999999999</v>
      </c>
      <c r="M85" s="142">
        <f>B85*IBGE_2!M$85/100</f>
        <v>1.52</v>
      </c>
      <c r="N85" s="142">
        <f>B85*IBGE_2!N$85/100</f>
        <v>18.05</v>
      </c>
      <c r="O85" s="142">
        <f>B85*IBGE_2!O$85/100</f>
        <v>25.65</v>
      </c>
      <c r="P85" s="142">
        <f>B85*IBGE_2!P$85/100</f>
        <v>5.6999999999999995E-2</v>
      </c>
      <c r="Q85" s="142">
        <f>B85*IBGE_2!Q$85/100</f>
        <v>20.9</v>
      </c>
      <c r="R85" s="142">
        <f>B85*IBGE_2!R$85/100</f>
        <v>9.7500000000000003E-2</v>
      </c>
      <c r="S85" s="142">
        <f>B85*IBGE_2!S$85/100</f>
        <v>0.95</v>
      </c>
      <c r="T85" s="142">
        <f>B85*IBGE_2!T$85/100</f>
        <v>95</v>
      </c>
      <c r="U85" s="142">
        <f>B85*IBGE_2!U$85/100</f>
        <v>9.4999999999999998E-3</v>
      </c>
      <c r="V85" s="142">
        <f>B85*IBGE_2!V$85/100</f>
        <v>0.1905</v>
      </c>
      <c r="W85" s="142" t="s">
        <v>3047</v>
      </c>
      <c r="X85" s="142">
        <f>B85*IBGE_2!X$85/100</f>
        <v>5.6999999999999995E-2</v>
      </c>
      <c r="Y85" s="142" t="s">
        <v>3047</v>
      </c>
      <c r="Z85" s="142">
        <f>B85*IBGE_2!Z$85/100</f>
        <v>2.8499999999999998E-2</v>
      </c>
      <c r="AA85" s="142" t="s">
        <v>3047</v>
      </c>
      <c r="AB85" s="142">
        <f>B85*IBGE_2!AB$85/100</f>
        <v>10.545</v>
      </c>
      <c r="AC85" s="142" t="s">
        <v>3047</v>
      </c>
      <c r="AD85" s="142" t="s">
        <v>3047</v>
      </c>
      <c r="AE85" s="142" t="s">
        <v>3047</v>
      </c>
      <c r="AF85" s="142" t="s">
        <v>3047</v>
      </c>
      <c r="AG85" s="142">
        <f>B85*IBGE_2!AG$85/100</f>
        <v>0.40705000000000008</v>
      </c>
      <c r="AH85" s="142">
        <f>B85*IBGE_2!AH$85/100</f>
        <v>2.6500000000000003E-2</v>
      </c>
      <c r="AI85" s="142">
        <f>B85*IBGE_2!AI$85/100</f>
        <v>286</v>
      </c>
      <c r="AJ85" s="142">
        <f>B85*IBGE_2!AJ$85/100</f>
        <v>2.2804500000000001</v>
      </c>
      <c r="AK85" s="142" t="s">
        <v>3047</v>
      </c>
      <c r="AL85" s="142" t="s">
        <v>3047</v>
      </c>
      <c r="AM85" s="142" t="s">
        <v>3047</v>
      </c>
      <c r="AN85" s="161"/>
    </row>
    <row r="86" spans="1:40">
      <c r="A86" s="143" t="s">
        <v>1145</v>
      </c>
      <c r="B86" s="141">
        <v>100</v>
      </c>
      <c r="C86" s="142">
        <f>B86*IBGE_2!C$86/100</f>
        <v>104.8</v>
      </c>
      <c r="D86" s="142">
        <f>B86*IBGE_2!D$86/100</f>
        <v>0.74400000000000011</v>
      </c>
      <c r="E86" s="142">
        <f>B86*IBGE_2!E$86/100</f>
        <v>0.27599999999999997</v>
      </c>
      <c r="F86" s="142">
        <f>B86*IBGE_2!F$86/100</f>
        <v>8.6000000000000021E-2</v>
      </c>
      <c r="G86" s="142">
        <f>B86*IBGE_2!G$86/100</f>
        <v>8.6000000000000021E-2</v>
      </c>
      <c r="H86" s="142">
        <f>B86*IBGE_2!H$86/100</f>
        <v>9.4000000000000028E-2</v>
      </c>
      <c r="I86" s="142">
        <f>B86*IBGE_2!I$86/100</f>
        <v>5.4000000000000006E-2</v>
      </c>
      <c r="J86" s="142">
        <f>B86*IBGE_2!J$86/100</f>
        <v>8.0000000000000002E-3</v>
      </c>
      <c r="K86" s="142" t="s">
        <v>3047</v>
      </c>
      <c r="L86" s="142">
        <f>B86*IBGE_2!L$86/100</f>
        <v>25.156000000000002</v>
      </c>
      <c r="M86" s="142">
        <f>B86*IBGE_2!M$86/100</f>
        <v>1.58</v>
      </c>
      <c r="N86" s="142">
        <f>B86*IBGE_2!N$86/100</f>
        <v>17.8</v>
      </c>
      <c r="O86" s="142">
        <f>B86*IBGE_2!O$86/100</f>
        <v>24.8</v>
      </c>
      <c r="P86" s="142">
        <f>B86*IBGE_2!P$86/100</f>
        <v>7.0000000000000007E-2</v>
      </c>
      <c r="Q86" s="142">
        <f>B86*IBGE_2!Q$86/100</f>
        <v>22.8</v>
      </c>
      <c r="R86" s="142">
        <f>B86*IBGE_2!R$86/100</f>
        <v>0.28400000000000003</v>
      </c>
      <c r="S86" s="142">
        <f>B86*IBGE_2!S$86/100</f>
        <v>105.6</v>
      </c>
      <c r="T86" s="142">
        <f>B86*IBGE_2!T$86/100</f>
        <v>146.19999999999999</v>
      </c>
      <c r="U86" s="142">
        <f>B86*IBGE_2!U$86/100</f>
        <v>3.2000000000000001E-2</v>
      </c>
      <c r="V86" s="142">
        <f>B86*IBGE_2!V$86/100</f>
        <v>0.2</v>
      </c>
      <c r="W86" s="142" t="s">
        <v>3047</v>
      </c>
      <c r="X86" s="142">
        <f>B86*IBGE_2!X$86/100</f>
        <v>5.2000000000000005E-2</v>
      </c>
      <c r="Y86" s="142">
        <f>B86*IBGE_2!Y$86/100</f>
        <v>1.4000000000000002E-2</v>
      </c>
      <c r="Z86" s="142">
        <f>B86*IBGE_2!Z$86/100</f>
        <v>4.4000000000000004E-2</v>
      </c>
      <c r="AA86" s="142">
        <f>B86*IBGE_2!AA$86/100</f>
        <v>0.19600000000000001</v>
      </c>
      <c r="AB86" s="142">
        <f>B86*IBGE_2!AB$86/100</f>
        <v>10.28</v>
      </c>
      <c r="AC86" s="142">
        <f>B86*IBGE_2!AC$86/100</f>
        <v>0.22799999999999998</v>
      </c>
      <c r="AD86" s="142" t="s">
        <v>3047</v>
      </c>
      <c r="AE86" s="142">
        <f>B86*IBGE_2!AE$86/100</f>
        <v>2.2000000000000002</v>
      </c>
      <c r="AF86" s="142" t="s">
        <v>3047</v>
      </c>
      <c r="AG86" s="142">
        <f>B86*IBGE_2!AG$86/100</f>
        <v>0.28399999999999997</v>
      </c>
      <c r="AH86" s="142" t="s">
        <v>3047</v>
      </c>
      <c r="AI86" s="142">
        <f>B86*IBGE_2!AI$86/100</f>
        <v>228.8</v>
      </c>
      <c r="AJ86" s="142">
        <f>B86*IBGE_2!AJ$86/100</f>
        <v>0.04</v>
      </c>
      <c r="AK86" s="142">
        <f>B86*IBGE_2!AK$86/100</f>
        <v>3.4840000000000004</v>
      </c>
      <c r="AL86" s="142">
        <f>B86*IBGE_2!AL$86/100</f>
        <v>0.85</v>
      </c>
      <c r="AM86" s="142" t="s">
        <v>3047</v>
      </c>
      <c r="AN86" s="161"/>
    </row>
    <row r="87" spans="1:40">
      <c r="A87" s="143" t="s">
        <v>1146</v>
      </c>
      <c r="B87" s="141">
        <v>100</v>
      </c>
      <c r="C87" s="142">
        <f>B87*IBGE_2!C$87/100</f>
        <v>154.6</v>
      </c>
      <c r="D87" s="142">
        <f>B87*IBGE_2!D$87/100</f>
        <v>0.61250000000000004</v>
      </c>
      <c r="E87" s="142">
        <f>B87*IBGE_2!E$87/100</f>
        <v>4.3405000000000005</v>
      </c>
      <c r="F87" s="142">
        <f>B87*IBGE_2!F$87/100</f>
        <v>2.6635000000000004</v>
      </c>
      <c r="G87" s="142">
        <f>B87*IBGE_2!G$87/100</f>
        <v>1.1459999999999999</v>
      </c>
      <c r="H87" s="142">
        <f>B87*IBGE_2!H$87/100</f>
        <v>0.24700000000000003</v>
      </c>
      <c r="I87" s="142">
        <f>B87*IBGE_2!I$87/100</f>
        <v>0.184</v>
      </c>
      <c r="J87" s="142">
        <f>B87*IBGE_2!J$87/100</f>
        <v>2.5500000000000002E-2</v>
      </c>
      <c r="K87" s="142">
        <f>B87*IBGE_2!K$87/100</f>
        <v>10.75</v>
      </c>
      <c r="L87" s="142">
        <f>B87*IBGE_2!L$87/100</f>
        <v>28.597999999999999</v>
      </c>
      <c r="M87" s="142">
        <f>B87*IBGE_2!M$87/100</f>
        <v>1.52</v>
      </c>
      <c r="N87" s="142">
        <f>B87*IBGE_2!N$87/100</f>
        <v>19.25</v>
      </c>
      <c r="O87" s="142">
        <f>B87*IBGE_2!O$87/100</f>
        <v>25.75</v>
      </c>
      <c r="P87" s="142">
        <f>B87*IBGE_2!P$87/100</f>
        <v>5.6999999999999995E-2</v>
      </c>
      <c r="Q87" s="142">
        <f>B87*IBGE_2!Q$87/100</f>
        <v>22.1</v>
      </c>
      <c r="R87" s="142">
        <f>B87*IBGE_2!R$87/100</f>
        <v>9.6000000000000002E-2</v>
      </c>
      <c r="S87" s="142">
        <f>B87*IBGE_2!S$87/100</f>
        <v>29.75</v>
      </c>
      <c r="T87" s="142">
        <f>B87*IBGE_2!T$87/100</f>
        <v>96.2</v>
      </c>
      <c r="U87" s="142">
        <f>B87*IBGE_2!U$87/100</f>
        <v>9.4999999999999998E-3</v>
      </c>
      <c r="V87" s="142">
        <f>B87*IBGE_2!V$87/100</f>
        <v>0.19450000000000001</v>
      </c>
      <c r="W87" s="142">
        <f>B87*IBGE_2!W$87/100</f>
        <v>33.549999999999997</v>
      </c>
      <c r="X87" s="142">
        <f>B87*IBGE_2!X$87/100</f>
        <v>5.7500000000000002E-2</v>
      </c>
      <c r="Y87" s="142">
        <f>B87*IBGE_2!Y$87/100</f>
        <v>1.5E-3</v>
      </c>
      <c r="Z87" s="142">
        <f>B87*IBGE_2!Z$87/100</f>
        <v>2.8499999999999998E-2</v>
      </c>
      <c r="AA87" s="142">
        <f>B87*IBGE_2!AA$87/100</f>
        <v>2E-3</v>
      </c>
      <c r="AB87" s="142">
        <f>B87*IBGE_2!AB$87/100</f>
        <v>10.545</v>
      </c>
      <c r="AC87" s="142">
        <f>B87*IBGE_2!AC$87/100</f>
        <v>1.2E-2</v>
      </c>
      <c r="AD87" s="142">
        <f>B87*IBGE_2!AD$87/100</f>
        <v>8.5000000000000006E-3</v>
      </c>
      <c r="AE87" s="142">
        <f>B87*IBGE_2!AE$87/100</f>
        <v>0.15</v>
      </c>
      <c r="AF87" s="142">
        <f>B87*IBGE_2!AF$87/100</f>
        <v>7.0000000000000007E-2</v>
      </c>
      <c r="AG87" s="142">
        <f>B87*IBGE_2!AG$87/100</f>
        <v>0.11599999999999999</v>
      </c>
      <c r="AH87" s="142">
        <f>B87*IBGE_2!AH$87/100</f>
        <v>0.16400000000000003</v>
      </c>
      <c r="AI87" s="142">
        <f>B87*IBGE_2!AI$87/100</f>
        <v>286</v>
      </c>
      <c r="AJ87" s="142">
        <f>B87*IBGE_2!AJ$87/100</f>
        <v>0.05</v>
      </c>
      <c r="AK87" s="142">
        <f>B87*IBGE_2!AK$87/100</f>
        <v>34.208500000000001</v>
      </c>
      <c r="AL87" s="142">
        <f>B87*IBGE_2!AL$87/100</f>
        <v>5.0000000000000001E-3</v>
      </c>
      <c r="AM87" s="142" t="s">
        <v>3047</v>
      </c>
      <c r="AN87" s="161"/>
    </row>
    <row r="88" spans="1:40">
      <c r="A88" s="143" t="s">
        <v>1147</v>
      </c>
      <c r="B88" s="141">
        <v>100</v>
      </c>
      <c r="C88" s="142">
        <f>B88*IBGE_2!C$88/100</f>
        <v>162.73670000000001</v>
      </c>
      <c r="D88" s="142">
        <f>B88*IBGE_2!D$88/100</f>
        <v>0.56999999999999995</v>
      </c>
      <c r="E88" s="142">
        <f>B88*IBGE_2!E$88/100</f>
        <v>5.2608500000000005</v>
      </c>
      <c r="F88" s="142">
        <f>B88*IBGE_2!F$88/100</f>
        <v>0.87370000000000003</v>
      </c>
      <c r="G88" s="142">
        <f>B88*IBGE_2!G$88/100</f>
        <v>1.22865</v>
      </c>
      <c r="H88" s="142">
        <f>B88*IBGE_2!H$88/100</f>
        <v>2.9680499999999999</v>
      </c>
      <c r="I88" s="142">
        <f>B88*IBGE_2!I$88/100</f>
        <v>2.5828000000000002</v>
      </c>
      <c r="J88" s="142">
        <f>B88*IBGE_2!J$88/100</f>
        <v>0.34730000000000005</v>
      </c>
      <c r="K88" s="142" t="s">
        <v>3047</v>
      </c>
      <c r="L88" s="142">
        <f>B88*IBGE_2!L$88/100</f>
        <v>28.594999999999999</v>
      </c>
      <c r="M88" s="142">
        <f>B88*IBGE_2!M$88/100</f>
        <v>1.52</v>
      </c>
      <c r="N88" s="142">
        <f>B88*IBGE_2!N$88/100</f>
        <v>18.05</v>
      </c>
      <c r="O88" s="142">
        <f>B88*IBGE_2!O$88/100</f>
        <v>25.65</v>
      </c>
      <c r="P88" s="142">
        <f>B88*IBGE_2!P$88/100</f>
        <v>5.6999999999999995E-2</v>
      </c>
      <c r="Q88" s="142">
        <f>B88*IBGE_2!Q$88/100</f>
        <v>20.9</v>
      </c>
      <c r="R88" s="142">
        <f>B88*IBGE_2!R$88/100</f>
        <v>9.7500000000000003E-2</v>
      </c>
      <c r="S88" s="142">
        <f>B88*IBGE_2!S$88/100</f>
        <v>0.95</v>
      </c>
      <c r="T88" s="142">
        <f>B88*IBGE_2!T$88/100</f>
        <v>95</v>
      </c>
      <c r="U88" s="142">
        <f>B88*IBGE_2!U$88/100</f>
        <v>9.4999999999999998E-3</v>
      </c>
      <c r="V88" s="142">
        <f>B88*IBGE_2!V$88/100</f>
        <v>0.1905</v>
      </c>
      <c r="W88" s="142" t="s">
        <v>3047</v>
      </c>
      <c r="X88" s="142">
        <f>B88*IBGE_2!X$88/100</f>
        <v>5.6999999999999995E-2</v>
      </c>
      <c r="Y88" s="142" t="s">
        <v>3047</v>
      </c>
      <c r="Z88" s="142">
        <f>B88*IBGE_2!Z$88/100</f>
        <v>2.8499999999999998E-2</v>
      </c>
      <c r="AA88" s="142" t="s">
        <v>3047</v>
      </c>
      <c r="AB88" s="142">
        <f>B88*IBGE_2!AB$88/100</f>
        <v>10.545</v>
      </c>
      <c r="AC88" s="142" t="s">
        <v>3047</v>
      </c>
      <c r="AD88" s="142" t="s">
        <v>3047</v>
      </c>
      <c r="AE88" s="142" t="s">
        <v>3047</v>
      </c>
      <c r="AF88" s="142" t="s">
        <v>3047</v>
      </c>
      <c r="AG88" s="142">
        <f>B88*IBGE_2!AG$88/100</f>
        <v>0.40705000000000008</v>
      </c>
      <c r="AH88" s="142">
        <f>B88*IBGE_2!AH$88/100</f>
        <v>2.6500000000000003E-2</v>
      </c>
      <c r="AI88" s="142">
        <f>B88*IBGE_2!AI$88/100</f>
        <v>286</v>
      </c>
      <c r="AJ88" s="142">
        <f>B88*IBGE_2!AJ$88/100</f>
        <v>2.2804500000000001</v>
      </c>
      <c r="AK88" s="142" t="s">
        <v>3047</v>
      </c>
      <c r="AL88" s="142" t="s">
        <v>3047</v>
      </c>
      <c r="AM88" s="142" t="s">
        <v>3047</v>
      </c>
      <c r="AN88" s="161"/>
    </row>
    <row r="89" spans="1:40">
      <c r="A89" s="143" t="s">
        <v>1148</v>
      </c>
      <c r="B89" s="141">
        <v>100</v>
      </c>
      <c r="C89" s="142">
        <f>B89*IBGE_2!C$89/100</f>
        <v>31.443000000000001</v>
      </c>
      <c r="D89" s="142">
        <f>B89*IBGE_2!D$89/100</f>
        <v>0.94799999999999995</v>
      </c>
      <c r="E89" s="142">
        <f>B89*IBGE_2!E$89/100</f>
        <v>0.12300000000000001</v>
      </c>
      <c r="F89" s="142">
        <f>B89*IBGE_2!F$89/100</f>
        <v>3.9E-2</v>
      </c>
      <c r="G89" s="142">
        <f>B89*IBGE_2!G$89/100</f>
        <v>2.7000000000000003E-2</v>
      </c>
      <c r="H89" s="142">
        <f>B89*IBGE_2!H$89/100</f>
        <v>3.2000000000000001E-2</v>
      </c>
      <c r="I89" s="142">
        <f>B89*IBGE_2!I$89/100</f>
        <v>2.7000000000000003E-2</v>
      </c>
      <c r="J89" s="142">
        <f>B89*IBGE_2!J$89/100</f>
        <v>5.0000000000000001E-3</v>
      </c>
      <c r="K89" s="142" t="s">
        <v>3047</v>
      </c>
      <c r="L89" s="142">
        <f>B89*IBGE_2!L$89/100</f>
        <v>7.0119999999999996</v>
      </c>
      <c r="M89" s="142">
        <f>B89*IBGE_2!M$89/100</f>
        <v>0.71099999999999997</v>
      </c>
      <c r="N89" s="142">
        <f>B89*IBGE_2!N$89/100</f>
        <v>8.5549999999999997</v>
      </c>
      <c r="O89" s="142">
        <f>B89*IBGE_2!O$89/100</f>
        <v>6.3470000000000004</v>
      </c>
      <c r="P89" s="142">
        <f>B89*IBGE_2!P$89/100</f>
        <v>6.8000000000000005E-2</v>
      </c>
      <c r="Q89" s="142">
        <f>B89*IBGE_2!Q$89/100</f>
        <v>15.762</v>
      </c>
      <c r="R89" s="142">
        <f>B89*IBGE_2!R$89/100</f>
        <v>0.28499999999999998</v>
      </c>
      <c r="S89" s="142">
        <f>B89*IBGE_2!S$89/100</f>
        <v>310.43200000000002</v>
      </c>
      <c r="T89" s="142">
        <f>B89*IBGE_2!T$89/100</f>
        <v>88.314999999999998</v>
      </c>
      <c r="U89" s="142">
        <f>B89*IBGE_2!U$89/100</f>
        <v>3.9E-2</v>
      </c>
      <c r="V89" s="142">
        <f>B89*IBGE_2!V$89/100</f>
        <v>0.115</v>
      </c>
      <c r="W89" s="142" t="s">
        <v>3047</v>
      </c>
      <c r="X89" s="142">
        <f>B89*IBGE_2!X$89/100</f>
        <v>0.03</v>
      </c>
      <c r="Y89" s="142">
        <f>B89*IBGE_2!Y$89/100</f>
        <v>2.6000000000000002E-2</v>
      </c>
      <c r="Z89" s="142">
        <f>B89*IBGE_2!Z$89/100</f>
        <v>0.04</v>
      </c>
      <c r="AA89" s="142">
        <f>B89*IBGE_2!AA$89/100</f>
        <v>0.505</v>
      </c>
      <c r="AB89" s="142">
        <f>B89*IBGE_2!AB$89/100</f>
        <v>2.0990000000000002</v>
      </c>
      <c r="AC89" s="142">
        <f>B89*IBGE_2!AC$89/100</f>
        <v>0.66700000000000004</v>
      </c>
      <c r="AD89" s="142">
        <f>B89*IBGE_2!AD$89/100</f>
        <v>1.4999999999999999E-2</v>
      </c>
      <c r="AE89" s="142">
        <f>B89*IBGE_2!AE$89/100</f>
        <v>9.2759999999999998</v>
      </c>
      <c r="AF89" s="142" t="s">
        <v>3047</v>
      </c>
      <c r="AG89" s="142">
        <f>B89*IBGE_2!AG$89/100</f>
        <v>0.20399999999999999</v>
      </c>
      <c r="AH89" s="142">
        <f>B89*IBGE_2!AH$89/100</f>
        <v>2E-3</v>
      </c>
      <c r="AI89" s="142" t="s">
        <v>3047</v>
      </c>
      <c r="AJ89" s="142">
        <f>B89*IBGE_2!AJ$89/100</f>
        <v>1.3440000000000001</v>
      </c>
      <c r="AK89" s="142">
        <f>B89*IBGE_2!AK$89/100</f>
        <v>33.475999999999999</v>
      </c>
      <c r="AL89" s="142">
        <f>B89*IBGE_2!AL$89/100</f>
        <v>3.2749999999999999</v>
      </c>
      <c r="AM89" s="142">
        <f>B89*IBGE_2!AM$89/100</f>
        <v>2.5230000000000001</v>
      </c>
      <c r="AN89" s="161"/>
    </row>
    <row r="90" spans="1:40">
      <c r="A90" s="143" t="s">
        <v>1149</v>
      </c>
      <c r="B90" s="141">
        <v>100</v>
      </c>
      <c r="C90" s="142">
        <f>B90*IBGE_2!C$90/100</f>
        <v>125</v>
      </c>
      <c r="D90" s="142">
        <f>B90*IBGE_2!D$90/100</f>
        <v>0.6</v>
      </c>
      <c r="E90" s="142">
        <f>B90*IBGE_2!E$90/100</f>
        <v>0.3</v>
      </c>
      <c r="F90" s="142">
        <f>B90*IBGE_2!F$90/100</f>
        <v>0.1</v>
      </c>
      <c r="G90" s="142">
        <f>B90*IBGE_2!G$90/100</f>
        <v>0.1</v>
      </c>
      <c r="H90" s="142">
        <f>B90*IBGE_2!H$90/100</f>
        <v>0.1</v>
      </c>
      <c r="I90" s="142">
        <f>B90*IBGE_2!I$90/100</f>
        <v>0.05</v>
      </c>
      <c r="J90" s="142">
        <f>B90*IBGE_2!J$90/100</f>
        <v>0.01</v>
      </c>
      <c r="K90" s="142" t="s">
        <v>3047</v>
      </c>
      <c r="L90" s="142">
        <f>B90*IBGE_2!L$90/100</f>
        <v>30.1</v>
      </c>
      <c r="M90" s="142">
        <f>B90*IBGE_2!M$90/100</f>
        <v>1.6</v>
      </c>
      <c r="N90" s="142">
        <f>B90*IBGE_2!N$90/100</f>
        <v>19</v>
      </c>
      <c r="O90" s="142">
        <f>B90*IBGE_2!O$90/100</f>
        <v>27</v>
      </c>
      <c r="P90" s="142">
        <f>B90*IBGE_2!P$90/100</f>
        <v>0.06</v>
      </c>
      <c r="Q90" s="142">
        <f>B90*IBGE_2!Q$90/100</f>
        <v>22</v>
      </c>
      <c r="R90" s="142">
        <f>B90*IBGE_2!R$90/100</f>
        <v>0.1</v>
      </c>
      <c r="S90" s="142">
        <f>B90*IBGE_2!S$90/100</f>
        <v>1</v>
      </c>
      <c r="T90" s="142">
        <f>B90*IBGE_2!T$90/100</f>
        <v>100</v>
      </c>
      <c r="U90" s="142">
        <f>B90*IBGE_2!U$90/100</f>
        <v>0.01</v>
      </c>
      <c r="V90" s="142">
        <f>B90*IBGE_2!V$90/100</f>
        <v>0.2</v>
      </c>
      <c r="W90" s="142" t="s">
        <v>3047</v>
      </c>
      <c r="X90" s="142">
        <f>B90*IBGE_2!X$90/100</f>
        <v>0.06</v>
      </c>
      <c r="Y90" s="142" t="s">
        <v>3047</v>
      </c>
      <c r="Z90" s="142">
        <f>B90*IBGE_2!Z$90/100</f>
        <v>0.03</v>
      </c>
      <c r="AA90" s="142" t="s">
        <v>3047</v>
      </c>
      <c r="AB90" s="142">
        <f>B90*IBGE_2!AB$90/100</f>
        <v>11.1</v>
      </c>
      <c r="AC90" s="142" t="s">
        <v>3047</v>
      </c>
      <c r="AD90" s="142" t="s">
        <v>3047</v>
      </c>
      <c r="AE90" s="142" t="s">
        <v>3047</v>
      </c>
      <c r="AF90" s="142" t="s">
        <v>3047</v>
      </c>
      <c r="AG90" s="142" t="s">
        <v>3047</v>
      </c>
      <c r="AH90" s="142" t="s">
        <v>3047</v>
      </c>
      <c r="AI90" s="142">
        <f>B90*IBGE_2!AI$90/100</f>
        <v>286</v>
      </c>
      <c r="AJ90" s="142" t="s">
        <v>3047</v>
      </c>
      <c r="AK90" s="142" t="s">
        <v>3047</v>
      </c>
      <c r="AL90" s="142" t="s">
        <v>3047</v>
      </c>
      <c r="AM90" s="142" t="s">
        <v>3047</v>
      </c>
      <c r="AN90" s="161"/>
    </row>
    <row r="91" spans="1:40">
      <c r="A91" s="143" t="s">
        <v>1150</v>
      </c>
      <c r="B91" s="141">
        <v>100</v>
      </c>
      <c r="C91" s="142">
        <f>B91*IBGE_2!C$91/100</f>
        <v>125</v>
      </c>
      <c r="D91" s="142">
        <f>B91*IBGE_2!D$91/100</f>
        <v>0.6</v>
      </c>
      <c r="E91" s="142">
        <f>B91*IBGE_2!E$91/100</f>
        <v>0.3</v>
      </c>
      <c r="F91" s="142">
        <f>B91*IBGE_2!F$91/100</f>
        <v>0.1</v>
      </c>
      <c r="G91" s="142">
        <f>B91*IBGE_2!G$91/100</f>
        <v>0.1</v>
      </c>
      <c r="H91" s="142">
        <f>B91*IBGE_2!H$91/100</f>
        <v>0.1</v>
      </c>
      <c r="I91" s="142">
        <f>B91*IBGE_2!I$91/100</f>
        <v>0.05</v>
      </c>
      <c r="J91" s="142">
        <f>B91*IBGE_2!J$91/100</f>
        <v>0.01</v>
      </c>
      <c r="K91" s="142" t="s">
        <v>3047</v>
      </c>
      <c r="L91" s="142">
        <f>B91*IBGE_2!L$91/100</f>
        <v>30.1</v>
      </c>
      <c r="M91" s="142">
        <f>B91*IBGE_2!M$91/100</f>
        <v>1.6</v>
      </c>
      <c r="N91" s="142">
        <f>B91*IBGE_2!N$91/100</f>
        <v>19</v>
      </c>
      <c r="O91" s="142">
        <f>B91*IBGE_2!O$91/100</f>
        <v>27</v>
      </c>
      <c r="P91" s="142">
        <f>B91*IBGE_2!P$91/100</f>
        <v>0.06</v>
      </c>
      <c r="Q91" s="142">
        <f>B91*IBGE_2!Q$91/100</f>
        <v>22</v>
      </c>
      <c r="R91" s="142">
        <f>B91*IBGE_2!R$91/100</f>
        <v>0.1</v>
      </c>
      <c r="S91" s="142">
        <f>B91*IBGE_2!S$91/100</f>
        <v>1</v>
      </c>
      <c r="T91" s="142">
        <f>B91*IBGE_2!T$91/100</f>
        <v>100</v>
      </c>
      <c r="U91" s="142">
        <f>B91*IBGE_2!U$91/100</f>
        <v>0.01</v>
      </c>
      <c r="V91" s="142">
        <f>B91*IBGE_2!V$91/100</f>
        <v>0.2</v>
      </c>
      <c r="W91" s="142" t="s">
        <v>3047</v>
      </c>
      <c r="X91" s="142">
        <f>B91*IBGE_2!X$91/100</f>
        <v>0.06</v>
      </c>
      <c r="Y91" s="142" t="s">
        <v>3047</v>
      </c>
      <c r="Z91" s="142">
        <f>B91*IBGE_2!Z$91/100</f>
        <v>0.03</v>
      </c>
      <c r="AA91" s="142" t="s">
        <v>3047</v>
      </c>
      <c r="AB91" s="142">
        <f>B91*IBGE_2!AB$91/100</f>
        <v>11.1</v>
      </c>
      <c r="AC91" s="142" t="s">
        <v>3047</v>
      </c>
      <c r="AD91" s="142" t="s">
        <v>3047</v>
      </c>
      <c r="AE91" s="142" t="s">
        <v>3047</v>
      </c>
      <c r="AF91" s="142" t="s">
        <v>3047</v>
      </c>
      <c r="AG91" s="142" t="s">
        <v>3047</v>
      </c>
      <c r="AH91" s="142" t="s">
        <v>3047</v>
      </c>
      <c r="AI91" s="142">
        <f>B91*IBGE_2!AI$91/100</f>
        <v>286</v>
      </c>
      <c r="AJ91" s="142" t="s">
        <v>3047</v>
      </c>
      <c r="AK91" s="142" t="s">
        <v>3047</v>
      </c>
      <c r="AL91" s="142" t="s">
        <v>3047</v>
      </c>
      <c r="AM91" s="142" t="s">
        <v>3047</v>
      </c>
      <c r="AN91" s="161"/>
    </row>
    <row r="92" spans="1:40">
      <c r="A92" s="143" t="s">
        <v>1151</v>
      </c>
      <c r="B92" s="141">
        <v>100</v>
      </c>
      <c r="C92" s="142">
        <f>B92*IBGE_2!C$92/100</f>
        <v>125</v>
      </c>
      <c r="D92" s="142">
        <f>B92*IBGE_2!D$92/100</f>
        <v>0.6</v>
      </c>
      <c r="E92" s="142">
        <f>B92*IBGE_2!E$92/100</f>
        <v>0.3</v>
      </c>
      <c r="F92" s="142">
        <f>B92*IBGE_2!F$92/100</f>
        <v>0.1</v>
      </c>
      <c r="G92" s="142">
        <f>B92*IBGE_2!G$92/100</f>
        <v>0.1</v>
      </c>
      <c r="H92" s="142">
        <f>B92*IBGE_2!H$92/100</f>
        <v>0.1</v>
      </c>
      <c r="I92" s="142">
        <f>B92*IBGE_2!I$92/100</f>
        <v>0.05</v>
      </c>
      <c r="J92" s="142">
        <f>B92*IBGE_2!J$92/100</f>
        <v>0.01</v>
      </c>
      <c r="K92" s="142" t="s">
        <v>3047</v>
      </c>
      <c r="L92" s="142">
        <f>B92*IBGE_2!L$92/100</f>
        <v>30.1</v>
      </c>
      <c r="M92" s="142">
        <f>B92*IBGE_2!M$92/100</f>
        <v>1.6</v>
      </c>
      <c r="N92" s="142">
        <f>B92*IBGE_2!N$92/100</f>
        <v>19</v>
      </c>
      <c r="O92" s="142">
        <f>B92*IBGE_2!O$92/100</f>
        <v>27</v>
      </c>
      <c r="P92" s="142">
        <f>B92*IBGE_2!P$92/100</f>
        <v>0.06</v>
      </c>
      <c r="Q92" s="142">
        <f>B92*IBGE_2!Q$92/100</f>
        <v>22</v>
      </c>
      <c r="R92" s="142">
        <f>B92*IBGE_2!R$92/100</f>
        <v>0.1</v>
      </c>
      <c r="S92" s="142">
        <f>B92*IBGE_2!S$92/100</f>
        <v>1</v>
      </c>
      <c r="T92" s="142">
        <f>B92*IBGE_2!T$92/100</f>
        <v>100</v>
      </c>
      <c r="U92" s="142">
        <f>B92*IBGE_2!U$92/100</f>
        <v>0.01</v>
      </c>
      <c r="V92" s="142">
        <f>B92*IBGE_2!V$92/100</f>
        <v>0.2</v>
      </c>
      <c r="W92" s="142" t="s">
        <v>3047</v>
      </c>
      <c r="X92" s="142">
        <f>B92*IBGE_2!X$92/100</f>
        <v>0.06</v>
      </c>
      <c r="Y92" s="142" t="s">
        <v>3047</v>
      </c>
      <c r="Z92" s="142">
        <f>B92*IBGE_2!Z$92/100</f>
        <v>0.03</v>
      </c>
      <c r="AA92" s="142" t="s">
        <v>3047</v>
      </c>
      <c r="AB92" s="142">
        <f>B92*IBGE_2!AB$92/100</f>
        <v>11.1</v>
      </c>
      <c r="AC92" s="142" t="s">
        <v>3047</v>
      </c>
      <c r="AD92" s="142" t="s">
        <v>3047</v>
      </c>
      <c r="AE92" s="142" t="s">
        <v>3047</v>
      </c>
      <c r="AF92" s="142" t="s">
        <v>3047</v>
      </c>
      <c r="AG92" s="142" t="s">
        <v>3047</v>
      </c>
      <c r="AH92" s="142" t="s">
        <v>3047</v>
      </c>
      <c r="AI92" s="142">
        <f>B92*IBGE_2!AI$92/100</f>
        <v>286</v>
      </c>
      <c r="AJ92" s="142" t="s">
        <v>3047</v>
      </c>
      <c r="AK92" s="142" t="s">
        <v>3047</v>
      </c>
      <c r="AL92" s="142" t="s">
        <v>3047</v>
      </c>
      <c r="AM92" s="142" t="s">
        <v>3047</v>
      </c>
      <c r="AN92" s="161"/>
    </row>
    <row r="93" spans="1:40">
      <c r="A93" s="143" t="s">
        <v>1152</v>
      </c>
      <c r="B93" s="141">
        <v>100</v>
      </c>
      <c r="C93" s="142">
        <f>B93*IBGE_2!C$93/100</f>
        <v>125</v>
      </c>
      <c r="D93" s="142">
        <f>B93*IBGE_2!D$93/100</f>
        <v>0.6</v>
      </c>
      <c r="E93" s="142">
        <f>B93*IBGE_2!E$93/100</f>
        <v>0.3</v>
      </c>
      <c r="F93" s="142">
        <f>B93*IBGE_2!F$93/100</f>
        <v>0.1</v>
      </c>
      <c r="G93" s="142">
        <f>B93*IBGE_2!G$93/100</f>
        <v>0.1</v>
      </c>
      <c r="H93" s="142">
        <f>B93*IBGE_2!H$93/100</f>
        <v>0.1</v>
      </c>
      <c r="I93" s="142">
        <f>B93*IBGE_2!I$93/100</f>
        <v>0.05</v>
      </c>
      <c r="J93" s="142">
        <f>B93*IBGE_2!J$93/100</f>
        <v>0.01</v>
      </c>
      <c r="K93" s="142" t="s">
        <v>3047</v>
      </c>
      <c r="L93" s="142">
        <f>B93*IBGE_2!L$93/100</f>
        <v>30.1</v>
      </c>
      <c r="M93" s="142">
        <f>B93*IBGE_2!M$93/100</f>
        <v>1.6</v>
      </c>
      <c r="N93" s="142">
        <f>B93*IBGE_2!N$93/100</f>
        <v>19</v>
      </c>
      <c r="O93" s="142">
        <f>B93*IBGE_2!O$93/100</f>
        <v>27</v>
      </c>
      <c r="P93" s="142">
        <f>B93*IBGE_2!P$93/100</f>
        <v>0.06</v>
      </c>
      <c r="Q93" s="142">
        <f>B93*IBGE_2!Q$93/100</f>
        <v>22</v>
      </c>
      <c r="R93" s="142">
        <f>B93*IBGE_2!R$93/100</f>
        <v>0.1</v>
      </c>
      <c r="S93" s="142">
        <f>B93*IBGE_2!S$93/100</f>
        <v>1</v>
      </c>
      <c r="T93" s="142">
        <f>B93*IBGE_2!T$93/100</f>
        <v>100</v>
      </c>
      <c r="U93" s="142">
        <f>B93*IBGE_2!U$93/100</f>
        <v>0.01</v>
      </c>
      <c r="V93" s="142">
        <f>B93*IBGE_2!V$93/100</f>
        <v>0.2</v>
      </c>
      <c r="W93" s="142" t="s">
        <v>3047</v>
      </c>
      <c r="X93" s="142">
        <f>B93*IBGE_2!X$93/100</f>
        <v>0.06</v>
      </c>
      <c r="Y93" s="142" t="s">
        <v>3047</v>
      </c>
      <c r="Z93" s="142">
        <f>B93*IBGE_2!Z$93/100</f>
        <v>0.03</v>
      </c>
      <c r="AA93" s="142" t="s">
        <v>3047</v>
      </c>
      <c r="AB93" s="142">
        <f>B93*IBGE_2!AB$93/100</f>
        <v>11.1</v>
      </c>
      <c r="AC93" s="142" t="s">
        <v>3047</v>
      </c>
      <c r="AD93" s="142" t="s">
        <v>3047</v>
      </c>
      <c r="AE93" s="142" t="s">
        <v>3047</v>
      </c>
      <c r="AF93" s="142" t="s">
        <v>3047</v>
      </c>
      <c r="AG93" s="142" t="s">
        <v>3047</v>
      </c>
      <c r="AH93" s="142" t="s">
        <v>3047</v>
      </c>
      <c r="AI93" s="142">
        <f>B93*IBGE_2!AI$93/100</f>
        <v>286</v>
      </c>
      <c r="AJ93" s="142" t="s">
        <v>3047</v>
      </c>
      <c r="AK93" s="142" t="s">
        <v>3047</v>
      </c>
      <c r="AL93" s="142" t="s">
        <v>3047</v>
      </c>
      <c r="AM93" s="142" t="s">
        <v>3047</v>
      </c>
      <c r="AN93" s="161"/>
    </row>
    <row r="94" spans="1:40">
      <c r="A94" s="143" t="s">
        <v>1153</v>
      </c>
      <c r="B94" s="141">
        <v>100</v>
      </c>
      <c r="C94" s="142">
        <f>B94*IBGE_2!C$94/100</f>
        <v>162.73670000000001</v>
      </c>
      <c r="D94" s="142">
        <f>B94*IBGE_2!D$94/100</f>
        <v>0.56999999999999995</v>
      </c>
      <c r="E94" s="142">
        <f>B94*IBGE_2!E$94/100</f>
        <v>5.2608500000000005</v>
      </c>
      <c r="F94" s="142">
        <f>B94*IBGE_2!F$94/100</f>
        <v>0.87370000000000003</v>
      </c>
      <c r="G94" s="142">
        <f>B94*IBGE_2!G$94/100</f>
        <v>1.22865</v>
      </c>
      <c r="H94" s="142">
        <f>B94*IBGE_2!H$94/100</f>
        <v>2.9680499999999999</v>
      </c>
      <c r="I94" s="142">
        <f>B94*IBGE_2!I$94/100</f>
        <v>2.5828000000000002</v>
      </c>
      <c r="J94" s="142">
        <f>B94*IBGE_2!J$94/100</f>
        <v>0.34730000000000005</v>
      </c>
      <c r="K94" s="142" t="s">
        <v>3047</v>
      </c>
      <c r="L94" s="142">
        <f>B94*IBGE_2!L$94/100</f>
        <v>28.594999999999999</v>
      </c>
      <c r="M94" s="142">
        <f>B94*IBGE_2!M$94/100</f>
        <v>1.52</v>
      </c>
      <c r="N94" s="142">
        <f>B94*IBGE_2!N$94/100</f>
        <v>18.05</v>
      </c>
      <c r="O94" s="142">
        <f>B94*IBGE_2!O$94/100</f>
        <v>25.65</v>
      </c>
      <c r="P94" s="142">
        <f>B94*IBGE_2!P$94/100</f>
        <v>5.6999999999999995E-2</v>
      </c>
      <c r="Q94" s="142">
        <f>B94*IBGE_2!Q$94/100</f>
        <v>20.9</v>
      </c>
      <c r="R94" s="142">
        <f>B94*IBGE_2!R$94/100</f>
        <v>9.7500000000000003E-2</v>
      </c>
      <c r="S94" s="142">
        <f>B94*IBGE_2!S$94/100</f>
        <v>0.95</v>
      </c>
      <c r="T94" s="142">
        <f>B94*IBGE_2!T$94/100</f>
        <v>95</v>
      </c>
      <c r="U94" s="142">
        <f>B94*IBGE_2!U$94/100</f>
        <v>9.4999999999999998E-3</v>
      </c>
      <c r="V94" s="142">
        <f>B94*IBGE_2!V$94/100</f>
        <v>0.1905</v>
      </c>
      <c r="W94" s="142" t="s">
        <v>3047</v>
      </c>
      <c r="X94" s="142">
        <f>B94*IBGE_2!X$94/100</f>
        <v>5.6999999999999995E-2</v>
      </c>
      <c r="Y94" s="142" t="s">
        <v>3047</v>
      </c>
      <c r="Z94" s="142">
        <f>B94*IBGE_2!Z$94/100</f>
        <v>2.8499999999999998E-2</v>
      </c>
      <c r="AA94" s="142" t="s">
        <v>3047</v>
      </c>
      <c r="AB94" s="142">
        <f>B94*IBGE_2!AB$94/100</f>
        <v>10.545</v>
      </c>
      <c r="AC94" s="142" t="s">
        <v>3047</v>
      </c>
      <c r="AD94" s="142" t="s">
        <v>3047</v>
      </c>
      <c r="AE94" s="142" t="s">
        <v>3047</v>
      </c>
      <c r="AF94" s="142" t="s">
        <v>3047</v>
      </c>
      <c r="AG94" s="142">
        <f>B94*IBGE_2!AG$94/100</f>
        <v>0.40705000000000008</v>
      </c>
      <c r="AH94" s="142">
        <f>B94*IBGE_2!AH$94/100</f>
        <v>2.6500000000000003E-2</v>
      </c>
      <c r="AI94" s="142">
        <f>B94*IBGE_2!AI$94/100</f>
        <v>286</v>
      </c>
      <c r="AJ94" s="142">
        <f>B94*IBGE_2!AJ$94/100</f>
        <v>2.2804500000000001</v>
      </c>
      <c r="AK94" s="142" t="s">
        <v>3047</v>
      </c>
      <c r="AL94" s="142" t="s">
        <v>3047</v>
      </c>
      <c r="AM94" s="142" t="s">
        <v>3047</v>
      </c>
      <c r="AN94" s="161"/>
    </row>
    <row r="95" spans="1:40">
      <c r="A95" s="143" t="s">
        <v>1154</v>
      </c>
      <c r="B95" s="141">
        <v>100</v>
      </c>
      <c r="C95" s="142">
        <f>B95*IBGE_2!C$95/100</f>
        <v>100</v>
      </c>
      <c r="D95" s="142">
        <f>B95*IBGE_2!D$95/100</f>
        <v>1.71</v>
      </c>
      <c r="E95" s="142">
        <f>B95*IBGE_2!E$95/100</f>
        <v>0.12</v>
      </c>
      <c r="F95" s="142">
        <f>B95*IBGE_2!F$95/100</f>
        <v>0.03</v>
      </c>
      <c r="G95" s="142">
        <f>B95*IBGE_2!G$95/100</f>
        <v>0.01</v>
      </c>
      <c r="H95" s="142">
        <f>B95*IBGE_2!H$95/100</f>
        <v>0.05</v>
      </c>
      <c r="I95" s="142">
        <f>B95*IBGE_2!I$95/100</f>
        <v>0.04</v>
      </c>
      <c r="J95" s="142">
        <f>B95*IBGE_2!J$95/100</f>
        <v>0.01</v>
      </c>
      <c r="K95" s="142" t="s">
        <v>3047</v>
      </c>
      <c r="L95" s="142">
        <f>B95*IBGE_2!L$95/100</f>
        <v>23.4</v>
      </c>
      <c r="M95" s="142">
        <f>B95*IBGE_2!M$95/100</f>
        <v>1.8</v>
      </c>
      <c r="N95" s="142">
        <f>B95*IBGE_2!N$95/100</f>
        <v>35</v>
      </c>
      <c r="O95" s="142">
        <f>B95*IBGE_2!O$95/100</f>
        <v>21</v>
      </c>
      <c r="P95" s="142">
        <f>B95*IBGE_2!P$95/100</f>
        <v>0.67</v>
      </c>
      <c r="Q95" s="142">
        <f>B95*IBGE_2!Q$95/100</f>
        <v>44</v>
      </c>
      <c r="R95" s="142">
        <f>B95*IBGE_2!R$95/100</f>
        <v>0.54</v>
      </c>
      <c r="S95" s="142">
        <f>B95*IBGE_2!S$95/100</f>
        <v>8</v>
      </c>
      <c r="T95" s="142">
        <f>B95*IBGE_2!T$95/100</f>
        <v>377</v>
      </c>
      <c r="U95" s="142">
        <f>B95*IBGE_2!U$95/100</f>
        <v>0.18</v>
      </c>
      <c r="V95" s="142">
        <f>B95*IBGE_2!V$95/100</f>
        <v>0.3</v>
      </c>
      <c r="W95" s="142" t="s">
        <v>3047</v>
      </c>
      <c r="X95" s="142">
        <f>B95*IBGE_2!X$95/100</f>
        <v>7.0000000000000007E-2</v>
      </c>
      <c r="Y95" s="142">
        <f>B95*IBGE_2!Y$95/100</f>
        <v>0.06</v>
      </c>
      <c r="Z95" s="142">
        <f>B95*IBGE_2!Z$95/100</f>
        <v>0.19</v>
      </c>
      <c r="AA95" s="142">
        <f>B95*IBGE_2!AA$95/100</f>
        <v>0.56000000000000005</v>
      </c>
      <c r="AB95" s="142">
        <f>B95*IBGE_2!AB$95/100</f>
        <v>9.1</v>
      </c>
      <c r="AC95" s="142">
        <f>B95*IBGE_2!AC$95/100</f>
        <v>0.91</v>
      </c>
      <c r="AD95" s="142" t="s">
        <v>3047</v>
      </c>
      <c r="AE95" s="142">
        <f>B95*IBGE_2!AE$95/100</f>
        <v>22</v>
      </c>
      <c r="AF95" s="142" t="s">
        <v>3047</v>
      </c>
      <c r="AG95" s="142">
        <f>B95*IBGE_2!AG$95/100</f>
        <v>0.77</v>
      </c>
      <c r="AH95" s="142" t="s">
        <v>3047</v>
      </c>
      <c r="AI95" s="142">
        <f>B95*IBGE_2!AI$95/100</f>
        <v>260</v>
      </c>
      <c r="AJ95" s="142">
        <f>B95*IBGE_2!AJ$95/100</f>
        <v>0.6</v>
      </c>
      <c r="AK95" s="142">
        <f>B95*IBGE_2!AK$95/100</f>
        <v>1043.46</v>
      </c>
      <c r="AL95" s="142">
        <f>B95*IBGE_2!AL$95/100</f>
        <v>6.47</v>
      </c>
      <c r="AM95" s="142" t="s">
        <v>3047</v>
      </c>
      <c r="AN95" s="161"/>
    </row>
    <row r="96" spans="1:40">
      <c r="A96" s="143" t="s">
        <v>1155</v>
      </c>
      <c r="B96" s="141">
        <v>100</v>
      </c>
      <c r="C96" s="142">
        <f>B96*IBGE_2!C$96/100</f>
        <v>115.74</v>
      </c>
      <c r="D96" s="142">
        <f>B96*IBGE_2!D$96/100</f>
        <v>1.71</v>
      </c>
      <c r="E96" s="142">
        <f>B96*IBGE_2!E$96/100</f>
        <v>1.9</v>
      </c>
      <c r="F96" s="142">
        <f>B96*IBGE_2!F$96/100</f>
        <v>0.28000000000000003</v>
      </c>
      <c r="G96" s="142">
        <f>B96*IBGE_2!G$96/100</f>
        <v>0.42</v>
      </c>
      <c r="H96" s="142">
        <f>B96*IBGE_2!H$96/100</f>
        <v>1.08</v>
      </c>
      <c r="I96" s="142">
        <f>B96*IBGE_2!I$96/100</f>
        <v>0.95</v>
      </c>
      <c r="J96" s="142">
        <f>B96*IBGE_2!J$96/100</f>
        <v>0.13</v>
      </c>
      <c r="K96" s="142" t="s">
        <v>3047</v>
      </c>
      <c r="L96" s="142">
        <f>B96*IBGE_2!L$96/100</f>
        <v>23.4</v>
      </c>
      <c r="M96" s="142">
        <f>B96*IBGE_2!M$96/100</f>
        <v>1.8</v>
      </c>
      <c r="N96" s="142">
        <f>B96*IBGE_2!N$96/100</f>
        <v>35</v>
      </c>
      <c r="O96" s="142">
        <f>B96*IBGE_2!O$96/100</f>
        <v>21</v>
      </c>
      <c r="P96" s="142">
        <f>B96*IBGE_2!P$96/100</f>
        <v>0.67</v>
      </c>
      <c r="Q96" s="142">
        <f>B96*IBGE_2!Q$96/100</f>
        <v>44</v>
      </c>
      <c r="R96" s="142">
        <f>B96*IBGE_2!R$96/100</f>
        <v>0.54</v>
      </c>
      <c r="S96" s="142">
        <f>B96*IBGE_2!S$96/100</f>
        <v>8</v>
      </c>
      <c r="T96" s="142">
        <f>B96*IBGE_2!T$96/100</f>
        <v>377</v>
      </c>
      <c r="U96" s="142">
        <f>B96*IBGE_2!U$96/100</f>
        <v>0.18</v>
      </c>
      <c r="V96" s="142">
        <f>B96*IBGE_2!V$96/100</f>
        <v>0.3</v>
      </c>
      <c r="W96" s="142" t="s">
        <v>3047</v>
      </c>
      <c r="X96" s="142">
        <f>B96*IBGE_2!X$96/100</f>
        <v>7.0000000000000007E-2</v>
      </c>
      <c r="Y96" s="142">
        <f>B96*IBGE_2!Y$96/100</f>
        <v>0.06</v>
      </c>
      <c r="Z96" s="142">
        <f>B96*IBGE_2!Z$96/100</f>
        <v>0.19</v>
      </c>
      <c r="AA96" s="142">
        <f>B96*IBGE_2!AA$96/100</f>
        <v>0.56000000000000005</v>
      </c>
      <c r="AB96" s="142">
        <f>B96*IBGE_2!AB$96/100</f>
        <v>9.1</v>
      </c>
      <c r="AC96" s="142">
        <f>B96*IBGE_2!AC$96/100</f>
        <v>0.91</v>
      </c>
      <c r="AD96" s="142" t="s">
        <v>3047</v>
      </c>
      <c r="AE96" s="142">
        <f>B96*IBGE_2!AE$96/100</f>
        <v>22</v>
      </c>
      <c r="AF96" s="142" t="s">
        <v>3047</v>
      </c>
      <c r="AG96" s="142">
        <f>B96*IBGE_2!AG$96/100</f>
        <v>0.93</v>
      </c>
      <c r="AH96" s="142" t="s">
        <v>3047</v>
      </c>
      <c r="AI96" s="142">
        <f>B96*IBGE_2!AI$96/100</f>
        <v>260</v>
      </c>
      <c r="AJ96" s="142">
        <f>B96*IBGE_2!AJ$96/100</f>
        <v>1.42</v>
      </c>
      <c r="AK96" s="142">
        <f>B96*IBGE_2!AK$96/100</f>
        <v>1043.46</v>
      </c>
      <c r="AL96" s="142">
        <f>B96*IBGE_2!AL$96/100</f>
        <v>6.47</v>
      </c>
      <c r="AM96" s="142" t="s">
        <v>3047</v>
      </c>
      <c r="AN96" s="161"/>
    </row>
    <row r="97" spans="1:40">
      <c r="A97" s="143" t="s">
        <v>1156</v>
      </c>
      <c r="B97" s="141">
        <v>100</v>
      </c>
      <c r="C97" s="142">
        <f>B97*IBGE_2!C$97/100</f>
        <v>115.74</v>
      </c>
      <c r="D97" s="142">
        <f>B97*IBGE_2!D$97/100</f>
        <v>1.71</v>
      </c>
      <c r="E97" s="142">
        <f>B97*IBGE_2!E$97/100</f>
        <v>1.9</v>
      </c>
      <c r="F97" s="142">
        <f>B97*IBGE_2!F$97/100</f>
        <v>0.28000000000000003</v>
      </c>
      <c r="G97" s="142">
        <f>B97*IBGE_2!G$97/100</f>
        <v>0.42</v>
      </c>
      <c r="H97" s="142">
        <f>B97*IBGE_2!H$97/100</f>
        <v>1.08</v>
      </c>
      <c r="I97" s="142">
        <f>B97*IBGE_2!I$97/100</f>
        <v>0.95</v>
      </c>
      <c r="J97" s="142">
        <f>B97*IBGE_2!J$97/100</f>
        <v>0.13</v>
      </c>
      <c r="K97" s="142" t="s">
        <v>3047</v>
      </c>
      <c r="L97" s="142">
        <f>B97*IBGE_2!L$97/100</f>
        <v>23.4</v>
      </c>
      <c r="M97" s="142">
        <f>B97*IBGE_2!M$97/100</f>
        <v>1.8</v>
      </c>
      <c r="N97" s="142">
        <f>B97*IBGE_2!N$97/100</f>
        <v>35</v>
      </c>
      <c r="O97" s="142">
        <f>B97*IBGE_2!O$97/100</f>
        <v>21</v>
      </c>
      <c r="P97" s="142">
        <f>B97*IBGE_2!P$97/100</f>
        <v>0.67</v>
      </c>
      <c r="Q97" s="142">
        <f>B97*IBGE_2!Q$97/100</f>
        <v>44</v>
      </c>
      <c r="R97" s="142">
        <f>B97*IBGE_2!R$97/100</f>
        <v>0.54</v>
      </c>
      <c r="S97" s="142">
        <f>B97*IBGE_2!S$97/100</f>
        <v>8</v>
      </c>
      <c r="T97" s="142">
        <f>B97*IBGE_2!T$97/100</f>
        <v>377</v>
      </c>
      <c r="U97" s="142">
        <f>B97*IBGE_2!U$97/100</f>
        <v>0.18</v>
      </c>
      <c r="V97" s="142">
        <f>B97*IBGE_2!V$97/100</f>
        <v>0.3</v>
      </c>
      <c r="W97" s="142" t="s">
        <v>3047</v>
      </c>
      <c r="X97" s="142">
        <f>B97*IBGE_2!X$97/100</f>
        <v>7.0000000000000007E-2</v>
      </c>
      <c r="Y97" s="142">
        <f>B97*IBGE_2!Y$97/100</f>
        <v>0.06</v>
      </c>
      <c r="Z97" s="142">
        <f>B97*IBGE_2!Z$97/100</f>
        <v>0.19</v>
      </c>
      <c r="AA97" s="142">
        <f>B97*IBGE_2!AA$97/100</f>
        <v>0.56000000000000005</v>
      </c>
      <c r="AB97" s="142">
        <f>B97*IBGE_2!AB$97/100</f>
        <v>9.1</v>
      </c>
      <c r="AC97" s="142">
        <f>B97*IBGE_2!AC$97/100</f>
        <v>0.91</v>
      </c>
      <c r="AD97" s="142" t="s">
        <v>3047</v>
      </c>
      <c r="AE97" s="142">
        <f>B97*IBGE_2!AE$97/100</f>
        <v>22</v>
      </c>
      <c r="AF97" s="142" t="s">
        <v>3047</v>
      </c>
      <c r="AG97" s="142">
        <f>B97*IBGE_2!AG$97/100</f>
        <v>0.93</v>
      </c>
      <c r="AH97" s="142" t="s">
        <v>3047</v>
      </c>
      <c r="AI97" s="142">
        <f>B97*IBGE_2!AI$97/100</f>
        <v>260</v>
      </c>
      <c r="AJ97" s="142">
        <f>B97*IBGE_2!AJ$97/100</f>
        <v>1.42</v>
      </c>
      <c r="AK97" s="142">
        <f>B97*IBGE_2!AK$97/100</f>
        <v>1043.46</v>
      </c>
      <c r="AL97" s="142">
        <f>B97*IBGE_2!AL$97/100</f>
        <v>6.47</v>
      </c>
      <c r="AM97" s="142" t="s">
        <v>3047</v>
      </c>
      <c r="AN97" s="161"/>
    </row>
    <row r="98" spans="1:40">
      <c r="A98" s="143" t="s">
        <v>1157</v>
      </c>
      <c r="B98" s="141">
        <v>100</v>
      </c>
      <c r="C98" s="142">
        <f>B98*IBGE_2!C$98/100</f>
        <v>115.74</v>
      </c>
      <c r="D98" s="142">
        <f>B98*IBGE_2!D$98/100</f>
        <v>1.71</v>
      </c>
      <c r="E98" s="142">
        <f>B98*IBGE_2!E$98/100</f>
        <v>1.9</v>
      </c>
      <c r="F98" s="142">
        <f>B98*IBGE_2!F$98/100</f>
        <v>0.28000000000000003</v>
      </c>
      <c r="G98" s="142">
        <f>B98*IBGE_2!G$98/100</f>
        <v>0.42</v>
      </c>
      <c r="H98" s="142">
        <f>B98*IBGE_2!H$98/100</f>
        <v>1.08</v>
      </c>
      <c r="I98" s="142">
        <f>B98*IBGE_2!I$98/100</f>
        <v>0.95</v>
      </c>
      <c r="J98" s="142">
        <f>B98*IBGE_2!J$98/100</f>
        <v>0.13</v>
      </c>
      <c r="K98" s="142" t="s">
        <v>3047</v>
      </c>
      <c r="L98" s="142">
        <f>B98*IBGE_2!L$98/100</f>
        <v>23.4</v>
      </c>
      <c r="M98" s="142">
        <f>B98*IBGE_2!M$98/100</f>
        <v>1.8</v>
      </c>
      <c r="N98" s="142">
        <f>B98*IBGE_2!N$98/100</f>
        <v>35</v>
      </c>
      <c r="O98" s="142">
        <f>B98*IBGE_2!O$98/100</f>
        <v>21</v>
      </c>
      <c r="P98" s="142">
        <f>B98*IBGE_2!P$98/100</f>
        <v>0.67</v>
      </c>
      <c r="Q98" s="142">
        <f>B98*IBGE_2!Q$98/100</f>
        <v>44</v>
      </c>
      <c r="R98" s="142">
        <f>B98*IBGE_2!R$98/100</f>
        <v>0.54</v>
      </c>
      <c r="S98" s="142">
        <f>B98*IBGE_2!S$98/100</f>
        <v>8</v>
      </c>
      <c r="T98" s="142">
        <f>B98*IBGE_2!T$98/100</f>
        <v>377</v>
      </c>
      <c r="U98" s="142">
        <f>B98*IBGE_2!U$98/100</f>
        <v>0.18</v>
      </c>
      <c r="V98" s="142">
        <f>B98*IBGE_2!V$98/100</f>
        <v>0.3</v>
      </c>
      <c r="W98" s="142" t="s">
        <v>3047</v>
      </c>
      <c r="X98" s="142">
        <f>B98*IBGE_2!X$98/100</f>
        <v>7.0000000000000007E-2</v>
      </c>
      <c r="Y98" s="142">
        <f>B98*IBGE_2!Y$98/100</f>
        <v>0.06</v>
      </c>
      <c r="Z98" s="142">
        <f>B98*IBGE_2!Z$98/100</f>
        <v>0.19</v>
      </c>
      <c r="AA98" s="142">
        <f>B98*IBGE_2!AA$98/100</f>
        <v>0.56000000000000005</v>
      </c>
      <c r="AB98" s="142">
        <f>B98*IBGE_2!AB$98/100</f>
        <v>9.1</v>
      </c>
      <c r="AC98" s="142">
        <f>B98*IBGE_2!AC$98/100</f>
        <v>0.91</v>
      </c>
      <c r="AD98" s="142" t="s">
        <v>3047</v>
      </c>
      <c r="AE98" s="142">
        <f>B98*IBGE_2!AE$98/100</f>
        <v>22</v>
      </c>
      <c r="AF98" s="142" t="s">
        <v>3047</v>
      </c>
      <c r="AG98" s="142">
        <f>B98*IBGE_2!AG$98/100</f>
        <v>0.93</v>
      </c>
      <c r="AH98" s="142" t="s">
        <v>3047</v>
      </c>
      <c r="AI98" s="142">
        <f>B98*IBGE_2!AI$98/100</f>
        <v>260</v>
      </c>
      <c r="AJ98" s="142">
        <f>B98*IBGE_2!AJ$98/100</f>
        <v>1.42</v>
      </c>
      <c r="AK98" s="142">
        <f>B98*IBGE_2!AK$98/100</f>
        <v>1043.46</v>
      </c>
      <c r="AL98" s="142">
        <f>B98*IBGE_2!AL$98/100</f>
        <v>6.47</v>
      </c>
      <c r="AM98" s="142" t="s">
        <v>3047</v>
      </c>
      <c r="AN98" s="161"/>
    </row>
    <row r="99" spans="1:40">
      <c r="A99" s="143" t="s">
        <v>1158</v>
      </c>
      <c r="B99" s="141">
        <v>100</v>
      </c>
      <c r="C99" s="142">
        <f>B99*IBGE_2!C$99/100</f>
        <v>100</v>
      </c>
      <c r="D99" s="142">
        <f>B99*IBGE_2!D$99/100</f>
        <v>1.71</v>
      </c>
      <c r="E99" s="142">
        <f>B99*IBGE_2!E$99/100</f>
        <v>0.12</v>
      </c>
      <c r="F99" s="142">
        <f>B99*IBGE_2!F$99/100</f>
        <v>0.03</v>
      </c>
      <c r="G99" s="142">
        <f>B99*IBGE_2!G$99/100</f>
        <v>0.01</v>
      </c>
      <c r="H99" s="142">
        <f>B99*IBGE_2!H$99/100</f>
        <v>0.05</v>
      </c>
      <c r="I99" s="142">
        <f>B99*IBGE_2!I$99/100</f>
        <v>0.04</v>
      </c>
      <c r="J99" s="142">
        <f>B99*IBGE_2!J$99/100</f>
        <v>0.01</v>
      </c>
      <c r="K99" s="142" t="s">
        <v>3047</v>
      </c>
      <c r="L99" s="142">
        <f>B99*IBGE_2!L$99/100</f>
        <v>23.4</v>
      </c>
      <c r="M99" s="142">
        <f>B99*IBGE_2!M$99/100</f>
        <v>1.8</v>
      </c>
      <c r="N99" s="142">
        <f>B99*IBGE_2!N$99/100</f>
        <v>35</v>
      </c>
      <c r="O99" s="142">
        <f>B99*IBGE_2!O$99/100</f>
        <v>21</v>
      </c>
      <c r="P99" s="142">
        <f>B99*IBGE_2!P$99/100</f>
        <v>0.67</v>
      </c>
      <c r="Q99" s="142">
        <f>B99*IBGE_2!Q$99/100</f>
        <v>44</v>
      </c>
      <c r="R99" s="142">
        <f>B99*IBGE_2!R$99/100</f>
        <v>0.54</v>
      </c>
      <c r="S99" s="142">
        <f>B99*IBGE_2!S$99/100</f>
        <v>8</v>
      </c>
      <c r="T99" s="142">
        <f>B99*IBGE_2!T$99/100</f>
        <v>377</v>
      </c>
      <c r="U99" s="142">
        <f>B99*IBGE_2!U$99/100</f>
        <v>0.18</v>
      </c>
      <c r="V99" s="142">
        <f>B99*IBGE_2!V$99/100</f>
        <v>0.3</v>
      </c>
      <c r="W99" s="142" t="s">
        <v>3047</v>
      </c>
      <c r="X99" s="142">
        <f>B99*IBGE_2!X$99/100</f>
        <v>7.0000000000000007E-2</v>
      </c>
      <c r="Y99" s="142">
        <f>B99*IBGE_2!Y$99/100</f>
        <v>0.06</v>
      </c>
      <c r="Z99" s="142">
        <f>B99*IBGE_2!Z$99/100</f>
        <v>0.19</v>
      </c>
      <c r="AA99" s="142">
        <f>B99*IBGE_2!AA$99/100</f>
        <v>0.56000000000000005</v>
      </c>
      <c r="AB99" s="142">
        <f>B99*IBGE_2!AB$99/100</f>
        <v>9.1</v>
      </c>
      <c r="AC99" s="142">
        <f>B99*IBGE_2!AC$99/100</f>
        <v>0.91</v>
      </c>
      <c r="AD99" s="142" t="s">
        <v>3047</v>
      </c>
      <c r="AE99" s="142">
        <f>B99*IBGE_2!AE$99/100</f>
        <v>22</v>
      </c>
      <c r="AF99" s="142" t="s">
        <v>3047</v>
      </c>
      <c r="AG99" s="142">
        <f>B99*IBGE_2!AG$99/100</f>
        <v>0.77</v>
      </c>
      <c r="AH99" s="142" t="s">
        <v>3047</v>
      </c>
      <c r="AI99" s="142">
        <f>B99*IBGE_2!AI$99/100</f>
        <v>260</v>
      </c>
      <c r="AJ99" s="142">
        <f>B99*IBGE_2!AJ$99/100</f>
        <v>0.6</v>
      </c>
      <c r="AK99" s="142">
        <f>B99*IBGE_2!AK$99/100</f>
        <v>1043.46</v>
      </c>
      <c r="AL99" s="142">
        <f>B99*IBGE_2!AL$99/100</f>
        <v>6.47</v>
      </c>
      <c r="AM99" s="142" t="s">
        <v>3047</v>
      </c>
      <c r="AN99" s="161"/>
    </row>
    <row r="100" spans="1:40">
      <c r="A100" s="143" t="s">
        <v>1159</v>
      </c>
      <c r="B100" s="141">
        <v>100</v>
      </c>
      <c r="C100" s="142">
        <f>B100*IBGE_2!C$100/100</f>
        <v>31.443000000000001</v>
      </c>
      <c r="D100" s="142">
        <f>B100*IBGE_2!D$100/100</f>
        <v>0.94799999999999995</v>
      </c>
      <c r="E100" s="142">
        <f>B100*IBGE_2!E$100/100</f>
        <v>0.12300000000000001</v>
      </c>
      <c r="F100" s="142">
        <f>B100*IBGE_2!F$100/100</f>
        <v>3.9E-2</v>
      </c>
      <c r="G100" s="142">
        <f>B100*IBGE_2!G$100/100</f>
        <v>2.7000000000000003E-2</v>
      </c>
      <c r="H100" s="142">
        <f>B100*IBGE_2!H$100/100</f>
        <v>3.2000000000000001E-2</v>
      </c>
      <c r="I100" s="142">
        <f>B100*IBGE_2!I$100/100</f>
        <v>2.7000000000000003E-2</v>
      </c>
      <c r="J100" s="142">
        <f>B100*IBGE_2!J$100/100</f>
        <v>5.0000000000000001E-3</v>
      </c>
      <c r="K100" s="142" t="s">
        <v>3047</v>
      </c>
      <c r="L100" s="142">
        <f>B100*IBGE_2!L$100/100</f>
        <v>7.0119999999999996</v>
      </c>
      <c r="M100" s="142">
        <f>B100*IBGE_2!M$100/100</f>
        <v>0.71099999999999997</v>
      </c>
      <c r="N100" s="142">
        <f>B100*IBGE_2!N$100/100</f>
        <v>8.5549999999999997</v>
      </c>
      <c r="O100" s="142">
        <f>B100*IBGE_2!O$100/100</f>
        <v>6.3470000000000004</v>
      </c>
      <c r="P100" s="142">
        <f>B100*IBGE_2!P$100/100</f>
        <v>6.8000000000000005E-2</v>
      </c>
      <c r="Q100" s="142">
        <f>B100*IBGE_2!Q$100/100</f>
        <v>15.762</v>
      </c>
      <c r="R100" s="142">
        <f>B100*IBGE_2!R$100/100</f>
        <v>0.28499999999999998</v>
      </c>
      <c r="S100" s="142">
        <f>B100*IBGE_2!S$100/100</f>
        <v>310.43200000000002</v>
      </c>
      <c r="T100" s="142">
        <f>B100*IBGE_2!T$100/100</f>
        <v>88.314999999999998</v>
      </c>
      <c r="U100" s="142">
        <f>B100*IBGE_2!U$100/100</f>
        <v>3.9E-2</v>
      </c>
      <c r="V100" s="142">
        <f>B100*IBGE_2!V$100/100</f>
        <v>0.115</v>
      </c>
      <c r="W100" s="142" t="s">
        <v>3047</v>
      </c>
      <c r="X100" s="142">
        <f>B100*IBGE_2!X$100/100</f>
        <v>0.03</v>
      </c>
      <c r="Y100" s="142">
        <f>B100*IBGE_2!Y$100/100</f>
        <v>2.6000000000000002E-2</v>
      </c>
      <c r="Z100" s="142">
        <f>B100*IBGE_2!Z$100/100</f>
        <v>0.04</v>
      </c>
      <c r="AA100" s="142">
        <f>B100*IBGE_2!AA$100/100</f>
        <v>0.505</v>
      </c>
      <c r="AB100" s="142">
        <f>B100*IBGE_2!AB$100/100</f>
        <v>2.0990000000000002</v>
      </c>
      <c r="AC100" s="142">
        <f>B100*IBGE_2!AC$100/100</f>
        <v>0.66700000000000004</v>
      </c>
      <c r="AD100" s="142">
        <f>B100*IBGE_2!AD$100/100</f>
        <v>1.4999999999999999E-2</v>
      </c>
      <c r="AE100" s="142">
        <f>B100*IBGE_2!AE$100/100</f>
        <v>9.2759999999999998</v>
      </c>
      <c r="AF100" s="142" t="s">
        <v>3047</v>
      </c>
      <c r="AG100" s="142">
        <f>B100*IBGE_2!AG$100/100</f>
        <v>0.20399999999999999</v>
      </c>
      <c r="AH100" s="142">
        <f>B100*IBGE_2!AH$100/100</f>
        <v>2E-3</v>
      </c>
      <c r="AI100" s="142" t="s">
        <v>3047</v>
      </c>
      <c r="AJ100" s="142">
        <f>B100*IBGE_2!AJ$100/100</f>
        <v>1.3440000000000001</v>
      </c>
      <c r="AK100" s="142">
        <f>B100*IBGE_2!AK$100/100</f>
        <v>33.475999999999999</v>
      </c>
      <c r="AL100" s="142">
        <f>B100*IBGE_2!AL$100/100</f>
        <v>3.2749999999999999</v>
      </c>
      <c r="AM100" s="142">
        <f>B100*IBGE_2!AM$100/100</f>
        <v>2.5230000000000001</v>
      </c>
      <c r="AN100" s="161"/>
    </row>
    <row r="101" spans="1:40">
      <c r="A101" s="143" t="s">
        <v>1160</v>
      </c>
      <c r="B101" s="141">
        <v>100</v>
      </c>
      <c r="C101" s="142">
        <f>B101*IBGE_2!C$101/100</f>
        <v>100</v>
      </c>
      <c r="D101" s="142">
        <f>B101*IBGE_2!D$101/100</f>
        <v>1.71</v>
      </c>
      <c r="E101" s="142">
        <f>B101*IBGE_2!E$101/100</f>
        <v>0.12</v>
      </c>
      <c r="F101" s="142">
        <f>B101*IBGE_2!F$101/100</f>
        <v>0.03</v>
      </c>
      <c r="G101" s="142">
        <f>B101*IBGE_2!G$101/100</f>
        <v>0.01</v>
      </c>
      <c r="H101" s="142">
        <f>B101*IBGE_2!H$101/100</f>
        <v>0.05</v>
      </c>
      <c r="I101" s="142">
        <f>B101*IBGE_2!I$101/100</f>
        <v>0.04</v>
      </c>
      <c r="J101" s="142">
        <f>B101*IBGE_2!J$101/100</f>
        <v>0.01</v>
      </c>
      <c r="K101" s="142" t="s">
        <v>3047</v>
      </c>
      <c r="L101" s="142">
        <f>B101*IBGE_2!L$101/100</f>
        <v>23.4</v>
      </c>
      <c r="M101" s="142">
        <f>B101*IBGE_2!M$101/100</f>
        <v>1.8</v>
      </c>
      <c r="N101" s="142">
        <f>B101*IBGE_2!N$101/100</f>
        <v>35</v>
      </c>
      <c r="O101" s="142">
        <f>B101*IBGE_2!O$101/100</f>
        <v>21</v>
      </c>
      <c r="P101" s="142">
        <f>B101*IBGE_2!P$101/100</f>
        <v>0.67</v>
      </c>
      <c r="Q101" s="142">
        <f>B101*IBGE_2!Q$101/100</f>
        <v>44</v>
      </c>
      <c r="R101" s="142">
        <f>B101*IBGE_2!R$101/100</f>
        <v>0.54</v>
      </c>
      <c r="S101" s="142">
        <f>B101*IBGE_2!S$101/100</f>
        <v>8</v>
      </c>
      <c r="T101" s="142">
        <f>B101*IBGE_2!T$101/100</f>
        <v>377</v>
      </c>
      <c r="U101" s="142">
        <f>B101*IBGE_2!U$101/100</f>
        <v>0.18</v>
      </c>
      <c r="V101" s="142">
        <f>B101*IBGE_2!V$101/100</f>
        <v>0.3</v>
      </c>
      <c r="W101" s="142" t="s">
        <v>3047</v>
      </c>
      <c r="X101" s="142">
        <f>B101*IBGE_2!X$101/100</f>
        <v>7.0000000000000007E-2</v>
      </c>
      <c r="Y101" s="142">
        <f>B101*IBGE_2!Y$101/100</f>
        <v>0.06</v>
      </c>
      <c r="Z101" s="142">
        <f>B101*IBGE_2!Z$101/100</f>
        <v>0.19</v>
      </c>
      <c r="AA101" s="142">
        <f>B101*IBGE_2!AA$101/100</f>
        <v>0.56000000000000005</v>
      </c>
      <c r="AB101" s="142">
        <f>B101*IBGE_2!AB$101/100</f>
        <v>9.1</v>
      </c>
      <c r="AC101" s="142">
        <f>B101*IBGE_2!AC$101/100</f>
        <v>0.91</v>
      </c>
      <c r="AD101" s="142" t="s">
        <v>3047</v>
      </c>
      <c r="AE101" s="142">
        <f>B101*IBGE_2!AE$101/100</f>
        <v>22</v>
      </c>
      <c r="AF101" s="142" t="s">
        <v>3047</v>
      </c>
      <c r="AG101" s="142">
        <f>B101*IBGE_2!AG$101/100</f>
        <v>0.77</v>
      </c>
      <c r="AH101" s="142" t="s">
        <v>3047</v>
      </c>
      <c r="AI101" s="142">
        <f>B101*IBGE_2!AI$101/100</f>
        <v>260</v>
      </c>
      <c r="AJ101" s="142">
        <f>B101*IBGE_2!AJ$101/100</f>
        <v>0.6</v>
      </c>
      <c r="AK101" s="142">
        <f>B101*IBGE_2!AK$101/100</f>
        <v>1043.46</v>
      </c>
      <c r="AL101" s="142">
        <f>B101*IBGE_2!AL$101/100</f>
        <v>6.47</v>
      </c>
      <c r="AM101" s="142" t="s">
        <v>3047</v>
      </c>
      <c r="AN101" s="161"/>
    </row>
    <row r="102" spans="1:40">
      <c r="A102" s="143" t="s">
        <v>1161</v>
      </c>
      <c r="B102" s="141">
        <v>100</v>
      </c>
      <c r="C102" s="142">
        <f>B102*IBGE_2!C$102/100</f>
        <v>86</v>
      </c>
      <c r="D102" s="142">
        <f>B102*IBGE_2!D$102/100</f>
        <v>1.71</v>
      </c>
      <c r="E102" s="142">
        <f>B102*IBGE_2!E$102/100</f>
        <v>0.1</v>
      </c>
      <c r="F102" s="142">
        <f>B102*IBGE_2!F$102/100</f>
        <v>2.6000000000000002E-2</v>
      </c>
      <c r="G102" s="142">
        <f>B102*IBGE_2!G$102/100</f>
        <v>2E-3</v>
      </c>
      <c r="H102" s="142">
        <f>B102*IBGE_2!H$102/100</f>
        <v>4.2999999999999997E-2</v>
      </c>
      <c r="I102" s="142">
        <f>B102*IBGE_2!I$102/100</f>
        <v>3.2000000000000001E-2</v>
      </c>
      <c r="J102" s="142">
        <f>B102*IBGE_2!J$102/100</f>
        <v>0.01</v>
      </c>
      <c r="K102" s="142" t="s">
        <v>3047</v>
      </c>
      <c r="L102" s="142">
        <f>B102*IBGE_2!L$102/100</f>
        <v>20.010000000000002</v>
      </c>
      <c r="M102" s="142">
        <f>B102*IBGE_2!M$102/100</f>
        <v>2.0499999999999998</v>
      </c>
      <c r="N102" s="142">
        <f>B102*IBGE_2!N$102/100</f>
        <v>8</v>
      </c>
      <c r="O102" s="142">
        <f>B102*IBGE_2!O$102/100</f>
        <v>20</v>
      </c>
      <c r="P102" s="142">
        <f>B102*IBGE_2!P$102/100</f>
        <v>0.14000000000000001</v>
      </c>
      <c r="Q102" s="142">
        <f>B102*IBGE_2!Q$102/100</f>
        <v>40</v>
      </c>
      <c r="R102" s="142">
        <f>B102*IBGE_2!R$102/100</f>
        <v>0.31</v>
      </c>
      <c r="S102" s="142">
        <f>B102*IBGE_2!S$102/100</f>
        <v>5</v>
      </c>
      <c r="T102" s="142">
        <f>B102*IBGE_2!T$102/100</f>
        <v>328</v>
      </c>
      <c r="U102" s="142">
        <f>B102*IBGE_2!U$102/100</f>
        <v>0.16699999999999998</v>
      </c>
      <c r="V102" s="142">
        <f>B102*IBGE_2!V$102/100</f>
        <v>0.27</v>
      </c>
      <c r="W102" s="142" t="s">
        <v>3047</v>
      </c>
      <c r="X102" s="142">
        <f>B102*IBGE_2!X$102/100</f>
        <v>9.8000000000000004E-2</v>
      </c>
      <c r="Y102" s="142">
        <f>B102*IBGE_2!Y$102/100</f>
        <v>1.9E-2</v>
      </c>
      <c r="Z102" s="142">
        <f>B102*IBGE_2!Z$102/100</f>
        <v>0.26900000000000002</v>
      </c>
      <c r="AA102" s="142">
        <f>B102*IBGE_2!AA$102/100</f>
        <v>1.3120000000000003</v>
      </c>
      <c r="AB102" s="142">
        <f>B102*IBGE_2!AB$102/100</f>
        <v>7.4</v>
      </c>
      <c r="AC102" s="142">
        <f>B102*IBGE_2!AC$102/100</f>
        <v>1.7619999999999998</v>
      </c>
      <c r="AD102" s="142" t="s">
        <v>3047</v>
      </c>
      <c r="AE102" s="142">
        <f>B102*IBGE_2!AE$102/100</f>
        <v>9</v>
      </c>
      <c r="AF102" s="142" t="s">
        <v>3047</v>
      </c>
      <c r="AG102" s="142">
        <f>B102*IBGE_2!AG$102/100</f>
        <v>0.06</v>
      </c>
      <c r="AH102" s="142" t="s">
        <v>3047</v>
      </c>
      <c r="AI102" s="142">
        <f>B102*IBGE_2!AI$102/100</f>
        <v>242</v>
      </c>
      <c r="AJ102" s="142">
        <f>B102*IBGE_2!AJ$102/100</f>
        <v>0.3</v>
      </c>
      <c r="AK102" s="142">
        <f>B102*IBGE_2!AK$102/100</f>
        <v>0.16699999999999998</v>
      </c>
      <c r="AL102" s="142">
        <f>B102*IBGE_2!AL$102/100</f>
        <v>0.86</v>
      </c>
      <c r="AM102" s="142" t="s">
        <v>3047</v>
      </c>
      <c r="AN102" s="161"/>
    </row>
    <row r="103" spans="1:40">
      <c r="A103" s="143" t="s">
        <v>1162</v>
      </c>
      <c r="B103" s="141">
        <v>100</v>
      </c>
      <c r="C103" s="142">
        <f>B103*IBGE_2!C$103/100</f>
        <v>86</v>
      </c>
      <c r="D103" s="142">
        <f>B103*IBGE_2!D$103/100</f>
        <v>1.71</v>
      </c>
      <c r="E103" s="142">
        <f>B103*IBGE_2!E$103/100</f>
        <v>0.1</v>
      </c>
      <c r="F103" s="142">
        <f>B103*IBGE_2!F$103/100</f>
        <v>2.6000000000000002E-2</v>
      </c>
      <c r="G103" s="142">
        <f>B103*IBGE_2!G$103/100</f>
        <v>2E-3</v>
      </c>
      <c r="H103" s="142">
        <f>B103*IBGE_2!H$103/100</f>
        <v>4.2999999999999997E-2</v>
      </c>
      <c r="I103" s="142">
        <f>B103*IBGE_2!I$103/100</f>
        <v>3.2000000000000001E-2</v>
      </c>
      <c r="J103" s="142">
        <f>B103*IBGE_2!J$103/100</f>
        <v>0.01</v>
      </c>
      <c r="K103" s="142" t="s">
        <v>3047</v>
      </c>
      <c r="L103" s="142">
        <f>B103*IBGE_2!L$103/100</f>
        <v>20.010000000000002</v>
      </c>
      <c r="M103" s="142">
        <f>B103*IBGE_2!M$103/100</f>
        <v>2.0499999999999998</v>
      </c>
      <c r="N103" s="142">
        <f>B103*IBGE_2!N$103/100</f>
        <v>8</v>
      </c>
      <c r="O103" s="142">
        <f>B103*IBGE_2!O$103/100</f>
        <v>20</v>
      </c>
      <c r="P103" s="142">
        <f>B103*IBGE_2!P$103/100</f>
        <v>0.14000000000000001</v>
      </c>
      <c r="Q103" s="142">
        <f>B103*IBGE_2!Q$103/100</f>
        <v>40</v>
      </c>
      <c r="R103" s="142">
        <f>B103*IBGE_2!R$103/100</f>
        <v>0.31</v>
      </c>
      <c r="S103" s="142">
        <f>B103*IBGE_2!S$103/100</f>
        <v>5</v>
      </c>
      <c r="T103" s="142">
        <f>B103*IBGE_2!T$103/100</f>
        <v>328</v>
      </c>
      <c r="U103" s="142">
        <f>B103*IBGE_2!U$103/100</f>
        <v>0.16699999999999998</v>
      </c>
      <c r="V103" s="142">
        <f>B103*IBGE_2!V$103/100</f>
        <v>0.27</v>
      </c>
      <c r="W103" s="142" t="s">
        <v>3047</v>
      </c>
      <c r="X103" s="142">
        <f>B103*IBGE_2!X$103/100</f>
        <v>9.8000000000000004E-2</v>
      </c>
      <c r="Y103" s="142">
        <f>B103*IBGE_2!Y$103/100</f>
        <v>1.9E-2</v>
      </c>
      <c r="Z103" s="142">
        <f>B103*IBGE_2!Z$103/100</f>
        <v>0.26900000000000002</v>
      </c>
      <c r="AA103" s="142">
        <f>B103*IBGE_2!AA$103/100</f>
        <v>1.3120000000000003</v>
      </c>
      <c r="AB103" s="142">
        <f>B103*IBGE_2!AB$103/100</f>
        <v>7.4</v>
      </c>
      <c r="AC103" s="142">
        <f>B103*IBGE_2!AC$103/100</f>
        <v>1.7619999999999998</v>
      </c>
      <c r="AD103" s="142" t="s">
        <v>3047</v>
      </c>
      <c r="AE103" s="142">
        <f>B103*IBGE_2!AE$103/100</f>
        <v>9</v>
      </c>
      <c r="AF103" s="142" t="s">
        <v>3047</v>
      </c>
      <c r="AG103" s="142">
        <f>B103*IBGE_2!AG$103/100</f>
        <v>0.06</v>
      </c>
      <c r="AH103" s="142" t="s">
        <v>3047</v>
      </c>
      <c r="AI103" s="142">
        <f>B103*IBGE_2!AI$103/100</f>
        <v>242</v>
      </c>
      <c r="AJ103" s="142">
        <f>B103*IBGE_2!AJ$103/100</f>
        <v>0.3</v>
      </c>
      <c r="AK103" s="142">
        <f>B103*IBGE_2!AK$103/100</f>
        <v>0.16699999999999998</v>
      </c>
      <c r="AL103" s="142">
        <f>B103*IBGE_2!AL$103/100</f>
        <v>0.86</v>
      </c>
      <c r="AM103" s="142" t="s">
        <v>3047</v>
      </c>
      <c r="AN103" s="161"/>
    </row>
    <row r="104" spans="1:40">
      <c r="A104" s="143" t="s">
        <v>1163</v>
      </c>
      <c r="B104" s="141">
        <v>100</v>
      </c>
      <c r="C104" s="142">
        <f>B104*IBGE_2!C$104/100</f>
        <v>86</v>
      </c>
      <c r="D104" s="142">
        <f>B104*IBGE_2!D$104/100</f>
        <v>1.71</v>
      </c>
      <c r="E104" s="142">
        <f>B104*IBGE_2!E$104/100</f>
        <v>0.1</v>
      </c>
      <c r="F104" s="142">
        <f>B104*IBGE_2!F$104/100</f>
        <v>2.6000000000000002E-2</v>
      </c>
      <c r="G104" s="142">
        <f>B104*IBGE_2!G$104/100</f>
        <v>2E-3</v>
      </c>
      <c r="H104" s="142">
        <f>B104*IBGE_2!H$104/100</f>
        <v>4.2999999999999997E-2</v>
      </c>
      <c r="I104" s="142">
        <f>B104*IBGE_2!I$104/100</f>
        <v>3.2000000000000001E-2</v>
      </c>
      <c r="J104" s="142">
        <f>B104*IBGE_2!J$104/100</f>
        <v>0.01</v>
      </c>
      <c r="K104" s="142" t="s">
        <v>3047</v>
      </c>
      <c r="L104" s="142">
        <f>B104*IBGE_2!L$104/100</f>
        <v>20.010000000000002</v>
      </c>
      <c r="M104" s="142">
        <f>B104*IBGE_2!M$104/100</f>
        <v>2.0499999999999998</v>
      </c>
      <c r="N104" s="142">
        <f>B104*IBGE_2!N$104/100</f>
        <v>8</v>
      </c>
      <c r="O104" s="142">
        <f>B104*IBGE_2!O$104/100</f>
        <v>20</v>
      </c>
      <c r="P104" s="142">
        <f>B104*IBGE_2!P$104/100</f>
        <v>0.14000000000000001</v>
      </c>
      <c r="Q104" s="142">
        <f>B104*IBGE_2!Q$104/100</f>
        <v>40</v>
      </c>
      <c r="R104" s="142">
        <f>B104*IBGE_2!R$104/100</f>
        <v>0.31</v>
      </c>
      <c r="S104" s="142">
        <f>B104*IBGE_2!S$104/100</f>
        <v>5</v>
      </c>
      <c r="T104" s="142">
        <f>B104*IBGE_2!T$104/100</f>
        <v>328</v>
      </c>
      <c r="U104" s="142">
        <f>B104*IBGE_2!U$104/100</f>
        <v>0.16699999999999998</v>
      </c>
      <c r="V104" s="142">
        <f>B104*IBGE_2!V$104/100</f>
        <v>0.27</v>
      </c>
      <c r="W104" s="142" t="s">
        <v>3047</v>
      </c>
      <c r="X104" s="142">
        <f>B104*IBGE_2!X$104/100</f>
        <v>9.8000000000000004E-2</v>
      </c>
      <c r="Y104" s="142">
        <f>B104*IBGE_2!Y$104/100</f>
        <v>1.9E-2</v>
      </c>
      <c r="Z104" s="142">
        <f>B104*IBGE_2!Z$104/100</f>
        <v>0.26900000000000002</v>
      </c>
      <c r="AA104" s="142">
        <f>B104*IBGE_2!AA$104/100</f>
        <v>1.3120000000000003</v>
      </c>
      <c r="AB104" s="142">
        <f>B104*IBGE_2!AB$104/100</f>
        <v>7.4</v>
      </c>
      <c r="AC104" s="142">
        <f>B104*IBGE_2!AC$104/100</f>
        <v>1.7619999999999998</v>
      </c>
      <c r="AD104" s="142" t="s">
        <v>3047</v>
      </c>
      <c r="AE104" s="142">
        <f>B104*IBGE_2!AE$104/100</f>
        <v>9</v>
      </c>
      <c r="AF104" s="142" t="s">
        <v>3047</v>
      </c>
      <c r="AG104" s="142">
        <f>B104*IBGE_2!AG$104/100</f>
        <v>0.06</v>
      </c>
      <c r="AH104" s="142" t="s">
        <v>3047</v>
      </c>
      <c r="AI104" s="142">
        <f>B104*IBGE_2!AI$104/100</f>
        <v>242</v>
      </c>
      <c r="AJ104" s="142">
        <f>B104*IBGE_2!AJ$104/100</f>
        <v>0.3</v>
      </c>
      <c r="AK104" s="142">
        <f>B104*IBGE_2!AK$104/100</f>
        <v>0.16699999999999998</v>
      </c>
      <c r="AL104" s="142">
        <f>B104*IBGE_2!AL$104/100</f>
        <v>0.86</v>
      </c>
      <c r="AM104" s="142" t="s">
        <v>3047</v>
      </c>
      <c r="AN104" s="161"/>
    </row>
    <row r="105" spans="1:40">
      <c r="A105" s="143" t="s">
        <v>1164</v>
      </c>
      <c r="B105" s="141">
        <v>100</v>
      </c>
      <c r="C105" s="142">
        <f>B105*IBGE_2!C$105/100</f>
        <v>86</v>
      </c>
      <c r="D105" s="142">
        <f>B105*IBGE_2!D$105/100</f>
        <v>1.71</v>
      </c>
      <c r="E105" s="142">
        <f>B105*IBGE_2!E$105/100</f>
        <v>0.1</v>
      </c>
      <c r="F105" s="142">
        <f>B105*IBGE_2!F$105/100</f>
        <v>2.6000000000000002E-2</v>
      </c>
      <c r="G105" s="142">
        <f>B105*IBGE_2!G$105/100</f>
        <v>2E-3</v>
      </c>
      <c r="H105" s="142">
        <f>B105*IBGE_2!H$105/100</f>
        <v>4.2999999999999997E-2</v>
      </c>
      <c r="I105" s="142">
        <f>B105*IBGE_2!I$105/100</f>
        <v>3.2000000000000001E-2</v>
      </c>
      <c r="J105" s="142">
        <f>B105*IBGE_2!J$105/100</f>
        <v>0.01</v>
      </c>
      <c r="K105" s="142" t="s">
        <v>3047</v>
      </c>
      <c r="L105" s="142">
        <f>B105*IBGE_2!L$105/100</f>
        <v>20.010000000000002</v>
      </c>
      <c r="M105" s="142">
        <f>B105*IBGE_2!M$105/100</f>
        <v>2.0499999999999998</v>
      </c>
      <c r="N105" s="142">
        <f>B105*IBGE_2!N$105/100</f>
        <v>8</v>
      </c>
      <c r="O105" s="142">
        <f>B105*IBGE_2!O$105/100</f>
        <v>20</v>
      </c>
      <c r="P105" s="142">
        <f>B105*IBGE_2!P$105/100</f>
        <v>0.14000000000000001</v>
      </c>
      <c r="Q105" s="142">
        <f>B105*IBGE_2!Q$105/100</f>
        <v>40</v>
      </c>
      <c r="R105" s="142">
        <f>B105*IBGE_2!R$105/100</f>
        <v>0.31</v>
      </c>
      <c r="S105" s="142">
        <f>B105*IBGE_2!S$105/100</f>
        <v>5</v>
      </c>
      <c r="T105" s="142">
        <f>B105*IBGE_2!T$105/100</f>
        <v>328</v>
      </c>
      <c r="U105" s="142">
        <f>B105*IBGE_2!U$105/100</f>
        <v>0.16699999999999998</v>
      </c>
      <c r="V105" s="142">
        <f>B105*IBGE_2!V$105/100</f>
        <v>0.27</v>
      </c>
      <c r="W105" s="142" t="s">
        <v>3047</v>
      </c>
      <c r="X105" s="142">
        <f>B105*IBGE_2!X$105/100</f>
        <v>9.8000000000000004E-2</v>
      </c>
      <c r="Y105" s="142">
        <f>B105*IBGE_2!Y$105/100</f>
        <v>1.9E-2</v>
      </c>
      <c r="Z105" s="142">
        <f>B105*IBGE_2!Z$105/100</f>
        <v>0.26900000000000002</v>
      </c>
      <c r="AA105" s="142">
        <f>B105*IBGE_2!AA$105/100</f>
        <v>1.3120000000000003</v>
      </c>
      <c r="AB105" s="142">
        <f>B105*IBGE_2!AB$105/100</f>
        <v>7.4</v>
      </c>
      <c r="AC105" s="142">
        <f>B105*IBGE_2!AC$105/100</f>
        <v>1.7619999999999998</v>
      </c>
      <c r="AD105" s="142" t="s">
        <v>3047</v>
      </c>
      <c r="AE105" s="142">
        <f>B105*IBGE_2!AE$105/100</f>
        <v>9</v>
      </c>
      <c r="AF105" s="142" t="s">
        <v>3047</v>
      </c>
      <c r="AG105" s="142">
        <f>B105*IBGE_2!AG$105/100</f>
        <v>0.06</v>
      </c>
      <c r="AH105" s="142" t="s">
        <v>3047</v>
      </c>
      <c r="AI105" s="142">
        <f>B105*IBGE_2!AI$105/100</f>
        <v>242</v>
      </c>
      <c r="AJ105" s="142">
        <f>B105*IBGE_2!AJ$105/100</f>
        <v>0.3</v>
      </c>
      <c r="AK105" s="142">
        <f>B105*IBGE_2!AK$105/100</f>
        <v>0.16699999999999998</v>
      </c>
      <c r="AL105" s="142">
        <f>B105*IBGE_2!AL$105/100</f>
        <v>0.86</v>
      </c>
      <c r="AM105" s="142" t="s">
        <v>3047</v>
      </c>
      <c r="AN105" s="161"/>
    </row>
    <row r="106" spans="1:40">
      <c r="A106" s="143" t="s">
        <v>1165</v>
      </c>
      <c r="B106" s="141">
        <v>100</v>
      </c>
      <c r="C106" s="142">
        <f>B106*IBGE_2!C$106/100</f>
        <v>263.5</v>
      </c>
      <c r="D106" s="142">
        <f>B106*IBGE_2!D$106/100</f>
        <v>2.8710000000000004</v>
      </c>
      <c r="E106" s="142">
        <f>B106*IBGE_2!E$106/100</f>
        <v>13.64</v>
      </c>
      <c r="F106" s="142">
        <f>B106*IBGE_2!F$106/100</f>
        <v>2.1520000000000001</v>
      </c>
      <c r="G106" s="142">
        <f>B106*IBGE_2!G$106/100</f>
        <v>3.073</v>
      </c>
      <c r="H106" s="142">
        <f>B106*IBGE_2!H$106/100</f>
        <v>7.851</v>
      </c>
      <c r="I106" s="142">
        <f>B106*IBGE_2!I$106/100</f>
        <v>6.918000000000001</v>
      </c>
      <c r="J106" s="142">
        <f>B106*IBGE_2!J$106/100</f>
        <v>0.93100000000000005</v>
      </c>
      <c r="K106" s="142" t="s">
        <v>3047</v>
      </c>
      <c r="L106" s="142">
        <f>B106*IBGE_2!L$106/100</f>
        <v>33.6</v>
      </c>
      <c r="M106" s="142">
        <f>B106*IBGE_2!M$106/100</f>
        <v>3.4420000000000006</v>
      </c>
      <c r="N106" s="142">
        <f>B106*IBGE_2!N$106/100</f>
        <v>13.433</v>
      </c>
      <c r="O106" s="142">
        <f>B106*IBGE_2!O$106/100</f>
        <v>33.582999999999998</v>
      </c>
      <c r="P106" s="142">
        <f>B106*IBGE_2!P$106/100</f>
        <v>0.23499999999999999</v>
      </c>
      <c r="Q106" s="142">
        <f>B106*IBGE_2!Q$106/100</f>
        <v>67.165999999999997</v>
      </c>
      <c r="R106" s="142">
        <f>B106*IBGE_2!R$106/100</f>
        <v>0.52700000000000002</v>
      </c>
      <c r="S106" s="142">
        <f>B106*IBGE_2!S$106/100</f>
        <v>8.3960000000000008</v>
      </c>
      <c r="T106" s="142">
        <f>B106*IBGE_2!T$106/100</f>
        <v>550.76400000000001</v>
      </c>
      <c r="U106" s="142">
        <f>B106*IBGE_2!U$106/100</f>
        <v>0.28000000000000003</v>
      </c>
      <c r="V106" s="142">
        <f>B106*IBGE_2!V$106/100</f>
        <v>0.45500000000000002</v>
      </c>
      <c r="W106" s="142" t="s">
        <v>3047</v>
      </c>
      <c r="X106" s="142">
        <f>B106*IBGE_2!X$106/100</f>
        <v>0.16500000000000001</v>
      </c>
      <c r="Y106" s="142">
        <f>B106*IBGE_2!Y$106/100</f>
        <v>3.2000000000000001E-2</v>
      </c>
      <c r="Z106" s="142">
        <f>B106*IBGE_2!Z$106/100</f>
        <v>0.45200000000000001</v>
      </c>
      <c r="AA106" s="142">
        <f>B106*IBGE_2!AA$106/100</f>
        <v>2.2029999999999998</v>
      </c>
      <c r="AB106" s="142">
        <f>B106*IBGE_2!AB$106/100</f>
        <v>12.425999999999998</v>
      </c>
      <c r="AC106" s="142">
        <f>B106*IBGE_2!AC$106/100</f>
        <v>2.9590000000000005</v>
      </c>
      <c r="AD106" s="142" t="s">
        <v>3047</v>
      </c>
      <c r="AE106" s="142">
        <f>B106*IBGE_2!AE$106/100</f>
        <v>15.112</v>
      </c>
      <c r="AF106" s="142" t="s">
        <v>3047</v>
      </c>
      <c r="AG106" s="142">
        <f>B106*IBGE_2!AG$106/100</f>
        <v>1.2030000000000001</v>
      </c>
      <c r="AH106" s="142">
        <f>B106*IBGE_2!AH$106/100</f>
        <v>7.1999999999999995E-2</v>
      </c>
      <c r="AI106" s="142">
        <f>B106*IBGE_2!AI$106/100</f>
        <v>380</v>
      </c>
      <c r="AJ106" s="142">
        <f>B106*IBGE_2!AJ$106/100</f>
        <v>6.6779999999999999</v>
      </c>
      <c r="AK106" s="142">
        <f>B106*IBGE_2!AK$106/100</f>
        <v>0.28000000000000003</v>
      </c>
      <c r="AL106" s="142">
        <f>B106*IBGE_2!AL$106/100</f>
        <v>1.444</v>
      </c>
      <c r="AM106" s="142" t="s">
        <v>3047</v>
      </c>
      <c r="AN106" s="161"/>
    </row>
    <row r="107" spans="1:40">
      <c r="A107" s="143" t="s">
        <v>1166</v>
      </c>
      <c r="B107" s="141">
        <v>100</v>
      </c>
      <c r="C107" s="142">
        <f>B107*IBGE_2!C$107/100</f>
        <v>111.736</v>
      </c>
      <c r="D107" s="142">
        <f>B107*IBGE_2!D$107/100</f>
        <v>1.71</v>
      </c>
      <c r="E107" s="142">
        <f>B107*IBGE_2!E$107/100</f>
        <v>3.0110000000000001</v>
      </c>
      <c r="F107" s="142">
        <f>B107*IBGE_2!F$107/100</f>
        <v>0.48199999999999998</v>
      </c>
      <c r="G107" s="142">
        <f>B107*IBGE_2!G$107/100</f>
        <v>0.66500000000000004</v>
      </c>
      <c r="H107" s="142">
        <f>B107*IBGE_2!H$107/100</f>
        <v>1.724</v>
      </c>
      <c r="I107" s="142">
        <f>B107*IBGE_2!I$107/100</f>
        <v>1.5149999999999999</v>
      </c>
      <c r="J107" s="142">
        <f>B107*IBGE_2!J$107/100</f>
        <v>0.20800000000000002</v>
      </c>
      <c r="K107" s="142" t="s">
        <v>3047</v>
      </c>
      <c r="L107" s="142">
        <f>B107*IBGE_2!L$107/100</f>
        <v>20.010000000000002</v>
      </c>
      <c r="M107" s="142">
        <f>B107*IBGE_2!M$107/100</f>
        <v>2.0499999999999998</v>
      </c>
      <c r="N107" s="142">
        <f>B107*IBGE_2!N$107/100</f>
        <v>8</v>
      </c>
      <c r="O107" s="142">
        <f>B107*IBGE_2!O$107/100</f>
        <v>20</v>
      </c>
      <c r="P107" s="142">
        <f>B107*IBGE_2!P$107/100</f>
        <v>0.14000000000000001</v>
      </c>
      <c r="Q107" s="142">
        <f>B107*IBGE_2!Q$107/100</f>
        <v>40</v>
      </c>
      <c r="R107" s="142">
        <f>B107*IBGE_2!R$107/100</f>
        <v>0.311</v>
      </c>
      <c r="S107" s="142">
        <f>B107*IBGE_2!S$107/100</f>
        <v>5</v>
      </c>
      <c r="T107" s="142">
        <f>B107*IBGE_2!T$107/100</f>
        <v>328</v>
      </c>
      <c r="U107" s="142">
        <f>B107*IBGE_2!U$107/100</f>
        <v>0.16699999999999998</v>
      </c>
      <c r="V107" s="142">
        <f>B107*IBGE_2!V$107/100</f>
        <v>0.27</v>
      </c>
      <c r="W107" s="142" t="s">
        <v>3047</v>
      </c>
      <c r="X107" s="142">
        <f>B107*IBGE_2!X$107/100</f>
        <v>9.8000000000000004E-2</v>
      </c>
      <c r="Y107" s="142">
        <f>B107*IBGE_2!Y$107/100</f>
        <v>1.9E-2</v>
      </c>
      <c r="Z107" s="142">
        <f>B107*IBGE_2!Z$107/100</f>
        <v>0.26900000000000002</v>
      </c>
      <c r="AA107" s="142">
        <f>B107*IBGE_2!AA$107/100</f>
        <v>1.3120000000000003</v>
      </c>
      <c r="AB107" s="142">
        <f>B107*IBGE_2!AB$107/100</f>
        <v>7.4</v>
      </c>
      <c r="AC107" s="142">
        <f>B107*IBGE_2!AC$107/100</f>
        <v>1.7619999999999998</v>
      </c>
      <c r="AD107" s="142" t="s">
        <v>3047</v>
      </c>
      <c r="AE107" s="142">
        <f>B107*IBGE_2!AE$107/100</f>
        <v>9</v>
      </c>
      <c r="AF107" s="142" t="s">
        <v>3047</v>
      </c>
      <c r="AG107" s="142">
        <f>B107*IBGE_2!AG$107/100</f>
        <v>0.29799999999999999</v>
      </c>
      <c r="AH107" s="142">
        <f>B107*IBGE_2!AH$107/100</f>
        <v>1.6E-2</v>
      </c>
      <c r="AI107" s="142">
        <f>B107*IBGE_2!AI$107/100</f>
        <v>242</v>
      </c>
      <c r="AJ107" s="142">
        <f>B107*IBGE_2!AJ$107/100</f>
        <v>1.6339999999999997</v>
      </c>
      <c r="AK107" s="142">
        <f>B107*IBGE_2!AK$107/100</f>
        <v>0.16699999999999998</v>
      </c>
      <c r="AL107" s="142">
        <f>B107*IBGE_2!AL$107/100</f>
        <v>0.86</v>
      </c>
      <c r="AM107" s="142" t="s">
        <v>3047</v>
      </c>
      <c r="AN107" s="161"/>
    </row>
    <row r="108" spans="1:40">
      <c r="A108" s="143" t="s">
        <v>1167</v>
      </c>
      <c r="B108" s="141">
        <v>100</v>
      </c>
      <c r="C108" s="142">
        <f>B108*IBGE_2!C$108/100</f>
        <v>73.599999999999994</v>
      </c>
      <c r="D108" s="142">
        <f>B108*IBGE_2!D$108/100</f>
        <v>1.6319999999999999</v>
      </c>
      <c r="E108" s="142">
        <f>B108*IBGE_2!E$108/100</f>
        <v>0.11600000000000002</v>
      </c>
      <c r="F108" s="142">
        <f>B108*IBGE_2!F$108/100</f>
        <v>2.6000000000000002E-2</v>
      </c>
      <c r="G108" s="142">
        <f>B108*IBGE_2!G$108/100</f>
        <v>7.000000000000001E-3</v>
      </c>
      <c r="H108" s="142">
        <f>B108*IBGE_2!H$108/100</f>
        <v>4.9000000000000002E-2</v>
      </c>
      <c r="I108" s="142">
        <f>B108*IBGE_2!I$108/100</f>
        <v>3.9E-2</v>
      </c>
      <c r="J108" s="142">
        <f>B108*IBGE_2!J$108/100</f>
        <v>8.9999999999999993E-3</v>
      </c>
      <c r="K108" s="142" t="s">
        <v>3047</v>
      </c>
      <c r="L108" s="142">
        <f>B108*IBGE_2!L$108/100</f>
        <v>17.084</v>
      </c>
      <c r="M108" s="142">
        <f>B108*IBGE_2!M$108/100</f>
        <v>1.94</v>
      </c>
      <c r="N108" s="142">
        <f>B108*IBGE_2!N$108/100</f>
        <v>9</v>
      </c>
      <c r="O108" s="142">
        <f>B108*IBGE_2!O$108/100</f>
        <v>19.2</v>
      </c>
      <c r="P108" s="142">
        <f>B108*IBGE_2!P$108/100</f>
        <v>0.13300000000000001</v>
      </c>
      <c r="Q108" s="142">
        <f>B108*IBGE_2!Q$108/100</f>
        <v>37.200000000000003</v>
      </c>
      <c r="R108" s="142">
        <f>B108*IBGE_2!R$108/100</f>
        <v>0.45200000000000001</v>
      </c>
      <c r="S108" s="142">
        <f>B108*IBGE_2!S$108/100</f>
        <v>108.8</v>
      </c>
      <c r="T108" s="142">
        <f>B108*IBGE_2!T$108/100</f>
        <v>328.6</v>
      </c>
      <c r="U108" s="142">
        <f>B108*IBGE_2!U$108/100</f>
        <v>0.157</v>
      </c>
      <c r="V108" s="142">
        <f>B108*IBGE_2!V$108/100</f>
        <v>0.25600000000000001</v>
      </c>
      <c r="W108" s="142" t="s">
        <v>3047</v>
      </c>
      <c r="X108" s="142">
        <f>B108*IBGE_2!X$108/100</f>
        <v>8.3000000000000004E-2</v>
      </c>
      <c r="Y108" s="142">
        <f>B108*IBGE_2!Y$108/100</f>
        <v>2.8000000000000004E-2</v>
      </c>
      <c r="Z108" s="142">
        <f>B108*IBGE_2!Z$108/100</f>
        <v>0.23499999999999999</v>
      </c>
      <c r="AA108" s="142">
        <f>B108*IBGE_2!AA$108/100</f>
        <v>1.2450000000000001</v>
      </c>
      <c r="AB108" s="142">
        <f>B108*IBGE_2!AB$108/100</f>
        <v>7.32</v>
      </c>
      <c r="AC108" s="142">
        <f>B108*IBGE_2!AC$108/100</f>
        <v>1.6379999999999999</v>
      </c>
      <c r="AD108" s="142" t="s">
        <v>3047</v>
      </c>
      <c r="AE108" s="142">
        <f>B108*IBGE_2!AE$108/100</f>
        <v>9.4</v>
      </c>
      <c r="AF108" s="142" t="s">
        <v>3047</v>
      </c>
      <c r="AG108" s="142">
        <f>B108*IBGE_2!AG$108/100</f>
        <v>0.33200000000000002</v>
      </c>
      <c r="AH108" s="142" t="s">
        <v>3047</v>
      </c>
      <c r="AI108" s="142">
        <f>B108*IBGE_2!AI$108/100</f>
        <v>242</v>
      </c>
      <c r="AJ108" s="142">
        <f>B108*IBGE_2!AJ$108/100</f>
        <v>0.28000000000000003</v>
      </c>
      <c r="AK108" s="142">
        <f>B108*IBGE_2!AK$108/100</f>
        <v>3.617</v>
      </c>
      <c r="AL108" s="142">
        <f>B108*IBGE_2!AL$108/100</f>
        <v>1.538</v>
      </c>
      <c r="AM108" s="142" t="s">
        <v>3047</v>
      </c>
      <c r="AN108" s="161"/>
    </row>
    <row r="109" spans="1:40">
      <c r="A109" s="143" t="s">
        <v>1168</v>
      </c>
      <c r="B109" s="141">
        <v>100</v>
      </c>
      <c r="C109" s="142">
        <f>B109*IBGE_2!C$109/100</f>
        <v>101.39</v>
      </c>
      <c r="D109" s="142">
        <f>B109*IBGE_2!D$109/100</f>
        <v>2.1469999999999998</v>
      </c>
      <c r="E109" s="142">
        <f>B109*IBGE_2!E$109/100</f>
        <v>2.569</v>
      </c>
      <c r="F109" s="142">
        <f>B109*IBGE_2!F$109/100</f>
        <v>1.5529999999999999</v>
      </c>
      <c r="G109" s="142">
        <f>B109*IBGE_2!G$109/100</f>
        <v>0.63900000000000001</v>
      </c>
      <c r="H109" s="142">
        <f>B109*IBGE_2!H$109/100</f>
        <v>0.14699999999999999</v>
      </c>
      <c r="I109" s="142">
        <f>B109*IBGE_2!I$109/100</f>
        <v>0.11600000000000002</v>
      </c>
      <c r="J109" s="142">
        <f>B109*IBGE_2!J$109/100</f>
        <v>0.03</v>
      </c>
      <c r="K109" s="142">
        <f>B109*IBGE_2!K$109/100</f>
        <v>6.8330000000000011</v>
      </c>
      <c r="L109" s="142">
        <f>B109*IBGE_2!L$109/100</f>
        <v>17.859000000000002</v>
      </c>
      <c r="M109" s="142">
        <f>B109*IBGE_2!M$109/100</f>
        <v>1.6830000000000001</v>
      </c>
      <c r="N109" s="142">
        <f>B109*IBGE_2!N$109/100</f>
        <v>29.279</v>
      </c>
      <c r="O109" s="142">
        <f>B109*IBGE_2!O$109/100</f>
        <v>18.312000000000001</v>
      </c>
      <c r="P109" s="142">
        <f>B109*IBGE_2!P$109/100</f>
        <v>0.122</v>
      </c>
      <c r="Q109" s="142">
        <f>B109*IBGE_2!Q$109/100</f>
        <v>51.693000000000005</v>
      </c>
      <c r="R109" s="142">
        <f>B109*IBGE_2!R$109/100</f>
        <v>0.318</v>
      </c>
      <c r="S109" s="142">
        <f>B109*IBGE_2!S$109/100</f>
        <v>24.917000000000002</v>
      </c>
      <c r="T109" s="142">
        <f>B109*IBGE_2!T$109/100</f>
        <v>292.45400000000001</v>
      </c>
      <c r="U109" s="142">
        <f>B109*IBGE_2!U$109/100</f>
        <v>0.13800000000000001</v>
      </c>
      <c r="V109" s="142">
        <f>B109*IBGE_2!V$109/100</f>
        <v>0.30499999999999999</v>
      </c>
      <c r="W109" s="142">
        <f>B109*IBGE_2!W$109/100</f>
        <v>20.696999999999999</v>
      </c>
      <c r="X109" s="142">
        <f>B109*IBGE_2!X$109/100</f>
        <v>9.7000000000000017E-2</v>
      </c>
      <c r="Y109" s="142">
        <f>B109*IBGE_2!Y$109/100</f>
        <v>5.800000000000001E-2</v>
      </c>
      <c r="Z109" s="142">
        <f>B109*IBGE_2!Z$109/100</f>
        <v>0.223</v>
      </c>
      <c r="AA109" s="142">
        <f>B109*IBGE_2!AA$109/100</f>
        <v>1.145</v>
      </c>
      <c r="AB109" s="142">
        <f>B109*IBGE_2!AB$109/100</f>
        <v>5.9240000000000013</v>
      </c>
      <c r="AC109" s="142">
        <f>B109*IBGE_2!AC$109/100</f>
        <v>1.78</v>
      </c>
      <c r="AD109" s="142">
        <f>B109*IBGE_2!AD$109/100</f>
        <v>0.09</v>
      </c>
      <c r="AE109" s="142">
        <f>B109*IBGE_2!AE$109/100</f>
        <v>10.795999999999999</v>
      </c>
      <c r="AF109" s="142">
        <f>B109*IBGE_2!AF$109/100</f>
        <v>0.22699999999999998</v>
      </c>
      <c r="AG109" s="142">
        <f>B109*IBGE_2!AG$109/100</f>
        <v>0.113</v>
      </c>
      <c r="AH109" s="142">
        <f>B109*IBGE_2!AH$109/100</f>
        <v>9.7000000000000017E-2</v>
      </c>
      <c r="AI109" s="142">
        <f>B109*IBGE_2!AI$109/100</f>
        <v>242</v>
      </c>
      <c r="AJ109" s="142">
        <f>B109*IBGE_2!AJ$109/100</f>
        <v>1.409</v>
      </c>
      <c r="AK109" s="142">
        <f>B109*IBGE_2!AK$109/100</f>
        <v>21.213999999999995</v>
      </c>
      <c r="AL109" s="142">
        <f>B109*IBGE_2!AL$109/100</f>
        <v>1.7210000000000003</v>
      </c>
      <c r="AM109" s="142" t="s">
        <v>3047</v>
      </c>
      <c r="AN109" s="161"/>
    </row>
    <row r="110" spans="1:40">
      <c r="A110" s="143" t="s">
        <v>1169</v>
      </c>
      <c r="B110" s="141">
        <v>100</v>
      </c>
      <c r="C110" s="142">
        <f>B110*IBGE_2!C$110/100</f>
        <v>111.736</v>
      </c>
      <c r="D110" s="142">
        <f>B110*IBGE_2!D$110/100</f>
        <v>1.71</v>
      </c>
      <c r="E110" s="142">
        <f>B110*IBGE_2!E$110/100</f>
        <v>3.0110000000000001</v>
      </c>
      <c r="F110" s="142">
        <f>B110*IBGE_2!F$110/100</f>
        <v>0.48199999999999998</v>
      </c>
      <c r="G110" s="142">
        <f>B110*IBGE_2!G$110/100</f>
        <v>0.66500000000000004</v>
      </c>
      <c r="H110" s="142">
        <f>B110*IBGE_2!H$110/100</f>
        <v>1.724</v>
      </c>
      <c r="I110" s="142">
        <f>B110*IBGE_2!I$110/100</f>
        <v>1.5149999999999999</v>
      </c>
      <c r="J110" s="142">
        <f>B110*IBGE_2!J$110/100</f>
        <v>0.20800000000000002</v>
      </c>
      <c r="K110" s="142" t="s">
        <v>3047</v>
      </c>
      <c r="L110" s="142">
        <f>B110*IBGE_2!L$110/100</f>
        <v>20.010000000000002</v>
      </c>
      <c r="M110" s="142">
        <f>B110*IBGE_2!M$110/100</f>
        <v>2.0499999999999998</v>
      </c>
      <c r="N110" s="142">
        <f>B110*IBGE_2!N$110/100</f>
        <v>8</v>
      </c>
      <c r="O110" s="142">
        <f>B110*IBGE_2!O$110/100</f>
        <v>20</v>
      </c>
      <c r="P110" s="142">
        <f>B110*IBGE_2!P$110/100</f>
        <v>0.14000000000000001</v>
      </c>
      <c r="Q110" s="142">
        <f>B110*IBGE_2!Q$110/100</f>
        <v>40</v>
      </c>
      <c r="R110" s="142">
        <f>B110*IBGE_2!R$110/100</f>
        <v>0.311</v>
      </c>
      <c r="S110" s="142">
        <f>B110*IBGE_2!S$110/100</f>
        <v>5</v>
      </c>
      <c r="T110" s="142">
        <f>B110*IBGE_2!T$110/100</f>
        <v>328</v>
      </c>
      <c r="U110" s="142">
        <f>B110*IBGE_2!U$110/100</f>
        <v>0.16699999999999998</v>
      </c>
      <c r="V110" s="142">
        <f>B110*IBGE_2!V$110/100</f>
        <v>0.27</v>
      </c>
      <c r="W110" s="142" t="s">
        <v>3047</v>
      </c>
      <c r="X110" s="142">
        <f>B110*IBGE_2!X$110/100</f>
        <v>9.8000000000000004E-2</v>
      </c>
      <c r="Y110" s="142">
        <f>B110*IBGE_2!Y$110/100</f>
        <v>1.9E-2</v>
      </c>
      <c r="Z110" s="142">
        <f>B110*IBGE_2!Z$110/100</f>
        <v>0.26900000000000002</v>
      </c>
      <c r="AA110" s="142">
        <f>B110*IBGE_2!AA$110/100</f>
        <v>1.3120000000000003</v>
      </c>
      <c r="AB110" s="142">
        <f>B110*IBGE_2!AB$110/100</f>
        <v>7.4</v>
      </c>
      <c r="AC110" s="142">
        <f>B110*IBGE_2!AC$110/100</f>
        <v>1.7619999999999998</v>
      </c>
      <c r="AD110" s="142" t="s">
        <v>3047</v>
      </c>
      <c r="AE110" s="142">
        <f>B110*IBGE_2!AE$110/100</f>
        <v>9</v>
      </c>
      <c r="AF110" s="142" t="s">
        <v>3047</v>
      </c>
      <c r="AG110" s="142">
        <f>B110*IBGE_2!AG$110/100</f>
        <v>0.29799999999999999</v>
      </c>
      <c r="AH110" s="142">
        <f>B110*IBGE_2!AH$110/100</f>
        <v>1.6E-2</v>
      </c>
      <c r="AI110" s="142">
        <f>B110*IBGE_2!AI$110/100</f>
        <v>242</v>
      </c>
      <c r="AJ110" s="142">
        <f>B110*IBGE_2!AJ$110/100</f>
        <v>1.6339999999999997</v>
      </c>
      <c r="AK110" s="142">
        <f>B110*IBGE_2!AK$110/100</f>
        <v>0.16699999999999998</v>
      </c>
      <c r="AL110" s="142">
        <f>B110*IBGE_2!AL$110/100</f>
        <v>0.86</v>
      </c>
      <c r="AM110" s="142" t="s">
        <v>3047</v>
      </c>
      <c r="AN110" s="161"/>
    </row>
    <row r="111" spans="1:40">
      <c r="A111" s="143" t="s">
        <v>1170</v>
      </c>
      <c r="B111" s="141">
        <v>100</v>
      </c>
      <c r="C111" s="142">
        <f>B111*IBGE_2!C$111/100</f>
        <v>111.736</v>
      </c>
      <c r="D111" s="142">
        <f>B111*IBGE_2!D$111/100</f>
        <v>1.71</v>
      </c>
      <c r="E111" s="142">
        <f>B111*IBGE_2!E$111/100</f>
        <v>3.0110000000000001</v>
      </c>
      <c r="F111" s="142">
        <f>B111*IBGE_2!F$111/100</f>
        <v>0.48199999999999998</v>
      </c>
      <c r="G111" s="142">
        <f>B111*IBGE_2!G$111/100</f>
        <v>0.66500000000000004</v>
      </c>
      <c r="H111" s="142">
        <f>B111*IBGE_2!H$111/100</f>
        <v>1.724</v>
      </c>
      <c r="I111" s="142">
        <f>B111*IBGE_2!I$111/100</f>
        <v>1.5149999999999999</v>
      </c>
      <c r="J111" s="142">
        <f>B111*IBGE_2!J$111/100</f>
        <v>0.20800000000000002</v>
      </c>
      <c r="K111" s="142" t="s">
        <v>3047</v>
      </c>
      <c r="L111" s="142">
        <f>B111*IBGE_2!L$111/100</f>
        <v>20.010000000000002</v>
      </c>
      <c r="M111" s="142">
        <f>B111*IBGE_2!M$111/100</f>
        <v>2.0499999999999998</v>
      </c>
      <c r="N111" s="142">
        <f>B111*IBGE_2!N$111/100</f>
        <v>8</v>
      </c>
      <c r="O111" s="142">
        <f>B111*IBGE_2!O$111/100</f>
        <v>20</v>
      </c>
      <c r="P111" s="142">
        <f>B111*IBGE_2!P$111/100</f>
        <v>0.14000000000000001</v>
      </c>
      <c r="Q111" s="142">
        <f>B111*IBGE_2!Q$111/100</f>
        <v>40</v>
      </c>
      <c r="R111" s="142">
        <f>B111*IBGE_2!R$111/100</f>
        <v>0.311</v>
      </c>
      <c r="S111" s="142">
        <f>B111*IBGE_2!S$111/100</f>
        <v>5</v>
      </c>
      <c r="T111" s="142">
        <f>B111*IBGE_2!T$111/100</f>
        <v>328</v>
      </c>
      <c r="U111" s="142">
        <f>B111*IBGE_2!U$111/100</f>
        <v>0.16699999999999998</v>
      </c>
      <c r="V111" s="142">
        <f>B111*IBGE_2!V$111/100</f>
        <v>0.27</v>
      </c>
      <c r="W111" s="142" t="s">
        <v>3047</v>
      </c>
      <c r="X111" s="142">
        <f>B111*IBGE_2!X$111/100</f>
        <v>9.8000000000000004E-2</v>
      </c>
      <c r="Y111" s="142">
        <f>B111*IBGE_2!Y$111/100</f>
        <v>1.9E-2</v>
      </c>
      <c r="Z111" s="142">
        <f>B111*IBGE_2!Z$111/100</f>
        <v>0.26900000000000002</v>
      </c>
      <c r="AA111" s="142">
        <f>B111*IBGE_2!AA$111/100</f>
        <v>1.3120000000000003</v>
      </c>
      <c r="AB111" s="142">
        <f>B111*IBGE_2!AB$111/100</f>
        <v>7.4</v>
      </c>
      <c r="AC111" s="142">
        <f>B111*IBGE_2!AC$111/100</f>
        <v>1.7619999999999998</v>
      </c>
      <c r="AD111" s="142" t="s">
        <v>3047</v>
      </c>
      <c r="AE111" s="142">
        <f>B111*IBGE_2!AE$111/100</f>
        <v>9</v>
      </c>
      <c r="AF111" s="142" t="s">
        <v>3047</v>
      </c>
      <c r="AG111" s="142">
        <f>B111*IBGE_2!AG$111/100</f>
        <v>0.29799999999999999</v>
      </c>
      <c r="AH111" s="142">
        <f>B111*IBGE_2!AH$111/100</f>
        <v>1.6E-2</v>
      </c>
      <c r="AI111" s="142">
        <f>B111*IBGE_2!AI$111/100</f>
        <v>242</v>
      </c>
      <c r="AJ111" s="142">
        <f>B111*IBGE_2!AJ$111/100</f>
        <v>1.6339999999999997</v>
      </c>
      <c r="AK111" s="142">
        <f>B111*IBGE_2!AK$111/100</f>
        <v>0.16699999999999998</v>
      </c>
      <c r="AL111" s="142">
        <f>B111*IBGE_2!AL$111/100</f>
        <v>0.86</v>
      </c>
      <c r="AM111" s="142" t="s">
        <v>3047</v>
      </c>
      <c r="AN111" s="161"/>
    </row>
    <row r="112" spans="1:40">
      <c r="A112" s="143" t="s">
        <v>1171</v>
      </c>
      <c r="B112" s="141">
        <v>100</v>
      </c>
      <c r="C112" s="142">
        <f>B112*IBGE_2!C$112/100</f>
        <v>31.443000000000001</v>
      </c>
      <c r="D112" s="142">
        <f>B112*IBGE_2!D$112/100</f>
        <v>0.94799999999999995</v>
      </c>
      <c r="E112" s="142">
        <f>B112*IBGE_2!E$112/100</f>
        <v>0.12300000000000001</v>
      </c>
      <c r="F112" s="142">
        <f>B112*IBGE_2!F$112/100</f>
        <v>3.9E-2</v>
      </c>
      <c r="G112" s="142">
        <f>B112*IBGE_2!G$112/100</f>
        <v>2.7000000000000003E-2</v>
      </c>
      <c r="H112" s="142">
        <f>B112*IBGE_2!H$112/100</f>
        <v>3.2000000000000001E-2</v>
      </c>
      <c r="I112" s="142">
        <f>B112*IBGE_2!I$112/100</f>
        <v>2.7000000000000003E-2</v>
      </c>
      <c r="J112" s="142">
        <f>B112*IBGE_2!J$112/100</f>
        <v>5.0000000000000001E-3</v>
      </c>
      <c r="K112" s="142" t="s">
        <v>3047</v>
      </c>
      <c r="L112" s="142">
        <f>B112*IBGE_2!L$112/100</f>
        <v>7.0119999999999996</v>
      </c>
      <c r="M112" s="142">
        <f>B112*IBGE_2!M$112/100</f>
        <v>0.71099999999999997</v>
      </c>
      <c r="N112" s="142">
        <f>B112*IBGE_2!N$112/100</f>
        <v>8.5549999999999997</v>
      </c>
      <c r="O112" s="142">
        <f>B112*IBGE_2!O$112/100</f>
        <v>6.3470000000000004</v>
      </c>
      <c r="P112" s="142">
        <f>B112*IBGE_2!P$112/100</f>
        <v>6.8000000000000005E-2</v>
      </c>
      <c r="Q112" s="142">
        <f>B112*IBGE_2!Q$112/100</f>
        <v>15.762</v>
      </c>
      <c r="R112" s="142">
        <f>B112*IBGE_2!R$112/100</f>
        <v>0.28499999999999998</v>
      </c>
      <c r="S112" s="142">
        <f>B112*IBGE_2!S$112/100</f>
        <v>310.43200000000002</v>
      </c>
      <c r="T112" s="142">
        <f>B112*IBGE_2!T$112/100</f>
        <v>88.314999999999998</v>
      </c>
      <c r="U112" s="142">
        <f>B112*IBGE_2!U$112/100</f>
        <v>3.9E-2</v>
      </c>
      <c r="V112" s="142">
        <f>B112*IBGE_2!V$112/100</f>
        <v>0.115</v>
      </c>
      <c r="W112" s="142" t="s">
        <v>3047</v>
      </c>
      <c r="X112" s="142">
        <f>B112*IBGE_2!X$112/100</f>
        <v>0.03</v>
      </c>
      <c r="Y112" s="142">
        <f>B112*IBGE_2!Y$112/100</f>
        <v>2.6000000000000002E-2</v>
      </c>
      <c r="Z112" s="142">
        <f>B112*IBGE_2!Z$112/100</f>
        <v>0.04</v>
      </c>
      <c r="AA112" s="142">
        <f>B112*IBGE_2!AA$112/100</f>
        <v>0.505</v>
      </c>
      <c r="AB112" s="142">
        <f>B112*IBGE_2!AB$112/100</f>
        <v>2.0990000000000002</v>
      </c>
      <c r="AC112" s="142">
        <f>B112*IBGE_2!AC$112/100</f>
        <v>0.66700000000000004</v>
      </c>
      <c r="AD112" s="142">
        <f>B112*IBGE_2!AD$112/100</f>
        <v>1.4999999999999999E-2</v>
      </c>
      <c r="AE112" s="142">
        <f>B112*IBGE_2!AE$112/100</f>
        <v>9.2759999999999998</v>
      </c>
      <c r="AF112" s="142" t="s">
        <v>3047</v>
      </c>
      <c r="AG112" s="142">
        <f>B112*IBGE_2!AG$112/100</f>
        <v>0.20399999999999999</v>
      </c>
      <c r="AH112" s="142">
        <f>B112*IBGE_2!AH$112/100</f>
        <v>2E-3</v>
      </c>
      <c r="AI112" s="142" t="s">
        <v>3047</v>
      </c>
      <c r="AJ112" s="142">
        <f>B112*IBGE_2!AJ$112/100</f>
        <v>1.3440000000000001</v>
      </c>
      <c r="AK112" s="142">
        <f>B112*IBGE_2!AK$112/100</f>
        <v>33.475999999999999</v>
      </c>
      <c r="AL112" s="142">
        <f>B112*IBGE_2!AL$112/100</f>
        <v>3.2749999999999999</v>
      </c>
      <c r="AM112" s="142">
        <f>B112*IBGE_2!AM$112/100</f>
        <v>2.5230000000000001</v>
      </c>
      <c r="AN112" s="161"/>
    </row>
    <row r="113" spans="1:40">
      <c r="A113" s="143" t="s">
        <v>1172</v>
      </c>
      <c r="B113" s="141">
        <v>100</v>
      </c>
      <c r="C113" s="142">
        <f>B113*IBGE_2!C$113/100</f>
        <v>86</v>
      </c>
      <c r="D113" s="142">
        <f>B113*IBGE_2!D$113/100</f>
        <v>1.71</v>
      </c>
      <c r="E113" s="142">
        <f>B113*IBGE_2!E$113/100</f>
        <v>0.1</v>
      </c>
      <c r="F113" s="142">
        <f>B113*IBGE_2!F$113/100</f>
        <v>2.6000000000000002E-2</v>
      </c>
      <c r="G113" s="142">
        <f>B113*IBGE_2!G$113/100</f>
        <v>2E-3</v>
      </c>
      <c r="H113" s="142">
        <f>B113*IBGE_2!H$113/100</f>
        <v>4.2999999999999997E-2</v>
      </c>
      <c r="I113" s="142">
        <f>B113*IBGE_2!I$113/100</f>
        <v>3.2000000000000001E-2</v>
      </c>
      <c r="J113" s="142">
        <f>B113*IBGE_2!J$113/100</f>
        <v>0.01</v>
      </c>
      <c r="K113" s="142" t="s">
        <v>3047</v>
      </c>
      <c r="L113" s="142">
        <f>B113*IBGE_2!L$113/100</f>
        <v>20.010000000000002</v>
      </c>
      <c r="M113" s="142">
        <f>B113*IBGE_2!M$113/100</f>
        <v>2.0499999999999998</v>
      </c>
      <c r="N113" s="142">
        <f>B113*IBGE_2!N$113/100</f>
        <v>8</v>
      </c>
      <c r="O113" s="142">
        <f>B113*IBGE_2!O$113/100</f>
        <v>20</v>
      </c>
      <c r="P113" s="142">
        <f>B113*IBGE_2!P$113/100</f>
        <v>0.14000000000000001</v>
      </c>
      <c r="Q113" s="142">
        <f>B113*IBGE_2!Q$113/100</f>
        <v>40</v>
      </c>
      <c r="R113" s="142">
        <f>B113*IBGE_2!R$113/100</f>
        <v>0.31</v>
      </c>
      <c r="S113" s="142">
        <f>B113*IBGE_2!S$113/100</f>
        <v>5</v>
      </c>
      <c r="T113" s="142">
        <f>B113*IBGE_2!T$113/100</f>
        <v>328</v>
      </c>
      <c r="U113" s="142">
        <f>B113*IBGE_2!U$113/100</f>
        <v>0.16699999999999998</v>
      </c>
      <c r="V113" s="142">
        <f>B113*IBGE_2!V$113/100</f>
        <v>0.27</v>
      </c>
      <c r="W113" s="142" t="s">
        <v>3047</v>
      </c>
      <c r="X113" s="142">
        <f>B113*IBGE_2!X$113/100</f>
        <v>9.8000000000000004E-2</v>
      </c>
      <c r="Y113" s="142">
        <f>B113*IBGE_2!Y$113/100</f>
        <v>1.9E-2</v>
      </c>
      <c r="Z113" s="142">
        <f>B113*IBGE_2!Z$113/100</f>
        <v>0.26900000000000002</v>
      </c>
      <c r="AA113" s="142">
        <f>B113*IBGE_2!AA$113/100</f>
        <v>1.3120000000000003</v>
      </c>
      <c r="AB113" s="142">
        <f>B113*IBGE_2!AB$113/100</f>
        <v>7.4</v>
      </c>
      <c r="AC113" s="142">
        <f>B113*IBGE_2!AC$113/100</f>
        <v>1.7619999999999998</v>
      </c>
      <c r="AD113" s="142" t="s">
        <v>3047</v>
      </c>
      <c r="AE113" s="142">
        <f>B113*IBGE_2!AE$113/100</f>
        <v>9</v>
      </c>
      <c r="AF113" s="142" t="s">
        <v>3047</v>
      </c>
      <c r="AG113" s="142">
        <f>B113*IBGE_2!AG$113/100</f>
        <v>0.06</v>
      </c>
      <c r="AH113" s="142" t="s">
        <v>3047</v>
      </c>
      <c r="AI113" s="142">
        <f>B113*IBGE_2!AI$113/100</f>
        <v>242</v>
      </c>
      <c r="AJ113" s="142">
        <f>B113*IBGE_2!AJ$113/100</f>
        <v>0.3</v>
      </c>
      <c r="AK113" s="142">
        <f>B113*IBGE_2!AK$113/100</f>
        <v>0.16699999999999998</v>
      </c>
      <c r="AL113" s="142">
        <f>B113*IBGE_2!AL$113/100</f>
        <v>0.86</v>
      </c>
      <c r="AM113" s="142" t="s">
        <v>3047</v>
      </c>
      <c r="AN113" s="161"/>
    </row>
    <row r="114" spans="1:40">
      <c r="A114" s="143" t="s">
        <v>1173</v>
      </c>
      <c r="B114" s="141">
        <v>100</v>
      </c>
      <c r="C114" s="142">
        <f>B114*IBGE_2!C$114/100</f>
        <v>76</v>
      </c>
      <c r="D114" s="142">
        <f>B114*IBGE_2!D$114/100</f>
        <v>1.37</v>
      </c>
      <c r="E114" s="142">
        <f>B114*IBGE_2!E$114/100</f>
        <v>0.14000000000000001</v>
      </c>
      <c r="F114" s="142">
        <f>B114*IBGE_2!F$114/100</f>
        <v>0.03</v>
      </c>
      <c r="G114" s="142" t="s">
        <v>3047</v>
      </c>
      <c r="H114" s="142">
        <f>B114*IBGE_2!H$114/100</f>
        <v>0.06</v>
      </c>
      <c r="I114" s="142">
        <f>B114*IBGE_2!I$114/100</f>
        <v>0.06</v>
      </c>
      <c r="J114" s="142" t="s">
        <v>3047</v>
      </c>
      <c r="K114" s="142" t="s">
        <v>3047</v>
      </c>
      <c r="L114" s="142">
        <f>B114*IBGE_2!L$114/100</f>
        <v>17.72</v>
      </c>
      <c r="M114" s="142">
        <f>B114*IBGE_2!M$114/100</f>
        <v>2.5</v>
      </c>
      <c r="N114" s="142">
        <f>B114*IBGE_2!N$114/100</f>
        <v>27</v>
      </c>
      <c r="O114" s="142">
        <f>B114*IBGE_2!O$114/100</f>
        <v>18</v>
      </c>
      <c r="P114" s="142">
        <f>B114*IBGE_2!P$114/100</f>
        <v>0.27</v>
      </c>
      <c r="Q114" s="142">
        <f>B114*IBGE_2!Q$114/100</f>
        <v>32</v>
      </c>
      <c r="R114" s="142">
        <f>B114*IBGE_2!R$114/100</f>
        <v>0.72</v>
      </c>
      <c r="S114" s="142">
        <f>B114*IBGE_2!S$114/100</f>
        <v>27</v>
      </c>
      <c r="T114" s="142">
        <f>B114*IBGE_2!T$114/100</f>
        <v>230</v>
      </c>
      <c r="U114" s="142">
        <f>B114*IBGE_2!U$114/100</f>
        <v>0.09</v>
      </c>
      <c r="V114" s="142">
        <f>B114*IBGE_2!V$114/100</f>
        <v>0.2</v>
      </c>
      <c r="W114" s="142" t="s">
        <v>3047</v>
      </c>
      <c r="X114" s="142">
        <f>B114*IBGE_2!X$114/100</f>
        <v>0.06</v>
      </c>
      <c r="Y114" s="142">
        <f>B114*IBGE_2!Y$114/100</f>
        <v>0.05</v>
      </c>
      <c r="Z114" s="142">
        <f>B114*IBGE_2!Z$114/100</f>
        <v>0.17</v>
      </c>
      <c r="AA114" s="142">
        <f>B114*IBGE_2!AA$114/100</f>
        <v>0.54</v>
      </c>
      <c r="AB114" s="142">
        <f>B114*IBGE_2!AB$114/100</f>
        <v>12.8</v>
      </c>
      <c r="AC114" s="142">
        <f>B114*IBGE_2!AC$114/100</f>
        <v>1</v>
      </c>
      <c r="AD114" s="142" t="s">
        <v>3047</v>
      </c>
      <c r="AE114" s="142">
        <f>B114*IBGE_2!AE$114/100</f>
        <v>6</v>
      </c>
      <c r="AF114" s="142" t="s">
        <v>3047</v>
      </c>
      <c r="AG114" s="142">
        <f>B114*IBGE_2!AG$114/100</f>
        <v>0.94</v>
      </c>
      <c r="AH114" s="142" t="s">
        <v>3047</v>
      </c>
      <c r="AI114" s="142">
        <f>B114*IBGE_2!AI$114/100</f>
        <v>148</v>
      </c>
      <c r="AJ114" s="142">
        <f>B114*IBGE_2!AJ$114/100</f>
        <v>0.2</v>
      </c>
      <c r="AK114" s="142">
        <f>B114*IBGE_2!AK$114/100</f>
        <v>787</v>
      </c>
      <c r="AL114" s="142">
        <f>B114*IBGE_2!AL$114/100</f>
        <v>5.74</v>
      </c>
      <c r="AM114" s="142" t="s">
        <v>3047</v>
      </c>
      <c r="AN114" s="161"/>
    </row>
    <row r="115" spans="1:40">
      <c r="A115" s="143" t="s">
        <v>1174</v>
      </c>
      <c r="B115" s="141">
        <v>100</v>
      </c>
      <c r="C115" s="142">
        <f>B115*IBGE_2!C$115/100</f>
        <v>116.4</v>
      </c>
      <c r="D115" s="142">
        <f>B115*IBGE_2!D$115/100</f>
        <v>1.3</v>
      </c>
      <c r="E115" s="142">
        <f>B115*IBGE_2!E$115/100</f>
        <v>5.13</v>
      </c>
      <c r="F115" s="142">
        <f>B115*IBGE_2!F$115/100</f>
        <v>0.75</v>
      </c>
      <c r="G115" s="142">
        <f>B115*IBGE_2!G$115/100</f>
        <v>1.17</v>
      </c>
      <c r="H115" s="142">
        <f>B115*IBGE_2!H$115/100</f>
        <v>2.95</v>
      </c>
      <c r="I115" s="142">
        <f>B115*IBGE_2!I$115/100</f>
        <v>2.61</v>
      </c>
      <c r="J115" s="142">
        <f>B115*IBGE_2!J$115/100</f>
        <v>0.34</v>
      </c>
      <c r="K115" s="142" t="s">
        <v>3047</v>
      </c>
      <c r="L115" s="142">
        <f>B115*IBGE_2!L$115/100</f>
        <v>16.829999999999998</v>
      </c>
      <c r="M115" s="142">
        <f>B115*IBGE_2!M$115/100</f>
        <v>2.38</v>
      </c>
      <c r="N115" s="142">
        <f>B115*IBGE_2!N$115/100</f>
        <v>25.65</v>
      </c>
      <c r="O115" s="142">
        <f>B115*IBGE_2!O$115/100</f>
        <v>17.100000000000001</v>
      </c>
      <c r="P115" s="142">
        <f>B115*IBGE_2!P$115/100</f>
        <v>0.25</v>
      </c>
      <c r="Q115" s="142">
        <f>B115*IBGE_2!Q$115/100</f>
        <v>30.4</v>
      </c>
      <c r="R115" s="142">
        <f>B115*IBGE_2!R$115/100</f>
        <v>0.69</v>
      </c>
      <c r="S115" s="142">
        <f>B115*IBGE_2!S$115/100</f>
        <v>25.65</v>
      </c>
      <c r="T115" s="142">
        <f>B115*IBGE_2!T$115/100</f>
        <v>218.5</v>
      </c>
      <c r="U115" s="142">
        <f>B115*IBGE_2!U$115/100</f>
        <v>0.09</v>
      </c>
      <c r="V115" s="142">
        <f>B115*IBGE_2!V$115/100</f>
        <v>0.19</v>
      </c>
      <c r="W115" s="142" t="s">
        <v>3047</v>
      </c>
      <c r="X115" s="142">
        <f>B115*IBGE_2!X$115/100</f>
        <v>0.05</v>
      </c>
      <c r="Y115" s="142">
        <f>B115*IBGE_2!Y$115/100</f>
        <v>0.04</v>
      </c>
      <c r="Z115" s="142">
        <f>B115*IBGE_2!Z$115/100</f>
        <v>0.16</v>
      </c>
      <c r="AA115" s="142">
        <f>B115*IBGE_2!AA$115/100</f>
        <v>0.51</v>
      </c>
      <c r="AB115" s="142">
        <f>B115*IBGE_2!AB$115/100</f>
        <v>12.16</v>
      </c>
      <c r="AC115" s="142">
        <f>B115*IBGE_2!AC$115/100</f>
        <v>0.95</v>
      </c>
      <c r="AD115" s="142" t="s">
        <v>3047</v>
      </c>
      <c r="AE115" s="142">
        <f>B115*IBGE_2!AE$115/100</f>
        <v>5.7</v>
      </c>
      <c r="AF115" s="142" t="s">
        <v>3047</v>
      </c>
      <c r="AG115" s="142">
        <f>B115*IBGE_2!AG$115/100</f>
        <v>1.35</v>
      </c>
      <c r="AH115" s="142" t="s">
        <v>3047</v>
      </c>
      <c r="AI115" s="142">
        <f>B115*IBGE_2!AI$115/100</f>
        <v>148</v>
      </c>
      <c r="AJ115" s="142">
        <f>B115*IBGE_2!AJ$115/100</f>
        <v>2.48</v>
      </c>
      <c r="AK115" s="142">
        <f>B115*IBGE_2!AK$115/100</f>
        <v>747.65</v>
      </c>
      <c r="AL115" s="142">
        <f>B115*IBGE_2!AL$115/100</f>
        <v>5.45</v>
      </c>
      <c r="AM115" s="142" t="s">
        <v>3047</v>
      </c>
      <c r="AN115" s="161"/>
    </row>
    <row r="116" spans="1:40">
      <c r="A116" s="143" t="s">
        <v>1175</v>
      </c>
      <c r="B116" s="141">
        <v>100</v>
      </c>
      <c r="C116" s="142">
        <f>B116*IBGE_2!C$116/100</f>
        <v>91.74</v>
      </c>
      <c r="D116" s="142">
        <f>B116*IBGE_2!D$116/100</f>
        <v>1.37</v>
      </c>
      <c r="E116" s="142">
        <f>B116*IBGE_2!E$116/100</f>
        <v>1.92</v>
      </c>
      <c r="F116" s="142">
        <f>B116*IBGE_2!F$116/100</f>
        <v>0.28999999999999998</v>
      </c>
      <c r="G116" s="142">
        <f>B116*IBGE_2!G$116/100</f>
        <v>0.41</v>
      </c>
      <c r="H116" s="142">
        <f>B116*IBGE_2!H$116/100</f>
        <v>1.0900000000000001</v>
      </c>
      <c r="I116" s="142">
        <f>B116*IBGE_2!I$116/100</f>
        <v>0.97</v>
      </c>
      <c r="J116" s="142">
        <f>B116*IBGE_2!J$116/100</f>
        <v>0.12</v>
      </c>
      <c r="K116" s="142" t="s">
        <v>3047</v>
      </c>
      <c r="L116" s="142">
        <f>B116*IBGE_2!L$116/100</f>
        <v>17.72</v>
      </c>
      <c r="M116" s="142">
        <f>B116*IBGE_2!M$116/100</f>
        <v>2.5</v>
      </c>
      <c r="N116" s="142">
        <f>B116*IBGE_2!N$116/100</f>
        <v>27</v>
      </c>
      <c r="O116" s="142">
        <f>B116*IBGE_2!O$116/100</f>
        <v>18</v>
      </c>
      <c r="P116" s="142">
        <f>B116*IBGE_2!P$116/100</f>
        <v>0.27</v>
      </c>
      <c r="Q116" s="142">
        <f>B116*IBGE_2!Q$116/100</f>
        <v>32</v>
      </c>
      <c r="R116" s="142">
        <f>B116*IBGE_2!R$116/100</f>
        <v>0.72</v>
      </c>
      <c r="S116" s="142">
        <f>B116*IBGE_2!S$116/100</f>
        <v>27</v>
      </c>
      <c r="T116" s="142">
        <f>B116*IBGE_2!T$116/100</f>
        <v>230</v>
      </c>
      <c r="U116" s="142">
        <f>B116*IBGE_2!U$116/100</f>
        <v>0.09</v>
      </c>
      <c r="V116" s="142">
        <f>B116*IBGE_2!V$116/100</f>
        <v>0.2</v>
      </c>
      <c r="W116" s="142" t="s">
        <v>3047</v>
      </c>
      <c r="X116" s="142">
        <f>B116*IBGE_2!X$116/100</f>
        <v>0.06</v>
      </c>
      <c r="Y116" s="142">
        <f>B116*IBGE_2!Y$116/100</f>
        <v>0.05</v>
      </c>
      <c r="Z116" s="142">
        <f>B116*IBGE_2!Z$116/100</f>
        <v>0.17</v>
      </c>
      <c r="AA116" s="142">
        <f>B116*IBGE_2!AA$116/100</f>
        <v>0.54</v>
      </c>
      <c r="AB116" s="142">
        <f>B116*IBGE_2!AB$116/100</f>
        <v>12.8</v>
      </c>
      <c r="AC116" s="142">
        <f>B116*IBGE_2!AC$116/100</f>
        <v>1</v>
      </c>
      <c r="AD116" s="142" t="s">
        <v>3047</v>
      </c>
      <c r="AE116" s="142">
        <f>B116*IBGE_2!AE$116/100</f>
        <v>6</v>
      </c>
      <c r="AF116" s="142" t="s">
        <v>3047</v>
      </c>
      <c r="AG116" s="142">
        <f>B116*IBGE_2!AG$116/100</f>
        <v>1.1000000000000001</v>
      </c>
      <c r="AH116" s="142" t="s">
        <v>3047</v>
      </c>
      <c r="AI116" s="142">
        <f>B116*IBGE_2!AI$116/100</f>
        <v>148</v>
      </c>
      <c r="AJ116" s="142">
        <f>B116*IBGE_2!AJ$116/100</f>
        <v>1.02</v>
      </c>
      <c r="AK116" s="142">
        <f>B116*IBGE_2!AK$116/100</f>
        <v>787</v>
      </c>
      <c r="AL116" s="142">
        <f>B116*IBGE_2!AL$116/100</f>
        <v>5.74</v>
      </c>
      <c r="AM116" s="142" t="s">
        <v>3047</v>
      </c>
      <c r="AN116" s="161"/>
    </row>
    <row r="117" spans="1:40">
      <c r="A117" s="143" t="s">
        <v>1176</v>
      </c>
      <c r="B117" s="141">
        <v>100</v>
      </c>
      <c r="C117" s="142">
        <f>B117*IBGE_2!C$117/100</f>
        <v>91.74</v>
      </c>
      <c r="D117" s="142">
        <f>B117*IBGE_2!D$117/100</f>
        <v>1.37</v>
      </c>
      <c r="E117" s="142">
        <f>B117*IBGE_2!E$117/100</f>
        <v>1.92</v>
      </c>
      <c r="F117" s="142">
        <f>B117*IBGE_2!F$117/100</f>
        <v>0.28999999999999998</v>
      </c>
      <c r="G117" s="142">
        <f>B117*IBGE_2!G$117/100</f>
        <v>0.41</v>
      </c>
      <c r="H117" s="142">
        <f>B117*IBGE_2!H$117/100</f>
        <v>1.0900000000000001</v>
      </c>
      <c r="I117" s="142">
        <f>B117*IBGE_2!I$117/100</f>
        <v>0.97</v>
      </c>
      <c r="J117" s="142">
        <f>B117*IBGE_2!J$117/100</f>
        <v>0.12</v>
      </c>
      <c r="K117" s="142" t="s">
        <v>3047</v>
      </c>
      <c r="L117" s="142">
        <f>B117*IBGE_2!L$117/100</f>
        <v>17.72</v>
      </c>
      <c r="M117" s="142">
        <f>B117*IBGE_2!M$117/100</f>
        <v>2.5</v>
      </c>
      <c r="N117" s="142">
        <f>B117*IBGE_2!N$117/100</f>
        <v>27</v>
      </c>
      <c r="O117" s="142">
        <f>B117*IBGE_2!O$117/100</f>
        <v>18</v>
      </c>
      <c r="P117" s="142">
        <f>B117*IBGE_2!P$117/100</f>
        <v>0.27</v>
      </c>
      <c r="Q117" s="142">
        <f>B117*IBGE_2!Q$117/100</f>
        <v>32</v>
      </c>
      <c r="R117" s="142">
        <f>B117*IBGE_2!R$117/100</f>
        <v>0.72</v>
      </c>
      <c r="S117" s="142">
        <f>B117*IBGE_2!S$117/100</f>
        <v>27</v>
      </c>
      <c r="T117" s="142">
        <f>B117*IBGE_2!T$117/100</f>
        <v>230</v>
      </c>
      <c r="U117" s="142">
        <f>B117*IBGE_2!U$117/100</f>
        <v>0.09</v>
      </c>
      <c r="V117" s="142">
        <f>B117*IBGE_2!V$117/100</f>
        <v>0.2</v>
      </c>
      <c r="W117" s="142" t="s">
        <v>3047</v>
      </c>
      <c r="X117" s="142">
        <f>B117*IBGE_2!X$117/100</f>
        <v>0.06</v>
      </c>
      <c r="Y117" s="142">
        <f>B117*IBGE_2!Y$117/100</f>
        <v>0.05</v>
      </c>
      <c r="Z117" s="142">
        <f>B117*IBGE_2!Z$117/100</f>
        <v>0.17</v>
      </c>
      <c r="AA117" s="142">
        <f>B117*IBGE_2!AA$117/100</f>
        <v>0.54</v>
      </c>
      <c r="AB117" s="142">
        <f>B117*IBGE_2!AB$117/100</f>
        <v>12.8</v>
      </c>
      <c r="AC117" s="142">
        <f>B117*IBGE_2!AC$117/100</f>
        <v>1</v>
      </c>
      <c r="AD117" s="142" t="s">
        <v>3047</v>
      </c>
      <c r="AE117" s="142">
        <f>B117*IBGE_2!AE$117/100</f>
        <v>6</v>
      </c>
      <c r="AF117" s="142" t="s">
        <v>3047</v>
      </c>
      <c r="AG117" s="142">
        <f>B117*IBGE_2!AG$117/100</f>
        <v>1.1000000000000001</v>
      </c>
      <c r="AH117" s="142" t="s">
        <v>3047</v>
      </c>
      <c r="AI117" s="142">
        <f>B117*IBGE_2!AI$117/100</f>
        <v>148</v>
      </c>
      <c r="AJ117" s="142">
        <f>B117*IBGE_2!AJ$117/100</f>
        <v>1.02</v>
      </c>
      <c r="AK117" s="142">
        <f>B117*IBGE_2!AK$117/100</f>
        <v>787</v>
      </c>
      <c r="AL117" s="142">
        <f>B117*IBGE_2!AL$117/100</f>
        <v>5.74</v>
      </c>
      <c r="AM117" s="142" t="s">
        <v>3047</v>
      </c>
      <c r="AN117" s="161"/>
    </row>
    <row r="118" spans="1:40">
      <c r="A118" s="143" t="s">
        <v>1177</v>
      </c>
      <c r="B118" s="141">
        <v>100</v>
      </c>
      <c r="C118" s="142">
        <f>B118*IBGE_2!C$118/100</f>
        <v>16</v>
      </c>
      <c r="D118" s="142">
        <f>B118*IBGE_2!D$118/100</f>
        <v>0.68</v>
      </c>
      <c r="E118" s="142">
        <f>B118*IBGE_2!E$118/100</f>
        <v>0.1</v>
      </c>
      <c r="F118" s="142">
        <f>B118*IBGE_2!F$118/100</f>
        <v>0.03</v>
      </c>
      <c r="G118" s="142">
        <f>B118*IBGE_2!G$118/100</f>
        <v>0.02</v>
      </c>
      <c r="H118" s="142">
        <f>B118*IBGE_2!H$118/100</f>
        <v>0.05</v>
      </c>
      <c r="I118" s="142">
        <f>B118*IBGE_2!I$118/100</f>
        <v>0.02</v>
      </c>
      <c r="J118" s="142">
        <f>B118*IBGE_2!J$118/100</f>
        <v>0.03</v>
      </c>
      <c r="K118" s="142" t="s">
        <v>3047</v>
      </c>
      <c r="L118" s="142">
        <f>B118*IBGE_2!L$118/100</f>
        <v>3.4</v>
      </c>
      <c r="M118" s="142">
        <f>B118*IBGE_2!M$118/100</f>
        <v>1.6</v>
      </c>
      <c r="N118" s="142">
        <f>B118*IBGE_2!N$118/100</f>
        <v>25</v>
      </c>
      <c r="O118" s="142">
        <f>B118*IBGE_2!O$118/100</f>
        <v>10</v>
      </c>
      <c r="P118" s="142">
        <f>B118*IBGE_2!P$118/100</f>
        <v>7.0000000000000007E-2</v>
      </c>
      <c r="Q118" s="142">
        <f>B118*IBGE_2!Q$118/100</f>
        <v>20</v>
      </c>
      <c r="R118" s="142">
        <f>B118*IBGE_2!R$118/100</f>
        <v>0.34</v>
      </c>
      <c r="S118" s="142">
        <f>B118*IBGE_2!S$118/100</f>
        <v>39</v>
      </c>
      <c r="T118" s="142">
        <f>B118*IBGE_2!T$118/100</f>
        <v>233</v>
      </c>
      <c r="U118" s="142">
        <f>B118*IBGE_2!U$118/100</f>
        <v>0.05</v>
      </c>
      <c r="V118" s="142">
        <f>B118*IBGE_2!V$118/100</f>
        <v>0.28000000000000003</v>
      </c>
      <c r="W118" s="142" t="s">
        <v>3047</v>
      </c>
      <c r="X118" s="142">
        <f>B118*IBGE_2!X$118/100</f>
        <v>0.01</v>
      </c>
      <c r="Y118" s="142">
        <f>B118*IBGE_2!Y$118/100</f>
        <v>0.04</v>
      </c>
      <c r="Z118" s="142">
        <f>B118*IBGE_2!Z$118/100</f>
        <v>7.0000000000000007E-2</v>
      </c>
      <c r="AA118" s="142">
        <f>B118*IBGE_2!AA$118/100</f>
        <v>0.25</v>
      </c>
      <c r="AB118" s="142">
        <f>B118*IBGE_2!AB$118/100</f>
        <v>14.8</v>
      </c>
      <c r="AC118" s="142">
        <f>B118*IBGE_2!AC$118/100</f>
        <v>0.4</v>
      </c>
      <c r="AD118" s="142" t="s">
        <v>3047</v>
      </c>
      <c r="AE118" s="142">
        <f>B118*IBGE_2!AE$118/100</f>
        <v>25</v>
      </c>
      <c r="AF118" s="142" t="s">
        <v>3047</v>
      </c>
      <c r="AG118" s="142" t="s">
        <v>3047</v>
      </c>
      <c r="AH118" s="142" t="s">
        <v>3047</v>
      </c>
      <c r="AI118" s="142" t="s">
        <v>3047</v>
      </c>
      <c r="AJ118" s="142">
        <f>B118*IBGE_2!AJ$118/100</f>
        <v>0.6</v>
      </c>
      <c r="AK118" s="142">
        <f>B118*IBGE_2!AK$118/100</f>
        <v>0.33</v>
      </c>
      <c r="AL118" s="142">
        <f>B118*IBGE_2!AL$118/100</f>
        <v>0.92</v>
      </c>
      <c r="AM118" s="142" t="s">
        <v>3047</v>
      </c>
      <c r="AN118" s="161"/>
    </row>
    <row r="119" spans="1:40">
      <c r="A119" s="143" t="s">
        <v>1178</v>
      </c>
      <c r="B119" s="141">
        <v>100</v>
      </c>
      <c r="C119" s="142">
        <f>B119*IBGE_2!C$119/100</f>
        <v>18</v>
      </c>
      <c r="D119" s="142">
        <f>B119*IBGE_2!D$119/100</f>
        <v>0.6</v>
      </c>
      <c r="E119" s="142">
        <f>B119*IBGE_2!E$119/100</f>
        <v>0.1</v>
      </c>
      <c r="F119" s="142">
        <f>B119*IBGE_2!F$119/100</f>
        <v>0.03</v>
      </c>
      <c r="G119" s="142">
        <f>B119*IBGE_2!G$119/100</f>
        <v>0.02</v>
      </c>
      <c r="H119" s="142">
        <f>B119*IBGE_2!H$119/100</f>
        <v>0.05</v>
      </c>
      <c r="I119" s="142">
        <f>B119*IBGE_2!I$119/100</f>
        <v>0.02</v>
      </c>
      <c r="J119" s="142">
        <f>B119*IBGE_2!J$119/100</f>
        <v>0.03</v>
      </c>
      <c r="K119" s="142" t="s">
        <v>3047</v>
      </c>
      <c r="L119" s="142">
        <f>B119*IBGE_2!L$119/100</f>
        <v>4.0999999999999996</v>
      </c>
      <c r="M119" s="142">
        <f>B119*IBGE_2!M$119/100</f>
        <v>1.6</v>
      </c>
      <c r="N119" s="142">
        <f>B119*IBGE_2!N$119/100</f>
        <v>27</v>
      </c>
      <c r="O119" s="142">
        <f>B119*IBGE_2!O$119/100</f>
        <v>16</v>
      </c>
      <c r="P119" s="142">
        <f>B119*IBGE_2!P$119/100</f>
        <v>0.04</v>
      </c>
      <c r="Q119" s="142">
        <f>B119*IBGE_2!Q$119/100</f>
        <v>23</v>
      </c>
      <c r="R119" s="142">
        <f>B119*IBGE_2!R$119/100</f>
        <v>0.4</v>
      </c>
      <c r="S119" s="142">
        <f>B119*IBGE_2!S$119/100</f>
        <v>21</v>
      </c>
      <c r="T119" s="142">
        <f>B119*IBGE_2!T$119/100</f>
        <v>227</v>
      </c>
      <c r="U119" s="142">
        <f>B119*IBGE_2!U$119/100</f>
        <v>0.12</v>
      </c>
      <c r="V119" s="142">
        <f>B119*IBGE_2!V$119/100</f>
        <v>0.15</v>
      </c>
      <c r="W119" s="142" t="s">
        <v>3047</v>
      </c>
      <c r="X119" s="142">
        <f>B119*IBGE_2!X$119/100</f>
        <v>0.02</v>
      </c>
      <c r="Y119" s="142">
        <f>B119*IBGE_2!Y$119/100</f>
        <v>0.02</v>
      </c>
      <c r="Z119" s="142">
        <f>B119*IBGE_2!Z$119/100</f>
        <v>0.05</v>
      </c>
      <c r="AA119" s="142">
        <f>B119*IBGE_2!AA$119/100</f>
        <v>0.2</v>
      </c>
      <c r="AB119" s="142">
        <f>B119*IBGE_2!AB$119/100</f>
        <v>22</v>
      </c>
      <c r="AC119" s="142">
        <f>B119*IBGE_2!AC$119/100</f>
        <v>0.25</v>
      </c>
      <c r="AD119" s="142" t="s">
        <v>3047</v>
      </c>
      <c r="AE119" s="142">
        <f>B119*IBGE_2!AE$119/100</f>
        <v>28</v>
      </c>
      <c r="AF119" s="142" t="s">
        <v>3047</v>
      </c>
      <c r="AG119" s="142" t="s">
        <v>3047</v>
      </c>
      <c r="AH119" s="142" t="s">
        <v>3047</v>
      </c>
      <c r="AI119" s="142">
        <f>B119*IBGE_2!AI$119/100</f>
        <v>257</v>
      </c>
      <c r="AJ119" s="142">
        <f>B119*IBGE_2!AJ$119/100</f>
        <v>0.7</v>
      </c>
      <c r="AK119" s="142" t="s">
        <v>3047</v>
      </c>
      <c r="AL119" s="142">
        <f>B119*IBGE_2!AL$119/100</f>
        <v>2.89</v>
      </c>
      <c r="AM119" s="142" t="s">
        <v>3047</v>
      </c>
      <c r="AN119" s="161"/>
    </row>
    <row r="120" spans="1:40">
      <c r="A120" s="143" t="s">
        <v>1179</v>
      </c>
      <c r="B120" s="141">
        <v>100</v>
      </c>
      <c r="C120" s="142">
        <f>B120*IBGE_2!C$120/100</f>
        <v>18</v>
      </c>
      <c r="D120" s="142">
        <f>B120*IBGE_2!D$120/100</f>
        <v>0.6</v>
      </c>
      <c r="E120" s="142">
        <f>B120*IBGE_2!E$120/100</f>
        <v>0.1</v>
      </c>
      <c r="F120" s="142">
        <f>B120*IBGE_2!F$120/100</f>
        <v>0.03</v>
      </c>
      <c r="G120" s="142">
        <f>B120*IBGE_2!G$120/100</f>
        <v>0.02</v>
      </c>
      <c r="H120" s="142">
        <f>B120*IBGE_2!H$120/100</f>
        <v>0.05</v>
      </c>
      <c r="I120" s="142">
        <f>B120*IBGE_2!I$120/100</f>
        <v>0.02</v>
      </c>
      <c r="J120" s="142">
        <f>B120*IBGE_2!J$120/100</f>
        <v>0.03</v>
      </c>
      <c r="K120" s="142" t="s">
        <v>3047</v>
      </c>
      <c r="L120" s="142">
        <f>B120*IBGE_2!L$120/100</f>
        <v>4.0999999999999996</v>
      </c>
      <c r="M120" s="142">
        <f>B120*IBGE_2!M$120/100</f>
        <v>1.6</v>
      </c>
      <c r="N120" s="142">
        <f>B120*IBGE_2!N$120/100</f>
        <v>27</v>
      </c>
      <c r="O120" s="142">
        <f>B120*IBGE_2!O$120/100</f>
        <v>16</v>
      </c>
      <c r="P120" s="142">
        <f>B120*IBGE_2!P$120/100</f>
        <v>0.04</v>
      </c>
      <c r="Q120" s="142">
        <f>B120*IBGE_2!Q$120/100</f>
        <v>23</v>
      </c>
      <c r="R120" s="142">
        <f>B120*IBGE_2!R$120/100</f>
        <v>0.4</v>
      </c>
      <c r="S120" s="142">
        <f>B120*IBGE_2!S$120/100</f>
        <v>21</v>
      </c>
      <c r="T120" s="142">
        <f>B120*IBGE_2!T$120/100</f>
        <v>227</v>
      </c>
      <c r="U120" s="142">
        <f>B120*IBGE_2!U$120/100</f>
        <v>0.12</v>
      </c>
      <c r="V120" s="142">
        <f>B120*IBGE_2!V$120/100</f>
        <v>0.15</v>
      </c>
      <c r="W120" s="142" t="s">
        <v>3047</v>
      </c>
      <c r="X120" s="142">
        <f>B120*IBGE_2!X$120/100</f>
        <v>0.02</v>
      </c>
      <c r="Y120" s="142">
        <f>B120*IBGE_2!Y$120/100</f>
        <v>0.02</v>
      </c>
      <c r="Z120" s="142">
        <f>B120*IBGE_2!Z$120/100</f>
        <v>0.05</v>
      </c>
      <c r="AA120" s="142">
        <f>B120*IBGE_2!AA$120/100</f>
        <v>0.2</v>
      </c>
      <c r="AB120" s="142">
        <f>B120*IBGE_2!AB$120/100</f>
        <v>22</v>
      </c>
      <c r="AC120" s="142">
        <f>B120*IBGE_2!AC$120/100</f>
        <v>0.25</v>
      </c>
      <c r="AD120" s="142" t="s">
        <v>3047</v>
      </c>
      <c r="AE120" s="142">
        <f>B120*IBGE_2!AE$120/100</f>
        <v>28</v>
      </c>
      <c r="AF120" s="142" t="s">
        <v>3047</v>
      </c>
      <c r="AG120" s="142" t="s">
        <v>3047</v>
      </c>
      <c r="AH120" s="142" t="s">
        <v>3047</v>
      </c>
      <c r="AI120" s="142">
        <f>B120*IBGE_2!AI$120/100</f>
        <v>257</v>
      </c>
      <c r="AJ120" s="142">
        <f>B120*IBGE_2!AJ$120/100</f>
        <v>0.7</v>
      </c>
      <c r="AK120" s="142" t="s">
        <v>3047</v>
      </c>
      <c r="AL120" s="142">
        <f>B120*IBGE_2!AL$120/100</f>
        <v>2.89</v>
      </c>
      <c r="AM120" s="142" t="s">
        <v>3047</v>
      </c>
      <c r="AN120" s="161"/>
    </row>
    <row r="121" spans="1:40">
      <c r="A121" s="143" t="s">
        <v>1180</v>
      </c>
      <c r="B121" s="141">
        <v>100</v>
      </c>
      <c r="C121" s="142">
        <f>B121*IBGE_2!C$121/100</f>
        <v>43</v>
      </c>
      <c r="D121" s="142">
        <f>B121*IBGE_2!D$121/100</f>
        <v>1.61</v>
      </c>
      <c r="E121" s="142">
        <f>B121*IBGE_2!E$121/100</f>
        <v>0.17</v>
      </c>
      <c r="F121" s="142">
        <f>B121*IBGE_2!F$121/100</f>
        <v>0.03</v>
      </c>
      <c r="G121" s="142">
        <f>B121*IBGE_2!G$121/100</f>
        <v>0.03</v>
      </c>
      <c r="H121" s="142">
        <f>B121*IBGE_2!H$121/100</f>
        <v>0.06</v>
      </c>
      <c r="I121" s="142">
        <f>B121*IBGE_2!I$121/100</f>
        <v>0.06</v>
      </c>
      <c r="J121" s="142">
        <f>B121*IBGE_2!J$121/100</f>
        <v>0.01</v>
      </c>
      <c r="K121" s="142" t="s">
        <v>3047</v>
      </c>
      <c r="L121" s="142">
        <f>B121*IBGE_2!L$121/100</f>
        <v>9.56</v>
      </c>
      <c r="M121" s="142">
        <f>B121*IBGE_2!M$121/100</f>
        <v>2.8</v>
      </c>
      <c r="N121" s="142">
        <f>B121*IBGE_2!N$121/100</f>
        <v>16</v>
      </c>
      <c r="O121" s="142">
        <f>B121*IBGE_2!O$121/100</f>
        <v>23</v>
      </c>
      <c r="P121" s="142">
        <f>B121*IBGE_2!P$121/100</f>
        <v>0.33</v>
      </c>
      <c r="Q121" s="142">
        <f>B121*IBGE_2!Q$121/100</f>
        <v>40</v>
      </c>
      <c r="R121" s="142">
        <f>B121*IBGE_2!R$121/100</f>
        <v>0.8</v>
      </c>
      <c r="S121" s="142">
        <f>B121*IBGE_2!S$121/100</f>
        <v>78</v>
      </c>
      <c r="T121" s="142">
        <f>B121*IBGE_2!T$121/100</f>
        <v>325</v>
      </c>
      <c r="U121" s="142">
        <f>B121*IBGE_2!U$121/100</f>
        <v>0.08</v>
      </c>
      <c r="V121" s="142">
        <f>B121*IBGE_2!V$121/100</f>
        <v>0.35</v>
      </c>
      <c r="W121" s="142" t="s">
        <v>3047</v>
      </c>
      <c r="X121" s="142">
        <f>B121*IBGE_2!X$121/100</f>
        <v>0.03</v>
      </c>
      <c r="Y121" s="142">
        <f>B121*IBGE_2!Y$121/100</f>
        <v>0.04</v>
      </c>
      <c r="Z121" s="142">
        <f>B121*IBGE_2!Z$121/100</f>
        <v>7.0000000000000007E-2</v>
      </c>
      <c r="AA121" s="142">
        <f>B121*IBGE_2!AA$121/100</f>
        <v>0.33</v>
      </c>
      <c r="AB121" s="142">
        <f>B121*IBGE_2!AB$121/100</f>
        <v>4.9000000000000004</v>
      </c>
      <c r="AC121" s="142">
        <f>B121*IBGE_2!AC$121/100</f>
        <v>0.65</v>
      </c>
      <c r="AD121" s="142" t="s">
        <v>3047</v>
      </c>
      <c r="AE121" s="142">
        <f>B121*IBGE_2!AE$121/100</f>
        <v>109</v>
      </c>
      <c r="AF121" s="142" t="s">
        <v>3047</v>
      </c>
      <c r="AG121" s="142">
        <f>B121*IBGE_2!AG$121/100</f>
        <v>0.04</v>
      </c>
      <c r="AH121" s="142" t="s">
        <v>3047</v>
      </c>
      <c r="AI121" s="142" t="s">
        <v>3047</v>
      </c>
      <c r="AJ121" s="142">
        <f>B121*IBGE_2!AJ$121/100</f>
        <v>0.7</v>
      </c>
      <c r="AK121" s="142">
        <f>B121*IBGE_2!AK$121/100</f>
        <v>1.67</v>
      </c>
      <c r="AL121" s="142">
        <f>B121*IBGE_2!AL$121/100</f>
        <v>6.5</v>
      </c>
      <c r="AM121" s="142" t="s">
        <v>3047</v>
      </c>
      <c r="AN121" s="161"/>
    </row>
    <row r="122" spans="1:40">
      <c r="A122" s="143" t="s">
        <v>1181</v>
      </c>
      <c r="B122" s="141">
        <v>100</v>
      </c>
      <c r="C122" s="142">
        <f>B122*IBGE_2!C$122/100</f>
        <v>44</v>
      </c>
      <c r="D122" s="142">
        <f>B122*IBGE_2!D$122/100</f>
        <v>1.68</v>
      </c>
      <c r="E122" s="142">
        <f>B122*IBGE_2!E$122/100</f>
        <v>0.18</v>
      </c>
      <c r="F122" s="142">
        <f>B122*IBGE_2!F$122/100</f>
        <v>0.03</v>
      </c>
      <c r="G122" s="142">
        <f>B122*IBGE_2!G$122/100</f>
        <v>0.04</v>
      </c>
      <c r="H122" s="142">
        <f>B122*IBGE_2!H$122/100</f>
        <v>0.06</v>
      </c>
      <c r="I122" s="142">
        <f>B122*IBGE_2!I$122/100</f>
        <v>0.06</v>
      </c>
      <c r="J122" s="142">
        <f>B122*IBGE_2!J$122/100</f>
        <v>0.01</v>
      </c>
      <c r="K122" s="142" t="s">
        <v>3047</v>
      </c>
      <c r="L122" s="142">
        <f>B122*IBGE_2!L$122/100</f>
        <v>9.9600000000000009</v>
      </c>
      <c r="M122" s="142">
        <f>B122*IBGE_2!M$122/100</f>
        <v>2</v>
      </c>
      <c r="N122" s="142">
        <f>B122*IBGE_2!N$122/100</f>
        <v>16</v>
      </c>
      <c r="O122" s="142">
        <f>B122*IBGE_2!O$122/100</f>
        <v>23</v>
      </c>
      <c r="P122" s="142">
        <f>B122*IBGE_2!P$122/100</f>
        <v>0.33</v>
      </c>
      <c r="Q122" s="142">
        <f>B122*IBGE_2!Q$122/100</f>
        <v>38</v>
      </c>
      <c r="R122" s="142">
        <f>B122*IBGE_2!R$122/100</f>
        <v>0.79</v>
      </c>
      <c r="S122" s="142">
        <f>B122*IBGE_2!S$122/100</f>
        <v>77</v>
      </c>
      <c r="T122" s="142">
        <f>B122*IBGE_2!T$122/100</f>
        <v>305</v>
      </c>
      <c r="U122" s="142">
        <f>B122*IBGE_2!U$122/100</f>
        <v>7.0000000000000007E-2</v>
      </c>
      <c r="V122" s="142">
        <f>B122*IBGE_2!V$122/100</f>
        <v>0.35</v>
      </c>
      <c r="W122" s="142" t="s">
        <v>3047</v>
      </c>
      <c r="X122" s="142">
        <f>B122*IBGE_2!X$122/100</f>
        <v>0.03</v>
      </c>
      <c r="Y122" s="142">
        <f>B122*IBGE_2!Y$122/100</f>
        <v>0.04</v>
      </c>
      <c r="Z122" s="142">
        <f>B122*IBGE_2!Z$122/100</f>
        <v>7.0000000000000007E-2</v>
      </c>
      <c r="AA122" s="142">
        <f>B122*IBGE_2!AA$122/100</f>
        <v>0.33</v>
      </c>
      <c r="AB122" s="142">
        <f>B122*IBGE_2!AB$122/100</f>
        <v>3.6</v>
      </c>
      <c r="AC122" s="142">
        <f>B122*IBGE_2!AC$122/100</f>
        <v>0.66</v>
      </c>
      <c r="AD122" s="142" t="s">
        <v>3047</v>
      </c>
      <c r="AE122" s="142">
        <f>B122*IBGE_2!AE$122/100</f>
        <v>80</v>
      </c>
      <c r="AF122" s="142" t="s">
        <v>3047</v>
      </c>
      <c r="AG122" s="142">
        <f>B122*IBGE_2!AG$122/100</f>
        <v>0.04</v>
      </c>
      <c r="AH122" s="142" t="s">
        <v>3047</v>
      </c>
      <c r="AI122" s="142">
        <f>B122*IBGE_2!AI$122/100</f>
        <v>222</v>
      </c>
      <c r="AJ122" s="142">
        <f>B122*IBGE_2!AJ$122/100</f>
        <v>0.7</v>
      </c>
      <c r="AK122" s="142">
        <f>B122*IBGE_2!AK$122/100</f>
        <v>1.75</v>
      </c>
      <c r="AL122" s="142">
        <f>B122*IBGE_2!AL$122/100</f>
        <v>8.8000000000000007</v>
      </c>
      <c r="AM122" s="142" t="s">
        <v>3047</v>
      </c>
      <c r="AN122" s="161"/>
    </row>
    <row r="123" spans="1:40">
      <c r="A123" s="143" t="s">
        <v>1182</v>
      </c>
      <c r="B123" s="141">
        <v>100</v>
      </c>
      <c r="C123" s="142">
        <f>B123*IBGE_2!C$123/100</f>
        <v>67.62</v>
      </c>
      <c r="D123" s="142">
        <f>B123*IBGE_2!D$123/100</f>
        <v>1.68</v>
      </c>
      <c r="E123" s="142">
        <f>B123*IBGE_2!E$123/100</f>
        <v>2.85</v>
      </c>
      <c r="F123" s="142">
        <f>B123*IBGE_2!F$123/100</f>
        <v>0.41</v>
      </c>
      <c r="G123" s="142">
        <f>B123*IBGE_2!G$123/100</f>
        <v>0.66</v>
      </c>
      <c r="H123" s="142">
        <f>B123*IBGE_2!H$123/100</f>
        <v>1.61</v>
      </c>
      <c r="I123" s="142">
        <f>B123*IBGE_2!I$123/100</f>
        <v>1.42</v>
      </c>
      <c r="J123" s="142">
        <f>B123*IBGE_2!J$123/100</f>
        <v>0.19</v>
      </c>
      <c r="K123" s="142" t="s">
        <v>3047</v>
      </c>
      <c r="L123" s="142">
        <f>B123*IBGE_2!L$123/100</f>
        <v>9.9600000000000009</v>
      </c>
      <c r="M123" s="142">
        <f>B123*IBGE_2!M$123/100</f>
        <v>2</v>
      </c>
      <c r="N123" s="142">
        <f>B123*IBGE_2!N$123/100</f>
        <v>16</v>
      </c>
      <c r="O123" s="142">
        <f>B123*IBGE_2!O$123/100</f>
        <v>23</v>
      </c>
      <c r="P123" s="142">
        <f>B123*IBGE_2!P$123/100</f>
        <v>0.33</v>
      </c>
      <c r="Q123" s="142">
        <f>B123*IBGE_2!Q$123/100</f>
        <v>38</v>
      </c>
      <c r="R123" s="142">
        <f>B123*IBGE_2!R$123/100</f>
        <v>0.79</v>
      </c>
      <c r="S123" s="142">
        <f>B123*IBGE_2!S$123/100</f>
        <v>77</v>
      </c>
      <c r="T123" s="142">
        <f>B123*IBGE_2!T$123/100</f>
        <v>305</v>
      </c>
      <c r="U123" s="142">
        <f>B123*IBGE_2!U$123/100</f>
        <v>7.0000000000000007E-2</v>
      </c>
      <c r="V123" s="142">
        <f>B123*IBGE_2!V$123/100</f>
        <v>0.35</v>
      </c>
      <c r="W123" s="142" t="s">
        <v>3047</v>
      </c>
      <c r="X123" s="142">
        <f>B123*IBGE_2!X$123/100</f>
        <v>0.03</v>
      </c>
      <c r="Y123" s="142">
        <f>B123*IBGE_2!Y$123/100</f>
        <v>0.04</v>
      </c>
      <c r="Z123" s="142">
        <f>B123*IBGE_2!Z$123/100</f>
        <v>7.0000000000000007E-2</v>
      </c>
      <c r="AA123" s="142">
        <f>B123*IBGE_2!AA$123/100</f>
        <v>0.33</v>
      </c>
      <c r="AB123" s="142">
        <f>B123*IBGE_2!AB$123/100</f>
        <v>3.6</v>
      </c>
      <c r="AC123" s="142">
        <f>B123*IBGE_2!AC$123/100</f>
        <v>0.66</v>
      </c>
      <c r="AD123" s="142" t="s">
        <v>3047</v>
      </c>
      <c r="AE123" s="142">
        <f>B123*IBGE_2!AE$123/100</f>
        <v>80</v>
      </c>
      <c r="AF123" s="142" t="s">
        <v>3047</v>
      </c>
      <c r="AG123" s="142">
        <f>B123*IBGE_2!AG$123/100</f>
        <v>0.28999999999999998</v>
      </c>
      <c r="AH123" s="142" t="s">
        <v>3047</v>
      </c>
      <c r="AI123" s="142">
        <f>B123*IBGE_2!AI$123/100</f>
        <v>222</v>
      </c>
      <c r="AJ123" s="142">
        <f>B123*IBGE_2!AJ$123/100</f>
        <v>1.92</v>
      </c>
      <c r="AK123" s="142">
        <f>B123*IBGE_2!AK$123/100</f>
        <v>1.75</v>
      </c>
      <c r="AL123" s="142">
        <f>B123*IBGE_2!AL$123/100</f>
        <v>8.8000000000000007</v>
      </c>
      <c r="AM123" s="142" t="s">
        <v>3047</v>
      </c>
      <c r="AN123" s="161"/>
    </row>
    <row r="124" spans="1:40">
      <c r="A124" s="143" t="s">
        <v>1183</v>
      </c>
      <c r="B124" s="141">
        <v>100</v>
      </c>
      <c r="C124" s="142">
        <f>B124*IBGE_2!C$124/100</f>
        <v>44</v>
      </c>
      <c r="D124" s="142">
        <f>B124*IBGE_2!D$124/100</f>
        <v>1.68</v>
      </c>
      <c r="E124" s="142">
        <f>B124*IBGE_2!E$124/100</f>
        <v>0.18</v>
      </c>
      <c r="F124" s="142">
        <f>B124*IBGE_2!F$124/100</f>
        <v>0.03</v>
      </c>
      <c r="G124" s="142">
        <f>B124*IBGE_2!G$124/100</f>
        <v>0.04</v>
      </c>
      <c r="H124" s="142">
        <f>B124*IBGE_2!H$124/100</f>
        <v>0.06</v>
      </c>
      <c r="I124" s="142">
        <f>B124*IBGE_2!I$124/100</f>
        <v>0.06</v>
      </c>
      <c r="J124" s="142">
        <f>B124*IBGE_2!J$124/100</f>
        <v>0.01</v>
      </c>
      <c r="K124" s="142" t="s">
        <v>3047</v>
      </c>
      <c r="L124" s="142">
        <f>B124*IBGE_2!L$124/100</f>
        <v>9.9600000000000009</v>
      </c>
      <c r="M124" s="142">
        <f>B124*IBGE_2!M$124/100</f>
        <v>2</v>
      </c>
      <c r="N124" s="142">
        <f>B124*IBGE_2!N$124/100</f>
        <v>16</v>
      </c>
      <c r="O124" s="142">
        <f>B124*IBGE_2!O$124/100</f>
        <v>23</v>
      </c>
      <c r="P124" s="142">
        <f>B124*IBGE_2!P$124/100</f>
        <v>0.33</v>
      </c>
      <c r="Q124" s="142">
        <f>B124*IBGE_2!Q$124/100</f>
        <v>38</v>
      </c>
      <c r="R124" s="142">
        <f>B124*IBGE_2!R$124/100</f>
        <v>0.79</v>
      </c>
      <c r="S124" s="142">
        <f>B124*IBGE_2!S$124/100</f>
        <v>77</v>
      </c>
      <c r="T124" s="142">
        <f>B124*IBGE_2!T$124/100</f>
        <v>305</v>
      </c>
      <c r="U124" s="142">
        <f>B124*IBGE_2!U$124/100</f>
        <v>7.0000000000000007E-2</v>
      </c>
      <c r="V124" s="142">
        <f>B124*IBGE_2!V$124/100</f>
        <v>0.35</v>
      </c>
      <c r="W124" s="142" t="s">
        <v>3047</v>
      </c>
      <c r="X124" s="142">
        <f>B124*IBGE_2!X$124/100</f>
        <v>0.03</v>
      </c>
      <c r="Y124" s="142">
        <f>B124*IBGE_2!Y$124/100</f>
        <v>0.04</v>
      </c>
      <c r="Z124" s="142">
        <f>B124*IBGE_2!Z$124/100</f>
        <v>7.0000000000000007E-2</v>
      </c>
      <c r="AA124" s="142">
        <f>B124*IBGE_2!AA$124/100</f>
        <v>0.33</v>
      </c>
      <c r="AB124" s="142">
        <f>B124*IBGE_2!AB$124/100</f>
        <v>3.6</v>
      </c>
      <c r="AC124" s="142">
        <f>B124*IBGE_2!AC$124/100</f>
        <v>0.66</v>
      </c>
      <c r="AD124" s="142" t="s">
        <v>3047</v>
      </c>
      <c r="AE124" s="142">
        <f>B124*IBGE_2!AE$124/100</f>
        <v>80</v>
      </c>
      <c r="AF124" s="142" t="s">
        <v>3047</v>
      </c>
      <c r="AG124" s="142">
        <f>B124*IBGE_2!AG$124/100</f>
        <v>0.04</v>
      </c>
      <c r="AH124" s="142" t="s">
        <v>3047</v>
      </c>
      <c r="AI124" s="142">
        <f>B124*IBGE_2!AI$124/100</f>
        <v>222</v>
      </c>
      <c r="AJ124" s="142">
        <f>B124*IBGE_2!AJ$124/100</f>
        <v>0.7</v>
      </c>
      <c r="AK124" s="142">
        <f>B124*IBGE_2!AK$124/100</f>
        <v>1.75</v>
      </c>
      <c r="AL124" s="142">
        <f>B124*IBGE_2!AL$124/100</f>
        <v>8.8000000000000007</v>
      </c>
      <c r="AM124" s="142" t="s">
        <v>3047</v>
      </c>
      <c r="AN124" s="161"/>
    </row>
    <row r="125" spans="1:40">
      <c r="A125" s="143" t="s">
        <v>1184</v>
      </c>
      <c r="B125" s="141">
        <v>100</v>
      </c>
      <c r="C125" s="142">
        <f>B125*IBGE_2!C$125/100</f>
        <v>31.443000000000001</v>
      </c>
      <c r="D125" s="142">
        <f>B125*IBGE_2!D$125/100</f>
        <v>0.94799999999999995</v>
      </c>
      <c r="E125" s="142">
        <f>B125*IBGE_2!E$125/100</f>
        <v>0.12300000000000001</v>
      </c>
      <c r="F125" s="142">
        <f>B125*IBGE_2!F$125/100</f>
        <v>3.9E-2</v>
      </c>
      <c r="G125" s="142">
        <f>B125*IBGE_2!G$125/100</f>
        <v>2.7000000000000003E-2</v>
      </c>
      <c r="H125" s="142">
        <f>B125*IBGE_2!H$125/100</f>
        <v>3.2000000000000001E-2</v>
      </c>
      <c r="I125" s="142">
        <f>B125*IBGE_2!I$125/100</f>
        <v>2.7000000000000003E-2</v>
      </c>
      <c r="J125" s="142">
        <f>B125*IBGE_2!J$125/100</f>
        <v>5.0000000000000001E-3</v>
      </c>
      <c r="K125" s="142" t="s">
        <v>3047</v>
      </c>
      <c r="L125" s="142">
        <f>B125*IBGE_2!L$125/100</f>
        <v>7.0119999999999996</v>
      </c>
      <c r="M125" s="142">
        <f>B125*IBGE_2!M$125/100</f>
        <v>0.71099999999999997</v>
      </c>
      <c r="N125" s="142">
        <f>B125*IBGE_2!N$125/100</f>
        <v>8.5549999999999997</v>
      </c>
      <c r="O125" s="142">
        <f>B125*IBGE_2!O$125/100</f>
        <v>6.3470000000000004</v>
      </c>
      <c r="P125" s="142">
        <f>B125*IBGE_2!P$125/100</f>
        <v>6.8000000000000005E-2</v>
      </c>
      <c r="Q125" s="142">
        <f>B125*IBGE_2!Q$125/100</f>
        <v>15.762</v>
      </c>
      <c r="R125" s="142">
        <f>B125*IBGE_2!R$125/100</f>
        <v>0.28499999999999998</v>
      </c>
      <c r="S125" s="142">
        <f>B125*IBGE_2!S$125/100</f>
        <v>310.43200000000002</v>
      </c>
      <c r="T125" s="142">
        <f>B125*IBGE_2!T$125/100</f>
        <v>88.314999999999998</v>
      </c>
      <c r="U125" s="142">
        <f>B125*IBGE_2!U$125/100</f>
        <v>3.9E-2</v>
      </c>
      <c r="V125" s="142">
        <f>B125*IBGE_2!V$125/100</f>
        <v>0.115</v>
      </c>
      <c r="W125" s="142" t="s">
        <v>3047</v>
      </c>
      <c r="X125" s="142">
        <f>B125*IBGE_2!X$125/100</f>
        <v>0.03</v>
      </c>
      <c r="Y125" s="142">
        <f>B125*IBGE_2!Y$125/100</f>
        <v>2.6000000000000002E-2</v>
      </c>
      <c r="Z125" s="142">
        <f>B125*IBGE_2!Z$125/100</f>
        <v>0.04</v>
      </c>
      <c r="AA125" s="142">
        <f>B125*IBGE_2!AA$125/100</f>
        <v>0.505</v>
      </c>
      <c r="AB125" s="142">
        <f>B125*IBGE_2!AB$125/100</f>
        <v>2.0990000000000002</v>
      </c>
      <c r="AC125" s="142">
        <f>B125*IBGE_2!AC$125/100</f>
        <v>0.66700000000000004</v>
      </c>
      <c r="AD125" s="142">
        <f>B125*IBGE_2!AD$125/100</f>
        <v>1.4999999999999999E-2</v>
      </c>
      <c r="AE125" s="142">
        <f>B125*IBGE_2!AE$125/100</f>
        <v>9.2759999999999998</v>
      </c>
      <c r="AF125" s="142" t="s">
        <v>3047</v>
      </c>
      <c r="AG125" s="142">
        <f>B125*IBGE_2!AG$125/100</f>
        <v>0.20399999999999999</v>
      </c>
      <c r="AH125" s="142">
        <f>B125*IBGE_2!AH$125/100</f>
        <v>2E-3</v>
      </c>
      <c r="AI125" s="142" t="s">
        <v>3047</v>
      </c>
      <c r="AJ125" s="142">
        <f>B125*IBGE_2!AJ$125/100</f>
        <v>1.3440000000000001</v>
      </c>
      <c r="AK125" s="142">
        <f>B125*IBGE_2!AK$125/100</f>
        <v>33.475999999999999</v>
      </c>
      <c r="AL125" s="142">
        <f>B125*IBGE_2!AL$125/100</f>
        <v>3.2749999999999999</v>
      </c>
      <c r="AM125" s="142">
        <f>B125*IBGE_2!AM$125/100</f>
        <v>2.5230000000000001</v>
      </c>
      <c r="AN125" s="161"/>
    </row>
    <row r="126" spans="1:40">
      <c r="A126" s="143" t="s">
        <v>1185</v>
      </c>
      <c r="B126" s="141">
        <v>100</v>
      </c>
      <c r="C126" s="142">
        <f>B126*IBGE_2!C$126/100</f>
        <v>43</v>
      </c>
      <c r="D126" s="142">
        <f>B126*IBGE_2!D$126/100</f>
        <v>1.61</v>
      </c>
      <c r="E126" s="142">
        <f>B126*IBGE_2!E$126/100</f>
        <v>0.17</v>
      </c>
      <c r="F126" s="142">
        <f>B126*IBGE_2!F$126/100</f>
        <v>0.03</v>
      </c>
      <c r="G126" s="142">
        <f>B126*IBGE_2!G$126/100</f>
        <v>0.03</v>
      </c>
      <c r="H126" s="142">
        <f>B126*IBGE_2!H$126/100</f>
        <v>0.06</v>
      </c>
      <c r="I126" s="142">
        <f>B126*IBGE_2!I$126/100</f>
        <v>0.06</v>
      </c>
      <c r="J126" s="142">
        <f>B126*IBGE_2!J$126/100</f>
        <v>0.01</v>
      </c>
      <c r="K126" s="142" t="s">
        <v>3047</v>
      </c>
      <c r="L126" s="142">
        <f>B126*IBGE_2!L$126/100</f>
        <v>9.56</v>
      </c>
      <c r="M126" s="142">
        <f>B126*IBGE_2!M$126/100</f>
        <v>2.8</v>
      </c>
      <c r="N126" s="142">
        <f>B126*IBGE_2!N$126/100</f>
        <v>16</v>
      </c>
      <c r="O126" s="142">
        <f>B126*IBGE_2!O$126/100</f>
        <v>23</v>
      </c>
      <c r="P126" s="142">
        <f>B126*IBGE_2!P$126/100</f>
        <v>0.33</v>
      </c>
      <c r="Q126" s="142">
        <f>B126*IBGE_2!Q$126/100</f>
        <v>40</v>
      </c>
      <c r="R126" s="142">
        <f>B126*IBGE_2!R$126/100</f>
        <v>0.8</v>
      </c>
      <c r="S126" s="142">
        <f>B126*IBGE_2!S$126/100</f>
        <v>78</v>
      </c>
      <c r="T126" s="142">
        <f>B126*IBGE_2!T$126/100</f>
        <v>325</v>
      </c>
      <c r="U126" s="142">
        <f>B126*IBGE_2!U$126/100</f>
        <v>0.08</v>
      </c>
      <c r="V126" s="142">
        <f>B126*IBGE_2!V$126/100</f>
        <v>0.35</v>
      </c>
      <c r="W126" s="142" t="s">
        <v>3047</v>
      </c>
      <c r="X126" s="142">
        <f>B126*IBGE_2!X$126/100</f>
        <v>0.03</v>
      </c>
      <c r="Y126" s="142">
        <f>B126*IBGE_2!Y$126/100</f>
        <v>0.04</v>
      </c>
      <c r="Z126" s="142">
        <f>B126*IBGE_2!Z$126/100</f>
        <v>7.0000000000000007E-2</v>
      </c>
      <c r="AA126" s="142">
        <f>B126*IBGE_2!AA$126/100</f>
        <v>0.33</v>
      </c>
      <c r="AB126" s="142">
        <f>B126*IBGE_2!AB$126/100</f>
        <v>4.9000000000000004</v>
      </c>
      <c r="AC126" s="142">
        <f>B126*IBGE_2!AC$126/100</f>
        <v>0.65</v>
      </c>
      <c r="AD126" s="142" t="s">
        <v>3047</v>
      </c>
      <c r="AE126" s="142">
        <f>B126*IBGE_2!AE$126/100</f>
        <v>109</v>
      </c>
      <c r="AF126" s="142" t="s">
        <v>3047</v>
      </c>
      <c r="AG126" s="142">
        <f>B126*IBGE_2!AG$126/100</f>
        <v>0.04</v>
      </c>
      <c r="AH126" s="142" t="s">
        <v>3047</v>
      </c>
      <c r="AI126" s="142" t="s">
        <v>3047</v>
      </c>
      <c r="AJ126" s="142">
        <f>B126*IBGE_2!AJ$126/100</f>
        <v>0.7</v>
      </c>
      <c r="AK126" s="142">
        <f>B126*IBGE_2!AK$126/100</f>
        <v>1.67</v>
      </c>
      <c r="AL126" s="142">
        <f>B126*IBGE_2!AL$126/100</f>
        <v>6.5</v>
      </c>
      <c r="AM126" s="142" t="s">
        <v>3047</v>
      </c>
      <c r="AN126" s="161"/>
    </row>
    <row r="127" spans="1:40">
      <c r="A127" s="143" t="s">
        <v>1186</v>
      </c>
      <c r="B127" s="141">
        <v>100</v>
      </c>
      <c r="C127" s="142">
        <f>B127*IBGE_2!C$127/100</f>
        <v>41</v>
      </c>
      <c r="D127" s="142">
        <f>B127*IBGE_2!D$127/100</f>
        <v>0.93</v>
      </c>
      <c r="E127" s="142">
        <f>B127*IBGE_2!E$127/100</f>
        <v>0.24</v>
      </c>
      <c r="F127" s="142">
        <f>B127*IBGE_2!F$127/100</f>
        <v>0.04</v>
      </c>
      <c r="G127" s="142">
        <f>B127*IBGE_2!G$127/100</f>
        <v>0.01</v>
      </c>
      <c r="H127" s="142">
        <f>B127*IBGE_2!H$127/100</f>
        <v>0.12</v>
      </c>
      <c r="I127" s="142">
        <f>B127*IBGE_2!I$127/100</f>
        <v>0.12</v>
      </c>
      <c r="J127" s="142" t="s">
        <v>3047</v>
      </c>
      <c r="K127" s="142" t="s">
        <v>3047</v>
      </c>
      <c r="L127" s="142">
        <f>B127*IBGE_2!L$127/100</f>
        <v>9.58</v>
      </c>
      <c r="M127" s="142">
        <f>B127*IBGE_2!M$127/100</f>
        <v>2.8</v>
      </c>
      <c r="N127" s="142">
        <f>B127*IBGE_2!N$127/100</f>
        <v>33</v>
      </c>
      <c r="O127" s="142">
        <f>B127*IBGE_2!O$127/100</f>
        <v>12</v>
      </c>
      <c r="P127" s="142">
        <f>B127*IBGE_2!P$127/100</f>
        <v>0.14000000000000001</v>
      </c>
      <c r="Q127" s="142">
        <f>B127*IBGE_2!Q$127/100</f>
        <v>35</v>
      </c>
      <c r="R127" s="142">
        <f>B127*IBGE_2!R$127/100</f>
        <v>0.3</v>
      </c>
      <c r="S127" s="142">
        <f>B127*IBGE_2!S$127/100</f>
        <v>69</v>
      </c>
      <c r="T127" s="142">
        <f>B127*IBGE_2!T$127/100</f>
        <v>320</v>
      </c>
      <c r="U127" s="142">
        <f>B127*IBGE_2!U$127/100</f>
        <v>0.05</v>
      </c>
      <c r="V127" s="142">
        <f>B127*IBGE_2!V$127/100</f>
        <v>0.24</v>
      </c>
      <c r="W127" s="142" t="s">
        <v>3047</v>
      </c>
      <c r="X127" s="142">
        <f>B127*IBGE_2!X$127/100</f>
        <v>7.0000000000000007E-2</v>
      </c>
      <c r="Y127" s="142">
        <f>B127*IBGE_2!Y$127/100</f>
        <v>0.06</v>
      </c>
      <c r="Z127" s="142">
        <f>B127*IBGE_2!Z$127/100</f>
        <v>0.14000000000000001</v>
      </c>
      <c r="AA127" s="142">
        <f>B127*IBGE_2!AA$127/100</f>
        <v>0.98</v>
      </c>
      <c r="AB127" s="142">
        <f>B127*IBGE_2!AB$127/100</f>
        <v>5.9</v>
      </c>
      <c r="AC127" s="142">
        <f>B127*IBGE_2!AC$127/100</f>
        <v>1.18</v>
      </c>
      <c r="AD127" s="142" t="s">
        <v>3047</v>
      </c>
      <c r="AE127" s="142">
        <f>B127*IBGE_2!AE$127/100</f>
        <v>19</v>
      </c>
      <c r="AF127" s="142" t="s">
        <v>3047</v>
      </c>
      <c r="AG127" s="142">
        <f>B127*IBGE_2!AG$127/100</f>
        <v>0.86</v>
      </c>
      <c r="AH127" s="142" t="s">
        <v>3047</v>
      </c>
      <c r="AI127" s="142" t="s">
        <v>3047</v>
      </c>
      <c r="AJ127" s="142">
        <f>B127*IBGE_2!AJ$127/100</f>
        <v>0.1</v>
      </c>
      <c r="AK127" s="142">
        <f>B127*IBGE_2!AK$127/100</f>
        <v>840.5</v>
      </c>
      <c r="AL127" s="142">
        <f>B127*IBGE_2!AL$127/100</f>
        <v>4.7300000000000004</v>
      </c>
      <c r="AM127" s="142" t="s">
        <v>3047</v>
      </c>
      <c r="AN127" s="161"/>
    </row>
    <row r="128" spans="1:40">
      <c r="A128" s="143" t="s">
        <v>1187</v>
      </c>
      <c r="B128" s="141">
        <v>100</v>
      </c>
      <c r="C128" s="142">
        <f>B128*IBGE_2!C$128/100</f>
        <v>35</v>
      </c>
      <c r="D128" s="142">
        <f>B128*IBGE_2!D$128/100</f>
        <v>0.76</v>
      </c>
      <c r="E128" s="142">
        <f>B128*IBGE_2!E$128/100</f>
        <v>0.18</v>
      </c>
      <c r="F128" s="142">
        <f>B128*IBGE_2!F$128/100</f>
        <v>0.03</v>
      </c>
      <c r="G128" s="142">
        <f>B128*IBGE_2!G$128/100</f>
        <v>0.01</v>
      </c>
      <c r="H128" s="142">
        <f>B128*IBGE_2!H$128/100</f>
        <v>0.09</v>
      </c>
      <c r="I128" s="142">
        <f>B128*IBGE_2!I$128/100</f>
        <v>0.09</v>
      </c>
      <c r="J128" s="142" t="s">
        <v>3047</v>
      </c>
      <c r="K128" s="142" t="s">
        <v>3047</v>
      </c>
      <c r="L128" s="142">
        <f>B128*IBGE_2!L$128/100</f>
        <v>8.2200000000000006</v>
      </c>
      <c r="M128" s="142">
        <f>B128*IBGE_2!M$128/100</f>
        <v>3</v>
      </c>
      <c r="N128" s="142">
        <f>B128*IBGE_2!N$128/100</f>
        <v>30</v>
      </c>
      <c r="O128" s="142">
        <f>B128*IBGE_2!O$128/100</f>
        <v>10</v>
      </c>
      <c r="P128" s="142">
        <f>B128*IBGE_2!P$128/100</f>
        <v>0.16</v>
      </c>
      <c r="Q128" s="142">
        <f>B128*IBGE_2!Q$128/100</f>
        <v>30</v>
      </c>
      <c r="R128" s="142">
        <f>B128*IBGE_2!R$128/100</f>
        <v>0.34</v>
      </c>
      <c r="S128" s="142">
        <f>B128*IBGE_2!S$128/100</f>
        <v>58</v>
      </c>
      <c r="T128" s="142">
        <f>B128*IBGE_2!T$128/100</f>
        <v>235</v>
      </c>
      <c r="U128" s="142">
        <f>B128*IBGE_2!U$128/100</f>
        <v>0.02</v>
      </c>
      <c r="V128" s="142">
        <f>B128*IBGE_2!V$128/100</f>
        <v>0.2</v>
      </c>
      <c r="W128" s="142" t="s">
        <v>3047</v>
      </c>
      <c r="X128" s="142">
        <f>B128*IBGE_2!X$128/100</f>
        <v>7.0000000000000007E-2</v>
      </c>
      <c r="Y128" s="142">
        <f>B128*IBGE_2!Y$128/100</f>
        <v>0.04</v>
      </c>
      <c r="Z128" s="142">
        <f>B128*IBGE_2!Z$128/100</f>
        <v>0.15</v>
      </c>
      <c r="AA128" s="142">
        <f>B128*IBGE_2!AA$128/100</f>
        <v>0.65</v>
      </c>
      <c r="AB128" s="142">
        <f>B128*IBGE_2!AB$128/100</f>
        <v>3.6</v>
      </c>
      <c r="AC128" s="142">
        <f>B128*IBGE_2!AC$128/100</f>
        <v>0.81</v>
      </c>
      <c r="AD128" s="142" t="s">
        <v>3047</v>
      </c>
      <c r="AE128" s="142">
        <f>B128*IBGE_2!AE$128/100</f>
        <v>14</v>
      </c>
      <c r="AF128" s="142" t="s">
        <v>3047</v>
      </c>
      <c r="AG128" s="142">
        <f>B128*IBGE_2!AG$128/100</f>
        <v>1.03</v>
      </c>
      <c r="AH128" s="142" t="s">
        <v>3047</v>
      </c>
      <c r="AI128" s="142">
        <f>B128*IBGE_2!AI$128/100</f>
        <v>242</v>
      </c>
      <c r="AJ128" s="142">
        <f>B128*IBGE_2!AJ$128/100</f>
        <v>0.7</v>
      </c>
      <c r="AK128" s="142">
        <f>B128*IBGE_2!AK$128/100</f>
        <v>860.08</v>
      </c>
      <c r="AL128" s="142">
        <f>B128*IBGE_2!AL$128/100</f>
        <v>3.46</v>
      </c>
      <c r="AM128" s="142" t="s">
        <v>3047</v>
      </c>
      <c r="AN128" s="161"/>
    </row>
    <row r="129" spans="1:40">
      <c r="A129" s="143" t="s">
        <v>1188</v>
      </c>
      <c r="B129" s="141">
        <v>100</v>
      </c>
      <c r="C129" s="142">
        <f>B129*IBGE_2!C$129/100</f>
        <v>60.47</v>
      </c>
      <c r="D129" s="142">
        <f>B129*IBGE_2!D$129/100</f>
        <v>0.74</v>
      </c>
      <c r="E129" s="142">
        <f>B129*IBGE_2!E$129/100</f>
        <v>3.17</v>
      </c>
      <c r="F129" s="142">
        <f>B129*IBGE_2!F$129/100</f>
        <v>0.46</v>
      </c>
      <c r="G129" s="142">
        <f>B129*IBGE_2!G$129/100</f>
        <v>0.7</v>
      </c>
      <c r="H129" s="142">
        <f>B129*IBGE_2!H$129/100</f>
        <v>1.82</v>
      </c>
      <c r="I129" s="142">
        <f>B129*IBGE_2!I$129/100</f>
        <v>1.61</v>
      </c>
      <c r="J129" s="142">
        <f>B129*IBGE_2!J$129/100</f>
        <v>0.2</v>
      </c>
      <c r="K129" s="142" t="s">
        <v>3047</v>
      </c>
      <c r="L129" s="142">
        <f>B129*IBGE_2!L$129/100</f>
        <v>7.97</v>
      </c>
      <c r="M129" s="142">
        <f>B129*IBGE_2!M$129/100</f>
        <v>2.91</v>
      </c>
      <c r="N129" s="142">
        <f>B129*IBGE_2!N$129/100</f>
        <v>29.1</v>
      </c>
      <c r="O129" s="142">
        <f>B129*IBGE_2!O$129/100</f>
        <v>9.6999999999999993</v>
      </c>
      <c r="P129" s="142">
        <f>B129*IBGE_2!P$129/100</f>
        <v>0.15</v>
      </c>
      <c r="Q129" s="142">
        <f>B129*IBGE_2!Q$129/100</f>
        <v>29.1</v>
      </c>
      <c r="R129" s="142">
        <f>B129*IBGE_2!R$129/100</f>
        <v>0.33</v>
      </c>
      <c r="S129" s="142">
        <f>B129*IBGE_2!S$129/100</f>
        <v>56.26</v>
      </c>
      <c r="T129" s="142">
        <f>B129*IBGE_2!T$129/100</f>
        <v>227.95</v>
      </c>
      <c r="U129" s="142">
        <f>B129*IBGE_2!U$129/100</f>
        <v>0.02</v>
      </c>
      <c r="V129" s="142">
        <f>B129*IBGE_2!V$129/100</f>
        <v>0.19</v>
      </c>
      <c r="W129" s="142" t="s">
        <v>3047</v>
      </c>
      <c r="X129" s="142">
        <f>B129*IBGE_2!X$129/100</f>
        <v>0.06</v>
      </c>
      <c r="Y129" s="142">
        <f>B129*IBGE_2!Y$129/100</f>
        <v>0.04</v>
      </c>
      <c r="Z129" s="142">
        <f>B129*IBGE_2!Z$129/100</f>
        <v>0.15</v>
      </c>
      <c r="AA129" s="142">
        <f>B129*IBGE_2!AA$129/100</f>
        <v>0.63</v>
      </c>
      <c r="AB129" s="142">
        <f>B129*IBGE_2!AB$129/100</f>
        <v>3.49</v>
      </c>
      <c r="AC129" s="142">
        <f>B129*IBGE_2!AC$129/100</f>
        <v>0.79</v>
      </c>
      <c r="AD129" s="142" t="s">
        <v>3047</v>
      </c>
      <c r="AE129" s="142">
        <f>B129*IBGE_2!AE$129/100</f>
        <v>13.58</v>
      </c>
      <c r="AF129" s="142" t="s">
        <v>3047</v>
      </c>
      <c r="AG129" s="142">
        <f>B129*IBGE_2!AG$129/100</f>
        <v>1.28</v>
      </c>
      <c r="AH129" s="142" t="s">
        <v>3047</v>
      </c>
      <c r="AI129" s="142">
        <f>B129*IBGE_2!AI$129/100</f>
        <v>242</v>
      </c>
      <c r="AJ129" s="142">
        <f>B129*IBGE_2!AJ$129/100</f>
        <v>2.0499999999999998</v>
      </c>
      <c r="AK129" s="142">
        <f>B129*IBGE_2!AK$129/100</f>
        <v>834.28</v>
      </c>
      <c r="AL129" s="142">
        <f>B129*IBGE_2!AL$129/100</f>
        <v>3.36</v>
      </c>
      <c r="AM129" s="142" t="s">
        <v>3047</v>
      </c>
      <c r="AN129" s="161"/>
    </row>
    <row r="130" spans="1:40">
      <c r="A130" s="143" t="s">
        <v>1189</v>
      </c>
      <c r="B130" s="141">
        <v>100</v>
      </c>
      <c r="C130" s="142">
        <f>B130*IBGE_2!C$130/100</f>
        <v>60.47</v>
      </c>
      <c r="D130" s="142">
        <f>B130*IBGE_2!D$130/100</f>
        <v>0.74</v>
      </c>
      <c r="E130" s="142">
        <f>B130*IBGE_2!E$130/100</f>
        <v>3.17</v>
      </c>
      <c r="F130" s="142">
        <f>B130*IBGE_2!F$130/100</f>
        <v>0.46</v>
      </c>
      <c r="G130" s="142">
        <f>B130*IBGE_2!G$130/100</f>
        <v>0.7</v>
      </c>
      <c r="H130" s="142">
        <f>B130*IBGE_2!H$130/100</f>
        <v>1.82</v>
      </c>
      <c r="I130" s="142">
        <f>B130*IBGE_2!I$130/100</f>
        <v>1.61</v>
      </c>
      <c r="J130" s="142">
        <f>B130*IBGE_2!J$130/100</f>
        <v>0.2</v>
      </c>
      <c r="K130" s="142" t="s">
        <v>3047</v>
      </c>
      <c r="L130" s="142">
        <f>B130*IBGE_2!L$130/100</f>
        <v>7.97</v>
      </c>
      <c r="M130" s="142">
        <f>B130*IBGE_2!M$130/100</f>
        <v>2.91</v>
      </c>
      <c r="N130" s="142">
        <f>B130*IBGE_2!N$130/100</f>
        <v>29.1</v>
      </c>
      <c r="O130" s="142">
        <f>B130*IBGE_2!O$130/100</f>
        <v>9.6999999999999993</v>
      </c>
      <c r="P130" s="142">
        <f>B130*IBGE_2!P$130/100</f>
        <v>0.15</v>
      </c>
      <c r="Q130" s="142">
        <f>B130*IBGE_2!Q$130/100</f>
        <v>29.1</v>
      </c>
      <c r="R130" s="142">
        <f>B130*IBGE_2!R$130/100</f>
        <v>0.33</v>
      </c>
      <c r="S130" s="142">
        <f>B130*IBGE_2!S$130/100</f>
        <v>56.26</v>
      </c>
      <c r="T130" s="142">
        <f>B130*IBGE_2!T$130/100</f>
        <v>227.95</v>
      </c>
      <c r="U130" s="142">
        <f>B130*IBGE_2!U$130/100</f>
        <v>0.02</v>
      </c>
      <c r="V130" s="142">
        <f>B130*IBGE_2!V$130/100</f>
        <v>0.19</v>
      </c>
      <c r="W130" s="142" t="s">
        <v>3047</v>
      </c>
      <c r="X130" s="142">
        <f>B130*IBGE_2!X$130/100</f>
        <v>0.06</v>
      </c>
      <c r="Y130" s="142">
        <f>B130*IBGE_2!Y$130/100</f>
        <v>0.04</v>
      </c>
      <c r="Z130" s="142">
        <f>B130*IBGE_2!Z$130/100</f>
        <v>0.15</v>
      </c>
      <c r="AA130" s="142">
        <f>B130*IBGE_2!AA$130/100</f>
        <v>0.63</v>
      </c>
      <c r="AB130" s="142">
        <f>B130*IBGE_2!AB$130/100</f>
        <v>3.49</v>
      </c>
      <c r="AC130" s="142">
        <f>B130*IBGE_2!AC$130/100</f>
        <v>0.79</v>
      </c>
      <c r="AD130" s="142" t="s">
        <v>3047</v>
      </c>
      <c r="AE130" s="142">
        <f>B130*IBGE_2!AE$130/100</f>
        <v>13.58</v>
      </c>
      <c r="AF130" s="142" t="s">
        <v>3047</v>
      </c>
      <c r="AG130" s="142">
        <f>B130*IBGE_2!AG$130/100</f>
        <v>1.28</v>
      </c>
      <c r="AH130" s="142" t="s">
        <v>3047</v>
      </c>
      <c r="AI130" s="142">
        <f>B130*IBGE_2!AI$130/100</f>
        <v>242</v>
      </c>
      <c r="AJ130" s="142">
        <f>B130*IBGE_2!AJ$130/100</f>
        <v>2.0499999999999998</v>
      </c>
      <c r="AK130" s="142">
        <f>B130*IBGE_2!AK$130/100</f>
        <v>834.28</v>
      </c>
      <c r="AL130" s="142">
        <f>B130*IBGE_2!AL$130/100</f>
        <v>3.36</v>
      </c>
      <c r="AM130" s="142" t="s">
        <v>3047</v>
      </c>
      <c r="AN130" s="161"/>
    </row>
    <row r="131" spans="1:40">
      <c r="A131" s="143" t="s">
        <v>1190</v>
      </c>
      <c r="B131" s="141">
        <v>100</v>
      </c>
      <c r="C131" s="142">
        <f>B131*IBGE_2!C$131/100</f>
        <v>32.799999999999997</v>
      </c>
      <c r="D131" s="142">
        <f>B131*IBGE_2!D$131/100</f>
        <v>0.87</v>
      </c>
      <c r="E131" s="142">
        <f>B131*IBGE_2!E$131/100</f>
        <v>0.18</v>
      </c>
      <c r="F131" s="142">
        <f>B131*IBGE_2!F$131/100</f>
        <v>0.03</v>
      </c>
      <c r="G131" s="142">
        <f>B131*IBGE_2!G$131/100</f>
        <v>0.01</v>
      </c>
      <c r="H131" s="142">
        <f>B131*IBGE_2!H$131/100</f>
        <v>0.09</v>
      </c>
      <c r="I131" s="142">
        <f>B131*IBGE_2!I$131/100</f>
        <v>0.08</v>
      </c>
      <c r="J131" s="142" t="s">
        <v>3047</v>
      </c>
      <c r="K131" s="142" t="s">
        <v>3047</v>
      </c>
      <c r="L131" s="142">
        <f>B131*IBGE_2!L$131/100</f>
        <v>7.65</v>
      </c>
      <c r="M131" s="142">
        <f>B131*IBGE_2!M$131/100</f>
        <v>2.7</v>
      </c>
      <c r="N131" s="142">
        <f>B131*IBGE_2!N$131/100</f>
        <v>26.6</v>
      </c>
      <c r="O131" s="142">
        <f>B131*IBGE_2!O$131/100</f>
        <v>11.2</v>
      </c>
      <c r="P131" s="142">
        <f>B131*IBGE_2!P$131/100</f>
        <v>0.15</v>
      </c>
      <c r="Q131" s="142">
        <f>B131*IBGE_2!Q$131/100</f>
        <v>29.2</v>
      </c>
      <c r="R131" s="142">
        <f>B131*IBGE_2!R$131/100</f>
        <v>0.48</v>
      </c>
      <c r="S131" s="142">
        <f>B131*IBGE_2!S$131/100</f>
        <v>151.19999999999999</v>
      </c>
      <c r="T131" s="142">
        <f>B131*IBGE_2!T$131/100</f>
        <v>254.2</v>
      </c>
      <c r="U131" s="142">
        <f>B131*IBGE_2!U$131/100</f>
        <v>0.04</v>
      </c>
      <c r="V131" s="142">
        <f>B131*IBGE_2!V$131/100</f>
        <v>0.2</v>
      </c>
      <c r="W131" s="142" t="s">
        <v>3047</v>
      </c>
      <c r="X131" s="142">
        <f>B131*IBGE_2!X$131/100</f>
        <v>0.06</v>
      </c>
      <c r="Y131" s="142">
        <f>B131*IBGE_2!Y$131/100</f>
        <v>0.05</v>
      </c>
      <c r="Z131" s="142">
        <f>B131*IBGE_2!Z$131/100</f>
        <v>0.14000000000000001</v>
      </c>
      <c r="AA131" s="142">
        <f>B131*IBGE_2!AA$131/100</f>
        <v>0.71</v>
      </c>
      <c r="AB131" s="142">
        <f>B131*IBGE_2!AB$131/100</f>
        <v>4.28</v>
      </c>
      <c r="AC131" s="142">
        <f>B131*IBGE_2!AC$131/100</f>
        <v>0.88</v>
      </c>
      <c r="AD131" s="142" t="s">
        <v>3047</v>
      </c>
      <c r="AE131" s="142">
        <f>B131*IBGE_2!AE$131/100</f>
        <v>13.4</v>
      </c>
      <c r="AF131" s="142" t="s">
        <v>3047</v>
      </c>
      <c r="AG131" s="142">
        <f>B131*IBGE_2!AG$131/100</f>
        <v>1.1100000000000001</v>
      </c>
      <c r="AH131" s="142" t="s">
        <v>3047</v>
      </c>
      <c r="AI131" s="142">
        <f>B131*IBGE_2!AI$131/100</f>
        <v>242</v>
      </c>
      <c r="AJ131" s="142">
        <f>B131*IBGE_2!AJ$131/100</f>
        <v>0.6</v>
      </c>
      <c r="AK131" s="142">
        <f>B131*IBGE_2!AK$131/100</f>
        <v>691.55</v>
      </c>
      <c r="AL131" s="142">
        <f>B131*IBGE_2!AL$131/100</f>
        <v>3.62</v>
      </c>
      <c r="AM131" s="142" t="s">
        <v>3047</v>
      </c>
      <c r="AN131" s="161"/>
    </row>
    <row r="132" spans="1:40">
      <c r="A132" s="143" t="s">
        <v>1191</v>
      </c>
      <c r="B132" s="141">
        <v>100</v>
      </c>
      <c r="C132" s="142">
        <f>B132*IBGE_2!C$132/100</f>
        <v>60.47</v>
      </c>
      <c r="D132" s="142">
        <f>B132*IBGE_2!D$132/100</f>
        <v>0.74</v>
      </c>
      <c r="E132" s="142">
        <f>B132*IBGE_2!E$132/100</f>
        <v>3.17</v>
      </c>
      <c r="F132" s="142">
        <f>B132*IBGE_2!F$132/100</f>
        <v>0.46</v>
      </c>
      <c r="G132" s="142">
        <f>B132*IBGE_2!G$132/100</f>
        <v>0.7</v>
      </c>
      <c r="H132" s="142">
        <f>B132*IBGE_2!H$132/100</f>
        <v>1.82</v>
      </c>
      <c r="I132" s="142">
        <f>B132*IBGE_2!I$132/100</f>
        <v>1.61</v>
      </c>
      <c r="J132" s="142">
        <f>B132*IBGE_2!J$132/100</f>
        <v>0.2</v>
      </c>
      <c r="K132" s="142" t="s">
        <v>3047</v>
      </c>
      <c r="L132" s="142">
        <f>B132*IBGE_2!L$132/100</f>
        <v>7.97</v>
      </c>
      <c r="M132" s="142">
        <f>B132*IBGE_2!M$132/100</f>
        <v>2.91</v>
      </c>
      <c r="N132" s="142">
        <f>B132*IBGE_2!N$132/100</f>
        <v>29.1</v>
      </c>
      <c r="O132" s="142">
        <f>B132*IBGE_2!O$132/100</f>
        <v>9.6999999999999993</v>
      </c>
      <c r="P132" s="142">
        <f>B132*IBGE_2!P$132/100</f>
        <v>0.15</v>
      </c>
      <c r="Q132" s="142">
        <f>B132*IBGE_2!Q$132/100</f>
        <v>29.1</v>
      </c>
      <c r="R132" s="142">
        <f>B132*IBGE_2!R$132/100</f>
        <v>0.33</v>
      </c>
      <c r="S132" s="142">
        <f>B132*IBGE_2!S$132/100</f>
        <v>56.26</v>
      </c>
      <c r="T132" s="142">
        <f>B132*IBGE_2!T$132/100</f>
        <v>227.95</v>
      </c>
      <c r="U132" s="142">
        <f>B132*IBGE_2!U$132/100</f>
        <v>0.02</v>
      </c>
      <c r="V132" s="142">
        <f>B132*IBGE_2!V$132/100</f>
        <v>0.19</v>
      </c>
      <c r="W132" s="142" t="s">
        <v>3047</v>
      </c>
      <c r="X132" s="142">
        <f>B132*IBGE_2!X$132/100</f>
        <v>0.06</v>
      </c>
      <c r="Y132" s="142">
        <f>B132*IBGE_2!Y$132/100</f>
        <v>0.04</v>
      </c>
      <c r="Z132" s="142">
        <f>B132*IBGE_2!Z$132/100</f>
        <v>0.15</v>
      </c>
      <c r="AA132" s="142">
        <f>B132*IBGE_2!AA$132/100</f>
        <v>0.63</v>
      </c>
      <c r="AB132" s="142">
        <f>B132*IBGE_2!AB$132/100</f>
        <v>3.49</v>
      </c>
      <c r="AC132" s="142">
        <f>B132*IBGE_2!AC$132/100</f>
        <v>0.79</v>
      </c>
      <c r="AD132" s="142" t="s">
        <v>3047</v>
      </c>
      <c r="AE132" s="142">
        <f>B132*IBGE_2!AE$132/100</f>
        <v>13.58</v>
      </c>
      <c r="AF132" s="142" t="s">
        <v>3047</v>
      </c>
      <c r="AG132" s="142">
        <f>B132*IBGE_2!AG$132/100</f>
        <v>1.28</v>
      </c>
      <c r="AH132" s="142" t="s">
        <v>3047</v>
      </c>
      <c r="AI132" s="142">
        <f>B132*IBGE_2!AI$132/100</f>
        <v>242</v>
      </c>
      <c r="AJ132" s="142">
        <f>B132*IBGE_2!AJ$132/100</f>
        <v>2.0499999999999998</v>
      </c>
      <c r="AK132" s="142">
        <f>B132*IBGE_2!AK$132/100</f>
        <v>834.28</v>
      </c>
      <c r="AL132" s="142">
        <f>B132*IBGE_2!AL$132/100</f>
        <v>3.36</v>
      </c>
      <c r="AM132" s="142" t="s">
        <v>3047</v>
      </c>
      <c r="AN132" s="161"/>
    </row>
    <row r="133" spans="1:40">
      <c r="A133" s="143" t="s">
        <v>1192</v>
      </c>
      <c r="B133" s="141">
        <v>100</v>
      </c>
      <c r="C133" s="142">
        <f>B133*IBGE_2!C$133/100</f>
        <v>56.74</v>
      </c>
      <c r="D133" s="142">
        <f>B133*IBGE_2!D$133/100</f>
        <v>0.79</v>
      </c>
      <c r="E133" s="142">
        <f>B133*IBGE_2!E$133/100</f>
        <v>2.64</v>
      </c>
      <c r="F133" s="142">
        <f>B133*IBGE_2!F$133/100</f>
        <v>1.59</v>
      </c>
      <c r="G133" s="142">
        <f>B133*IBGE_2!G$133/100</f>
        <v>0.64</v>
      </c>
      <c r="H133" s="142">
        <f>B133*IBGE_2!H$133/100</f>
        <v>0.18</v>
      </c>
      <c r="I133" s="142">
        <f>B133*IBGE_2!I$133/100</f>
        <v>0.17</v>
      </c>
      <c r="J133" s="142">
        <f>B133*IBGE_2!J$133/100</f>
        <v>0.01</v>
      </c>
      <c r="K133" s="142">
        <f>B133*IBGE_2!K$133/100</f>
        <v>6.52</v>
      </c>
      <c r="L133" s="142">
        <f>B133*IBGE_2!L$133/100</f>
        <v>8.2200000000000006</v>
      </c>
      <c r="M133" s="142">
        <f>B133*IBGE_2!M$133/100</f>
        <v>3</v>
      </c>
      <c r="N133" s="142">
        <f>B133*IBGE_2!N$133/100</f>
        <v>30.73</v>
      </c>
      <c r="O133" s="142">
        <f>B133*IBGE_2!O$133/100</f>
        <v>10.06</v>
      </c>
      <c r="P133" s="142">
        <f>B133*IBGE_2!P$133/100</f>
        <v>0.16</v>
      </c>
      <c r="Q133" s="142">
        <f>B133*IBGE_2!Q$133/100</f>
        <v>30.73</v>
      </c>
      <c r="R133" s="142">
        <f>B133*IBGE_2!R$133/100</f>
        <v>0.34</v>
      </c>
      <c r="S133" s="142">
        <f>B133*IBGE_2!S$133/100</f>
        <v>75.459999999999994</v>
      </c>
      <c r="T133" s="142">
        <f>B133*IBGE_2!T$133/100</f>
        <v>235.73</v>
      </c>
      <c r="U133" s="142">
        <f>B133*IBGE_2!U$133/100</f>
        <v>0.02</v>
      </c>
      <c r="V133" s="142">
        <f>B133*IBGE_2!V$133/100</f>
        <v>0.2</v>
      </c>
      <c r="W133" s="142">
        <f>B133*IBGE_2!W$133/100</f>
        <v>20.34</v>
      </c>
      <c r="X133" s="142">
        <f>B133*IBGE_2!X$133/100</f>
        <v>7.0000000000000007E-2</v>
      </c>
      <c r="Y133" s="142">
        <f>B133*IBGE_2!Y$133/100</f>
        <v>0.05</v>
      </c>
      <c r="Z133" s="142">
        <f>B133*IBGE_2!Z$133/100</f>
        <v>0.15</v>
      </c>
      <c r="AA133" s="142">
        <f>B133*IBGE_2!AA$133/100</f>
        <v>0.65</v>
      </c>
      <c r="AB133" s="142">
        <f>B133*IBGE_2!AB$133/100</f>
        <v>3.6</v>
      </c>
      <c r="AC133" s="142">
        <f>B133*IBGE_2!AC$133/100</f>
        <v>0.82</v>
      </c>
      <c r="AD133" s="142">
        <f>B133*IBGE_2!AD$133/100</f>
        <v>0.01</v>
      </c>
      <c r="AE133" s="142">
        <f>B133*IBGE_2!AE$133/100</f>
        <v>14.09</v>
      </c>
      <c r="AF133" s="142">
        <f>B133*IBGE_2!AF$133/100</f>
        <v>0.04</v>
      </c>
      <c r="AG133" s="142">
        <f>B133*IBGE_2!AG$133/100</f>
        <v>1.1000000000000001</v>
      </c>
      <c r="AH133" s="142">
        <f>B133*IBGE_2!AH$133/100</f>
        <v>0.1</v>
      </c>
      <c r="AI133" s="142">
        <f>B133*IBGE_2!AI$133/100</f>
        <v>242</v>
      </c>
      <c r="AJ133" s="142">
        <f>B133*IBGE_2!AJ$133/100</f>
        <v>0.73</v>
      </c>
      <c r="AK133" s="142">
        <f>B133*IBGE_2!AK$133/100</f>
        <v>880.82</v>
      </c>
      <c r="AL133" s="142">
        <f>B133*IBGE_2!AL$133/100</f>
        <v>3.46</v>
      </c>
      <c r="AM133" s="142" t="s">
        <v>3047</v>
      </c>
      <c r="AN133" s="161"/>
    </row>
    <row r="134" spans="1:40">
      <c r="A134" s="143" t="s">
        <v>1193</v>
      </c>
      <c r="B134" s="141">
        <v>100</v>
      </c>
      <c r="C134" s="142">
        <f>B134*IBGE_2!C$134/100</f>
        <v>35</v>
      </c>
      <c r="D134" s="142">
        <f>B134*IBGE_2!D$134/100</f>
        <v>0.76</v>
      </c>
      <c r="E134" s="142">
        <f>B134*IBGE_2!E$134/100</f>
        <v>0.18</v>
      </c>
      <c r="F134" s="142">
        <f>B134*IBGE_2!F$134/100</f>
        <v>0.03</v>
      </c>
      <c r="G134" s="142">
        <f>B134*IBGE_2!G$134/100</f>
        <v>0.01</v>
      </c>
      <c r="H134" s="142">
        <f>B134*IBGE_2!H$134/100</f>
        <v>0.09</v>
      </c>
      <c r="I134" s="142">
        <f>B134*IBGE_2!I$134/100</f>
        <v>0.09</v>
      </c>
      <c r="J134" s="142" t="s">
        <v>3047</v>
      </c>
      <c r="K134" s="142" t="s">
        <v>3047</v>
      </c>
      <c r="L134" s="142">
        <f>B134*IBGE_2!L$134/100</f>
        <v>8.2200000000000006</v>
      </c>
      <c r="M134" s="142">
        <f>B134*IBGE_2!M$134/100</f>
        <v>3</v>
      </c>
      <c r="N134" s="142">
        <f>B134*IBGE_2!N$134/100</f>
        <v>30</v>
      </c>
      <c r="O134" s="142">
        <f>B134*IBGE_2!O$134/100</f>
        <v>10</v>
      </c>
      <c r="P134" s="142">
        <f>B134*IBGE_2!P$134/100</f>
        <v>0.16</v>
      </c>
      <c r="Q134" s="142">
        <f>B134*IBGE_2!Q$134/100</f>
        <v>30</v>
      </c>
      <c r="R134" s="142">
        <f>B134*IBGE_2!R$134/100</f>
        <v>0.34</v>
      </c>
      <c r="S134" s="142">
        <f>B134*IBGE_2!S$134/100</f>
        <v>58</v>
      </c>
      <c r="T134" s="142">
        <f>B134*IBGE_2!T$134/100</f>
        <v>235</v>
      </c>
      <c r="U134" s="142">
        <f>B134*IBGE_2!U$134/100</f>
        <v>0.02</v>
      </c>
      <c r="V134" s="142">
        <f>B134*IBGE_2!V$134/100</f>
        <v>0.2</v>
      </c>
      <c r="W134" s="142" t="s">
        <v>3047</v>
      </c>
      <c r="X134" s="142">
        <f>B134*IBGE_2!X$134/100</f>
        <v>7.0000000000000007E-2</v>
      </c>
      <c r="Y134" s="142">
        <f>B134*IBGE_2!Y$134/100</f>
        <v>0.04</v>
      </c>
      <c r="Z134" s="142">
        <f>B134*IBGE_2!Z$134/100</f>
        <v>0.15</v>
      </c>
      <c r="AA134" s="142">
        <f>B134*IBGE_2!AA$134/100</f>
        <v>0.65</v>
      </c>
      <c r="AB134" s="142">
        <f>B134*IBGE_2!AB$134/100</f>
        <v>3.6</v>
      </c>
      <c r="AC134" s="142">
        <f>B134*IBGE_2!AC$134/100</f>
        <v>0.81</v>
      </c>
      <c r="AD134" s="142" t="s">
        <v>3047</v>
      </c>
      <c r="AE134" s="142">
        <f>B134*IBGE_2!AE$134/100</f>
        <v>14</v>
      </c>
      <c r="AF134" s="142" t="s">
        <v>3047</v>
      </c>
      <c r="AG134" s="142">
        <f>B134*IBGE_2!AG$134/100</f>
        <v>1.03</v>
      </c>
      <c r="AH134" s="142" t="s">
        <v>3047</v>
      </c>
      <c r="AI134" s="142">
        <f>B134*IBGE_2!AI$134/100</f>
        <v>242</v>
      </c>
      <c r="AJ134" s="142">
        <f>B134*IBGE_2!AJ$134/100</f>
        <v>0.7</v>
      </c>
      <c r="AK134" s="142">
        <f>B134*IBGE_2!AK$134/100</f>
        <v>860.08</v>
      </c>
      <c r="AL134" s="142">
        <f>B134*IBGE_2!AL$134/100</f>
        <v>3.46</v>
      </c>
      <c r="AM134" s="142" t="s">
        <v>3047</v>
      </c>
      <c r="AN134" s="161"/>
    </row>
    <row r="135" spans="1:40">
      <c r="A135" s="143" t="s">
        <v>1194</v>
      </c>
      <c r="B135" s="141">
        <v>100</v>
      </c>
      <c r="C135" s="142">
        <f>B135*IBGE_2!C$135/100</f>
        <v>60.47</v>
      </c>
      <c r="D135" s="142">
        <f>B135*IBGE_2!D$135/100</f>
        <v>0.74</v>
      </c>
      <c r="E135" s="142">
        <f>B135*IBGE_2!E$135/100</f>
        <v>3.17</v>
      </c>
      <c r="F135" s="142">
        <f>B135*IBGE_2!F$135/100</f>
        <v>0.46</v>
      </c>
      <c r="G135" s="142">
        <f>B135*IBGE_2!G$135/100</f>
        <v>0.7</v>
      </c>
      <c r="H135" s="142">
        <f>B135*IBGE_2!H$135/100</f>
        <v>1.82</v>
      </c>
      <c r="I135" s="142">
        <f>B135*IBGE_2!I$135/100</f>
        <v>1.61</v>
      </c>
      <c r="J135" s="142">
        <f>B135*IBGE_2!J$135/100</f>
        <v>0.2</v>
      </c>
      <c r="K135" s="142" t="s">
        <v>3047</v>
      </c>
      <c r="L135" s="142">
        <f>B135*IBGE_2!L$135/100</f>
        <v>7.97</v>
      </c>
      <c r="M135" s="142">
        <f>B135*IBGE_2!M$135/100</f>
        <v>2.91</v>
      </c>
      <c r="N135" s="142">
        <f>B135*IBGE_2!N$135/100</f>
        <v>29.1</v>
      </c>
      <c r="O135" s="142">
        <f>B135*IBGE_2!O$135/100</f>
        <v>9.6999999999999993</v>
      </c>
      <c r="P135" s="142">
        <f>B135*IBGE_2!P$135/100</f>
        <v>0.15</v>
      </c>
      <c r="Q135" s="142">
        <f>B135*IBGE_2!Q$135/100</f>
        <v>29.1</v>
      </c>
      <c r="R135" s="142">
        <f>B135*IBGE_2!R$135/100</f>
        <v>0.33</v>
      </c>
      <c r="S135" s="142">
        <f>B135*IBGE_2!S$135/100</f>
        <v>56.26</v>
      </c>
      <c r="T135" s="142">
        <f>B135*IBGE_2!T$135/100</f>
        <v>227.95</v>
      </c>
      <c r="U135" s="142">
        <f>B135*IBGE_2!U$135/100</f>
        <v>0.02</v>
      </c>
      <c r="V135" s="142">
        <f>B135*IBGE_2!V$135/100</f>
        <v>0.19</v>
      </c>
      <c r="W135" s="142" t="s">
        <v>3047</v>
      </c>
      <c r="X135" s="142">
        <f>B135*IBGE_2!X$135/100</f>
        <v>0.06</v>
      </c>
      <c r="Y135" s="142">
        <f>B135*IBGE_2!Y$135/100</f>
        <v>0.04</v>
      </c>
      <c r="Z135" s="142">
        <f>B135*IBGE_2!Z$135/100</f>
        <v>0.15</v>
      </c>
      <c r="AA135" s="142">
        <f>B135*IBGE_2!AA$135/100</f>
        <v>0.63</v>
      </c>
      <c r="AB135" s="142">
        <f>B135*IBGE_2!AB$135/100</f>
        <v>3.49</v>
      </c>
      <c r="AC135" s="142">
        <f>B135*IBGE_2!AC$135/100</f>
        <v>0.79</v>
      </c>
      <c r="AD135" s="142" t="s">
        <v>3047</v>
      </c>
      <c r="AE135" s="142">
        <f>B135*IBGE_2!AE$135/100</f>
        <v>13.58</v>
      </c>
      <c r="AF135" s="142" t="s">
        <v>3047</v>
      </c>
      <c r="AG135" s="142">
        <f>B135*IBGE_2!AG$135/100</f>
        <v>1.28</v>
      </c>
      <c r="AH135" s="142" t="s">
        <v>3047</v>
      </c>
      <c r="AI135" s="142">
        <f>B135*IBGE_2!AI$135/100</f>
        <v>242</v>
      </c>
      <c r="AJ135" s="142">
        <f>B135*IBGE_2!AJ$135/100</f>
        <v>2.0499999999999998</v>
      </c>
      <c r="AK135" s="142">
        <f>B135*IBGE_2!AK$135/100</f>
        <v>834.28</v>
      </c>
      <c r="AL135" s="142">
        <f>B135*IBGE_2!AL$135/100</f>
        <v>3.36</v>
      </c>
      <c r="AM135" s="142" t="s">
        <v>3047</v>
      </c>
      <c r="AN135" s="161"/>
    </row>
    <row r="136" spans="1:40">
      <c r="A136" s="143" t="s">
        <v>1195</v>
      </c>
      <c r="B136" s="141">
        <v>100</v>
      </c>
      <c r="C136" s="142">
        <f>B136*IBGE_2!C$136/100</f>
        <v>31.443000000000001</v>
      </c>
      <c r="D136" s="142">
        <f>B136*IBGE_2!D$136/100</f>
        <v>0.94799999999999995</v>
      </c>
      <c r="E136" s="142">
        <f>B136*IBGE_2!E$136/100</f>
        <v>0.12300000000000001</v>
      </c>
      <c r="F136" s="142">
        <f>B136*IBGE_2!F$136/100</f>
        <v>3.9E-2</v>
      </c>
      <c r="G136" s="142">
        <f>B136*IBGE_2!G$136/100</f>
        <v>2.7000000000000003E-2</v>
      </c>
      <c r="H136" s="142">
        <f>B136*IBGE_2!H$136/100</f>
        <v>3.2000000000000001E-2</v>
      </c>
      <c r="I136" s="142">
        <f>B136*IBGE_2!I$136/100</f>
        <v>2.7000000000000003E-2</v>
      </c>
      <c r="J136" s="142">
        <f>B136*IBGE_2!J$136/100</f>
        <v>5.0000000000000001E-3</v>
      </c>
      <c r="K136" s="142" t="s">
        <v>3047</v>
      </c>
      <c r="L136" s="142">
        <f>B136*IBGE_2!L$136/100</f>
        <v>7.0119999999999996</v>
      </c>
      <c r="M136" s="142">
        <f>B136*IBGE_2!M$136/100</f>
        <v>0.71099999999999997</v>
      </c>
      <c r="N136" s="142">
        <f>B136*IBGE_2!N$136/100</f>
        <v>8.5549999999999997</v>
      </c>
      <c r="O136" s="142">
        <f>B136*IBGE_2!O$136/100</f>
        <v>6.3470000000000004</v>
      </c>
      <c r="P136" s="142">
        <f>B136*IBGE_2!P$136/100</f>
        <v>6.8000000000000005E-2</v>
      </c>
      <c r="Q136" s="142">
        <f>B136*IBGE_2!Q$136/100</f>
        <v>15.762</v>
      </c>
      <c r="R136" s="142">
        <f>B136*IBGE_2!R$136/100</f>
        <v>0.28499999999999998</v>
      </c>
      <c r="S136" s="142">
        <f>B136*IBGE_2!S$136/100</f>
        <v>310.43200000000002</v>
      </c>
      <c r="T136" s="142">
        <f>B136*IBGE_2!T$136/100</f>
        <v>88.314999999999998</v>
      </c>
      <c r="U136" s="142">
        <f>B136*IBGE_2!U$136/100</f>
        <v>3.9E-2</v>
      </c>
      <c r="V136" s="142">
        <f>B136*IBGE_2!V$136/100</f>
        <v>0.115</v>
      </c>
      <c r="W136" s="142" t="s">
        <v>3047</v>
      </c>
      <c r="X136" s="142">
        <f>B136*IBGE_2!X$136/100</f>
        <v>0.03</v>
      </c>
      <c r="Y136" s="142">
        <f>B136*IBGE_2!Y$136/100</f>
        <v>2.6000000000000002E-2</v>
      </c>
      <c r="Z136" s="142">
        <f>B136*IBGE_2!Z$136/100</f>
        <v>0.04</v>
      </c>
      <c r="AA136" s="142">
        <f>B136*IBGE_2!AA$136/100</f>
        <v>0.505</v>
      </c>
      <c r="AB136" s="142">
        <f>B136*IBGE_2!AB$136/100</f>
        <v>2.0990000000000002</v>
      </c>
      <c r="AC136" s="142">
        <f>B136*IBGE_2!AC$136/100</f>
        <v>0.66700000000000004</v>
      </c>
      <c r="AD136" s="142">
        <f>B136*IBGE_2!AD$136/100</f>
        <v>1.4999999999999999E-2</v>
      </c>
      <c r="AE136" s="142">
        <f>B136*IBGE_2!AE$136/100</f>
        <v>9.2759999999999998</v>
      </c>
      <c r="AF136" s="142" t="s">
        <v>3047</v>
      </c>
      <c r="AG136" s="142">
        <f>B136*IBGE_2!AG$136/100</f>
        <v>0.20399999999999999</v>
      </c>
      <c r="AH136" s="142">
        <f>B136*IBGE_2!AH$136/100</f>
        <v>2E-3</v>
      </c>
      <c r="AI136" s="142" t="s">
        <v>3047</v>
      </c>
      <c r="AJ136" s="142">
        <f>B136*IBGE_2!AJ$136/100</f>
        <v>1.3440000000000001</v>
      </c>
      <c r="AK136" s="142">
        <f>B136*IBGE_2!AK$136/100</f>
        <v>33.475999999999999</v>
      </c>
      <c r="AL136" s="142">
        <f>B136*IBGE_2!AL$136/100</f>
        <v>3.2749999999999999</v>
      </c>
      <c r="AM136" s="142">
        <f>B136*IBGE_2!AM$136/100</f>
        <v>2.5230000000000001</v>
      </c>
      <c r="AN136" s="161"/>
    </row>
    <row r="137" spans="1:40">
      <c r="A137" s="143" t="s">
        <v>1196</v>
      </c>
      <c r="B137" s="141">
        <v>100</v>
      </c>
      <c r="C137" s="142">
        <f>B137*IBGE_2!C$137/100</f>
        <v>41</v>
      </c>
      <c r="D137" s="142">
        <f>B137*IBGE_2!D$137/100</f>
        <v>0.93</v>
      </c>
      <c r="E137" s="142">
        <f>B137*IBGE_2!E$137/100</f>
        <v>0.24</v>
      </c>
      <c r="F137" s="142">
        <f>B137*IBGE_2!F$137/100</f>
        <v>0.04</v>
      </c>
      <c r="G137" s="142">
        <f>B137*IBGE_2!G$137/100</f>
        <v>0.01</v>
      </c>
      <c r="H137" s="142">
        <f>B137*IBGE_2!H$137/100</f>
        <v>0.12</v>
      </c>
      <c r="I137" s="142">
        <f>B137*IBGE_2!I$137/100</f>
        <v>0.12</v>
      </c>
      <c r="J137" s="142" t="s">
        <v>3047</v>
      </c>
      <c r="K137" s="142" t="s">
        <v>3047</v>
      </c>
      <c r="L137" s="142">
        <f>B137*IBGE_2!L$137/100</f>
        <v>9.58</v>
      </c>
      <c r="M137" s="142">
        <f>B137*IBGE_2!M$137/100</f>
        <v>2.8</v>
      </c>
      <c r="N137" s="142">
        <f>B137*IBGE_2!N$137/100</f>
        <v>33</v>
      </c>
      <c r="O137" s="142">
        <f>B137*IBGE_2!O$137/100</f>
        <v>12</v>
      </c>
      <c r="P137" s="142">
        <f>B137*IBGE_2!P$137/100</f>
        <v>0.14000000000000001</v>
      </c>
      <c r="Q137" s="142">
        <f>B137*IBGE_2!Q$137/100</f>
        <v>35</v>
      </c>
      <c r="R137" s="142">
        <f>B137*IBGE_2!R$137/100</f>
        <v>0.3</v>
      </c>
      <c r="S137" s="142">
        <f>B137*IBGE_2!S$137/100</f>
        <v>69</v>
      </c>
      <c r="T137" s="142">
        <f>B137*IBGE_2!T$137/100</f>
        <v>320</v>
      </c>
      <c r="U137" s="142">
        <f>B137*IBGE_2!U$137/100</f>
        <v>0.05</v>
      </c>
      <c r="V137" s="142">
        <f>B137*IBGE_2!V$137/100</f>
        <v>0.24</v>
      </c>
      <c r="W137" s="142" t="s">
        <v>3047</v>
      </c>
      <c r="X137" s="142">
        <f>B137*IBGE_2!X$137/100</f>
        <v>7.0000000000000007E-2</v>
      </c>
      <c r="Y137" s="142">
        <f>B137*IBGE_2!Y$137/100</f>
        <v>0.06</v>
      </c>
      <c r="Z137" s="142">
        <f>B137*IBGE_2!Z$137/100</f>
        <v>0.14000000000000001</v>
      </c>
      <c r="AA137" s="142">
        <f>B137*IBGE_2!AA$137/100</f>
        <v>0.98</v>
      </c>
      <c r="AB137" s="142">
        <f>B137*IBGE_2!AB$137/100</f>
        <v>5.9</v>
      </c>
      <c r="AC137" s="142">
        <f>B137*IBGE_2!AC$137/100</f>
        <v>1.18</v>
      </c>
      <c r="AD137" s="142" t="s">
        <v>3047</v>
      </c>
      <c r="AE137" s="142">
        <f>B137*IBGE_2!AE$137/100</f>
        <v>19</v>
      </c>
      <c r="AF137" s="142" t="s">
        <v>3047</v>
      </c>
      <c r="AG137" s="142">
        <f>B137*IBGE_2!AG$137/100</f>
        <v>0.86</v>
      </c>
      <c r="AH137" s="142" t="s">
        <v>3047</v>
      </c>
      <c r="AI137" s="142" t="s">
        <v>3047</v>
      </c>
      <c r="AJ137" s="142">
        <f>B137*IBGE_2!AJ$137/100</f>
        <v>0.1</v>
      </c>
      <c r="AK137" s="142">
        <f>B137*IBGE_2!AK$137/100</f>
        <v>840.5</v>
      </c>
      <c r="AL137" s="142">
        <f>B137*IBGE_2!AL$137/100</f>
        <v>4.7300000000000004</v>
      </c>
      <c r="AM137" s="142" t="s">
        <v>3047</v>
      </c>
      <c r="AN137" s="161"/>
    </row>
    <row r="138" spans="1:40">
      <c r="A138" s="143" t="s">
        <v>1197</v>
      </c>
      <c r="B138" s="141">
        <v>100</v>
      </c>
      <c r="C138" s="142">
        <f>B138*IBGE_2!C$138/100</f>
        <v>22</v>
      </c>
      <c r="D138" s="142">
        <f>B138*IBGE_2!D$138/100</f>
        <v>0.71</v>
      </c>
      <c r="E138" s="142">
        <f>B138*IBGE_2!E$138/100</f>
        <v>0.08</v>
      </c>
      <c r="F138" s="142">
        <f>B138*IBGE_2!F$138/100</f>
        <v>8.0000000000000002E-3</v>
      </c>
      <c r="G138" s="142">
        <f>B138*IBGE_2!G$138/100</f>
        <v>5.0000000000000001E-3</v>
      </c>
      <c r="H138" s="142">
        <f>B138*IBGE_2!H$138/100</f>
        <v>4.2000000000000003E-2</v>
      </c>
      <c r="I138" s="142">
        <f>B138*IBGE_2!I$138/100</f>
        <v>8.9999999999999993E-3</v>
      </c>
      <c r="J138" s="142">
        <f>B138*IBGE_2!J$138/100</f>
        <v>3.2000000000000001E-2</v>
      </c>
      <c r="K138" s="142" t="s">
        <v>3047</v>
      </c>
      <c r="L138" s="142">
        <f>B138*IBGE_2!L$138/100</f>
        <v>5.0599999999999996</v>
      </c>
      <c r="M138" s="142">
        <f>B138*IBGE_2!M$138/100</f>
        <v>2</v>
      </c>
      <c r="N138" s="142">
        <f>B138*IBGE_2!N$138/100</f>
        <v>33</v>
      </c>
      <c r="O138" s="142">
        <f>B138*IBGE_2!O$138/100</f>
        <v>9</v>
      </c>
      <c r="P138" s="142">
        <f>B138*IBGE_2!P$138/100</f>
        <v>7.0999999999999994E-2</v>
      </c>
      <c r="Q138" s="142">
        <f>B138*IBGE_2!Q$138/100</f>
        <v>26</v>
      </c>
      <c r="R138" s="142">
        <f>B138*IBGE_2!R$138/100</f>
        <v>0.18</v>
      </c>
      <c r="S138" s="142">
        <f>B138*IBGE_2!S$138/100</f>
        <v>16</v>
      </c>
      <c r="T138" s="142">
        <f>B138*IBGE_2!T$138/100</f>
        <v>177</v>
      </c>
      <c r="U138" s="142">
        <f>B138*IBGE_2!U$138/100</f>
        <v>2E-3</v>
      </c>
      <c r="V138" s="142">
        <f>B138*IBGE_2!V$138/100</f>
        <v>0.12</v>
      </c>
      <c r="W138" s="142" t="s">
        <v>3047</v>
      </c>
      <c r="X138" s="142">
        <f>B138*IBGE_2!X$138/100</f>
        <v>2.7000000000000003E-2</v>
      </c>
      <c r="Y138" s="142">
        <f>B138*IBGE_2!Y$138/100</f>
        <v>2.3E-2</v>
      </c>
      <c r="Z138" s="142">
        <f>B138*IBGE_2!Z$138/100</f>
        <v>6.7000000000000004E-2</v>
      </c>
      <c r="AA138" s="142">
        <f>B138*IBGE_2!AA$138/100</f>
        <v>0.29899999999999999</v>
      </c>
      <c r="AB138" s="142">
        <f>B138*IBGE_2!AB$138/100</f>
        <v>11.6</v>
      </c>
      <c r="AC138" s="142">
        <f>B138*IBGE_2!AC$138/100</f>
        <v>0.41600000000000004</v>
      </c>
      <c r="AD138" s="142" t="s">
        <v>3047</v>
      </c>
      <c r="AE138" s="142">
        <f>B138*IBGE_2!AE$138/100</f>
        <v>9</v>
      </c>
      <c r="AF138" s="142" t="s">
        <v>3047</v>
      </c>
      <c r="AG138" s="142">
        <f>B138*IBGE_2!AG$138/100</f>
        <v>0.02</v>
      </c>
      <c r="AH138" s="142" t="s">
        <v>3047</v>
      </c>
      <c r="AI138" s="142">
        <f>B138*IBGE_2!AI$138/100</f>
        <v>242</v>
      </c>
      <c r="AJ138" s="142">
        <f>B138*IBGE_2!AJ$138/100</f>
        <v>0.2</v>
      </c>
      <c r="AK138" s="142" t="s">
        <v>3047</v>
      </c>
      <c r="AL138" s="142">
        <f>B138*IBGE_2!AL$138/100</f>
        <v>1.885</v>
      </c>
      <c r="AM138" s="142" t="s">
        <v>3047</v>
      </c>
      <c r="AN138" s="161"/>
    </row>
    <row r="139" spans="1:40">
      <c r="A139" s="143" t="s">
        <v>1198</v>
      </c>
      <c r="B139" s="141">
        <v>100</v>
      </c>
      <c r="C139" s="142">
        <f>B139*IBGE_2!C$139/100</f>
        <v>47.735999999999997</v>
      </c>
      <c r="D139" s="142">
        <f>B139*IBGE_2!D$139/100</f>
        <v>0.71</v>
      </c>
      <c r="E139" s="142">
        <f>B139*IBGE_2!E$139/100</f>
        <v>2.9910000000000001</v>
      </c>
      <c r="F139" s="142">
        <f>B139*IBGE_2!F$139/100</f>
        <v>0.46400000000000008</v>
      </c>
      <c r="G139" s="142">
        <f>B139*IBGE_2!G$139/100</f>
        <v>0.66799999999999993</v>
      </c>
      <c r="H139" s="142">
        <f>B139*IBGE_2!H$139/100</f>
        <v>1.7230000000000001</v>
      </c>
      <c r="I139" s="142">
        <f>B139*IBGE_2!I$139/100</f>
        <v>1.492</v>
      </c>
      <c r="J139" s="142">
        <f>B139*IBGE_2!J$139/100</f>
        <v>0.23</v>
      </c>
      <c r="K139" s="142" t="s">
        <v>3047</v>
      </c>
      <c r="L139" s="142">
        <f>B139*IBGE_2!L$139/100</f>
        <v>5.0599999999999996</v>
      </c>
      <c r="M139" s="142">
        <f>B139*IBGE_2!M$139/100</f>
        <v>2</v>
      </c>
      <c r="N139" s="142">
        <f>B139*IBGE_2!N$139/100</f>
        <v>33</v>
      </c>
      <c r="O139" s="142">
        <f>B139*IBGE_2!O$139/100</f>
        <v>9</v>
      </c>
      <c r="P139" s="142">
        <f>B139*IBGE_2!P$139/100</f>
        <v>7.0999999999999994E-2</v>
      </c>
      <c r="Q139" s="142">
        <f>B139*IBGE_2!Q$139/100</f>
        <v>26</v>
      </c>
      <c r="R139" s="142">
        <f>B139*IBGE_2!R$139/100</f>
        <v>0.18099999999999997</v>
      </c>
      <c r="S139" s="142">
        <f>B139*IBGE_2!S$139/100</f>
        <v>16</v>
      </c>
      <c r="T139" s="142">
        <f>B139*IBGE_2!T$139/100</f>
        <v>177</v>
      </c>
      <c r="U139" s="142">
        <f>B139*IBGE_2!U$139/100</f>
        <v>2E-3</v>
      </c>
      <c r="V139" s="142">
        <f>B139*IBGE_2!V$139/100</f>
        <v>0.12</v>
      </c>
      <c r="W139" s="142" t="s">
        <v>3047</v>
      </c>
      <c r="X139" s="142">
        <f>B139*IBGE_2!X$139/100</f>
        <v>2.7000000000000003E-2</v>
      </c>
      <c r="Y139" s="142">
        <f>B139*IBGE_2!Y$139/100</f>
        <v>2.3E-2</v>
      </c>
      <c r="Z139" s="142">
        <f>B139*IBGE_2!Z$139/100</f>
        <v>6.7000000000000004E-2</v>
      </c>
      <c r="AA139" s="142">
        <f>B139*IBGE_2!AA$139/100</f>
        <v>0.29899999999999999</v>
      </c>
      <c r="AB139" s="142">
        <f>B139*IBGE_2!AB$139/100</f>
        <v>11.6</v>
      </c>
      <c r="AC139" s="142">
        <f>B139*IBGE_2!AC$139/100</f>
        <v>0.41600000000000004</v>
      </c>
      <c r="AD139" s="142" t="s">
        <v>3047</v>
      </c>
      <c r="AE139" s="142">
        <f>B139*IBGE_2!AE$139/100</f>
        <v>9</v>
      </c>
      <c r="AF139" s="142" t="s">
        <v>3047</v>
      </c>
      <c r="AG139" s="142">
        <f>B139*IBGE_2!AG$139/100</f>
        <v>0.25800000000000001</v>
      </c>
      <c r="AH139" s="142">
        <f>B139*IBGE_2!AH$139/100</f>
        <v>1.6E-2</v>
      </c>
      <c r="AI139" s="142">
        <f>B139*IBGE_2!AI$139/100</f>
        <v>242</v>
      </c>
      <c r="AJ139" s="142">
        <f>B139*IBGE_2!AJ$139/100</f>
        <v>1.534</v>
      </c>
      <c r="AK139" s="142" t="s">
        <v>3047</v>
      </c>
      <c r="AL139" s="142">
        <f>B139*IBGE_2!AL$139/100</f>
        <v>1.885</v>
      </c>
      <c r="AM139" s="142" t="s">
        <v>3047</v>
      </c>
      <c r="AN139" s="161"/>
    </row>
    <row r="140" spans="1:40">
      <c r="A140" s="143" t="s">
        <v>1199</v>
      </c>
      <c r="B140" s="141">
        <v>100</v>
      </c>
      <c r="C140" s="142">
        <f>B140*IBGE_2!C$140/100</f>
        <v>310</v>
      </c>
      <c r="D140" s="142">
        <f>B140*IBGE_2!D$140/100</f>
        <v>11.43</v>
      </c>
      <c r="E140" s="142">
        <f>B140*IBGE_2!E$140/100</f>
        <v>5.85</v>
      </c>
      <c r="F140" s="142">
        <f>B140*IBGE_2!F$140/100</f>
        <v>1.5859999999999999</v>
      </c>
      <c r="G140" s="142">
        <f>B140*IBGE_2!G$140/100</f>
        <v>0.42899999999999999</v>
      </c>
      <c r="H140" s="142">
        <f>B140*IBGE_2!H$140/100</f>
        <v>2.0670000000000002</v>
      </c>
      <c r="I140" s="142">
        <f>B140*IBGE_2!I$140/100</f>
        <v>0.754</v>
      </c>
      <c r="J140" s="142">
        <f>B140*IBGE_2!J$140/100</f>
        <v>1.242</v>
      </c>
      <c r="K140" s="142" t="s">
        <v>3047</v>
      </c>
      <c r="L140" s="142">
        <f>B140*IBGE_2!L$140/100</f>
        <v>65.37</v>
      </c>
      <c r="M140" s="142">
        <f>B140*IBGE_2!M$140/100</f>
        <v>3.9</v>
      </c>
      <c r="N140" s="142">
        <f>B140*IBGE_2!N$140/100</f>
        <v>111</v>
      </c>
      <c r="O140" s="142">
        <f>B140*IBGE_2!O$140/100</f>
        <v>264</v>
      </c>
      <c r="P140" s="142">
        <f>B140*IBGE_2!P$140/100</f>
        <v>28.408000000000001</v>
      </c>
      <c r="Q140" s="142">
        <f>B140*IBGE_2!Q$140/100</f>
        <v>252</v>
      </c>
      <c r="R140" s="142">
        <f>B140*IBGE_2!R$140/100</f>
        <v>11.1</v>
      </c>
      <c r="S140" s="142">
        <f>B140*IBGE_2!S$140/100</f>
        <v>148</v>
      </c>
      <c r="T140" s="142">
        <f>B140*IBGE_2!T$140/100</f>
        <v>1724</v>
      </c>
      <c r="U140" s="142">
        <f>B140*IBGE_2!U$140/100</f>
        <v>0.32800000000000007</v>
      </c>
      <c r="V140" s="142">
        <f>B140*IBGE_2!V$140/100</f>
        <v>1.0900000000000001</v>
      </c>
      <c r="W140" s="142" t="s">
        <v>3047</v>
      </c>
      <c r="X140" s="142">
        <f>B140*IBGE_2!X$140/100</f>
        <v>0.115</v>
      </c>
      <c r="Y140" s="142">
        <f>B140*IBGE_2!Y$140/100</f>
        <v>0.26700000000000002</v>
      </c>
      <c r="Z140" s="142">
        <f>B140*IBGE_2!Z$140/100</f>
        <v>1.01</v>
      </c>
      <c r="AA140" s="142">
        <f>B140*IBGE_2!AA$140/100</f>
        <v>1.46</v>
      </c>
      <c r="AB140" s="142">
        <f>B140*IBGE_2!AB$140/100</f>
        <v>80.8</v>
      </c>
      <c r="AC140" s="142">
        <f>B140*IBGE_2!AC$140/100</f>
        <v>1.46</v>
      </c>
      <c r="AD140" s="142" t="s">
        <v>3047</v>
      </c>
      <c r="AE140" s="142">
        <f>B140*IBGE_2!AE$140/100</f>
        <v>93</v>
      </c>
      <c r="AF140" s="142" t="s">
        <v>3047</v>
      </c>
      <c r="AG140" s="142">
        <f>B140*IBGE_2!AG$140/100</f>
        <v>1.69</v>
      </c>
      <c r="AH140" s="142" t="s">
        <v>3047</v>
      </c>
      <c r="AI140" s="142" t="s">
        <v>3047</v>
      </c>
      <c r="AJ140" s="142">
        <f>B140*IBGE_2!AJ$140/100</f>
        <v>5.6</v>
      </c>
      <c r="AK140" s="142">
        <f>B140*IBGE_2!AK$140/100</f>
        <v>26.5</v>
      </c>
      <c r="AL140" s="142" t="s">
        <v>3047</v>
      </c>
      <c r="AM140" s="142" t="s">
        <v>3047</v>
      </c>
      <c r="AN140" s="161"/>
    </row>
    <row r="141" spans="1:40">
      <c r="A141" s="143" t="s">
        <v>1200</v>
      </c>
      <c r="B141" s="141">
        <v>100</v>
      </c>
      <c r="C141" s="142">
        <f>B141*IBGE_2!C$141/100</f>
        <v>263.5</v>
      </c>
      <c r="D141" s="142">
        <f>B141*IBGE_2!D$141/100</f>
        <v>2.8710000000000004</v>
      </c>
      <c r="E141" s="142">
        <f>B141*IBGE_2!E$141/100</f>
        <v>13.64</v>
      </c>
      <c r="F141" s="142">
        <f>B141*IBGE_2!F$141/100</f>
        <v>2.1520000000000001</v>
      </c>
      <c r="G141" s="142">
        <f>B141*IBGE_2!G$141/100</f>
        <v>3.073</v>
      </c>
      <c r="H141" s="142">
        <f>B141*IBGE_2!H$141/100</f>
        <v>7.851</v>
      </c>
      <c r="I141" s="142">
        <f>B141*IBGE_2!I$141/100</f>
        <v>6.918000000000001</v>
      </c>
      <c r="J141" s="142">
        <f>B141*IBGE_2!J$141/100</f>
        <v>0.93100000000000005</v>
      </c>
      <c r="K141" s="142" t="s">
        <v>3047</v>
      </c>
      <c r="L141" s="142">
        <f>B141*IBGE_2!L$141/100</f>
        <v>33.6</v>
      </c>
      <c r="M141" s="142">
        <f>B141*IBGE_2!M$141/100</f>
        <v>3.4420000000000006</v>
      </c>
      <c r="N141" s="142">
        <f>B141*IBGE_2!N$141/100</f>
        <v>13.433</v>
      </c>
      <c r="O141" s="142">
        <f>B141*IBGE_2!O$141/100</f>
        <v>33.582999999999998</v>
      </c>
      <c r="P141" s="142">
        <f>B141*IBGE_2!P$141/100</f>
        <v>0.23499999999999999</v>
      </c>
      <c r="Q141" s="142">
        <f>B141*IBGE_2!Q$141/100</f>
        <v>67.165999999999997</v>
      </c>
      <c r="R141" s="142">
        <f>B141*IBGE_2!R$141/100</f>
        <v>0.52700000000000002</v>
      </c>
      <c r="S141" s="142">
        <f>B141*IBGE_2!S$141/100</f>
        <v>8.3960000000000008</v>
      </c>
      <c r="T141" s="142">
        <f>B141*IBGE_2!T$141/100</f>
        <v>550.76400000000001</v>
      </c>
      <c r="U141" s="142">
        <f>B141*IBGE_2!U$141/100</f>
        <v>0.28000000000000003</v>
      </c>
      <c r="V141" s="142">
        <f>B141*IBGE_2!V$141/100</f>
        <v>0.45500000000000002</v>
      </c>
      <c r="W141" s="142" t="s">
        <v>3047</v>
      </c>
      <c r="X141" s="142">
        <f>B141*IBGE_2!X$141/100</f>
        <v>0.16500000000000001</v>
      </c>
      <c r="Y141" s="142">
        <f>B141*IBGE_2!Y$141/100</f>
        <v>3.2000000000000001E-2</v>
      </c>
      <c r="Z141" s="142">
        <f>B141*IBGE_2!Z$141/100</f>
        <v>0.45200000000000001</v>
      </c>
      <c r="AA141" s="142">
        <f>B141*IBGE_2!AA$141/100</f>
        <v>2.2029999999999998</v>
      </c>
      <c r="AB141" s="142">
        <f>B141*IBGE_2!AB$141/100</f>
        <v>12.425999999999998</v>
      </c>
      <c r="AC141" s="142">
        <f>B141*IBGE_2!AC$141/100</f>
        <v>2.9590000000000005</v>
      </c>
      <c r="AD141" s="142" t="s">
        <v>3047</v>
      </c>
      <c r="AE141" s="142">
        <f>B141*IBGE_2!AE$141/100</f>
        <v>15.112</v>
      </c>
      <c r="AF141" s="142" t="s">
        <v>3047</v>
      </c>
      <c r="AG141" s="142">
        <f>B141*IBGE_2!AG$141/100</f>
        <v>1.2030000000000001</v>
      </c>
      <c r="AH141" s="142">
        <f>B141*IBGE_2!AH$141/100</f>
        <v>7.1999999999999995E-2</v>
      </c>
      <c r="AI141" s="142">
        <f>B141*IBGE_2!AI$141/100</f>
        <v>380</v>
      </c>
      <c r="AJ141" s="142">
        <f>B141*IBGE_2!AJ$141/100</f>
        <v>6.6779999999999999</v>
      </c>
      <c r="AK141" s="142">
        <f>B141*IBGE_2!AK$141/100</f>
        <v>0.28000000000000003</v>
      </c>
      <c r="AL141" s="142">
        <f>B141*IBGE_2!AL$141/100</f>
        <v>1.444</v>
      </c>
      <c r="AM141" s="142" t="s">
        <v>3047</v>
      </c>
      <c r="AN141" s="161"/>
    </row>
    <row r="142" spans="1:40">
      <c r="A142" s="143" t="s">
        <v>1201</v>
      </c>
      <c r="B142" s="141">
        <v>100</v>
      </c>
      <c r="C142" s="142">
        <f>B142*IBGE_2!C$142/100</f>
        <v>148.32300000000001</v>
      </c>
      <c r="D142" s="142">
        <f>B142*IBGE_2!D$142/100</f>
        <v>3.798</v>
      </c>
      <c r="E142" s="142">
        <f>B142*IBGE_2!E$142/100</f>
        <v>3.2949999999999999</v>
      </c>
      <c r="F142" s="142">
        <f>B142*IBGE_2!F$142/100</f>
        <v>1.84</v>
      </c>
      <c r="G142" s="142">
        <f>B142*IBGE_2!G$142/100</f>
        <v>0.83299999999999996</v>
      </c>
      <c r="H142" s="142">
        <f>B142*IBGE_2!H$142/100</f>
        <v>0.23200000000000004</v>
      </c>
      <c r="I142" s="142">
        <f>B142*IBGE_2!I$142/100</f>
        <v>0.152</v>
      </c>
      <c r="J142" s="142">
        <f>B142*IBGE_2!J$142/100</f>
        <v>0.08</v>
      </c>
      <c r="K142" s="142">
        <f>B142*IBGE_2!K$142/100</f>
        <v>9.625</v>
      </c>
      <c r="L142" s="142">
        <f>B142*IBGE_2!L$142/100</f>
        <v>26.071000000000005</v>
      </c>
      <c r="M142" s="142">
        <f>B142*IBGE_2!M$142/100</f>
        <v>0.30099999999999999</v>
      </c>
      <c r="N142" s="142">
        <f>B142*IBGE_2!N$142/100</f>
        <v>110.53700000000001</v>
      </c>
      <c r="O142" s="142">
        <f>B142*IBGE_2!O$142/100</f>
        <v>13.753999999999998</v>
      </c>
      <c r="P142" s="142">
        <f>B142*IBGE_2!P$142/100</f>
        <v>0.14399999999999999</v>
      </c>
      <c r="Q142" s="142">
        <f>B142*IBGE_2!Q$142/100</f>
        <v>99.066000000000003</v>
      </c>
      <c r="R142" s="142">
        <f>B142*IBGE_2!R$142/100</f>
        <v>7.5999999999999998E-2</v>
      </c>
      <c r="S142" s="142">
        <f>B142*IBGE_2!S$142/100</f>
        <v>387.29700000000003</v>
      </c>
      <c r="T142" s="142">
        <f>B142*IBGE_2!T$142/100</f>
        <v>147.15700000000001</v>
      </c>
      <c r="U142" s="142">
        <f>B142*IBGE_2!U$142/100</f>
        <v>2.6000000000000002E-2</v>
      </c>
      <c r="V142" s="142">
        <f>B142*IBGE_2!V$142/100</f>
        <v>0.48</v>
      </c>
      <c r="W142" s="142">
        <f>B142*IBGE_2!W$142/100</f>
        <v>26.951000000000001</v>
      </c>
      <c r="X142" s="142">
        <f>B142*IBGE_2!X$142/100</f>
        <v>5.8999999999999997E-2</v>
      </c>
      <c r="Y142" s="142">
        <f>B142*IBGE_2!Y$142/100</f>
        <v>0.18099999999999997</v>
      </c>
      <c r="Z142" s="142">
        <f>B142*IBGE_2!Z$142/100</f>
        <v>8.5999999999999993E-2</v>
      </c>
      <c r="AA142" s="142">
        <f>B142*IBGE_2!AA$142/100</f>
        <v>0.40600000000000003</v>
      </c>
      <c r="AB142" s="142">
        <f>B142*IBGE_2!AB$142/100</f>
        <v>0.254</v>
      </c>
      <c r="AC142" s="142">
        <f>B142*IBGE_2!AC$142/100</f>
        <v>1.75</v>
      </c>
      <c r="AD142" s="142">
        <f>B142*IBGE_2!AD$142/100</f>
        <v>0.42399999999999999</v>
      </c>
      <c r="AE142" s="142">
        <f>B142*IBGE_2!AE$142/100</f>
        <v>5.306</v>
      </c>
      <c r="AF142" s="142">
        <f>B142*IBGE_2!AF$142/100</f>
        <v>0.96299999999999997</v>
      </c>
      <c r="AG142" s="142">
        <f>B142*IBGE_2!AG$142/100</f>
        <v>7.0999999999999994E-2</v>
      </c>
      <c r="AH142" s="142">
        <f>B142*IBGE_2!AH$142/100</f>
        <v>0.11200000000000002</v>
      </c>
      <c r="AI142" s="142" t="s">
        <v>3047</v>
      </c>
      <c r="AJ142" s="142">
        <f>B142*IBGE_2!AJ$142/100</f>
        <v>5.4020000000000001</v>
      </c>
      <c r="AK142" s="142">
        <f>B142*IBGE_2!AK$142/100</f>
        <v>27.356999999999999</v>
      </c>
      <c r="AL142" s="142">
        <f>B142*IBGE_2!AL$142/100</f>
        <v>17.398</v>
      </c>
      <c r="AM142" s="142">
        <f>B142*IBGE_2!AM$142/100</f>
        <v>12.324999999999999</v>
      </c>
      <c r="AN142" s="161"/>
    </row>
    <row r="143" spans="1:40">
      <c r="A143" s="143" t="s">
        <v>1202</v>
      </c>
      <c r="B143" s="141">
        <v>100</v>
      </c>
      <c r="C143" s="142">
        <f>B143*IBGE_2!C$143/100</f>
        <v>148.32300000000001</v>
      </c>
      <c r="D143" s="142">
        <f>B143*IBGE_2!D$143/100</f>
        <v>3.798</v>
      </c>
      <c r="E143" s="142">
        <f>B143*IBGE_2!E$143/100</f>
        <v>3.2949999999999999</v>
      </c>
      <c r="F143" s="142">
        <f>B143*IBGE_2!F$143/100</f>
        <v>1.84</v>
      </c>
      <c r="G143" s="142">
        <f>B143*IBGE_2!G$143/100</f>
        <v>0.83299999999999996</v>
      </c>
      <c r="H143" s="142">
        <f>B143*IBGE_2!H$143/100</f>
        <v>0.23200000000000004</v>
      </c>
      <c r="I143" s="142">
        <f>B143*IBGE_2!I$143/100</f>
        <v>0.152</v>
      </c>
      <c r="J143" s="142">
        <f>B143*IBGE_2!J$143/100</f>
        <v>0.08</v>
      </c>
      <c r="K143" s="142">
        <f>B143*IBGE_2!K$143/100</f>
        <v>9.625</v>
      </c>
      <c r="L143" s="142">
        <f>B143*IBGE_2!L$143/100</f>
        <v>26.071000000000005</v>
      </c>
      <c r="M143" s="142">
        <f>B143*IBGE_2!M$143/100</f>
        <v>0.30099999999999999</v>
      </c>
      <c r="N143" s="142">
        <f>B143*IBGE_2!N$143/100</f>
        <v>110.53700000000001</v>
      </c>
      <c r="O143" s="142">
        <f>B143*IBGE_2!O$143/100</f>
        <v>13.753999999999998</v>
      </c>
      <c r="P143" s="142">
        <f>B143*IBGE_2!P$143/100</f>
        <v>0.14399999999999999</v>
      </c>
      <c r="Q143" s="142">
        <f>B143*IBGE_2!Q$143/100</f>
        <v>99.066000000000003</v>
      </c>
      <c r="R143" s="142">
        <f>B143*IBGE_2!R$143/100</f>
        <v>7.5999999999999998E-2</v>
      </c>
      <c r="S143" s="142">
        <f>B143*IBGE_2!S$143/100</f>
        <v>387.29700000000003</v>
      </c>
      <c r="T143" s="142">
        <f>B143*IBGE_2!T$143/100</f>
        <v>147.15700000000001</v>
      </c>
      <c r="U143" s="142">
        <f>B143*IBGE_2!U$143/100</f>
        <v>2.6000000000000002E-2</v>
      </c>
      <c r="V143" s="142">
        <f>B143*IBGE_2!V$143/100</f>
        <v>0.48</v>
      </c>
      <c r="W143" s="142">
        <f>B143*IBGE_2!W$143/100</f>
        <v>26.951000000000001</v>
      </c>
      <c r="X143" s="142">
        <f>B143*IBGE_2!X$143/100</f>
        <v>5.8999999999999997E-2</v>
      </c>
      <c r="Y143" s="142">
        <f>B143*IBGE_2!Y$143/100</f>
        <v>0.18099999999999997</v>
      </c>
      <c r="Z143" s="142">
        <f>B143*IBGE_2!Z$143/100</f>
        <v>8.5999999999999993E-2</v>
      </c>
      <c r="AA143" s="142">
        <f>B143*IBGE_2!AA$143/100</f>
        <v>0.40600000000000003</v>
      </c>
      <c r="AB143" s="142">
        <f>B143*IBGE_2!AB$143/100</f>
        <v>0.254</v>
      </c>
      <c r="AC143" s="142">
        <f>B143*IBGE_2!AC$143/100</f>
        <v>1.75</v>
      </c>
      <c r="AD143" s="142">
        <f>B143*IBGE_2!AD$143/100</f>
        <v>0.42399999999999999</v>
      </c>
      <c r="AE143" s="142">
        <f>B143*IBGE_2!AE$143/100</f>
        <v>5.306</v>
      </c>
      <c r="AF143" s="142">
        <f>B143*IBGE_2!AF$143/100</f>
        <v>0.96299999999999997</v>
      </c>
      <c r="AG143" s="142">
        <f>B143*IBGE_2!AG$143/100</f>
        <v>7.0999999999999994E-2</v>
      </c>
      <c r="AH143" s="142">
        <f>B143*IBGE_2!AH$143/100</f>
        <v>0.11200000000000002</v>
      </c>
      <c r="AI143" s="142" t="s">
        <v>3047</v>
      </c>
      <c r="AJ143" s="142">
        <f>B143*IBGE_2!AJ$143/100</f>
        <v>5.4020000000000001</v>
      </c>
      <c r="AK143" s="142">
        <f>B143*IBGE_2!AK$143/100</f>
        <v>27.356999999999999</v>
      </c>
      <c r="AL143" s="142">
        <f>B143*IBGE_2!AL$143/100</f>
        <v>17.398</v>
      </c>
      <c r="AM143" s="142">
        <f>B143*IBGE_2!AM$143/100</f>
        <v>12.324999999999999</v>
      </c>
      <c r="AN143" s="161"/>
    </row>
    <row r="144" spans="1:40">
      <c r="A144" s="143" t="s">
        <v>1203</v>
      </c>
      <c r="B144" s="141">
        <v>100</v>
      </c>
      <c r="C144" s="142">
        <f>B144*IBGE_2!C$144/100</f>
        <v>78.242999999999995</v>
      </c>
      <c r="D144" s="142">
        <f>B144*IBGE_2!D$144/100</f>
        <v>2.4220000000000002</v>
      </c>
      <c r="E144" s="142">
        <f>B144*IBGE_2!E$144/100</f>
        <v>3.0619999999999998</v>
      </c>
      <c r="F144" s="142">
        <f>B144*IBGE_2!F$144/100</f>
        <v>1.3480000000000001</v>
      </c>
      <c r="G144" s="142">
        <f>B144*IBGE_2!G$144/100</f>
        <v>0.89</v>
      </c>
      <c r="H144" s="142">
        <f>B144*IBGE_2!H$144/100</f>
        <v>0.55500000000000005</v>
      </c>
      <c r="I144" s="142">
        <f>B144*IBGE_2!I$144/100</f>
        <v>0.498</v>
      </c>
      <c r="J144" s="142">
        <f>B144*IBGE_2!J$144/100</f>
        <v>5.7000000000000002E-2</v>
      </c>
      <c r="K144" s="142">
        <f>B144*IBGE_2!K$144/100</f>
        <v>6.0229999999999997</v>
      </c>
      <c r="L144" s="142">
        <f>B144*IBGE_2!L$144/100</f>
        <v>10.456</v>
      </c>
      <c r="M144" s="142">
        <f>B144*IBGE_2!M$144/100</f>
        <v>0.17399999999999999</v>
      </c>
      <c r="N144" s="142">
        <f>B144*IBGE_2!N$144/100</f>
        <v>124.56699999999999</v>
      </c>
      <c r="O144" s="142">
        <f>B144*IBGE_2!O$144/100</f>
        <v>13.224</v>
      </c>
      <c r="P144" s="142">
        <f>B144*IBGE_2!P$144/100</f>
        <v>2.9000000000000005E-2</v>
      </c>
      <c r="Q144" s="142">
        <f>B144*IBGE_2!Q$144/100</f>
        <v>95.381</v>
      </c>
      <c r="R144" s="142">
        <f>B144*IBGE_2!R$144/100</f>
        <v>0.221</v>
      </c>
      <c r="S144" s="142">
        <f>B144*IBGE_2!S$144/100</f>
        <v>319.33100000000002</v>
      </c>
      <c r="T144" s="142">
        <f>B144*IBGE_2!T$144/100</f>
        <v>156.846</v>
      </c>
      <c r="U144" s="142">
        <f>B144*IBGE_2!U$144/100</f>
        <v>1.4999999999999999E-2</v>
      </c>
      <c r="V144" s="142">
        <f>B144*IBGE_2!V$144/100</f>
        <v>0.44900000000000001</v>
      </c>
      <c r="W144" s="142">
        <f>B144*IBGE_2!W$144/100</f>
        <v>21.164999999999999</v>
      </c>
      <c r="X144" s="142">
        <f>B144*IBGE_2!X$144/100</f>
        <v>6.8000000000000005E-2</v>
      </c>
      <c r="Y144" s="142">
        <f>B144*IBGE_2!Y$144/100</f>
        <v>0.17699999999999999</v>
      </c>
      <c r="Z144" s="142">
        <f>B144*IBGE_2!Z$144/100</f>
        <v>4.2999999999999997E-2</v>
      </c>
      <c r="AA144" s="142">
        <f>B144*IBGE_2!AA$144/100</f>
        <v>0.32200000000000001</v>
      </c>
      <c r="AB144" s="142">
        <f>B144*IBGE_2!AB$144/100</f>
        <v>0.14699999999999999</v>
      </c>
      <c r="AC144" s="142">
        <f>B144*IBGE_2!AC$144/100</f>
        <v>1.1659999999999999</v>
      </c>
      <c r="AD144" s="142">
        <f>B144*IBGE_2!AD$144/100</f>
        <v>0.30199999999999999</v>
      </c>
      <c r="AE144" s="142">
        <f>B144*IBGE_2!AE$144/100</f>
        <v>11.232999999999999</v>
      </c>
      <c r="AF144" s="142">
        <f>B144*IBGE_2!AF$144/100</f>
        <v>0.50800000000000001</v>
      </c>
      <c r="AG144" s="142">
        <f>B144*IBGE_2!AG$144/100</f>
        <v>0.187</v>
      </c>
      <c r="AH144" s="142">
        <f>B144*IBGE_2!AH$144/100</f>
        <v>0.22600000000000001</v>
      </c>
      <c r="AI144" s="142" t="s">
        <v>3047</v>
      </c>
      <c r="AJ144" s="142">
        <f>B144*IBGE_2!AJ$144/100</f>
        <v>4.0279999999999996</v>
      </c>
      <c r="AK144" s="142">
        <f>B144*IBGE_2!AK$144/100</f>
        <v>30.094999999999999</v>
      </c>
      <c r="AL144" s="142">
        <f>B144*IBGE_2!AL$144/100</f>
        <v>7.1960000000000006</v>
      </c>
      <c r="AM144" s="142">
        <f>B144*IBGE_2!AM$144/100</f>
        <v>2.0779999999999998</v>
      </c>
      <c r="AN144" s="161"/>
    </row>
    <row r="145" spans="1:40">
      <c r="A145" s="143" t="s">
        <v>1204</v>
      </c>
      <c r="B145" s="141">
        <v>100</v>
      </c>
      <c r="C145" s="142">
        <f>B145*IBGE_2!C$145/100</f>
        <v>148.32300000000001</v>
      </c>
      <c r="D145" s="142">
        <f>B145*IBGE_2!D$145/100</f>
        <v>3.798</v>
      </c>
      <c r="E145" s="142">
        <f>B145*IBGE_2!E$145/100</f>
        <v>3.2949999999999999</v>
      </c>
      <c r="F145" s="142">
        <f>B145*IBGE_2!F$145/100</f>
        <v>1.84</v>
      </c>
      <c r="G145" s="142">
        <f>B145*IBGE_2!G$145/100</f>
        <v>0.83299999999999996</v>
      </c>
      <c r="H145" s="142">
        <f>B145*IBGE_2!H$145/100</f>
        <v>0.23200000000000004</v>
      </c>
      <c r="I145" s="142">
        <f>B145*IBGE_2!I$145/100</f>
        <v>0.152</v>
      </c>
      <c r="J145" s="142">
        <f>B145*IBGE_2!J$145/100</f>
        <v>0.08</v>
      </c>
      <c r="K145" s="142">
        <f>B145*IBGE_2!K$145/100</f>
        <v>9.625</v>
      </c>
      <c r="L145" s="142">
        <f>B145*IBGE_2!L$145/100</f>
        <v>26.071000000000005</v>
      </c>
      <c r="M145" s="142">
        <f>B145*IBGE_2!M$145/100</f>
        <v>0.30099999999999999</v>
      </c>
      <c r="N145" s="142">
        <f>B145*IBGE_2!N$145/100</f>
        <v>110.53700000000001</v>
      </c>
      <c r="O145" s="142">
        <f>B145*IBGE_2!O$145/100</f>
        <v>13.753999999999998</v>
      </c>
      <c r="P145" s="142">
        <f>B145*IBGE_2!P$145/100</f>
        <v>0.14399999999999999</v>
      </c>
      <c r="Q145" s="142">
        <f>B145*IBGE_2!Q$145/100</f>
        <v>99.066000000000003</v>
      </c>
      <c r="R145" s="142">
        <f>B145*IBGE_2!R$145/100</f>
        <v>7.5999999999999998E-2</v>
      </c>
      <c r="S145" s="142">
        <f>B145*IBGE_2!S$145/100</f>
        <v>387.29700000000003</v>
      </c>
      <c r="T145" s="142">
        <f>B145*IBGE_2!T$145/100</f>
        <v>147.15700000000001</v>
      </c>
      <c r="U145" s="142">
        <f>B145*IBGE_2!U$145/100</f>
        <v>2.6000000000000002E-2</v>
      </c>
      <c r="V145" s="142">
        <f>B145*IBGE_2!V$145/100</f>
        <v>0.48</v>
      </c>
      <c r="W145" s="142">
        <f>B145*IBGE_2!W$145/100</f>
        <v>26.951000000000001</v>
      </c>
      <c r="X145" s="142">
        <f>B145*IBGE_2!X$145/100</f>
        <v>5.8999999999999997E-2</v>
      </c>
      <c r="Y145" s="142">
        <f>B145*IBGE_2!Y$145/100</f>
        <v>0.18099999999999997</v>
      </c>
      <c r="Z145" s="142">
        <f>B145*IBGE_2!Z$145/100</f>
        <v>8.5999999999999993E-2</v>
      </c>
      <c r="AA145" s="142">
        <f>B145*IBGE_2!AA$145/100</f>
        <v>0.40600000000000003</v>
      </c>
      <c r="AB145" s="142">
        <f>B145*IBGE_2!AB$145/100</f>
        <v>0.254</v>
      </c>
      <c r="AC145" s="142">
        <f>B145*IBGE_2!AC$145/100</f>
        <v>1.75</v>
      </c>
      <c r="AD145" s="142">
        <f>B145*IBGE_2!AD$145/100</f>
        <v>0.42399999999999999</v>
      </c>
      <c r="AE145" s="142">
        <f>B145*IBGE_2!AE$145/100</f>
        <v>5.306</v>
      </c>
      <c r="AF145" s="142">
        <f>B145*IBGE_2!AF$145/100</f>
        <v>0.96299999999999997</v>
      </c>
      <c r="AG145" s="142">
        <f>B145*IBGE_2!AG$145/100</f>
        <v>7.0999999999999994E-2</v>
      </c>
      <c r="AH145" s="142">
        <f>B145*IBGE_2!AH$145/100</f>
        <v>0.11200000000000002</v>
      </c>
      <c r="AI145" s="142" t="s">
        <v>3047</v>
      </c>
      <c r="AJ145" s="142">
        <f>B145*IBGE_2!AJ$145/100</f>
        <v>5.4020000000000001</v>
      </c>
      <c r="AK145" s="142">
        <f>B145*IBGE_2!AK$145/100</f>
        <v>27.356999999999999</v>
      </c>
      <c r="AL145" s="142">
        <f>B145*IBGE_2!AL$145/100</f>
        <v>17.398</v>
      </c>
      <c r="AM145" s="142">
        <f>B145*IBGE_2!AM$145/100</f>
        <v>12.324999999999999</v>
      </c>
      <c r="AN145" s="161"/>
    </row>
    <row r="146" spans="1:40">
      <c r="A146" s="143" t="s">
        <v>1205</v>
      </c>
      <c r="B146" s="141">
        <v>100</v>
      </c>
      <c r="C146" s="142">
        <f>B146*IBGE_2!C$146/100</f>
        <v>387</v>
      </c>
      <c r="D146" s="142">
        <f>B146*IBGE_2!D$146/100</f>
        <v>12.94</v>
      </c>
      <c r="E146" s="142">
        <f>B146*IBGE_2!E$146/100</f>
        <v>4.54</v>
      </c>
      <c r="F146" s="142">
        <f>B146*IBGE_2!F$146/100</f>
        <v>0.70299999999999996</v>
      </c>
      <c r="G146" s="142">
        <f>B146*IBGE_2!G$146/100</f>
        <v>1.1000000000000001</v>
      </c>
      <c r="H146" s="142">
        <f>B146*IBGE_2!H$146/100</f>
        <v>2.5590000000000002</v>
      </c>
      <c r="I146" s="142">
        <f>B146*IBGE_2!I$146/100</f>
        <v>2.4990000000000001</v>
      </c>
      <c r="J146" s="142">
        <f>B146*IBGE_2!J$146/100</f>
        <v>0.06</v>
      </c>
      <c r="K146" s="142" t="s">
        <v>3047</v>
      </c>
      <c r="L146" s="142">
        <f>B146*IBGE_2!L$146/100</f>
        <v>77.900000000000006</v>
      </c>
      <c r="M146" s="142">
        <f>B146*IBGE_2!M$146/100</f>
        <v>14.5</v>
      </c>
      <c r="N146" s="142">
        <f>B146*IBGE_2!N$146/100</f>
        <v>7</v>
      </c>
      <c r="O146" s="142">
        <f>B146*IBGE_2!O$146/100</f>
        <v>144</v>
      </c>
      <c r="P146" s="142">
        <f>B146*IBGE_2!P$146/100</f>
        <v>1.113</v>
      </c>
      <c r="Q146" s="142">
        <f>B146*IBGE_2!Q$146/100</f>
        <v>358</v>
      </c>
      <c r="R146" s="142">
        <f>B146*IBGE_2!R$146/100</f>
        <v>3.19</v>
      </c>
      <c r="S146" s="142">
        <f>B146*IBGE_2!S$146/100</f>
        <v>8</v>
      </c>
      <c r="T146" s="142">
        <f>B146*IBGE_2!T$146/100</f>
        <v>329</v>
      </c>
      <c r="U146" s="142">
        <f>B146*IBGE_2!U$146/100</f>
        <v>0.26200000000000001</v>
      </c>
      <c r="V146" s="142">
        <f>B146*IBGE_2!V$146/100</f>
        <v>3.08</v>
      </c>
      <c r="W146" s="142" t="s">
        <v>3047</v>
      </c>
      <c r="X146" s="142">
        <f>B146*IBGE_2!X$146/100</f>
        <v>0.10400000000000001</v>
      </c>
      <c r="Y146" s="142">
        <f>B146*IBGE_2!Y$146/100</f>
        <v>8.3000000000000004E-2</v>
      </c>
      <c r="Z146" s="142">
        <f>B146*IBGE_2!Z$146/100</f>
        <v>0.157</v>
      </c>
      <c r="AA146" s="142">
        <f>B146*IBGE_2!AA$146/100</f>
        <v>2.3079999999999998</v>
      </c>
      <c r="AB146" s="142" t="s">
        <v>3047</v>
      </c>
      <c r="AC146" s="142">
        <f>B146*IBGE_2!AC$146/100</f>
        <v>3.7250000000000001</v>
      </c>
      <c r="AD146" s="142" t="s">
        <v>3047</v>
      </c>
      <c r="AE146" s="142">
        <f>B146*IBGE_2!AE$146/100</f>
        <v>31</v>
      </c>
      <c r="AF146" s="142" t="s">
        <v>3047</v>
      </c>
      <c r="AG146" s="142">
        <f>B146*IBGE_2!AG$146/100</f>
        <v>0.28999999999999998</v>
      </c>
      <c r="AH146" s="142" t="s">
        <v>3047</v>
      </c>
      <c r="AI146" s="142" t="s">
        <v>3047</v>
      </c>
      <c r="AJ146" s="142" t="s">
        <v>3047</v>
      </c>
      <c r="AK146" s="142">
        <f>B146*IBGE_2!AK$146/100</f>
        <v>9.8330000000000002</v>
      </c>
      <c r="AL146" s="142">
        <f>B146*IBGE_2!AL$146/100</f>
        <v>0.86</v>
      </c>
      <c r="AM146" s="142" t="s">
        <v>3047</v>
      </c>
      <c r="AN146" s="161"/>
    </row>
    <row r="147" spans="1:40">
      <c r="A147" s="143" t="s">
        <v>1206</v>
      </c>
      <c r="B147" s="141">
        <v>100</v>
      </c>
      <c r="C147" s="142">
        <f>B147*IBGE_2!C$147/100</f>
        <v>384</v>
      </c>
      <c r="D147" s="142">
        <f>B147*IBGE_2!D$147/100</f>
        <v>16</v>
      </c>
      <c r="E147" s="142">
        <f>B147*IBGE_2!E$147/100</f>
        <v>6.3</v>
      </c>
      <c r="F147" s="142">
        <f>B147*IBGE_2!F$147/100</f>
        <v>1.1100000000000001</v>
      </c>
      <c r="G147" s="142">
        <f>B147*IBGE_2!G$147/100</f>
        <v>1.98</v>
      </c>
      <c r="H147" s="142">
        <f>B147*IBGE_2!H$147/100</f>
        <v>2.2999999999999998</v>
      </c>
      <c r="I147" s="142">
        <f>B147*IBGE_2!I$147/100</f>
        <v>2.2000000000000002</v>
      </c>
      <c r="J147" s="142">
        <f>B147*IBGE_2!J$147/100</f>
        <v>0.1</v>
      </c>
      <c r="K147" s="142" t="s">
        <v>3047</v>
      </c>
      <c r="L147" s="142">
        <f>B147*IBGE_2!L$147/100</f>
        <v>67</v>
      </c>
      <c r="M147" s="142">
        <f>B147*IBGE_2!M$147/100</f>
        <v>9.8000000000000007</v>
      </c>
      <c r="N147" s="142">
        <f>B147*IBGE_2!N$147/100</f>
        <v>52</v>
      </c>
      <c r="O147" s="142">
        <f>B147*IBGE_2!O$147/100</f>
        <v>148</v>
      </c>
      <c r="P147" s="142">
        <f>B147*IBGE_2!P$147/100</f>
        <v>3.63</v>
      </c>
      <c r="Q147" s="142">
        <f>B147*IBGE_2!Q$147/100</f>
        <v>474</v>
      </c>
      <c r="R147" s="142">
        <f>B147*IBGE_2!R$147/100</f>
        <v>4.2</v>
      </c>
      <c r="S147" s="142">
        <f>B147*IBGE_2!S$147/100</f>
        <v>4</v>
      </c>
      <c r="T147" s="142">
        <f>B147*IBGE_2!T$147/100</f>
        <v>350</v>
      </c>
      <c r="U147" s="142">
        <f>B147*IBGE_2!U$147/100</f>
        <v>0.34</v>
      </c>
      <c r="V147" s="142">
        <f>B147*IBGE_2!V$147/100</f>
        <v>3.07</v>
      </c>
      <c r="W147" s="142" t="s">
        <v>3047</v>
      </c>
      <c r="X147" s="142">
        <f>B147*IBGE_2!X$147/100</f>
        <v>0.73</v>
      </c>
      <c r="Y147" s="142">
        <f>B147*IBGE_2!Y$147/100</f>
        <v>0.14000000000000001</v>
      </c>
      <c r="Z147" s="142">
        <f>B147*IBGE_2!Z$147/100</f>
        <v>0.12</v>
      </c>
      <c r="AA147" s="142">
        <f>B147*IBGE_2!AA$147/100</f>
        <v>0.78</v>
      </c>
      <c r="AB147" s="142" t="s">
        <v>3047</v>
      </c>
      <c r="AC147" s="142">
        <f>B147*IBGE_2!AC$147/100</f>
        <v>4.4800000000000004</v>
      </c>
      <c r="AD147" s="142" t="s">
        <v>3047</v>
      </c>
      <c r="AE147" s="142">
        <f>B147*IBGE_2!AE$147/100</f>
        <v>32</v>
      </c>
      <c r="AF147" s="142" t="s">
        <v>3047</v>
      </c>
      <c r="AG147" s="142">
        <f>B147*IBGE_2!AG$147/100</f>
        <v>0.7</v>
      </c>
      <c r="AH147" s="142" t="s">
        <v>3047</v>
      </c>
      <c r="AI147" s="142" t="s">
        <v>3047</v>
      </c>
      <c r="AJ147" s="142">
        <f>B147*IBGE_2!AJ$147/100</f>
        <v>34</v>
      </c>
      <c r="AK147" s="142" t="s">
        <v>3047</v>
      </c>
      <c r="AL147" s="142">
        <f>B147*IBGE_2!AL$147/100</f>
        <v>1.57</v>
      </c>
      <c r="AM147" s="142" t="s">
        <v>3047</v>
      </c>
      <c r="AN147" s="161"/>
    </row>
    <row r="148" spans="1:40">
      <c r="A148" s="143" t="s">
        <v>1207</v>
      </c>
      <c r="B148" s="141">
        <v>100</v>
      </c>
      <c r="C148" s="142">
        <f>B148*IBGE_2!C$148/100</f>
        <v>384</v>
      </c>
      <c r="D148" s="142">
        <f>B148*IBGE_2!D$148/100</f>
        <v>16</v>
      </c>
      <c r="E148" s="142">
        <f>B148*IBGE_2!E$148/100</f>
        <v>6.3</v>
      </c>
      <c r="F148" s="142">
        <f>B148*IBGE_2!F$148/100</f>
        <v>1.1100000000000001</v>
      </c>
      <c r="G148" s="142">
        <f>B148*IBGE_2!G$148/100</f>
        <v>1.98</v>
      </c>
      <c r="H148" s="142">
        <f>B148*IBGE_2!H$148/100</f>
        <v>2.2999999999999998</v>
      </c>
      <c r="I148" s="142">
        <f>B148*IBGE_2!I$148/100</f>
        <v>2.2000000000000002</v>
      </c>
      <c r="J148" s="142">
        <f>B148*IBGE_2!J$148/100</f>
        <v>0.1</v>
      </c>
      <c r="K148" s="142" t="s">
        <v>3047</v>
      </c>
      <c r="L148" s="142">
        <f>B148*IBGE_2!L$148/100</f>
        <v>67</v>
      </c>
      <c r="M148" s="142">
        <f>B148*IBGE_2!M$148/100</f>
        <v>9.8000000000000007</v>
      </c>
      <c r="N148" s="142">
        <f>B148*IBGE_2!N$148/100</f>
        <v>52</v>
      </c>
      <c r="O148" s="142">
        <f>B148*IBGE_2!O$148/100</f>
        <v>148</v>
      </c>
      <c r="P148" s="142">
        <f>B148*IBGE_2!P$148/100</f>
        <v>3.63</v>
      </c>
      <c r="Q148" s="142">
        <f>B148*IBGE_2!Q$148/100</f>
        <v>474</v>
      </c>
      <c r="R148" s="142">
        <f>B148*IBGE_2!R$148/100</f>
        <v>4.2</v>
      </c>
      <c r="S148" s="142">
        <f>B148*IBGE_2!S$148/100</f>
        <v>4</v>
      </c>
      <c r="T148" s="142">
        <f>B148*IBGE_2!T$148/100</f>
        <v>350</v>
      </c>
      <c r="U148" s="142">
        <f>B148*IBGE_2!U$148/100</f>
        <v>0.34</v>
      </c>
      <c r="V148" s="142">
        <f>B148*IBGE_2!V$148/100</f>
        <v>3.07</v>
      </c>
      <c r="W148" s="142" t="s">
        <v>3047</v>
      </c>
      <c r="X148" s="142">
        <f>B148*IBGE_2!X$148/100</f>
        <v>0.73</v>
      </c>
      <c r="Y148" s="142">
        <f>B148*IBGE_2!Y$148/100</f>
        <v>0.14000000000000001</v>
      </c>
      <c r="Z148" s="142">
        <f>B148*IBGE_2!Z$148/100</f>
        <v>0.12</v>
      </c>
      <c r="AA148" s="142">
        <f>B148*IBGE_2!AA$148/100</f>
        <v>0.78</v>
      </c>
      <c r="AB148" s="142" t="s">
        <v>3047</v>
      </c>
      <c r="AC148" s="142">
        <f>B148*IBGE_2!AC$148/100</f>
        <v>4.4800000000000004</v>
      </c>
      <c r="AD148" s="142" t="s">
        <v>3047</v>
      </c>
      <c r="AE148" s="142">
        <f>B148*IBGE_2!AE$148/100</f>
        <v>32</v>
      </c>
      <c r="AF148" s="142" t="s">
        <v>3047</v>
      </c>
      <c r="AG148" s="142">
        <f>B148*IBGE_2!AG$148/100</f>
        <v>0.7</v>
      </c>
      <c r="AH148" s="142" t="s">
        <v>3047</v>
      </c>
      <c r="AI148" s="142" t="s">
        <v>3047</v>
      </c>
      <c r="AJ148" s="142">
        <f>B148*IBGE_2!AJ$148/100</f>
        <v>34</v>
      </c>
      <c r="AK148" s="142" t="s">
        <v>3047</v>
      </c>
      <c r="AL148" s="142">
        <f>B148*IBGE_2!AL$148/100</f>
        <v>1.57</v>
      </c>
      <c r="AM148" s="142" t="s">
        <v>3047</v>
      </c>
      <c r="AN148" s="161"/>
    </row>
    <row r="149" spans="1:40">
      <c r="A149" s="143" t="s">
        <v>1208</v>
      </c>
      <c r="B149" s="141">
        <v>100</v>
      </c>
      <c r="C149" s="142">
        <f>B149*IBGE_2!C$149/100</f>
        <v>60.58</v>
      </c>
      <c r="D149" s="142">
        <f>B149*IBGE_2!D$149/100</f>
        <v>1.44</v>
      </c>
      <c r="E149" s="142">
        <f>B149*IBGE_2!E$149/100</f>
        <v>0.2</v>
      </c>
      <c r="F149" s="142">
        <f>B149*IBGE_2!F$149/100</f>
        <v>0.03</v>
      </c>
      <c r="G149" s="142">
        <f>B149*IBGE_2!G$149/100</f>
        <v>0.05</v>
      </c>
      <c r="H149" s="142">
        <f>B149*IBGE_2!H$149/100</f>
        <v>0.08</v>
      </c>
      <c r="I149" s="142">
        <f>B149*IBGE_2!I$149/100</f>
        <v>0.08</v>
      </c>
      <c r="J149" s="142" t="s">
        <v>3047</v>
      </c>
      <c r="K149" s="142" t="s">
        <v>3047</v>
      </c>
      <c r="L149" s="142">
        <f>B149*IBGE_2!L$149/100</f>
        <v>13</v>
      </c>
      <c r="M149" s="142">
        <f>B149*IBGE_2!M$149/100</f>
        <v>0.26</v>
      </c>
      <c r="N149" s="142">
        <f>B149*IBGE_2!N$149/100</f>
        <v>2.82</v>
      </c>
      <c r="O149" s="142">
        <f>B149*IBGE_2!O$149/100</f>
        <v>5.24</v>
      </c>
      <c r="P149" s="142">
        <f>B149*IBGE_2!P$149/100</f>
        <v>0.02</v>
      </c>
      <c r="Q149" s="142">
        <f>B149*IBGE_2!Q$149/100</f>
        <v>11.92</v>
      </c>
      <c r="R149" s="142">
        <f>B149*IBGE_2!R$149/100</f>
        <v>0.64</v>
      </c>
      <c r="S149" s="142">
        <f>B149*IBGE_2!S$149/100</f>
        <v>2.65</v>
      </c>
      <c r="T149" s="142">
        <f>B149*IBGE_2!T$149/100</f>
        <v>23.2</v>
      </c>
      <c r="U149" s="142">
        <f>B149*IBGE_2!U$149/100</f>
        <v>0.02</v>
      </c>
      <c r="V149" s="142">
        <f>B149*IBGE_2!V$149/100</f>
        <v>7.0000000000000007E-2</v>
      </c>
      <c r="W149" s="142" t="s">
        <v>3047</v>
      </c>
      <c r="X149" s="142">
        <f>B149*IBGE_2!X$149/100</f>
        <v>0.1</v>
      </c>
      <c r="Y149" s="142">
        <f>B149*IBGE_2!Y$149/100</f>
        <v>0.06</v>
      </c>
      <c r="Z149" s="142">
        <f>B149*IBGE_2!Z$149/100</f>
        <v>0.02</v>
      </c>
      <c r="AA149" s="142">
        <f>B149*IBGE_2!AA$149/100</f>
        <v>0.81</v>
      </c>
      <c r="AB149" s="142" t="s">
        <v>3047</v>
      </c>
      <c r="AC149" s="142">
        <f>B149*IBGE_2!AC$149/100</f>
        <v>0.98</v>
      </c>
      <c r="AD149" s="142" t="s">
        <v>3047</v>
      </c>
      <c r="AE149" s="142">
        <f>B149*IBGE_2!AE$149/100</f>
        <v>39.44</v>
      </c>
      <c r="AF149" s="142" t="s">
        <v>3047</v>
      </c>
      <c r="AG149" s="142">
        <f>B149*IBGE_2!AG$149/100</f>
        <v>0.02</v>
      </c>
      <c r="AH149" s="142" t="s">
        <v>3047</v>
      </c>
      <c r="AI149" s="142">
        <f>B149*IBGE_2!AI$149/100</f>
        <v>236</v>
      </c>
      <c r="AJ149" s="142">
        <f>B149*IBGE_2!AJ$149/100</f>
        <v>2.78</v>
      </c>
      <c r="AK149" s="142">
        <f>B149*IBGE_2!AK$149/100</f>
        <v>0.02</v>
      </c>
      <c r="AL149" s="142">
        <f>B149*IBGE_2!AL$149/100</f>
        <v>0.52</v>
      </c>
      <c r="AM149" s="142" t="s">
        <v>3047</v>
      </c>
      <c r="AN149" s="161"/>
    </row>
    <row r="150" spans="1:40">
      <c r="A150" s="143" t="s">
        <v>1209</v>
      </c>
      <c r="B150" s="141">
        <v>100</v>
      </c>
      <c r="C150" s="142">
        <f>B150*IBGE_2!C$150/100</f>
        <v>351</v>
      </c>
      <c r="D150" s="142">
        <f>B150*IBGE_2!D$150/100</f>
        <v>7.2</v>
      </c>
      <c r="E150" s="142">
        <f>B150*IBGE_2!E$150/100</f>
        <v>1.5</v>
      </c>
      <c r="F150" s="142">
        <f>B150*IBGE_2!F$150/100</f>
        <v>0.4</v>
      </c>
      <c r="G150" s="142">
        <f>B150*IBGE_2!G$150/100</f>
        <v>0.4</v>
      </c>
      <c r="H150" s="142">
        <f>B150*IBGE_2!H$150/100</f>
        <v>0.6</v>
      </c>
      <c r="I150" s="142">
        <f>B150*IBGE_2!I$150/100</f>
        <v>0.63</v>
      </c>
      <c r="J150" s="142">
        <f>B150*IBGE_2!J$150/100</f>
        <v>0.02</v>
      </c>
      <c r="K150" s="142" t="s">
        <v>3047</v>
      </c>
      <c r="L150" s="142">
        <f>B150*IBGE_2!L$150/100</f>
        <v>79.099999999999994</v>
      </c>
      <c r="M150" s="142">
        <f>B150*IBGE_2!M$150/100</f>
        <v>5.5</v>
      </c>
      <c r="N150" s="142">
        <f>B150*IBGE_2!N$150/100</f>
        <v>1</v>
      </c>
      <c r="O150" s="142">
        <f>B150*IBGE_2!O$150/100</f>
        <v>31</v>
      </c>
      <c r="P150" s="142" t="s">
        <v>3047</v>
      </c>
      <c r="Q150" s="142">
        <f>B150*IBGE_2!Q$150/100</f>
        <v>84</v>
      </c>
      <c r="R150" s="142">
        <f>B150*IBGE_2!R$150/100</f>
        <v>2.2999999999999998</v>
      </c>
      <c r="S150" s="142">
        <f>B150*IBGE_2!S$150/100</f>
        <v>45</v>
      </c>
      <c r="T150" s="142">
        <f>B150*IBGE_2!T$150/100</f>
        <v>58</v>
      </c>
      <c r="U150" s="142">
        <f>B150*IBGE_2!U$150/100</f>
        <v>0.27</v>
      </c>
      <c r="V150" s="142">
        <f>B150*IBGE_2!V$150/100</f>
        <v>0.6</v>
      </c>
      <c r="W150" s="142" t="s">
        <v>3047</v>
      </c>
      <c r="X150" s="142">
        <f>B150*IBGE_2!X$150/100</f>
        <v>0.25</v>
      </c>
      <c r="Y150" s="142" t="s">
        <v>3047</v>
      </c>
      <c r="Z150" s="142">
        <f>B150*IBGE_2!Z$150/100</f>
        <v>0.25</v>
      </c>
      <c r="AA150" s="142" t="s">
        <v>3047</v>
      </c>
      <c r="AB150" s="142" t="s">
        <v>3047</v>
      </c>
      <c r="AC150" s="142" t="s">
        <v>3047</v>
      </c>
      <c r="AD150" s="142" t="s">
        <v>3047</v>
      </c>
      <c r="AE150" s="142" t="s">
        <v>3047</v>
      </c>
      <c r="AF150" s="142" t="s">
        <v>3047</v>
      </c>
      <c r="AG150" s="142" t="s">
        <v>3047</v>
      </c>
      <c r="AH150" s="142" t="s">
        <v>3047</v>
      </c>
      <c r="AI150" s="142" t="s">
        <v>3047</v>
      </c>
      <c r="AJ150" s="142" t="s">
        <v>3047</v>
      </c>
      <c r="AK150" s="142">
        <f>B150*IBGE_2!AK$150/100</f>
        <v>9</v>
      </c>
      <c r="AL150" s="142" t="s">
        <v>3047</v>
      </c>
      <c r="AM150" s="142" t="s">
        <v>3047</v>
      </c>
      <c r="AN150" s="161"/>
    </row>
    <row r="151" spans="1:40">
      <c r="A151" s="143" t="s">
        <v>1210</v>
      </c>
      <c r="B151" s="141">
        <v>100</v>
      </c>
      <c r="C151" s="142">
        <f>B151*IBGE_2!C$151/100</f>
        <v>311</v>
      </c>
      <c r="D151" s="142">
        <f>B151*IBGE_2!D$151/100</f>
        <v>4.8</v>
      </c>
      <c r="E151" s="142">
        <f>B151*IBGE_2!E$151/100</f>
        <v>12.4</v>
      </c>
      <c r="F151" s="142">
        <f>B151*IBGE_2!F$151/100</f>
        <v>4.5</v>
      </c>
      <c r="G151" s="142">
        <f>B151*IBGE_2!G$151/100</f>
        <v>3.9</v>
      </c>
      <c r="H151" s="142">
        <f>B151*IBGE_2!H$151/100</f>
        <v>1.5</v>
      </c>
      <c r="I151" s="142">
        <f>B151*IBGE_2!I$151/100</f>
        <v>1.34</v>
      </c>
      <c r="J151" s="142">
        <f>B151*IBGE_2!J$151/100</f>
        <v>0.08</v>
      </c>
      <c r="K151" s="142">
        <f>B151*IBGE_2!K$151/100</f>
        <v>82</v>
      </c>
      <c r="L151" s="142">
        <f>B151*IBGE_2!L$151/100</f>
        <v>45.1</v>
      </c>
      <c r="M151" s="142">
        <f>B151*IBGE_2!M$151/100</f>
        <v>0.7</v>
      </c>
      <c r="N151" s="142">
        <f>B151*IBGE_2!N$151/100</f>
        <v>83</v>
      </c>
      <c r="O151" s="142">
        <f>B151*IBGE_2!O$151/100</f>
        <v>10</v>
      </c>
      <c r="P151" s="142">
        <f>B151*IBGE_2!P$151/100</f>
        <v>0.11</v>
      </c>
      <c r="Q151" s="142">
        <f>B151*IBGE_2!Q$151/100</f>
        <v>128</v>
      </c>
      <c r="R151" s="142">
        <f>B151*IBGE_2!R$151/100</f>
        <v>0.7</v>
      </c>
      <c r="S151" s="142">
        <f>B151*IBGE_2!S$151/100</f>
        <v>134</v>
      </c>
      <c r="T151" s="142">
        <f>B151*IBGE_2!T$151/100</f>
        <v>118</v>
      </c>
      <c r="U151" s="142">
        <f>B151*IBGE_2!U$151/100</f>
        <v>0.04</v>
      </c>
      <c r="V151" s="142">
        <f>B151*IBGE_2!V$151/100</f>
        <v>0.4</v>
      </c>
      <c r="W151" s="142">
        <f>B151*IBGE_2!W$151/100</f>
        <v>57</v>
      </c>
      <c r="X151" s="142">
        <f>B151*IBGE_2!X$151/100</f>
        <v>0.11</v>
      </c>
      <c r="Y151" s="142">
        <f>B151*IBGE_2!Y$151/100</f>
        <v>0.05</v>
      </c>
      <c r="Z151" s="142" t="s">
        <v>3047</v>
      </c>
      <c r="AA151" s="142" t="s">
        <v>3047</v>
      </c>
      <c r="AB151" s="142" t="s">
        <v>3047</v>
      </c>
      <c r="AC151" s="142" t="s">
        <v>3047</v>
      </c>
      <c r="AD151" s="142" t="s">
        <v>3047</v>
      </c>
      <c r="AE151" s="142" t="s">
        <v>3047</v>
      </c>
      <c r="AF151" s="142" t="s">
        <v>3047</v>
      </c>
      <c r="AG151" s="142" t="s">
        <v>3047</v>
      </c>
      <c r="AH151" s="142">
        <f>B151*IBGE_2!AH$151/100</f>
        <v>1.99</v>
      </c>
      <c r="AI151" s="142" t="s">
        <v>3047</v>
      </c>
      <c r="AJ151" s="142" t="s">
        <v>3047</v>
      </c>
      <c r="AK151" s="142" t="s">
        <v>3047</v>
      </c>
      <c r="AL151" s="142">
        <f>B151*IBGE_2!AL$151/100</f>
        <v>8.27</v>
      </c>
      <c r="AM151" s="142">
        <f>B151*IBGE_2!AM$151/100</f>
        <v>5.68</v>
      </c>
      <c r="AN151" s="161"/>
    </row>
    <row r="152" spans="1:40">
      <c r="A152" s="143" t="s">
        <v>1211</v>
      </c>
      <c r="B152" s="141">
        <v>100</v>
      </c>
      <c r="C152" s="142">
        <f>B152*IBGE_2!C$152/100</f>
        <v>311</v>
      </c>
      <c r="D152" s="142">
        <f>B152*IBGE_2!D$152/100</f>
        <v>4.8</v>
      </c>
      <c r="E152" s="142">
        <f>B152*IBGE_2!E$152/100</f>
        <v>12.4</v>
      </c>
      <c r="F152" s="142">
        <f>B152*IBGE_2!F$152/100</f>
        <v>4.5</v>
      </c>
      <c r="G152" s="142">
        <f>B152*IBGE_2!G$152/100</f>
        <v>3.9</v>
      </c>
      <c r="H152" s="142">
        <f>B152*IBGE_2!H$152/100</f>
        <v>1.5</v>
      </c>
      <c r="I152" s="142">
        <f>B152*IBGE_2!I$152/100</f>
        <v>1.34</v>
      </c>
      <c r="J152" s="142">
        <f>B152*IBGE_2!J$152/100</f>
        <v>0.08</v>
      </c>
      <c r="K152" s="142">
        <f>B152*IBGE_2!K$152/100</f>
        <v>82</v>
      </c>
      <c r="L152" s="142">
        <f>B152*IBGE_2!L$152/100</f>
        <v>45.1</v>
      </c>
      <c r="M152" s="142">
        <f>B152*IBGE_2!M$152/100</f>
        <v>0.7</v>
      </c>
      <c r="N152" s="142">
        <f>B152*IBGE_2!N$152/100</f>
        <v>83</v>
      </c>
      <c r="O152" s="142">
        <f>B152*IBGE_2!O$152/100</f>
        <v>10</v>
      </c>
      <c r="P152" s="142">
        <f>B152*IBGE_2!P$152/100</f>
        <v>0.11</v>
      </c>
      <c r="Q152" s="142">
        <f>B152*IBGE_2!Q$152/100</f>
        <v>128</v>
      </c>
      <c r="R152" s="142">
        <f>B152*IBGE_2!R$152/100</f>
        <v>0.7</v>
      </c>
      <c r="S152" s="142">
        <f>B152*IBGE_2!S$152/100</f>
        <v>134</v>
      </c>
      <c r="T152" s="142">
        <f>B152*IBGE_2!T$152/100</f>
        <v>118</v>
      </c>
      <c r="U152" s="142">
        <f>B152*IBGE_2!U$152/100</f>
        <v>0.04</v>
      </c>
      <c r="V152" s="142">
        <f>B152*IBGE_2!V$152/100</f>
        <v>0.4</v>
      </c>
      <c r="W152" s="142">
        <f>B152*IBGE_2!W$152/100</f>
        <v>57</v>
      </c>
      <c r="X152" s="142">
        <f>B152*IBGE_2!X$152/100</f>
        <v>0.11</v>
      </c>
      <c r="Y152" s="142">
        <f>B152*IBGE_2!Y$152/100</f>
        <v>0.05</v>
      </c>
      <c r="Z152" s="142" t="s">
        <v>3047</v>
      </c>
      <c r="AA152" s="142" t="s">
        <v>3047</v>
      </c>
      <c r="AB152" s="142" t="s">
        <v>3047</v>
      </c>
      <c r="AC152" s="142" t="s">
        <v>3047</v>
      </c>
      <c r="AD152" s="142" t="s">
        <v>3047</v>
      </c>
      <c r="AE152" s="142" t="s">
        <v>3047</v>
      </c>
      <c r="AF152" s="142" t="s">
        <v>3047</v>
      </c>
      <c r="AG152" s="142" t="s">
        <v>3047</v>
      </c>
      <c r="AH152" s="142">
        <f>B152*IBGE_2!AH$152/100</f>
        <v>1.99</v>
      </c>
      <c r="AI152" s="142" t="s">
        <v>3047</v>
      </c>
      <c r="AJ152" s="142" t="s">
        <v>3047</v>
      </c>
      <c r="AK152" s="142" t="s">
        <v>3047</v>
      </c>
      <c r="AL152" s="142">
        <f>B152*IBGE_2!AL$152/100</f>
        <v>8.27</v>
      </c>
      <c r="AM152" s="142">
        <f>B152*IBGE_2!AM$152/100</f>
        <v>5.68</v>
      </c>
      <c r="AN152" s="161"/>
    </row>
    <row r="153" spans="1:40">
      <c r="A153" s="143" t="s">
        <v>1212</v>
      </c>
      <c r="B153" s="141">
        <v>100</v>
      </c>
      <c r="C153" s="142">
        <f>B153*IBGE_2!C$153/100</f>
        <v>160.14099999999999</v>
      </c>
      <c r="D153" s="142">
        <f>B153*IBGE_2!D$153/100</f>
        <v>3.32</v>
      </c>
      <c r="E153" s="142">
        <f>B153*IBGE_2!E$153/100</f>
        <v>7.1779999999999999</v>
      </c>
      <c r="F153" s="142">
        <f>B153*IBGE_2!F$153/100</f>
        <v>1.1200000000000001</v>
      </c>
      <c r="G153" s="142">
        <f>B153*IBGE_2!G$153/100</f>
        <v>1.7180000000000002</v>
      </c>
      <c r="H153" s="142">
        <f>B153*IBGE_2!H$153/100</f>
        <v>4.0090000000000003</v>
      </c>
      <c r="I153" s="142">
        <f>B153*IBGE_2!I$153/100</f>
        <v>3.5910000000000002</v>
      </c>
      <c r="J153" s="142">
        <f>B153*IBGE_2!J$153/100</f>
        <v>0.41799999999999998</v>
      </c>
      <c r="K153" s="142" t="s">
        <v>3047</v>
      </c>
      <c r="L153" s="142">
        <f>B153*IBGE_2!L$153/100</f>
        <v>25.11</v>
      </c>
      <c r="M153" s="142">
        <f>B153*IBGE_2!M$153/100</f>
        <v>4.25</v>
      </c>
      <c r="N153" s="142">
        <f>B153*IBGE_2!N$153/100</f>
        <v>3.1519999999999997</v>
      </c>
      <c r="O153" s="142">
        <f>B153*IBGE_2!O$153/100</f>
        <v>26.006</v>
      </c>
      <c r="P153" s="142">
        <f>B153*IBGE_2!P$153/100</f>
        <v>0.159</v>
      </c>
      <c r="Q153" s="142">
        <f>B153*IBGE_2!Q$153/100</f>
        <v>75</v>
      </c>
      <c r="R153" s="142">
        <f>B153*IBGE_2!R$153/100</f>
        <v>0.44500000000000001</v>
      </c>
      <c r="S153" s="142">
        <f>B153*IBGE_2!S$153/100</f>
        <v>244.96400000000003</v>
      </c>
      <c r="T153" s="142">
        <f>B153*IBGE_2!T$153/100</f>
        <v>212.05099999999999</v>
      </c>
      <c r="U153" s="142">
        <f>B153*IBGE_2!U$153/100</f>
        <v>4.7E-2</v>
      </c>
      <c r="V153" s="142">
        <f>B153*IBGE_2!V$153/100</f>
        <v>0.61099999999999999</v>
      </c>
      <c r="W153" s="142" t="s">
        <v>3047</v>
      </c>
      <c r="X153" s="142">
        <f>B153*IBGE_2!X$153/100</f>
        <v>0.215</v>
      </c>
      <c r="Y153" s="142">
        <f>B153*IBGE_2!Y$153/100</f>
        <v>7.1999999999999995E-2</v>
      </c>
      <c r="Z153" s="142">
        <f>B153*IBGE_2!Z$153/100</f>
        <v>0.06</v>
      </c>
      <c r="AA153" s="142">
        <f>B153*IBGE_2!AA$153/100</f>
        <v>1.6140000000000001</v>
      </c>
      <c r="AB153" s="142">
        <f>B153*IBGE_2!AB$153/100</f>
        <v>6.2</v>
      </c>
      <c r="AC153" s="142">
        <f>B153*IBGE_2!AC$153/100</f>
        <v>1.9970000000000001</v>
      </c>
      <c r="AD153" s="142" t="s">
        <v>3047</v>
      </c>
      <c r="AE153" s="142">
        <f>B153*IBGE_2!AE$153/100</f>
        <v>46</v>
      </c>
      <c r="AF153" s="142" t="s">
        <v>3047</v>
      </c>
      <c r="AG153" s="142">
        <f>B153*IBGE_2!AG$153/100</f>
        <v>0.57199999999999995</v>
      </c>
      <c r="AH153" s="142">
        <f>B153*IBGE_2!AH$153/100</f>
        <v>3.1E-2</v>
      </c>
      <c r="AI153" s="142">
        <f>B153*IBGE_2!AI$153/100</f>
        <v>245</v>
      </c>
      <c r="AJ153" s="142">
        <f>B153*IBGE_2!AJ$153/100</f>
        <v>2.9039999999999999</v>
      </c>
      <c r="AK153" s="142">
        <f>B153*IBGE_2!AK$153/100</f>
        <v>13.167</v>
      </c>
      <c r="AL153" s="142">
        <f>B153*IBGE_2!AL$153/100</f>
        <v>3.16</v>
      </c>
      <c r="AM153" s="142" t="s">
        <v>3047</v>
      </c>
      <c r="AN153" s="161"/>
    </row>
    <row r="154" spans="1:40">
      <c r="A154" s="143" t="s">
        <v>1213</v>
      </c>
      <c r="B154" s="141">
        <v>100</v>
      </c>
      <c r="C154" s="142">
        <f>B154*IBGE_2!C$154/100</f>
        <v>78.242999999999995</v>
      </c>
      <c r="D154" s="142">
        <f>B154*IBGE_2!D$154/100</f>
        <v>2.4220000000000002</v>
      </c>
      <c r="E154" s="142">
        <f>B154*IBGE_2!E$154/100</f>
        <v>3.0619999999999998</v>
      </c>
      <c r="F154" s="142">
        <f>B154*IBGE_2!F$154/100</f>
        <v>1.3480000000000001</v>
      </c>
      <c r="G154" s="142">
        <f>B154*IBGE_2!G$154/100</f>
        <v>0.89</v>
      </c>
      <c r="H154" s="142">
        <f>B154*IBGE_2!H$154/100</f>
        <v>0.55500000000000005</v>
      </c>
      <c r="I154" s="142">
        <f>B154*IBGE_2!I$154/100</f>
        <v>0.498</v>
      </c>
      <c r="J154" s="142">
        <f>B154*IBGE_2!J$154/100</f>
        <v>5.7000000000000002E-2</v>
      </c>
      <c r="K154" s="142">
        <f>B154*IBGE_2!K$154/100</f>
        <v>6.0229999999999997</v>
      </c>
      <c r="L154" s="142">
        <f>B154*IBGE_2!L$154/100</f>
        <v>10.456</v>
      </c>
      <c r="M154" s="142">
        <f>B154*IBGE_2!M$154/100</f>
        <v>0.17399999999999999</v>
      </c>
      <c r="N154" s="142">
        <f>B154*IBGE_2!N$154/100</f>
        <v>124.56699999999999</v>
      </c>
      <c r="O154" s="142">
        <f>B154*IBGE_2!O$154/100</f>
        <v>13.224</v>
      </c>
      <c r="P154" s="142">
        <f>B154*IBGE_2!P$154/100</f>
        <v>2.9000000000000005E-2</v>
      </c>
      <c r="Q154" s="142">
        <f>B154*IBGE_2!Q$154/100</f>
        <v>95.381</v>
      </c>
      <c r="R154" s="142">
        <f>B154*IBGE_2!R$154/100</f>
        <v>0.221</v>
      </c>
      <c r="S154" s="142">
        <f>B154*IBGE_2!S$154/100</f>
        <v>319.33100000000002</v>
      </c>
      <c r="T154" s="142">
        <f>B154*IBGE_2!T$154/100</f>
        <v>156.846</v>
      </c>
      <c r="U154" s="142">
        <f>B154*IBGE_2!U$154/100</f>
        <v>1.4999999999999999E-2</v>
      </c>
      <c r="V154" s="142">
        <f>B154*IBGE_2!V$154/100</f>
        <v>0.44900000000000001</v>
      </c>
      <c r="W154" s="142">
        <f>B154*IBGE_2!W$154/100</f>
        <v>21.164999999999999</v>
      </c>
      <c r="X154" s="142">
        <f>B154*IBGE_2!X$154/100</f>
        <v>6.8000000000000005E-2</v>
      </c>
      <c r="Y154" s="142">
        <f>B154*IBGE_2!Y$154/100</f>
        <v>0.17699999999999999</v>
      </c>
      <c r="Z154" s="142">
        <f>B154*IBGE_2!Z$154/100</f>
        <v>4.2999999999999997E-2</v>
      </c>
      <c r="AA154" s="142">
        <f>B154*IBGE_2!AA$154/100</f>
        <v>0.32200000000000001</v>
      </c>
      <c r="AB154" s="142">
        <f>B154*IBGE_2!AB$154/100</f>
        <v>0.14699999999999999</v>
      </c>
      <c r="AC154" s="142">
        <f>B154*IBGE_2!AC$154/100</f>
        <v>1.1659999999999999</v>
      </c>
      <c r="AD154" s="142">
        <f>B154*IBGE_2!AD$154/100</f>
        <v>0.30199999999999999</v>
      </c>
      <c r="AE154" s="142">
        <f>B154*IBGE_2!AE$154/100</f>
        <v>11.232999999999999</v>
      </c>
      <c r="AF154" s="142">
        <f>B154*IBGE_2!AF$154/100</f>
        <v>0.50800000000000001</v>
      </c>
      <c r="AG154" s="142">
        <f>B154*IBGE_2!AG$154/100</f>
        <v>0.187</v>
      </c>
      <c r="AH154" s="142">
        <f>B154*IBGE_2!AH$154/100</f>
        <v>0.22600000000000001</v>
      </c>
      <c r="AI154" s="142" t="s">
        <v>3047</v>
      </c>
      <c r="AJ154" s="142">
        <f>B154*IBGE_2!AJ$154/100</f>
        <v>4.0279999999999996</v>
      </c>
      <c r="AK154" s="142">
        <f>B154*IBGE_2!AK$154/100</f>
        <v>30.094999999999999</v>
      </c>
      <c r="AL154" s="142">
        <f>B154*IBGE_2!AL$154/100</f>
        <v>7.1960000000000006</v>
      </c>
      <c r="AM154" s="142">
        <f>B154*IBGE_2!AM$154/100</f>
        <v>2.0779999999999998</v>
      </c>
      <c r="AN154" s="161"/>
    </row>
    <row r="155" spans="1:40">
      <c r="A155" s="143" t="s">
        <v>1214</v>
      </c>
      <c r="B155" s="141">
        <v>100</v>
      </c>
      <c r="C155" s="142">
        <f>B155*IBGE_2!C$155/100</f>
        <v>78.242999999999995</v>
      </c>
      <c r="D155" s="142">
        <f>B155*IBGE_2!D$155/100</f>
        <v>2.4220000000000002</v>
      </c>
      <c r="E155" s="142">
        <f>B155*IBGE_2!E$155/100</f>
        <v>3.0619999999999998</v>
      </c>
      <c r="F155" s="142">
        <f>B155*IBGE_2!F$155/100</f>
        <v>1.3480000000000001</v>
      </c>
      <c r="G155" s="142">
        <f>B155*IBGE_2!G$155/100</f>
        <v>0.89</v>
      </c>
      <c r="H155" s="142">
        <f>B155*IBGE_2!H$155/100</f>
        <v>0.55500000000000005</v>
      </c>
      <c r="I155" s="142">
        <f>B155*IBGE_2!I$155/100</f>
        <v>0.498</v>
      </c>
      <c r="J155" s="142">
        <f>B155*IBGE_2!J$155/100</f>
        <v>5.7000000000000002E-2</v>
      </c>
      <c r="K155" s="142">
        <f>B155*IBGE_2!K$155/100</f>
        <v>6.0229999999999997</v>
      </c>
      <c r="L155" s="142">
        <f>B155*IBGE_2!L$155/100</f>
        <v>10.456</v>
      </c>
      <c r="M155" s="142">
        <f>B155*IBGE_2!M$155/100</f>
        <v>0.17399999999999999</v>
      </c>
      <c r="N155" s="142">
        <f>B155*IBGE_2!N$155/100</f>
        <v>124.56699999999999</v>
      </c>
      <c r="O155" s="142">
        <f>B155*IBGE_2!O$155/100</f>
        <v>13.224</v>
      </c>
      <c r="P155" s="142">
        <f>B155*IBGE_2!P$155/100</f>
        <v>2.9000000000000005E-2</v>
      </c>
      <c r="Q155" s="142">
        <f>B155*IBGE_2!Q$155/100</f>
        <v>95.381</v>
      </c>
      <c r="R155" s="142">
        <f>B155*IBGE_2!R$155/100</f>
        <v>0.221</v>
      </c>
      <c r="S155" s="142">
        <f>B155*IBGE_2!S$155/100</f>
        <v>319.33100000000002</v>
      </c>
      <c r="T155" s="142">
        <f>B155*IBGE_2!T$155/100</f>
        <v>156.846</v>
      </c>
      <c r="U155" s="142">
        <f>B155*IBGE_2!U$155/100</f>
        <v>1.4999999999999999E-2</v>
      </c>
      <c r="V155" s="142">
        <f>B155*IBGE_2!V$155/100</f>
        <v>0.44900000000000001</v>
      </c>
      <c r="W155" s="142">
        <f>B155*IBGE_2!W$155/100</f>
        <v>21.164999999999999</v>
      </c>
      <c r="X155" s="142">
        <f>B155*IBGE_2!X$155/100</f>
        <v>6.8000000000000005E-2</v>
      </c>
      <c r="Y155" s="142">
        <f>B155*IBGE_2!Y$155/100</f>
        <v>0.17699999999999999</v>
      </c>
      <c r="Z155" s="142">
        <f>B155*IBGE_2!Z$155/100</f>
        <v>4.2999999999999997E-2</v>
      </c>
      <c r="AA155" s="142">
        <f>B155*IBGE_2!AA$155/100</f>
        <v>0.32200000000000001</v>
      </c>
      <c r="AB155" s="142">
        <f>B155*IBGE_2!AB$155/100</f>
        <v>0.14699999999999999</v>
      </c>
      <c r="AC155" s="142">
        <f>B155*IBGE_2!AC$155/100</f>
        <v>1.1659999999999999</v>
      </c>
      <c r="AD155" s="142">
        <f>B155*IBGE_2!AD$155/100</f>
        <v>0.30199999999999999</v>
      </c>
      <c r="AE155" s="142">
        <f>B155*IBGE_2!AE$155/100</f>
        <v>11.232999999999999</v>
      </c>
      <c r="AF155" s="142">
        <f>B155*IBGE_2!AF$155/100</f>
        <v>0.50800000000000001</v>
      </c>
      <c r="AG155" s="142">
        <f>B155*IBGE_2!AG$155/100</f>
        <v>0.187</v>
      </c>
      <c r="AH155" s="142">
        <f>B155*IBGE_2!AH$155/100</f>
        <v>0.22600000000000001</v>
      </c>
      <c r="AI155" s="142" t="s">
        <v>3047</v>
      </c>
      <c r="AJ155" s="142">
        <f>B155*IBGE_2!AJ$155/100</f>
        <v>4.0279999999999996</v>
      </c>
      <c r="AK155" s="142">
        <f>B155*IBGE_2!AK$155/100</f>
        <v>30.094999999999999</v>
      </c>
      <c r="AL155" s="142">
        <f>B155*IBGE_2!AL$155/100</f>
        <v>7.1960000000000006</v>
      </c>
      <c r="AM155" s="142">
        <f>B155*IBGE_2!AM$155/100</f>
        <v>2.0779999999999998</v>
      </c>
      <c r="AN155" s="161"/>
    </row>
    <row r="156" spans="1:40">
      <c r="A156" s="143" t="s">
        <v>1215</v>
      </c>
      <c r="B156" s="141">
        <v>100</v>
      </c>
      <c r="C156" s="142">
        <f>B156*IBGE_2!C$156/100</f>
        <v>148.32300000000001</v>
      </c>
      <c r="D156" s="142">
        <f>B156*IBGE_2!D$156/100</f>
        <v>3.798</v>
      </c>
      <c r="E156" s="142">
        <f>B156*IBGE_2!E$156/100</f>
        <v>3.2949999999999999</v>
      </c>
      <c r="F156" s="142">
        <f>B156*IBGE_2!F$156/100</f>
        <v>1.84</v>
      </c>
      <c r="G156" s="142">
        <f>B156*IBGE_2!G$156/100</f>
        <v>0.83299999999999996</v>
      </c>
      <c r="H156" s="142">
        <f>B156*IBGE_2!H$156/100</f>
        <v>0.23200000000000004</v>
      </c>
      <c r="I156" s="142">
        <f>B156*IBGE_2!I$156/100</f>
        <v>0.152</v>
      </c>
      <c r="J156" s="142">
        <f>B156*IBGE_2!J$156/100</f>
        <v>0.08</v>
      </c>
      <c r="K156" s="142">
        <f>B156*IBGE_2!K$156/100</f>
        <v>9.625</v>
      </c>
      <c r="L156" s="142">
        <f>B156*IBGE_2!L$156/100</f>
        <v>26.071000000000005</v>
      </c>
      <c r="M156" s="142">
        <f>B156*IBGE_2!M$156/100</f>
        <v>0.30099999999999999</v>
      </c>
      <c r="N156" s="142">
        <f>B156*IBGE_2!N$156/100</f>
        <v>110.53700000000001</v>
      </c>
      <c r="O156" s="142">
        <f>B156*IBGE_2!O$156/100</f>
        <v>13.753999999999998</v>
      </c>
      <c r="P156" s="142">
        <f>B156*IBGE_2!P$156/100</f>
        <v>0.14399999999999999</v>
      </c>
      <c r="Q156" s="142">
        <f>B156*IBGE_2!Q$156/100</f>
        <v>99.066000000000003</v>
      </c>
      <c r="R156" s="142">
        <f>B156*IBGE_2!R$156/100</f>
        <v>7.5999999999999998E-2</v>
      </c>
      <c r="S156" s="142">
        <f>B156*IBGE_2!S$156/100</f>
        <v>387.29700000000003</v>
      </c>
      <c r="T156" s="142">
        <f>B156*IBGE_2!T$156/100</f>
        <v>147.15700000000001</v>
      </c>
      <c r="U156" s="142">
        <f>B156*IBGE_2!U$156/100</f>
        <v>2.6000000000000002E-2</v>
      </c>
      <c r="V156" s="142">
        <f>B156*IBGE_2!V$156/100</f>
        <v>0.48</v>
      </c>
      <c r="W156" s="142">
        <f>B156*IBGE_2!W$156/100</f>
        <v>26.951000000000001</v>
      </c>
      <c r="X156" s="142">
        <f>B156*IBGE_2!X$156/100</f>
        <v>5.8999999999999997E-2</v>
      </c>
      <c r="Y156" s="142">
        <f>B156*IBGE_2!Y$156/100</f>
        <v>0.18099999999999997</v>
      </c>
      <c r="Z156" s="142">
        <f>B156*IBGE_2!Z$156/100</f>
        <v>8.5999999999999993E-2</v>
      </c>
      <c r="AA156" s="142">
        <f>B156*IBGE_2!AA$156/100</f>
        <v>0.40600000000000003</v>
      </c>
      <c r="AB156" s="142">
        <f>B156*IBGE_2!AB$156/100</f>
        <v>0.254</v>
      </c>
      <c r="AC156" s="142">
        <f>B156*IBGE_2!AC$156/100</f>
        <v>1.75</v>
      </c>
      <c r="AD156" s="142">
        <f>B156*IBGE_2!AD$156/100</f>
        <v>0.42399999999999999</v>
      </c>
      <c r="AE156" s="142">
        <f>B156*IBGE_2!AE$156/100</f>
        <v>5.306</v>
      </c>
      <c r="AF156" s="142">
        <f>B156*IBGE_2!AF$156/100</f>
        <v>0.96299999999999997</v>
      </c>
      <c r="AG156" s="142">
        <f>B156*IBGE_2!AG$156/100</f>
        <v>7.0999999999999994E-2</v>
      </c>
      <c r="AH156" s="142">
        <f>B156*IBGE_2!AH$156/100</f>
        <v>0.11200000000000002</v>
      </c>
      <c r="AI156" s="142" t="s">
        <v>3047</v>
      </c>
      <c r="AJ156" s="142">
        <f>B156*IBGE_2!AJ$156/100</f>
        <v>5.4020000000000001</v>
      </c>
      <c r="AK156" s="142">
        <f>B156*IBGE_2!AK$156/100</f>
        <v>27.356999999999999</v>
      </c>
      <c r="AL156" s="142">
        <f>B156*IBGE_2!AL$156/100</f>
        <v>17.398</v>
      </c>
      <c r="AM156" s="142">
        <f>B156*IBGE_2!AM$156/100</f>
        <v>12.324999999999999</v>
      </c>
      <c r="AN156" s="161"/>
    </row>
    <row r="157" spans="1:40">
      <c r="A157" s="143" t="s">
        <v>1216</v>
      </c>
      <c r="B157" s="141">
        <v>100</v>
      </c>
      <c r="C157" s="142">
        <f>B157*IBGE_2!C$157/100</f>
        <v>78.242999999999995</v>
      </c>
      <c r="D157" s="142">
        <f>B157*IBGE_2!D$157/100</f>
        <v>2.4220000000000002</v>
      </c>
      <c r="E157" s="142">
        <f>B157*IBGE_2!E$157/100</f>
        <v>3.0619999999999998</v>
      </c>
      <c r="F157" s="142">
        <f>B157*IBGE_2!F$157/100</f>
        <v>1.3480000000000001</v>
      </c>
      <c r="G157" s="142">
        <f>B157*IBGE_2!G$157/100</f>
        <v>0.89</v>
      </c>
      <c r="H157" s="142">
        <f>B157*IBGE_2!H$157/100</f>
        <v>0.55500000000000005</v>
      </c>
      <c r="I157" s="142">
        <f>B157*IBGE_2!I$157/100</f>
        <v>0.498</v>
      </c>
      <c r="J157" s="142">
        <f>B157*IBGE_2!J$157/100</f>
        <v>5.7000000000000002E-2</v>
      </c>
      <c r="K157" s="142">
        <f>B157*IBGE_2!K$157/100</f>
        <v>6.0229999999999997</v>
      </c>
      <c r="L157" s="142">
        <f>B157*IBGE_2!L$157/100</f>
        <v>10.456</v>
      </c>
      <c r="M157" s="142">
        <f>B157*IBGE_2!M$157/100</f>
        <v>0.17399999999999999</v>
      </c>
      <c r="N157" s="142">
        <f>B157*IBGE_2!N$157/100</f>
        <v>124.56699999999999</v>
      </c>
      <c r="O157" s="142">
        <f>B157*IBGE_2!O$157/100</f>
        <v>13.224</v>
      </c>
      <c r="P157" s="142">
        <f>B157*IBGE_2!P$157/100</f>
        <v>2.9000000000000005E-2</v>
      </c>
      <c r="Q157" s="142">
        <f>B157*IBGE_2!Q$157/100</f>
        <v>95.381</v>
      </c>
      <c r="R157" s="142">
        <f>B157*IBGE_2!R$157/100</f>
        <v>0.221</v>
      </c>
      <c r="S157" s="142">
        <f>B157*IBGE_2!S$157/100</f>
        <v>319.33100000000002</v>
      </c>
      <c r="T157" s="142">
        <f>B157*IBGE_2!T$157/100</f>
        <v>156.846</v>
      </c>
      <c r="U157" s="142">
        <f>B157*IBGE_2!U$157/100</f>
        <v>1.4999999999999999E-2</v>
      </c>
      <c r="V157" s="142">
        <f>B157*IBGE_2!V$157/100</f>
        <v>0.44900000000000001</v>
      </c>
      <c r="W157" s="142">
        <f>B157*IBGE_2!W$157/100</f>
        <v>21.164999999999999</v>
      </c>
      <c r="X157" s="142">
        <f>B157*IBGE_2!X$157/100</f>
        <v>6.8000000000000005E-2</v>
      </c>
      <c r="Y157" s="142">
        <f>B157*IBGE_2!Y$157/100</f>
        <v>0.17699999999999999</v>
      </c>
      <c r="Z157" s="142">
        <f>B157*IBGE_2!Z$157/100</f>
        <v>4.2999999999999997E-2</v>
      </c>
      <c r="AA157" s="142">
        <f>B157*IBGE_2!AA$157/100</f>
        <v>0.32200000000000001</v>
      </c>
      <c r="AB157" s="142">
        <f>B157*IBGE_2!AB$157/100</f>
        <v>0.14699999999999999</v>
      </c>
      <c r="AC157" s="142">
        <f>B157*IBGE_2!AC$157/100</f>
        <v>1.1659999999999999</v>
      </c>
      <c r="AD157" s="142">
        <f>B157*IBGE_2!AD$157/100</f>
        <v>0.30199999999999999</v>
      </c>
      <c r="AE157" s="142">
        <f>B157*IBGE_2!AE$157/100</f>
        <v>11.232999999999999</v>
      </c>
      <c r="AF157" s="142">
        <f>B157*IBGE_2!AF$157/100</f>
        <v>0.50800000000000001</v>
      </c>
      <c r="AG157" s="142">
        <f>B157*IBGE_2!AG$157/100</f>
        <v>0.187</v>
      </c>
      <c r="AH157" s="142">
        <f>B157*IBGE_2!AH$157/100</f>
        <v>0.22600000000000001</v>
      </c>
      <c r="AI157" s="142" t="s">
        <v>3047</v>
      </c>
      <c r="AJ157" s="142">
        <f>B157*IBGE_2!AJ$157/100</f>
        <v>4.0279999999999996</v>
      </c>
      <c r="AK157" s="142">
        <f>B157*IBGE_2!AK$157/100</f>
        <v>30.094999999999999</v>
      </c>
      <c r="AL157" s="142">
        <f>B157*IBGE_2!AL$157/100</f>
        <v>7.1960000000000006</v>
      </c>
      <c r="AM157" s="142">
        <f>B157*IBGE_2!AM$157/100</f>
        <v>2.0779999999999998</v>
      </c>
      <c r="AN157" s="161"/>
    </row>
    <row r="158" spans="1:40">
      <c r="A158" s="143" t="s">
        <v>1217</v>
      </c>
      <c r="B158" s="141">
        <v>100</v>
      </c>
      <c r="C158" s="142">
        <f>B158*IBGE_2!C$158/100</f>
        <v>128.30000000000001</v>
      </c>
      <c r="D158" s="142">
        <f>B158*IBGE_2!D$158/100</f>
        <v>4.3499999999999996</v>
      </c>
      <c r="E158" s="142">
        <f>B158*IBGE_2!E$158/100</f>
        <v>0.22</v>
      </c>
      <c r="F158" s="142">
        <f>B158*IBGE_2!F$158/100</f>
        <v>0.04</v>
      </c>
      <c r="G158" s="142">
        <f>B158*IBGE_2!G$158/100</f>
        <v>0.03</v>
      </c>
      <c r="H158" s="142">
        <f>B158*IBGE_2!H$158/100</f>
        <v>0.09</v>
      </c>
      <c r="I158" s="142">
        <f>B158*IBGE_2!I$158/100</f>
        <v>0.08</v>
      </c>
      <c r="J158" s="142" t="s">
        <v>3047</v>
      </c>
      <c r="K158" s="142" t="s">
        <v>3047</v>
      </c>
      <c r="L158" s="142">
        <f>B158*IBGE_2!L$158/100</f>
        <v>26.42</v>
      </c>
      <c r="M158" s="142">
        <f>B158*IBGE_2!M$158/100</f>
        <v>1.71</v>
      </c>
      <c r="N158" s="142">
        <f>B158*IBGE_2!N$158/100</f>
        <v>10.74</v>
      </c>
      <c r="O158" s="142">
        <f>B158*IBGE_2!O$158/100</f>
        <v>15.82</v>
      </c>
      <c r="P158" s="142">
        <f>B158*IBGE_2!P$158/100</f>
        <v>0.27</v>
      </c>
      <c r="Q158" s="142">
        <f>B158*IBGE_2!Q$158/100</f>
        <v>58.01</v>
      </c>
      <c r="R158" s="142">
        <f>B158*IBGE_2!R$158/100</f>
        <v>0.37</v>
      </c>
      <c r="S158" s="142">
        <f>B158*IBGE_2!S$158/100</f>
        <v>261.48</v>
      </c>
      <c r="T158" s="142">
        <f>B158*IBGE_2!T$158/100</f>
        <v>57.49</v>
      </c>
      <c r="U158" s="142">
        <f>B158*IBGE_2!U$158/100</f>
        <v>0.09</v>
      </c>
      <c r="V158" s="142">
        <f>B158*IBGE_2!V$158/100</f>
        <v>0.28000000000000003</v>
      </c>
      <c r="W158" s="142" t="s">
        <v>3047</v>
      </c>
      <c r="X158" s="142">
        <f>B158*IBGE_2!X$158/100</f>
        <v>0.06</v>
      </c>
      <c r="Y158" s="142">
        <f>B158*IBGE_2!Y$158/100</f>
        <v>0.03</v>
      </c>
      <c r="Z158" s="142">
        <f>B158*IBGE_2!Z$158/100</f>
        <v>0.04</v>
      </c>
      <c r="AA158" s="142">
        <f>B158*IBGE_2!AA$158/100</f>
        <v>1.19</v>
      </c>
      <c r="AB158" s="142" t="s">
        <v>3047</v>
      </c>
      <c r="AC158" s="142">
        <f>B158*IBGE_2!AC$158/100</f>
        <v>2.12</v>
      </c>
      <c r="AD158" s="142" t="s">
        <v>3047</v>
      </c>
      <c r="AE158" s="142">
        <f>B158*IBGE_2!AE$158/100</f>
        <v>6.82</v>
      </c>
      <c r="AF158" s="142" t="s">
        <v>3047</v>
      </c>
      <c r="AG158" s="142">
        <f>B158*IBGE_2!AG$158/100</f>
        <v>0.05</v>
      </c>
      <c r="AH158" s="142" t="s">
        <v>3047</v>
      </c>
      <c r="AI158" s="142">
        <f>B158*IBGE_2!AI$158/100</f>
        <v>256</v>
      </c>
      <c r="AJ158" s="142">
        <f>B158*IBGE_2!AJ$158/100</f>
        <v>3.75</v>
      </c>
      <c r="AK158" s="142">
        <f>B158*IBGE_2!AK$158/100</f>
        <v>0.06</v>
      </c>
      <c r="AL158" s="142">
        <f>B158*IBGE_2!AL$158/100</f>
        <v>0.72</v>
      </c>
      <c r="AM158" s="142" t="s">
        <v>3047</v>
      </c>
      <c r="AN158" s="161"/>
    </row>
    <row r="159" spans="1:40">
      <c r="A159" s="143" t="s">
        <v>1218</v>
      </c>
      <c r="B159" s="141">
        <v>100</v>
      </c>
      <c r="C159" s="142">
        <f>B159*IBGE_2!C$159/100</f>
        <v>78.242999999999995</v>
      </c>
      <c r="D159" s="142">
        <f>B159*IBGE_2!D$159/100</f>
        <v>2.4220000000000002</v>
      </c>
      <c r="E159" s="142">
        <f>B159*IBGE_2!E$159/100</f>
        <v>3.0619999999999998</v>
      </c>
      <c r="F159" s="142">
        <f>B159*IBGE_2!F$159/100</f>
        <v>1.3480000000000001</v>
      </c>
      <c r="G159" s="142">
        <f>B159*IBGE_2!G$159/100</f>
        <v>0.89</v>
      </c>
      <c r="H159" s="142">
        <f>B159*IBGE_2!H$159/100</f>
        <v>0.55500000000000005</v>
      </c>
      <c r="I159" s="142">
        <f>B159*IBGE_2!I$159/100</f>
        <v>0.498</v>
      </c>
      <c r="J159" s="142">
        <f>B159*IBGE_2!J$159/100</f>
        <v>5.7000000000000002E-2</v>
      </c>
      <c r="K159" s="142">
        <f>B159*IBGE_2!K$159/100</f>
        <v>6.0229999999999997</v>
      </c>
      <c r="L159" s="142">
        <f>B159*IBGE_2!L$159/100</f>
        <v>10.456</v>
      </c>
      <c r="M159" s="142">
        <f>B159*IBGE_2!M$159/100</f>
        <v>0.17399999999999999</v>
      </c>
      <c r="N159" s="142">
        <f>B159*IBGE_2!N$159/100</f>
        <v>124.56699999999999</v>
      </c>
      <c r="O159" s="142">
        <f>B159*IBGE_2!O$159/100</f>
        <v>13.224</v>
      </c>
      <c r="P159" s="142">
        <f>B159*IBGE_2!P$159/100</f>
        <v>2.9000000000000005E-2</v>
      </c>
      <c r="Q159" s="142">
        <f>B159*IBGE_2!Q$159/100</f>
        <v>95.381</v>
      </c>
      <c r="R159" s="142">
        <f>B159*IBGE_2!R$159/100</f>
        <v>0.221</v>
      </c>
      <c r="S159" s="142">
        <f>B159*IBGE_2!S$159/100</f>
        <v>319.33100000000002</v>
      </c>
      <c r="T159" s="142">
        <f>B159*IBGE_2!T$159/100</f>
        <v>156.846</v>
      </c>
      <c r="U159" s="142">
        <f>B159*IBGE_2!U$159/100</f>
        <v>1.4999999999999999E-2</v>
      </c>
      <c r="V159" s="142">
        <f>B159*IBGE_2!V$159/100</f>
        <v>0.44900000000000001</v>
      </c>
      <c r="W159" s="142">
        <f>B159*IBGE_2!W$159/100</f>
        <v>21.164999999999999</v>
      </c>
      <c r="X159" s="142">
        <f>B159*IBGE_2!X$159/100</f>
        <v>6.8000000000000005E-2</v>
      </c>
      <c r="Y159" s="142">
        <f>B159*IBGE_2!Y$159/100</f>
        <v>0.17699999999999999</v>
      </c>
      <c r="Z159" s="142">
        <f>B159*IBGE_2!Z$159/100</f>
        <v>4.2999999999999997E-2</v>
      </c>
      <c r="AA159" s="142">
        <f>B159*IBGE_2!AA$159/100</f>
        <v>0.32200000000000001</v>
      </c>
      <c r="AB159" s="142">
        <f>B159*IBGE_2!AB$159/100</f>
        <v>0.14699999999999999</v>
      </c>
      <c r="AC159" s="142">
        <f>B159*IBGE_2!AC$159/100</f>
        <v>1.1659999999999999</v>
      </c>
      <c r="AD159" s="142">
        <f>B159*IBGE_2!AD$159/100</f>
        <v>0.30199999999999999</v>
      </c>
      <c r="AE159" s="142">
        <f>B159*IBGE_2!AE$159/100</f>
        <v>11.232999999999999</v>
      </c>
      <c r="AF159" s="142">
        <f>B159*IBGE_2!AF$159/100</f>
        <v>0.50800000000000001</v>
      </c>
      <c r="AG159" s="142">
        <f>B159*IBGE_2!AG$159/100</f>
        <v>0.187</v>
      </c>
      <c r="AH159" s="142">
        <f>B159*IBGE_2!AH$159/100</f>
        <v>0.22600000000000001</v>
      </c>
      <c r="AI159" s="142" t="s">
        <v>3047</v>
      </c>
      <c r="AJ159" s="142">
        <f>B159*IBGE_2!AJ$159/100</f>
        <v>4.0279999999999996</v>
      </c>
      <c r="AK159" s="142">
        <f>B159*IBGE_2!AK$159/100</f>
        <v>30.094999999999999</v>
      </c>
      <c r="AL159" s="142">
        <f>B159*IBGE_2!AL$159/100</f>
        <v>7.1960000000000006</v>
      </c>
      <c r="AM159" s="142">
        <f>B159*IBGE_2!AM$159/100</f>
        <v>2.0779999999999998</v>
      </c>
      <c r="AN159" s="161"/>
    </row>
    <row r="160" spans="1:40">
      <c r="A160" s="143" t="s">
        <v>1219</v>
      </c>
      <c r="B160" s="141">
        <v>100</v>
      </c>
      <c r="C160" s="142">
        <f>B160*IBGE_2!C$160/100</f>
        <v>377</v>
      </c>
      <c r="D160" s="142">
        <f>B160*IBGE_2!D$160/100</f>
        <v>4.7</v>
      </c>
      <c r="E160" s="142">
        <f>B160*IBGE_2!E$160/100</f>
        <v>0.7</v>
      </c>
      <c r="F160" s="142" t="s">
        <v>3047</v>
      </c>
      <c r="G160" s="142" t="s">
        <v>3047</v>
      </c>
      <c r="H160" s="142" t="s">
        <v>3047</v>
      </c>
      <c r="I160" s="142" t="s">
        <v>3047</v>
      </c>
      <c r="J160" s="142" t="s">
        <v>3047</v>
      </c>
      <c r="K160" s="142" t="s">
        <v>3047</v>
      </c>
      <c r="L160" s="142">
        <f>B160*IBGE_2!L$160/100</f>
        <v>88.8</v>
      </c>
      <c r="M160" s="142">
        <f>B160*IBGE_2!M$160/100</f>
        <v>2.1</v>
      </c>
      <c r="N160" s="142">
        <f>B160*IBGE_2!N$160/100</f>
        <v>56</v>
      </c>
      <c r="O160" s="142">
        <f>B160*IBGE_2!O$160/100</f>
        <v>8</v>
      </c>
      <c r="P160" s="142" t="s">
        <v>3047</v>
      </c>
      <c r="Q160" s="142">
        <f>B160*IBGE_2!Q$160/100</f>
        <v>43</v>
      </c>
      <c r="R160" s="142">
        <f>B160*IBGE_2!R$160/100</f>
        <v>3.9</v>
      </c>
      <c r="S160" s="142">
        <f>B160*IBGE_2!S$160/100</f>
        <v>405</v>
      </c>
      <c r="T160" s="142">
        <f>B160*IBGE_2!T$160/100</f>
        <v>52</v>
      </c>
      <c r="U160" s="142">
        <f>B160*IBGE_2!U$160/100</f>
        <v>0.04</v>
      </c>
      <c r="V160" s="142">
        <f>B160*IBGE_2!V$160/100</f>
        <v>8.5</v>
      </c>
      <c r="W160" s="142" t="s">
        <v>3047</v>
      </c>
      <c r="X160" s="142">
        <f>B160*IBGE_2!X$160/100</f>
        <v>0.73</v>
      </c>
      <c r="Y160" s="142">
        <f>B160*IBGE_2!Y$160/100</f>
        <v>1.1100000000000001</v>
      </c>
      <c r="Z160" s="142">
        <f>B160*IBGE_2!Z$160/100</f>
        <v>0.79</v>
      </c>
      <c r="AA160" s="142">
        <f>B160*IBGE_2!AA$160/100</f>
        <v>10.130000000000001</v>
      </c>
      <c r="AB160" s="142" t="s">
        <v>3047</v>
      </c>
      <c r="AC160" s="142" t="s">
        <v>3047</v>
      </c>
      <c r="AD160" s="142" t="s">
        <v>3047</v>
      </c>
      <c r="AE160" s="142" t="s">
        <v>3047</v>
      </c>
      <c r="AF160" s="142" t="s">
        <v>3047</v>
      </c>
      <c r="AG160" s="142" t="s">
        <v>3047</v>
      </c>
      <c r="AH160" s="142" t="s">
        <v>3047</v>
      </c>
      <c r="AI160" s="142" t="s">
        <v>3047</v>
      </c>
      <c r="AJ160" s="142" t="s">
        <v>3047</v>
      </c>
      <c r="AK160" s="142">
        <f>B160*IBGE_2!AK$160/100</f>
        <v>15</v>
      </c>
      <c r="AL160" s="142">
        <f>B160*IBGE_2!AL$160/100</f>
        <v>38.020000000000003</v>
      </c>
      <c r="AM160" s="142">
        <f>B160*IBGE_2!AM$160/100</f>
        <v>38.67</v>
      </c>
      <c r="AN160" s="161"/>
    </row>
    <row r="161" spans="1:40">
      <c r="A161" s="143" t="s">
        <v>1220</v>
      </c>
      <c r="B161" s="141">
        <v>100</v>
      </c>
      <c r="C161" s="142">
        <f>B161*IBGE_2!C$161/100</f>
        <v>377</v>
      </c>
      <c r="D161" s="142">
        <f>B161*IBGE_2!D$161/100</f>
        <v>4.7</v>
      </c>
      <c r="E161" s="142">
        <f>B161*IBGE_2!E$161/100</f>
        <v>0.7</v>
      </c>
      <c r="F161" s="142" t="s">
        <v>3047</v>
      </c>
      <c r="G161" s="142" t="s">
        <v>3047</v>
      </c>
      <c r="H161" s="142" t="s">
        <v>3047</v>
      </c>
      <c r="I161" s="142" t="s">
        <v>3047</v>
      </c>
      <c r="J161" s="142" t="s">
        <v>3047</v>
      </c>
      <c r="K161" s="142" t="s">
        <v>3047</v>
      </c>
      <c r="L161" s="142">
        <f>B161*IBGE_2!L$161/100</f>
        <v>88.8</v>
      </c>
      <c r="M161" s="142">
        <f>B161*IBGE_2!M$161/100</f>
        <v>2.1</v>
      </c>
      <c r="N161" s="142">
        <f>B161*IBGE_2!N$161/100</f>
        <v>56</v>
      </c>
      <c r="O161" s="142">
        <f>B161*IBGE_2!O$161/100</f>
        <v>8</v>
      </c>
      <c r="P161" s="142" t="s">
        <v>3047</v>
      </c>
      <c r="Q161" s="142">
        <f>B161*IBGE_2!Q$161/100</f>
        <v>43</v>
      </c>
      <c r="R161" s="142">
        <f>B161*IBGE_2!R$161/100</f>
        <v>3.9</v>
      </c>
      <c r="S161" s="142">
        <f>B161*IBGE_2!S$161/100</f>
        <v>405</v>
      </c>
      <c r="T161" s="142">
        <f>B161*IBGE_2!T$161/100</f>
        <v>52</v>
      </c>
      <c r="U161" s="142">
        <f>B161*IBGE_2!U$161/100</f>
        <v>0.04</v>
      </c>
      <c r="V161" s="142">
        <f>B161*IBGE_2!V$161/100</f>
        <v>8.5</v>
      </c>
      <c r="W161" s="142" t="s">
        <v>3047</v>
      </c>
      <c r="X161" s="142">
        <f>B161*IBGE_2!X$161/100</f>
        <v>0.73</v>
      </c>
      <c r="Y161" s="142">
        <f>B161*IBGE_2!Y$161/100</f>
        <v>1.1100000000000001</v>
      </c>
      <c r="Z161" s="142">
        <f>B161*IBGE_2!Z$161/100</f>
        <v>0.79</v>
      </c>
      <c r="AA161" s="142">
        <f>B161*IBGE_2!AA$161/100</f>
        <v>10.130000000000001</v>
      </c>
      <c r="AB161" s="142" t="s">
        <v>3047</v>
      </c>
      <c r="AC161" s="142" t="s">
        <v>3047</v>
      </c>
      <c r="AD161" s="142" t="s">
        <v>3047</v>
      </c>
      <c r="AE161" s="142" t="s">
        <v>3047</v>
      </c>
      <c r="AF161" s="142" t="s">
        <v>3047</v>
      </c>
      <c r="AG161" s="142" t="s">
        <v>3047</v>
      </c>
      <c r="AH161" s="142" t="s">
        <v>3047</v>
      </c>
      <c r="AI161" s="142" t="s">
        <v>3047</v>
      </c>
      <c r="AJ161" s="142" t="s">
        <v>3047</v>
      </c>
      <c r="AK161" s="142">
        <f>B161*IBGE_2!AK$161/100</f>
        <v>15</v>
      </c>
      <c r="AL161" s="142">
        <f>B161*IBGE_2!AL$161/100</f>
        <v>38.020000000000003</v>
      </c>
      <c r="AM161" s="142">
        <f>B161*IBGE_2!AM$161/100</f>
        <v>38.67</v>
      </c>
      <c r="AN161" s="161"/>
    </row>
    <row r="162" spans="1:40">
      <c r="A162" s="143" t="s">
        <v>1221</v>
      </c>
      <c r="B162" s="141">
        <v>100</v>
      </c>
      <c r="C162" s="142">
        <f>B162*IBGE_2!C$162/100</f>
        <v>360</v>
      </c>
      <c r="D162" s="142">
        <f>B162*IBGE_2!D$162/100</f>
        <v>23.15</v>
      </c>
      <c r="E162" s="142">
        <f>B162*IBGE_2!E$162/100</f>
        <v>9.7200000000000006</v>
      </c>
      <c r="F162" s="142">
        <f>B162*IBGE_2!F$162/100</f>
        <v>1.665</v>
      </c>
      <c r="G162" s="142">
        <f>B162*IBGE_2!G$162/100</f>
        <v>1.365</v>
      </c>
      <c r="H162" s="142">
        <f>B162*IBGE_2!H$162/100</f>
        <v>6.01</v>
      </c>
      <c r="I162" s="142">
        <f>B162*IBGE_2!I$162/100</f>
        <v>5.2870000000000008</v>
      </c>
      <c r="J162" s="142">
        <f>B162*IBGE_2!J$162/100</f>
        <v>0.72299999999999998</v>
      </c>
      <c r="K162" s="142" t="s">
        <v>3047</v>
      </c>
      <c r="L162" s="142">
        <f>B162*IBGE_2!L$162/100</f>
        <v>51.8</v>
      </c>
      <c r="M162" s="142">
        <f>B162*IBGE_2!M$162/100</f>
        <v>13.2</v>
      </c>
      <c r="N162" s="142">
        <f>B162*IBGE_2!N$162/100</f>
        <v>39</v>
      </c>
      <c r="O162" s="142">
        <f>B162*IBGE_2!O$162/100</f>
        <v>239</v>
      </c>
      <c r="P162" s="142">
        <f>B162*IBGE_2!P$162/100</f>
        <v>13.300999999999998</v>
      </c>
      <c r="Q162" s="142">
        <f>B162*IBGE_2!Q$162/100</f>
        <v>842</v>
      </c>
      <c r="R162" s="142">
        <f>B162*IBGE_2!R$162/100</f>
        <v>6.26</v>
      </c>
      <c r="S162" s="142">
        <f>B162*IBGE_2!S$162/100</f>
        <v>12</v>
      </c>
      <c r="T162" s="142">
        <f>B162*IBGE_2!T$162/100</f>
        <v>892</v>
      </c>
      <c r="U162" s="142">
        <f>B162*IBGE_2!U$162/100</f>
        <v>0.79600000000000004</v>
      </c>
      <c r="V162" s="142">
        <f>B162*IBGE_2!V$162/100</f>
        <v>12.29</v>
      </c>
      <c r="W162" s="142" t="s">
        <v>3047</v>
      </c>
      <c r="X162" s="142">
        <f>B162*IBGE_2!X$162/100</f>
        <v>1.8819999999999999</v>
      </c>
      <c r="Y162" s="142">
        <f>B162*IBGE_2!Y$162/100</f>
        <v>0.499</v>
      </c>
      <c r="Z162" s="142">
        <f>B162*IBGE_2!Z$162/100</f>
        <v>1.3</v>
      </c>
      <c r="AA162" s="142">
        <f>B162*IBGE_2!AA$162/100</f>
        <v>6.8129999999999997</v>
      </c>
      <c r="AB162" s="142" t="s">
        <v>3047</v>
      </c>
      <c r="AC162" s="142">
        <f>B162*IBGE_2!AC$162/100</f>
        <v>12.095999999999998</v>
      </c>
      <c r="AD162" s="142" t="s">
        <v>3047</v>
      </c>
      <c r="AE162" s="142">
        <f>B162*IBGE_2!AE$162/100</f>
        <v>281</v>
      </c>
      <c r="AF162" s="142" t="s">
        <v>3047</v>
      </c>
      <c r="AG162" s="142">
        <f>B162*IBGE_2!AG$162/100</f>
        <v>21.805</v>
      </c>
      <c r="AH162" s="142" t="s">
        <v>3047</v>
      </c>
      <c r="AI162" s="142" t="s">
        <v>3047</v>
      </c>
      <c r="AJ162" s="142">
        <f>B162*IBGE_2!AJ$162/100</f>
        <v>79.2</v>
      </c>
      <c r="AK162" s="142">
        <f>B162*IBGE_2!AK$162/100</f>
        <v>5.1669999999999989</v>
      </c>
      <c r="AL162" s="142">
        <f>B162*IBGE_2!AL$162/100</f>
        <v>8.6999999999999993</v>
      </c>
      <c r="AM162" s="142" t="s">
        <v>3047</v>
      </c>
      <c r="AN162" s="161"/>
    </row>
    <row r="163" spans="1:40">
      <c r="A163" s="143" t="s">
        <v>1222</v>
      </c>
      <c r="B163" s="141">
        <v>100</v>
      </c>
      <c r="C163" s="142">
        <f>B163*IBGE_2!C$163/100</f>
        <v>216</v>
      </c>
      <c r="D163" s="142">
        <f>B163*IBGE_2!D$163/100</f>
        <v>15.55</v>
      </c>
      <c r="E163" s="142">
        <f>B163*IBGE_2!E$163/100</f>
        <v>4.25</v>
      </c>
      <c r="F163" s="142">
        <f>B163*IBGE_2!F$163/100</f>
        <v>0.63</v>
      </c>
      <c r="G163" s="142">
        <f>B163*IBGE_2!G$163/100</f>
        <v>0.63700000000000001</v>
      </c>
      <c r="H163" s="142">
        <f>B163*IBGE_2!H$163/100</f>
        <v>2.2120000000000002</v>
      </c>
      <c r="I163" s="142">
        <f>B163*IBGE_2!I$163/100</f>
        <v>2.0390000000000001</v>
      </c>
      <c r="J163" s="142">
        <f>B163*IBGE_2!J$163/100</f>
        <v>0.16699999999999998</v>
      </c>
      <c r="K163" s="142" t="s">
        <v>3047</v>
      </c>
      <c r="L163" s="142">
        <f>B163*IBGE_2!L$163/100</f>
        <v>64.510000000000005</v>
      </c>
      <c r="M163" s="142">
        <f>B163*IBGE_2!M$163/100</f>
        <v>42.8</v>
      </c>
      <c r="N163" s="142">
        <f>B163*IBGE_2!N$163/100</f>
        <v>73</v>
      </c>
      <c r="O163" s="142">
        <f>B163*IBGE_2!O$163/100</f>
        <v>611</v>
      </c>
      <c r="P163" s="142">
        <f>B163*IBGE_2!P$163/100</f>
        <v>11.5</v>
      </c>
      <c r="Q163" s="142">
        <f>B163*IBGE_2!Q$163/100</f>
        <v>1013</v>
      </c>
      <c r="R163" s="142">
        <f>B163*IBGE_2!R$163/100</f>
        <v>10.57</v>
      </c>
      <c r="S163" s="142">
        <f>B163*IBGE_2!S$163/100</f>
        <v>2</v>
      </c>
      <c r="T163" s="142">
        <f>B163*IBGE_2!T$163/100</f>
        <v>1182</v>
      </c>
      <c r="U163" s="142">
        <f>B163*IBGE_2!U$163/100</f>
        <v>0.998</v>
      </c>
      <c r="V163" s="142">
        <f>B163*IBGE_2!V$163/100</f>
        <v>7.27</v>
      </c>
      <c r="W163" s="142" t="s">
        <v>3047</v>
      </c>
      <c r="X163" s="142">
        <f>B163*IBGE_2!X$163/100</f>
        <v>0.52300000000000002</v>
      </c>
      <c r="Y163" s="142">
        <f>B163*IBGE_2!Y$163/100</f>
        <v>0.57699999999999996</v>
      </c>
      <c r="Z163" s="142">
        <f>B163*IBGE_2!Z$163/100</f>
        <v>1.3029999999999999</v>
      </c>
      <c r="AA163" s="142">
        <f>B163*IBGE_2!AA$163/100</f>
        <v>13.577999999999999</v>
      </c>
      <c r="AB163" s="142" t="s">
        <v>3047</v>
      </c>
      <c r="AC163" s="142">
        <f>B163*IBGE_2!AC$163/100</f>
        <v>18.277999999999999</v>
      </c>
      <c r="AD163" s="142" t="s">
        <v>3047</v>
      </c>
      <c r="AE163" s="142">
        <f>B163*IBGE_2!AE$163/100</f>
        <v>79</v>
      </c>
      <c r="AF163" s="142" t="s">
        <v>3047</v>
      </c>
      <c r="AG163" s="142">
        <f>B163*IBGE_2!AG$163/100</f>
        <v>1.49</v>
      </c>
      <c r="AH163" s="142" t="s">
        <v>3047</v>
      </c>
      <c r="AI163" s="142" t="s">
        <v>3047</v>
      </c>
      <c r="AJ163" s="142">
        <f>B163*IBGE_2!AJ$163/100</f>
        <v>77.599999999999994</v>
      </c>
      <c r="AK163" s="142">
        <f>B163*IBGE_2!AK$163/100</f>
        <v>0.5</v>
      </c>
      <c r="AL163" s="142">
        <f>B163*IBGE_2!AL$163/100</f>
        <v>1.6</v>
      </c>
      <c r="AM163" s="142" t="s">
        <v>3047</v>
      </c>
      <c r="AN163" s="161"/>
    </row>
    <row r="164" spans="1:40">
      <c r="A164" s="143" t="s">
        <v>1223</v>
      </c>
      <c r="B164" s="141">
        <v>100</v>
      </c>
      <c r="C164" s="142">
        <f>B164*IBGE_2!C$164/100</f>
        <v>216</v>
      </c>
      <c r="D164" s="142">
        <f>B164*IBGE_2!D$164/100</f>
        <v>15.55</v>
      </c>
      <c r="E164" s="142">
        <f>B164*IBGE_2!E$164/100</f>
        <v>4.25</v>
      </c>
      <c r="F164" s="142">
        <f>B164*IBGE_2!F$164/100</f>
        <v>0.63</v>
      </c>
      <c r="G164" s="142">
        <f>B164*IBGE_2!G$164/100</f>
        <v>0.63700000000000001</v>
      </c>
      <c r="H164" s="142">
        <f>B164*IBGE_2!H$164/100</f>
        <v>2.2120000000000002</v>
      </c>
      <c r="I164" s="142">
        <f>B164*IBGE_2!I$164/100</f>
        <v>2.0390000000000001</v>
      </c>
      <c r="J164" s="142">
        <f>B164*IBGE_2!J$164/100</f>
        <v>0.16699999999999998</v>
      </c>
      <c r="K164" s="142" t="s">
        <v>3047</v>
      </c>
      <c r="L164" s="142">
        <f>B164*IBGE_2!L$164/100</f>
        <v>64.510000000000005</v>
      </c>
      <c r="M164" s="142">
        <f>B164*IBGE_2!M$164/100</f>
        <v>42.8</v>
      </c>
      <c r="N164" s="142">
        <f>B164*IBGE_2!N$164/100</f>
        <v>73</v>
      </c>
      <c r="O164" s="142">
        <f>B164*IBGE_2!O$164/100</f>
        <v>611</v>
      </c>
      <c r="P164" s="142">
        <f>B164*IBGE_2!P$164/100</f>
        <v>11.5</v>
      </c>
      <c r="Q164" s="142">
        <f>B164*IBGE_2!Q$164/100</f>
        <v>1013</v>
      </c>
      <c r="R164" s="142">
        <f>B164*IBGE_2!R$164/100</f>
        <v>10.57</v>
      </c>
      <c r="S164" s="142">
        <f>B164*IBGE_2!S$164/100</f>
        <v>2</v>
      </c>
      <c r="T164" s="142">
        <f>B164*IBGE_2!T$164/100</f>
        <v>1182</v>
      </c>
      <c r="U164" s="142">
        <f>B164*IBGE_2!U$164/100</f>
        <v>0.998</v>
      </c>
      <c r="V164" s="142">
        <f>B164*IBGE_2!V$164/100</f>
        <v>7.27</v>
      </c>
      <c r="W164" s="142" t="s">
        <v>3047</v>
      </c>
      <c r="X164" s="142">
        <f>B164*IBGE_2!X$164/100</f>
        <v>0.52300000000000002</v>
      </c>
      <c r="Y164" s="142">
        <f>B164*IBGE_2!Y$164/100</f>
        <v>0.57699999999999996</v>
      </c>
      <c r="Z164" s="142">
        <f>B164*IBGE_2!Z$164/100</f>
        <v>1.3029999999999999</v>
      </c>
      <c r="AA164" s="142">
        <f>B164*IBGE_2!AA$164/100</f>
        <v>13.577999999999999</v>
      </c>
      <c r="AB164" s="142" t="s">
        <v>3047</v>
      </c>
      <c r="AC164" s="142">
        <f>B164*IBGE_2!AC$164/100</f>
        <v>18.277999999999999</v>
      </c>
      <c r="AD164" s="142" t="s">
        <v>3047</v>
      </c>
      <c r="AE164" s="142">
        <f>B164*IBGE_2!AE$164/100</f>
        <v>79</v>
      </c>
      <c r="AF164" s="142" t="s">
        <v>3047</v>
      </c>
      <c r="AG164" s="142">
        <f>B164*IBGE_2!AG$164/100</f>
        <v>1.49</v>
      </c>
      <c r="AH164" s="142" t="s">
        <v>3047</v>
      </c>
      <c r="AI164" s="142" t="s">
        <v>3047</v>
      </c>
      <c r="AJ164" s="142">
        <f>B164*IBGE_2!AJ$164/100</f>
        <v>77.599999999999994</v>
      </c>
      <c r="AK164" s="142">
        <f>B164*IBGE_2!AK$164/100</f>
        <v>0.5</v>
      </c>
      <c r="AL164" s="142">
        <f>B164*IBGE_2!AL$164/100</f>
        <v>1.6</v>
      </c>
      <c r="AM164" s="142" t="s">
        <v>3047</v>
      </c>
      <c r="AN164" s="161"/>
    </row>
    <row r="165" spans="1:40">
      <c r="A165" s="143" t="s">
        <v>1224</v>
      </c>
      <c r="B165" s="141">
        <v>100</v>
      </c>
      <c r="C165" s="142">
        <f>B165*IBGE_2!C$165/100</f>
        <v>361</v>
      </c>
      <c r="D165" s="142">
        <f>B165*IBGE_2!D$165/100</f>
        <v>1.6</v>
      </c>
      <c r="E165" s="142">
        <f>B165*IBGE_2!E$165/100</f>
        <v>0.3</v>
      </c>
      <c r="F165" s="142">
        <f>B165*IBGE_2!F$165/100</f>
        <v>0.1</v>
      </c>
      <c r="G165" s="142">
        <f>B165*IBGE_2!G$165/100</f>
        <v>0.1</v>
      </c>
      <c r="H165" s="142" t="s">
        <v>3047</v>
      </c>
      <c r="I165" s="142">
        <f>B165*IBGE_2!I$165/100</f>
        <v>0.03</v>
      </c>
      <c r="J165" s="142">
        <f>B165*IBGE_2!J$165/100</f>
        <v>0.01</v>
      </c>
      <c r="K165" s="142" t="s">
        <v>3047</v>
      </c>
      <c r="L165" s="142">
        <f>B165*IBGE_2!L$165/100</f>
        <v>87.9</v>
      </c>
      <c r="M165" s="142">
        <f>B165*IBGE_2!M$165/100</f>
        <v>6.4</v>
      </c>
      <c r="N165" s="142">
        <f>B165*IBGE_2!N$165/100</f>
        <v>65</v>
      </c>
      <c r="O165" s="142">
        <f>B165*IBGE_2!O$165/100</f>
        <v>37</v>
      </c>
      <c r="P165" s="142" t="s">
        <v>3047</v>
      </c>
      <c r="Q165" s="142">
        <f>B165*IBGE_2!Q$165/100</f>
        <v>42</v>
      </c>
      <c r="R165" s="142">
        <f>B165*IBGE_2!R$165/100</f>
        <v>1.1000000000000001</v>
      </c>
      <c r="S165" s="142">
        <f>B165*IBGE_2!S$165/100</f>
        <v>1</v>
      </c>
      <c r="T165" s="142">
        <f>B165*IBGE_2!T$165/100</f>
        <v>340</v>
      </c>
      <c r="U165" s="142">
        <f>B165*IBGE_2!U$165/100</f>
        <v>0.08</v>
      </c>
      <c r="V165" s="142">
        <f>B165*IBGE_2!V$165/100</f>
        <v>0.4</v>
      </c>
      <c r="W165" s="142" t="s">
        <v>3047</v>
      </c>
      <c r="X165" s="142">
        <f>B165*IBGE_2!X$165/100</f>
        <v>0.14000000000000001</v>
      </c>
      <c r="Y165" s="142" t="s">
        <v>3047</v>
      </c>
      <c r="Z165" s="142" t="s">
        <v>3047</v>
      </c>
      <c r="AA165" s="142" t="s">
        <v>3047</v>
      </c>
      <c r="AB165" s="142" t="s">
        <v>3047</v>
      </c>
      <c r="AC165" s="142" t="s">
        <v>3047</v>
      </c>
      <c r="AD165" s="142" t="s">
        <v>3047</v>
      </c>
      <c r="AE165" s="142" t="s">
        <v>3047</v>
      </c>
      <c r="AF165" s="142" t="s">
        <v>3047</v>
      </c>
      <c r="AG165" s="142" t="s">
        <v>3047</v>
      </c>
      <c r="AH165" s="142">
        <f>B165*IBGE_2!AH$165/100</f>
        <v>0.1</v>
      </c>
      <c r="AI165" s="142" t="s">
        <v>3047</v>
      </c>
      <c r="AJ165" s="142" t="s">
        <v>3047</v>
      </c>
      <c r="AK165" s="142" t="s">
        <v>3047</v>
      </c>
      <c r="AL165" s="142" t="s">
        <v>3047</v>
      </c>
      <c r="AM165" s="142" t="s">
        <v>3047</v>
      </c>
      <c r="AN165" s="161"/>
    </row>
    <row r="166" spans="1:40">
      <c r="A166" s="143" t="s">
        <v>1225</v>
      </c>
      <c r="B166" s="141">
        <v>100</v>
      </c>
      <c r="C166" s="142">
        <f>B166*IBGE_2!C$166/100</f>
        <v>361</v>
      </c>
      <c r="D166" s="142">
        <f>B166*IBGE_2!D$166/100</f>
        <v>1.6</v>
      </c>
      <c r="E166" s="142">
        <f>B166*IBGE_2!E$166/100</f>
        <v>0.3</v>
      </c>
      <c r="F166" s="142">
        <f>B166*IBGE_2!F$166/100</f>
        <v>0.1</v>
      </c>
      <c r="G166" s="142">
        <f>B166*IBGE_2!G$166/100</f>
        <v>0.1</v>
      </c>
      <c r="H166" s="142" t="s">
        <v>3047</v>
      </c>
      <c r="I166" s="142">
        <f>B166*IBGE_2!I$166/100</f>
        <v>0.03</v>
      </c>
      <c r="J166" s="142">
        <f>B166*IBGE_2!J$166/100</f>
        <v>0.01</v>
      </c>
      <c r="K166" s="142" t="s">
        <v>3047</v>
      </c>
      <c r="L166" s="142">
        <f>B166*IBGE_2!L$166/100</f>
        <v>87.9</v>
      </c>
      <c r="M166" s="142">
        <f>B166*IBGE_2!M$166/100</f>
        <v>6.4</v>
      </c>
      <c r="N166" s="142">
        <f>B166*IBGE_2!N$166/100</f>
        <v>65</v>
      </c>
      <c r="O166" s="142">
        <f>B166*IBGE_2!O$166/100</f>
        <v>37</v>
      </c>
      <c r="P166" s="142" t="s">
        <v>3047</v>
      </c>
      <c r="Q166" s="142">
        <f>B166*IBGE_2!Q$166/100</f>
        <v>42</v>
      </c>
      <c r="R166" s="142">
        <f>B166*IBGE_2!R$166/100</f>
        <v>1.1000000000000001</v>
      </c>
      <c r="S166" s="142">
        <f>B166*IBGE_2!S$166/100</f>
        <v>1</v>
      </c>
      <c r="T166" s="142">
        <f>B166*IBGE_2!T$166/100</f>
        <v>340</v>
      </c>
      <c r="U166" s="142">
        <f>B166*IBGE_2!U$166/100</f>
        <v>0.08</v>
      </c>
      <c r="V166" s="142">
        <f>B166*IBGE_2!V$166/100</f>
        <v>0.4</v>
      </c>
      <c r="W166" s="142" t="s">
        <v>3047</v>
      </c>
      <c r="X166" s="142">
        <f>B166*IBGE_2!X$166/100</f>
        <v>0.14000000000000001</v>
      </c>
      <c r="Y166" s="142" t="s">
        <v>3047</v>
      </c>
      <c r="Z166" s="142" t="s">
        <v>3047</v>
      </c>
      <c r="AA166" s="142" t="s">
        <v>3047</v>
      </c>
      <c r="AB166" s="142" t="s">
        <v>3047</v>
      </c>
      <c r="AC166" s="142" t="s">
        <v>3047</v>
      </c>
      <c r="AD166" s="142" t="s">
        <v>3047</v>
      </c>
      <c r="AE166" s="142" t="s">
        <v>3047</v>
      </c>
      <c r="AF166" s="142" t="s">
        <v>3047</v>
      </c>
      <c r="AG166" s="142" t="s">
        <v>3047</v>
      </c>
      <c r="AH166" s="142">
        <f>B166*IBGE_2!AH$166/100</f>
        <v>0.1</v>
      </c>
      <c r="AI166" s="142" t="s">
        <v>3047</v>
      </c>
      <c r="AJ166" s="142" t="s">
        <v>3047</v>
      </c>
      <c r="AK166" s="142" t="s">
        <v>3047</v>
      </c>
      <c r="AL166" s="142" t="s">
        <v>3047</v>
      </c>
      <c r="AM166" s="142" t="s">
        <v>3047</v>
      </c>
      <c r="AN166" s="161"/>
    </row>
    <row r="167" spans="1:40">
      <c r="A167" s="143" t="s">
        <v>1226</v>
      </c>
      <c r="B167" s="141">
        <v>100</v>
      </c>
      <c r="C167" s="142">
        <f>B167*IBGE_2!C$167/100</f>
        <v>361</v>
      </c>
      <c r="D167" s="142">
        <f>B167*IBGE_2!D$167/100</f>
        <v>1.6</v>
      </c>
      <c r="E167" s="142">
        <f>B167*IBGE_2!E$167/100</f>
        <v>0.3</v>
      </c>
      <c r="F167" s="142">
        <f>B167*IBGE_2!F$167/100</f>
        <v>0.1</v>
      </c>
      <c r="G167" s="142">
        <f>B167*IBGE_2!G$167/100</f>
        <v>0.1</v>
      </c>
      <c r="H167" s="142" t="s">
        <v>3047</v>
      </c>
      <c r="I167" s="142">
        <f>B167*IBGE_2!I$167/100</f>
        <v>0.03</v>
      </c>
      <c r="J167" s="142">
        <f>B167*IBGE_2!J$167/100</f>
        <v>0.01</v>
      </c>
      <c r="K167" s="142" t="s">
        <v>3047</v>
      </c>
      <c r="L167" s="142">
        <f>B167*IBGE_2!L$167/100</f>
        <v>87.9</v>
      </c>
      <c r="M167" s="142">
        <f>B167*IBGE_2!M$167/100</f>
        <v>6.4</v>
      </c>
      <c r="N167" s="142">
        <f>B167*IBGE_2!N$167/100</f>
        <v>65</v>
      </c>
      <c r="O167" s="142">
        <f>B167*IBGE_2!O$167/100</f>
        <v>37</v>
      </c>
      <c r="P167" s="142" t="s">
        <v>3047</v>
      </c>
      <c r="Q167" s="142">
        <f>B167*IBGE_2!Q$167/100</f>
        <v>42</v>
      </c>
      <c r="R167" s="142">
        <f>B167*IBGE_2!R$167/100</f>
        <v>1.1000000000000001</v>
      </c>
      <c r="S167" s="142">
        <f>B167*IBGE_2!S$167/100</f>
        <v>1</v>
      </c>
      <c r="T167" s="142">
        <f>B167*IBGE_2!T$167/100</f>
        <v>340</v>
      </c>
      <c r="U167" s="142">
        <f>B167*IBGE_2!U$167/100</f>
        <v>0.08</v>
      </c>
      <c r="V167" s="142">
        <f>B167*IBGE_2!V$167/100</f>
        <v>0.4</v>
      </c>
      <c r="W167" s="142" t="s">
        <v>3047</v>
      </c>
      <c r="X167" s="142">
        <f>B167*IBGE_2!X$167/100</f>
        <v>0.14000000000000001</v>
      </c>
      <c r="Y167" s="142" t="s">
        <v>3047</v>
      </c>
      <c r="Z167" s="142" t="s">
        <v>3047</v>
      </c>
      <c r="AA167" s="142" t="s">
        <v>3047</v>
      </c>
      <c r="AB167" s="142" t="s">
        <v>3047</v>
      </c>
      <c r="AC167" s="142" t="s">
        <v>3047</v>
      </c>
      <c r="AD167" s="142" t="s">
        <v>3047</v>
      </c>
      <c r="AE167" s="142" t="s">
        <v>3047</v>
      </c>
      <c r="AF167" s="142" t="s">
        <v>3047</v>
      </c>
      <c r="AG167" s="142" t="s">
        <v>3047</v>
      </c>
      <c r="AH167" s="142">
        <f>B167*IBGE_2!AH$167/100</f>
        <v>0.1</v>
      </c>
      <c r="AI167" s="142" t="s">
        <v>3047</v>
      </c>
      <c r="AJ167" s="142" t="s">
        <v>3047</v>
      </c>
      <c r="AK167" s="142" t="s">
        <v>3047</v>
      </c>
      <c r="AL167" s="142" t="s">
        <v>3047</v>
      </c>
      <c r="AM167" s="142" t="s">
        <v>3047</v>
      </c>
      <c r="AN167" s="161"/>
    </row>
    <row r="168" spans="1:40">
      <c r="A168" s="143" t="s">
        <v>1227</v>
      </c>
      <c r="B168" s="141">
        <v>100</v>
      </c>
      <c r="C168" s="142">
        <f>B168*IBGE_2!C$168/100</f>
        <v>361</v>
      </c>
      <c r="D168" s="142">
        <f>B168*IBGE_2!D$168/100</f>
        <v>1.6</v>
      </c>
      <c r="E168" s="142">
        <f>B168*IBGE_2!E$168/100</f>
        <v>0.3</v>
      </c>
      <c r="F168" s="142">
        <f>B168*IBGE_2!F$168/100</f>
        <v>0.1</v>
      </c>
      <c r="G168" s="142">
        <f>B168*IBGE_2!G$168/100</f>
        <v>0.1</v>
      </c>
      <c r="H168" s="142" t="s">
        <v>3047</v>
      </c>
      <c r="I168" s="142">
        <f>B168*IBGE_2!I$168/100</f>
        <v>0.03</v>
      </c>
      <c r="J168" s="142">
        <f>B168*IBGE_2!J$168/100</f>
        <v>0.01</v>
      </c>
      <c r="K168" s="142" t="s">
        <v>3047</v>
      </c>
      <c r="L168" s="142">
        <f>B168*IBGE_2!L$168/100</f>
        <v>87.9</v>
      </c>
      <c r="M168" s="142">
        <f>B168*IBGE_2!M$168/100</f>
        <v>6.4</v>
      </c>
      <c r="N168" s="142">
        <f>B168*IBGE_2!N$168/100</f>
        <v>65</v>
      </c>
      <c r="O168" s="142">
        <f>B168*IBGE_2!O$168/100</f>
        <v>37</v>
      </c>
      <c r="P168" s="142" t="s">
        <v>3047</v>
      </c>
      <c r="Q168" s="142">
        <f>B168*IBGE_2!Q$168/100</f>
        <v>42</v>
      </c>
      <c r="R168" s="142">
        <f>B168*IBGE_2!R$168/100</f>
        <v>1.1000000000000001</v>
      </c>
      <c r="S168" s="142">
        <f>B168*IBGE_2!S$168/100</f>
        <v>1</v>
      </c>
      <c r="T168" s="142">
        <f>B168*IBGE_2!T$168/100</f>
        <v>340</v>
      </c>
      <c r="U168" s="142">
        <f>B168*IBGE_2!U$168/100</f>
        <v>0.08</v>
      </c>
      <c r="V168" s="142">
        <f>B168*IBGE_2!V$168/100</f>
        <v>0.4</v>
      </c>
      <c r="W168" s="142" t="s">
        <v>3047</v>
      </c>
      <c r="X168" s="142">
        <f>B168*IBGE_2!X$168/100</f>
        <v>0.14000000000000001</v>
      </c>
      <c r="Y168" s="142" t="s">
        <v>3047</v>
      </c>
      <c r="Z168" s="142" t="s">
        <v>3047</v>
      </c>
      <c r="AA168" s="142" t="s">
        <v>3047</v>
      </c>
      <c r="AB168" s="142" t="s">
        <v>3047</v>
      </c>
      <c r="AC168" s="142" t="s">
        <v>3047</v>
      </c>
      <c r="AD168" s="142" t="s">
        <v>3047</v>
      </c>
      <c r="AE168" s="142" t="s">
        <v>3047</v>
      </c>
      <c r="AF168" s="142" t="s">
        <v>3047</v>
      </c>
      <c r="AG168" s="142" t="s">
        <v>3047</v>
      </c>
      <c r="AH168" s="142">
        <f>B168*IBGE_2!AH$168/100</f>
        <v>0.1</v>
      </c>
      <c r="AI168" s="142" t="s">
        <v>3047</v>
      </c>
      <c r="AJ168" s="142" t="s">
        <v>3047</v>
      </c>
      <c r="AK168" s="142" t="s">
        <v>3047</v>
      </c>
      <c r="AL168" s="142" t="s">
        <v>3047</v>
      </c>
      <c r="AM168" s="142" t="s">
        <v>3047</v>
      </c>
      <c r="AN168" s="161"/>
    </row>
    <row r="169" spans="1:40">
      <c r="A169" s="143" t="s">
        <v>1228</v>
      </c>
      <c r="B169" s="141">
        <v>100</v>
      </c>
      <c r="C169" s="142">
        <f>B169*IBGE_2!C$169/100</f>
        <v>336</v>
      </c>
      <c r="D169" s="142">
        <f>B169*IBGE_2!D$169/100</f>
        <v>2</v>
      </c>
      <c r="E169" s="142" t="s">
        <v>3047</v>
      </c>
      <c r="F169" s="142" t="s">
        <v>3047</v>
      </c>
      <c r="G169" s="142" t="s">
        <v>3047</v>
      </c>
      <c r="H169" s="142" t="s">
        <v>3047</v>
      </c>
      <c r="I169" s="142" t="s">
        <v>3047</v>
      </c>
      <c r="J169" s="142" t="s">
        <v>3047</v>
      </c>
      <c r="K169" s="142" t="s">
        <v>3047</v>
      </c>
      <c r="L169" s="142">
        <f>B169*IBGE_2!L$169/100</f>
        <v>82</v>
      </c>
      <c r="M169" s="142" t="s">
        <v>3047</v>
      </c>
      <c r="N169" s="142">
        <f>B169*IBGE_2!N$169/100</f>
        <v>4</v>
      </c>
      <c r="O169" s="142" t="s">
        <v>3047</v>
      </c>
      <c r="P169" s="142" t="s">
        <v>3047</v>
      </c>
      <c r="Q169" s="142" t="s">
        <v>3047</v>
      </c>
      <c r="R169" s="142">
        <f>B169*IBGE_2!R$169/100</f>
        <v>0.16</v>
      </c>
      <c r="S169" s="142">
        <f>B169*IBGE_2!S$169/100</f>
        <v>1.5</v>
      </c>
      <c r="T169" s="142" t="s">
        <v>3047</v>
      </c>
      <c r="U169" s="142" t="s">
        <v>3047</v>
      </c>
      <c r="V169" s="142" t="s">
        <v>3047</v>
      </c>
      <c r="W169" s="142" t="s">
        <v>3047</v>
      </c>
      <c r="X169" s="142" t="s">
        <v>3047</v>
      </c>
      <c r="Y169" s="142" t="s">
        <v>3047</v>
      </c>
      <c r="Z169" s="142" t="s">
        <v>3047</v>
      </c>
      <c r="AA169" s="142" t="s">
        <v>3047</v>
      </c>
      <c r="AB169" s="142" t="s">
        <v>3047</v>
      </c>
      <c r="AC169" s="142" t="s">
        <v>3047</v>
      </c>
      <c r="AD169" s="142" t="s">
        <v>3047</v>
      </c>
      <c r="AE169" s="142" t="s">
        <v>3047</v>
      </c>
      <c r="AF169" s="142" t="s">
        <v>3047</v>
      </c>
      <c r="AG169" s="142" t="s">
        <v>3047</v>
      </c>
      <c r="AH169" s="142" t="s">
        <v>3047</v>
      </c>
      <c r="AI169" s="142" t="s">
        <v>3047</v>
      </c>
      <c r="AJ169" s="142" t="s">
        <v>3047</v>
      </c>
      <c r="AK169" s="142" t="s">
        <v>3047</v>
      </c>
      <c r="AL169" s="142" t="s">
        <v>3047</v>
      </c>
      <c r="AM169" s="142" t="s">
        <v>3047</v>
      </c>
      <c r="AN169" s="161"/>
    </row>
    <row r="170" spans="1:40">
      <c r="A170" s="143" t="s">
        <v>1229</v>
      </c>
      <c r="B170" s="141">
        <v>100</v>
      </c>
      <c r="C170" s="142">
        <f>B170*IBGE_2!C$170/100</f>
        <v>116.992</v>
      </c>
      <c r="D170" s="142">
        <f>B170*IBGE_2!D$170/100</f>
        <v>4.3339999999999996</v>
      </c>
      <c r="E170" s="142">
        <f>B170*IBGE_2!E$170/100</f>
        <v>4.0990000000000002</v>
      </c>
      <c r="F170" s="142">
        <f>B170*IBGE_2!F$170/100</f>
        <v>1.9880000000000002</v>
      </c>
      <c r="G170" s="142">
        <f>B170*IBGE_2!G$170/100</f>
        <v>1.208</v>
      </c>
      <c r="H170" s="142">
        <f>B170*IBGE_2!H$170/100</f>
        <v>0.34599999999999992</v>
      </c>
      <c r="I170" s="142">
        <f>B170*IBGE_2!I$170/100</f>
        <v>0.254</v>
      </c>
      <c r="J170" s="142">
        <f>B170*IBGE_2!J$170/100</f>
        <v>6.8000000000000005E-2</v>
      </c>
      <c r="K170" s="142">
        <f>B170*IBGE_2!K$170/100</f>
        <v>63.113999999999997</v>
      </c>
      <c r="L170" s="142">
        <f>B170*IBGE_2!L$170/100</f>
        <v>15.512</v>
      </c>
      <c r="M170" s="142">
        <f>B170*IBGE_2!M$170/100</f>
        <v>2.9000000000000005E-2</v>
      </c>
      <c r="N170" s="142">
        <f>B170*IBGE_2!N$170/100</f>
        <v>102.169</v>
      </c>
      <c r="O170" s="142">
        <f>B170*IBGE_2!O$170/100</f>
        <v>9.7880000000000003</v>
      </c>
      <c r="P170" s="142">
        <f>B170*IBGE_2!P$170/100</f>
        <v>1.0999999999999999E-2</v>
      </c>
      <c r="Q170" s="142">
        <f>B170*IBGE_2!Q$170/100</f>
        <v>98.87</v>
      </c>
      <c r="R170" s="142">
        <f>B170*IBGE_2!R$170/100</f>
        <v>0.23200000000000004</v>
      </c>
      <c r="S170" s="142">
        <f>B170*IBGE_2!S$170/100</f>
        <v>100.384</v>
      </c>
      <c r="T170" s="142">
        <f>B170*IBGE_2!T$170/100</f>
        <v>137.70400000000001</v>
      </c>
      <c r="U170" s="142">
        <f>B170*IBGE_2!U$170/100</f>
        <v>1.2E-2</v>
      </c>
      <c r="V170" s="142">
        <f>B170*IBGE_2!V$170/100</f>
        <v>0.47599999999999992</v>
      </c>
      <c r="W170" s="142">
        <f>B170*IBGE_2!W$170/100</f>
        <v>45.191000000000003</v>
      </c>
      <c r="X170" s="142">
        <f>B170*IBGE_2!X$170/100</f>
        <v>4.5999999999999999E-2</v>
      </c>
      <c r="Y170" s="142">
        <f>B170*IBGE_2!Y$170/100</f>
        <v>0.222</v>
      </c>
      <c r="Z170" s="142">
        <f>B170*IBGE_2!Z$170/100</f>
        <v>4.5999999999999999E-2</v>
      </c>
      <c r="AA170" s="142">
        <f>B170*IBGE_2!AA$170/100</f>
        <v>0.1</v>
      </c>
      <c r="AB170" s="142" t="s">
        <v>3047</v>
      </c>
      <c r="AC170" s="142">
        <f>B170*IBGE_2!AC$170/100</f>
        <v>1.4810000000000003</v>
      </c>
      <c r="AD170" s="142">
        <f>B170*IBGE_2!AD$170/100</f>
        <v>0.51300000000000001</v>
      </c>
      <c r="AE170" s="142">
        <f>B170*IBGE_2!AE$170/100</f>
        <v>10.007</v>
      </c>
      <c r="AF170" s="142">
        <f>B170*IBGE_2!AF$170/100</f>
        <v>1.0049999999999999</v>
      </c>
      <c r="AG170" s="142">
        <f>B170*IBGE_2!AG$170/100</f>
        <v>0.183</v>
      </c>
      <c r="AH170" s="142">
        <f>B170*IBGE_2!AH$170/100</f>
        <v>9.7000000000000017E-2</v>
      </c>
      <c r="AI170" s="142" t="s">
        <v>3047</v>
      </c>
      <c r="AJ170" s="142">
        <f>B170*IBGE_2!AJ$170/100</f>
        <v>7.1589999999999998</v>
      </c>
      <c r="AK170" s="142">
        <f>B170*IBGE_2!AK$170/100</f>
        <v>45.713000000000001</v>
      </c>
      <c r="AL170" s="142">
        <f>B170*IBGE_2!AL$170/100</f>
        <v>13.202999999999999</v>
      </c>
      <c r="AM170" s="142">
        <f>B170*IBGE_2!AM$170/100</f>
        <v>8.6020000000000003</v>
      </c>
      <c r="AN170" s="161"/>
    </row>
    <row r="171" spans="1:40">
      <c r="A171" s="143" t="s">
        <v>1230</v>
      </c>
      <c r="B171" s="141">
        <v>100</v>
      </c>
      <c r="C171" s="142">
        <f>B171*IBGE_2!C$171/100</f>
        <v>331</v>
      </c>
      <c r="D171" s="142">
        <f>B171*IBGE_2!D$171/100</f>
        <v>0.5</v>
      </c>
      <c r="E171" s="142">
        <f>B171*IBGE_2!E$171/100</f>
        <v>0.3</v>
      </c>
      <c r="F171" s="142" t="s">
        <v>3047</v>
      </c>
      <c r="G171" s="142" t="s">
        <v>3047</v>
      </c>
      <c r="H171" s="142" t="s">
        <v>3047</v>
      </c>
      <c r="I171" s="142" t="s">
        <v>3047</v>
      </c>
      <c r="J171" s="142" t="s">
        <v>3047</v>
      </c>
      <c r="K171" s="142" t="s">
        <v>3047</v>
      </c>
      <c r="L171" s="142">
        <f>B171*IBGE_2!L$171/100</f>
        <v>81.099999999999994</v>
      </c>
      <c r="M171" s="142">
        <f>B171*IBGE_2!M$171/100</f>
        <v>0.6</v>
      </c>
      <c r="N171" s="142">
        <f>B171*IBGE_2!N$171/100</f>
        <v>12</v>
      </c>
      <c r="O171" s="142">
        <f>B171*IBGE_2!O$171/100</f>
        <v>3</v>
      </c>
      <c r="P171" s="142" t="s">
        <v>3047</v>
      </c>
      <c r="Q171" s="142">
        <f>B171*IBGE_2!Q$171/100</f>
        <v>60</v>
      </c>
      <c r="R171" s="142">
        <f>B171*IBGE_2!R$171/100</f>
        <v>0.1</v>
      </c>
      <c r="S171" s="142">
        <f>B171*IBGE_2!S$171/100</f>
        <v>2</v>
      </c>
      <c r="T171" s="142">
        <f>B171*IBGE_2!T$171/100</f>
        <v>48</v>
      </c>
      <c r="U171" s="142" t="s">
        <v>3047</v>
      </c>
      <c r="V171" s="142" t="s">
        <v>3047</v>
      </c>
      <c r="W171" s="142" t="s">
        <v>3047</v>
      </c>
      <c r="X171" s="142">
        <f>B171*IBGE_2!X$171/100</f>
        <v>0.03</v>
      </c>
      <c r="Y171" s="142" t="s">
        <v>3047</v>
      </c>
      <c r="Z171" s="142" t="s">
        <v>3047</v>
      </c>
      <c r="AA171" s="142" t="s">
        <v>3047</v>
      </c>
      <c r="AB171" s="142" t="s">
        <v>3047</v>
      </c>
      <c r="AC171" s="142" t="s">
        <v>3047</v>
      </c>
      <c r="AD171" s="142" t="s">
        <v>3047</v>
      </c>
      <c r="AE171" s="142" t="s">
        <v>3047</v>
      </c>
      <c r="AF171" s="142" t="s">
        <v>3047</v>
      </c>
      <c r="AG171" s="142" t="s">
        <v>3047</v>
      </c>
      <c r="AH171" s="142" t="s">
        <v>3047</v>
      </c>
      <c r="AI171" s="142" t="s">
        <v>3047</v>
      </c>
      <c r="AJ171" s="142" t="s">
        <v>3047</v>
      </c>
      <c r="AK171" s="142" t="s">
        <v>3047</v>
      </c>
      <c r="AL171" s="142" t="s">
        <v>3047</v>
      </c>
      <c r="AM171" s="142" t="s">
        <v>3047</v>
      </c>
      <c r="AN171" s="161"/>
    </row>
    <row r="172" spans="1:40">
      <c r="A172" s="143" t="s">
        <v>1231</v>
      </c>
      <c r="B172" s="141">
        <v>100</v>
      </c>
      <c r="C172" s="142">
        <f>B172*IBGE_2!C$172/100</f>
        <v>331</v>
      </c>
      <c r="D172" s="142">
        <f>B172*IBGE_2!D$172/100</f>
        <v>0.5</v>
      </c>
      <c r="E172" s="142">
        <f>B172*IBGE_2!E$172/100</f>
        <v>0.3</v>
      </c>
      <c r="F172" s="142" t="s">
        <v>3047</v>
      </c>
      <c r="G172" s="142" t="s">
        <v>3047</v>
      </c>
      <c r="H172" s="142" t="s">
        <v>3047</v>
      </c>
      <c r="I172" s="142" t="s">
        <v>3047</v>
      </c>
      <c r="J172" s="142" t="s">
        <v>3047</v>
      </c>
      <c r="K172" s="142" t="s">
        <v>3047</v>
      </c>
      <c r="L172" s="142">
        <f>B172*IBGE_2!L$172/100</f>
        <v>81.099999999999994</v>
      </c>
      <c r="M172" s="142">
        <f>B172*IBGE_2!M$172/100</f>
        <v>0.6</v>
      </c>
      <c r="N172" s="142">
        <f>B172*IBGE_2!N$172/100</f>
        <v>12</v>
      </c>
      <c r="O172" s="142">
        <f>B172*IBGE_2!O$172/100</f>
        <v>3</v>
      </c>
      <c r="P172" s="142" t="s">
        <v>3047</v>
      </c>
      <c r="Q172" s="142">
        <f>B172*IBGE_2!Q$172/100</f>
        <v>60</v>
      </c>
      <c r="R172" s="142">
        <f>B172*IBGE_2!R$172/100</f>
        <v>0.1</v>
      </c>
      <c r="S172" s="142">
        <f>B172*IBGE_2!S$172/100</f>
        <v>2</v>
      </c>
      <c r="T172" s="142">
        <f>B172*IBGE_2!T$172/100</f>
        <v>48</v>
      </c>
      <c r="U172" s="142" t="s">
        <v>3047</v>
      </c>
      <c r="V172" s="142" t="s">
        <v>3047</v>
      </c>
      <c r="W172" s="142" t="s">
        <v>3047</v>
      </c>
      <c r="X172" s="142">
        <f>B172*IBGE_2!X$172/100</f>
        <v>0.03</v>
      </c>
      <c r="Y172" s="142" t="s">
        <v>3047</v>
      </c>
      <c r="Z172" s="142" t="s">
        <v>3047</v>
      </c>
      <c r="AA172" s="142" t="s">
        <v>3047</v>
      </c>
      <c r="AB172" s="142" t="s">
        <v>3047</v>
      </c>
      <c r="AC172" s="142" t="s">
        <v>3047</v>
      </c>
      <c r="AD172" s="142" t="s">
        <v>3047</v>
      </c>
      <c r="AE172" s="142" t="s">
        <v>3047</v>
      </c>
      <c r="AF172" s="142" t="s">
        <v>3047</v>
      </c>
      <c r="AG172" s="142" t="s">
        <v>3047</v>
      </c>
      <c r="AH172" s="142" t="s">
        <v>3047</v>
      </c>
      <c r="AI172" s="142" t="s">
        <v>3047</v>
      </c>
      <c r="AJ172" s="142" t="s">
        <v>3047</v>
      </c>
      <c r="AK172" s="142" t="s">
        <v>3047</v>
      </c>
      <c r="AL172" s="142" t="s">
        <v>3047</v>
      </c>
      <c r="AM172" s="142" t="s">
        <v>3047</v>
      </c>
      <c r="AN172" s="161"/>
    </row>
    <row r="173" spans="1:40">
      <c r="A173" s="143" t="s">
        <v>1232</v>
      </c>
      <c r="B173" s="141">
        <v>100</v>
      </c>
      <c r="C173" s="142">
        <f>B173*IBGE_2!C$173/100</f>
        <v>116.992</v>
      </c>
      <c r="D173" s="142">
        <f>B173*IBGE_2!D$173/100</f>
        <v>4.3339999999999996</v>
      </c>
      <c r="E173" s="142">
        <f>B173*IBGE_2!E$173/100</f>
        <v>4.0990000000000002</v>
      </c>
      <c r="F173" s="142">
        <f>B173*IBGE_2!F$173/100</f>
        <v>1.9880000000000002</v>
      </c>
      <c r="G173" s="142">
        <f>B173*IBGE_2!G$173/100</f>
        <v>1.208</v>
      </c>
      <c r="H173" s="142">
        <f>B173*IBGE_2!H$173/100</f>
        <v>0.34599999999999992</v>
      </c>
      <c r="I173" s="142">
        <f>B173*IBGE_2!I$173/100</f>
        <v>0.254</v>
      </c>
      <c r="J173" s="142">
        <f>B173*IBGE_2!J$173/100</f>
        <v>6.8000000000000005E-2</v>
      </c>
      <c r="K173" s="142">
        <f>B173*IBGE_2!K$173/100</f>
        <v>63.113999999999997</v>
      </c>
      <c r="L173" s="142">
        <f>B173*IBGE_2!L$173/100</f>
        <v>15.512</v>
      </c>
      <c r="M173" s="142">
        <f>B173*IBGE_2!M$173/100</f>
        <v>2.9000000000000005E-2</v>
      </c>
      <c r="N173" s="142">
        <f>B173*IBGE_2!N$173/100</f>
        <v>102.169</v>
      </c>
      <c r="O173" s="142">
        <f>B173*IBGE_2!O$173/100</f>
        <v>9.7880000000000003</v>
      </c>
      <c r="P173" s="142">
        <f>B173*IBGE_2!P$173/100</f>
        <v>1.0999999999999999E-2</v>
      </c>
      <c r="Q173" s="142">
        <f>B173*IBGE_2!Q$173/100</f>
        <v>98.87</v>
      </c>
      <c r="R173" s="142">
        <f>B173*IBGE_2!R$173/100</f>
        <v>0.23200000000000004</v>
      </c>
      <c r="S173" s="142">
        <f>B173*IBGE_2!S$173/100</f>
        <v>100.384</v>
      </c>
      <c r="T173" s="142">
        <f>B173*IBGE_2!T$173/100</f>
        <v>137.70400000000001</v>
      </c>
      <c r="U173" s="142">
        <f>B173*IBGE_2!U$173/100</f>
        <v>1.2E-2</v>
      </c>
      <c r="V173" s="142">
        <f>B173*IBGE_2!V$173/100</f>
        <v>0.47599999999999992</v>
      </c>
      <c r="W173" s="142">
        <f>B173*IBGE_2!W$173/100</f>
        <v>45.191000000000003</v>
      </c>
      <c r="X173" s="142">
        <f>B173*IBGE_2!X$173/100</f>
        <v>4.5999999999999999E-2</v>
      </c>
      <c r="Y173" s="142">
        <f>B173*IBGE_2!Y$173/100</f>
        <v>0.222</v>
      </c>
      <c r="Z173" s="142">
        <f>B173*IBGE_2!Z$173/100</f>
        <v>4.5999999999999999E-2</v>
      </c>
      <c r="AA173" s="142">
        <f>B173*IBGE_2!AA$173/100</f>
        <v>0.1</v>
      </c>
      <c r="AB173" s="142" t="s">
        <v>3047</v>
      </c>
      <c r="AC173" s="142">
        <f>B173*IBGE_2!AC$173/100</f>
        <v>1.4810000000000003</v>
      </c>
      <c r="AD173" s="142">
        <f>B173*IBGE_2!AD$173/100</f>
        <v>0.51300000000000001</v>
      </c>
      <c r="AE173" s="142">
        <f>B173*IBGE_2!AE$173/100</f>
        <v>10.007</v>
      </c>
      <c r="AF173" s="142">
        <f>B173*IBGE_2!AF$173/100</f>
        <v>1.0049999999999999</v>
      </c>
      <c r="AG173" s="142">
        <f>B173*IBGE_2!AG$173/100</f>
        <v>0.183</v>
      </c>
      <c r="AH173" s="142">
        <f>B173*IBGE_2!AH$173/100</f>
        <v>9.7000000000000017E-2</v>
      </c>
      <c r="AI173" s="142" t="s">
        <v>3047</v>
      </c>
      <c r="AJ173" s="142">
        <f>B173*IBGE_2!AJ$173/100</f>
        <v>7.1589999999999998</v>
      </c>
      <c r="AK173" s="142">
        <f>B173*IBGE_2!AK$173/100</f>
        <v>45.713000000000001</v>
      </c>
      <c r="AL173" s="142">
        <f>B173*IBGE_2!AL$173/100</f>
        <v>13.202999999999999</v>
      </c>
      <c r="AM173" s="142">
        <f>B173*IBGE_2!AM$173/100</f>
        <v>8.6020000000000003</v>
      </c>
      <c r="AN173" s="161"/>
    </row>
    <row r="174" spans="1:40">
      <c r="A174" s="143" t="s">
        <v>1233</v>
      </c>
      <c r="B174" s="141">
        <v>100</v>
      </c>
      <c r="C174" s="142">
        <f>B174*IBGE_2!C$174/100</f>
        <v>336</v>
      </c>
      <c r="D174" s="142">
        <f>B174*IBGE_2!D$174/100</f>
        <v>2</v>
      </c>
      <c r="E174" s="142" t="s">
        <v>3047</v>
      </c>
      <c r="F174" s="142" t="s">
        <v>3047</v>
      </c>
      <c r="G174" s="142" t="s">
        <v>3047</v>
      </c>
      <c r="H174" s="142" t="s">
        <v>3047</v>
      </c>
      <c r="I174" s="142" t="s">
        <v>3047</v>
      </c>
      <c r="J174" s="142" t="s">
        <v>3047</v>
      </c>
      <c r="K174" s="142" t="s">
        <v>3047</v>
      </c>
      <c r="L174" s="142">
        <f>B174*IBGE_2!L$174/100</f>
        <v>82</v>
      </c>
      <c r="M174" s="142" t="s">
        <v>3047</v>
      </c>
      <c r="N174" s="142">
        <f>B174*IBGE_2!N$174/100</f>
        <v>4</v>
      </c>
      <c r="O174" s="142" t="s">
        <v>3047</v>
      </c>
      <c r="P174" s="142" t="s">
        <v>3047</v>
      </c>
      <c r="Q174" s="142" t="s">
        <v>3047</v>
      </c>
      <c r="R174" s="142">
        <f>B174*IBGE_2!R$174/100</f>
        <v>0.16</v>
      </c>
      <c r="S174" s="142">
        <f>B174*IBGE_2!S$174/100</f>
        <v>1.5</v>
      </c>
      <c r="T174" s="142" t="s">
        <v>3047</v>
      </c>
      <c r="U174" s="142" t="s">
        <v>3047</v>
      </c>
      <c r="V174" s="142" t="s">
        <v>3047</v>
      </c>
      <c r="W174" s="142" t="s">
        <v>3047</v>
      </c>
      <c r="X174" s="142" t="s">
        <v>3047</v>
      </c>
      <c r="Y174" s="142" t="s">
        <v>3047</v>
      </c>
      <c r="Z174" s="142" t="s">
        <v>3047</v>
      </c>
      <c r="AA174" s="142" t="s">
        <v>3047</v>
      </c>
      <c r="AB174" s="142" t="s">
        <v>3047</v>
      </c>
      <c r="AC174" s="142" t="s">
        <v>3047</v>
      </c>
      <c r="AD174" s="142" t="s">
        <v>3047</v>
      </c>
      <c r="AE174" s="142" t="s">
        <v>3047</v>
      </c>
      <c r="AF174" s="142" t="s">
        <v>3047</v>
      </c>
      <c r="AG174" s="142" t="s">
        <v>3047</v>
      </c>
      <c r="AH174" s="142" t="s">
        <v>3047</v>
      </c>
      <c r="AI174" s="142" t="s">
        <v>3047</v>
      </c>
      <c r="AJ174" s="142" t="s">
        <v>3047</v>
      </c>
      <c r="AK174" s="142" t="s">
        <v>3047</v>
      </c>
      <c r="AL174" s="142" t="s">
        <v>3047</v>
      </c>
      <c r="AM174" s="142" t="s">
        <v>3047</v>
      </c>
      <c r="AN174" s="161"/>
    </row>
    <row r="175" spans="1:40">
      <c r="A175" s="143" t="s">
        <v>1234</v>
      </c>
      <c r="B175" s="141">
        <v>100</v>
      </c>
      <c r="C175" s="142">
        <f>B175*IBGE_2!C$175/100</f>
        <v>396.67</v>
      </c>
      <c r="D175" s="142">
        <f>B175*IBGE_2!D$175/100</f>
        <v>12.67</v>
      </c>
      <c r="E175" s="142">
        <f>B175*IBGE_2!E$175/100</f>
        <v>6.33</v>
      </c>
      <c r="F175" s="142" t="s">
        <v>3047</v>
      </c>
      <c r="G175" s="142" t="s">
        <v>3047</v>
      </c>
      <c r="H175" s="142" t="s">
        <v>3047</v>
      </c>
      <c r="I175" s="142" t="s">
        <v>3047</v>
      </c>
      <c r="J175" s="142" t="s">
        <v>3047</v>
      </c>
      <c r="K175" s="142" t="s">
        <v>3047</v>
      </c>
      <c r="L175" s="142">
        <f>B175*IBGE_2!L$175/100</f>
        <v>73.33</v>
      </c>
      <c r="M175" s="142">
        <f>B175*IBGE_2!M$175/100</f>
        <v>2.67</v>
      </c>
      <c r="N175" s="142">
        <f>B175*IBGE_2!N$175/100</f>
        <v>2.93</v>
      </c>
      <c r="O175" s="142" t="s">
        <v>3047</v>
      </c>
      <c r="P175" s="142" t="s">
        <v>3047</v>
      </c>
      <c r="Q175" s="142">
        <f>B175*IBGE_2!Q$175/100</f>
        <v>303.33</v>
      </c>
      <c r="R175" s="142">
        <f>B175*IBGE_2!R$175/100</f>
        <v>6</v>
      </c>
      <c r="S175" s="142">
        <f>B175*IBGE_2!S$175/100</f>
        <v>126.67</v>
      </c>
      <c r="T175" s="142" t="s">
        <v>3047</v>
      </c>
      <c r="U175" s="142" t="s">
        <v>3047</v>
      </c>
      <c r="V175" s="142" t="s">
        <v>3047</v>
      </c>
      <c r="W175" s="142">
        <f>B175*IBGE_2!W$175/100</f>
        <v>443.33</v>
      </c>
      <c r="X175" s="142">
        <f>B175*IBGE_2!X$175/100</f>
        <v>0.6</v>
      </c>
      <c r="Y175" s="142">
        <f>B175*IBGE_2!Y$175/100</f>
        <v>0.6</v>
      </c>
      <c r="Z175" s="142">
        <f>B175*IBGE_2!Z$175/100</f>
        <v>0.5</v>
      </c>
      <c r="AA175" s="142">
        <f>B175*IBGE_2!AA$175/100</f>
        <v>8</v>
      </c>
      <c r="AB175" s="142">
        <f>B175*IBGE_2!AB$175/100</f>
        <v>29.67</v>
      </c>
      <c r="AC175" s="142" t="s">
        <v>3047</v>
      </c>
      <c r="AD175" s="142">
        <f>B175*IBGE_2!AD$175/100</f>
        <v>1.2</v>
      </c>
      <c r="AE175" s="142" t="s">
        <v>3047</v>
      </c>
      <c r="AF175" s="142">
        <f>B175*IBGE_2!AF$175/100</f>
        <v>5</v>
      </c>
      <c r="AG175" s="142" t="s">
        <v>3047</v>
      </c>
      <c r="AH175" s="142" t="s">
        <v>3047</v>
      </c>
      <c r="AI175" s="142" t="s">
        <v>3047</v>
      </c>
      <c r="AJ175" s="142" t="s">
        <v>3047</v>
      </c>
      <c r="AK175" s="142" t="s">
        <v>3047</v>
      </c>
      <c r="AL175" s="142" t="s">
        <v>3047</v>
      </c>
      <c r="AM175" s="142" t="s">
        <v>3047</v>
      </c>
      <c r="AN175" s="161"/>
    </row>
    <row r="176" spans="1:40">
      <c r="A176" s="143" t="s">
        <v>1235</v>
      </c>
      <c r="B176" s="141">
        <v>100</v>
      </c>
      <c r="C176" s="142">
        <f>B176*IBGE_2!C$176/100</f>
        <v>345.8</v>
      </c>
      <c r="D176" s="142">
        <f>B176*IBGE_2!D$176/100</f>
        <v>12.92</v>
      </c>
      <c r="E176" s="142" t="s">
        <v>3047</v>
      </c>
      <c r="F176" s="142" t="s">
        <v>3047</v>
      </c>
      <c r="G176" s="142" t="s">
        <v>3047</v>
      </c>
      <c r="H176" s="142" t="s">
        <v>3047</v>
      </c>
      <c r="I176" s="142" t="s">
        <v>3047</v>
      </c>
      <c r="J176" s="142" t="s">
        <v>3047</v>
      </c>
      <c r="K176" s="142" t="s">
        <v>3047</v>
      </c>
      <c r="L176" s="142">
        <f>B176*IBGE_2!L$176/100</f>
        <v>70.8</v>
      </c>
      <c r="M176" s="142">
        <f>B176*IBGE_2!M$176/100</f>
        <v>6.25</v>
      </c>
      <c r="N176" s="142">
        <f>B176*IBGE_2!N$176/100</f>
        <v>508</v>
      </c>
      <c r="O176" s="142" t="s">
        <v>3047</v>
      </c>
      <c r="P176" s="142" t="s">
        <v>3047</v>
      </c>
      <c r="Q176" s="142">
        <f>B176*IBGE_2!Q$176/100</f>
        <v>550</v>
      </c>
      <c r="R176" s="142">
        <f>B176*IBGE_2!R$176/100</f>
        <v>12.5</v>
      </c>
      <c r="S176" s="142">
        <f>B176*IBGE_2!S$176/100</f>
        <v>550</v>
      </c>
      <c r="T176" s="142" t="s">
        <v>3047</v>
      </c>
      <c r="U176" s="142" t="s">
        <v>3047</v>
      </c>
      <c r="V176" s="142" t="s">
        <v>3047</v>
      </c>
      <c r="W176" s="142" t="s">
        <v>3047</v>
      </c>
      <c r="X176" s="142">
        <f>B176*IBGE_2!X$176/100</f>
        <v>1.08</v>
      </c>
      <c r="Y176" s="142">
        <f>B176*IBGE_2!Y$176/100</f>
        <v>1.1599999999999999</v>
      </c>
      <c r="Z176" s="142">
        <f>B176*IBGE_2!Z$176/100</f>
        <v>1.1599999999999999</v>
      </c>
      <c r="AA176" s="142">
        <f>B176*IBGE_2!AA$176/100</f>
        <v>14.58</v>
      </c>
      <c r="AB176" s="142">
        <f>B176*IBGE_2!AB$176/100</f>
        <v>40.42</v>
      </c>
      <c r="AC176" s="142" t="s">
        <v>3047</v>
      </c>
      <c r="AD176" s="142">
        <f>B176*IBGE_2!AD$176/100</f>
        <v>2.17</v>
      </c>
      <c r="AE176" s="142" t="s">
        <v>3047</v>
      </c>
      <c r="AF176" s="142">
        <f>B176*IBGE_2!AF$176/100</f>
        <v>4.58</v>
      </c>
      <c r="AG176" s="142">
        <f>B176*IBGE_2!AG$176/100</f>
        <v>9.17</v>
      </c>
      <c r="AH176" s="142" t="s">
        <v>3047</v>
      </c>
      <c r="AI176" s="142" t="s">
        <v>3047</v>
      </c>
      <c r="AJ176" s="142" t="s">
        <v>3047</v>
      </c>
      <c r="AK176" s="142" t="s">
        <v>3047</v>
      </c>
      <c r="AL176" s="142" t="s">
        <v>3047</v>
      </c>
      <c r="AM176" s="142" t="s">
        <v>3047</v>
      </c>
      <c r="AN176" s="161"/>
    </row>
    <row r="177" spans="1:40">
      <c r="A177" s="143" t="s">
        <v>1236</v>
      </c>
      <c r="B177" s="141">
        <v>100</v>
      </c>
      <c r="C177" s="142">
        <f>B177*IBGE_2!C$177/100</f>
        <v>365</v>
      </c>
      <c r="D177" s="142">
        <f>B177*IBGE_2!D$177/100</f>
        <v>7.2</v>
      </c>
      <c r="E177" s="142">
        <f>B177*IBGE_2!E$177/100</f>
        <v>1</v>
      </c>
      <c r="F177" s="142" t="s">
        <v>3047</v>
      </c>
      <c r="G177" s="142" t="s">
        <v>3047</v>
      </c>
      <c r="H177" s="142" t="s">
        <v>3047</v>
      </c>
      <c r="I177" s="142" t="s">
        <v>3047</v>
      </c>
      <c r="J177" s="142" t="s">
        <v>3047</v>
      </c>
      <c r="K177" s="142" t="s">
        <v>3047</v>
      </c>
      <c r="L177" s="142">
        <f>B177*IBGE_2!L$177/100</f>
        <v>83.8</v>
      </c>
      <c r="M177" s="142">
        <f>B177*IBGE_2!M$177/100</f>
        <v>4.0999999999999996</v>
      </c>
      <c r="N177" s="142">
        <f>B177*IBGE_2!N$177/100</f>
        <v>143</v>
      </c>
      <c r="O177" s="142">
        <f>B177*IBGE_2!O$177/100</f>
        <v>11</v>
      </c>
      <c r="P177" s="142" t="s">
        <v>3047</v>
      </c>
      <c r="Q177" s="142">
        <f>B177*IBGE_2!Q$177/100</f>
        <v>101</v>
      </c>
      <c r="R177" s="142">
        <f>B177*IBGE_2!R$177/100</f>
        <v>3.1</v>
      </c>
      <c r="S177" s="142">
        <f>B177*IBGE_2!S$177/100</f>
        <v>655</v>
      </c>
      <c r="T177" s="142">
        <f>B177*IBGE_2!T$177/100</f>
        <v>83</v>
      </c>
      <c r="U177" s="142">
        <f>B177*IBGE_2!U$177/100</f>
        <v>0.06</v>
      </c>
      <c r="V177" s="142">
        <f>B177*IBGE_2!V$177/100</f>
        <v>7.6</v>
      </c>
      <c r="W177" s="142" t="s">
        <v>3047</v>
      </c>
      <c r="X177" s="142">
        <f>B177*IBGE_2!X$177/100</f>
        <v>0.76</v>
      </c>
      <c r="Y177" s="142">
        <f>B177*IBGE_2!Y$177/100</f>
        <v>1.02</v>
      </c>
      <c r="Z177" s="142">
        <f>B177*IBGE_2!Z$177/100</f>
        <v>2.25</v>
      </c>
      <c r="AA177" s="142">
        <f>B177*IBGE_2!AA$177/100</f>
        <v>11.04</v>
      </c>
      <c r="AB177" s="142" t="s">
        <v>3047</v>
      </c>
      <c r="AC177" s="142" t="s">
        <v>3047</v>
      </c>
      <c r="AD177" s="142" t="s">
        <v>3047</v>
      </c>
      <c r="AE177" s="142" t="s">
        <v>3047</v>
      </c>
      <c r="AF177" s="142" t="s">
        <v>3047</v>
      </c>
      <c r="AG177" s="142" t="s">
        <v>3047</v>
      </c>
      <c r="AH177" s="142" t="s">
        <v>3047</v>
      </c>
      <c r="AI177" s="142" t="s">
        <v>3047</v>
      </c>
      <c r="AJ177" s="142" t="s">
        <v>3047</v>
      </c>
      <c r="AK177" s="142">
        <f>B177*IBGE_2!AK$177/100</f>
        <v>15</v>
      </c>
      <c r="AL177" s="142" t="s">
        <v>3047</v>
      </c>
      <c r="AM177" s="142" t="s">
        <v>3047</v>
      </c>
      <c r="AN177" s="161"/>
    </row>
    <row r="178" spans="1:40">
      <c r="A178" s="143" t="s">
        <v>1237</v>
      </c>
      <c r="B178" s="141">
        <v>100</v>
      </c>
      <c r="C178" s="142">
        <f>B178*IBGE_2!C$178/100</f>
        <v>78.242999999999995</v>
      </c>
      <c r="D178" s="142">
        <f>B178*IBGE_2!D$178/100</f>
        <v>2.4220000000000002</v>
      </c>
      <c r="E178" s="142">
        <f>B178*IBGE_2!E$178/100</f>
        <v>3.0619999999999998</v>
      </c>
      <c r="F178" s="142">
        <f>B178*IBGE_2!F$178/100</f>
        <v>1.3480000000000001</v>
      </c>
      <c r="G178" s="142">
        <f>B178*IBGE_2!G$178/100</f>
        <v>0.89</v>
      </c>
      <c r="H178" s="142">
        <f>B178*IBGE_2!H$178/100</f>
        <v>0.55500000000000005</v>
      </c>
      <c r="I178" s="142">
        <f>B178*IBGE_2!I$178/100</f>
        <v>0.498</v>
      </c>
      <c r="J178" s="142">
        <f>B178*IBGE_2!J$178/100</f>
        <v>5.7000000000000002E-2</v>
      </c>
      <c r="K178" s="142">
        <f>B178*IBGE_2!K$178/100</f>
        <v>6.0229999999999997</v>
      </c>
      <c r="L178" s="142">
        <f>B178*IBGE_2!L$178/100</f>
        <v>10.456</v>
      </c>
      <c r="M178" s="142">
        <f>B178*IBGE_2!M$178/100</f>
        <v>0.17399999999999999</v>
      </c>
      <c r="N178" s="142">
        <f>B178*IBGE_2!N$178/100</f>
        <v>124.56699999999999</v>
      </c>
      <c r="O178" s="142">
        <f>B178*IBGE_2!O$178/100</f>
        <v>13.224</v>
      </c>
      <c r="P178" s="142">
        <f>B178*IBGE_2!P$178/100</f>
        <v>2.9000000000000005E-2</v>
      </c>
      <c r="Q178" s="142">
        <f>B178*IBGE_2!Q$178/100</f>
        <v>95.381</v>
      </c>
      <c r="R178" s="142">
        <f>B178*IBGE_2!R$178/100</f>
        <v>0.221</v>
      </c>
      <c r="S178" s="142">
        <f>B178*IBGE_2!S$178/100</f>
        <v>319.33100000000002</v>
      </c>
      <c r="T178" s="142">
        <f>B178*IBGE_2!T$178/100</f>
        <v>156.846</v>
      </c>
      <c r="U178" s="142">
        <f>B178*IBGE_2!U$178/100</f>
        <v>1.4999999999999999E-2</v>
      </c>
      <c r="V178" s="142">
        <f>B178*IBGE_2!V$178/100</f>
        <v>0.44900000000000001</v>
      </c>
      <c r="W178" s="142">
        <f>B178*IBGE_2!W$178/100</f>
        <v>21.164999999999999</v>
      </c>
      <c r="X178" s="142">
        <f>B178*IBGE_2!X$178/100</f>
        <v>6.8000000000000005E-2</v>
      </c>
      <c r="Y178" s="142">
        <f>B178*IBGE_2!Y$178/100</f>
        <v>0.17699999999999999</v>
      </c>
      <c r="Z178" s="142">
        <f>B178*IBGE_2!Z$178/100</f>
        <v>4.2999999999999997E-2</v>
      </c>
      <c r="AA178" s="142">
        <f>B178*IBGE_2!AA$178/100</f>
        <v>0.32200000000000001</v>
      </c>
      <c r="AB178" s="142">
        <f>B178*IBGE_2!AB$178/100</f>
        <v>0.14699999999999999</v>
      </c>
      <c r="AC178" s="142">
        <f>B178*IBGE_2!AC$178/100</f>
        <v>1.1659999999999999</v>
      </c>
      <c r="AD178" s="142">
        <f>B178*IBGE_2!AD$178/100</f>
        <v>0.30199999999999999</v>
      </c>
      <c r="AE178" s="142">
        <f>B178*IBGE_2!AE$178/100</f>
        <v>11.232999999999999</v>
      </c>
      <c r="AF178" s="142">
        <f>B178*IBGE_2!AF$178/100</f>
        <v>0.50800000000000001</v>
      </c>
      <c r="AG178" s="142">
        <f>B178*IBGE_2!AG$178/100</f>
        <v>0.187</v>
      </c>
      <c r="AH178" s="142">
        <f>B178*IBGE_2!AH$178/100</f>
        <v>0.22600000000000001</v>
      </c>
      <c r="AI178" s="142" t="s">
        <v>3047</v>
      </c>
      <c r="AJ178" s="142">
        <f>B178*IBGE_2!AJ$178/100</f>
        <v>4.0279999999999996</v>
      </c>
      <c r="AK178" s="142">
        <f>B178*IBGE_2!AK$178/100</f>
        <v>30.094999999999999</v>
      </c>
      <c r="AL178" s="142">
        <f>B178*IBGE_2!AL$178/100</f>
        <v>7.1960000000000006</v>
      </c>
      <c r="AM178" s="142">
        <f>B178*IBGE_2!AM$178/100</f>
        <v>2.0779999999999998</v>
      </c>
      <c r="AN178" s="161"/>
    </row>
    <row r="179" spans="1:40">
      <c r="A179" s="143" t="s">
        <v>1238</v>
      </c>
      <c r="B179" s="141">
        <v>100</v>
      </c>
      <c r="C179" s="142">
        <f>B179*IBGE_2!C$179/100</f>
        <v>252.49</v>
      </c>
      <c r="D179" s="142">
        <f>B179*IBGE_2!D$179/100</f>
        <v>10.166</v>
      </c>
      <c r="E179" s="142">
        <f>B179*IBGE_2!E$179/100</f>
        <v>8.2219999999999995</v>
      </c>
      <c r="F179" s="142">
        <f>B179*IBGE_2!F$179/100</f>
        <v>3.2839999999999998</v>
      </c>
      <c r="G179" s="142">
        <f>B179*IBGE_2!G$179/100</f>
        <v>2.105</v>
      </c>
      <c r="H179" s="142">
        <f>B179*IBGE_2!H$179/100</f>
        <v>2.3290000000000002</v>
      </c>
      <c r="I179" s="142">
        <f>B179*IBGE_2!I$179/100</f>
        <v>2.0430000000000001</v>
      </c>
      <c r="J179" s="142">
        <f>B179*IBGE_2!J$179/100</f>
        <v>0.28599999999999998</v>
      </c>
      <c r="K179" s="142">
        <f>B179*IBGE_2!K$179/100</f>
        <v>11.045</v>
      </c>
      <c r="L179" s="142">
        <f>B179*IBGE_2!L$179/100</f>
        <v>33.725000000000001</v>
      </c>
      <c r="M179" s="142">
        <f>B179*IBGE_2!M$179/100</f>
        <v>1.7480000000000002</v>
      </c>
      <c r="N179" s="142">
        <f>B179*IBGE_2!N$179/100</f>
        <v>166.41900000000001</v>
      </c>
      <c r="O179" s="142">
        <f>B179*IBGE_2!O$179/100</f>
        <v>18.907</v>
      </c>
      <c r="P179" s="142">
        <f>B179*IBGE_2!P$179/100</f>
        <v>0.31900000000000001</v>
      </c>
      <c r="Q179" s="142">
        <f>B179*IBGE_2!Q$179/100</f>
        <v>170.57499999999999</v>
      </c>
      <c r="R179" s="142">
        <f>B179*IBGE_2!R$179/100</f>
        <v>2.218</v>
      </c>
      <c r="S179" s="142">
        <f>B179*IBGE_2!S$179/100</f>
        <v>444.416</v>
      </c>
      <c r="T179" s="142">
        <f>B179*IBGE_2!T$179/100</f>
        <v>140.691</v>
      </c>
      <c r="U179" s="142">
        <f>B179*IBGE_2!U$179/100</f>
        <v>9.4E-2</v>
      </c>
      <c r="V179" s="142">
        <f>B179*IBGE_2!V$179/100</f>
        <v>1.0249999999999999</v>
      </c>
      <c r="W179" s="142">
        <f>B179*IBGE_2!W$179/100</f>
        <v>27.204999999999998</v>
      </c>
      <c r="X179" s="142">
        <f>B179*IBGE_2!X$179/100</f>
        <v>0.36700000000000005</v>
      </c>
      <c r="Y179" s="142">
        <f>B179*IBGE_2!Y$179/100</f>
        <v>0.32400000000000001</v>
      </c>
      <c r="Z179" s="142">
        <f>B179*IBGE_2!Z$179/100</f>
        <v>7.0999999999999994E-2</v>
      </c>
      <c r="AA179" s="142">
        <f>B179*IBGE_2!AA$179/100</f>
        <v>2.99</v>
      </c>
      <c r="AB179" s="142">
        <f>B179*IBGE_2!AB$179/100</f>
        <v>1.929</v>
      </c>
      <c r="AC179" s="142">
        <f>B179*IBGE_2!AC$179/100</f>
        <v>6.0029999999999992</v>
      </c>
      <c r="AD179" s="142">
        <f>B179*IBGE_2!AD$179/100</f>
        <v>0.47599999999999992</v>
      </c>
      <c r="AE179" s="142">
        <f>B179*IBGE_2!AE$179/100</f>
        <v>106.527</v>
      </c>
      <c r="AF179" s="142">
        <f>B179*IBGE_2!AF$179/100</f>
        <v>3.3000000000000002E-2</v>
      </c>
      <c r="AG179" s="142">
        <f>B179*IBGE_2!AG$179/100</f>
        <v>0.79900000000000004</v>
      </c>
      <c r="AH179" s="142">
        <f>B179*IBGE_2!AH$179/100</f>
        <v>0.10199999999999999</v>
      </c>
      <c r="AI179" s="142" t="s">
        <v>3047</v>
      </c>
      <c r="AJ179" s="142">
        <f>B179*IBGE_2!AJ$179/100</f>
        <v>19.273</v>
      </c>
      <c r="AK179" s="142">
        <f>B179*IBGE_2!AK$179/100</f>
        <v>33.636000000000003</v>
      </c>
      <c r="AL179" s="142">
        <f>B179*IBGE_2!AL$179/100</f>
        <v>1.726</v>
      </c>
      <c r="AM179" s="142">
        <f>B179*IBGE_2!AM$179/100</f>
        <v>0.58299999999999996</v>
      </c>
      <c r="AN179" s="161"/>
    </row>
    <row r="180" spans="1:40">
      <c r="A180" s="143" t="s">
        <v>1239</v>
      </c>
      <c r="B180" s="141">
        <v>100</v>
      </c>
      <c r="C180" s="142">
        <f>B180*IBGE_2!C$180/100</f>
        <v>252.49</v>
      </c>
      <c r="D180" s="142">
        <f>B180*IBGE_2!D$180/100</f>
        <v>10.166</v>
      </c>
      <c r="E180" s="142">
        <f>B180*IBGE_2!E$180/100</f>
        <v>8.2219999999999995</v>
      </c>
      <c r="F180" s="142">
        <f>B180*IBGE_2!F$180/100</f>
        <v>3.2839999999999998</v>
      </c>
      <c r="G180" s="142">
        <f>B180*IBGE_2!G$180/100</f>
        <v>2.105</v>
      </c>
      <c r="H180" s="142">
        <f>B180*IBGE_2!H$180/100</f>
        <v>2.3290000000000002</v>
      </c>
      <c r="I180" s="142">
        <f>B180*IBGE_2!I$180/100</f>
        <v>2.0430000000000001</v>
      </c>
      <c r="J180" s="142">
        <f>B180*IBGE_2!J$180/100</f>
        <v>0.28599999999999998</v>
      </c>
      <c r="K180" s="142">
        <f>B180*IBGE_2!K$180/100</f>
        <v>11.045</v>
      </c>
      <c r="L180" s="142">
        <f>B180*IBGE_2!L$180/100</f>
        <v>33.725000000000001</v>
      </c>
      <c r="M180" s="142">
        <f>B180*IBGE_2!M$180/100</f>
        <v>1.7480000000000002</v>
      </c>
      <c r="N180" s="142">
        <f>B180*IBGE_2!N$180/100</f>
        <v>166.41900000000001</v>
      </c>
      <c r="O180" s="142">
        <f>B180*IBGE_2!O$180/100</f>
        <v>18.907</v>
      </c>
      <c r="P180" s="142">
        <f>B180*IBGE_2!P$180/100</f>
        <v>0.31900000000000001</v>
      </c>
      <c r="Q180" s="142">
        <f>B180*IBGE_2!Q$180/100</f>
        <v>170.57499999999999</v>
      </c>
      <c r="R180" s="142">
        <f>B180*IBGE_2!R$180/100</f>
        <v>2.218</v>
      </c>
      <c r="S180" s="142">
        <f>B180*IBGE_2!S$180/100</f>
        <v>444.416</v>
      </c>
      <c r="T180" s="142">
        <f>B180*IBGE_2!T$180/100</f>
        <v>140.691</v>
      </c>
      <c r="U180" s="142">
        <f>B180*IBGE_2!U$180/100</f>
        <v>9.4E-2</v>
      </c>
      <c r="V180" s="142">
        <f>B180*IBGE_2!V$180/100</f>
        <v>1.0249999999999999</v>
      </c>
      <c r="W180" s="142">
        <f>B180*IBGE_2!W$180/100</f>
        <v>27.204999999999998</v>
      </c>
      <c r="X180" s="142">
        <f>B180*IBGE_2!X$180/100</f>
        <v>0.36700000000000005</v>
      </c>
      <c r="Y180" s="142">
        <f>B180*IBGE_2!Y$180/100</f>
        <v>0.32400000000000001</v>
      </c>
      <c r="Z180" s="142">
        <f>B180*IBGE_2!Z$180/100</f>
        <v>7.0999999999999994E-2</v>
      </c>
      <c r="AA180" s="142">
        <f>B180*IBGE_2!AA$180/100</f>
        <v>2.99</v>
      </c>
      <c r="AB180" s="142">
        <f>B180*IBGE_2!AB$180/100</f>
        <v>1.929</v>
      </c>
      <c r="AC180" s="142">
        <f>B180*IBGE_2!AC$180/100</f>
        <v>6.0029999999999992</v>
      </c>
      <c r="AD180" s="142">
        <f>B180*IBGE_2!AD$180/100</f>
        <v>0.47599999999999992</v>
      </c>
      <c r="AE180" s="142">
        <f>B180*IBGE_2!AE$180/100</f>
        <v>106.527</v>
      </c>
      <c r="AF180" s="142">
        <f>B180*IBGE_2!AF$180/100</f>
        <v>3.3000000000000002E-2</v>
      </c>
      <c r="AG180" s="142">
        <f>B180*IBGE_2!AG$180/100</f>
        <v>0.79900000000000004</v>
      </c>
      <c r="AH180" s="142">
        <f>B180*IBGE_2!AH$180/100</f>
        <v>0.10199999999999999</v>
      </c>
      <c r="AI180" s="142" t="s">
        <v>3047</v>
      </c>
      <c r="AJ180" s="142">
        <f>B180*IBGE_2!AJ$180/100</f>
        <v>19.273</v>
      </c>
      <c r="AK180" s="142">
        <f>B180*IBGE_2!AK$180/100</f>
        <v>33.636000000000003</v>
      </c>
      <c r="AL180" s="142">
        <f>B180*IBGE_2!AL$180/100</f>
        <v>1.726</v>
      </c>
      <c r="AM180" s="142">
        <f>B180*IBGE_2!AM$180/100</f>
        <v>0.58299999999999996</v>
      </c>
      <c r="AN180" s="161"/>
    </row>
    <row r="181" spans="1:40">
      <c r="A181" s="143" t="s">
        <v>1240</v>
      </c>
      <c r="B181" s="141">
        <v>100</v>
      </c>
      <c r="C181" s="142">
        <f>B181*IBGE_2!C$181/100</f>
        <v>252.49</v>
      </c>
      <c r="D181" s="142">
        <f>B181*IBGE_2!D$181/100</f>
        <v>10.166</v>
      </c>
      <c r="E181" s="142">
        <f>B181*IBGE_2!E$181/100</f>
        <v>8.2219999999999995</v>
      </c>
      <c r="F181" s="142">
        <f>B181*IBGE_2!F$181/100</f>
        <v>3.2839999999999998</v>
      </c>
      <c r="G181" s="142">
        <f>B181*IBGE_2!G$181/100</f>
        <v>2.105</v>
      </c>
      <c r="H181" s="142">
        <f>B181*IBGE_2!H$181/100</f>
        <v>2.3290000000000002</v>
      </c>
      <c r="I181" s="142">
        <f>B181*IBGE_2!I$181/100</f>
        <v>2.0430000000000001</v>
      </c>
      <c r="J181" s="142">
        <f>B181*IBGE_2!J$181/100</f>
        <v>0.28599999999999998</v>
      </c>
      <c r="K181" s="142">
        <f>B181*IBGE_2!K$181/100</f>
        <v>11.045</v>
      </c>
      <c r="L181" s="142">
        <f>B181*IBGE_2!L$181/100</f>
        <v>33.725000000000001</v>
      </c>
      <c r="M181" s="142">
        <f>B181*IBGE_2!M$181/100</f>
        <v>1.7480000000000002</v>
      </c>
      <c r="N181" s="142">
        <f>B181*IBGE_2!N$181/100</f>
        <v>166.41900000000001</v>
      </c>
      <c r="O181" s="142">
        <f>B181*IBGE_2!O$181/100</f>
        <v>18.907</v>
      </c>
      <c r="P181" s="142">
        <f>B181*IBGE_2!P$181/100</f>
        <v>0.31900000000000001</v>
      </c>
      <c r="Q181" s="142">
        <f>B181*IBGE_2!Q$181/100</f>
        <v>170.57499999999999</v>
      </c>
      <c r="R181" s="142">
        <f>B181*IBGE_2!R$181/100</f>
        <v>2.218</v>
      </c>
      <c r="S181" s="142">
        <f>B181*IBGE_2!S$181/100</f>
        <v>444.416</v>
      </c>
      <c r="T181" s="142">
        <f>B181*IBGE_2!T$181/100</f>
        <v>140.691</v>
      </c>
      <c r="U181" s="142">
        <f>B181*IBGE_2!U$181/100</f>
        <v>9.4E-2</v>
      </c>
      <c r="V181" s="142">
        <f>B181*IBGE_2!V$181/100</f>
        <v>1.0249999999999999</v>
      </c>
      <c r="W181" s="142">
        <f>B181*IBGE_2!W$181/100</f>
        <v>27.204999999999998</v>
      </c>
      <c r="X181" s="142">
        <f>B181*IBGE_2!X$181/100</f>
        <v>0.36700000000000005</v>
      </c>
      <c r="Y181" s="142">
        <f>B181*IBGE_2!Y$181/100</f>
        <v>0.32400000000000001</v>
      </c>
      <c r="Z181" s="142">
        <f>B181*IBGE_2!Z$181/100</f>
        <v>7.0999999999999994E-2</v>
      </c>
      <c r="AA181" s="142">
        <f>B181*IBGE_2!AA$181/100</f>
        <v>2.99</v>
      </c>
      <c r="AB181" s="142">
        <f>B181*IBGE_2!AB$181/100</f>
        <v>1.929</v>
      </c>
      <c r="AC181" s="142">
        <f>B181*IBGE_2!AC$181/100</f>
        <v>6.0029999999999992</v>
      </c>
      <c r="AD181" s="142">
        <f>B181*IBGE_2!AD$181/100</f>
        <v>0.47599999999999992</v>
      </c>
      <c r="AE181" s="142">
        <f>B181*IBGE_2!AE$181/100</f>
        <v>106.527</v>
      </c>
      <c r="AF181" s="142">
        <f>B181*IBGE_2!AF$181/100</f>
        <v>3.3000000000000002E-2</v>
      </c>
      <c r="AG181" s="142">
        <f>B181*IBGE_2!AG$181/100</f>
        <v>0.79900000000000004</v>
      </c>
      <c r="AH181" s="142">
        <f>B181*IBGE_2!AH$181/100</f>
        <v>0.10199999999999999</v>
      </c>
      <c r="AI181" s="142" t="s">
        <v>3047</v>
      </c>
      <c r="AJ181" s="142">
        <f>B181*IBGE_2!AJ$181/100</f>
        <v>19.273</v>
      </c>
      <c r="AK181" s="142">
        <f>B181*IBGE_2!AK$181/100</f>
        <v>33.636000000000003</v>
      </c>
      <c r="AL181" s="142">
        <f>B181*IBGE_2!AL$181/100</f>
        <v>1.726</v>
      </c>
      <c r="AM181" s="142">
        <f>B181*IBGE_2!AM$181/100</f>
        <v>0.58299999999999996</v>
      </c>
      <c r="AN181" s="161"/>
    </row>
    <row r="182" spans="1:40">
      <c r="A182" s="143" t="s">
        <v>1241</v>
      </c>
      <c r="B182" s="141">
        <v>100</v>
      </c>
      <c r="C182" s="142">
        <f>B182*IBGE_2!C$182/100</f>
        <v>252.49</v>
      </c>
      <c r="D182" s="142">
        <f>B182*IBGE_2!D$182/100</f>
        <v>10.166</v>
      </c>
      <c r="E182" s="142">
        <f>B182*IBGE_2!E$182/100</f>
        <v>8.2219999999999995</v>
      </c>
      <c r="F182" s="142">
        <f>B182*IBGE_2!F$182/100</f>
        <v>3.2839999999999998</v>
      </c>
      <c r="G182" s="142">
        <f>B182*IBGE_2!G$182/100</f>
        <v>2.105</v>
      </c>
      <c r="H182" s="142">
        <f>B182*IBGE_2!H$182/100</f>
        <v>2.3290000000000002</v>
      </c>
      <c r="I182" s="142">
        <f>B182*IBGE_2!I$182/100</f>
        <v>2.0430000000000001</v>
      </c>
      <c r="J182" s="142">
        <f>B182*IBGE_2!J$182/100</f>
        <v>0.28599999999999998</v>
      </c>
      <c r="K182" s="142">
        <f>B182*IBGE_2!K$182/100</f>
        <v>11.045</v>
      </c>
      <c r="L182" s="142">
        <f>B182*IBGE_2!L$182/100</f>
        <v>33.725000000000001</v>
      </c>
      <c r="M182" s="142">
        <f>B182*IBGE_2!M$182/100</f>
        <v>1.7480000000000002</v>
      </c>
      <c r="N182" s="142">
        <f>B182*IBGE_2!N$182/100</f>
        <v>166.41900000000001</v>
      </c>
      <c r="O182" s="142">
        <f>B182*IBGE_2!O$182/100</f>
        <v>18.907</v>
      </c>
      <c r="P182" s="142">
        <f>B182*IBGE_2!P$182/100</f>
        <v>0.31900000000000001</v>
      </c>
      <c r="Q182" s="142">
        <f>B182*IBGE_2!Q$182/100</f>
        <v>170.57499999999999</v>
      </c>
      <c r="R182" s="142">
        <f>B182*IBGE_2!R$182/100</f>
        <v>2.218</v>
      </c>
      <c r="S182" s="142">
        <f>B182*IBGE_2!S$182/100</f>
        <v>444.416</v>
      </c>
      <c r="T182" s="142">
        <f>B182*IBGE_2!T$182/100</f>
        <v>140.691</v>
      </c>
      <c r="U182" s="142">
        <f>B182*IBGE_2!U$182/100</f>
        <v>9.4E-2</v>
      </c>
      <c r="V182" s="142">
        <f>B182*IBGE_2!V$182/100</f>
        <v>1.0249999999999999</v>
      </c>
      <c r="W182" s="142">
        <f>B182*IBGE_2!W$182/100</f>
        <v>27.204999999999998</v>
      </c>
      <c r="X182" s="142">
        <f>B182*IBGE_2!X$182/100</f>
        <v>0.36700000000000005</v>
      </c>
      <c r="Y182" s="142">
        <f>B182*IBGE_2!Y$182/100</f>
        <v>0.32400000000000001</v>
      </c>
      <c r="Z182" s="142">
        <f>B182*IBGE_2!Z$182/100</f>
        <v>7.0999999999999994E-2</v>
      </c>
      <c r="AA182" s="142">
        <f>B182*IBGE_2!AA$182/100</f>
        <v>2.99</v>
      </c>
      <c r="AB182" s="142">
        <f>B182*IBGE_2!AB$182/100</f>
        <v>1.929</v>
      </c>
      <c r="AC182" s="142">
        <f>B182*IBGE_2!AC$182/100</f>
        <v>6.0029999999999992</v>
      </c>
      <c r="AD182" s="142">
        <f>B182*IBGE_2!AD$182/100</f>
        <v>0.47599999999999992</v>
      </c>
      <c r="AE182" s="142">
        <f>B182*IBGE_2!AE$182/100</f>
        <v>106.527</v>
      </c>
      <c r="AF182" s="142">
        <f>B182*IBGE_2!AF$182/100</f>
        <v>3.3000000000000002E-2</v>
      </c>
      <c r="AG182" s="142">
        <f>B182*IBGE_2!AG$182/100</f>
        <v>0.79900000000000004</v>
      </c>
      <c r="AH182" s="142">
        <f>B182*IBGE_2!AH$182/100</f>
        <v>0.10199999999999999</v>
      </c>
      <c r="AI182" s="142" t="s">
        <v>3047</v>
      </c>
      <c r="AJ182" s="142">
        <f>B182*IBGE_2!AJ$182/100</f>
        <v>19.273</v>
      </c>
      <c r="AK182" s="142">
        <f>B182*IBGE_2!AK$182/100</f>
        <v>33.636000000000003</v>
      </c>
      <c r="AL182" s="142">
        <f>B182*IBGE_2!AL$182/100</f>
        <v>1.726</v>
      </c>
      <c r="AM182" s="142">
        <f>B182*IBGE_2!AM$182/100</f>
        <v>0.58299999999999996</v>
      </c>
      <c r="AN182" s="161"/>
    </row>
    <row r="183" spans="1:40">
      <c r="A183" s="143" t="s">
        <v>1242</v>
      </c>
      <c r="B183" s="141">
        <v>100</v>
      </c>
      <c r="C183" s="142">
        <f>B183*IBGE_2!C$183/100</f>
        <v>252.49</v>
      </c>
      <c r="D183" s="142">
        <f>B183*IBGE_2!D$183/100</f>
        <v>10.166</v>
      </c>
      <c r="E183" s="142">
        <f>B183*IBGE_2!E$183/100</f>
        <v>8.2219999999999995</v>
      </c>
      <c r="F183" s="142">
        <f>B183*IBGE_2!F$183/100</f>
        <v>3.2839999999999998</v>
      </c>
      <c r="G183" s="142">
        <f>B183*IBGE_2!G$183/100</f>
        <v>2.105</v>
      </c>
      <c r="H183" s="142">
        <f>B183*IBGE_2!H$183/100</f>
        <v>2.3290000000000002</v>
      </c>
      <c r="I183" s="142">
        <f>B183*IBGE_2!I$183/100</f>
        <v>2.0430000000000001</v>
      </c>
      <c r="J183" s="142">
        <f>B183*IBGE_2!J$183/100</f>
        <v>0.28599999999999998</v>
      </c>
      <c r="K183" s="142">
        <f>B183*IBGE_2!K$183/100</f>
        <v>11.045</v>
      </c>
      <c r="L183" s="142">
        <f>B183*IBGE_2!L$183/100</f>
        <v>33.725000000000001</v>
      </c>
      <c r="M183" s="142">
        <f>B183*IBGE_2!M$183/100</f>
        <v>1.7480000000000002</v>
      </c>
      <c r="N183" s="142">
        <f>B183*IBGE_2!N$183/100</f>
        <v>166.41900000000001</v>
      </c>
      <c r="O183" s="142">
        <f>B183*IBGE_2!O$183/100</f>
        <v>18.907</v>
      </c>
      <c r="P183" s="142">
        <f>B183*IBGE_2!P$183/100</f>
        <v>0.31900000000000001</v>
      </c>
      <c r="Q183" s="142">
        <f>B183*IBGE_2!Q$183/100</f>
        <v>170.57499999999999</v>
      </c>
      <c r="R183" s="142">
        <f>B183*IBGE_2!R$183/100</f>
        <v>2.218</v>
      </c>
      <c r="S183" s="142">
        <f>B183*IBGE_2!S$183/100</f>
        <v>444.416</v>
      </c>
      <c r="T183" s="142">
        <f>B183*IBGE_2!T$183/100</f>
        <v>140.691</v>
      </c>
      <c r="U183" s="142">
        <f>B183*IBGE_2!U$183/100</f>
        <v>9.4E-2</v>
      </c>
      <c r="V183" s="142">
        <f>B183*IBGE_2!V$183/100</f>
        <v>1.0249999999999999</v>
      </c>
      <c r="W183" s="142">
        <f>B183*IBGE_2!W$183/100</f>
        <v>27.204999999999998</v>
      </c>
      <c r="X183" s="142">
        <f>B183*IBGE_2!X$183/100</f>
        <v>0.36700000000000005</v>
      </c>
      <c r="Y183" s="142">
        <f>B183*IBGE_2!Y$183/100</f>
        <v>0.32400000000000001</v>
      </c>
      <c r="Z183" s="142">
        <f>B183*IBGE_2!Z$183/100</f>
        <v>7.0999999999999994E-2</v>
      </c>
      <c r="AA183" s="142">
        <f>B183*IBGE_2!AA$183/100</f>
        <v>2.99</v>
      </c>
      <c r="AB183" s="142">
        <f>B183*IBGE_2!AB$183/100</f>
        <v>1.929</v>
      </c>
      <c r="AC183" s="142">
        <f>B183*IBGE_2!AC$183/100</f>
        <v>6.0029999999999992</v>
      </c>
      <c r="AD183" s="142">
        <f>B183*IBGE_2!AD$183/100</f>
        <v>0.47599999999999992</v>
      </c>
      <c r="AE183" s="142">
        <f>B183*IBGE_2!AE$183/100</f>
        <v>106.527</v>
      </c>
      <c r="AF183" s="142">
        <f>B183*IBGE_2!AF$183/100</f>
        <v>3.3000000000000002E-2</v>
      </c>
      <c r="AG183" s="142">
        <f>B183*IBGE_2!AG$183/100</f>
        <v>0.79900000000000004</v>
      </c>
      <c r="AH183" s="142">
        <f>B183*IBGE_2!AH$183/100</f>
        <v>0.10199999999999999</v>
      </c>
      <c r="AI183" s="142" t="s">
        <v>3047</v>
      </c>
      <c r="AJ183" s="142">
        <f>B183*IBGE_2!AJ$183/100</f>
        <v>19.273</v>
      </c>
      <c r="AK183" s="142">
        <f>B183*IBGE_2!AK$183/100</f>
        <v>33.636000000000003</v>
      </c>
      <c r="AL183" s="142">
        <f>B183*IBGE_2!AL$183/100</f>
        <v>1.726</v>
      </c>
      <c r="AM183" s="142">
        <f>B183*IBGE_2!AM$183/100</f>
        <v>0.58299999999999996</v>
      </c>
      <c r="AN183" s="161"/>
    </row>
    <row r="184" spans="1:40">
      <c r="A184" s="143" t="s">
        <v>1243</v>
      </c>
      <c r="B184" s="141">
        <v>100</v>
      </c>
      <c r="C184" s="142">
        <f>B184*IBGE_2!C$184/100</f>
        <v>70</v>
      </c>
      <c r="D184" s="142">
        <f>B184*IBGE_2!D$184/100</f>
        <v>12</v>
      </c>
      <c r="E184" s="142">
        <f>B184*IBGE_2!E$184/100</f>
        <v>2</v>
      </c>
      <c r="F184" s="142">
        <f>B184*IBGE_2!F$184/100</f>
        <v>0.28999999999999998</v>
      </c>
      <c r="G184" s="142">
        <f>B184*IBGE_2!G$184/100</f>
        <v>0.44</v>
      </c>
      <c r="H184" s="142">
        <f>B184*IBGE_2!H$184/100</f>
        <v>1.1299999999999999</v>
      </c>
      <c r="I184" s="142">
        <f>B184*IBGE_2!I$184/100</f>
        <v>1</v>
      </c>
      <c r="J184" s="142">
        <f>B184*IBGE_2!J$184/100</f>
        <v>0.13</v>
      </c>
      <c r="K184" s="142" t="s">
        <v>3047</v>
      </c>
      <c r="L184" s="142">
        <f>B184*IBGE_2!L$184/100</f>
        <v>74</v>
      </c>
      <c r="M184" s="142">
        <f>B184*IBGE_2!M$184/100</f>
        <v>73</v>
      </c>
      <c r="N184" s="142">
        <f>B184*IBGE_2!N$184/100</f>
        <v>521</v>
      </c>
      <c r="O184" s="142">
        <f>B184*IBGE_2!O$184/100</f>
        <v>234</v>
      </c>
      <c r="P184" s="142">
        <f>B184*IBGE_2!P$184/100</f>
        <v>2</v>
      </c>
      <c r="Q184" s="142">
        <f>B184*IBGE_2!Q$184/100</f>
        <v>193</v>
      </c>
      <c r="R184" s="142">
        <f>B184*IBGE_2!R$184/100</f>
        <v>40</v>
      </c>
      <c r="S184" s="142">
        <f>B184*IBGE_2!S$184/100</f>
        <v>20</v>
      </c>
      <c r="T184" s="142">
        <f>B184*IBGE_2!T$184/100</f>
        <v>1420</v>
      </c>
      <c r="U184" s="142">
        <f>B184*IBGE_2!U$184/100</f>
        <v>1</v>
      </c>
      <c r="V184" s="142">
        <f>B184*IBGE_2!V$184/100</f>
        <v>5</v>
      </c>
      <c r="W184" s="142" t="s">
        <v>3047</v>
      </c>
      <c r="X184" s="142" t="s">
        <v>3047</v>
      </c>
      <c r="Y184" s="142" t="s">
        <v>3047</v>
      </c>
      <c r="Z184" s="142" t="s">
        <v>3047</v>
      </c>
      <c r="AA184" s="142" t="s">
        <v>3047</v>
      </c>
      <c r="AB184" s="142" t="s">
        <v>3047</v>
      </c>
      <c r="AC184" s="142">
        <f>B184*IBGE_2!AC$184/100</f>
        <v>2.8330000000000002</v>
      </c>
      <c r="AD184" s="142" t="s">
        <v>3047</v>
      </c>
      <c r="AE184" s="142" t="s">
        <v>3047</v>
      </c>
      <c r="AF184" s="142" t="s">
        <v>3047</v>
      </c>
      <c r="AG184" s="142">
        <f>B184*IBGE_2!AG$184/100</f>
        <v>7.8E-2</v>
      </c>
      <c r="AH184" s="142" t="s">
        <v>3047</v>
      </c>
      <c r="AI184" s="142" t="s">
        <v>3047</v>
      </c>
      <c r="AJ184" s="142" t="s">
        <v>3047</v>
      </c>
      <c r="AK184" s="142" t="s">
        <v>3047</v>
      </c>
      <c r="AL184" s="142">
        <f>B184*IBGE_2!AL$184/100</f>
        <v>0.21</v>
      </c>
      <c r="AM184" s="142" t="s">
        <v>3047</v>
      </c>
      <c r="AN184" s="161"/>
    </row>
    <row r="185" spans="1:40">
      <c r="A185" s="143" t="s">
        <v>1244</v>
      </c>
      <c r="B185" s="141">
        <v>100</v>
      </c>
      <c r="C185" s="142">
        <f>B185*IBGE_2!C$185/100</f>
        <v>319.80700000000002</v>
      </c>
      <c r="D185" s="142">
        <f>B185*IBGE_2!D$185/100</f>
        <v>10.384</v>
      </c>
      <c r="E185" s="142">
        <f>B185*IBGE_2!E$185/100</f>
        <v>15.675999999999998</v>
      </c>
      <c r="F185" s="142">
        <f>B185*IBGE_2!F$185/100</f>
        <v>3.161</v>
      </c>
      <c r="G185" s="142">
        <f>B185*IBGE_2!G$185/100</f>
        <v>4.2439999999999998</v>
      </c>
      <c r="H185" s="142">
        <f>B185*IBGE_2!H$185/100</f>
        <v>7.28</v>
      </c>
      <c r="I185" s="142">
        <f>B185*IBGE_2!I$185/100</f>
        <v>6.4120000000000008</v>
      </c>
      <c r="J185" s="142">
        <f>B185*IBGE_2!J$185/100</f>
        <v>0.80900000000000005</v>
      </c>
      <c r="K185" s="142">
        <f>B185*IBGE_2!K$185/100</f>
        <v>61.192</v>
      </c>
      <c r="L185" s="142">
        <f>B185*IBGE_2!L$185/100</f>
        <v>33.512999999999998</v>
      </c>
      <c r="M185" s="142">
        <f>B185*IBGE_2!M$185/100</f>
        <v>1.4470000000000001</v>
      </c>
      <c r="N185" s="142">
        <f>B185*IBGE_2!N$185/100</f>
        <v>18.338999999999999</v>
      </c>
      <c r="O185" s="142">
        <f>B185*IBGE_2!O$185/100</f>
        <v>16.773</v>
      </c>
      <c r="P185" s="142">
        <f>B185*IBGE_2!P$185/100</f>
        <v>0.31</v>
      </c>
      <c r="Q185" s="142">
        <f>B185*IBGE_2!Q$185/100</f>
        <v>108.94799999999999</v>
      </c>
      <c r="R185" s="142">
        <f>B185*IBGE_2!R$185/100</f>
        <v>2.4750000000000001</v>
      </c>
      <c r="S185" s="142">
        <f>B185*IBGE_2!S$185/100</f>
        <v>413.19499999999999</v>
      </c>
      <c r="T185" s="142">
        <f>B185*IBGE_2!T$185/100</f>
        <v>127.61199999999999</v>
      </c>
      <c r="U185" s="142">
        <f>B185*IBGE_2!U$185/100</f>
        <v>9.4E-2</v>
      </c>
      <c r="V185" s="142">
        <f>B185*IBGE_2!V$185/100</f>
        <v>0.92500000000000004</v>
      </c>
      <c r="W185" s="142">
        <f>B185*IBGE_2!W$185/100</f>
        <v>19.178000000000001</v>
      </c>
      <c r="X185" s="142">
        <f>B185*IBGE_2!X$185/100</f>
        <v>0.42100000000000004</v>
      </c>
      <c r="Y185" s="142">
        <f>B185*IBGE_2!Y$185/100</f>
        <v>0.30299999999999999</v>
      </c>
      <c r="Z185" s="142">
        <f>B185*IBGE_2!Z$185/100</f>
        <v>0.1</v>
      </c>
      <c r="AA185" s="142">
        <f>B185*IBGE_2!AA$185/100</f>
        <v>3.33</v>
      </c>
      <c r="AB185" s="142">
        <f>B185*IBGE_2!AB$185/100</f>
        <v>1.1850000000000001</v>
      </c>
      <c r="AC185" s="142">
        <f>B185*IBGE_2!AC$185/100</f>
        <v>5.4640000000000013</v>
      </c>
      <c r="AD185" s="142">
        <f>B185*IBGE_2!AD$185/100</f>
        <v>0.28000000000000003</v>
      </c>
      <c r="AE185" s="142">
        <f>B185*IBGE_2!AE$185/100</f>
        <v>92.195999999999998</v>
      </c>
      <c r="AF185" s="142">
        <f>B185*IBGE_2!AF$185/100</f>
        <v>0.49099999999999999</v>
      </c>
      <c r="AG185" s="142">
        <f>B185*IBGE_2!AG$185/100</f>
        <v>1.212</v>
      </c>
      <c r="AH185" s="142">
        <f>B185*IBGE_2!AH$185/100</f>
        <v>6.8000000000000005E-2</v>
      </c>
      <c r="AI185" s="142">
        <f>B185*IBGE_2!AI$185/100</f>
        <v>100</v>
      </c>
      <c r="AJ185" s="142">
        <f>B185*IBGE_2!AJ$185/100</f>
        <v>30.805999999999997</v>
      </c>
      <c r="AK185" s="142">
        <f>B185*IBGE_2!AK$185/100</f>
        <v>20.353000000000002</v>
      </c>
      <c r="AL185" s="142">
        <f>B185*IBGE_2!AL$185/100</f>
        <v>0.36299999999999999</v>
      </c>
      <c r="AM185" s="142" t="s">
        <v>3047</v>
      </c>
      <c r="AN185" s="161"/>
    </row>
    <row r="186" spans="1:40">
      <c r="A186" s="143" t="s">
        <v>1245</v>
      </c>
      <c r="B186" s="141">
        <v>100</v>
      </c>
      <c r="C186" s="142">
        <f>B186*IBGE_2!C$186/100</f>
        <v>158</v>
      </c>
      <c r="D186" s="142">
        <f>B186*IBGE_2!D$186/100</f>
        <v>5.8</v>
      </c>
      <c r="E186" s="142">
        <f>B186*IBGE_2!E$186/100</f>
        <v>0.93</v>
      </c>
      <c r="F186" s="142">
        <f>B186*IBGE_2!F$186/100</f>
        <v>0.17599999999999999</v>
      </c>
      <c r="G186" s="142">
        <f>B186*IBGE_2!G$186/100</f>
        <v>0.13100000000000001</v>
      </c>
      <c r="H186" s="142">
        <f>B186*IBGE_2!H$186/100</f>
        <v>0.31900000000000001</v>
      </c>
      <c r="I186" s="142">
        <f>B186*IBGE_2!I$186/100</f>
        <v>0.29499999999999998</v>
      </c>
      <c r="J186" s="142">
        <f>B186*IBGE_2!J$186/100</f>
        <v>2.4E-2</v>
      </c>
      <c r="K186" s="142" t="s">
        <v>3047</v>
      </c>
      <c r="L186" s="142">
        <f>B186*IBGE_2!L$186/100</f>
        <v>30.86</v>
      </c>
      <c r="M186" s="142">
        <f>B186*IBGE_2!M$186/100</f>
        <v>1.8</v>
      </c>
      <c r="N186" s="142">
        <f>B186*IBGE_2!N$186/100</f>
        <v>7</v>
      </c>
      <c r="O186" s="142">
        <f>B186*IBGE_2!O$186/100</f>
        <v>18</v>
      </c>
      <c r="P186" s="142">
        <f>B186*IBGE_2!P$186/100</f>
        <v>0.32200000000000001</v>
      </c>
      <c r="Q186" s="142">
        <f>B186*IBGE_2!Q$186/100</f>
        <v>58</v>
      </c>
      <c r="R186" s="142">
        <f>B186*IBGE_2!R$186/100</f>
        <v>1.28</v>
      </c>
      <c r="S186" s="142">
        <f>B186*IBGE_2!S$186/100</f>
        <v>1</v>
      </c>
      <c r="T186" s="142">
        <f>B186*IBGE_2!T$186/100</f>
        <v>44</v>
      </c>
      <c r="U186" s="142">
        <f>B186*IBGE_2!U$186/100</f>
        <v>0.1</v>
      </c>
      <c r="V186" s="142">
        <f>B186*IBGE_2!V$186/100</f>
        <v>0.51</v>
      </c>
      <c r="W186" s="142" t="s">
        <v>3047</v>
      </c>
      <c r="X186" s="142">
        <f>B186*IBGE_2!X$186/100</f>
        <v>0.27400000000000002</v>
      </c>
      <c r="Y186" s="142">
        <f>B186*IBGE_2!Y$186/100</f>
        <v>0.13600000000000001</v>
      </c>
      <c r="Z186" s="142">
        <f>B186*IBGE_2!Z$186/100</f>
        <v>4.9000000000000002E-2</v>
      </c>
      <c r="AA186" s="142">
        <f>B186*IBGE_2!AA$186/100</f>
        <v>1.6890000000000001</v>
      </c>
      <c r="AB186" s="142" t="s">
        <v>3047</v>
      </c>
      <c r="AC186" s="142">
        <f>B186*IBGE_2!AC$186/100</f>
        <v>3.0720000000000001</v>
      </c>
      <c r="AD186" s="142" t="s">
        <v>3047</v>
      </c>
      <c r="AE186" s="142">
        <f>B186*IBGE_2!AE$186/100</f>
        <v>123.3</v>
      </c>
      <c r="AF186" s="142" t="s">
        <v>3047</v>
      </c>
      <c r="AG186" s="142">
        <f>B186*IBGE_2!AG$186/100</f>
        <v>0.06</v>
      </c>
      <c r="AH186" s="142" t="s">
        <v>3047</v>
      </c>
      <c r="AI186" s="142">
        <f>B186*IBGE_2!AI$186/100</f>
        <v>141</v>
      </c>
      <c r="AJ186" s="142">
        <f>B186*IBGE_2!AJ$186/100</f>
        <v>26.4</v>
      </c>
      <c r="AK186" s="142" t="s">
        <v>3047</v>
      </c>
      <c r="AL186" s="142">
        <f>B186*IBGE_2!AL$186/100</f>
        <v>0.56000000000000005</v>
      </c>
      <c r="AM186" s="142" t="s">
        <v>3047</v>
      </c>
      <c r="AN186" s="161"/>
    </row>
    <row r="187" spans="1:40">
      <c r="A187" s="143" t="s">
        <v>1246</v>
      </c>
      <c r="B187" s="141">
        <v>100</v>
      </c>
      <c r="C187" s="142">
        <f>B187*IBGE_2!C$187/100</f>
        <v>158</v>
      </c>
      <c r="D187" s="142">
        <f>B187*IBGE_2!D$187/100</f>
        <v>5.8</v>
      </c>
      <c r="E187" s="142">
        <f>B187*IBGE_2!E$187/100</f>
        <v>0.93</v>
      </c>
      <c r="F187" s="142">
        <f>B187*IBGE_2!F$187/100</f>
        <v>0.17599999999999999</v>
      </c>
      <c r="G187" s="142">
        <f>B187*IBGE_2!G$187/100</f>
        <v>0.13100000000000001</v>
      </c>
      <c r="H187" s="142">
        <f>B187*IBGE_2!H$187/100</f>
        <v>0.31900000000000001</v>
      </c>
      <c r="I187" s="142">
        <f>B187*IBGE_2!I$187/100</f>
        <v>0.29499999999999998</v>
      </c>
      <c r="J187" s="142">
        <f>B187*IBGE_2!J$187/100</f>
        <v>2.4E-2</v>
      </c>
      <c r="K187" s="142" t="s">
        <v>3047</v>
      </c>
      <c r="L187" s="142">
        <f>B187*IBGE_2!L$187/100</f>
        <v>30.86</v>
      </c>
      <c r="M187" s="142">
        <f>B187*IBGE_2!M$187/100</f>
        <v>1.8</v>
      </c>
      <c r="N187" s="142">
        <f>B187*IBGE_2!N$187/100</f>
        <v>7</v>
      </c>
      <c r="O187" s="142">
        <f>B187*IBGE_2!O$187/100</f>
        <v>18</v>
      </c>
      <c r="P187" s="142">
        <f>B187*IBGE_2!P$187/100</f>
        <v>0.32200000000000001</v>
      </c>
      <c r="Q187" s="142">
        <f>B187*IBGE_2!Q$187/100</f>
        <v>58</v>
      </c>
      <c r="R187" s="142">
        <f>B187*IBGE_2!R$187/100</f>
        <v>1.28</v>
      </c>
      <c r="S187" s="142">
        <f>B187*IBGE_2!S$187/100</f>
        <v>1</v>
      </c>
      <c r="T187" s="142">
        <f>B187*IBGE_2!T$187/100</f>
        <v>44</v>
      </c>
      <c r="U187" s="142">
        <f>B187*IBGE_2!U$187/100</f>
        <v>0.1</v>
      </c>
      <c r="V187" s="142">
        <f>B187*IBGE_2!V$187/100</f>
        <v>0.51</v>
      </c>
      <c r="W187" s="142" t="s">
        <v>3047</v>
      </c>
      <c r="X187" s="142">
        <f>B187*IBGE_2!X$187/100</f>
        <v>0.27400000000000002</v>
      </c>
      <c r="Y187" s="142">
        <f>B187*IBGE_2!Y$187/100</f>
        <v>0.13600000000000001</v>
      </c>
      <c r="Z187" s="142">
        <f>B187*IBGE_2!Z$187/100</f>
        <v>4.9000000000000002E-2</v>
      </c>
      <c r="AA187" s="142">
        <f>B187*IBGE_2!AA$187/100</f>
        <v>1.6890000000000001</v>
      </c>
      <c r="AB187" s="142" t="s">
        <v>3047</v>
      </c>
      <c r="AC187" s="142">
        <f>B187*IBGE_2!AC$187/100</f>
        <v>3.0720000000000001</v>
      </c>
      <c r="AD187" s="142" t="s">
        <v>3047</v>
      </c>
      <c r="AE187" s="142">
        <f>B187*IBGE_2!AE$187/100</f>
        <v>123.3</v>
      </c>
      <c r="AF187" s="142" t="s">
        <v>3047</v>
      </c>
      <c r="AG187" s="142">
        <f>B187*IBGE_2!AG$187/100</f>
        <v>0.06</v>
      </c>
      <c r="AH187" s="142" t="s">
        <v>3047</v>
      </c>
      <c r="AI187" s="142">
        <f>B187*IBGE_2!AI$187/100</f>
        <v>141</v>
      </c>
      <c r="AJ187" s="142">
        <f>B187*IBGE_2!AJ$187/100</f>
        <v>26.4</v>
      </c>
      <c r="AK187" s="142" t="s">
        <v>3047</v>
      </c>
      <c r="AL187" s="142">
        <f>B187*IBGE_2!AL$187/100</f>
        <v>0.56000000000000005</v>
      </c>
      <c r="AM187" s="142" t="s">
        <v>3047</v>
      </c>
      <c r="AN187" s="161"/>
    </row>
    <row r="188" spans="1:40">
      <c r="A188" s="143" t="s">
        <v>1247</v>
      </c>
      <c r="B188" s="141">
        <v>100</v>
      </c>
      <c r="C188" s="142">
        <f>B188*IBGE_2!C$188/100</f>
        <v>158</v>
      </c>
      <c r="D188" s="142">
        <f>B188*IBGE_2!D$188/100</f>
        <v>5.8</v>
      </c>
      <c r="E188" s="142">
        <f>B188*IBGE_2!E$188/100</f>
        <v>0.93</v>
      </c>
      <c r="F188" s="142">
        <f>B188*IBGE_2!F$188/100</f>
        <v>0.17599999999999999</v>
      </c>
      <c r="G188" s="142">
        <f>B188*IBGE_2!G$188/100</f>
        <v>0.13100000000000001</v>
      </c>
      <c r="H188" s="142">
        <f>B188*IBGE_2!H$188/100</f>
        <v>0.31900000000000001</v>
      </c>
      <c r="I188" s="142">
        <f>B188*IBGE_2!I$188/100</f>
        <v>0.29499999999999998</v>
      </c>
      <c r="J188" s="142">
        <f>B188*IBGE_2!J$188/100</f>
        <v>2.4E-2</v>
      </c>
      <c r="K188" s="142" t="s">
        <v>3047</v>
      </c>
      <c r="L188" s="142">
        <f>B188*IBGE_2!L$188/100</f>
        <v>30.86</v>
      </c>
      <c r="M188" s="142">
        <f>B188*IBGE_2!M$188/100</f>
        <v>1.8</v>
      </c>
      <c r="N188" s="142">
        <f>B188*IBGE_2!N$188/100</f>
        <v>7</v>
      </c>
      <c r="O188" s="142">
        <f>B188*IBGE_2!O$188/100</f>
        <v>18</v>
      </c>
      <c r="P188" s="142">
        <f>B188*IBGE_2!P$188/100</f>
        <v>0.32200000000000001</v>
      </c>
      <c r="Q188" s="142">
        <f>B188*IBGE_2!Q$188/100</f>
        <v>58</v>
      </c>
      <c r="R188" s="142">
        <f>B188*IBGE_2!R$188/100</f>
        <v>1.28</v>
      </c>
      <c r="S188" s="142">
        <f>B188*IBGE_2!S$188/100</f>
        <v>1</v>
      </c>
      <c r="T188" s="142">
        <f>B188*IBGE_2!T$188/100</f>
        <v>44</v>
      </c>
      <c r="U188" s="142">
        <f>B188*IBGE_2!U$188/100</f>
        <v>0.1</v>
      </c>
      <c r="V188" s="142">
        <f>B188*IBGE_2!V$188/100</f>
        <v>0.51</v>
      </c>
      <c r="W188" s="142" t="s">
        <v>3047</v>
      </c>
      <c r="X188" s="142">
        <f>B188*IBGE_2!X$188/100</f>
        <v>0.27400000000000002</v>
      </c>
      <c r="Y188" s="142">
        <f>B188*IBGE_2!Y$188/100</f>
        <v>0.13600000000000001</v>
      </c>
      <c r="Z188" s="142">
        <f>B188*IBGE_2!Z$188/100</f>
        <v>4.9000000000000002E-2</v>
      </c>
      <c r="AA188" s="142">
        <f>B188*IBGE_2!AA$188/100</f>
        <v>1.6890000000000001</v>
      </c>
      <c r="AB188" s="142" t="s">
        <v>3047</v>
      </c>
      <c r="AC188" s="142">
        <f>B188*IBGE_2!AC$188/100</f>
        <v>3.0720000000000001</v>
      </c>
      <c r="AD188" s="142" t="s">
        <v>3047</v>
      </c>
      <c r="AE188" s="142">
        <f>B188*IBGE_2!AE$188/100</f>
        <v>123.3</v>
      </c>
      <c r="AF188" s="142" t="s">
        <v>3047</v>
      </c>
      <c r="AG188" s="142">
        <f>B188*IBGE_2!AG$188/100</f>
        <v>0.06</v>
      </c>
      <c r="AH188" s="142" t="s">
        <v>3047</v>
      </c>
      <c r="AI188" s="142">
        <f>B188*IBGE_2!AI$188/100</f>
        <v>141</v>
      </c>
      <c r="AJ188" s="142">
        <f>B188*IBGE_2!AJ$188/100</f>
        <v>26.4</v>
      </c>
      <c r="AK188" s="142" t="s">
        <v>3047</v>
      </c>
      <c r="AL188" s="142">
        <f>B188*IBGE_2!AL$188/100</f>
        <v>0.56000000000000005</v>
      </c>
      <c r="AM188" s="142" t="s">
        <v>3047</v>
      </c>
      <c r="AN188" s="161"/>
    </row>
    <row r="189" spans="1:40">
      <c r="A189" s="143" t="s">
        <v>1248</v>
      </c>
      <c r="B189" s="141">
        <v>100</v>
      </c>
      <c r="C189" s="142">
        <f>B189*IBGE_2!C$189/100</f>
        <v>158</v>
      </c>
      <c r="D189" s="142">
        <f>B189*IBGE_2!D$189/100</f>
        <v>5.8</v>
      </c>
      <c r="E189" s="142">
        <f>B189*IBGE_2!E$189/100</f>
        <v>0.93</v>
      </c>
      <c r="F189" s="142">
        <f>B189*IBGE_2!F$189/100</f>
        <v>0.17599999999999999</v>
      </c>
      <c r="G189" s="142">
        <f>B189*IBGE_2!G$189/100</f>
        <v>0.13100000000000001</v>
      </c>
      <c r="H189" s="142">
        <f>B189*IBGE_2!H$189/100</f>
        <v>0.31900000000000001</v>
      </c>
      <c r="I189" s="142">
        <f>B189*IBGE_2!I$189/100</f>
        <v>0.29499999999999998</v>
      </c>
      <c r="J189" s="142">
        <f>B189*IBGE_2!J$189/100</f>
        <v>2.4E-2</v>
      </c>
      <c r="K189" s="142" t="s">
        <v>3047</v>
      </c>
      <c r="L189" s="142">
        <f>B189*IBGE_2!L$189/100</f>
        <v>30.86</v>
      </c>
      <c r="M189" s="142">
        <f>B189*IBGE_2!M$189/100</f>
        <v>1.8</v>
      </c>
      <c r="N189" s="142">
        <f>B189*IBGE_2!N$189/100</f>
        <v>7</v>
      </c>
      <c r="O189" s="142">
        <f>B189*IBGE_2!O$189/100</f>
        <v>18</v>
      </c>
      <c r="P189" s="142">
        <f>B189*IBGE_2!P$189/100</f>
        <v>0.32200000000000001</v>
      </c>
      <c r="Q189" s="142">
        <f>B189*IBGE_2!Q$189/100</f>
        <v>58</v>
      </c>
      <c r="R189" s="142">
        <f>B189*IBGE_2!R$189/100</f>
        <v>1.28</v>
      </c>
      <c r="S189" s="142">
        <f>B189*IBGE_2!S$189/100</f>
        <v>1</v>
      </c>
      <c r="T189" s="142">
        <f>B189*IBGE_2!T$189/100</f>
        <v>44</v>
      </c>
      <c r="U189" s="142">
        <f>B189*IBGE_2!U$189/100</f>
        <v>0.1</v>
      </c>
      <c r="V189" s="142">
        <f>B189*IBGE_2!V$189/100</f>
        <v>0.51</v>
      </c>
      <c r="W189" s="142" t="s">
        <v>3047</v>
      </c>
      <c r="X189" s="142">
        <f>B189*IBGE_2!X$189/100</f>
        <v>0.27400000000000002</v>
      </c>
      <c r="Y189" s="142">
        <f>B189*IBGE_2!Y$189/100</f>
        <v>0.13600000000000001</v>
      </c>
      <c r="Z189" s="142">
        <f>B189*IBGE_2!Z$189/100</f>
        <v>4.9000000000000002E-2</v>
      </c>
      <c r="AA189" s="142">
        <f>B189*IBGE_2!AA$189/100</f>
        <v>1.6890000000000001</v>
      </c>
      <c r="AB189" s="142" t="s">
        <v>3047</v>
      </c>
      <c r="AC189" s="142">
        <f>B189*IBGE_2!AC$189/100</f>
        <v>3.0720000000000001</v>
      </c>
      <c r="AD189" s="142" t="s">
        <v>3047</v>
      </c>
      <c r="AE189" s="142">
        <f>B189*IBGE_2!AE$189/100</f>
        <v>123.3</v>
      </c>
      <c r="AF189" s="142" t="s">
        <v>3047</v>
      </c>
      <c r="AG189" s="142">
        <f>B189*IBGE_2!AG$189/100</f>
        <v>0.06</v>
      </c>
      <c r="AH189" s="142" t="s">
        <v>3047</v>
      </c>
      <c r="AI189" s="142">
        <f>B189*IBGE_2!AI$189/100</f>
        <v>141</v>
      </c>
      <c r="AJ189" s="142">
        <f>B189*IBGE_2!AJ$189/100</f>
        <v>26.4</v>
      </c>
      <c r="AK189" s="142" t="s">
        <v>3047</v>
      </c>
      <c r="AL189" s="142">
        <f>B189*IBGE_2!AL$189/100</f>
        <v>0.56000000000000005</v>
      </c>
      <c r="AM189" s="142" t="s">
        <v>3047</v>
      </c>
      <c r="AN189" s="161"/>
    </row>
    <row r="190" spans="1:40">
      <c r="A190" s="143" t="s">
        <v>1249</v>
      </c>
      <c r="B190" s="141">
        <v>100</v>
      </c>
      <c r="C190" s="142">
        <f>B190*IBGE_2!C$190/100</f>
        <v>186.67700000000002</v>
      </c>
      <c r="D190" s="142">
        <f>B190*IBGE_2!D$190/100</f>
        <v>5.8</v>
      </c>
      <c r="E190" s="142">
        <f>B190*IBGE_2!E$190/100</f>
        <v>4.1740000000000004</v>
      </c>
      <c r="F190" s="142">
        <f>B190*IBGE_2!F$190/100</f>
        <v>0.68400000000000005</v>
      </c>
      <c r="G190" s="142">
        <f>B190*IBGE_2!G$190/100</f>
        <v>0.87</v>
      </c>
      <c r="H190" s="142">
        <f>B190*IBGE_2!H$190/100</f>
        <v>2.1920000000000002</v>
      </c>
      <c r="I190" s="142">
        <f>B190*IBGE_2!I$190/100</f>
        <v>1.9479999999999997</v>
      </c>
      <c r="J190" s="142">
        <f>B190*IBGE_2!J$190/100</f>
        <v>0.24399999999999999</v>
      </c>
      <c r="K190" s="142" t="s">
        <v>3047</v>
      </c>
      <c r="L190" s="142">
        <f>B190*IBGE_2!L$190/100</f>
        <v>30.86</v>
      </c>
      <c r="M190" s="142">
        <f>B190*IBGE_2!M$190/100</f>
        <v>1.8</v>
      </c>
      <c r="N190" s="142">
        <f>B190*IBGE_2!N$190/100</f>
        <v>7</v>
      </c>
      <c r="O190" s="142">
        <f>B190*IBGE_2!O$190/100</f>
        <v>18</v>
      </c>
      <c r="P190" s="142">
        <f>B190*IBGE_2!P$190/100</f>
        <v>0.32200000000000001</v>
      </c>
      <c r="Q190" s="142">
        <f>B190*IBGE_2!Q$190/100</f>
        <v>58</v>
      </c>
      <c r="R190" s="142">
        <f>B190*IBGE_2!R$190/100</f>
        <v>1.2819999999999998</v>
      </c>
      <c r="S190" s="142">
        <f>B190*IBGE_2!S$190/100</f>
        <v>1</v>
      </c>
      <c r="T190" s="142">
        <f>B190*IBGE_2!T$190/100</f>
        <v>44</v>
      </c>
      <c r="U190" s="142">
        <f>B190*IBGE_2!U$190/100</f>
        <v>0.1</v>
      </c>
      <c r="V190" s="142">
        <f>B190*IBGE_2!V$190/100</f>
        <v>0.51</v>
      </c>
      <c r="W190" s="142" t="s">
        <v>3047</v>
      </c>
      <c r="X190" s="142">
        <f>B190*IBGE_2!X$190/100</f>
        <v>0.27400000000000002</v>
      </c>
      <c r="Y190" s="142">
        <f>B190*IBGE_2!Y$190/100</f>
        <v>0.13600000000000001</v>
      </c>
      <c r="Z190" s="142">
        <f>B190*IBGE_2!Z$190/100</f>
        <v>4.9000000000000002E-2</v>
      </c>
      <c r="AA190" s="142">
        <f>B190*IBGE_2!AA$190/100</f>
        <v>1.6890000000000001</v>
      </c>
      <c r="AB190" s="142" t="s">
        <v>3047</v>
      </c>
      <c r="AC190" s="142">
        <f>B190*IBGE_2!AC$190/100</f>
        <v>3.0720000000000001</v>
      </c>
      <c r="AD190" s="142" t="s">
        <v>3047</v>
      </c>
      <c r="AE190" s="142">
        <f>B190*IBGE_2!AE$190/100</f>
        <v>123.3</v>
      </c>
      <c r="AF190" s="142" t="s">
        <v>3047</v>
      </c>
      <c r="AG190" s="142">
        <f>B190*IBGE_2!AG$190/100</f>
        <v>0.32500000000000001</v>
      </c>
      <c r="AH190" s="142">
        <f>B190*IBGE_2!AH$190/100</f>
        <v>1.7000000000000001E-2</v>
      </c>
      <c r="AI190" s="142">
        <f>B190*IBGE_2!AI$190/100</f>
        <v>141</v>
      </c>
      <c r="AJ190" s="142">
        <f>B190*IBGE_2!AJ$190/100</f>
        <v>27.886999999999997</v>
      </c>
      <c r="AK190" s="142" t="s">
        <v>3047</v>
      </c>
      <c r="AL190" s="142">
        <f>B190*IBGE_2!AL$190/100</f>
        <v>0.56000000000000005</v>
      </c>
      <c r="AM190" s="142" t="s">
        <v>3047</v>
      </c>
      <c r="AN190" s="161"/>
    </row>
    <row r="191" spans="1:40">
      <c r="A191" s="143" t="s">
        <v>1250</v>
      </c>
      <c r="B191" s="141">
        <v>100</v>
      </c>
      <c r="C191" s="142">
        <f>B191*IBGE_2!C$191/100</f>
        <v>186.67700000000002</v>
      </c>
      <c r="D191" s="142">
        <f>B191*IBGE_2!D$191/100</f>
        <v>5.8</v>
      </c>
      <c r="E191" s="142">
        <f>B191*IBGE_2!E$191/100</f>
        <v>4.1740000000000004</v>
      </c>
      <c r="F191" s="142">
        <f>B191*IBGE_2!F$191/100</f>
        <v>0.68400000000000005</v>
      </c>
      <c r="G191" s="142">
        <f>B191*IBGE_2!G$191/100</f>
        <v>0.87</v>
      </c>
      <c r="H191" s="142">
        <f>B191*IBGE_2!H$191/100</f>
        <v>2.1920000000000002</v>
      </c>
      <c r="I191" s="142">
        <f>B191*IBGE_2!I$191/100</f>
        <v>1.9479999999999997</v>
      </c>
      <c r="J191" s="142">
        <f>B191*IBGE_2!J$191/100</f>
        <v>0.24399999999999999</v>
      </c>
      <c r="K191" s="142" t="s">
        <v>3047</v>
      </c>
      <c r="L191" s="142">
        <f>B191*IBGE_2!L$191/100</f>
        <v>30.86</v>
      </c>
      <c r="M191" s="142">
        <f>B191*IBGE_2!M$191/100</f>
        <v>1.8</v>
      </c>
      <c r="N191" s="142">
        <f>B191*IBGE_2!N$191/100</f>
        <v>7</v>
      </c>
      <c r="O191" s="142">
        <f>B191*IBGE_2!O$191/100</f>
        <v>18</v>
      </c>
      <c r="P191" s="142">
        <f>B191*IBGE_2!P$191/100</f>
        <v>0.32200000000000001</v>
      </c>
      <c r="Q191" s="142">
        <f>B191*IBGE_2!Q$191/100</f>
        <v>58</v>
      </c>
      <c r="R191" s="142">
        <f>B191*IBGE_2!R$191/100</f>
        <v>1.2819999999999998</v>
      </c>
      <c r="S191" s="142">
        <f>B191*IBGE_2!S$191/100</f>
        <v>1</v>
      </c>
      <c r="T191" s="142">
        <f>B191*IBGE_2!T$191/100</f>
        <v>44</v>
      </c>
      <c r="U191" s="142">
        <f>B191*IBGE_2!U$191/100</f>
        <v>0.1</v>
      </c>
      <c r="V191" s="142">
        <f>B191*IBGE_2!V$191/100</f>
        <v>0.51</v>
      </c>
      <c r="W191" s="142" t="s">
        <v>3047</v>
      </c>
      <c r="X191" s="142">
        <f>B191*IBGE_2!X$191/100</f>
        <v>0.27400000000000002</v>
      </c>
      <c r="Y191" s="142">
        <f>B191*IBGE_2!Y$191/100</f>
        <v>0.13600000000000001</v>
      </c>
      <c r="Z191" s="142">
        <f>B191*IBGE_2!Z$191/100</f>
        <v>4.9000000000000002E-2</v>
      </c>
      <c r="AA191" s="142">
        <f>B191*IBGE_2!AA$191/100</f>
        <v>1.6890000000000001</v>
      </c>
      <c r="AB191" s="142" t="s">
        <v>3047</v>
      </c>
      <c r="AC191" s="142">
        <f>B191*IBGE_2!AC$191/100</f>
        <v>3.0720000000000001</v>
      </c>
      <c r="AD191" s="142" t="s">
        <v>3047</v>
      </c>
      <c r="AE191" s="142">
        <f>B191*IBGE_2!AE$191/100</f>
        <v>123.3</v>
      </c>
      <c r="AF191" s="142" t="s">
        <v>3047</v>
      </c>
      <c r="AG191" s="142">
        <f>B191*IBGE_2!AG$191/100</f>
        <v>0.32500000000000001</v>
      </c>
      <c r="AH191" s="142">
        <f>B191*IBGE_2!AH$191/100</f>
        <v>1.7000000000000001E-2</v>
      </c>
      <c r="AI191" s="142">
        <f>B191*IBGE_2!AI$191/100</f>
        <v>141</v>
      </c>
      <c r="AJ191" s="142">
        <f>B191*IBGE_2!AJ$191/100</f>
        <v>27.886999999999997</v>
      </c>
      <c r="AK191" s="142" t="s">
        <v>3047</v>
      </c>
      <c r="AL191" s="142">
        <f>B191*IBGE_2!AL$191/100</f>
        <v>0.56000000000000005</v>
      </c>
      <c r="AM191" s="142" t="s">
        <v>3047</v>
      </c>
      <c r="AN191" s="161"/>
    </row>
    <row r="192" spans="1:40">
      <c r="A192" s="143" t="s">
        <v>1251</v>
      </c>
      <c r="B192" s="141">
        <v>100</v>
      </c>
      <c r="C192" s="142">
        <f>B192*IBGE_2!C$192/100</f>
        <v>186.67700000000002</v>
      </c>
      <c r="D192" s="142">
        <f>B192*IBGE_2!D$192/100</f>
        <v>5.8</v>
      </c>
      <c r="E192" s="142">
        <f>B192*IBGE_2!E$192/100</f>
        <v>4.1740000000000004</v>
      </c>
      <c r="F192" s="142">
        <f>B192*IBGE_2!F$192/100</f>
        <v>0.68400000000000005</v>
      </c>
      <c r="G192" s="142">
        <f>B192*IBGE_2!G$192/100</f>
        <v>0.87</v>
      </c>
      <c r="H192" s="142">
        <f>B192*IBGE_2!H$192/100</f>
        <v>2.1920000000000002</v>
      </c>
      <c r="I192" s="142">
        <f>B192*IBGE_2!I$192/100</f>
        <v>1.9479999999999997</v>
      </c>
      <c r="J192" s="142">
        <f>B192*IBGE_2!J$192/100</f>
        <v>0.24399999999999999</v>
      </c>
      <c r="K192" s="142" t="s">
        <v>3047</v>
      </c>
      <c r="L192" s="142">
        <f>B192*IBGE_2!L$192/100</f>
        <v>30.86</v>
      </c>
      <c r="M192" s="142">
        <f>B192*IBGE_2!M$192/100</f>
        <v>1.8</v>
      </c>
      <c r="N192" s="142">
        <f>B192*IBGE_2!N$192/100</f>
        <v>7</v>
      </c>
      <c r="O192" s="142">
        <f>B192*IBGE_2!O$192/100</f>
        <v>18</v>
      </c>
      <c r="P192" s="142">
        <f>B192*IBGE_2!P$192/100</f>
        <v>0.32200000000000001</v>
      </c>
      <c r="Q192" s="142">
        <f>B192*IBGE_2!Q$192/100</f>
        <v>58</v>
      </c>
      <c r="R192" s="142">
        <f>B192*IBGE_2!R$192/100</f>
        <v>1.2819999999999998</v>
      </c>
      <c r="S192" s="142">
        <f>B192*IBGE_2!S$192/100</f>
        <v>1</v>
      </c>
      <c r="T192" s="142">
        <f>B192*IBGE_2!T$192/100</f>
        <v>44</v>
      </c>
      <c r="U192" s="142">
        <f>B192*IBGE_2!U$192/100</f>
        <v>0.1</v>
      </c>
      <c r="V192" s="142">
        <f>B192*IBGE_2!V$192/100</f>
        <v>0.51</v>
      </c>
      <c r="W192" s="142" t="s">
        <v>3047</v>
      </c>
      <c r="X192" s="142">
        <f>B192*IBGE_2!X$192/100</f>
        <v>0.27400000000000002</v>
      </c>
      <c r="Y192" s="142">
        <f>B192*IBGE_2!Y$192/100</f>
        <v>0.13600000000000001</v>
      </c>
      <c r="Z192" s="142">
        <f>B192*IBGE_2!Z$192/100</f>
        <v>4.9000000000000002E-2</v>
      </c>
      <c r="AA192" s="142">
        <f>B192*IBGE_2!AA$192/100</f>
        <v>1.6890000000000001</v>
      </c>
      <c r="AB192" s="142" t="s">
        <v>3047</v>
      </c>
      <c r="AC192" s="142">
        <f>B192*IBGE_2!AC$192/100</f>
        <v>3.0720000000000001</v>
      </c>
      <c r="AD192" s="142" t="s">
        <v>3047</v>
      </c>
      <c r="AE192" s="142">
        <f>B192*IBGE_2!AE$192/100</f>
        <v>123.3</v>
      </c>
      <c r="AF192" s="142" t="s">
        <v>3047</v>
      </c>
      <c r="AG192" s="142">
        <f>B192*IBGE_2!AG$192/100</f>
        <v>0.32500000000000001</v>
      </c>
      <c r="AH192" s="142">
        <f>B192*IBGE_2!AH$192/100</f>
        <v>1.7000000000000001E-2</v>
      </c>
      <c r="AI192" s="142">
        <f>B192*IBGE_2!AI$192/100</f>
        <v>141</v>
      </c>
      <c r="AJ192" s="142">
        <f>B192*IBGE_2!AJ$192/100</f>
        <v>27.886999999999997</v>
      </c>
      <c r="AK192" s="142" t="s">
        <v>3047</v>
      </c>
      <c r="AL192" s="142">
        <f>B192*IBGE_2!AL$192/100</f>
        <v>0.56000000000000005</v>
      </c>
      <c r="AM192" s="142" t="s">
        <v>3047</v>
      </c>
      <c r="AN192" s="161"/>
    </row>
    <row r="193" spans="1:40">
      <c r="A193" s="143" t="s">
        <v>1252</v>
      </c>
      <c r="B193" s="141">
        <v>100</v>
      </c>
      <c r="C193" s="142">
        <f>B193*IBGE_2!C$193/100</f>
        <v>103.72499999999999</v>
      </c>
      <c r="D193" s="142">
        <f>B193*IBGE_2!D$193/100</f>
        <v>3.4990000000000006</v>
      </c>
      <c r="E193" s="142">
        <f>B193*IBGE_2!E$193/100</f>
        <v>1.921</v>
      </c>
      <c r="F193" s="142">
        <f>B193*IBGE_2!F$193/100</f>
        <v>0.97099999999999997</v>
      </c>
      <c r="G193" s="142">
        <f>B193*IBGE_2!G$193/100</f>
        <v>0.433</v>
      </c>
      <c r="H193" s="142">
        <f>B193*IBGE_2!H$193/100</f>
        <v>0.245</v>
      </c>
      <c r="I193" s="142">
        <f>B193*IBGE_2!I$193/100</f>
        <v>0.22400000000000003</v>
      </c>
      <c r="J193" s="142">
        <f>B193*IBGE_2!J$193/100</f>
        <v>2.1000000000000001E-2</v>
      </c>
      <c r="K193" s="142">
        <f>B193*IBGE_2!K$193/100</f>
        <v>3.6440000000000001</v>
      </c>
      <c r="L193" s="142">
        <f>B193*IBGE_2!L$193/100</f>
        <v>18.27</v>
      </c>
      <c r="M193" s="142">
        <f>B193*IBGE_2!M$193/100</f>
        <v>1.4630000000000001</v>
      </c>
      <c r="N193" s="142">
        <f>B193*IBGE_2!N$193/100</f>
        <v>12.083</v>
      </c>
      <c r="O193" s="142">
        <f>B193*IBGE_2!O$193/100</f>
        <v>15.052</v>
      </c>
      <c r="P193" s="142">
        <f>B193*IBGE_2!P$193/100</f>
        <v>0.22500000000000001</v>
      </c>
      <c r="Q193" s="142">
        <f>B193*IBGE_2!Q$193/100</f>
        <v>43.923000000000002</v>
      </c>
      <c r="R193" s="142">
        <f>B193*IBGE_2!R$193/100</f>
        <v>1.0369999999999999</v>
      </c>
      <c r="S193" s="142">
        <f>B193*IBGE_2!S$193/100</f>
        <v>225.72399999999999</v>
      </c>
      <c r="T193" s="142">
        <f>B193*IBGE_2!T$193/100</f>
        <v>145.67400000000001</v>
      </c>
      <c r="U193" s="142">
        <f>B193*IBGE_2!U$193/100</f>
        <v>9.5000000000000001E-2</v>
      </c>
      <c r="V193" s="142">
        <f>B193*IBGE_2!V$193/100</f>
        <v>0.34599999999999992</v>
      </c>
      <c r="W193" s="142">
        <f>B193*IBGE_2!W$193/100</f>
        <v>11.374000000000001</v>
      </c>
      <c r="X193" s="142">
        <f>B193*IBGE_2!X$193/100</f>
        <v>0.156</v>
      </c>
      <c r="Y193" s="142">
        <f>B193*IBGE_2!Y$193/100</f>
        <v>8.6999999999999994E-2</v>
      </c>
      <c r="Z193" s="142">
        <f>B193*IBGE_2!Z$193/100</f>
        <v>0.08</v>
      </c>
      <c r="AA193" s="142">
        <f>B193*IBGE_2!AA$193/100</f>
        <v>1.1599999999999999</v>
      </c>
      <c r="AB193" s="142">
        <f>B193*IBGE_2!AB$193/100</f>
        <v>10.673999999999999</v>
      </c>
      <c r="AC193" s="142">
        <f>B193*IBGE_2!AC$193/100</f>
        <v>1.9470000000000001</v>
      </c>
      <c r="AD193" s="142">
        <f>B193*IBGE_2!AD$193/100</f>
        <v>3.0000000000000001E-3</v>
      </c>
      <c r="AE193" s="142">
        <f>B193*IBGE_2!AE$193/100</f>
        <v>68.659000000000006</v>
      </c>
      <c r="AF193" s="142">
        <f>B193*IBGE_2!AF$193/100</f>
        <v>2.4E-2</v>
      </c>
      <c r="AG193" s="142">
        <f>B193*IBGE_2!AG$193/100</f>
        <v>0.433</v>
      </c>
      <c r="AH193" s="142">
        <f>B193*IBGE_2!AH$193/100</f>
        <v>5.6000000000000008E-2</v>
      </c>
      <c r="AI193" s="142">
        <f>B193*IBGE_2!AI$193/100</f>
        <v>113</v>
      </c>
      <c r="AJ193" s="142">
        <f>B193*IBGE_2!AJ$193/100</f>
        <v>13.502000000000001</v>
      </c>
      <c r="AK193" s="142">
        <f>B193*IBGE_2!AK$193/100</f>
        <v>21.875999999999998</v>
      </c>
      <c r="AL193" s="142">
        <f>B193*IBGE_2!AL$193/100</f>
        <v>1.9390000000000001</v>
      </c>
      <c r="AM193" s="142" t="s">
        <v>3047</v>
      </c>
      <c r="AN193" s="161"/>
    </row>
    <row r="194" spans="1:40">
      <c r="A194" s="143" t="s">
        <v>1253</v>
      </c>
      <c r="B194" s="141">
        <v>100</v>
      </c>
      <c r="C194" s="142">
        <f>B194*IBGE_2!C$194/100</f>
        <v>158.99</v>
      </c>
      <c r="D194" s="142">
        <f>B194*IBGE_2!D$194/100</f>
        <v>5.4189999999999996</v>
      </c>
      <c r="E194" s="142">
        <f>B194*IBGE_2!E$194/100</f>
        <v>3.2330000000000001</v>
      </c>
      <c r="F194" s="142">
        <f>B194*IBGE_2!F$194/100</f>
        <v>1.673</v>
      </c>
      <c r="G194" s="142">
        <f>B194*IBGE_2!G$194/100</f>
        <v>0.74199999999999999</v>
      </c>
      <c r="H194" s="142">
        <f>B194*IBGE_2!H$194/100</f>
        <v>0.36799999999999999</v>
      </c>
      <c r="I194" s="142">
        <f>B194*IBGE_2!I$194/100</f>
        <v>0.32600000000000001</v>
      </c>
      <c r="J194" s="142">
        <f>B194*IBGE_2!J$194/100</f>
        <v>4.1000000000000009E-2</v>
      </c>
      <c r="K194" s="142">
        <f>B194*IBGE_2!K$194/100</f>
        <v>6.8330000000000011</v>
      </c>
      <c r="L194" s="142">
        <f>B194*IBGE_2!L$194/100</f>
        <v>26.539000000000001</v>
      </c>
      <c r="M194" s="142">
        <f>B194*IBGE_2!M$194/100</f>
        <v>1.4830000000000001</v>
      </c>
      <c r="N194" s="142">
        <f>B194*IBGE_2!N$194/100</f>
        <v>28.478999999999999</v>
      </c>
      <c r="O194" s="142">
        <f>B194*IBGE_2!O$194/100</f>
        <v>16.712</v>
      </c>
      <c r="P194" s="142">
        <f>B194*IBGE_2!P$194/100</f>
        <v>0.26800000000000002</v>
      </c>
      <c r="Q194" s="142">
        <f>B194*IBGE_2!Q$194/100</f>
        <v>66.093000000000004</v>
      </c>
      <c r="R194" s="142">
        <f>B194*IBGE_2!R$194/100</f>
        <v>1.0940000000000001</v>
      </c>
      <c r="S194" s="142">
        <f>B194*IBGE_2!S$194/100</f>
        <v>21.716999999999999</v>
      </c>
      <c r="T194" s="142">
        <f>B194*IBGE_2!T$194/100</f>
        <v>65.254000000000005</v>
      </c>
      <c r="U194" s="142">
        <f>B194*IBGE_2!U$194/100</f>
        <v>8.4000000000000005E-2</v>
      </c>
      <c r="V194" s="142">
        <f>B194*IBGE_2!V$194/100</f>
        <v>0.49700000000000005</v>
      </c>
      <c r="W194" s="142">
        <f>B194*IBGE_2!W$194/100</f>
        <v>20.266999999999999</v>
      </c>
      <c r="X194" s="142">
        <f>B194*IBGE_2!X$194/100</f>
        <v>0.23799999999999996</v>
      </c>
      <c r="Y194" s="142">
        <f>B194*IBGE_2!Y$194/100</f>
        <v>0.152</v>
      </c>
      <c r="Z194" s="142">
        <f>B194*IBGE_2!Z$194/100</f>
        <v>4.7E-2</v>
      </c>
      <c r="AA194" s="142">
        <f>B194*IBGE_2!AA$194/100</f>
        <v>1.4470000000000001</v>
      </c>
      <c r="AB194" s="142">
        <f>B194*IBGE_2!AB$194/100</f>
        <v>4.0000000000000001E-3</v>
      </c>
      <c r="AC194" s="142">
        <f>B194*IBGE_2!AC$194/100</f>
        <v>2.8290000000000002</v>
      </c>
      <c r="AD194" s="142">
        <f>B194*IBGE_2!AD$194/100</f>
        <v>0.09</v>
      </c>
      <c r="AE194" s="142">
        <f>B194*IBGE_2!AE$194/100</f>
        <v>102.236</v>
      </c>
      <c r="AF194" s="142">
        <f>B194*IBGE_2!AF$194/100</f>
        <v>0.22699999999999998</v>
      </c>
      <c r="AG194" s="142">
        <f>B194*IBGE_2!AG$194/100</f>
        <v>0.113</v>
      </c>
      <c r="AH194" s="142">
        <f>B194*IBGE_2!AH$194/100</f>
        <v>9.7000000000000017E-2</v>
      </c>
      <c r="AI194" s="142">
        <f>B194*IBGE_2!AI$194/100</f>
        <v>160</v>
      </c>
      <c r="AJ194" s="142">
        <f>B194*IBGE_2!AJ$194/100</f>
        <v>22.289000000000001</v>
      </c>
      <c r="AK194" s="142">
        <f>B194*IBGE_2!AK$194/100</f>
        <v>21.081</v>
      </c>
      <c r="AL194" s="142">
        <f>B194*IBGE_2!AL$194/100</f>
        <v>1.4810000000000003</v>
      </c>
      <c r="AM194" s="142" t="s">
        <v>3047</v>
      </c>
      <c r="AN194" s="161"/>
    </row>
    <row r="195" spans="1:40">
      <c r="A195" s="143" t="s">
        <v>1254</v>
      </c>
      <c r="B195" s="141">
        <v>100</v>
      </c>
      <c r="C195" s="142">
        <f>B195*IBGE_2!C$195/100</f>
        <v>186.67700000000002</v>
      </c>
      <c r="D195" s="142">
        <f>B195*IBGE_2!D$195/100</f>
        <v>5.8</v>
      </c>
      <c r="E195" s="142">
        <f>B195*IBGE_2!E$195/100</f>
        <v>4.1740000000000004</v>
      </c>
      <c r="F195" s="142">
        <f>B195*IBGE_2!F$195/100</f>
        <v>0.68400000000000005</v>
      </c>
      <c r="G195" s="142">
        <f>B195*IBGE_2!G$195/100</f>
        <v>0.87</v>
      </c>
      <c r="H195" s="142">
        <f>B195*IBGE_2!H$195/100</f>
        <v>2.1920000000000002</v>
      </c>
      <c r="I195" s="142">
        <f>B195*IBGE_2!I$195/100</f>
        <v>1.9479999999999997</v>
      </c>
      <c r="J195" s="142">
        <f>B195*IBGE_2!J$195/100</f>
        <v>0.24399999999999999</v>
      </c>
      <c r="K195" s="142" t="s">
        <v>3047</v>
      </c>
      <c r="L195" s="142">
        <f>B195*IBGE_2!L$195/100</f>
        <v>30.86</v>
      </c>
      <c r="M195" s="142">
        <f>B195*IBGE_2!M$195/100</f>
        <v>1.8</v>
      </c>
      <c r="N195" s="142">
        <f>B195*IBGE_2!N$195/100</f>
        <v>7</v>
      </c>
      <c r="O195" s="142">
        <f>B195*IBGE_2!O$195/100</f>
        <v>18</v>
      </c>
      <c r="P195" s="142">
        <f>B195*IBGE_2!P$195/100</f>
        <v>0.32200000000000001</v>
      </c>
      <c r="Q195" s="142">
        <f>B195*IBGE_2!Q$195/100</f>
        <v>58</v>
      </c>
      <c r="R195" s="142">
        <f>B195*IBGE_2!R$195/100</f>
        <v>1.2819999999999998</v>
      </c>
      <c r="S195" s="142">
        <f>B195*IBGE_2!S$195/100</f>
        <v>1</v>
      </c>
      <c r="T195" s="142">
        <f>B195*IBGE_2!T$195/100</f>
        <v>44</v>
      </c>
      <c r="U195" s="142">
        <f>B195*IBGE_2!U$195/100</f>
        <v>0.1</v>
      </c>
      <c r="V195" s="142">
        <f>B195*IBGE_2!V$195/100</f>
        <v>0.51</v>
      </c>
      <c r="W195" s="142" t="s">
        <v>3047</v>
      </c>
      <c r="X195" s="142">
        <f>B195*IBGE_2!X$195/100</f>
        <v>0.27400000000000002</v>
      </c>
      <c r="Y195" s="142">
        <f>B195*IBGE_2!Y$195/100</f>
        <v>0.13600000000000001</v>
      </c>
      <c r="Z195" s="142">
        <f>B195*IBGE_2!Z$195/100</f>
        <v>4.9000000000000002E-2</v>
      </c>
      <c r="AA195" s="142">
        <f>B195*IBGE_2!AA$195/100</f>
        <v>1.6890000000000001</v>
      </c>
      <c r="AB195" s="142" t="s">
        <v>3047</v>
      </c>
      <c r="AC195" s="142">
        <f>B195*IBGE_2!AC$195/100</f>
        <v>3.0720000000000001</v>
      </c>
      <c r="AD195" s="142" t="s">
        <v>3047</v>
      </c>
      <c r="AE195" s="142">
        <f>B195*IBGE_2!AE$195/100</f>
        <v>123.3</v>
      </c>
      <c r="AF195" s="142" t="s">
        <v>3047</v>
      </c>
      <c r="AG195" s="142">
        <f>B195*IBGE_2!AG$195/100</f>
        <v>0.32500000000000001</v>
      </c>
      <c r="AH195" s="142">
        <f>B195*IBGE_2!AH$195/100</f>
        <v>1.7000000000000001E-2</v>
      </c>
      <c r="AI195" s="142">
        <f>B195*IBGE_2!AI$195/100</f>
        <v>141</v>
      </c>
      <c r="AJ195" s="142">
        <f>B195*IBGE_2!AJ$195/100</f>
        <v>27.886999999999997</v>
      </c>
      <c r="AK195" s="142" t="s">
        <v>3047</v>
      </c>
      <c r="AL195" s="142">
        <f>B195*IBGE_2!AL$195/100</f>
        <v>0.56000000000000005</v>
      </c>
      <c r="AM195" s="142" t="s">
        <v>3047</v>
      </c>
      <c r="AN195" s="161"/>
    </row>
    <row r="196" spans="1:40">
      <c r="A196" s="143" t="s">
        <v>1255</v>
      </c>
      <c r="B196" s="141">
        <v>100</v>
      </c>
      <c r="C196" s="142">
        <f>B196*IBGE_2!C$196/100</f>
        <v>182.22</v>
      </c>
      <c r="D196" s="142">
        <f>B196*IBGE_2!D$196/100</f>
        <v>5.8289999999999997</v>
      </c>
      <c r="E196" s="142">
        <f>B196*IBGE_2!E$196/100</f>
        <v>3.67</v>
      </c>
      <c r="F196" s="142">
        <f>B196*IBGE_2!F$196/100</f>
        <v>1.911</v>
      </c>
      <c r="G196" s="142">
        <f>B196*IBGE_2!G$196/100</f>
        <v>0.84099999999999997</v>
      </c>
      <c r="H196" s="142">
        <f>B196*IBGE_2!H$196/100</f>
        <v>0.42199999999999993</v>
      </c>
      <c r="I196" s="142">
        <f>B196*IBGE_2!I$196/100</f>
        <v>0.38700000000000001</v>
      </c>
      <c r="J196" s="142">
        <f>B196*IBGE_2!J$196/100</f>
        <v>3.5000000000000003E-2</v>
      </c>
      <c r="K196" s="142">
        <f>B196*IBGE_2!K$196/100</f>
        <v>7.2629999999999999</v>
      </c>
      <c r="L196" s="142">
        <f>B196*IBGE_2!L$196/100</f>
        <v>30.861999999999998</v>
      </c>
      <c r="M196" s="142">
        <f>B196*IBGE_2!M$196/100</f>
        <v>1.8</v>
      </c>
      <c r="N196" s="142">
        <f>B196*IBGE_2!N$196/100</f>
        <v>7.8109999999999999</v>
      </c>
      <c r="O196" s="142">
        <f>B196*IBGE_2!O$196/100</f>
        <v>18.068000000000001</v>
      </c>
      <c r="P196" s="142">
        <f>B196*IBGE_2!P$196/100</f>
        <v>0.32200000000000001</v>
      </c>
      <c r="Q196" s="142">
        <f>B196*IBGE_2!Q$196/100</f>
        <v>58.811000000000007</v>
      </c>
      <c r="R196" s="142">
        <f>B196*IBGE_2!R$196/100</f>
        <v>1.2809999999999999</v>
      </c>
      <c r="S196" s="142">
        <f>B196*IBGE_2!S$196/100</f>
        <v>20.457000000000001</v>
      </c>
      <c r="T196" s="142">
        <f>B196*IBGE_2!T$196/100</f>
        <v>44.811000000000007</v>
      </c>
      <c r="U196" s="142">
        <f>B196*IBGE_2!U$196/100</f>
        <v>0.1</v>
      </c>
      <c r="V196" s="142">
        <f>B196*IBGE_2!V$196/100</f>
        <v>0.51300000000000001</v>
      </c>
      <c r="W196" s="142">
        <f>B196*IBGE_2!W$196/100</f>
        <v>22.666</v>
      </c>
      <c r="X196" s="142">
        <f>B196*IBGE_2!X$196/100</f>
        <v>0.27400000000000002</v>
      </c>
      <c r="Y196" s="142">
        <f>B196*IBGE_2!Y$196/100</f>
        <v>0.13700000000000001</v>
      </c>
      <c r="Z196" s="142">
        <f>B196*IBGE_2!Z$196/100</f>
        <v>4.9000000000000002E-2</v>
      </c>
      <c r="AA196" s="142">
        <f>B196*IBGE_2!AA$196/100</f>
        <v>1.69</v>
      </c>
      <c r="AB196" s="142" t="s">
        <v>3047</v>
      </c>
      <c r="AC196" s="142">
        <f>B196*IBGE_2!AC$196/100</f>
        <v>3.0810000000000004</v>
      </c>
      <c r="AD196" s="142">
        <f>B196*IBGE_2!AD$196/100</f>
        <v>6.0000000000000001E-3</v>
      </c>
      <c r="AE196" s="142">
        <f>B196*IBGE_2!AE$196/100</f>
        <v>123.40100000000001</v>
      </c>
      <c r="AF196" s="142">
        <f>B196*IBGE_2!AF$196/100</f>
        <v>4.7E-2</v>
      </c>
      <c r="AG196" s="142">
        <f>B196*IBGE_2!AG$196/100</f>
        <v>0.13800000000000001</v>
      </c>
      <c r="AH196" s="142">
        <f>B196*IBGE_2!AH$196/100</f>
        <v>0.111</v>
      </c>
      <c r="AI196" s="142">
        <f>B196*IBGE_2!AI$196/100</f>
        <v>141</v>
      </c>
      <c r="AJ196" s="142">
        <f>B196*IBGE_2!AJ$196/100</f>
        <v>26.434000000000001</v>
      </c>
      <c r="AK196" s="142">
        <f>B196*IBGE_2!AK$196/100</f>
        <v>23.111000000000001</v>
      </c>
      <c r="AL196" s="142">
        <f>B196*IBGE_2!AL$196/100</f>
        <v>0.56299999999999994</v>
      </c>
      <c r="AM196" s="142" t="s">
        <v>3047</v>
      </c>
      <c r="AN196" s="161"/>
    </row>
    <row r="197" spans="1:40">
      <c r="A197" s="143" t="s">
        <v>1256</v>
      </c>
      <c r="B197" s="141">
        <v>100</v>
      </c>
      <c r="C197" s="142">
        <f>B197*IBGE_2!C$197/100</f>
        <v>158</v>
      </c>
      <c r="D197" s="142">
        <f>B197*IBGE_2!D$197/100</f>
        <v>5.8</v>
      </c>
      <c r="E197" s="142">
        <f>B197*IBGE_2!E$197/100</f>
        <v>0.93</v>
      </c>
      <c r="F197" s="142">
        <f>B197*IBGE_2!F$197/100</f>
        <v>0.17599999999999999</v>
      </c>
      <c r="G197" s="142">
        <f>B197*IBGE_2!G$197/100</f>
        <v>0.13100000000000001</v>
      </c>
      <c r="H197" s="142">
        <f>B197*IBGE_2!H$197/100</f>
        <v>0.31900000000000001</v>
      </c>
      <c r="I197" s="142">
        <f>B197*IBGE_2!I$197/100</f>
        <v>0.29499999999999998</v>
      </c>
      <c r="J197" s="142">
        <f>B197*IBGE_2!J$197/100</f>
        <v>2.4E-2</v>
      </c>
      <c r="K197" s="142" t="s">
        <v>3047</v>
      </c>
      <c r="L197" s="142">
        <f>B197*IBGE_2!L$197/100</f>
        <v>30.86</v>
      </c>
      <c r="M197" s="142">
        <f>B197*IBGE_2!M$197/100</f>
        <v>1.8</v>
      </c>
      <c r="N197" s="142">
        <f>B197*IBGE_2!N$197/100</f>
        <v>7</v>
      </c>
      <c r="O197" s="142">
        <f>B197*IBGE_2!O$197/100</f>
        <v>18</v>
      </c>
      <c r="P197" s="142">
        <f>B197*IBGE_2!P$197/100</f>
        <v>0.32200000000000001</v>
      </c>
      <c r="Q197" s="142">
        <f>B197*IBGE_2!Q$197/100</f>
        <v>58</v>
      </c>
      <c r="R197" s="142">
        <f>B197*IBGE_2!R$197/100</f>
        <v>1.28</v>
      </c>
      <c r="S197" s="142">
        <f>B197*IBGE_2!S$197/100</f>
        <v>1</v>
      </c>
      <c r="T197" s="142">
        <f>B197*IBGE_2!T$197/100</f>
        <v>44</v>
      </c>
      <c r="U197" s="142">
        <f>B197*IBGE_2!U$197/100</f>
        <v>0.1</v>
      </c>
      <c r="V197" s="142">
        <f>B197*IBGE_2!V$197/100</f>
        <v>0.51</v>
      </c>
      <c r="W197" s="142" t="s">
        <v>3047</v>
      </c>
      <c r="X197" s="142">
        <f>B197*IBGE_2!X$197/100</f>
        <v>0.27400000000000002</v>
      </c>
      <c r="Y197" s="142">
        <f>B197*IBGE_2!Y$197/100</f>
        <v>0.13600000000000001</v>
      </c>
      <c r="Z197" s="142">
        <f>B197*IBGE_2!Z$197/100</f>
        <v>4.9000000000000002E-2</v>
      </c>
      <c r="AA197" s="142">
        <f>B197*IBGE_2!AA$197/100</f>
        <v>1.6890000000000001</v>
      </c>
      <c r="AB197" s="142" t="s">
        <v>3047</v>
      </c>
      <c r="AC197" s="142">
        <f>B197*IBGE_2!AC$197/100</f>
        <v>3.0720000000000001</v>
      </c>
      <c r="AD197" s="142" t="s">
        <v>3047</v>
      </c>
      <c r="AE197" s="142">
        <f>B197*IBGE_2!AE$197/100</f>
        <v>123.3</v>
      </c>
      <c r="AF197" s="142" t="s">
        <v>3047</v>
      </c>
      <c r="AG197" s="142">
        <f>B197*IBGE_2!AG$197/100</f>
        <v>0.06</v>
      </c>
      <c r="AH197" s="142" t="s">
        <v>3047</v>
      </c>
      <c r="AI197" s="142">
        <f>B197*IBGE_2!AI$197/100</f>
        <v>141</v>
      </c>
      <c r="AJ197" s="142">
        <f>B197*IBGE_2!AJ$197/100</f>
        <v>26.4</v>
      </c>
      <c r="AK197" s="142" t="s">
        <v>3047</v>
      </c>
      <c r="AL197" s="142">
        <f>B197*IBGE_2!AL$197/100</f>
        <v>0.56000000000000005</v>
      </c>
      <c r="AM197" s="142" t="s">
        <v>3047</v>
      </c>
      <c r="AN197" s="161"/>
    </row>
    <row r="198" spans="1:40">
      <c r="A198" s="143" t="s">
        <v>1257</v>
      </c>
      <c r="B198" s="141">
        <v>100</v>
      </c>
      <c r="C198" s="142">
        <f>B198*IBGE_2!C$198/100</f>
        <v>186.67700000000002</v>
      </c>
      <c r="D198" s="142">
        <f>B198*IBGE_2!D$198/100</f>
        <v>5.8</v>
      </c>
      <c r="E198" s="142">
        <f>B198*IBGE_2!E$198/100</f>
        <v>4.1740000000000004</v>
      </c>
      <c r="F198" s="142">
        <f>B198*IBGE_2!F$198/100</f>
        <v>0.68400000000000005</v>
      </c>
      <c r="G198" s="142">
        <f>B198*IBGE_2!G$198/100</f>
        <v>0.87</v>
      </c>
      <c r="H198" s="142">
        <f>B198*IBGE_2!H$198/100</f>
        <v>2.1920000000000002</v>
      </c>
      <c r="I198" s="142">
        <f>B198*IBGE_2!I$198/100</f>
        <v>1.9479999999999997</v>
      </c>
      <c r="J198" s="142">
        <f>B198*IBGE_2!J$198/100</f>
        <v>0.24399999999999999</v>
      </c>
      <c r="K198" s="142" t="s">
        <v>3047</v>
      </c>
      <c r="L198" s="142">
        <f>B198*IBGE_2!L$198/100</f>
        <v>30.86</v>
      </c>
      <c r="M198" s="142">
        <f>B198*IBGE_2!M$198/100</f>
        <v>1.8</v>
      </c>
      <c r="N198" s="142">
        <f>B198*IBGE_2!N$198/100</f>
        <v>7</v>
      </c>
      <c r="O198" s="142">
        <f>B198*IBGE_2!O$198/100</f>
        <v>18</v>
      </c>
      <c r="P198" s="142">
        <f>B198*IBGE_2!P$198/100</f>
        <v>0.32200000000000001</v>
      </c>
      <c r="Q198" s="142">
        <f>B198*IBGE_2!Q$198/100</f>
        <v>58</v>
      </c>
      <c r="R198" s="142">
        <f>B198*IBGE_2!R$198/100</f>
        <v>1.2819999999999998</v>
      </c>
      <c r="S198" s="142">
        <f>B198*IBGE_2!S$198/100</f>
        <v>1</v>
      </c>
      <c r="T198" s="142">
        <f>B198*IBGE_2!T$198/100</f>
        <v>44</v>
      </c>
      <c r="U198" s="142">
        <f>B198*IBGE_2!U$198/100</f>
        <v>0.1</v>
      </c>
      <c r="V198" s="142">
        <f>B198*IBGE_2!V$198/100</f>
        <v>0.51</v>
      </c>
      <c r="W198" s="142" t="s">
        <v>3047</v>
      </c>
      <c r="X198" s="142">
        <f>B198*IBGE_2!X$198/100</f>
        <v>0.27400000000000002</v>
      </c>
      <c r="Y198" s="142">
        <f>B198*IBGE_2!Y$198/100</f>
        <v>0.13600000000000001</v>
      </c>
      <c r="Z198" s="142">
        <f>B198*IBGE_2!Z$198/100</f>
        <v>4.9000000000000002E-2</v>
      </c>
      <c r="AA198" s="142">
        <f>B198*IBGE_2!AA$198/100</f>
        <v>1.6890000000000001</v>
      </c>
      <c r="AB198" s="142" t="s">
        <v>3047</v>
      </c>
      <c r="AC198" s="142">
        <f>B198*IBGE_2!AC$198/100</f>
        <v>3.0720000000000001</v>
      </c>
      <c r="AD198" s="142" t="s">
        <v>3047</v>
      </c>
      <c r="AE198" s="142">
        <f>B198*IBGE_2!AE$198/100</f>
        <v>123.3</v>
      </c>
      <c r="AF198" s="142" t="s">
        <v>3047</v>
      </c>
      <c r="AG198" s="142">
        <f>B198*IBGE_2!AG$198/100</f>
        <v>0.32500000000000001</v>
      </c>
      <c r="AH198" s="142">
        <f>B198*IBGE_2!AH$198/100</f>
        <v>1.7000000000000001E-2</v>
      </c>
      <c r="AI198" s="142">
        <f>B198*IBGE_2!AI$198/100</f>
        <v>141</v>
      </c>
      <c r="AJ198" s="142">
        <f>B198*IBGE_2!AJ$198/100</f>
        <v>27.886999999999997</v>
      </c>
      <c r="AK198" s="142" t="s">
        <v>3047</v>
      </c>
      <c r="AL198" s="142">
        <f>B198*IBGE_2!AL$198/100</f>
        <v>0.56000000000000005</v>
      </c>
      <c r="AM198" s="142" t="s">
        <v>3047</v>
      </c>
      <c r="AN198" s="161"/>
    </row>
    <row r="199" spans="1:40">
      <c r="A199" s="143" t="s">
        <v>1258</v>
      </c>
      <c r="B199" s="141">
        <v>100</v>
      </c>
      <c r="C199" s="142">
        <f>B199*IBGE_2!C$199/100</f>
        <v>158</v>
      </c>
      <c r="D199" s="142">
        <f>B199*IBGE_2!D$199/100</f>
        <v>5.8</v>
      </c>
      <c r="E199" s="142">
        <f>B199*IBGE_2!E$199/100</f>
        <v>0.93</v>
      </c>
      <c r="F199" s="142">
        <f>B199*IBGE_2!F$199/100</f>
        <v>0.17599999999999999</v>
      </c>
      <c r="G199" s="142">
        <f>B199*IBGE_2!G$199/100</f>
        <v>0.13100000000000001</v>
      </c>
      <c r="H199" s="142">
        <f>B199*IBGE_2!H$199/100</f>
        <v>0.31900000000000001</v>
      </c>
      <c r="I199" s="142">
        <f>B199*IBGE_2!I$199/100</f>
        <v>0.29499999999999998</v>
      </c>
      <c r="J199" s="142">
        <f>B199*IBGE_2!J$199/100</f>
        <v>2.4E-2</v>
      </c>
      <c r="K199" s="142" t="s">
        <v>3047</v>
      </c>
      <c r="L199" s="142">
        <f>B199*IBGE_2!L$199/100</f>
        <v>30.86</v>
      </c>
      <c r="M199" s="142">
        <f>B199*IBGE_2!M$199/100</f>
        <v>1.8</v>
      </c>
      <c r="N199" s="142">
        <f>B199*IBGE_2!N$199/100</f>
        <v>7</v>
      </c>
      <c r="O199" s="142">
        <f>B199*IBGE_2!O$199/100</f>
        <v>18</v>
      </c>
      <c r="P199" s="142">
        <f>B199*IBGE_2!P$199/100</f>
        <v>0.32200000000000001</v>
      </c>
      <c r="Q199" s="142">
        <f>B199*IBGE_2!Q$199/100</f>
        <v>58</v>
      </c>
      <c r="R199" s="142">
        <f>B199*IBGE_2!R$199/100</f>
        <v>1.28</v>
      </c>
      <c r="S199" s="142">
        <f>B199*IBGE_2!S$199/100</f>
        <v>1</v>
      </c>
      <c r="T199" s="142">
        <f>B199*IBGE_2!T$199/100</f>
        <v>44</v>
      </c>
      <c r="U199" s="142">
        <f>B199*IBGE_2!U$199/100</f>
        <v>0.1</v>
      </c>
      <c r="V199" s="142">
        <f>B199*IBGE_2!V$199/100</f>
        <v>0.51</v>
      </c>
      <c r="W199" s="142" t="s">
        <v>3047</v>
      </c>
      <c r="X199" s="142">
        <f>B199*IBGE_2!X$199/100</f>
        <v>0.27400000000000002</v>
      </c>
      <c r="Y199" s="142">
        <f>B199*IBGE_2!Y$199/100</f>
        <v>0.13600000000000001</v>
      </c>
      <c r="Z199" s="142">
        <f>B199*IBGE_2!Z$199/100</f>
        <v>4.9000000000000002E-2</v>
      </c>
      <c r="AA199" s="142">
        <f>B199*IBGE_2!AA$199/100</f>
        <v>1.6890000000000001</v>
      </c>
      <c r="AB199" s="142" t="s">
        <v>3047</v>
      </c>
      <c r="AC199" s="142">
        <f>B199*IBGE_2!AC$199/100</f>
        <v>3.0720000000000001</v>
      </c>
      <c r="AD199" s="142" t="s">
        <v>3047</v>
      </c>
      <c r="AE199" s="142">
        <f>B199*IBGE_2!AE$199/100</f>
        <v>123.3</v>
      </c>
      <c r="AF199" s="142" t="s">
        <v>3047</v>
      </c>
      <c r="AG199" s="142">
        <f>B199*IBGE_2!AG$199/100</f>
        <v>0.06</v>
      </c>
      <c r="AH199" s="142" t="s">
        <v>3047</v>
      </c>
      <c r="AI199" s="142">
        <f>B199*IBGE_2!AI$199/100</f>
        <v>141</v>
      </c>
      <c r="AJ199" s="142">
        <f>B199*IBGE_2!AJ$199/100</f>
        <v>26.4</v>
      </c>
      <c r="AK199" s="142" t="s">
        <v>3047</v>
      </c>
      <c r="AL199" s="142">
        <f>B199*IBGE_2!AL$199/100</f>
        <v>0.56000000000000005</v>
      </c>
      <c r="AM199" s="142" t="s">
        <v>3047</v>
      </c>
      <c r="AN199" s="161"/>
    </row>
    <row r="200" spans="1:40">
      <c r="A200" s="143" t="s">
        <v>1259</v>
      </c>
      <c r="B200" s="141">
        <v>100</v>
      </c>
      <c r="C200" s="142">
        <f>B200*IBGE_2!C$200/100</f>
        <v>158</v>
      </c>
      <c r="D200" s="142">
        <f>B200*IBGE_2!D$200/100</f>
        <v>5.8</v>
      </c>
      <c r="E200" s="142">
        <f>B200*IBGE_2!E$200/100</f>
        <v>0.93</v>
      </c>
      <c r="F200" s="142">
        <f>B200*IBGE_2!F$200/100</f>
        <v>0.17599999999999999</v>
      </c>
      <c r="G200" s="142">
        <f>B200*IBGE_2!G$200/100</f>
        <v>0.13100000000000001</v>
      </c>
      <c r="H200" s="142">
        <f>B200*IBGE_2!H$200/100</f>
        <v>0.31900000000000001</v>
      </c>
      <c r="I200" s="142">
        <f>B200*IBGE_2!I$200/100</f>
        <v>0.29499999999999998</v>
      </c>
      <c r="J200" s="142">
        <f>B200*IBGE_2!J$200/100</f>
        <v>2.4E-2</v>
      </c>
      <c r="K200" s="142" t="s">
        <v>3047</v>
      </c>
      <c r="L200" s="142">
        <f>B200*IBGE_2!L$200/100</f>
        <v>30.86</v>
      </c>
      <c r="M200" s="142">
        <f>B200*IBGE_2!M$200/100</f>
        <v>1.8</v>
      </c>
      <c r="N200" s="142">
        <f>B200*IBGE_2!N$200/100</f>
        <v>7</v>
      </c>
      <c r="O200" s="142">
        <f>B200*IBGE_2!O$200/100</f>
        <v>18</v>
      </c>
      <c r="P200" s="142">
        <f>B200*IBGE_2!P$200/100</f>
        <v>0.32200000000000001</v>
      </c>
      <c r="Q200" s="142">
        <f>B200*IBGE_2!Q$200/100</f>
        <v>58</v>
      </c>
      <c r="R200" s="142">
        <f>B200*IBGE_2!R$200/100</f>
        <v>1.28</v>
      </c>
      <c r="S200" s="142">
        <f>B200*IBGE_2!S$200/100</f>
        <v>1</v>
      </c>
      <c r="T200" s="142">
        <f>B200*IBGE_2!T$200/100</f>
        <v>44</v>
      </c>
      <c r="U200" s="142">
        <f>B200*IBGE_2!U$200/100</f>
        <v>0.1</v>
      </c>
      <c r="V200" s="142">
        <f>B200*IBGE_2!V$200/100</f>
        <v>0.51</v>
      </c>
      <c r="W200" s="142" t="s">
        <v>3047</v>
      </c>
      <c r="X200" s="142">
        <f>B200*IBGE_2!X$200/100</f>
        <v>0.27400000000000002</v>
      </c>
      <c r="Y200" s="142">
        <f>B200*IBGE_2!Y$200/100</f>
        <v>0.13600000000000001</v>
      </c>
      <c r="Z200" s="142">
        <f>B200*IBGE_2!Z$200/100</f>
        <v>4.9000000000000002E-2</v>
      </c>
      <c r="AA200" s="142">
        <f>B200*IBGE_2!AA$200/100</f>
        <v>1.6890000000000001</v>
      </c>
      <c r="AB200" s="142" t="s">
        <v>3047</v>
      </c>
      <c r="AC200" s="142">
        <f>B200*IBGE_2!AC$200/100</f>
        <v>3.0720000000000001</v>
      </c>
      <c r="AD200" s="142" t="s">
        <v>3047</v>
      </c>
      <c r="AE200" s="142">
        <f>B200*IBGE_2!AE$200/100</f>
        <v>123.3</v>
      </c>
      <c r="AF200" s="142" t="s">
        <v>3047</v>
      </c>
      <c r="AG200" s="142">
        <f>B200*IBGE_2!AG$200/100</f>
        <v>0.06</v>
      </c>
      <c r="AH200" s="142" t="s">
        <v>3047</v>
      </c>
      <c r="AI200" s="142">
        <f>B200*IBGE_2!AI$200/100</f>
        <v>141</v>
      </c>
      <c r="AJ200" s="142">
        <f>B200*IBGE_2!AJ$200/100</f>
        <v>26.4</v>
      </c>
      <c r="AK200" s="142" t="s">
        <v>3047</v>
      </c>
      <c r="AL200" s="142">
        <f>B200*IBGE_2!AL$200/100</f>
        <v>0.56000000000000005</v>
      </c>
      <c r="AM200" s="142" t="s">
        <v>3047</v>
      </c>
      <c r="AN200" s="161"/>
    </row>
    <row r="201" spans="1:40">
      <c r="A201" s="143" t="s">
        <v>1260</v>
      </c>
      <c r="B201" s="141">
        <v>100</v>
      </c>
      <c r="C201" s="142">
        <f>B201*IBGE_2!C$201/100</f>
        <v>115.161</v>
      </c>
      <c r="D201" s="142">
        <f>B201*IBGE_2!D$201/100</f>
        <v>1.8109999999999999</v>
      </c>
      <c r="E201" s="142">
        <f>B201*IBGE_2!E$201/100</f>
        <v>4.3600000000000003</v>
      </c>
      <c r="F201" s="142">
        <f>B201*IBGE_2!F$201/100</f>
        <v>2.7120000000000006</v>
      </c>
      <c r="G201" s="142">
        <f>B201*IBGE_2!G$201/100</f>
        <v>1.107</v>
      </c>
      <c r="H201" s="142">
        <f>B201*IBGE_2!H$201/100</f>
        <v>0.20399999999999999</v>
      </c>
      <c r="I201" s="142">
        <f>B201*IBGE_2!I$201/100</f>
        <v>0.17199999999999999</v>
      </c>
      <c r="J201" s="142">
        <f>B201*IBGE_2!J$201/100</f>
        <v>3.1E-2</v>
      </c>
      <c r="K201" s="142">
        <f>B201*IBGE_2!K$201/100</f>
        <v>11.451000000000001</v>
      </c>
      <c r="L201" s="142">
        <f>B201*IBGE_2!L$201/100</f>
        <v>17.763000000000002</v>
      </c>
      <c r="M201" s="142">
        <f>B201*IBGE_2!M$201/100</f>
        <v>1.778</v>
      </c>
      <c r="N201" s="142">
        <f>B201*IBGE_2!N$201/100</f>
        <v>18.209</v>
      </c>
      <c r="O201" s="142">
        <f>B201*IBGE_2!O$201/100</f>
        <v>18.338999999999999</v>
      </c>
      <c r="P201" s="142">
        <f>B201*IBGE_2!P$201/100</f>
        <v>0.122</v>
      </c>
      <c r="Q201" s="142">
        <f>B201*IBGE_2!Q$201/100</f>
        <v>43.954999999999998</v>
      </c>
      <c r="R201" s="142">
        <f>B201*IBGE_2!R$201/100</f>
        <v>0.27300000000000002</v>
      </c>
      <c r="S201" s="142">
        <f>B201*IBGE_2!S$201/100</f>
        <v>138.256</v>
      </c>
      <c r="T201" s="142">
        <f>B201*IBGE_2!T$201/100</f>
        <v>298.43900000000002</v>
      </c>
      <c r="U201" s="142">
        <f>B201*IBGE_2!U$201/100</f>
        <v>0.14599999999999999</v>
      </c>
      <c r="V201" s="142">
        <f>B201*IBGE_2!V$201/100</f>
        <v>0.27400000000000002</v>
      </c>
      <c r="W201" s="142">
        <f>B201*IBGE_2!W$201/100</f>
        <v>35.453000000000003</v>
      </c>
      <c r="X201" s="142">
        <f>B201*IBGE_2!X$201/100</f>
        <v>8.900000000000001E-2</v>
      </c>
      <c r="Y201" s="142">
        <f>B201*IBGE_2!Y$201/100</f>
        <v>3.4000000000000002E-2</v>
      </c>
      <c r="Z201" s="142">
        <f>B201*IBGE_2!Z$201/100</f>
        <v>0.23699999999999999</v>
      </c>
      <c r="AA201" s="142">
        <f>B201*IBGE_2!AA$201/100</f>
        <v>1.1499999999999999</v>
      </c>
      <c r="AB201" s="142">
        <f>B201*IBGE_2!AB$201/100</f>
        <v>6.42</v>
      </c>
      <c r="AC201" s="142">
        <f>B201*IBGE_2!AC$201/100</f>
        <v>1.661</v>
      </c>
      <c r="AD201" s="142">
        <f>B201*IBGE_2!AD$201/100</f>
        <v>4.7E-2</v>
      </c>
      <c r="AE201" s="142">
        <f>B201*IBGE_2!AE$201/100</f>
        <v>8.3989999999999991</v>
      </c>
      <c r="AF201" s="142">
        <f>B201*IBGE_2!AF$201/100</f>
        <v>0.158</v>
      </c>
      <c r="AG201" s="142">
        <f>B201*IBGE_2!AG$201/100</f>
        <v>0.17100000000000001</v>
      </c>
      <c r="AH201" s="142">
        <f>B201*IBGE_2!AH$201/100</f>
        <v>0.17100000000000001</v>
      </c>
      <c r="AI201" s="142">
        <f>B201*IBGE_2!AI$201/100</f>
        <v>102</v>
      </c>
      <c r="AJ201" s="142">
        <f>B201*IBGE_2!AJ$201/100</f>
        <v>0.63800000000000001</v>
      </c>
      <c r="AK201" s="142">
        <f>B201*IBGE_2!AK$201/100</f>
        <v>36.281999999999996</v>
      </c>
      <c r="AL201" s="142">
        <f>B201*IBGE_2!AL$201/100</f>
        <v>1.218</v>
      </c>
      <c r="AM201" s="142" t="s">
        <v>3047</v>
      </c>
      <c r="AN201" s="161"/>
    </row>
    <row r="202" spans="1:40">
      <c r="A202" s="143" t="s">
        <v>1261</v>
      </c>
      <c r="B202" s="141">
        <v>100</v>
      </c>
      <c r="C202" s="142">
        <f>B202*IBGE_2!C$202/100</f>
        <v>142.37200000000001</v>
      </c>
      <c r="D202" s="142">
        <f>B202*IBGE_2!D$202/100</f>
        <v>18.507000000000001</v>
      </c>
      <c r="E202" s="142">
        <f>B202*IBGE_2!E$202/100</f>
        <v>5.3230000000000004</v>
      </c>
      <c r="F202" s="142">
        <f>B202*IBGE_2!F$202/100</f>
        <v>0.82799999999999996</v>
      </c>
      <c r="G202" s="142">
        <f>B202*IBGE_2!G$202/100</f>
        <v>1.1579999999999999</v>
      </c>
      <c r="H202" s="142">
        <f>B202*IBGE_2!H$202/100</f>
        <v>3.0179999999999993</v>
      </c>
      <c r="I202" s="142">
        <f>B202*IBGE_2!I$202/100</f>
        <v>2.673</v>
      </c>
      <c r="J202" s="142">
        <f>B202*IBGE_2!J$202/100</f>
        <v>0.34499999999999997</v>
      </c>
      <c r="K202" s="142" t="s">
        <v>3047</v>
      </c>
      <c r="L202" s="142">
        <f>B202*IBGE_2!L$202/100</f>
        <v>5.8029999999999999</v>
      </c>
      <c r="M202" s="142">
        <f>B202*IBGE_2!M$202/100</f>
        <v>0.44</v>
      </c>
      <c r="N202" s="142">
        <f>B202*IBGE_2!N$202/100</f>
        <v>49.838000000000001</v>
      </c>
      <c r="O202" s="142">
        <f>B202*IBGE_2!O$202/100</f>
        <v>13.019</v>
      </c>
      <c r="P202" s="142">
        <f>B202*IBGE_2!P$202/100</f>
        <v>0.27500000000000002</v>
      </c>
      <c r="Q202" s="142">
        <f>B202*IBGE_2!Q$202/100</f>
        <v>98</v>
      </c>
      <c r="R202" s="142">
        <f>B202*IBGE_2!R$202/100</f>
        <v>2.6210000000000004</v>
      </c>
      <c r="S202" s="142">
        <f>B202*IBGE_2!S$202/100</f>
        <v>455.73400000000004</v>
      </c>
      <c r="T202" s="142">
        <f>B202*IBGE_2!T$202/100</f>
        <v>44.683</v>
      </c>
      <c r="U202" s="142">
        <f>B202*IBGE_2!U$202/100</f>
        <v>9.0999999999999998E-2</v>
      </c>
      <c r="V202" s="142">
        <f>B202*IBGE_2!V$202/100</f>
        <v>0.41299999999999998</v>
      </c>
      <c r="W202" s="142" t="s">
        <v>3047</v>
      </c>
      <c r="X202" s="142">
        <f>B202*IBGE_2!X$202/100</f>
        <v>0.21899999999999997</v>
      </c>
      <c r="Y202" s="142">
        <f>B202*IBGE_2!Y$202/100</f>
        <v>0.18600000000000003</v>
      </c>
      <c r="Z202" s="142">
        <f>B202*IBGE_2!Z$202/100</f>
        <v>0.36399999999999999</v>
      </c>
      <c r="AA202" s="142">
        <f>B202*IBGE_2!AA$202/100</f>
        <v>2.91</v>
      </c>
      <c r="AB202" s="142" t="s">
        <v>3047</v>
      </c>
      <c r="AC202" s="142">
        <f>B202*IBGE_2!AC$202/100</f>
        <v>6.7489999999999997</v>
      </c>
      <c r="AD202" s="142">
        <f>B202*IBGE_2!AD$202/100</f>
        <v>4.3639999999999999</v>
      </c>
      <c r="AE202" s="142">
        <f>B202*IBGE_2!AE$202/100</f>
        <v>18.545000000000002</v>
      </c>
      <c r="AF202" s="142" t="s">
        <v>3047</v>
      </c>
      <c r="AG202" s="142">
        <f>B202*IBGE_2!AG$202/100</f>
        <v>0.40400000000000008</v>
      </c>
      <c r="AH202" s="142">
        <f>B202*IBGE_2!AH$202/100</f>
        <v>2.6000000000000002E-2</v>
      </c>
      <c r="AI202" s="142" t="s">
        <v>3047</v>
      </c>
      <c r="AJ202" s="142">
        <f>B202*IBGE_2!AJ$202/100</f>
        <v>11.041000000000002</v>
      </c>
      <c r="AK202" s="142" t="s">
        <v>3047</v>
      </c>
      <c r="AL202" s="142">
        <f>B202*IBGE_2!AL$202/100</f>
        <v>0.21899999999999997</v>
      </c>
      <c r="AM202" s="142" t="s">
        <v>3047</v>
      </c>
      <c r="AN202" s="161"/>
    </row>
    <row r="203" spans="1:40">
      <c r="A203" s="143" t="s">
        <v>1262</v>
      </c>
      <c r="B203" s="141">
        <v>100</v>
      </c>
      <c r="C203" s="142">
        <f>B203*IBGE_2!C$203/100</f>
        <v>142.37200000000001</v>
      </c>
      <c r="D203" s="142">
        <f>B203*IBGE_2!D$203/100</f>
        <v>18.507000000000001</v>
      </c>
      <c r="E203" s="142">
        <f>B203*IBGE_2!E$203/100</f>
        <v>5.3230000000000004</v>
      </c>
      <c r="F203" s="142">
        <f>B203*IBGE_2!F$203/100</f>
        <v>0.82799999999999996</v>
      </c>
      <c r="G203" s="142">
        <f>B203*IBGE_2!G$203/100</f>
        <v>1.1579999999999999</v>
      </c>
      <c r="H203" s="142">
        <f>B203*IBGE_2!H$203/100</f>
        <v>3.0179999999999993</v>
      </c>
      <c r="I203" s="142">
        <f>B203*IBGE_2!I$203/100</f>
        <v>2.673</v>
      </c>
      <c r="J203" s="142">
        <f>B203*IBGE_2!J$203/100</f>
        <v>0.34499999999999997</v>
      </c>
      <c r="K203" s="142" t="s">
        <v>3047</v>
      </c>
      <c r="L203" s="142">
        <f>B203*IBGE_2!L$203/100</f>
        <v>5.8029999999999999</v>
      </c>
      <c r="M203" s="142">
        <f>B203*IBGE_2!M$203/100</f>
        <v>0.44</v>
      </c>
      <c r="N203" s="142">
        <f>B203*IBGE_2!N$203/100</f>
        <v>49.838000000000001</v>
      </c>
      <c r="O203" s="142">
        <f>B203*IBGE_2!O$203/100</f>
        <v>13.019</v>
      </c>
      <c r="P203" s="142">
        <f>B203*IBGE_2!P$203/100</f>
        <v>0.27500000000000002</v>
      </c>
      <c r="Q203" s="142">
        <f>B203*IBGE_2!Q$203/100</f>
        <v>98</v>
      </c>
      <c r="R203" s="142">
        <f>B203*IBGE_2!R$203/100</f>
        <v>2.6210000000000004</v>
      </c>
      <c r="S203" s="142">
        <f>B203*IBGE_2!S$203/100</f>
        <v>455.73400000000004</v>
      </c>
      <c r="T203" s="142">
        <f>B203*IBGE_2!T$203/100</f>
        <v>44.683</v>
      </c>
      <c r="U203" s="142">
        <f>B203*IBGE_2!U$203/100</f>
        <v>9.0999999999999998E-2</v>
      </c>
      <c r="V203" s="142">
        <f>B203*IBGE_2!V$203/100</f>
        <v>0.41299999999999998</v>
      </c>
      <c r="W203" s="142" t="s">
        <v>3047</v>
      </c>
      <c r="X203" s="142">
        <f>B203*IBGE_2!X$203/100</f>
        <v>0.21899999999999997</v>
      </c>
      <c r="Y203" s="142">
        <f>B203*IBGE_2!Y$203/100</f>
        <v>0.18600000000000003</v>
      </c>
      <c r="Z203" s="142">
        <f>B203*IBGE_2!Z$203/100</f>
        <v>0.36399999999999999</v>
      </c>
      <c r="AA203" s="142">
        <f>B203*IBGE_2!AA$203/100</f>
        <v>2.91</v>
      </c>
      <c r="AB203" s="142" t="s">
        <v>3047</v>
      </c>
      <c r="AC203" s="142">
        <f>B203*IBGE_2!AC$203/100</f>
        <v>6.7489999999999997</v>
      </c>
      <c r="AD203" s="142">
        <f>B203*IBGE_2!AD$203/100</f>
        <v>4.3639999999999999</v>
      </c>
      <c r="AE203" s="142">
        <f>B203*IBGE_2!AE$203/100</f>
        <v>18.545000000000002</v>
      </c>
      <c r="AF203" s="142" t="s">
        <v>3047</v>
      </c>
      <c r="AG203" s="142">
        <f>B203*IBGE_2!AG$203/100</f>
        <v>0.40400000000000008</v>
      </c>
      <c r="AH203" s="142">
        <f>B203*IBGE_2!AH$203/100</f>
        <v>2.6000000000000002E-2</v>
      </c>
      <c r="AI203" s="142" t="s">
        <v>3047</v>
      </c>
      <c r="AJ203" s="142">
        <f>B203*IBGE_2!AJ$203/100</f>
        <v>11.041000000000002</v>
      </c>
      <c r="AK203" s="142" t="s">
        <v>3047</v>
      </c>
      <c r="AL203" s="142">
        <f>B203*IBGE_2!AL$203/100</f>
        <v>0.21899999999999997</v>
      </c>
      <c r="AM203" s="142" t="s">
        <v>3047</v>
      </c>
      <c r="AN203" s="161"/>
    </row>
    <row r="204" spans="1:40">
      <c r="A204" s="143" t="s">
        <v>1263</v>
      </c>
      <c r="B204" s="141">
        <v>100</v>
      </c>
      <c r="C204" s="142">
        <f>B204*IBGE_2!C$204/100</f>
        <v>62</v>
      </c>
      <c r="D204" s="142">
        <f>B204*IBGE_2!D$204/100</f>
        <v>6.9</v>
      </c>
      <c r="E204" s="142">
        <f>B204*IBGE_2!E$204/100</f>
        <v>2.7</v>
      </c>
      <c r="F204" s="142">
        <f>B204*IBGE_2!F$204/100</f>
        <v>0.40600000000000003</v>
      </c>
      <c r="G204" s="142">
        <f>B204*IBGE_2!G$204/100</f>
        <v>0.53900000000000003</v>
      </c>
      <c r="H204" s="142">
        <f>B204*IBGE_2!H$204/100</f>
        <v>1.4850000000000001</v>
      </c>
      <c r="I204" s="142">
        <f>B204*IBGE_2!I$204/100</f>
        <v>1.3140000000000001</v>
      </c>
      <c r="J204" s="142">
        <f>B204*IBGE_2!J$204/100</f>
        <v>0.17800000000000002</v>
      </c>
      <c r="K204" s="142" t="s">
        <v>3047</v>
      </c>
      <c r="L204" s="142">
        <f>B204*IBGE_2!L$204/100</f>
        <v>2.4</v>
      </c>
      <c r="M204" s="142">
        <f>B204*IBGE_2!M$204/100</f>
        <v>0.1</v>
      </c>
      <c r="N204" s="142">
        <f>B204*IBGE_2!N$204/100</f>
        <v>32</v>
      </c>
      <c r="O204" s="142">
        <f>B204*IBGE_2!O$204/100</f>
        <v>27</v>
      </c>
      <c r="P204" s="142">
        <f>B204*IBGE_2!P$204/100</f>
        <v>0.41</v>
      </c>
      <c r="Q204" s="142">
        <f>B204*IBGE_2!Q$204/100</f>
        <v>90</v>
      </c>
      <c r="R204" s="142">
        <f>B204*IBGE_2!R$204/100</f>
        <v>1.03</v>
      </c>
      <c r="S204" s="142">
        <f>B204*IBGE_2!S$204/100</f>
        <v>36</v>
      </c>
      <c r="T204" s="142">
        <f>B204*IBGE_2!T$204/100</f>
        <v>194</v>
      </c>
      <c r="U204" s="142">
        <f>B204*IBGE_2!U$204/100</f>
        <v>0.20300000000000001</v>
      </c>
      <c r="V204" s="142">
        <f>B204*IBGE_2!V$204/100</f>
        <v>0.61</v>
      </c>
      <c r="W204" s="142" t="s">
        <v>3047</v>
      </c>
      <c r="X204" s="142">
        <f>B204*IBGE_2!X$204/100</f>
        <v>0.10100000000000002</v>
      </c>
      <c r="Y204" s="142">
        <f>B204*IBGE_2!Y$204/100</f>
        <v>4.1000000000000009E-2</v>
      </c>
      <c r="Z204" s="142">
        <f>B204*IBGE_2!Z$204/100</f>
        <v>1.0999999999999999E-2</v>
      </c>
      <c r="AA204" s="142">
        <f>B204*IBGE_2!AA$204/100</f>
        <v>0.247</v>
      </c>
      <c r="AB204" s="142" t="s">
        <v>3047</v>
      </c>
      <c r="AC204" s="142">
        <f>B204*IBGE_2!AC$204/100</f>
        <v>1.6640000000000001</v>
      </c>
      <c r="AD204" s="142" t="s">
        <v>3047</v>
      </c>
      <c r="AE204" s="142">
        <f>B204*IBGE_2!AE$204/100</f>
        <v>46</v>
      </c>
      <c r="AF204" s="142" t="s">
        <v>3047</v>
      </c>
      <c r="AG204" s="142">
        <f>B204*IBGE_2!AG$204/100</f>
        <v>0.19</v>
      </c>
      <c r="AH204" s="142" t="s">
        <v>3047</v>
      </c>
      <c r="AI204" s="142" t="s">
        <v>3047</v>
      </c>
      <c r="AJ204" s="142">
        <f>B204*IBGE_2!AJ$204/100</f>
        <v>9.3759999999999994</v>
      </c>
      <c r="AK204" s="142" t="s">
        <v>3047</v>
      </c>
      <c r="AL204" s="142">
        <f>B204*IBGE_2!AL$204/100</f>
        <v>1.27</v>
      </c>
      <c r="AM204" s="142" t="s">
        <v>3047</v>
      </c>
      <c r="AN204" s="161"/>
    </row>
    <row r="205" spans="1:40">
      <c r="A205" s="143" t="s">
        <v>1264</v>
      </c>
      <c r="B205" s="141">
        <v>100</v>
      </c>
      <c r="C205" s="142">
        <f>B205*IBGE_2!C$205/100</f>
        <v>142.37200000000001</v>
      </c>
      <c r="D205" s="142">
        <f>B205*IBGE_2!D$205/100</f>
        <v>18.507000000000001</v>
      </c>
      <c r="E205" s="142">
        <f>B205*IBGE_2!E$205/100</f>
        <v>5.3230000000000004</v>
      </c>
      <c r="F205" s="142">
        <f>B205*IBGE_2!F$205/100</f>
        <v>0.82799999999999996</v>
      </c>
      <c r="G205" s="142">
        <f>B205*IBGE_2!G$205/100</f>
        <v>1.1579999999999999</v>
      </c>
      <c r="H205" s="142">
        <f>B205*IBGE_2!H$205/100</f>
        <v>3.0179999999999993</v>
      </c>
      <c r="I205" s="142">
        <f>B205*IBGE_2!I$205/100</f>
        <v>2.673</v>
      </c>
      <c r="J205" s="142">
        <f>B205*IBGE_2!J$205/100</f>
        <v>0.34499999999999997</v>
      </c>
      <c r="K205" s="142" t="s">
        <v>3047</v>
      </c>
      <c r="L205" s="142">
        <f>B205*IBGE_2!L$205/100</f>
        <v>5.8029999999999999</v>
      </c>
      <c r="M205" s="142">
        <f>B205*IBGE_2!M$205/100</f>
        <v>0.44</v>
      </c>
      <c r="N205" s="142">
        <f>B205*IBGE_2!N$205/100</f>
        <v>49.838000000000001</v>
      </c>
      <c r="O205" s="142">
        <f>B205*IBGE_2!O$205/100</f>
        <v>13.019</v>
      </c>
      <c r="P205" s="142">
        <f>B205*IBGE_2!P$205/100</f>
        <v>0.27500000000000002</v>
      </c>
      <c r="Q205" s="142">
        <f>B205*IBGE_2!Q$205/100</f>
        <v>98</v>
      </c>
      <c r="R205" s="142">
        <f>B205*IBGE_2!R$205/100</f>
        <v>2.6210000000000004</v>
      </c>
      <c r="S205" s="142">
        <f>B205*IBGE_2!S$205/100</f>
        <v>455.73400000000004</v>
      </c>
      <c r="T205" s="142">
        <f>B205*IBGE_2!T$205/100</f>
        <v>44.683</v>
      </c>
      <c r="U205" s="142">
        <f>B205*IBGE_2!U$205/100</f>
        <v>9.0999999999999998E-2</v>
      </c>
      <c r="V205" s="142">
        <f>B205*IBGE_2!V$205/100</f>
        <v>0.41299999999999998</v>
      </c>
      <c r="W205" s="142" t="s">
        <v>3047</v>
      </c>
      <c r="X205" s="142">
        <f>B205*IBGE_2!X$205/100</f>
        <v>0.21899999999999997</v>
      </c>
      <c r="Y205" s="142">
        <f>B205*IBGE_2!Y$205/100</f>
        <v>0.18600000000000003</v>
      </c>
      <c r="Z205" s="142">
        <f>B205*IBGE_2!Z$205/100</f>
        <v>0.36399999999999999</v>
      </c>
      <c r="AA205" s="142">
        <f>B205*IBGE_2!AA$205/100</f>
        <v>2.91</v>
      </c>
      <c r="AB205" s="142" t="s">
        <v>3047</v>
      </c>
      <c r="AC205" s="142">
        <f>B205*IBGE_2!AC$205/100</f>
        <v>6.7489999999999997</v>
      </c>
      <c r="AD205" s="142">
        <f>B205*IBGE_2!AD$205/100</f>
        <v>4.3639999999999999</v>
      </c>
      <c r="AE205" s="142">
        <f>B205*IBGE_2!AE$205/100</f>
        <v>18.545000000000002</v>
      </c>
      <c r="AF205" s="142" t="s">
        <v>3047</v>
      </c>
      <c r="AG205" s="142">
        <f>B205*IBGE_2!AG$205/100</f>
        <v>0.40400000000000008</v>
      </c>
      <c r="AH205" s="142">
        <f>B205*IBGE_2!AH$205/100</f>
        <v>2.6000000000000002E-2</v>
      </c>
      <c r="AI205" s="142" t="s">
        <v>3047</v>
      </c>
      <c r="AJ205" s="142">
        <f>B205*IBGE_2!AJ$205/100</f>
        <v>11.041000000000002</v>
      </c>
      <c r="AK205" s="142" t="s">
        <v>3047</v>
      </c>
      <c r="AL205" s="142">
        <f>B205*IBGE_2!AL$205/100</f>
        <v>0.21899999999999997</v>
      </c>
      <c r="AM205" s="142" t="s">
        <v>3047</v>
      </c>
      <c r="AN205" s="161"/>
    </row>
    <row r="206" spans="1:40">
      <c r="A206" s="143" t="s">
        <v>1265</v>
      </c>
      <c r="B206" s="141">
        <v>100</v>
      </c>
      <c r="C206" s="142">
        <f>B206*IBGE_2!C$206/100</f>
        <v>567</v>
      </c>
      <c r="D206" s="142">
        <f>B206*IBGE_2!D$206/100</f>
        <v>25.8</v>
      </c>
      <c r="E206" s="142">
        <f>B206*IBGE_2!E$206/100</f>
        <v>49.24</v>
      </c>
      <c r="F206" s="142">
        <f>B206*IBGE_2!F$206/100</f>
        <v>6.8339999999999996</v>
      </c>
      <c r="G206" s="142">
        <f>B206*IBGE_2!G$206/100</f>
        <v>24.428999999999995</v>
      </c>
      <c r="H206" s="142">
        <f>B206*IBGE_2!H$206/100</f>
        <v>15.558999999999999</v>
      </c>
      <c r="I206" s="142">
        <f>B206*IBGE_2!I$206/100</f>
        <v>15.555</v>
      </c>
      <c r="J206" s="142">
        <f>B206*IBGE_2!J$206/100</f>
        <v>3.0000000000000001E-3</v>
      </c>
      <c r="K206" s="142" t="s">
        <v>3047</v>
      </c>
      <c r="L206" s="142">
        <f>B206*IBGE_2!L$206/100</f>
        <v>16.13</v>
      </c>
      <c r="M206" s="142">
        <f>B206*IBGE_2!M$206/100</f>
        <v>8.5</v>
      </c>
      <c r="N206" s="142">
        <f>B206*IBGE_2!N$206/100</f>
        <v>92</v>
      </c>
      <c r="O206" s="142">
        <f>B206*IBGE_2!O$206/100</f>
        <v>168</v>
      </c>
      <c r="P206" s="142">
        <f>B206*IBGE_2!P$206/100</f>
        <v>1.9340000000000002</v>
      </c>
      <c r="Q206" s="142">
        <f>B206*IBGE_2!Q$206/100</f>
        <v>376</v>
      </c>
      <c r="R206" s="142">
        <f>B206*IBGE_2!R$206/100</f>
        <v>4.58</v>
      </c>
      <c r="S206" s="142">
        <f>B206*IBGE_2!S$206/100</f>
        <v>18</v>
      </c>
      <c r="T206" s="142">
        <f>B206*IBGE_2!T$206/100</f>
        <v>705</v>
      </c>
      <c r="U206" s="142">
        <f>B206*IBGE_2!U$206/100</f>
        <v>1.1439999999999999</v>
      </c>
      <c r="V206" s="142">
        <f>B206*IBGE_2!V$206/100</f>
        <v>3.27</v>
      </c>
      <c r="W206" s="142" t="s">
        <v>3047</v>
      </c>
      <c r="X206" s="142">
        <f>B206*IBGE_2!X$206/100</f>
        <v>0.64</v>
      </c>
      <c r="Y206" s="142">
        <f>B206*IBGE_2!Y$206/100</f>
        <v>0.13500000000000001</v>
      </c>
      <c r="Z206" s="142">
        <f>B206*IBGE_2!Z$206/100</f>
        <v>0.34799999999999998</v>
      </c>
      <c r="AA206" s="142">
        <f>B206*IBGE_2!AA$206/100</f>
        <v>12.066000000000001</v>
      </c>
      <c r="AB206" s="142" t="s">
        <v>3047</v>
      </c>
      <c r="AC206" s="142">
        <f>B206*IBGE_2!AC$206/100</f>
        <v>16.233000000000001</v>
      </c>
      <c r="AD206" s="142" t="s">
        <v>3047</v>
      </c>
      <c r="AE206" s="142">
        <f>B206*IBGE_2!AE$206/100</f>
        <v>240</v>
      </c>
      <c r="AF206" s="142" t="s">
        <v>3047</v>
      </c>
      <c r="AG206" s="142">
        <f>B206*IBGE_2!AG$206/100</f>
        <v>8.33</v>
      </c>
      <c r="AH206" s="142" t="s">
        <v>3047</v>
      </c>
      <c r="AI206" s="142" t="s">
        <v>3047</v>
      </c>
      <c r="AJ206" s="142">
        <f>B206*IBGE_2!AJ$206/100</f>
        <v>7.2</v>
      </c>
      <c r="AK206" s="142" t="s">
        <v>3047</v>
      </c>
      <c r="AL206" s="142">
        <f>B206*IBGE_2!AL$206/100</f>
        <v>4</v>
      </c>
      <c r="AM206" s="142" t="s">
        <v>3047</v>
      </c>
      <c r="AN206" s="161"/>
    </row>
    <row r="207" spans="1:40">
      <c r="A207" s="143" t="s">
        <v>1266</v>
      </c>
      <c r="B207" s="141">
        <v>100</v>
      </c>
      <c r="C207" s="142">
        <f>B207*IBGE_2!C$207/100</f>
        <v>388</v>
      </c>
      <c r="D207" s="142">
        <f>B207*IBGE_2!D$207/100</f>
        <v>9.5</v>
      </c>
      <c r="E207" s="142">
        <f>B207*IBGE_2!E$207/100</f>
        <v>6.3</v>
      </c>
      <c r="F207" s="142">
        <f>B207*IBGE_2!F$207/100</f>
        <v>0.71099999999999997</v>
      </c>
      <c r="G207" s="142">
        <f>B207*IBGE_2!G$207/100</f>
        <v>3.2050000000000001</v>
      </c>
      <c r="H207" s="142">
        <f>B207*IBGE_2!H$207/100</f>
        <v>1.6559999999999999</v>
      </c>
      <c r="I207" s="142">
        <f>B207*IBGE_2!I$207/100</f>
        <v>1.548</v>
      </c>
      <c r="J207" s="142">
        <f>B207*IBGE_2!J$207/100</f>
        <v>9.1999999999999998E-2</v>
      </c>
      <c r="K207" s="142" t="s">
        <v>3047</v>
      </c>
      <c r="L207" s="142">
        <f>B207*IBGE_2!L$207/100</f>
        <v>73.8</v>
      </c>
      <c r="M207" s="142">
        <f>B207*IBGE_2!M$207/100</f>
        <v>8.5</v>
      </c>
      <c r="N207" s="142">
        <f>B207*IBGE_2!N$207/100</f>
        <v>33.33</v>
      </c>
      <c r="O207" s="142">
        <f>B207*IBGE_2!O$207/100</f>
        <v>317</v>
      </c>
      <c r="P207" s="142">
        <f>B207*IBGE_2!P$207/100</f>
        <v>3.23</v>
      </c>
      <c r="Q207" s="142">
        <f>B207*IBGE_2!Q$207/100</f>
        <v>337</v>
      </c>
      <c r="R207" s="142">
        <f>B207*IBGE_2!R$207/100</f>
        <v>2.78</v>
      </c>
      <c r="S207" s="142">
        <f>B207*IBGE_2!S$207/100</f>
        <v>50</v>
      </c>
      <c r="T207" s="142">
        <f>B207*IBGE_2!T$207/100</f>
        <v>494</v>
      </c>
      <c r="U207" s="142">
        <f>B207*IBGE_2!U$207/100</f>
        <v>0.40699999999999997</v>
      </c>
      <c r="V207" s="142">
        <f>B207*IBGE_2!V$207/100</f>
        <v>1.92</v>
      </c>
      <c r="W207" s="142" t="s">
        <v>3047</v>
      </c>
      <c r="X207" s="142">
        <f>B207*IBGE_2!X$207/100</f>
        <v>0.32</v>
      </c>
      <c r="Y207" s="142">
        <f>B207*IBGE_2!Y$207/100</f>
        <v>0.55000000000000004</v>
      </c>
      <c r="Z207" s="142">
        <f>B207*IBGE_2!Z$207/100</f>
        <v>0.1</v>
      </c>
      <c r="AA207" s="142">
        <f>B207*IBGE_2!AA$207/100</f>
        <v>1.8</v>
      </c>
      <c r="AB207" s="142">
        <f>B207*IBGE_2!AB$207/100</f>
        <v>0.6</v>
      </c>
      <c r="AC207" s="142">
        <f>B207*IBGE_2!AC$207/100</f>
        <v>3.9670000000000001</v>
      </c>
      <c r="AD207" s="142">
        <f>B207*IBGE_2!AD$207/100</f>
        <v>0.28999999999999998</v>
      </c>
      <c r="AE207" s="142">
        <f>B207*IBGE_2!AE$207/100</f>
        <v>16</v>
      </c>
      <c r="AF207" s="142" t="s">
        <v>3047</v>
      </c>
      <c r="AG207" s="142">
        <f>B207*IBGE_2!AG$207/100</f>
        <v>1.1599999999999999</v>
      </c>
      <c r="AH207" s="142" t="s">
        <v>3047</v>
      </c>
      <c r="AI207" s="142" t="s">
        <v>3047</v>
      </c>
      <c r="AJ207" s="142">
        <f>B207*IBGE_2!AJ$207/100</f>
        <v>17.3</v>
      </c>
      <c r="AK207" s="142">
        <f>B207*IBGE_2!AK$207/100</f>
        <v>0.29199999999999998</v>
      </c>
      <c r="AL207" s="142">
        <f>B207*IBGE_2!AL$207/100</f>
        <v>26.219000000000001</v>
      </c>
      <c r="AM207" s="142">
        <f>B207*IBGE_2!AM$207/100</f>
        <v>19.32</v>
      </c>
      <c r="AN207" s="161"/>
    </row>
    <row r="208" spans="1:40">
      <c r="A208" s="143" t="s">
        <v>1267</v>
      </c>
      <c r="B208" s="141">
        <v>100</v>
      </c>
      <c r="C208" s="142">
        <f>B208*IBGE_2!C$208/100</f>
        <v>388</v>
      </c>
      <c r="D208" s="142">
        <f>B208*IBGE_2!D$208/100</f>
        <v>9.5</v>
      </c>
      <c r="E208" s="142">
        <f>B208*IBGE_2!E$208/100</f>
        <v>6.3</v>
      </c>
      <c r="F208" s="142">
        <f>B208*IBGE_2!F$208/100</f>
        <v>0.71099999999999997</v>
      </c>
      <c r="G208" s="142">
        <f>B208*IBGE_2!G$208/100</f>
        <v>3.2050000000000001</v>
      </c>
      <c r="H208" s="142">
        <f>B208*IBGE_2!H$208/100</f>
        <v>1.6559999999999999</v>
      </c>
      <c r="I208" s="142">
        <f>B208*IBGE_2!I$208/100</f>
        <v>1.548</v>
      </c>
      <c r="J208" s="142">
        <f>B208*IBGE_2!J$208/100</f>
        <v>9.1999999999999998E-2</v>
      </c>
      <c r="K208" s="142" t="s">
        <v>3047</v>
      </c>
      <c r="L208" s="142">
        <f>B208*IBGE_2!L$208/100</f>
        <v>73.8</v>
      </c>
      <c r="M208" s="142">
        <f>B208*IBGE_2!M$208/100</f>
        <v>8.5</v>
      </c>
      <c r="N208" s="142">
        <f>B208*IBGE_2!N$208/100</f>
        <v>33.33</v>
      </c>
      <c r="O208" s="142">
        <f>B208*IBGE_2!O$208/100</f>
        <v>317</v>
      </c>
      <c r="P208" s="142">
        <f>B208*IBGE_2!P$208/100</f>
        <v>3.23</v>
      </c>
      <c r="Q208" s="142">
        <f>B208*IBGE_2!Q$208/100</f>
        <v>337</v>
      </c>
      <c r="R208" s="142">
        <f>B208*IBGE_2!R$208/100</f>
        <v>2.78</v>
      </c>
      <c r="S208" s="142">
        <f>B208*IBGE_2!S$208/100</f>
        <v>50</v>
      </c>
      <c r="T208" s="142">
        <f>B208*IBGE_2!T$208/100</f>
        <v>494</v>
      </c>
      <c r="U208" s="142">
        <f>B208*IBGE_2!U$208/100</f>
        <v>0.40699999999999997</v>
      </c>
      <c r="V208" s="142">
        <f>B208*IBGE_2!V$208/100</f>
        <v>1.92</v>
      </c>
      <c r="W208" s="142" t="s">
        <v>3047</v>
      </c>
      <c r="X208" s="142">
        <f>B208*IBGE_2!X$208/100</f>
        <v>0.32</v>
      </c>
      <c r="Y208" s="142">
        <f>B208*IBGE_2!Y$208/100</f>
        <v>0.55000000000000004</v>
      </c>
      <c r="Z208" s="142">
        <f>B208*IBGE_2!Z$208/100</f>
        <v>0.1</v>
      </c>
      <c r="AA208" s="142">
        <f>B208*IBGE_2!AA$208/100</f>
        <v>1.8</v>
      </c>
      <c r="AB208" s="142">
        <f>B208*IBGE_2!AB$208/100</f>
        <v>0.6</v>
      </c>
      <c r="AC208" s="142">
        <f>B208*IBGE_2!AC$208/100</f>
        <v>3.9670000000000001</v>
      </c>
      <c r="AD208" s="142">
        <f>B208*IBGE_2!AD$208/100</f>
        <v>0.28999999999999998</v>
      </c>
      <c r="AE208" s="142">
        <f>B208*IBGE_2!AE$208/100</f>
        <v>16</v>
      </c>
      <c r="AF208" s="142" t="s">
        <v>3047</v>
      </c>
      <c r="AG208" s="142">
        <f>B208*IBGE_2!AG$208/100</f>
        <v>1.1599999999999999</v>
      </c>
      <c r="AH208" s="142" t="s">
        <v>3047</v>
      </c>
      <c r="AI208" s="142" t="s">
        <v>3047</v>
      </c>
      <c r="AJ208" s="142">
        <f>B208*IBGE_2!AJ$208/100</f>
        <v>17.3</v>
      </c>
      <c r="AK208" s="142">
        <f>B208*IBGE_2!AK$208/100</f>
        <v>0.29199999999999998</v>
      </c>
      <c r="AL208" s="142">
        <f>B208*IBGE_2!AL$208/100</f>
        <v>26.219000000000001</v>
      </c>
      <c r="AM208" s="142">
        <f>B208*IBGE_2!AM$208/100</f>
        <v>19.32</v>
      </c>
      <c r="AN208" s="161"/>
    </row>
    <row r="209" spans="1:40">
      <c r="A209" s="143" t="s">
        <v>1268</v>
      </c>
      <c r="B209" s="141">
        <v>100</v>
      </c>
      <c r="C209" s="142">
        <f>B209*IBGE_2!C$209/100</f>
        <v>388</v>
      </c>
      <c r="D209" s="142">
        <f>B209*IBGE_2!D$209/100</f>
        <v>9.5</v>
      </c>
      <c r="E209" s="142">
        <f>B209*IBGE_2!E$209/100</f>
        <v>6.3</v>
      </c>
      <c r="F209" s="142">
        <f>B209*IBGE_2!F$209/100</f>
        <v>0.71099999999999997</v>
      </c>
      <c r="G209" s="142">
        <f>B209*IBGE_2!G$209/100</f>
        <v>3.2050000000000001</v>
      </c>
      <c r="H209" s="142">
        <f>B209*IBGE_2!H$209/100</f>
        <v>1.6559999999999999</v>
      </c>
      <c r="I209" s="142">
        <f>B209*IBGE_2!I$209/100</f>
        <v>1.548</v>
      </c>
      <c r="J209" s="142">
        <f>B209*IBGE_2!J$209/100</f>
        <v>9.1999999999999998E-2</v>
      </c>
      <c r="K209" s="142" t="s">
        <v>3047</v>
      </c>
      <c r="L209" s="142">
        <f>B209*IBGE_2!L$209/100</f>
        <v>73.8</v>
      </c>
      <c r="M209" s="142">
        <f>B209*IBGE_2!M$209/100</f>
        <v>8.5</v>
      </c>
      <c r="N209" s="142">
        <f>B209*IBGE_2!N$209/100</f>
        <v>33.33</v>
      </c>
      <c r="O209" s="142">
        <f>B209*IBGE_2!O$209/100</f>
        <v>317</v>
      </c>
      <c r="P209" s="142">
        <f>B209*IBGE_2!P$209/100</f>
        <v>3.23</v>
      </c>
      <c r="Q209" s="142">
        <f>B209*IBGE_2!Q$209/100</f>
        <v>337</v>
      </c>
      <c r="R209" s="142">
        <f>B209*IBGE_2!R$209/100</f>
        <v>2.78</v>
      </c>
      <c r="S209" s="142">
        <f>B209*IBGE_2!S$209/100</f>
        <v>50</v>
      </c>
      <c r="T209" s="142">
        <f>B209*IBGE_2!T$209/100</f>
        <v>494</v>
      </c>
      <c r="U209" s="142">
        <f>B209*IBGE_2!U$209/100</f>
        <v>0.40699999999999997</v>
      </c>
      <c r="V209" s="142">
        <f>B209*IBGE_2!V$209/100</f>
        <v>1.92</v>
      </c>
      <c r="W209" s="142" t="s">
        <v>3047</v>
      </c>
      <c r="X209" s="142">
        <f>B209*IBGE_2!X$209/100</f>
        <v>0.32</v>
      </c>
      <c r="Y209" s="142">
        <f>B209*IBGE_2!Y$209/100</f>
        <v>0.55000000000000004</v>
      </c>
      <c r="Z209" s="142">
        <f>B209*IBGE_2!Z$209/100</f>
        <v>0.1</v>
      </c>
      <c r="AA209" s="142">
        <f>B209*IBGE_2!AA$209/100</f>
        <v>1.8</v>
      </c>
      <c r="AB209" s="142">
        <f>B209*IBGE_2!AB$209/100</f>
        <v>0.6</v>
      </c>
      <c r="AC209" s="142">
        <f>B209*IBGE_2!AC$209/100</f>
        <v>3.9670000000000001</v>
      </c>
      <c r="AD209" s="142">
        <f>B209*IBGE_2!AD$209/100</f>
        <v>0.28999999999999998</v>
      </c>
      <c r="AE209" s="142">
        <f>B209*IBGE_2!AE$209/100</f>
        <v>16</v>
      </c>
      <c r="AF209" s="142" t="s">
        <v>3047</v>
      </c>
      <c r="AG209" s="142">
        <f>B209*IBGE_2!AG$209/100</f>
        <v>1.1599999999999999</v>
      </c>
      <c r="AH209" s="142" t="s">
        <v>3047</v>
      </c>
      <c r="AI209" s="142" t="s">
        <v>3047</v>
      </c>
      <c r="AJ209" s="142">
        <f>B209*IBGE_2!AJ$209/100</f>
        <v>17.3</v>
      </c>
      <c r="AK209" s="142">
        <f>B209*IBGE_2!AK$209/100</f>
        <v>0.29199999999999998</v>
      </c>
      <c r="AL209" s="142">
        <f>B209*IBGE_2!AL$209/100</f>
        <v>26.219000000000001</v>
      </c>
      <c r="AM209" s="142">
        <f>B209*IBGE_2!AM$209/100</f>
        <v>19.32</v>
      </c>
      <c r="AN209" s="161"/>
    </row>
    <row r="210" spans="1:40">
      <c r="A210" s="143" t="s">
        <v>1269</v>
      </c>
      <c r="B210" s="141">
        <v>100</v>
      </c>
      <c r="C210" s="142">
        <f>B210*IBGE_2!C$210/100</f>
        <v>189.86199999999999</v>
      </c>
      <c r="D210" s="142">
        <f>B210*IBGE_2!D$210/100</f>
        <v>5.6449999999999996</v>
      </c>
      <c r="E210" s="142">
        <f>B210*IBGE_2!E$210/100</f>
        <v>7.1769999999999996</v>
      </c>
      <c r="F210" s="142">
        <f>B210*IBGE_2!F$210/100</f>
        <v>2.363</v>
      </c>
      <c r="G210" s="142">
        <f>B210*IBGE_2!G$210/100</f>
        <v>1.8220000000000001</v>
      </c>
      <c r="H210" s="142">
        <f>B210*IBGE_2!H$210/100</f>
        <v>2.4849999999999999</v>
      </c>
      <c r="I210" s="142">
        <f>B210*IBGE_2!I$210/100</f>
        <v>2.2080000000000002</v>
      </c>
      <c r="J210" s="142">
        <f>B210*IBGE_2!J$210/100</f>
        <v>0.27500000000000002</v>
      </c>
      <c r="K210" s="142">
        <f>B210*IBGE_2!K$210/100</f>
        <v>8.2759999999999998</v>
      </c>
      <c r="L210" s="142">
        <f>B210*IBGE_2!L$210/100</f>
        <v>25.536999999999999</v>
      </c>
      <c r="M210" s="142">
        <f>B210*IBGE_2!M$210/100</f>
        <v>1.1599999999999999</v>
      </c>
      <c r="N210" s="142">
        <f>B210*IBGE_2!N$210/100</f>
        <v>94.043000000000006</v>
      </c>
      <c r="O210" s="142">
        <f>B210*IBGE_2!O$210/100</f>
        <v>19.725999999999999</v>
      </c>
      <c r="P210" s="142">
        <f>B210*IBGE_2!P$210/100</f>
        <v>0.20899999999999999</v>
      </c>
      <c r="Q210" s="142">
        <f>B210*IBGE_2!Q$210/100</f>
        <v>101.25700000000001</v>
      </c>
      <c r="R210" s="142">
        <f>B210*IBGE_2!R$210/100</f>
        <v>0.86900000000000011</v>
      </c>
      <c r="S210" s="142">
        <f>B210*IBGE_2!S$210/100</f>
        <v>429.67599999999999</v>
      </c>
      <c r="T210" s="142">
        <f>B210*IBGE_2!T$210/100</f>
        <v>128.161</v>
      </c>
      <c r="U210" s="142">
        <f>B210*IBGE_2!U$210/100</f>
        <v>7.2999999999999995E-2</v>
      </c>
      <c r="V210" s="142">
        <f>B210*IBGE_2!V$210/100</f>
        <v>0.63700000000000001</v>
      </c>
      <c r="W210" s="142">
        <f>B210*IBGE_2!W$210/100</f>
        <v>33.878</v>
      </c>
      <c r="X210" s="142">
        <f>B210*IBGE_2!X$210/100</f>
        <v>0.20300000000000001</v>
      </c>
      <c r="Y210" s="142">
        <f>B210*IBGE_2!Y$210/100</f>
        <v>0.19500000000000001</v>
      </c>
      <c r="Z210" s="142">
        <f>B210*IBGE_2!Z$210/100</f>
        <v>5.800000000000001E-2</v>
      </c>
      <c r="AA210" s="142">
        <f>B210*IBGE_2!AA$210/100</f>
        <v>1.1339999999999999</v>
      </c>
      <c r="AB210" s="142">
        <f>B210*IBGE_2!AB$210/100</f>
        <v>9.1999999999999998E-2</v>
      </c>
      <c r="AC210" s="142">
        <f>B210*IBGE_2!AC$210/100</f>
        <v>2.452</v>
      </c>
      <c r="AD210" s="142">
        <f>B210*IBGE_2!AD$210/100</f>
        <v>0.214</v>
      </c>
      <c r="AE210" s="142">
        <f>B210*IBGE_2!AE$210/100</f>
        <v>81.111999999999995</v>
      </c>
      <c r="AF210" s="142">
        <f>B210*IBGE_2!AF$210/100</f>
        <v>0.373</v>
      </c>
      <c r="AG210" s="142">
        <f>B210*IBGE_2!AG$210/100</f>
        <v>0.42699999999999994</v>
      </c>
      <c r="AH210" s="142">
        <f>B210*IBGE_2!AH$210/100</f>
        <v>0.20300000000000001</v>
      </c>
      <c r="AI210" s="142" t="s">
        <v>3047</v>
      </c>
      <c r="AJ210" s="142">
        <f>B210*IBGE_2!AJ$210/100</f>
        <v>20.213000000000001</v>
      </c>
      <c r="AK210" s="142">
        <f>B210*IBGE_2!AK$210/100</f>
        <v>33.491999999999997</v>
      </c>
      <c r="AL210" s="142">
        <f>B210*IBGE_2!AL$210/100</f>
        <v>4.4820000000000002</v>
      </c>
      <c r="AM210" s="142">
        <f>B210*IBGE_2!AM$210/100</f>
        <v>1.7280000000000002</v>
      </c>
      <c r="AN210" s="161"/>
    </row>
    <row r="211" spans="1:40">
      <c r="A211" s="143" t="s">
        <v>1270</v>
      </c>
      <c r="B211" s="141">
        <v>100</v>
      </c>
      <c r="C211" s="142">
        <f>B211*IBGE_2!C$211/100</f>
        <v>189.86199999999999</v>
      </c>
      <c r="D211" s="142">
        <f>B211*IBGE_2!D$211/100</f>
        <v>5.6449999999999996</v>
      </c>
      <c r="E211" s="142">
        <f>B211*IBGE_2!E$211/100</f>
        <v>7.1769999999999996</v>
      </c>
      <c r="F211" s="142">
        <f>B211*IBGE_2!F$211/100</f>
        <v>2.363</v>
      </c>
      <c r="G211" s="142">
        <f>B211*IBGE_2!G$211/100</f>
        <v>1.8220000000000001</v>
      </c>
      <c r="H211" s="142">
        <f>B211*IBGE_2!H$211/100</f>
        <v>2.4849999999999999</v>
      </c>
      <c r="I211" s="142">
        <f>B211*IBGE_2!I$211/100</f>
        <v>2.2080000000000002</v>
      </c>
      <c r="J211" s="142">
        <f>B211*IBGE_2!J$211/100</f>
        <v>0.27500000000000002</v>
      </c>
      <c r="K211" s="142">
        <f>B211*IBGE_2!K$211/100</f>
        <v>8.2759999999999998</v>
      </c>
      <c r="L211" s="142">
        <f>B211*IBGE_2!L$211/100</f>
        <v>25.536999999999999</v>
      </c>
      <c r="M211" s="142">
        <f>B211*IBGE_2!M$211/100</f>
        <v>1.1599999999999999</v>
      </c>
      <c r="N211" s="142">
        <f>B211*IBGE_2!N$211/100</f>
        <v>94.043000000000006</v>
      </c>
      <c r="O211" s="142">
        <f>B211*IBGE_2!O$211/100</f>
        <v>19.725999999999999</v>
      </c>
      <c r="P211" s="142">
        <f>B211*IBGE_2!P$211/100</f>
        <v>0.20899999999999999</v>
      </c>
      <c r="Q211" s="142">
        <f>B211*IBGE_2!Q$211/100</f>
        <v>101.25700000000001</v>
      </c>
      <c r="R211" s="142">
        <f>B211*IBGE_2!R$211/100</f>
        <v>0.86900000000000011</v>
      </c>
      <c r="S211" s="142">
        <f>B211*IBGE_2!S$211/100</f>
        <v>429.67599999999999</v>
      </c>
      <c r="T211" s="142">
        <f>B211*IBGE_2!T$211/100</f>
        <v>128.161</v>
      </c>
      <c r="U211" s="142">
        <f>B211*IBGE_2!U$211/100</f>
        <v>7.2999999999999995E-2</v>
      </c>
      <c r="V211" s="142">
        <f>B211*IBGE_2!V$211/100</f>
        <v>0.63700000000000001</v>
      </c>
      <c r="W211" s="142">
        <f>B211*IBGE_2!W$211/100</f>
        <v>33.878</v>
      </c>
      <c r="X211" s="142">
        <f>B211*IBGE_2!X$211/100</f>
        <v>0.20300000000000001</v>
      </c>
      <c r="Y211" s="142">
        <f>B211*IBGE_2!Y$211/100</f>
        <v>0.19500000000000001</v>
      </c>
      <c r="Z211" s="142">
        <f>B211*IBGE_2!Z$211/100</f>
        <v>5.800000000000001E-2</v>
      </c>
      <c r="AA211" s="142">
        <f>B211*IBGE_2!AA$211/100</f>
        <v>1.1339999999999999</v>
      </c>
      <c r="AB211" s="142">
        <f>B211*IBGE_2!AB$211/100</f>
        <v>9.1999999999999998E-2</v>
      </c>
      <c r="AC211" s="142">
        <f>B211*IBGE_2!AC$211/100</f>
        <v>2.452</v>
      </c>
      <c r="AD211" s="142">
        <f>B211*IBGE_2!AD$211/100</f>
        <v>0.214</v>
      </c>
      <c r="AE211" s="142">
        <f>B211*IBGE_2!AE$211/100</f>
        <v>81.111999999999995</v>
      </c>
      <c r="AF211" s="142">
        <f>B211*IBGE_2!AF$211/100</f>
        <v>0.373</v>
      </c>
      <c r="AG211" s="142">
        <f>B211*IBGE_2!AG$211/100</f>
        <v>0.42699999999999994</v>
      </c>
      <c r="AH211" s="142">
        <f>B211*IBGE_2!AH$211/100</f>
        <v>0.20300000000000001</v>
      </c>
      <c r="AI211" s="142" t="s">
        <v>3047</v>
      </c>
      <c r="AJ211" s="142">
        <f>B211*IBGE_2!AJ$211/100</f>
        <v>20.213000000000001</v>
      </c>
      <c r="AK211" s="142">
        <f>B211*IBGE_2!AK$211/100</f>
        <v>33.491999999999997</v>
      </c>
      <c r="AL211" s="142">
        <f>B211*IBGE_2!AL$211/100</f>
        <v>4.4820000000000002</v>
      </c>
      <c r="AM211" s="142">
        <f>B211*IBGE_2!AM$211/100</f>
        <v>1.7280000000000002</v>
      </c>
      <c r="AN211" s="161"/>
    </row>
    <row r="212" spans="1:40">
      <c r="A212" s="143" t="s">
        <v>1271</v>
      </c>
      <c r="B212" s="141">
        <v>100</v>
      </c>
      <c r="C212" s="142">
        <f>B212*IBGE_2!C$212/100</f>
        <v>369.15199999999999</v>
      </c>
      <c r="D212" s="142">
        <f>B212*IBGE_2!D$212/100</f>
        <v>24.05</v>
      </c>
      <c r="E212" s="142">
        <f>B212*IBGE_2!E$212/100</f>
        <v>0.49299999999999999</v>
      </c>
      <c r="F212" s="142">
        <f>B212*IBGE_2!F$212/100</f>
        <v>0.32200000000000001</v>
      </c>
      <c r="G212" s="142">
        <f>B212*IBGE_2!G$212/100</f>
        <v>0.13</v>
      </c>
      <c r="H212" s="142">
        <f>B212*IBGE_2!H$212/100</f>
        <v>2.1000000000000001E-2</v>
      </c>
      <c r="I212" s="142">
        <f>B212*IBGE_2!I$212/100</f>
        <v>1.2E-2</v>
      </c>
      <c r="J212" s="142">
        <f>B212*IBGE_2!J$212/100</f>
        <v>8.0000000000000002E-3</v>
      </c>
      <c r="K212" s="142">
        <f>B212*IBGE_2!K$212/100</f>
        <v>12.333</v>
      </c>
      <c r="L212" s="142">
        <f>B212*IBGE_2!L$212/100</f>
        <v>68.016999999999996</v>
      </c>
      <c r="M212" s="142" t="s">
        <v>3047</v>
      </c>
      <c r="N212" s="142">
        <f>B212*IBGE_2!N$212/100</f>
        <v>538.28599999999994</v>
      </c>
      <c r="O212" s="142">
        <f>B212*IBGE_2!O$212/100</f>
        <v>194.44499999999999</v>
      </c>
      <c r="P212" s="142">
        <f>B212*IBGE_2!P$212/100</f>
        <v>1.8530000000000002</v>
      </c>
      <c r="Q212" s="142">
        <f>B212*IBGE_2!Q$212/100</f>
        <v>463.3</v>
      </c>
      <c r="R212" s="142">
        <f>B212*IBGE_2!R$212/100</f>
        <v>11.11</v>
      </c>
      <c r="S212" s="142">
        <f>B212*IBGE_2!S$212/100</f>
        <v>351.16</v>
      </c>
      <c r="T212" s="142">
        <f>B212*IBGE_2!T$212/100</f>
        <v>1038.5450000000001</v>
      </c>
      <c r="U212" s="142">
        <f>B212*IBGE_2!U$212/100</f>
        <v>1.298</v>
      </c>
      <c r="V212" s="142">
        <f>B212*IBGE_2!V$212/100</f>
        <v>7.4060000000000006</v>
      </c>
      <c r="W212" s="142">
        <f>B212*IBGE_2!W$212/100</f>
        <v>716.63</v>
      </c>
      <c r="X212" s="142">
        <f>B212*IBGE_2!X$212/100</f>
        <v>0.74</v>
      </c>
      <c r="Y212" s="142">
        <f>B212*IBGE_2!Y$212/100</f>
        <v>0.373</v>
      </c>
      <c r="Z212" s="142">
        <f>B212*IBGE_2!Z$212/100</f>
        <v>1.018</v>
      </c>
      <c r="AA212" s="142">
        <f>B212*IBGE_2!AA$212/100</f>
        <v>12.592000000000001</v>
      </c>
      <c r="AB212" s="142">
        <f>B212*IBGE_2!AB$212/100</f>
        <v>37.036999999999999</v>
      </c>
      <c r="AC212" s="142">
        <f>B212*IBGE_2!AC$212/100</f>
        <v>18.244</v>
      </c>
      <c r="AD212" s="142">
        <f>B212*IBGE_2!AD$212/100</f>
        <v>1.8819999999999999</v>
      </c>
      <c r="AE212" s="142">
        <f>B212*IBGE_2!AE$212/100</f>
        <v>394.36800000000005</v>
      </c>
      <c r="AF212" s="142">
        <f>B212*IBGE_2!AF$212/100</f>
        <v>1.528</v>
      </c>
      <c r="AG212" s="142">
        <f>B212*IBGE_2!AG$212/100</f>
        <v>8.3320000000000007</v>
      </c>
      <c r="AH212" s="142">
        <f>B212*IBGE_2!AH$212/100</f>
        <v>2.7000000000000003E-2</v>
      </c>
      <c r="AI212" s="142" t="s">
        <v>3047</v>
      </c>
      <c r="AJ212" s="142">
        <f>B212*IBGE_2!AJ$212/100</f>
        <v>18.952000000000002</v>
      </c>
      <c r="AK212" s="142">
        <f>B212*IBGE_2!AK$212/100</f>
        <v>716.68700000000001</v>
      </c>
      <c r="AL212" s="142">
        <f>B212*IBGE_2!AL$212/100</f>
        <v>57.576999999999998</v>
      </c>
      <c r="AM212" s="142">
        <f>B212*IBGE_2!AM$212/100</f>
        <v>32.256999999999998</v>
      </c>
      <c r="AN212" s="161"/>
    </row>
    <row r="213" spans="1:40">
      <c r="A213" s="143" t="s">
        <v>1272</v>
      </c>
      <c r="B213" s="141">
        <v>100</v>
      </c>
      <c r="C213" s="142">
        <f>B213*IBGE_2!C$213/100</f>
        <v>142.37200000000001</v>
      </c>
      <c r="D213" s="142">
        <f>B213*IBGE_2!D$213/100</f>
        <v>18.507000000000001</v>
      </c>
      <c r="E213" s="142">
        <f>B213*IBGE_2!E$213/100</f>
        <v>5.3230000000000004</v>
      </c>
      <c r="F213" s="142">
        <f>B213*IBGE_2!F$213/100</f>
        <v>0.82799999999999996</v>
      </c>
      <c r="G213" s="142">
        <f>B213*IBGE_2!G$213/100</f>
        <v>1.1579999999999999</v>
      </c>
      <c r="H213" s="142">
        <f>B213*IBGE_2!H$213/100</f>
        <v>3.0179999999999993</v>
      </c>
      <c r="I213" s="142">
        <f>B213*IBGE_2!I$213/100</f>
        <v>2.673</v>
      </c>
      <c r="J213" s="142">
        <f>B213*IBGE_2!J$213/100</f>
        <v>0.34499999999999997</v>
      </c>
      <c r="K213" s="142" t="s">
        <v>3047</v>
      </c>
      <c r="L213" s="142">
        <f>B213*IBGE_2!L$213/100</f>
        <v>5.8029999999999999</v>
      </c>
      <c r="M213" s="142">
        <f>B213*IBGE_2!M$213/100</f>
        <v>0.44</v>
      </c>
      <c r="N213" s="142">
        <f>B213*IBGE_2!N$213/100</f>
        <v>49.838000000000001</v>
      </c>
      <c r="O213" s="142">
        <f>B213*IBGE_2!O$213/100</f>
        <v>13.019</v>
      </c>
      <c r="P213" s="142">
        <f>B213*IBGE_2!P$213/100</f>
        <v>0.27500000000000002</v>
      </c>
      <c r="Q213" s="142">
        <f>B213*IBGE_2!Q$213/100</f>
        <v>98</v>
      </c>
      <c r="R213" s="142">
        <f>B213*IBGE_2!R$213/100</f>
        <v>2.6210000000000004</v>
      </c>
      <c r="S213" s="142">
        <f>B213*IBGE_2!S$213/100</f>
        <v>455.73400000000004</v>
      </c>
      <c r="T213" s="142">
        <f>B213*IBGE_2!T$213/100</f>
        <v>44.683</v>
      </c>
      <c r="U213" s="142">
        <f>B213*IBGE_2!U$213/100</f>
        <v>9.0999999999999998E-2</v>
      </c>
      <c r="V213" s="142">
        <f>B213*IBGE_2!V$213/100</f>
        <v>0.41299999999999998</v>
      </c>
      <c r="W213" s="142" t="s">
        <v>3047</v>
      </c>
      <c r="X213" s="142">
        <f>B213*IBGE_2!X$213/100</f>
        <v>0.21899999999999997</v>
      </c>
      <c r="Y213" s="142">
        <f>B213*IBGE_2!Y$213/100</f>
        <v>0.18600000000000003</v>
      </c>
      <c r="Z213" s="142">
        <f>B213*IBGE_2!Z$213/100</f>
        <v>0.36399999999999999</v>
      </c>
      <c r="AA213" s="142">
        <f>B213*IBGE_2!AA$213/100</f>
        <v>2.91</v>
      </c>
      <c r="AB213" s="142" t="s">
        <v>3047</v>
      </c>
      <c r="AC213" s="142">
        <f>B213*IBGE_2!AC$213/100</f>
        <v>6.7489999999999997</v>
      </c>
      <c r="AD213" s="142">
        <f>B213*IBGE_2!AD$213/100</f>
        <v>4.3639999999999999</v>
      </c>
      <c r="AE213" s="142">
        <f>B213*IBGE_2!AE$213/100</f>
        <v>18.545000000000002</v>
      </c>
      <c r="AF213" s="142" t="s">
        <v>3047</v>
      </c>
      <c r="AG213" s="142">
        <f>B213*IBGE_2!AG$213/100</f>
        <v>0.40400000000000008</v>
      </c>
      <c r="AH213" s="142">
        <f>B213*IBGE_2!AH$213/100</f>
        <v>2.6000000000000002E-2</v>
      </c>
      <c r="AI213" s="142" t="s">
        <v>3047</v>
      </c>
      <c r="AJ213" s="142">
        <f>B213*IBGE_2!AJ$213/100</f>
        <v>11.041000000000002</v>
      </c>
      <c r="AK213" s="142" t="s">
        <v>3047</v>
      </c>
      <c r="AL213" s="142">
        <f>B213*IBGE_2!AL$213/100</f>
        <v>0.21899999999999997</v>
      </c>
      <c r="AM213" s="142" t="s">
        <v>3047</v>
      </c>
      <c r="AN213" s="161"/>
    </row>
    <row r="214" spans="1:40">
      <c r="A214" s="143" t="s">
        <v>1273</v>
      </c>
      <c r="B214" s="141">
        <v>100</v>
      </c>
      <c r="C214" s="142">
        <f>B214*IBGE_2!C$214/100</f>
        <v>142.37200000000001</v>
      </c>
      <c r="D214" s="142">
        <f>B214*IBGE_2!D$214/100</f>
        <v>18.507000000000001</v>
      </c>
      <c r="E214" s="142">
        <f>B214*IBGE_2!E$214/100</f>
        <v>5.3230000000000004</v>
      </c>
      <c r="F214" s="142">
        <f>B214*IBGE_2!F$214/100</f>
        <v>0.82799999999999996</v>
      </c>
      <c r="G214" s="142">
        <f>B214*IBGE_2!G$214/100</f>
        <v>1.1579999999999999</v>
      </c>
      <c r="H214" s="142">
        <f>B214*IBGE_2!H$214/100</f>
        <v>3.0179999999999993</v>
      </c>
      <c r="I214" s="142">
        <f>B214*IBGE_2!I$214/100</f>
        <v>2.673</v>
      </c>
      <c r="J214" s="142">
        <f>B214*IBGE_2!J$214/100</f>
        <v>0.34499999999999997</v>
      </c>
      <c r="K214" s="142" t="s">
        <v>3047</v>
      </c>
      <c r="L214" s="142">
        <f>B214*IBGE_2!L$214/100</f>
        <v>5.8029999999999999</v>
      </c>
      <c r="M214" s="142">
        <f>B214*IBGE_2!M$214/100</f>
        <v>0.44</v>
      </c>
      <c r="N214" s="142">
        <f>B214*IBGE_2!N$214/100</f>
        <v>49.838000000000001</v>
      </c>
      <c r="O214" s="142">
        <f>B214*IBGE_2!O$214/100</f>
        <v>13.019</v>
      </c>
      <c r="P214" s="142">
        <f>B214*IBGE_2!P$214/100</f>
        <v>0.27500000000000002</v>
      </c>
      <c r="Q214" s="142">
        <f>B214*IBGE_2!Q$214/100</f>
        <v>98</v>
      </c>
      <c r="R214" s="142">
        <f>B214*IBGE_2!R$214/100</f>
        <v>2.6210000000000004</v>
      </c>
      <c r="S214" s="142">
        <f>B214*IBGE_2!S$214/100</f>
        <v>455.73400000000004</v>
      </c>
      <c r="T214" s="142">
        <f>B214*IBGE_2!T$214/100</f>
        <v>44.683</v>
      </c>
      <c r="U214" s="142">
        <f>B214*IBGE_2!U$214/100</f>
        <v>9.0999999999999998E-2</v>
      </c>
      <c r="V214" s="142">
        <f>B214*IBGE_2!V$214/100</f>
        <v>0.41299999999999998</v>
      </c>
      <c r="W214" s="142" t="s">
        <v>3047</v>
      </c>
      <c r="X214" s="142">
        <f>B214*IBGE_2!X$214/100</f>
        <v>0.21899999999999997</v>
      </c>
      <c r="Y214" s="142">
        <f>B214*IBGE_2!Y$214/100</f>
        <v>0.18600000000000003</v>
      </c>
      <c r="Z214" s="142">
        <f>B214*IBGE_2!Z$214/100</f>
        <v>0.36399999999999999</v>
      </c>
      <c r="AA214" s="142">
        <f>B214*IBGE_2!AA$214/100</f>
        <v>2.91</v>
      </c>
      <c r="AB214" s="142" t="s">
        <v>3047</v>
      </c>
      <c r="AC214" s="142">
        <f>B214*IBGE_2!AC$214/100</f>
        <v>6.7489999999999997</v>
      </c>
      <c r="AD214" s="142">
        <f>B214*IBGE_2!AD$214/100</f>
        <v>4.3639999999999999</v>
      </c>
      <c r="AE214" s="142">
        <f>B214*IBGE_2!AE$214/100</f>
        <v>18.545000000000002</v>
      </c>
      <c r="AF214" s="142" t="s">
        <v>3047</v>
      </c>
      <c r="AG214" s="142">
        <f>B214*IBGE_2!AG$214/100</f>
        <v>0.40400000000000008</v>
      </c>
      <c r="AH214" s="142">
        <f>B214*IBGE_2!AH$214/100</f>
        <v>2.6000000000000002E-2</v>
      </c>
      <c r="AI214" s="142" t="s">
        <v>3047</v>
      </c>
      <c r="AJ214" s="142">
        <f>B214*IBGE_2!AJ$214/100</f>
        <v>11.041000000000002</v>
      </c>
      <c r="AK214" s="142" t="s">
        <v>3047</v>
      </c>
      <c r="AL214" s="142">
        <f>B214*IBGE_2!AL$214/100</f>
        <v>0.21899999999999997</v>
      </c>
      <c r="AM214" s="142" t="s">
        <v>3047</v>
      </c>
      <c r="AN214" s="161"/>
    </row>
    <row r="215" spans="1:40">
      <c r="A215" s="143" t="s">
        <v>1274</v>
      </c>
      <c r="B215" s="141">
        <v>100</v>
      </c>
      <c r="C215" s="142">
        <f>B215*IBGE_2!C$215/100</f>
        <v>369.15199999999999</v>
      </c>
      <c r="D215" s="142">
        <f>B215*IBGE_2!D$215/100</f>
        <v>24.05</v>
      </c>
      <c r="E215" s="142">
        <f>B215*IBGE_2!E$215/100</f>
        <v>0.49299999999999999</v>
      </c>
      <c r="F215" s="142">
        <f>B215*IBGE_2!F$215/100</f>
        <v>0.32200000000000001</v>
      </c>
      <c r="G215" s="142">
        <f>B215*IBGE_2!G$215/100</f>
        <v>0.13</v>
      </c>
      <c r="H215" s="142">
        <f>B215*IBGE_2!H$215/100</f>
        <v>2.1000000000000001E-2</v>
      </c>
      <c r="I215" s="142">
        <f>B215*IBGE_2!I$215/100</f>
        <v>1.2E-2</v>
      </c>
      <c r="J215" s="142">
        <f>B215*IBGE_2!J$215/100</f>
        <v>8.0000000000000002E-3</v>
      </c>
      <c r="K215" s="142">
        <f>B215*IBGE_2!K$215/100</f>
        <v>12.333</v>
      </c>
      <c r="L215" s="142">
        <f>B215*IBGE_2!L$215/100</f>
        <v>68.016999999999996</v>
      </c>
      <c r="M215" s="142" t="s">
        <v>3047</v>
      </c>
      <c r="N215" s="142">
        <f>B215*IBGE_2!N$215/100</f>
        <v>538.28599999999994</v>
      </c>
      <c r="O215" s="142">
        <f>B215*IBGE_2!O$215/100</f>
        <v>194.44499999999999</v>
      </c>
      <c r="P215" s="142">
        <f>B215*IBGE_2!P$215/100</f>
        <v>1.8530000000000002</v>
      </c>
      <c r="Q215" s="142">
        <f>B215*IBGE_2!Q$215/100</f>
        <v>463.3</v>
      </c>
      <c r="R215" s="142">
        <f>B215*IBGE_2!R$215/100</f>
        <v>11.11</v>
      </c>
      <c r="S215" s="142">
        <f>B215*IBGE_2!S$215/100</f>
        <v>351.16</v>
      </c>
      <c r="T215" s="142">
        <f>B215*IBGE_2!T$215/100</f>
        <v>1038.5450000000001</v>
      </c>
      <c r="U215" s="142">
        <f>B215*IBGE_2!U$215/100</f>
        <v>1.298</v>
      </c>
      <c r="V215" s="142">
        <f>B215*IBGE_2!V$215/100</f>
        <v>7.4060000000000006</v>
      </c>
      <c r="W215" s="142">
        <f>B215*IBGE_2!W$215/100</f>
        <v>716.63</v>
      </c>
      <c r="X215" s="142">
        <f>B215*IBGE_2!X$215/100</f>
        <v>0.74</v>
      </c>
      <c r="Y215" s="142">
        <f>B215*IBGE_2!Y$215/100</f>
        <v>0.373</v>
      </c>
      <c r="Z215" s="142">
        <f>B215*IBGE_2!Z$215/100</f>
        <v>1.018</v>
      </c>
      <c r="AA215" s="142">
        <f>B215*IBGE_2!AA$215/100</f>
        <v>12.592000000000001</v>
      </c>
      <c r="AB215" s="142">
        <f>B215*IBGE_2!AB$215/100</f>
        <v>37.036999999999999</v>
      </c>
      <c r="AC215" s="142">
        <f>B215*IBGE_2!AC$215/100</f>
        <v>18.244</v>
      </c>
      <c r="AD215" s="142">
        <f>B215*IBGE_2!AD$215/100</f>
        <v>1.8819999999999999</v>
      </c>
      <c r="AE215" s="142">
        <f>B215*IBGE_2!AE$215/100</f>
        <v>394.36800000000005</v>
      </c>
      <c r="AF215" s="142">
        <f>B215*IBGE_2!AF$215/100</f>
        <v>1.528</v>
      </c>
      <c r="AG215" s="142">
        <f>B215*IBGE_2!AG$215/100</f>
        <v>8.3320000000000007</v>
      </c>
      <c r="AH215" s="142">
        <f>B215*IBGE_2!AH$215/100</f>
        <v>2.7000000000000003E-2</v>
      </c>
      <c r="AI215" s="142" t="s">
        <v>3047</v>
      </c>
      <c r="AJ215" s="142">
        <f>B215*IBGE_2!AJ$215/100</f>
        <v>18.952000000000002</v>
      </c>
      <c r="AK215" s="142">
        <f>B215*IBGE_2!AK$215/100</f>
        <v>716.68700000000001</v>
      </c>
      <c r="AL215" s="142">
        <f>B215*IBGE_2!AL$215/100</f>
        <v>57.576999999999998</v>
      </c>
      <c r="AM215" s="142">
        <f>B215*IBGE_2!AM$215/100</f>
        <v>32.256999999999998</v>
      </c>
      <c r="AN215" s="161"/>
    </row>
    <row r="216" spans="1:40">
      <c r="A216" s="143" t="s">
        <v>1275</v>
      </c>
      <c r="B216" s="141">
        <v>100</v>
      </c>
      <c r="C216" s="142">
        <f>B216*IBGE_2!C$216/100</f>
        <v>365</v>
      </c>
      <c r="D216" s="142">
        <f>B216*IBGE_2!D$216/100</f>
        <v>7.2</v>
      </c>
      <c r="E216" s="142">
        <f>B216*IBGE_2!E$216/100</f>
        <v>1</v>
      </c>
      <c r="F216" s="142" t="s">
        <v>3047</v>
      </c>
      <c r="G216" s="142" t="s">
        <v>3047</v>
      </c>
      <c r="H216" s="142" t="s">
        <v>3047</v>
      </c>
      <c r="I216" s="142" t="s">
        <v>3047</v>
      </c>
      <c r="J216" s="142" t="s">
        <v>3047</v>
      </c>
      <c r="K216" s="142" t="s">
        <v>3047</v>
      </c>
      <c r="L216" s="142">
        <f>B216*IBGE_2!L$216/100</f>
        <v>83.8</v>
      </c>
      <c r="M216" s="142">
        <f>B216*IBGE_2!M$216/100</f>
        <v>4.0999999999999996</v>
      </c>
      <c r="N216" s="142">
        <f>B216*IBGE_2!N$216/100</f>
        <v>143</v>
      </c>
      <c r="O216" s="142">
        <f>B216*IBGE_2!O$216/100</f>
        <v>11</v>
      </c>
      <c r="P216" s="142" t="s">
        <v>3047</v>
      </c>
      <c r="Q216" s="142">
        <f>B216*IBGE_2!Q$216/100</f>
        <v>101</v>
      </c>
      <c r="R216" s="142">
        <f>B216*IBGE_2!R$216/100</f>
        <v>3.1</v>
      </c>
      <c r="S216" s="142">
        <f>B216*IBGE_2!S$216/100</f>
        <v>655</v>
      </c>
      <c r="T216" s="142">
        <f>B216*IBGE_2!T$216/100</f>
        <v>83</v>
      </c>
      <c r="U216" s="142">
        <f>B216*IBGE_2!U$216/100</f>
        <v>0.06</v>
      </c>
      <c r="V216" s="142">
        <f>B216*IBGE_2!V$216/100</f>
        <v>7.6</v>
      </c>
      <c r="W216" s="142" t="s">
        <v>3047</v>
      </c>
      <c r="X216" s="142">
        <f>B216*IBGE_2!X$216/100</f>
        <v>0.76</v>
      </c>
      <c r="Y216" s="142">
        <f>B216*IBGE_2!Y$216/100</f>
        <v>1.02</v>
      </c>
      <c r="Z216" s="142">
        <f>B216*IBGE_2!Z$216/100</f>
        <v>2.25</v>
      </c>
      <c r="AA216" s="142">
        <f>B216*IBGE_2!AA$216/100</f>
        <v>11.04</v>
      </c>
      <c r="AB216" s="142" t="s">
        <v>3047</v>
      </c>
      <c r="AC216" s="142" t="s">
        <v>3047</v>
      </c>
      <c r="AD216" s="142" t="s">
        <v>3047</v>
      </c>
      <c r="AE216" s="142" t="s">
        <v>3047</v>
      </c>
      <c r="AF216" s="142" t="s">
        <v>3047</v>
      </c>
      <c r="AG216" s="142" t="s">
        <v>3047</v>
      </c>
      <c r="AH216" s="142" t="s">
        <v>3047</v>
      </c>
      <c r="AI216" s="142" t="s">
        <v>3047</v>
      </c>
      <c r="AJ216" s="142" t="s">
        <v>3047</v>
      </c>
      <c r="AK216" s="142">
        <f>B216*IBGE_2!AK$216/100</f>
        <v>15</v>
      </c>
      <c r="AL216" s="142" t="s">
        <v>3047</v>
      </c>
      <c r="AM216" s="142" t="s">
        <v>3047</v>
      </c>
      <c r="AN216" s="161"/>
    </row>
    <row r="217" spans="1:40">
      <c r="A217" s="143" t="s">
        <v>1276</v>
      </c>
      <c r="B217" s="141">
        <v>100</v>
      </c>
      <c r="C217" s="142">
        <f>B217*IBGE_2!C$217/100</f>
        <v>255.571</v>
      </c>
      <c r="D217" s="142">
        <f>B217*IBGE_2!D$217/100</f>
        <v>14.597000000000001</v>
      </c>
      <c r="E217" s="142">
        <f>B217*IBGE_2!E$217/100</f>
        <v>8.4499999999999993</v>
      </c>
      <c r="F217" s="142">
        <f>B217*IBGE_2!F$217/100</f>
        <v>5.1159999999999997</v>
      </c>
      <c r="G217" s="142">
        <f>B217*IBGE_2!G$217/100</f>
        <v>2.355</v>
      </c>
      <c r="H217" s="142">
        <f>B217*IBGE_2!H$217/100</f>
        <v>0.43</v>
      </c>
      <c r="I217" s="142">
        <f>B217*IBGE_2!I$217/100</f>
        <v>0.34100000000000003</v>
      </c>
      <c r="J217" s="142">
        <f>B217*IBGE_2!J$217/100</f>
        <v>8.7999999999999995E-2</v>
      </c>
      <c r="K217" s="142">
        <f>B217*IBGE_2!K$217/100</f>
        <v>21.884</v>
      </c>
      <c r="L217" s="142">
        <f>B217*IBGE_2!L$217/100</f>
        <v>29.819000000000003</v>
      </c>
      <c r="M217" s="142">
        <f>B217*IBGE_2!M$217/100</f>
        <v>1.7390000000000001</v>
      </c>
      <c r="N217" s="142">
        <f>B217*IBGE_2!N$217/100</f>
        <v>308.76799999999997</v>
      </c>
      <c r="O217" s="142">
        <f>B217*IBGE_2!O$217/100</f>
        <v>24.059000000000001</v>
      </c>
      <c r="P217" s="142">
        <f>B217*IBGE_2!P$217/100</f>
        <v>0.28799999999999998</v>
      </c>
      <c r="Q217" s="142">
        <f>B217*IBGE_2!Q$217/100</f>
        <v>264.19099999999997</v>
      </c>
      <c r="R217" s="142">
        <f>B217*IBGE_2!R$217/100</f>
        <v>2.1589999999999998</v>
      </c>
      <c r="S217" s="142">
        <f>B217*IBGE_2!S$217/100</f>
        <v>736.75400000000013</v>
      </c>
      <c r="T217" s="142">
        <f>B217*IBGE_2!T$217/100</f>
        <v>184.62</v>
      </c>
      <c r="U217" s="142">
        <f>B217*IBGE_2!U$217/100</f>
        <v>0.106</v>
      </c>
      <c r="V217" s="142">
        <f>B217*IBGE_2!V$217/100</f>
        <v>1.595</v>
      </c>
      <c r="W217" s="142">
        <f>B217*IBGE_2!W$217/100</f>
        <v>51.246000000000002</v>
      </c>
      <c r="X217" s="142">
        <f>B217*IBGE_2!X$217/100</f>
        <v>0.32600000000000001</v>
      </c>
      <c r="Y217" s="142">
        <f>B217*IBGE_2!Y$217/100</f>
        <v>0.35499999999999998</v>
      </c>
      <c r="Z217" s="142">
        <f>B217*IBGE_2!Z$217/100</f>
        <v>9.7000000000000017E-2</v>
      </c>
      <c r="AA217" s="142">
        <f>B217*IBGE_2!AA$217/100</f>
        <v>2.5659999999999998</v>
      </c>
      <c r="AB217" s="142">
        <f>B217*IBGE_2!AB$217/100</f>
        <v>2.1680000000000001</v>
      </c>
      <c r="AC217" s="142">
        <f>B217*IBGE_2!AC$217/100</f>
        <v>7.2629999999999999</v>
      </c>
      <c r="AD217" s="142">
        <f>B217*IBGE_2!AD$217/100</f>
        <v>0.89600000000000013</v>
      </c>
      <c r="AE217" s="142">
        <f>B217*IBGE_2!AE$217/100</f>
        <v>93.332999999999998</v>
      </c>
      <c r="AF217" s="142">
        <f>B217*IBGE_2!AF$217/100</f>
        <v>0.08</v>
      </c>
      <c r="AG217" s="142">
        <f>B217*IBGE_2!AG$217/100</f>
        <v>0.54500000000000004</v>
      </c>
      <c r="AH217" s="142">
        <f>B217*IBGE_2!AH$217/100</f>
        <v>0.16800000000000001</v>
      </c>
      <c r="AI217" s="142" t="s">
        <v>3047</v>
      </c>
      <c r="AJ217" s="142">
        <f>B217*IBGE_2!AJ$217/100</f>
        <v>17.98</v>
      </c>
      <c r="AK217" s="142">
        <f>B217*IBGE_2!AK$217/100</f>
        <v>57.591999999999999</v>
      </c>
      <c r="AL217" s="142">
        <f>B217*IBGE_2!AL$217/100</f>
        <v>2.194</v>
      </c>
      <c r="AM217" s="142">
        <f>B217*IBGE_2!AM$217/100</f>
        <v>0.44299999999999995</v>
      </c>
      <c r="AN217" s="161"/>
    </row>
    <row r="218" spans="1:40">
      <c r="A218" s="143" t="s">
        <v>1277</v>
      </c>
      <c r="B218" s="141">
        <v>100</v>
      </c>
      <c r="C218" s="142">
        <f>B218*IBGE_2!C$218/100</f>
        <v>189.86199999999999</v>
      </c>
      <c r="D218" s="142">
        <f>B218*IBGE_2!D$218/100</f>
        <v>5.6449999999999996</v>
      </c>
      <c r="E218" s="142">
        <f>B218*IBGE_2!E$218/100</f>
        <v>7.1769999999999996</v>
      </c>
      <c r="F218" s="142">
        <f>B218*IBGE_2!F$218/100</f>
        <v>2.363</v>
      </c>
      <c r="G218" s="142">
        <f>B218*IBGE_2!G$218/100</f>
        <v>1.8220000000000001</v>
      </c>
      <c r="H218" s="142">
        <f>B218*IBGE_2!H$218/100</f>
        <v>2.4849999999999999</v>
      </c>
      <c r="I218" s="142">
        <f>B218*IBGE_2!I$218/100</f>
        <v>2.2080000000000002</v>
      </c>
      <c r="J218" s="142">
        <f>B218*IBGE_2!J$218/100</f>
        <v>0.27500000000000002</v>
      </c>
      <c r="K218" s="142">
        <f>B218*IBGE_2!K$218/100</f>
        <v>8.2759999999999998</v>
      </c>
      <c r="L218" s="142">
        <f>B218*IBGE_2!L$218/100</f>
        <v>25.536999999999999</v>
      </c>
      <c r="M218" s="142">
        <f>B218*IBGE_2!M$218/100</f>
        <v>1.1599999999999999</v>
      </c>
      <c r="N218" s="142">
        <f>B218*IBGE_2!N$218/100</f>
        <v>94.043000000000006</v>
      </c>
      <c r="O218" s="142">
        <f>B218*IBGE_2!O$218/100</f>
        <v>19.725999999999999</v>
      </c>
      <c r="P218" s="142">
        <f>B218*IBGE_2!P$218/100</f>
        <v>0.20899999999999999</v>
      </c>
      <c r="Q218" s="142">
        <f>B218*IBGE_2!Q$218/100</f>
        <v>101.25700000000001</v>
      </c>
      <c r="R218" s="142">
        <f>B218*IBGE_2!R$218/100</f>
        <v>0.86900000000000011</v>
      </c>
      <c r="S218" s="142">
        <f>B218*IBGE_2!S$218/100</f>
        <v>429.67599999999999</v>
      </c>
      <c r="T218" s="142">
        <f>B218*IBGE_2!T$218/100</f>
        <v>128.161</v>
      </c>
      <c r="U218" s="142">
        <f>B218*IBGE_2!U$218/100</f>
        <v>7.2999999999999995E-2</v>
      </c>
      <c r="V218" s="142">
        <f>B218*IBGE_2!V$218/100</f>
        <v>0.63700000000000001</v>
      </c>
      <c r="W218" s="142">
        <f>B218*IBGE_2!W$218/100</f>
        <v>33.878</v>
      </c>
      <c r="X218" s="142">
        <f>B218*IBGE_2!X$218/100</f>
        <v>0.20300000000000001</v>
      </c>
      <c r="Y218" s="142">
        <f>B218*IBGE_2!Y$218/100</f>
        <v>0.19500000000000001</v>
      </c>
      <c r="Z218" s="142">
        <f>B218*IBGE_2!Z$218/100</f>
        <v>5.800000000000001E-2</v>
      </c>
      <c r="AA218" s="142">
        <f>B218*IBGE_2!AA$218/100</f>
        <v>1.1339999999999999</v>
      </c>
      <c r="AB218" s="142">
        <f>B218*IBGE_2!AB$218/100</f>
        <v>9.1999999999999998E-2</v>
      </c>
      <c r="AC218" s="142">
        <f>B218*IBGE_2!AC$218/100</f>
        <v>2.452</v>
      </c>
      <c r="AD218" s="142">
        <f>B218*IBGE_2!AD$218/100</f>
        <v>0.214</v>
      </c>
      <c r="AE218" s="142">
        <f>B218*IBGE_2!AE$218/100</f>
        <v>81.111999999999995</v>
      </c>
      <c r="AF218" s="142">
        <f>B218*IBGE_2!AF$218/100</f>
        <v>0.373</v>
      </c>
      <c r="AG218" s="142">
        <f>B218*IBGE_2!AG$218/100</f>
        <v>0.42699999999999994</v>
      </c>
      <c r="AH218" s="142">
        <f>B218*IBGE_2!AH$218/100</f>
        <v>0.20300000000000001</v>
      </c>
      <c r="AI218" s="142" t="s">
        <v>3047</v>
      </c>
      <c r="AJ218" s="142">
        <f>B218*IBGE_2!AJ$218/100</f>
        <v>20.213000000000001</v>
      </c>
      <c r="AK218" s="142">
        <f>B218*IBGE_2!AK$218/100</f>
        <v>33.491999999999997</v>
      </c>
      <c r="AL218" s="142">
        <f>B218*IBGE_2!AL$218/100</f>
        <v>4.4820000000000002</v>
      </c>
      <c r="AM218" s="142">
        <f>B218*IBGE_2!AM$218/100</f>
        <v>1.7280000000000002</v>
      </c>
      <c r="AN218" s="161"/>
    </row>
    <row r="219" spans="1:40">
      <c r="A219" s="143" t="s">
        <v>1278</v>
      </c>
      <c r="B219" s="141">
        <v>100</v>
      </c>
      <c r="C219" s="142">
        <f>B219*IBGE_2!C$219/100</f>
        <v>189.86199999999999</v>
      </c>
      <c r="D219" s="142">
        <f>B219*IBGE_2!D$219/100</f>
        <v>5.6449999999999996</v>
      </c>
      <c r="E219" s="142">
        <f>B219*IBGE_2!E$219/100</f>
        <v>7.1769999999999996</v>
      </c>
      <c r="F219" s="142">
        <f>B219*IBGE_2!F$219/100</f>
        <v>2.363</v>
      </c>
      <c r="G219" s="142">
        <f>B219*IBGE_2!G$219/100</f>
        <v>1.8220000000000001</v>
      </c>
      <c r="H219" s="142">
        <f>B219*IBGE_2!H$219/100</f>
        <v>2.4849999999999999</v>
      </c>
      <c r="I219" s="142">
        <f>B219*IBGE_2!I$219/100</f>
        <v>2.2080000000000002</v>
      </c>
      <c r="J219" s="142">
        <f>B219*IBGE_2!J$219/100</f>
        <v>0.27500000000000002</v>
      </c>
      <c r="K219" s="142">
        <f>B219*IBGE_2!K$219/100</f>
        <v>8.2759999999999998</v>
      </c>
      <c r="L219" s="142">
        <f>B219*IBGE_2!L$219/100</f>
        <v>25.536999999999999</v>
      </c>
      <c r="M219" s="142">
        <f>B219*IBGE_2!M$219/100</f>
        <v>1.1599999999999999</v>
      </c>
      <c r="N219" s="142">
        <f>B219*IBGE_2!N$219/100</f>
        <v>94.043000000000006</v>
      </c>
      <c r="O219" s="142">
        <f>B219*IBGE_2!O$219/100</f>
        <v>19.725999999999999</v>
      </c>
      <c r="P219" s="142">
        <f>B219*IBGE_2!P$219/100</f>
        <v>0.20899999999999999</v>
      </c>
      <c r="Q219" s="142">
        <f>B219*IBGE_2!Q$219/100</f>
        <v>101.25700000000001</v>
      </c>
      <c r="R219" s="142">
        <f>B219*IBGE_2!R$219/100</f>
        <v>0.86900000000000011</v>
      </c>
      <c r="S219" s="142">
        <f>B219*IBGE_2!S$219/100</f>
        <v>429.67599999999999</v>
      </c>
      <c r="T219" s="142">
        <f>B219*IBGE_2!T$219/100</f>
        <v>128.161</v>
      </c>
      <c r="U219" s="142">
        <f>B219*IBGE_2!U$219/100</f>
        <v>7.2999999999999995E-2</v>
      </c>
      <c r="V219" s="142">
        <f>B219*IBGE_2!V$219/100</f>
        <v>0.63700000000000001</v>
      </c>
      <c r="W219" s="142">
        <f>B219*IBGE_2!W$219/100</f>
        <v>33.878</v>
      </c>
      <c r="X219" s="142">
        <f>B219*IBGE_2!X$219/100</f>
        <v>0.20300000000000001</v>
      </c>
      <c r="Y219" s="142">
        <f>B219*IBGE_2!Y$219/100</f>
        <v>0.19500000000000001</v>
      </c>
      <c r="Z219" s="142">
        <f>B219*IBGE_2!Z$219/100</f>
        <v>5.800000000000001E-2</v>
      </c>
      <c r="AA219" s="142">
        <f>B219*IBGE_2!AA$219/100</f>
        <v>1.1339999999999999</v>
      </c>
      <c r="AB219" s="142">
        <f>B219*IBGE_2!AB$219/100</f>
        <v>9.1999999999999998E-2</v>
      </c>
      <c r="AC219" s="142">
        <f>B219*IBGE_2!AC$219/100</f>
        <v>2.452</v>
      </c>
      <c r="AD219" s="142">
        <f>B219*IBGE_2!AD$219/100</f>
        <v>0.214</v>
      </c>
      <c r="AE219" s="142">
        <f>B219*IBGE_2!AE$219/100</f>
        <v>81.111999999999995</v>
      </c>
      <c r="AF219" s="142">
        <f>B219*IBGE_2!AF$219/100</f>
        <v>0.373</v>
      </c>
      <c r="AG219" s="142">
        <f>B219*IBGE_2!AG$219/100</f>
        <v>0.42699999999999994</v>
      </c>
      <c r="AH219" s="142">
        <f>B219*IBGE_2!AH$219/100</f>
        <v>0.20300000000000001</v>
      </c>
      <c r="AI219" s="142" t="s">
        <v>3047</v>
      </c>
      <c r="AJ219" s="142">
        <f>B219*IBGE_2!AJ$219/100</f>
        <v>20.213000000000001</v>
      </c>
      <c r="AK219" s="142">
        <f>B219*IBGE_2!AK$219/100</f>
        <v>33.491999999999997</v>
      </c>
      <c r="AL219" s="142">
        <f>B219*IBGE_2!AL$219/100</f>
        <v>4.4820000000000002</v>
      </c>
      <c r="AM219" s="142">
        <f>B219*IBGE_2!AM$219/100</f>
        <v>1.7280000000000002</v>
      </c>
      <c r="AN219" s="161"/>
    </row>
    <row r="220" spans="1:40">
      <c r="A220" s="143" t="s">
        <v>1279</v>
      </c>
      <c r="B220" s="141">
        <v>100</v>
      </c>
      <c r="C220" s="142">
        <f>B220*IBGE_2!C$220/100</f>
        <v>142.37200000000001</v>
      </c>
      <c r="D220" s="142">
        <f>B220*IBGE_2!D$220/100</f>
        <v>18.507000000000001</v>
      </c>
      <c r="E220" s="142">
        <f>B220*IBGE_2!E$220/100</f>
        <v>5.3230000000000004</v>
      </c>
      <c r="F220" s="142">
        <f>B220*IBGE_2!F$220/100</f>
        <v>0.82799999999999996</v>
      </c>
      <c r="G220" s="142">
        <f>B220*IBGE_2!G$220/100</f>
        <v>1.1579999999999999</v>
      </c>
      <c r="H220" s="142">
        <f>B220*IBGE_2!H$220/100</f>
        <v>3.0179999999999993</v>
      </c>
      <c r="I220" s="142">
        <f>B220*IBGE_2!I$220/100</f>
        <v>2.673</v>
      </c>
      <c r="J220" s="142">
        <f>B220*IBGE_2!J$220/100</f>
        <v>0.34499999999999997</v>
      </c>
      <c r="K220" s="142" t="s">
        <v>3047</v>
      </c>
      <c r="L220" s="142">
        <f>B220*IBGE_2!L$220/100</f>
        <v>5.8029999999999999</v>
      </c>
      <c r="M220" s="142">
        <f>B220*IBGE_2!M$220/100</f>
        <v>0.44</v>
      </c>
      <c r="N220" s="142">
        <f>B220*IBGE_2!N$220/100</f>
        <v>49.838000000000001</v>
      </c>
      <c r="O220" s="142">
        <f>B220*IBGE_2!O$220/100</f>
        <v>13.019</v>
      </c>
      <c r="P220" s="142">
        <f>B220*IBGE_2!P$220/100</f>
        <v>0.27500000000000002</v>
      </c>
      <c r="Q220" s="142">
        <f>B220*IBGE_2!Q$220/100</f>
        <v>98</v>
      </c>
      <c r="R220" s="142">
        <f>B220*IBGE_2!R$220/100</f>
        <v>2.6210000000000004</v>
      </c>
      <c r="S220" s="142">
        <f>B220*IBGE_2!S$220/100</f>
        <v>455.73400000000004</v>
      </c>
      <c r="T220" s="142">
        <f>B220*IBGE_2!T$220/100</f>
        <v>44.683</v>
      </c>
      <c r="U220" s="142">
        <f>B220*IBGE_2!U$220/100</f>
        <v>9.0999999999999998E-2</v>
      </c>
      <c r="V220" s="142">
        <f>B220*IBGE_2!V$220/100</f>
        <v>0.41299999999999998</v>
      </c>
      <c r="W220" s="142" t="s">
        <v>3047</v>
      </c>
      <c r="X220" s="142">
        <f>B220*IBGE_2!X$220/100</f>
        <v>0.21899999999999997</v>
      </c>
      <c r="Y220" s="142">
        <f>B220*IBGE_2!Y$220/100</f>
        <v>0.18600000000000003</v>
      </c>
      <c r="Z220" s="142">
        <f>B220*IBGE_2!Z$220/100</f>
        <v>0.36399999999999999</v>
      </c>
      <c r="AA220" s="142">
        <f>B220*IBGE_2!AA$220/100</f>
        <v>2.91</v>
      </c>
      <c r="AB220" s="142" t="s">
        <v>3047</v>
      </c>
      <c r="AC220" s="142">
        <f>B220*IBGE_2!AC$220/100</f>
        <v>6.7489999999999997</v>
      </c>
      <c r="AD220" s="142">
        <f>B220*IBGE_2!AD$220/100</f>
        <v>4.3639999999999999</v>
      </c>
      <c r="AE220" s="142">
        <f>B220*IBGE_2!AE$220/100</f>
        <v>18.545000000000002</v>
      </c>
      <c r="AF220" s="142" t="s">
        <v>3047</v>
      </c>
      <c r="AG220" s="142">
        <f>B220*IBGE_2!AG$220/100</f>
        <v>0.40400000000000008</v>
      </c>
      <c r="AH220" s="142">
        <f>B220*IBGE_2!AH$220/100</f>
        <v>2.6000000000000002E-2</v>
      </c>
      <c r="AI220" s="142" t="s">
        <v>3047</v>
      </c>
      <c r="AJ220" s="142">
        <f>B220*IBGE_2!AJ$220/100</f>
        <v>11.041000000000002</v>
      </c>
      <c r="AK220" s="142" t="s">
        <v>3047</v>
      </c>
      <c r="AL220" s="142">
        <f>B220*IBGE_2!AL$220/100</f>
        <v>0.21899999999999997</v>
      </c>
      <c r="AM220" s="142" t="s">
        <v>3047</v>
      </c>
      <c r="AN220" s="161"/>
    </row>
    <row r="221" spans="1:40">
      <c r="A221" s="143" t="s">
        <v>1280</v>
      </c>
      <c r="B221" s="141">
        <v>100</v>
      </c>
      <c r="C221" s="142">
        <f>B221*IBGE_2!C$221/100</f>
        <v>120.586</v>
      </c>
      <c r="D221" s="142">
        <f>B221*IBGE_2!D$221/100</f>
        <v>6.2229999999999999</v>
      </c>
      <c r="E221" s="142">
        <f>B221*IBGE_2!E$221/100</f>
        <v>2.7869999999999999</v>
      </c>
      <c r="F221" s="142">
        <f>B221*IBGE_2!F$221/100</f>
        <v>0.74199999999999999</v>
      </c>
      <c r="G221" s="142">
        <f>B221*IBGE_2!G$221/100</f>
        <v>0.82699999999999985</v>
      </c>
      <c r="H221" s="142">
        <f>B221*IBGE_2!H$221/100</f>
        <v>0.82799999999999996</v>
      </c>
      <c r="I221" s="142">
        <f>B221*IBGE_2!I$221/100</f>
        <v>0.73099999999999998</v>
      </c>
      <c r="J221" s="142">
        <f>B221*IBGE_2!J$221/100</f>
        <v>9.0999999999999998E-2</v>
      </c>
      <c r="K221" s="142">
        <f>B221*IBGE_2!K$221/100</f>
        <v>9.4309999999999992</v>
      </c>
      <c r="L221" s="142">
        <f>B221*IBGE_2!L$221/100</f>
        <v>17.417999999999999</v>
      </c>
      <c r="M221" s="142">
        <f>B221*IBGE_2!M$221/100</f>
        <v>1.25</v>
      </c>
      <c r="N221" s="142">
        <f>B221*IBGE_2!N$221/100</f>
        <v>12.244000000000002</v>
      </c>
      <c r="O221" s="142">
        <f>B221*IBGE_2!O$221/100</f>
        <v>15.385</v>
      </c>
      <c r="P221" s="142">
        <f>B221*IBGE_2!P$221/100</f>
        <v>0.21</v>
      </c>
      <c r="Q221" s="142">
        <f>B221*IBGE_2!Q$221/100</f>
        <v>61.222999999999999</v>
      </c>
      <c r="R221" s="142">
        <f>B221*IBGE_2!R$221/100</f>
        <v>1.3380000000000001</v>
      </c>
      <c r="S221" s="142">
        <f>B221*IBGE_2!S$221/100</f>
        <v>82.207999999999998</v>
      </c>
      <c r="T221" s="142">
        <f>B221*IBGE_2!T$221/100</f>
        <v>137.203</v>
      </c>
      <c r="U221" s="142">
        <f>B221*IBGE_2!U$221/100</f>
        <v>8.7999999999999995E-2</v>
      </c>
      <c r="V221" s="142">
        <f>B221*IBGE_2!V$221/100</f>
        <v>1.054</v>
      </c>
      <c r="W221" s="142" t="s">
        <v>3047</v>
      </c>
      <c r="X221" s="142">
        <f>B221*IBGE_2!X$221/100</f>
        <v>0.156</v>
      </c>
      <c r="Y221" s="142">
        <f>B221*IBGE_2!Y$221/100</f>
        <v>9.6000000000000002E-2</v>
      </c>
      <c r="Z221" s="142">
        <f>B221*IBGE_2!Z$221/100</f>
        <v>9.4E-2</v>
      </c>
      <c r="AA221" s="142">
        <f>B221*IBGE_2!AA$221/100</f>
        <v>1.6140000000000001</v>
      </c>
      <c r="AB221" s="142">
        <f>B221*IBGE_2!AB$221/100</f>
        <v>8.9369999999999994</v>
      </c>
      <c r="AC221" s="142">
        <f>B221*IBGE_2!AC$221/100</f>
        <v>2.6419999999999999</v>
      </c>
      <c r="AD221" s="142">
        <f>B221*IBGE_2!AD$221/100</f>
        <v>0.27400000000000002</v>
      </c>
      <c r="AE221" s="142">
        <f>B221*IBGE_2!AE$221/100</f>
        <v>69.108999999999995</v>
      </c>
      <c r="AF221" s="142">
        <f>B221*IBGE_2!AF$221/100</f>
        <v>4.9000000000000002E-2</v>
      </c>
      <c r="AG221" s="142">
        <f>B221*IBGE_2!AG$221/100</f>
        <v>0.34100000000000003</v>
      </c>
      <c r="AH221" s="142">
        <f>B221*IBGE_2!AH$221/100</f>
        <v>8.1000000000000003E-2</v>
      </c>
      <c r="AI221" s="142">
        <f>B221*IBGE_2!AI$221/100</f>
        <v>48</v>
      </c>
      <c r="AJ221" s="142">
        <f>B221*IBGE_2!AJ$221/100</f>
        <v>16.280999999999999</v>
      </c>
      <c r="AK221" s="142">
        <f>B221*IBGE_2!AK$221/100</f>
        <v>12.706</v>
      </c>
      <c r="AL221" s="142">
        <f>B221*IBGE_2!AL$221/100</f>
        <v>1.403</v>
      </c>
      <c r="AM221" s="142">
        <f>B221*IBGE_2!AM$221/100</f>
        <v>0.16</v>
      </c>
      <c r="AN221" s="161"/>
    </row>
    <row r="222" spans="1:40">
      <c r="A222" s="143" t="s">
        <v>1281</v>
      </c>
      <c r="B222" s="141">
        <v>100</v>
      </c>
      <c r="C222" s="142">
        <f>B222*IBGE_2!C$222/100</f>
        <v>163.16800000000001</v>
      </c>
      <c r="D222" s="142">
        <f>B222*IBGE_2!D$222/100</f>
        <v>14.98</v>
      </c>
      <c r="E222" s="142">
        <f>B222*IBGE_2!E$222/100</f>
        <v>4.1340000000000003</v>
      </c>
      <c r="F222" s="142">
        <f>B222*IBGE_2!F$222/100</f>
        <v>0.72399999999999987</v>
      </c>
      <c r="G222" s="142">
        <f>B222*IBGE_2!G$222/100</f>
        <v>0.86499999999999999</v>
      </c>
      <c r="H222" s="142">
        <f>B222*IBGE_2!H$222/100</f>
        <v>2.1589999999999998</v>
      </c>
      <c r="I222" s="142">
        <f>B222*IBGE_2!I$222/100</f>
        <v>1.6339999999999997</v>
      </c>
      <c r="J222" s="142">
        <f>B222*IBGE_2!J$222/100</f>
        <v>0.217</v>
      </c>
      <c r="K222" s="142">
        <f>B222*IBGE_2!K$222/100</f>
        <v>34</v>
      </c>
      <c r="L222" s="142">
        <f>B222*IBGE_2!L$222/100</f>
        <v>15.43</v>
      </c>
      <c r="M222" s="142">
        <f>B222*IBGE_2!M$222/100</f>
        <v>0.9</v>
      </c>
      <c r="N222" s="142">
        <f>B222*IBGE_2!N$222/100</f>
        <v>12.5</v>
      </c>
      <c r="O222" s="142">
        <f>B222*IBGE_2!O$222/100</f>
        <v>38</v>
      </c>
      <c r="P222" s="142">
        <f>B222*IBGE_2!P$222/100</f>
        <v>0.17100000000000001</v>
      </c>
      <c r="Q222" s="142">
        <f>B222*IBGE_2!Q$222/100</f>
        <v>173.5</v>
      </c>
      <c r="R222" s="142">
        <f>B222*IBGE_2!R$222/100</f>
        <v>0.81100000000000005</v>
      </c>
      <c r="S222" s="142">
        <f>B222*IBGE_2!S$222/100</f>
        <v>53</v>
      </c>
      <c r="T222" s="142">
        <f>B222*IBGE_2!T$222/100</f>
        <v>194</v>
      </c>
      <c r="U222" s="142">
        <f>B222*IBGE_2!U$222/100</f>
        <v>6.3E-2</v>
      </c>
      <c r="V222" s="142">
        <f>B222*IBGE_2!V$222/100</f>
        <v>0.56999999999999995</v>
      </c>
      <c r="W222" s="142">
        <f>B222*IBGE_2!W$222/100</f>
        <v>6.5</v>
      </c>
      <c r="X222" s="142">
        <f>B222*IBGE_2!X$222/100</f>
        <v>0.17699999999999999</v>
      </c>
      <c r="Y222" s="142">
        <f>B222*IBGE_2!Y$222/100</f>
        <v>0.125</v>
      </c>
      <c r="Z222" s="142">
        <f>B222*IBGE_2!Z$222/100</f>
        <v>0.14499999999999999</v>
      </c>
      <c r="AA222" s="142">
        <f>B222*IBGE_2!AA$222/100</f>
        <v>1.9340000000000002</v>
      </c>
      <c r="AB222" s="142" t="s">
        <v>3047</v>
      </c>
      <c r="AC222" s="142">
        <f>B222*IBGE_2!AC$222/100</f>
        <v>4.8840000000000003</v>
      </c>
      <c r="AD222" s="142">
        <f>B222*IBGE_2!AD$222/100</f>
        <v>1.2549999999999999</v>
      </c>
      <c r="AE222" s="142">
        <f>B222*IBGE_2!AE$222/100</f>
        <v>66.150000000000006</v>
      </c>
      <c r="AF222" s="142">
        <f>B222*IBGE_2!AF$222/100</f>
        <v>0.55000000000000004</v>
      </c>
      <c r="AG222" s="142">
        <f>B222*IBGE_2!AG$222/100</f>
        <v>0.59799999999999998</v>
      </c>
      <c r="AH222" s="142">
        <f>B222*IBGE_2!AH$222/100</f>
        <v>1.4999999999999999E-2</v>
      </c>
      <c r="AI222" s="142">
        <f>B222*IBGE_2!AI$222/100</f>
        <v>24</v>
      </c>
      <c r="AJ222" s="142">
        <f>B222*IBGE_2!AJ$222/100</f>
        <v>43.631</v>
      </c>
      <c r="AK222" s="142">
        <f>B222*IBGE_2!AK$222/100</f>
        <v>6.5</v>
      </c>
      <c r="AL222" s="142">
        <f>B222*IBGE_2!AL$222/100</f>
        <v>0.28000000000000003</v>
      </c>
      <c r="AM222" s="142" t="s">
        <v>3047</v>
      </c>
      <c r="AN222" s="161"/>
    </row>
    <row r="223" spans="1:40">
      <c r="A223" s="143" t="s">
        <v>1282</v>
      </c>
      <c r="B223" s="141">
        <v>100</v>
      </c>
      <c r="C223" s="142">
        <f>B223*IBGE_2!C$223/100</f>
        <v>354</v>
      </c>
      <c r="D223" s="142">
        <f>B223*IBGE_2!D$223/100</f>
        <v>3.33</v>
      </c>
      <c r="E223" s="142">
        <f>B223*IBGE_2!E$223/100</f>
        <v>33.49</v>
      </c>
      <c r="F223" s="142">
        <f>B223*IBGE_2!F$223/100</f>
        <v>29.7</v>
      </c>
      <c r="G223" s="142">
        <f>B223*IBGE_2!G$223/100</f>
        <v>1.43</v>
      </c>
      <c r="H223" s="142">
        <f>B223*IBGE_2!H$223/100</f>
        <v>0.37</v>
      </c>
      <c r="I223" s="142">
        <f>B223*IBGE_2!I$223/100</f>
        <v>0.37</v>
      </c>
      <c r="J223" s="142" t="s">
        <v>3047</v>
      </c>
      <c r="K223" s="142" t="s">
        <v>3047</v>
      </c>
      <c r="L223" s="142">
        <f>B223*IBGE_2!L$223/100</f>
        <v>15.23</v>
      </c>
      <c r="M223" s="142">
        <f>B223*IBGE_2!M$223/100</f>
        <v>9</v>
      </c>
      <c r="N223" s="142">
        <f>B223*IBGE_2!N$223/100</f>
        <v>14</v>
      </c>
      <c r="O223" s="142">
        <f>B223*IBGE_2!O$223/100</f>
        <v>32</v>
      </c>
      <c r="P223" s="142">
        <f>B223*IBGE_2!P$223/100</f>
        <v>1.5</v>
      </c>
      <c r="Q223" s="142">
        <f>B223*IBGE_2!Q$223/100</f>
        <v>113</v>
      </c>
      <c r="R223" s="142">
        <f>B223*IBGE_2!R$223/100</f>
        <v>2.4300000000000002</v>
      </c>
      <c r="S223" s="142">
        <f>B223*IBGE_2!S$223/100</f>
        <v>20</v>
      </c>
      <c r="T223" s="142">
        <f>B223*IBGE_2!T$223/100</f>
        <v>356</v>
      </c>
      <c r="U223" s="142">
        <f>B223*IBGE_2!U$223/100</f>
        <v>0.44</v>
      </c>
      <c r="V223" s="142">
        <f>B223*IBGE_2!V$223/100</f>
        <v>1.1000000000000001</v>
      </c>
      <c r="W223" s="142" t="s">
        <v>3047</v>
      </c>
      <c r="X223" s="142">
        <f>B223*IBGE_2!X$223/100</f>
        <v>7.0000000000000007E-2</v>
      </c>
      <c r="Y223" s="142">
        <f>B223*IBGE_2!Y$223/100</f>
        <v>0.02</v>
      </c>
      <c r="Z223" s="142">
        <f>B223*IBGE_2!Z$223/100</f>
        <v>0.05</v>
      </c>
      <c r="AA223" s="142">
        <f>B223*IBGE_2!AA$223/100</f>
        <v>0.54</v>
      </c>
      <c r="AB223" s="142">
        <f>B223*IBGE_2!AB$223/100</f>
        <v>3.3</v>
      </c>
      <c r="AC223" s="142">
        <f>B223*IBGE_2!AC$223/100</f>
        <v>1.19</v>
      </c>
      <c r="AD223" s="142" t="s">
        <v>3047</v>
      </c>
      <c r="AE223" s="142">
        <f>B223*IBGE_2!AE$223/100</f>
        <v>26</v>
      </c>
      <c r="AF223" s="142" t="s">
        <v>3047</v>
      </c>
      <c r="AG223" s="142" t="s">
        <v>3047</v>
      </c>
      <c r="AH223" s="142" t="s">
        <v>3047</v>
      </c>
      <c r="AI223" s="162" t="s">
        <v>3047</v>
      </c>
      <c r="AJ223" s="142">
        <f>B223*IBGE_2!AJ$223/100</f>
        <v>10.1</v>
      </c>
      <c r="AK223" s="162" t="s">
        <v>3047</v>
      </c>
      <c r="AL223" s="142">
        <f>B223*IBGE_2!AL$223/100</f>
        <v>3.5</v>
      </c>
      <c r="AM223" s="142" t="s">
        <v>3047</v>
      </c>
      <c r="AN223" s="161"/>
    </row>
    <row r="224" spans="1:40">
      <c r="A224" s="143" t="s">
        <v>1283</v>
      </c>
      <c r="B224" s="141">
        <v>100</v>
      </c>
      <c r="C224" s="142">
        <f>B224*IBGE_2!C$224/100</f>
        <v>131</v>
      </c>
      <c r="D224" s="142">
        <f>B224*IBGE_2!D$224/100</f>
        <v>2</v>
      </c>
      <c r="E224" s="142">
        <f>B224*IBGE_2!E$224/100</f>
        <v>1.38</v>
      </c>
      <c r="F224" s="142">
        <f>B224*IBGE_2!F$224/100</f>
        <v>0.26</v>
      </c>
      <c r="G224" s="142">
        <f>B224*IBGE_2!G$224/100</f>
        <v>0.47599999999999992</v>
      </c>
      <c r="H224" s="142">
        <f>B224*IBGE_2!H$224/100</f>
        <v>0.54500000000000004</v>
      </c>
      <c r="I224" s="142">
        <f>B224*IBGE_2!I$224/100</f>
        <v>0.48699999999999993</v>
      </c>
      <c r="J224" s="142">
        <f>B224*IBGE_2!J$224/100</f>
        <v>5.800000000000001E-2</v>
      </c>
      <c r="K224" s="142" t="s">
        <v>3047</v>
      </c>
      <c r="L224" s="142">
        <f>B224*IBGE_2!L$224/100</f>
        <v>27.76</v>
      </c>
      <c r="M224" s="142">
        <f>B224*IBGE_2!M$224/100</f>
        <v>4.1399999999999997</v>
      </c>
      <c r="N224" s="142">
        <f>B224*IBGE_2!N$224/100</f>
        <v>46</v>
      </c>
      <c r="O224" s="142">
        <f>B224*IBGE_2!O$224/100</f>
        <v>54</v>
      </c>
      <c r="P224" s="142">
        <f>B224*IBGE_2!P$224/100</f>
        <v>0.85399999999999987</v>
      </c>
      <c r="Q224" s="142">
        <f>B224*IBGE_2!Q$224/100</f>
        <v>99</v>
      </c>
      <c r="R224" s="142">
        <f>B224*IBGE_2!R$224/100</f>
        <v>1.73</v>
      </c>
      <c r="S224" s="142">
        <f>B224*IBGE_2!S$224/100</f>
        <v>27</v>
      </c>
      <c r="T224" s="142">
        <f>B224*IBGE_2!T$224/100</f>
        <v>715</v>
      </c>
      <c r="U224" s="142">
        <f>B224*IBGE_2!U$224/100</f>
        <v>0.47199999999999998</v>
      </c>
      <c r="V224" s="142">
        <f>B224*IBGE_2!V$224/100</f>
        <v>0.25</v>
      </c>
      <c r="W224" s="142" t="s">
        <v>3047</v>
      </c>
      <c r="X224" s="142">
        <f>B224*IBGE_2!X$224/100</f>
        <v>0.14799999999999999</v>
      </c>
      <c r="Y224" s="142">
        <f>B224*IBGE_2!Y$224/100</f>
        <v>0.10400000000000001</v>
      </c>
      <c r="Z224" s="142">
        <f>B224*IBGE_2!Z$224/100</f>
        <v>0.23300000000000001</v>
      </c>
      <c r="AA224" s="142">
        <f>B224*IBGE_2!AA$224/100</f>
        <v>0.73099999999999998</v>
      </c>
      <c r="AB224" s="142">
        <f>B224*IBGE_2!AB$224/100</f>
        <v>26.7</v>
      </c>
      <c r="AC224" s="142">
        <f>B224*IBGE_2!AC$224/100</f>
        <v>1.0980000000000001</v>
      </c>
      <c r="AD224" s="142" t="s">
        <v>3047</v>
      </c>
      <c r="AE224" s="142">
        <f>B224*IBGE_2!AE$224/100</f>
        <v>38</v>
      </c>
      <c r="AF224" s="142" t="s">
        <v>3047</v>
      </c>
      <c r="AG224" s="142">
        <f>B224*IBGE_2!AG$224/100</f>
        <v>0.17699999999999999</v>
      </c>
      <c r="AH224" s="142" t="s">
        <v>3047</v>
      </c>
      <c r="AI224" s="162" t="s">
        <v>3047</v>
      </c>
      <c r="AJ224" s="142">
        <f>B224*IBGE_2!AJ$224/100</f>
        <v>0.64</v>
      </c>
      <c r="AK224" s="162" t="s">
        <v>3047</v>
      </c>
      <c r="AL224" s="142">
        <f>B224*IBGE_2!AL$224/100</f>
        <v>4.1539999999999999</v>
      </c>
      <c r="AM224" s="142" t="s">
        <v>3047</v>
      </c>
      <c r="AN224" s="161"/>
    </row>
    <row r="225" spans="1:40">
      <c r="A225" s="143" t="s">
        <v>1284</v>
      </c>
      <c r="B225" s="141">
        <v>100</v>
      </c>
      <c r="C225" s="142">
        <f>B225*IBGE_2!C$225/100</f>
        <v>174.36990200000002</v>
      </c>
      <c r="D225" s="142">
        <f>B225*IBGE_2!D$225/100</f>
        <v>2.9803666666666659</v>
      </c>
      <c r="E225" s="142">
        <f>B225*IBGE_2!E$225/100</f>
        <v>0.747</v>
      </c>
      <c r="F225" s="142">
        <f>B225*IBGE_2!F$225/100</f>
        <v>0.3</v>
      </c>
      <c r="G225" s="142">
        <f>B225*IBGE_2!G$225/100</f>
        <v>0.1</v>
      </c>
      <c r="H225" s="142">
        <f>B225*IBGE_2!H$225/100</f>
        <v>0.2</v>
      </c>
      <c r="I225" s="142">
        <f>B225*IBGE_2!I$225/100</f>
        <v>0.22</v>
      </c>
      <c r="J225" s="142" t="s">
        <v>3047</v>
      </c>
      <c r="K225" s="142" t="s">
        <v>3047</v>
      </c>
      <c r="L225" s="142">
        <f>B225*IBGE_2!L$225/100</f>
        <v>43.917633333333335</v>
      </c>
      <c r="M225" s="142">
        <f>B225*IBGE_2!M$225/100</f>
        <v>15.603333333333302</v>
      </c>
      <c r="N225" s="142">
        <f>B225*IBGE_2!N$225/100</f>
        <v>15.767333333333333</v>
      </c>
      <c r="O225" s="142">
        <f>B225*IBGE_2!O$225/100</f>
        <v>52.974333333333334</v>
      </c>
      <c r="P225" s="142">
        <f>B225*IBGE_2!P$225/100</f>
        <v>0.40933333333333333</v>
      </c>
      <c r="Q225" s="142">
        <f>B225*IBGE_2!Q$225/100</f>
        <v>165.84100000000001</v>
      </c>
      <c r="R225" s="142">
        <f>B225*IBGE_2!R$225/100</f>
        <v>0.7553333333333333</v>
      </c>
      <c r="S225" s="142">
        <f>B225*IBGE_2!S$225/100</f>
        <v>0.86266666666666669</v>
      </c>
      <c r="T225" s="142">
        <f>B225*IBGE_2!T$225/100</f>
        <v>727.00633333333326</v>
      </c>
      <c r="U225" s="142">
        <f>B225*IBGE_2!U$225/100</f>
        <v>0.18333333333333335</v>
      </c>
      <c r="V225" s="142">
        <f>B225*IBGE_2!V$225/100</f>
        <v>0.82699999999999985</v>
      </c>
      <c r="W225" s="142" t="s">
        <v>3047</v>
      </c>
      <c r="X225" s="142" t="s">
        <v>3047</v>
      </c>
      <c r="Y225" s="142" t="s">
        <v>3047</v>
      </c>
      <c r="Z225" s="142" t="s">
        <v>3047</v>
      </c>
      <c r="AA225" s="142" t="s">
        <v>3047</v>
      </c>
      <c r="AB225" s="142">
        <f>B225*IBGE_2!AB$225/100</f>
        <v>27.69</v>
      </c>
      <c r="AC225" s="142" t="s">
        <v>3047</v>
      </c>
      <c r="AD225" s="142" t="s">
        <v>3047</v>
      </c>
      <c r="AE225" s="142" t="s">
        <v>3047</v>
      </c>
      <c r="AF225" s="142" t="s">
        <v>3047</v>
      </c>
      <c r="AG225" s="142" t="s">
        <v>3047</v>
      </c>
      <c r="AH225" s="142" t="s">
        <v>3047</v>
      </c>
      <c r="AI225" s="162" t="s">
        <v>3047</v>
      </c>
      <c r="AJ225" s="145" t="s">
        <v>3047</v>
      </c>
      <c r="AK225" s="162" t="s">
        <v>3047</v>
      </c>
      <c r="AL225" s="145" t="s">
        <v>3047</v>
      </c>
      <c r="AM225" s="142" t="s">
        <v>3047</v>
      </c>
      <c r="AN225" s="161"/>
    </row>
    <row r="226" spans="1:40">
      <c r="A226" s="143" t="s">
        <v>1285</v>
      </c>
      <c r="B226" s="141">
        <v>100</v>
      </c>
      <c r="C226" s="142">
        <f>B226*IBGE_2!C$226/100</f>
        <v>578</v>
      </c>
      <c r="D226" s="142">
        <f>B226*IBGE_2!D$226/100</f>
        <v>21.26</v>
      </c>
      <c r="E226" s="142">
        <f>B226*IBGE_2!E$226/100</f>
        <v>50.64</v>
      </c>
      <c r="F226" s="142">
        <f>B226*IBGE_2!F$226/100</f>
        <v>3.88</v>
      </c>
      <c r="G226" s="142">
        <f>B226*IBGE_2!G$226/100</f>
        <v>32.159999999999997</v>
      </c>
      <c r="H226" s="142">
        <f>B226*IBGE_2!H$226/100</f>
        <v>12.21</v>
      </c>
      <c r="I226" s="142">
        <f>B226*IBGE_2!I$226/100</f>
        <v>12.21</v>
      </c>
      <c r="J226" s="142" t="s">
        <v>3047</v>
      </c>
      <c r="K226" s="142" t="s">
        <v>3047</v>
      </c>
      <c r="L226" s="142">
        <f>B226*IBGE_2!L$226/100</f>
        <v>19.739999999999998</v>
      </c>
      <c r="M226" s="142">
        <f>B226*IBGE_2!M$226/100</f>
        <v>11.8</v>
      </c>
      <c r="N226" s="142">
        <f>B226*IBGE_2!N$226/100</f>
        <v>248</v>
      </c>
      <c r="O226" s="142">
        <f>B226*IBGE_2!O$226/100</f>
        <v>275</v>
      </c>
      <c r="P226" s="142">
        <f>B226*IBGE_2!P$226/100</f>
        <v>2.54</v>
      </c>
      <c r="Q226" s="142">
        <f>B226*IBGE_2!Q$226/100</f>
        <v>474</v>
      </c>
      <c r="R226" s="142">
        <f>B226*IBGE_2!R$226/100</f>
        <v>4.3</v>
      </c>
      <c r="S226" s="142">
        <f>B226*IBGE_2!S$226/100</f>
        <v>1</v>
      </c>
      <c r="T226" s="142">
        <f>B226*IBGE_2!T$226/100</f>
        <v>728</v>
      </c>
      <c r="U226" s="142">
        <f>B226*IBGE_2!U$226/100</f>
        <v>1.1100000000000001</v>
      </c>
      <c r="V226" s="142">
        <f>B226*IBGE_2!V$226/100</f>
        <v>3.36</v>
      </c>
      <c r="W226" s="142" t="s">
        <v>3047</v>
      </c>
      <c r="X226" s="142">
        <f>B226*IBGE_2!X$226/100</f>
        <v>0.24</v>
      </c>
      <c r="Y226" s="142">
        <f>B226*IBGE_2!Y$226/100</f>
        <v>0.81</v>
      </c>
      <c r="Z226" s="142">
        <f>B226*IBGE_2!Z$226/100</f>
        <v>0.13</v>
      </c>
      <c r="AA226" s="142">
        <f>B226*IBGE_2!AA$226/100</f>
        <v>3.93</v>
      </c>
      <c r="AB226" s="142" t="s">
        <v>3047</v>
      </c>
      <c r="AC226" s="142">
        <f>B226*IBGE_2!AC$226/100</f>
        <v>7.13</v>
      </c>
      <c r="AD226" s="142" t="s">
        <v>3047</v>
      </c>
      <c r="AE226" s="142">
        <f>B226*IBGE_2!AE$226/100</f>
        <v>29</v>
      </c>
      <c r="AF226" s="142" t="s">
        <v>3047</v>
      </c>
      <c r="AG226" s="142">
        <f>B226*IBGE_2!AG$226/100</f>
        <v>25.87</v>
      </c>
      <c r="AH226" s="142" t="s">
        <v>3047</v>
      </c>
      <c r="AI226" s="142">
        <f>B226*IBGE_2!AI$226/100</f>
        <v>338</v>
      </c>
      <c r="AJ226" s="142">
        <f>B226*IBGE_2!AJ$226/100</f>
        <v>2.8</v>
      </c>
      <c r="AK226" s="142">
        <f>B226*IBGE_2!AK$226/100</f>
        <v>0.25</v>
      </c>
      <c r="AL226" s="142">
        <f>B226*IBGE_2!AL$226/100</f>
        <v>4.8</v>
      </c>
      <c r="AM226" s="142" t="s">
        <v>3047</v>
      </c>
      <c r="AN226" s="161"/>
    </row>
    <row r="227" spans="1:40">
      <c r="A227" s="143" t="s">
        <v>1286</v>
      </c>
      <c r="B227" s="141">
        <v>100</v>
      </c>
      <c r="C227" s="142">
        <f>B227*IBGE_2!C$227/100</f>
        <v>628</v>
      </c>
      <c r="D227" s="142">
        <f>B227*IBGE_2!D$227/100</f>
        <v>14.95</v>
      </c>
      <c r="E227" s="142">
        <f>B227*IBGE_2!E$227/100</f>
        <v>60.75</v>
      </c>
      <c r="F227" s="142">
        <f>B227*IBGE_2!F$227/100</f>
        <v>4.4640000000000004</v>
      </c>
      <c r="G227" s="142">
        <f>B227*IBGE_2!G$227/100</f>
        <v>45.652000000000001</v>
      </c>
      <c r="H227" s="142">
        <f>B227*IBGE_2!H$227/100</f>
        <v>7.92</v>
      </c>
      <c r="I227" s="142">
        <f>B227*IBGE_2!I$227/100</f>
        <v>7.8330000000000011</v>
      </c>
      <c r="J227" s="142">
        <f>B227*IBGE_2!J$227/100</f>
        <v>8.6999999999999994E-2</v>
      </c>
      <c r="K227" s="142" t="s">
        <v>3047</v>
      </c>
      <c r="L227" s="142">
        <f>B227*IBGE_2!L$227/100</f>
        <v>16.7</v>
      </c>
      <c r="M227" s="142">
        <f>B227*IBGE_2!M$227/100</f>
        <v>9.6999999999999993</v>
      </c>
      <c r="N227" s="142">
        <f>B227*IBGE_2!N$227/100</f>
        <v>114</v>
      </c>
      <c r="O227" s="142">
        <f>B227*IBGE_2!O$227/100</f>
        <v>163</v>
      </c>
      <c r="P227" s="142">
        <f>B227*IBGE_2!P$227/100</f>
        <v>6.1749999999999998</v>
      </c>
      <c r="Q227" s="142">
        <f>B227*IBGE_2!Q$227/100</f>
        <v>290</v>
      </c>
      <c r="R227" s="142">
        <f>B227*IBGE_2!R$227/100</f>
        <v>4.7</v>
      </c>
      <c r="S227" s="142" t="s">
        <v>3047</v>
      </c>
      <c r="T227" s="142">
        <f>B227*IBGE_2!T$227/100</f>
        <v>680</v>
      </c>
      <c r="U227" s="142">
        <f>B227*IBGE_2!U$227/100</f>
        <v>1.7250000000000001</v>
      </c>
      <c r="V227" s="142">
        <f>B227*IBGE_2!V$227/100</f>
        <v>2.4500000000000002</v>
      </c>
      <c r="W227" s="142" t="s">
        <v>3047</v>
      </c>
      <c r="X227" s="142">
        <f>B227*IBGE_2!X$227/100</f>
        <v>0.64300000000000002</v>
      </c>
      <c r="Y227" s="142">
        <f>B227*IBGE_2!Y$227/100</f>
        <v>0.113</v>
      </c>
      <c r="Z227" s="142">
        <f>B227*IBGE_2!Z$227/100</f>
        <v>0.56299999999999994</v>
      </c>
      <c r="AA227" s="142">
        <f>B227*IBGE_2!AA$227/100</f>
        <v>1.8</v>
      </c>
      <c r="AB227" s="142">
        <f>B227*IBGE_2!AB$227/100</f>
        <v>6.3</v>
      </c>
      <c r="AC227" s="142">
        <f>B227*IBGE_2!AC$227/100</f>
        <v>5.0170000000000003</v>
      </c>
      <c r="AD227" s="142" t="s">
        <v>3047</v>
      </c>
      <c r="AE227" s="142">
        <f>B227*IBGE_2!AE$227/100</f>
        <v>113</v>
      </c>
      <c r="AF227" s="142" t="s">
        <v>3047</v>
      </c>
      <c r="AG227" s="142">
        <f>B227*IBGE_2!AG$227/100</f>
        <v>15.03</v>
      </c>
      <c r="AH227" s="142" t="s">
        <v>3047</v>
      </c>
      <c r="AI227" s="145" t="s">
        <v>3047</v>
      </c>
      <c r="AJ227" s="142">
        <f>B227*IBGE_2!AJ$227/100</f>
        <v>2.4</v>
      </c>
      <c r="AK227" s="142">
        <f>B227*IBGE_2!AK$227/100</f>
        <v>1.042</v>
      </c>
      <c r="AL227" s="142">
        <f>B227*IBGE_2!AL$227/100</f>
        <v>4.84</v>
      </c>
      <c r="AM227" s="142" t="s">
        <v>3047</v>
      </c>
      <c r="AN227" s="161"/>
    </row>
    <row r="228" spans="1:40">
      <c r="A228" s="143" t="s">
        <v>1287</v>
      </c>
      <c r="B228" s="141">
        <v>100</v>
      </c>
      <c r="C228" s="142">
        <f>B228*IBGE_2!C$228/100</f>
        <v>656</v>
      </c>
      <c r="D228" s="142">
        <f>B228*IBGE_2!D$228/100</f>
        <v>14.32</v>
      </c>
      <c r="E228" s="142">
        <f>B228*IBGE_2!E$228/100</f>
        <v>66.430000000000007</v>
      </c>
      <c r="F228" s="142">
        <f>B228*IBGE_2!F$228/100</f>
        <v>15.14</v>
      </c>
      <c r="G228" s="142">
        <f>B228*IBGE_2!G$228/100</f>
        <v>24.55</v>
      </c>
      <c r="H228" s="142">
        <f>B228*IBGE_2!H$228/100</f>
        <v>20.58</v>
      </c>
      <c r="I228" s="142">
        <f>B228*IBGE_2!I$228/100</f>
        <v>20.54</v>
      </c>
      <c r="J228" s="142">
        <f>B228*IBGE_2!J$228/100</f>
        <v>0.04</v>
      </c>
      <c r="K228" s="142" t="s">
        <v>3047</v>
      </c>
      <c r="L228" s="142">
        <f>B228*IBGE_2!L$228/100</f>
        <v>12.27</v>
      </c>
      <c r="M228" s="142">
        <f>B228*IBGE_2!M$228/100</f>
        <v>7.5</v>
      </c>
      <c r="N228" s="142">
        <f>B228*IBGE_2!N$228/100</f>
        <v>160</v>
      </c>
      <c r="O228" s="142">
        <f>B228*IBGE_2!O$228/100</f>
        <v>376</v>
      </c>
      <c r="P228" s="142">
        <f>B228*IBGE_2!P$228/100</f>
        <v>1.22</v>
      </c>
      <c r="Q228" s="142">
        <f>B228*IBGE_2!Q$228/100</f>
        <v>725</v>
      </c>
      <c r="R228" s="142">
        <f>B228*IBGE_2!R$228/100</f>
        <v>2.4300000000000002</v>
      </c>
      <c r="S228" s="142">
        <f>B228*IBGE_2!S$228/100</f>
        <v>3</v>
      </c>
      <c r="T228" s="142">
        <f>B228*IBGE_2!T$228/100</f>
        <v>659</v>
      </c>
      <c r="U228" s="142">
        <f>B228*IBGE_2!U$228/100</f>
        <v>1.74</v>
      </c>
      <c r="V228" s="142">
        <f>B228*IBGE_2!V$228/100</f>
        <v>4.0599999999999996</v>
      </c>
      <c r="W228" s="142" t="s">
        <v>3047</v>
      </c>
      <c r="X228" s="142">
        <f>B228*IBGE_2!X$228/100</f>
        <v>0.62</v>
      </c>
      <c r="Y228" s="142">
        <f>B228*IBGE_2!Y$228/100</f>
        <v>0.04</v>
      </c>
      <c r="Z228" s="142">
        <f>B228*IBGE_2!Z$228/100</f>
        <v>0.1</v>
      </c>
      <c r="AA228" s="142">
        <f>B228*IBGE_2!AA$228/100</f>
        <v>0.3</v>
      </c>
      <c r="AB228" s="142">
        <f>B228*IBGE_2!AB$228/100</f>
        <v>0.7</v>
      </c>
      <c r="AC228" s="142">
        <f>B228*IBGE_2!AC$228/100</f>
        <v>2.65</v>
      </c>
      <c r="AD228" s="142" t="s">
        <v>3047</v>
      </c>
      <c r="AE228" s="142">
        <f>B228*IBGE_2!AE$228/100</f>
        <v>22</v>
      </c>
      <c r="AF228" s="142" t="s">
        <v>3047</v>
      </c>
      <c r="AG228" s="142">
        <f>B228*IBGE_2!AG$228/100</f>
        <v>5.73</v>
      </c>
      <c r="AH228" s="142" t="s">
        <v>3047</v>
      </c>
      <c r="AI228" s="142">
        <f>B228*IBGE_2!AI$228/100</f>
        <v>854</v>
      </c>
      <c r="AJ228" s="142">
        <f>B228*IBGE_2!AJ$228/100</f>
        <v>1917</v>
      </c>
      <c r="AK228" s="145" t="s">
        <v>3047</v>
      </c>
      <c r="AL228" s="142">
        <f>B228*IBGE_2!AL$228/100</f>
        <v>2.33</v>
      </c>
      <c r="AM228" s="142" t="s">
        <v>3047</v>
      </c>
      <c r="AN228" s="161"/>
    </row>
    <row r="229" spans="1:40">
      <c r="A229" s="143" t="s">
        <v>1288</v>
      </c>
      <c r="B229" s="141">
        <v>100</v>
      </c>
      <c r="C229" s="142">
        <f>B229*IBGE_2!C$229/100</f>
        <v>574</v>
      </c>
      <c r="D229" s="142">
        <f>B229*IBGE_2!D$229/100</f>
        <v>15.31</v>
      </c>
      <c r="E229" s="142">
        <f>B229*IBGE_2!E$229/100</f>
        <v>46.35</v>
      </c>
      <c r="F229" s="142">
        <f>B229*IBGE_2!F$229/100</f>
        <v>9.16</v>
      </c>
      <c r="G229" s="142">
        <f>B229*IBGE_2!G$229/100</f>
        <v>27.32</v>
      </c>
      <c r="H229" s="142">
        <f>B229*IBGE_2!H$229/100</f>
        <v>7.84</v>
      </c>
      <c r="I229" s="142">
        <f>B229*IBGE_2!I$229/100</f>
        <v>7.66</v>
      </c>
      <c r="J229" s="142">
        <f>B229*IBGE_2!J$229/100</f>
        <v>0.16</v>
      </c>
      <c r="K229" s="142" t="s">
        <v>3047</v>
      </c>
      <c r="L229" s="142">
        <f>B229*IBGE_2!L$229/100</f>
        <v>32.69</v>
      </c>
      <c r="M229" s="142">
        <f>B229*IBGE_2!M$229/100</f>
        <v>3</v>
      </c>
      <c r="N229" s="142">
        <f>B229*IBGE_2!N$229/100</f>
        <v>45</v>
      </c>
      <c r="O229" s="142">
        <f>B229*IBGE_2!O$229/100</f>
        <v>260</v>
      </c>
      <c r="P229" s="142">
        <f>B229*IBGE_2!P$229/100</f>
        <v>0.83</v>
      </c>
      <c r="Q229" s="142">
        <f>B229*IBGE_2!Q$229/100</f>
        <v>490</v>
      </c>
      <c r="R229" s="142">
        <f>B229*IBGE_2!R$229/100</f>
        <v>6</v>
      </c>
      <c r="S229" s="142">
        <f>B229*IBGE_2!S$229/100</f>
        <v>16</v>
      </c>
      <c r="T229" s="142">
        <f>B229*IBGE_2!T$229/100</f>
        <v>565</v>
      </c>
      <c r="U229" s="142">
        <f>B229*IBGE_2!U$229/100</f>
        <v>2.2200000000000002</v>
      </c>
      <c r="V229" s="142">
        <f>B229*IBGE_2!V$229/100</f>
        <v>5.6</v>
      </c>
      <c r="W229" s="142" t="s">
        <v>3047</v>
      </c>
      <c r="X229" s="142">
        <f>B229*IBGE_2!X$229/100</f>
        <v>0.2</v>
      </c>
      <c r="Y229" s="142">
        <f>B229*IBGE_2!Y$229/100</f>
        <v>0.2</v>
      </c>
      <c r="Z229" s="142">
        <f>B229*IBGE_2!Z$229/100</f>
        <v>0.26</v>
      </c>
      <c r="AA229" s="142">
        <f>B229*IBGE_2!AA$229/100</f>
        <v>1.4</v>
      </c>
      <c r="AB229" s="142" t="s">
        <v>3047</v>
      </c>
      <c r="AC229" s="142">
        <f>B229*IBGE_2!AC$229/100</f>
        <v>5.35</v>
      </c>
      <c r="AD229" s="142" t="s">
        <v>3047</v>
      </c>
      <c r="AE229" s="142">
        <f>B229*IBGE_2!AE$229/100</f>
        <v>69</v>
      </c>
      <c r="AF229" s="142" t="s">
        <v>3047</v>
      </c>
      <c r="AG229" s="142">
        <f>B229*IBGE_2!AG$229/100</f>
        <v>0.92</v>
      </c>
      <c r="AH229" s="142" t="s">
        <v>3047</v>
      </c>
      <c r="AI229" s="142">
        <f>B229*IBGE_2!AI$229/100</f>
        <v>624</v>
      </c>
      <c r="AJ229" s="142">
        <f>B229*IBGE_2!AJ$229/100</f>
        <v>11.7</v>
      </c>
      <c r="AK229" s="162" t="s">
        <v>3047</v>
      </c>
      <c r="AL229" s="142">
        <f>B229*IBGE_2!AL$229/100</f>
        <v>6.2</v>
      </c>
      <c r="AM229" s="142" t="s">
        <v>3047</v>
      </c>
      <c r="AN229" s="161"/>
    </row>
    <row r="230" spans="1:40">
      <c r="A230" s="143" t="s">
        <v>1289</v>
      </c>
      <c r="B230" s="141">
        <v>100</v>
      </c>
      <c r="C230" s="142">
        <f>B230*IBGE_2!C$230/100</f>
        <v>105</v>
      </c>
      <c r="D230" s="142">
        <f>B230*IBGE_2!D$230/100</f>
        <v>1.9</v>
      </c>
      <c r="E230" s="142">
        <f>B230*IBGE_2!E$230/100</f>
        <v>2</v>
      </c>
      <c r="F230" s="142" t="s">
        <v>3047</v>
      </c>
      <c r="G230" s="142" t="s">
        <v>3047</v>
      </c>
      <c r="H230" s="142" t="s">
        <v>3047</v>
      </c>
      <c r="I230" s="142" t="s">
        <v>3047</v>
      </c>
      <c r="J230" s="142" t="s">
        <v>3047</v>
      </c>
      <c r="K230" s="142" t="s">
        <v>3047</v>
      </c>
      <c r="L230" s="142">
        <f>B230*IBGE_2!L$230/100</f>
        <v>22.8</v>
      </c>
      <c r="M230" s="142">
        <f>B230*IBGE_2!M$230/100</f>
        <v>7.4</v>
      </c>
      <c r="N230" s="142">
        <f>B230*IBGE_2!N$230/100</f>
        <v>20</v>
      </c>
      <c r="O230" s="142" t="s">
        <v>3047</v>
      </c>
      <c r="P230" s="142" t="s">
        <v>3047</v>
      </c>
      <c r="Q230" s="142">
        <f>B230*IBGE_2!Q$230/100</f>
        <v>36</v>
      </c>
      <c r="R230" s="142">
        <f>B230*IBGE_2!R$230/100</f>
        <v>2.2000000000000002</v>
      </c>
      <c r="S230" s="142" t="s">
        <v>3047</v>
      </c>
      <c r="T230" s="142" t="s">
        <v>3047</v>
      </c>
      <c r="U230" s="142" t="s">
        <v>3047</v>
      </c>
      <c r="V230" s="142" t="s">
        <v>3047</v>
      </c>
      <c r="W230" s="142">
        <f>B230*IBGE_2!W$230/100</f>
        <v>30</v>
      </c>
      <c r="X230" s="142">
        <f>B230*IBGE_2!X$230/100</f>
        <v>0.04</v>
      </c>
      <c r="Y230" s="142">
        <f>B230*IBGE_2!Y$230/100</f>
        <v>0.04</v>
      </c>
      <c r="Z230" s="142" t="s">
        <v>3047</v>
      </c>
      <c r="AA230" s="142">
        <f>B230*IBGE_2!AA$230/100</f>
        <v>0.5</v>
      </c>
      <c r="AB230" s="142">
        <f>B230*IBGE_2!AB$230/100</f>
        <v>33</v>
      </c>
      <c r="AC230" s="142" t="s">
        <v>3047</v>
      </c>
      <c r="AD230" s="142" t="s">
        <v>3047</v>
      </c>
      <c r="AE230" s="162" t="s">
        <v>3047</v>
      </c>
      <c r="AF230" s="162" t="s">
        <v>3047</v>
      </c>
      <c r="AG230" s="162" t="s">
        <v>3047</v>
      </c>
      <c r="AH230" s="162" t="s">
        <v>3047</v>
      </c>
      <c r="AI230" s="162" t="s">
        <v>3047</v>
      </c>
      <c r="AJ230" s="162" t="s">
        <v>3047</v>
      </c>
      <c r="AK230" s="162" t="s">
        <v>3047</v>
      </c>
      <c r="AL230" s="162" t="s">
        <v>3047</v>
      </c>
      <c r="AM230" s="162" t="s">
        <v>3047</v>
      </c>
      <c r="AN230" s="161"/>
    </row>
    <row r="231" spans="1:40">
      <c r="A231" s="143" t="s">
        <v>1290</v>
      </c>
      <c r="B231" s="141">
        <v>100</v>
      </c>
      <c r="C231" s="142">
        <f>B231*IBGE_2!C$231/100</f>
        <v>474</v>
      </c>
      <c r="D231" s="142">
        <f>B231*IBGE_2!D$231/100</f>
        <v>5.5</v>
      </c>
      <c r="E231" s="142">
        <f>B231*IBGE_2!E$231/100</f>
        <v>47.2</v>
      </c>
      <c r="F231" s="142" t="s">
        <v>3047</v>
      </c>
      <c r="G231" s="142" t="s">
        <v>3047</v>
      </c>
      <c r="H231" s="142" t="s">
        <v>3047</v>
      </c>
      <c r="I231" s="142" t="s">
        <v>3047</v>
      </c>
      <c r="J231" s="142" t="s">
        <v>3047</v>
      </c>
      <c r="K231" s="142" t="s">
        <v>3047</v>
      </c>
      <c r="L231" s="142">
        <f>B231*IBGE_2!L$231/100</f>
        <v>6.8</v>
      </c>
      <c r="M231" s="142">
        <f>B231*IBGE_2!M$231/100</f>
        <v>19.2</v>
      </c>
      <c r="N231" s="142" t="s">
        <v>3047</v>
      </c>
      <c r="O231" s="142" t="s">
        <v>3047</v>
      </c>
      <c r="P231" s="142" t="s">
        <v>3047</v>
      </c>
      <c r="Q231" s="142" t="s">
        <v>3047</v>
      </c>
      <c r="R231" s="142" t="s">
        <v>3047</v>
      </c>
      <c r="S231" s="142" t="s">
        <v>3047</v>
      </c>
      <c r="T231" s="142" t="s">
        <v>3047</v>
      </c>
      <c r="U231" s="142" t="s">
        <v>3047</v>
      </c>
      <c r="V231" s="142" t="s">
        <v>3047</v>
      </c>
      <c r="W231" s="142">
        <f>B231*IBGE_2!W$231/100</f>
        <v>5170</v>
      </c>
      <c r="X231" s="142" t="s">
        <v>3047</v>
      </c>
      <c r="Y231" s="142" t="s">
        <v>3047</v>
      </c>
      <c r="Z231" s="142" t="s">
        <v>3047</v>
      </c>
      <c r="AA231" s="142" t="s">
        <v>3047</v>
      </c>
      <c r="AB231" s="142" t="s">
        <v>3047</v>
      </c>
      <c r="AC231" s="142" t="s">
        <v>3047</v>
      </c>
      <c r="AD231" s="142" t="s">
        <v>3047</v>
      </c>
      <c r="AE231" s="162" t="s">
        <v>3047</v>
      </c>
      <c r="AF231" s="162" t="s">
        <v>3047</v>
      </c>
      <c r="AG231" s="162" t="s">
        <v>3047</v>
      </c>
      <c r="AH231" s="162" t="s">
        <v>3047</v>
      </c>
      <c r="AI231" s="162" t="s">
        <v>3047</v>
      </c>
      <c r="AJ231" s="162" t="s">
        <v>3047</v>
      </c>
      <c r="AK231" s="162" t="s">
        <v>3047</v>
      </c>
      <c r="AL231" s="162" t="s">
        <v>3047</v>
      </c>
      <c r="AM231" s="162" t="s">
        <v>3047</v>
      </c>
      <c r="AN231" s="161"/>
    </row>
    <row r="232" spans="1:40">
      <c r="A232" s="143" t="s">
        <v>1291</v>
      </c>
      <c r="B232" s="141">
        <v>100</v>
      </c>
      <c r="C232" s="142">
        <f>B232*IBGE_2!C$232/100</f>
        <v>404.28187666666668</v>
      </c>
      <c r="D232" s="142">
        <f>B232*IBGE_2!D$232/100</f>
        <v>2.0828999999999995</v>
      </c>
      <c r="E232" s="142">
        <f>B232*IBGE_2!E$232/100</f>
        <v>40.656666666666666</v>
      </c>
      <c r="F232" s="142">
        <f>B232*IBGE_2!F$232/100</f>
        <v>7.1</v>
      </c>
      <c r="G232" s="142">
        <f>B232*IBGE_2!G$232/100</f>
        <v>25.3</v>
      </c>
      <c r="H232" s="142">
        <f>B232*IBGE_2!H$232/100</f>
        <v>6.5</v>
      </c>
      <c r="I232" s="142">
        <f>B232*IBGE_2!I$232/100</f>
        <v>6.18</v>
      </c>
      <c r="J232" s="142">
        <f>B232*IBGE_2!J$232/100</f>
        <v>0.3</v>
      </c>
      <c r="K232" s="142" t="s">
        <v>3047</v>
      </c>
      <c r="L232" s="142">
        <f>B232*IBGE_2!L$232/100</f>
        <v>13.945433333333337</v>
      </c>
      <c r="M232" s="142">
        <f>B232*IBGE_2!M$232/100</f>
        <v>13.443499999999998</v>
      </c>
      <c r="N232" s="142">
        <f>B232*IBGE_2!N$232/100</f>
        <v>66.532333333333341</v>
      </c>
      <c r="O232" s="142">
        <f>B232*IBGE_2!O$232/100</f>
        <v>66.053333333333327</v>
      </c>
      <c r="P232" s="142">
        <f>B232*IBGE_2!P$232/100</f>
        <v>7.4999999999999997E-2</v>
      </c>
      <c r="Q232" s="142">
        <f>B232*IBGE_2!Q$232/100</f>
        <v>43.867666666666672</v>
      </c>
      <c r="R232" s="142">
        <f>B232*IBGE_2!R$232/100</f>
        <v>0.80800000000000016</v>
      </c>
      <c r="S232" s="142">
        <f>B232*IBGE_2!S$232/100</f>
        <v>0.65433333333333332</v>
      </c>
      <c r="T232" s="142">
        <f>B232*IBGE_2!T$232/100</f>
        <v>305.81300000000005</v>
      </c>
      <c r="U232" s="142">
        <f>B232*IBGE_2!U$232/100</f>
        <v>0.35299999999999998</v>
      </c>
      <c r="V232" s="142">
        <f>B232*IBGE_2!V$232/100</f>
        <v>0.66433333333333333</v>
      </c>
      <c r="W232" s="142" t="s">
        <v>3047</v>
      </c>
      <c r="X232" s="142">
        <f>B232*IBGE_2!X$232/100</f>
        <v>0.11333333333333333</v>
      </c>
      <c r="Y232" s="142">
        <f>B232*IBGE_2!Y$232/100</f>
        <v>0.11333333333333333</v>
      </c>
      <c r="Z232" s="142">
        <f>B232*IBGE_2!Z$232/100</f>
        <v>0.03</v>
      </c>
      <c r="AA232" s="142" t="s">
        <v>3047</v>
      </c>
      <c r="AB232" s="142">
        <f>B232*IBGE_2!AB$232/100</f>
        <v>13.443499999999998</v>
      </c>
      <c r="AC232" s="142" t="s">
        <v>3047</v>
      </c>
      <c r="AD232" s="142" t="s">
        <v>3047</v>
      </c>
      <c r="AE232" s="162" t="s">
        <v>3047</v>
      </c>
      <c r="AF232" s="162" t="s">
        <v>3047</v>
      </c>
      <c r="AG232" s="162" t="s">
        <v>3047</v>
      </c>
      <c r="AH232" s="162" t="s">
        <v>3047</v>
      </c>
      <c r="AI232" s="162" t="s">
        <v>3047</v>
      </c>
      <c r="AJ232" s="162" t="s">
        <v>3047</v>
      </c>
      <c r="AK232" s="142">
        <f>B232*IBGE_2!AK$232/100</f>
        <v>510</v>
      </c>
      <c r="AL232" s="162" t="s">
        <v>3047</v>
      </c>
      <c r="AM232" s="162" t="s">
        <v>3047</v>
      </c>
      <c r="AN232" s="161"/>
    </row>
    <row r="233" spans="1:40">
      <c r="A233" s="143" t="s">
        <v>1292</v>
      </c>
      <c r="B233" s="141">
        <v>100</v>
      </c>
      <c r="C233" s="142">
        <f>B233*IBGE_2!C$233/100</f>
        <v>654</v>
      </c>
      <c r="D233" s="142">
        <f>B233*IBGE_2!D$233/100</f>
        <v>15.23</v>
      </c>
      <c r="E233" s="142">
        <f>B233*IBGE_2!E$233/100</f>
        <v>65.209999999999994</v>
      </c>
      <c r="F233" s="142">
        <f>B233*IBGE_2!F$233/100</f>
        <v>6.13</v>
      </c>
      <c r="G233" s="142">
        <f>B233*IBGE_2!G$233/100</f>
        <v>8.93</v>
      </c>
      <c r="H233" s="142">
        <f>B233*IBGE_2!H$233/100</f>
        <v>47.17</v>
      </c>
      <c r="I233" s="142">
        <f>B233*IBGE_2!I$233/100</f>
        <v>38.090000000000003</v>
      </c>
      <c r="J233" s="142">
        <f>B233*IBGE_2!J$233/100</f>
        <v>9.08</v>
      </c>
      <c r="K233" s="142" t="s">
        <v>3047</v>
      </c>
      <c r="L233" s="142">
        <f>B233*IBGE_2!L$233/100</f>
        <v>13.71</v>
      </c>
      <c r="M233" s="142">
        <f>B233*IBGE_2!M$233/100</f>
        <v>6.7</v>
      </c>
      <c r="N233" s="142">
        <f>B233*IBGE_2!N$233/100</f>
        <v>98</v>
      </c>
      <c r="O233" s="142">
        <f>B233*IBGE_2!O$233/100</f>
        <v>158</v>
      </c>
      <c r="P233" s="142">
        <f>B233*IBGE_2!P$233/100</f>
        <v>3.41</v>
      </c>
      <c r="Q233" s="142">
        <f>B233*IBGE_2!Q$233/100</f>
        <v>346</v>
      </c>
      <c r="R233" s="142">
        <f>B233*IBGE_2!R$233/100</f>
        <v>2.91</v>
      </c>
      <c r="S233" s="142">
        <f>B233*IBGE_2!S$233/100</f>
        <v>2</v>
      </c>
      <c r="T233" s="142">
        <f>B233*IBGE_2!T$233/100</f>
        <v>441</v>
      </c>
      <c r="U233" s="142">
        <f>B233*IBGE_2!U$233/100</f>
        <v>1.59</v>
      </c>
      <c r="V233" s="142">
        <f>B233*IBGE_2!V$233/100</f>
        <v>3.09</v>
      </c>
      <c r="W233" s="142" t="s">
        <v>3047</v>
      </c>
      <c r="X233" s="142">
        <f>B233*IBGE_2!X$233/100</f>
        <v>0.34</v>
      </c>
      <c r="Y233" s="142">
        <f>B233*IBGE_2!Y$233/100</f>
        <v>0.15</v>
      </c>
      <c r="Z233" s="142">
        <f>B233*IBGE_2!Z$233/100</f>
        <v>0.54</v>
      </c>
      <c r="AA233" s="142">
        <f>B233*IBGE_2!AA$233/100</f>
        <v>1.1299999999999999</v>
      </c>
      <c r="AB233" s="142">
        <f>B233*IBGE_2!AB$233/100</f>
        <v>1.3</v>
      </c>
      <c r="AC233" s="142">
        <f>B233*IBGE_2!AC$233/100</f>
        <v>3.96</v>
      </c>
      <c r="AD233" s="142" t="s">
        <v>3047</v>
      </c>
      <c r="AE233" s="142">
        <f>B233*IBGE_2!AE$233/100</f>
        <v>98</v>
      </c>
      <c r="AF233" s="142" t="s">
        <v>3047</v>
      </c>
      <c r="AG233" s="142">
        <f>B233*IBGE_2!AG$233/100</f>
        <v>0.7</v>
      </c>
      <c r="AH233" s="142" t="s">
        <v>3047</v>
      </c>
      <c r="AI233" s="145" t="s">
        <v>3047</v>
      </c>
      <c r="AJ233" s="142">
        <f>B233*IBGE_2!AJ$233/100</f>
        <v>4.9000000000000004</v>
      </c>
      <c r="AK233" s="142">
        <f>B233*IBGE_2!AK$233/100</f>
        <v>1</v>
      </c>
      <c r="AL233" s="142">
        <f>B233*IBGE_2!AL$233/100</f>
        <v>2.6</v>
      </c>
      <c r="AM233" s="142" t="s">
        <v>3047</v>
      </c>
      <c r="AN233" s="161"/>
    </row>
    <row r="234" spans="1:40">
      <c r="A234" s="143" t="s">
        <v>1293</v>
      </c>
      <c r="B234" s="141">
        <v>100</v>
      </c>
      <c r="C234" s="142">
        <f>B234*IBGE_2!C$234/100</f>
        <v>262</v>
      </c>
      <c r="D234" s="142">
        <f>B234*IBGE_2!D$234/100</f>
        <v>3.6</v>
      </c>
      <c r="E234" s="142">
        <f>B234*IBGE_2!E$234/100</f>
        <v>2</v>
      </c>
      <c r="F234" s="142" t="s">
        <v>3047</v>
      </c>
      <c r="G234" s="142" t="s">
        <v>3047</v>
      </c>
      <c r="H234" s="142" t="s">
        <v>3047</v>
      </c>
      <c r="I234" s="142" t="s">
        <v>3047</v>
      </c>
      <c r="J234" s="142" t="s">
        <v>3047</v>
      </c>
      <c r="K234" s="142" t="s">
        <v>3047</v>
      </c>
      <c r="L234" s="142">
        <f>B234*IBGE_2!L$234/100</f>
        <v>57.4</v>
      </c>
      <c r="M234" s="142">
        <f>B234*IBGE_2!M$234/100</f>
        <v>5.92</v>
      </c>
      <c r="N234" s="142">
        <f>B234*IBGE_2!N$234/100</f>
        <v>118</v>
      </c>
      <c r="O234" s="142" t="s">
        <v>3047</v>
      </c>
      <c r="P234" s="142" t="s">
        <v>3047</v>
      </c>
      <c r="Q234" s="142">
        <f>B234*IBGE_2!Q$234/100</f>
        <v>58</v>
      </c>
      <c r="R234" s="142">
        <f>B234*IBGE_2!R$234/100</f>
        <v>1.0900000000000001</v>
      </c>
      <c r="S234" s="142" t="s">
        <v>3047</v>
      </c>
      <c r="T234" s="142" t="s">
        <v>3047</v>
      </c>
      <c r="U234" s="142" t="s">
        <v>3047</v>
      </c>
      <c r="V234" s="142" t="s">
        <v>3047</v>
      </c>
      <c r="W234" s="142">
        <f>B234*IBGE_2!W$234/100</f>
        <v>11.8</v>
      </c>
      <c r="X234" s="142">
        <f>B234*IBGE_2!X$234/100</f>
        <v>0.36</v>
      </c>
      <c r="Y234" s="142">
        <f>B234*IBGE_2!Y$234/100</f>
        <v>0.01</v>
      </c>
      <c r="Z234" s="142" t="s">
        <v>3047</v>
      </c>
      <c r="AA234" s="142">
        <f>B234*IBGE_2!AA$234/100</f>
        <v>0.4</v>
      </c>
      <c r="AB234" s="142">
        <f>B234*IBGE_2!AB$234/100</f>
        <v>9</v>
      </c>
      <c r="AC234" s="142" t="s">
        <v>3047</v>
      </c>
      <c r="AD234" s="142" t="s">
        <v>3047</v>
      </c>
      <c r="AE234" s="145" t="s">
        <v>3047</v>
      </c>
      <c r="AF234" s="142" t="s">
        <v>3047</v>
      </c>
      <c r="AG234" s="145" t="s">
        <v>3047</v>
      </c>
      <c r="AH234" s="142" t="s">
        <v>3047</v>
      </c>
      <c r="AI234" s="145" t="s">
        <v>3047</v>
      </c>
      <c r="AJ234" s="145" t="s">
        <v>3047</v>
      </c>
      <c r="AK234" s="145" t="s">
        <v>3047</v>
      </c>
      <c r="AL234" s="145" t="s">
        <v>3047</v>
      </c>
      <c r="AM234" s="145" t="s">
        <v>3047</v>
      </c>
      <c r="AN234" s="161"/>
    </row>
    <row r="235" spans="1:40">
      <c r="A235" s="143" t="s">
        <v>1294</v>
      </c>
      <c r="B235" s="141">
        <v>100</v>
      </c>
      <c r="C235" s="142">
        <f>B235*IBGE_2!C$235/100</f>
        <v>262</v>
      </c>
      <c r="D235" s="142">
        <f>B235*IBGE_2!D$235/100</f>
        <v>3.6</v>
      </c>
      <c r="E235" s="142">
        <f>B235*IBGE_2!E$235/100</f>
        <v>2</v>
      </c>
      <c r="F235" s="142" t="s">
        <v>3047</v>
      </c>
      <c r="G235" s="142" t="s">
        <v>3047</v>
      </c>
      <c r="H235" s="142" t="s">
        <v>3047</v>
      </c>
      <c r="I235" s="142" t="s">
        <v>3047</v>
      </c>
      <c r="J235" s="142" t="s">
        <v>3047</v>
      </c>
      <c r="K235" s="142" t="s">
        <v>3047</v>
      </c>
      <c r="L235" s="142">
        <f>B235*IBGE_2!L$235/100</f>
        <v>57.4</v>
      </c>
      <c r="M235" s="142">
        <f>B235*IBGE_2!M$235/100</f>
        <v>5.92</v>
      </c>
      <c r="N235" s="142">
        <f>B235*IBGE_2!N$235/100</f>
        <v>118</v>
      </c>
      <c r="O235" s="142" t="s">
        <v>3047</v>
      </c>
      <c r="P235" s="142" t="s">
        <v>3047</v>
      </c>
      <c r="Q235" s="142">
        <f>B235*IBGE_2!Q$235/100</f>
        <v>58</v>
      </c>
      <c r="R235" s="142">
        <f>B235*IBGE_2!R$235/100</f>
        <v>1.0900000000000001</v>
      </c>
      <c r="S235" s="142" t="s">
        <v>3047</v>
      </c>
      <c r="T235" s="142" t="s">
        <v>3047</v>
      </c>
      <c r="U235" s="142" t="s">
        <v>3047</v>
      </c>
      <c r="V235" s="142" t="s">
        <v>3047</v>
      </c>
      <c r="W235" s="142">
        <f>B235*IBGE_2!W$235/100</f>
        <v>11.8</v>
      </c>
      <c r="X235" s="142">
        <f>B235*IBGE_2!X$235/100</f>
        <v>0.36</v>
      </c>
      <c r="Y235" s="142">
        <f>B235*IBGE_2!Y$235/100</f>
        <v>0.01</v>
      </c>
      <c r="Z235" s="142" t="s">
        <v>3047</v>
      </c>
      <c r="AA235" s="142">
        <f>B235*IBGE_2!AA$235/100</f>
        <v>0.4</v>
      </c>
      <c r="AB235" s="142">
        <f>B235*IBGE_2!AB$235/100</f>
        <v>9</v>
      </c>
      <c r="AC235" s="142" t="s">
        <v>3047</v>
      </c>
      <c r="AD235" s="145" t="s">
        <v>3047</v>
      </c>
      <c r="AE235" s="145" t="s">
        <v>3047</v>
      </c>
      <c r="AF235" s="145" t="s">
        <v>3047</v>
      </c>
      <c r="AG235" s="145" t="s">
        <v>3047</v>
      </c>
      <c r="AH235" s="145" t="s">
        <v>3047</v>
      </c>
      <c r="AI235" s="145" t="s">
        <v>3047</v>
      </c>
      <c r="AJ235" s="145" t="s">
        <v>3047</v>
      </c>
      <c r="AK235" s="145" t="s">
        <v>3047</v>
      </c>
      <c r="AL235" s="145" t="s">
        <v>3047</v>
      </c>
      <c r="AM235" s="145" t="s">
        <v>3047</v>
      </c>
      <c r="AN235" s="161"/>
    </row>
    <row r="236" spans="1:40">
      <c r="A236" s="143" t="s">
        <v>1295</v>
      </c>
      <c r="B236" s="141">
        <v>100</v>
      </c>
      <c r="C236" s="142">
        <f>B236*IBGE_2!C$236/100</f>
        <v>262</v>
      </c>
      <c r="D236" s="142">
        <f>B236*IBGE_2!D$236/100</f>
        <v>3.6</v>
      </c>
      <c r="E236" s="142">
        <f>B236*IBGE_2!E$236/100</f>
        <v>2</v>
      </c>
      <c r="F236" s="142" t="s">
        <v>3047</v>
      </c>
      <c r="G236" s="142" t="s">
        <v>3047</v>
      </c>
      <c r="H236" s="142" t="s">
        <v>3047</v>
      </c>
      <c r="I236" s="142" t="s">
        <v>3047</v>
      </c>
      <c r="J236" s="142" t="s">
        <v>3047</v>
      </c>
      <c r="K236" s="142" t="s">
        <v>3047</v>
      </c>
      <c r="L236" s="142">
        <f>B236*IBGE_2!L$236/100</f>
        <v>57.4</v>
      </c>
      <c r="M236" s="142">
        <f>B236*IBGE_2!M$236/100</f>
        <v>5.92</v>
      </c>
      <c r="N236" s="142">
        <f>B236*IBGE_2!N$236/100</f>
        <v>118</v>
      </c>
      <c r="O236" s="142" t="s">
        <v>3047</v>
      </c>
      <c r="P236" s="142" t="s">
        <v>3047</v>
      </c>
      <c r="Q236" s="142">
        <f>B236*IBGE_2!Q$236/100</f>
        <v>58</v>
      </c>
      <c r="R236" s="142">
        <f>B236*IBGE_2!R$236/100</f>
        <v>1.0900000000000001</v>
      </c>
      <c r="S236" s="142" t="s">
        <v>3047</v>
      </c>
      <c r="T236" s="142" t="s">
        <v>3047</v>
      </c>
      <c r="U236" s="142" t="s">
        <v>3047</v>
      </c>
      <c r="V236" s="142" t="s">
        <v>3047</v>
      </c>
      <c r="W236" s="142">
        <f>B236*IBGE_2!W$236/100</f>
        <v>11.8</v>
      </c>
      <c r="X236" s="142">
        <f>B236*IBGE_2!X$236/100</f>
        <v>0.36</v>
      </c>
      <c r="Y236" s="142">
        <f>B236*IBGE_2!Y$236/100</f>
        <v>0.01</v>
      </c>
      <c r="Z236" s="142" t="s">
        <v>3047</v>
      </c>
      <c r="AA236" s="142">
        <f>B236*IBGE_2!AA$236/100</f>
        <v>0.4</v>
      </c>
      <c r="AB236" s="142">
        <f>B236*IBGE_2!AB$236/100</f>
        <v>9</v>
      </c>
      <c r="AC236" s="142" t="s">
        <v>3047</v>
      </c>
      <c r="AD236" s="145" t="s">
        <v>3047</v>
      </c>
      <c r="AE236" s="145" t="s">
        <v>3047</v>
      </c>
      <c r="AF236" s="145" t="s">
        <v>3047</v>
      </c>
      <c r="AG236" s="145" t="s">
        <v>3047</v>
      </c>
      <c r="AH236" s="145" t="s">
        <v>3047</v>
      </c>
      <c r="AI236" s="145" t="s">
        <v>3047</v>
      </c>
      <c r="AJ236" s="145" t="s">
        <v>3047</v>
      </c>
      <c r="AK236" s="145" t="s">
        <v>3047</v>
      </c>
      <c r="AL236" s="145" t="s">
        <v>3047</v>
      </c>
      <c r="AM236" s="145" t="s">
        <v>3047</v>
      </c>
      <c r="AN236" s="161"/>
    </row>
    <row r="237" spans="1:40">
      <c r="A237" s="143" t="s">
        <v>1296</v>
      </c>
      <c r="B237" s="141">
        <v>100</v>
      </c>
      <c r="C237" s="142">
        <f>B237*IBGE_2!C$237/100</f>
        <v>262</v>
      </c>
      <c r="D237" s="142">
        <f>B237*IBGE_2!D$237/100</f>
        <v>3.6</v>
      </c>
      <c r="E237" s="142">
        <f>B237*IBGE_2!E$237/100</f>
        <v>2</v>
      </c>
      <c r="F237" s="142" t="s">
        <v>3047</v>
      </c>
      <c r="G237" s="142" t="s">
        <v>3047</v>
      </c>
      <c r="H237" s="142" t="s">
        <v>3047</v>
      </c>
      <c r="I237" s="142" t="s">
        <v>3047</v>
      </c>
      <c r="J237" s="142" t="s">
        <v>3047</v>
      </c>
      <c r="K237" s="142" t="s">
        <v>3047</v>
      </c>
      <c r="L237" s="142">
        <f>B237*IBGE_2!L$237/100</f>
        <v>57.4</v>
      </c>
      <c r="M237" s="142">
        <f>B237*IBGE_2!M$237/100</f>
        <v>5.92</v>
      </c>
      <c r="N237" s="142">
        <f>B237*IBGE_2!N$237/100</f>
        <v>118</v>
      </c>
      <c r="O237" s="142" t="s">
        <v>3047</v>
      </c>
      <c r="P237" s="142" t="s">
        <v>3047</v>
      </c>
      <c r="Q237" s="142">
        <f>B237*IBGE_2!Q$237/100</f>
        <v>58</v>
      </c>
      <c r="R237" s="142">
        <f>B237*IBGE_2!R$237/100</f>
        <v>1.0900000000000001</v>
      </c>
      <c r="S237" s="142" t="s">
        <v>3047</v>
      </c>
      <c r="T237" s="142" t="s">
        <v>3047</v>
      </c>
      <c r="U237" s="142" t="s">
        <v>3047</v>
      </c>
      <c r="V237" s="142" t="s">
        <v>3047</v>
      </c>
      <c r="W237" s="142">
        <f>B237*IBGE_2!W$237/100</f>
        <v>11.8</v>
      </c>
      <c r="X237" s="142">
        <f>B237*IBGE_2!X$237/100</f>
        <v>0.36</v>
      </c>
      <c r="Y237" s="142">
        <f>B237*IBGE_2!Y$237/100</f>
        <v>0.01</v>
      </c>
      <c r="Z237" s="142" t="s">
        <v>3047</v>
      </c>
      <c r="AA237" s="142">
        <f>B237*IBGE_2!AA$237/100</f>
        <v>0.4</v>
      </c>
      <c r="AB237" s="142">
        <f>B237*IBGE_2!AB$237/100</f>
        <v>9</v>
      </c>
      <c r="AC237" s="142" t="s">
        <v>3047</v>
      </c>
      <c r="AD237" s="145" t="s">
        <v>3047</v>
      </c>
      <c r="AE237" s="145" t="s">
        <v>3047</v>
      </c>
      <c r="AF237" s="145" t="s">
        <v>3047</v>
      </c>
      <c r="AG237" s="145" t="s">
        <v>3047</v>
      </c>
      <c r="AH237" s="145" t="s">
        <v>3047</v>
      </c>
      <c r="AI237" s="145" t="s">
        <v>3047</v>
      </c>
      <c r="AJ237" s="145" t="s">
        <v>3047</v>
      </c>
      <c r="AK237" s="145" t="s">
        <v>3047</v>
      </c>
      <c r="AL237" s="145" t="s">
        <v>3047</v>
      </c>
      <c r="AM237" s="145" t="s">
        <v>3047</v>
      </c>
      <c r="AN237" s="161"/>
    </row>
    <row r="238" spans="1:40">
      <c r="A238" s="143" t="s">
        <v>1297</v>
      </c>
      <c r="B238" s="141">
        <v>100</v>
      </c>
      <c r="C238" s="142">
        <f>B238*IBGE_2!C$238/100</f>
        <v>28</v>
      </c>
      <c r="D238" s="142">
        <f>B238*IBGE_2!D$238/100</f>
        <v>2.52</v>
      </c>
      <c r="E238" s="142">
        <f>B238*IBGE_2!E$238/100</f>
        <v>0.62</v>
      </c>
      <c r="F238" s="142">
        <f>B238*IBGE_2!F$238/100</f>
        <v>0.13</v>
      </c>
      <c r="G238" s="142">
        <f>B238*IBGE_2!G$238/100</f>
        <v>0.1</v>
      </c>
      <c r="H238" s="142">
        <f>B238*IBGE_2!H$238/100</f>
        <v>0.2</v>
      </c>
      <c r="I238" s="142">
        <f>B238*IBGE_2!I$238/100</f>
        <v>0.18</v>
      </c>
      <c r="J238" s="142">
        <f>B238*IBGE_2!J$238/100</f>
        <v>0.02</v>
      </c>
      <c r="K238" s="142" t="s">
        <v>3047</v>
      </c>
      <c r="L238" s="142">
        <f>B238*IBGE_2!L$238/100</f>
        <v>4.62</v>
      </c>
      <c r="M238" s="142">
        <f>B238*IBGE_2!M$238/100</f>
        <v>2.4</v>
      </c>
      <c r="N238" s="142">
        <f>B238*IBGE_2!N$238/100</f>
        <v>58</v>
      </c>
      <c r="O238" s="142">
        <f>B238*IBGE_2!O$238/100</f>
        <v>38</v>
      </c>
      <c r="P238" s="142">
        <f>B238*IBGE_2!P$238/100</f>
        <v>1.39</v>
      </c>
      <c r="Q238" s="142">
        <f>B238*IBGE_2!Q$238/100</f>
        <v>65</v>
      </c>
      <c r="R238" s="142">
        <f>B238*IBGE_2!R$238/100</f>
        <v>3.13</v>
      </c>
      <c r="S238" s="142">
        <f>B238*IBGE_2!S$238/100</f>
        <v>426</v>
      </c>
      <c r="T238" s="142">
        <f>B238*IBGE_2!T$238/100</f>
        <v>177</v>
      </c>
      <c r="U238" s="142">
        <f>B238*IBGE_2!U$238/100</f>
        <v>0.13</v>
      </c>
      <c r="V238" s="142">
        <f>B238*IBGE_2!V$238/100</f>
        <v>1.1499999999999999</v>
      </c>
      <c r="W238" s="142" t="s">
        <v>3047</v>
      </c>
      <c r="X238" s="142">
        <f>B238*IBGE_2!X$238/100</f>
        <v>0.01</v>
      </c>
      <c r="Y238" s="142">
        <f>B238*IBGE_2!Y$238/100</f>
        <v>0.06</v>
      </c>
      <c r="Z238" s="142">
        <f>B238*IBGE_2!Z$238/100</f>
        <v>0.02</v>
      </c>
      <c r="AA238" s="142">
        <f>B238*IBGE_2!AA$238/100</f>
        <v>0.44</v>
      </c>
      <c r="AB238" s="142">
        <f>B238*IBGE_2!AB$238/100</f>
        <v>7.9</v>
      </c>
      <c r="AC238" s="142">
        <f>B238*IBGE_2!AC$238/100</f>
        <v>0.82</v>
      </c>
      <c r="AD238" s="145" t="s">
        <v>3047</v>
      </c>
      <c r="AE238" s="142">
        <f>B238*IBGE_2!AE$238/100</f>
        <v>39</v>
      </c>
      <c r="AF238" s="145" t="s">
        <v>3047</v>
      </c>
      <c r="AG238" s="142">
        <f>B238*IBGE_2!AG$238/100</f>
        <v>0.5</v>
      </c>
      <c r="AH238" s="145" t="s">
        <v>3047</v>
      </c>
      <c r="AI238" s="145" t="s">
        <v>3047</v>
      </c>
      <c r="AJ238" s="142">
        <f>B238*IBGE_2!AJ$238/100</f>
        <v>0.7</v>
      </c>
      <c r="AK238" s="145" t="s">
        <v>3047</v>
      </c>
      <c r="AL238" s="145" t="s">
        <v>3047</v>
      </c>
      <c r="AM238" s="145" t="s">
        <v>3047</v>
      </c>
      <c r="AN238" s="161"/>
    </row>
    <row r="239" spans="1:40">
      <c r="A239" s="143" t="s">
        <v>1298</v>
      </c>
      <c r="B239" s="141">
        <v>100</v>
      </c>
      <c r="C239" s="142">
        <f>B239*IBGE_2!C$239/100</f>
        <v>212</v>
      </c>
      <c r="D239" s="142">
        <f>B239*IBGE_2!D$239/100</f>
        <v>3.12</v>
      </c>
      <c r="E239" s="142">
        <f>B239*IBGE_2!E$239/100</f>
        <v>19.8</v>
      </c>
      <c r="F239" s="142" t="s">
        <v>3047</v>
      </c>
      <c r="G239" s="142" t="s">
        <v>3047</v>
      </c>
      <c r="H239" s="142" t="s">
        <v>3047</v>
      </c>
      <c r="I239" s="142" t="s">
        <v>3047</v>
      </c>
      <c r="J239" s="142" t="s">
        <v>3047</v>
      </c>
      <c r="K239" s="142" t="s">
        <v>3047</v>
      </c>
      <c r="L239" s="142">
        <f>B239*IBGE_2!L$239/100</f>
        <v>6.6</v>
      </c>
      <c r="M239" s="142" t="s">
        <v>3047</v>
      </c>
      <c r="N239" s="142" t="s">
        <v>3047</v>
      </c>
      <c r="O239" s="142" t="s">
        <v>3047</v>
      </c>
      <c r="P239" s="142" t="s">
        <v>3047</v>
      </c>
      <c r="Q239" s="142" t="s">
        <v>3047</v>
      </c>
      <c r="R239" s="142" t="s">
        <v>3047</v>
      </c>
      <c r="S239" s="142" t="s">
        <v>3047</v>
      </c>
      <c r="T239" s="142" t="s">
        <v>3047</v>
      </c>
      <c r="U239" s="142" t="s">
        <v>3047</v>
      </c>
      <c r="V239" s="142" t="s">
        <v>3047</v>
      </c>
      <c r="W239" s="142" t="s">
        <v>3047</v>
      </c>
      <c r="X239" s="142" t="s">
        <v>3047</v>
      </c>
      <c r="Y239" s="142" t="s">
        <v>3047</v>
      </c>
      <c r="Z239" s="142" t="s">
        <v>3047</v>
      </c>
      <c r="AA239" s="142" t="s">
        <v>3047</v>
      </c>
      <c r="AB239" s="142" t="s">
        <v>3047</v>
      </c>
      <c r="AC239" s="142" t="s">
        <v>3047</v>
      </c>
      <c r="AD239" s="145" t="s">
        <v>3047</v>
      </c>
      <c r="AE239" s="145" t="s">
        <v>3047</v>
      </c>
      <c r="AF239" s="145" t="s">
        <v>3047</v>
      </c>
      <c r="AG239" s="145" t="s">
        <v>3047</v>
      </c>
      <c r="AH239" s="145" t="s">
        <v>3047</v>
      </c>
      <c r="AI239" s="145" t="s">
        <v>3047</v>
      </c>
      <c r="AJ239" s="145" t="s">
        <v>3047</v>
      </c>
      <c r="AK239" s="145" t="s">
        <v>3047</v>
      </c>
      <c r="AL239" s="145" t="s">
        <v>3047</v>
      </c>
      <c r="AM239" s="145" t="s">
        <v>3047</v>
      </c>
      <c r="AN239" s="161"/>
    </row>
    <row r="240" spans="1:40">
      <c r="A240" s="143" t="s">
        <v>1299</v>
      </c>
      <c r="B240" s="141">
        <v>100</v>
      </c>
      <c r="C240" s="142">
        <f>B240*IBGE_2!C$240/100</f>
        <v>212</v>
      </c>
      <c r="D240" s="142">
        <f>B240*IBGE_2!D$240/100</f>
        <v>3.12</v>
      </c>
      <c r="E240" s="142">
        <f>B240*IBGE_2!E$240/100</f>
        <v>19.8</v>
      </c>
      <c r="F240" s="142" t="s">
        <v>3047</v>
      </c>
      <c r="G240" s="142" t="s">
        <v>3047</v>
      </c>
      <c r="H240" s="142" t="s">
        <v>3047</v>
      </c>
      <c r="I240" s="142" t="s">
        <v>3047</v>
      </c>
      <c r="J240" s="142" t="s">
        <v>3047</v>
      </c>
      <c r="K240" s="142" t="s">
        <v>3047</v>
      </c>
      <c r="L240" s="142">
        <f>B240*IBGE_2!L$240/100</f>
        <v>6.6</v>
      </c>
      <c r="M240" s="142" t="s">
        <v>3047</v>
      </c>
      <c r="N240" s="142" t="s">
        <v>3047</v>
      </c>
      <c r="O240" s="142" t="s">
        <v>3047</v>
      </c>
      <c r="P240" s="142" t="s">
        <v>3047</v>
      </c>
      <c r="Q240" s="142" t="s">
        <v>3047</v>
      </c>
      <c r="R240" s="142" t="s">
        <v>3047</v>
      </c>
      <c r="S240" s="142" t="s">
        <v>3047</v>
      </c>
      <c r="T240" s="142" t="s">
        <v>3047</v>
      </c>
      <c r="U240" s="142" t="s">
        <v>3047</v>
      </c>
      <c r="V240" s="142" t="s">
        <v>3047</v>
      </c>
      <c r="W240" s="142" t="s">
        <v>3047</v>
      </c>
      <c r="X240" s="142" t="s">
        <v>3047</v>
      </c>
      <c r="Y240" s="142" t="s">
        <v>3047</v>
      </c>
      <c r="Z240" s="142" t="s">
        <v>3047</v>
      </c>
      <c r="AA240" s="142" t="s">
        <v>3047</v>
      </c>
      <c r="AB240" s="142" t="s">
        <v>3047</v>
      </c>
      <c r="AC240" s="142" t="s">
        <v>3047</v>
      </c>
      <c r="AD240" s="145" t="s">
        <v>3047</v>
      </c>
      <c r="AE240" s="145" t="s">
        <v>3047</v>
      </c>
      <c r="AF240" s="145" t="s">
        <v>3047</v>
      </c>
      <c r="AG240" s="145" t="s">
        <v>3047</v>
      </c>
      <c r="AH240" s="145" t="s">
        <v>3047</v>
      </c>
      <c r="AI240" s="145" t="s">
        <v>3047</v>
      </c>
      <c r="AJ240" s="145" t="s">
        <v>3047</v>
      </c>
      <c r="AK240" s="145" t="s">
        <v>3047</v>
      </c>
      <c r="AL240" s="145" t="s">
        <v>3047</v>
      </c>
      <c r="AM240" s="145" t="s">
        <v>3047</v>
      </c>
      <c r="AN240" s="161"/>
    </row>
    <row r="241" spans="1:40">
      <c r="A241" s="143" t="s">
        <v>1300</v>
      </c>
      <c r="B241" s="141">
        <v>100</v>
      </c>
      <c r="C241" s="142">
        <f>B241*IBGE_2!C$241/100</f>
        <v>656</v>
      </c>
      <c r="D241" s="142">
        <f>B241*IBGE_2!D$241/100</f>
        <v>14.32</v>
      </c>
      <c r="E241" s="142">
        <f>B241*IBGE_2!E$241/100</f>
        <v>66.430000000000007</v>
      </c>
      <c r="F241" s="142">
        <f>B241*IBGE_2!F$241/100</f>
        <v>15.14</v>
      </c>
      <c r="G241" s="142">
        <f>B241*IBGE_2!G$241/100</f>
        <v>24.55</v>
      </c>
      <c r="H241" s="142">
        <f>B241*IBGE_2!H$241/100</f>
        <v>20.58</v>
      </c>
      <c r="I241" s="142">
        <f>B241*IBGE_2!I$241/100</f>
        <v>20.54</v>
      </c>
      <c r="J241" s="142">
        <f>B241*IBGE_2!J$241/100</f>
        <v>0.04</v>
      </c>
      <c r="K241" s="142" t="s">
        <v>3047</v>
      </c>
      <c r="L241" s="142">
        <f>B241*IBGE_2!L$241/100</f>
        <v>12.27</v>
      </c>
      <c r="M241" s="142">
        <f>B241*IBGE_2!M$241/100</f>
        <v>7.5</v>
      </c>
      <c r="N241" s="142">
        <f>B241*IBGE_2!N$241/100</f>
        <v>160</v>
      </c>
      <c r="O241" s="142">
        <f>B241*IBGE_2!O$241/100</f>
        <v>376</v>
      </c>
      <c r="P241" s="142">
        <f>B241*IBGE_2!P$241/100</f>
        <v>1.22</v>
      </c>
      <c r="Q241" s="142">
        <f>B241*IBGE_2!Q$241/100</f>
        <v>725</v>
      </c>
      <c r="R241" s="142">
        <f>B241*IBGE_2!R$241/100</f>
        <v>2.4300000000000002</v>
      </c>
      <c r="S241" s="142">
        <f>B241*IBGE_2!S$241/100</f>
        <v>3</v>
      </c>
      <c r="T241" s="142">
        <f>B241*IBGE_2!T$241/100</f>
        <v>659</v>
      </c>
      <c r="U241" s="142">
        <f>B241*IBGE_2!U$241/100</f>
        <v>1.74</v>
      </c>
      <c r="V241" s="142">
        <f>B241*IBGE_2!V$241/100</f>
        <v>4.0599999999999996</v>
      </c>
      <c r="W241" s="142" t="s">
        <v>3047</v>
      </c>
      <c r="X241" s="142">
        <f>B241*IBGE_2!X$241/100</f>
        <v>0.62</v>
      </c>
      <c r="Y241" s="142">
        <f>B241*IBGE_2!Y$241/100</f>
        <v>0.04</v>
      </c>
      <c r="Z241" s="142">
        <f>B241*IBGE_2!Z$241/100</f>
        <v>0.1</v>
      </c>
      <c r="AA241" s="142">
        <f>B241*IBGE_2!AA$241/100</f>
        <v>0.3</v>
      </c>
      <c r="AB241" s="142">
        <f>B241*IBGE_2!AB$241/100</f>
        <v>0.7</v>
      </c>
      <c r="AC241" s="142">
        <f>B241*IBGE_2!AC$241/100</f>
        <v>2.65</v>
      </c>
      <c r="AD241" s="142" t="s">
        <v>3047</v>
      </c>
      <c r="AE241" s="142">
        <f>B241*IBGE_2!AE$241/100</f>
        <v>22</v>
      </c>
      <c r="AF241" s="142" t="s">
        <v>3047</v>
      </c>
      <c r="AG241" s="142">
        <f>B241*IBGE_2!AG$241/100</f>
        <v>5.73</v>
      </c>
      <c r="AH241" s="142" t="s">
        <v>3047</v>
      </c>
      <c r="AI241" s="142" t="s">
        <v>3047</v>
      </c>
      <c r="AJ241" s="142">
        <f>B241*IBGE_2!AJ$241/100</f>
        <v>1917</v>
      </c>
      <c r="AK241" s="145" t="s">
        <v>3047</v>
      </c>
      <c r="AL241" s="142">
        <f>B241*IBGE_2!AL$241/100</f>
        <v>2.33</v>
      </c>
      <c r="AM241" s="142" t="s">
        <v>3047</v>
      </c>
      <c r="AN241" s="161"/>
    </row>
    <row r="242" spans="1:40">
      <c r="A242" s="143" t="s">
        <v>1301</v>
      </c>
      <c r="B242" s="141">
        <v>100</v>
      </c>
      <c r="C242" s="142">
        <f>B242*IBGE_2!C$242/100</f>
        <v>557</v>
      </c>
      <c r="D242" s="142">
        <f>B242*IBGE_2!D$242/100</f>
        <v>20.61</v>
      </c>
      <c r="E242" s="142">
        <f>B242*IBGE_2!E$242/100</f>
        <v>44.44</v>
      </c>
      <c r="F242" s="142">
        <f>B242*IBGE_2!F$242/100</f>
        <v>5.44</v>
      </c>
      <c r="G242" s="142">
        <f>B242*IBGE_2!G$242/100</f>
        <v>23.319000000000003</v>
      </c>
      <c r="H242" s="142">
        <f>B242*IBGE_2!H$242/100</f>
        <v>13.455</v>
      </c>
      <c r="I242" s="142">
        <f>B242*IBGE_2!I$242/100</f>
        <v>13.201000000000001</v>
      </c>
      <c r="J242" s="142">
        <f>B242*IBGE_2!J$242/100</f>
        <v>0.254</v>
      </c>
      <c r="K242" s="142" t="s">
        <v>3047</v>
      </c>
      <c r="L242" s="142">
        <f>B242*IBGE_2!L$242/100</f>
        <v>27.97</v>
      </c>
      <c r="M242" s="142">
        <f>B242*IBGE_2!M$242/100</f>
        <v>10.3</v>
      </c>
      <c r="N242" s="142">
        <f>B242*IBGE_2!N$242/100</f>
        <v>107</v>
      </c>
      <c r="O242" s="142">
        <f>B242*IBGE_2!O$242/100</f>
        <v>121</v>
      </c>
      <c r="P242" s="142">
        <f>B242*IBGE_2!P$242/100</f>
        <v>1.2</v>
      </c>
      <c r="Q242" s="142">
        <f>B242*IBGE_2!Q$242/100</f>
        <v>490</v>
      </c>
      <c r="R242" s="142">
        <f>B242*IBGE_2!R$242/100</f>
        <v>4.1500000000000004</v>
      </c>
      <c r="S242" s="142">
        <f>B242*IBGE_2!S$242/100</f>
        <v>1</v>
      </c>
      <c r="T242" s="142">
        <f>B242*IBGE_2!T$242/100</f>
        <v>1025</v>
      </c>
      <c r="U242" s="142">
        <f>B242*IBGE_2!U$242/100</f>
        <v>1.3</v>
      </c>
      <c r="V242" s="142">
        <f>B242*IBGE_2!V$242/100</f>
        <v>2.2000000000000002</v>
      </c>
      <c r="W242" s="142" t="s">
        <v>3047</v>
      </c>
      <c r="X242" s="142">
        <f>B242*IBGE_2!X$242/100</f>
        <v>0.87</v>
      </c>
      <c r="Y242" s="142">
        <f>B242*IBGE_2!Y$242/100</f>
        <v>0.16</v>
      </c>
      <c r="Z242" s="142">
        <f>B242*IBGE_2!Z$242/100</f>
        <v>1.7</v>
      </c>
      <c r="AA242" s="142">
        <f>B242*IBGE_2!AA$242/100</f>
        <v>1.3</v>
      </c>
      <c r="AB242" s="142">
        <f>B242*IBGE_2!AB$242/100</f>
        <v>5</v>
      </c>
      <c r="AC242" s="142">
        <f>B242*IBGE_2!AC$242/100</f>
        <v>5.85</v>
      </c>
      <c r="AD242" s="142" t="s">
        <v>3047</v>
      </c>
      <c r="AE242" s="142">
        <f>B242*IBGE_2!AE$242/100</f>
        <v>51</v>
      </c>
      <c r="AF242" s="142" t="s">
        <v>3047</v>
      </c>
      <c r="AG242" s="142">
        <f>B242*IBGE_2!AG$242/100</f>
        <v>2.2999999999999998</v>
      </c>
      <c r="AH242" s="142" t="s">
        <v>3047</v>
      </c>
      <c r="AI242" s="142" t="s">
        <v>3047</v>
      </c>
      <c r="AJ242" s="142">
        <f>B242*IBGE_2!AJ$242/100</f>
        <v>7</v>
      </c>
      <c r="AK242" s="142">
        <f>B242*IBGE_2!AK$242/100</f>
        <v>27.667000000000002</v>
      </c>
      <c r="AL242" s="142">
        <f>B242*IBGE_2!AL$242/100</f>
        <v>7.64</v>
      </c>
      <c r="AM242" s="142" t="s">
        <v>3047</v>
      </c>
      <c r="AN242" s="161"/>
    </row>
    <row r="243" spans="1:40">
      <c r="A243" s="143" t="s">
        <v>1302</v>
      </c>
      <c r="B243" s="141">
        <v>100</v>
      </c>
      <c r="C243" s="142">
        <f>B243*IBGE_2!C$243/100</f>
        <v>145</v>
      </c>
      <c r="D243" s="142">
        <f>B243*IBGE_2!D$243/100</f>
        <v>1.8</v>
      </c>
      <c r="E243" s="142">
        <f>B243*IBGE_2!E$243/100</f>
        <v>8.1</v>
      </c>
      <c r="F243" s="142" t="s">
        <v>3047</v>
      </c>
      <c r="G243" s="142" t="s">
        <v>3047</v>
      </c>
      <c r="H243" s="142" t="s">
        <v>3047</v>
      </c>
      <c r="I243" s="142" t="s">
        <v>3047</v>
      </c>
      <c r="J243" s="142" t="s">
        <v>3047</v>
      </c>
      <c r="K243" s="142" t="s">
        <v>3047</v>
      </c>
      <c r="L243" s="142">
        <f>B243*IBGE_2!L$243/100</f>
        <v>10.199999999999999</v>
      </c>
      <c r="M243" s="142">
        <f>B243*IBGE_2!M$243/100</f>
        <v>9.6</v>
      </c>
      <c r="N243" s="142">
        <f>B243*IBGE_2!N$243/100</f>
        <v>156</v>
      </c>
      <c r="O243" s="142" t="s">
        <v>3047</v>
      </c>
      <c r="P243" s="142" t="s">
        <v>3047</v>
      </c>
      <c r="Q243" s="142">
        <f>B243*IBGE_2!Q$243/100</f>
        <v>54</v>
      </c>
      <c r="R243" s="142">
        <f>B243*IBGE_2!R$243/100</f>
        <v>5</v>
      </c>
      <c r="S243" s="142" t="s">
        <v>3047</v>
      </c>
      <c r="T243" s="142" t="s">
        <v>3047</v>
      </c>
      <c r="U243" s="142" t="s">
        <v>3047</v>
      </c>
      <c r="V243" s="142" t="s">
        <v>3047</v>
      </c>
      <c r="W243" s="142">
        <f>B243*IBGE_2!W$243/100</f>
        <v>4104</v>
      </c>
      <c r="X243" s="142">
        <f>B243*IBGE_2!X$243/100</f>
        <v>0.03</v>
      </c>
      <c r="Y243" s="142">
        <f>B243*IBGE_2!Y$243/100</f>
        <v>0.23</v>
      </c>
      <c r="Z243" s="142" t="s">
        <v>3047</v>
      </c>
      <c r="AA243" s="142">
        <f>B243*IBGE_2!AA$243/100</f>
        <v>0.7</v>
      </c>
      <c r="AB243" s="142">
        <f>B243*IBGE_2!AB$243/100</f>
        <v>26</v>
      </c>
      <c r="AC243" s="142" t="s">
        <v>3047</v>
      </c>
      <c r="AD243" s="142" t="s">
        <v>3047</v>
      </c>
      <c r="AE243" s="145" t="s">
        <v>3047</v>
      </c>
      <c r="AF243" s="142" t="s">
        <v>3047</v>
      </c>
      <c r="AG243" s="145" t="s">
        <v>3047</v>
      </c>
      <c r="AH243" s="145" t="s">
        <v>3047</v>
      </c>
      <c r="AI243" s="145" t="s">
        <v>3047</v>
      </c>
      <c r="AJ243" s="145" t="s">
        <v>3047</v>
      </c>
      <c r="AK243" s="145" t="s">
        <v>3047</v>
      </c>
      <c r="AL243" s="145" t="s">
        <v>3047</v>
      </c>
      <c r="AM243" s="142" t="s">
        <v>3047</v>
      </c>
      <c r="AN243" s="161"/>
    </row>
    <row r="244" spans="1:40">
      <c r="A244" s="143" t="s">
        <v>1303</v>
      </c>
      <c r="B244" s="141">
        <v>100</v>
      </c>
      <c r="C244" s="142">
        <f>B244*IBGE_2!C$244/100</f>
        <v>354</v>
      </c>
      <c r="D244" s="142">
        <f>B244*IBGE_2!D$244/100</f>
        <v>3.33</v>
      </c>
      <c r="E244" s="142">
        <f>B244*IBGE_2!E$244/100</f>
        <v>33.49</v>
      </c>
      <c r="F244" s="142">
        <f>B244*IBGE_2!F$244/100</f>
        <v>29.7</v>
      </c>
      <c r="G244" s="142">
        <f>B244*IBGE_2!G$244/100</f>
        <v>1.43</v>
      </c>
      <c r="H244" s="142">
        <f>B244*IBGE_2!H$244/100</f>
        <v>0.37</v>
      </c>
      <c r="I244" s="142">
        <f>B244*IBGE_2!I$244/100</f>
        <v>0.37</v>
      </c>
      <c r="J244" s="142" t="s">
        <v>3047</v>
      </c>
      <c r="K244" s="142" t="s">
        <v>3047</v>
      </c>
      <c r="L244" s="142">
        <f>B244*IBGE_2!L$244/100</f>
        <v>15.23</v>
      </c>
      <c r="M244" s="142">
        <f>B244*IBGE_2!M$244/100</f>
        <v>9</v>
      </c>
      <c r="N244" s="142">
        <f>B244*IBGE_2!N$244/100</f>
        <v>14</v>
      </c>
      <c r="O244" s="142">
        <f>B244*IBGE_2!O$244/100</f>
        <v>32</v>
      </c>
      <c r="P244" s="142">
        <f>B244*IBGE_2!P$244/100</f>
        <v>1.5</v>
      </c>
      <c r="Q244" s="142">
        <f>B244*IBGE_2!Q$244/100</f>
        <v>113</v>
      </c>
      <c r="R244" s="142">
        <f>B244*IBGE_2!R$244/100</f>
        <v>2.4300000000000002</v>
      </c>
      <c r="S244" s="142">
        <f>B244*IBGE_2!S$244/100</f>
        <v>20</v>
      </c>
      <c r="T244" s="142">
        <f>B244*IBGE_2!T$244/100</f>
        <v>356</v>
      </c>
      <c r="U244" s="142">
        <f>B244*IBGE_2!U$244/100</f>
        <v>0.44</v>
      </c>
      <c r="V244" s="142">
        <f>B244*IBGE_2!V$244/100</f>
        <v>1.1000000000000001</v>
      </c>
      <c r="W244" s="142" t="s">
        <v>3047</v>
      </c>
      <c r="X244" s="142">
        <f>B244*IBGE_2!X$244/100</f>
        <v>7.0000000000000007E-2</v>
      </c>
      <c r="Y244" s="142">
        <f>B244*IBGE_2!Y$244/100</f>
        <v>0.02</v>
      </c>
      <c r="Z244" s="142">
        <f>B244*IBGE_2!Z$244/100</f>
        <v>0.05</v>
      </c>
      <c r="AA244" s="142">
        <f>B244*IBGE_2!AA$244/100</f>
        <v>0.54</v>
      </c>
      <c r="AB244" s="142">
        <f>B244*IBGE_2!AB$244/100</f>
        <v>3.3</v>
      </c>
      <c r="AC244" s="142">
        <f>B244*IBGE_2!AC$244/100</f>
        <v>1.19</v>
      </c>
      <c r="AD244" s="142" t="s">
        <v>3047</v>
      </c>
      <c r="AE244" s="142">
        <f>B244*IBGE_2!AE$244/100</f>
        <v>26</v>
      </c>
      <c r="AF244" s="142" t="s">
        <v>3047</v>
      </c>
      <c r="AG244" s="145" t="s">
        <v>3047</v>
      </c>
      <c r="AH244" s="145" t="s">
        <v>3047</v>
      </c>
      <c r="AI244" s="145" t="s">
        <v>3047</v>
      </c>
      <c r="AJ244" s="142">
        <f>B244*IBGE_2!AJ$244/100</f>
        <v>10.1</v>
      </c>
      <c r="AK244" s="145" t="s">
        <v>3047</v>
      </c>
      <c r="AL244" s="142">
        <f>B244*IBGE_2!AL$244/100</f>
        <v>3.5</v>
      </c>
      <c r="AM244" s="142" t="s">
        <v>3047</v>
      </c>
      <c r="AN244" s="161"/>
    </row>
    <row r="245" spans="1:40">
      <c r="A245" s="143" t="s">
        <v>1304</v>
      </c>
      <c r="B245" s="141">
        <v>100</v>
      </c>
      <c r="C245" s="142">
        <f>B245*IBGE_2!C$245/100</f>
        <v>105</v>
      </c>
      <c r="D245" s="142">
        <f>B245*IBGE_2!D$245/100</f>
        <v>1.9</v>
      </c>
      <c r="E245" s="142">
        <f>B245*IBGE_2!E$245/100</f>
        <v>2</v>
      </c>
      <c r="F245" s="142" t="s">
        <v>3047</v>
      </c>
      <c r="G245" s="142" t="s">
        <v>3047</v>
      </c>
      <c r="H245" s="142" t="s">
        <v>3047</v>
      </c>
      <c r="I245" s="142" t="s">
        <v>3047</v>
      </c>
      <c r="J245" s="142" t="s">
        <v>3047</v>
      </c>
      <c r="K245" s="142" t="s">
        <v>3047</v>
      </c>
      <c r="L245" s="142">
        <f>B245*IBGE_2!L$245/100</f>
        <v>22.8</v>
      </c>
      <c r="M245" s="142">
        <f>B245*IBGE_2!M$245/100</f>
        <v>7.4</v>
      </c>
      <c r="N245" s="142">
        <f>B245*IBGE_2!N$245/100</f>
        <v>20</v>
      </c>
      <c r="O245" s="142" t="s">
        <v>3047</v>
      </c>
      <c r="P245" s="142" t="s">
        <v>3047</v>
      </c>
      <c r="Q245" s="142">
        <f>B245*IBGE_2!Q$245/100</f>
        <v>36</v>
      </c>
      <c r="R245" s="142">
        <f>B245*IBGE_2!R$245/100</f>
        <v>2.2000000000000002</v>
      </c>
      <c r="S245" s="142" t="s">
        <v>3047</v>
      </c>
      <c r="T245" s="142" t="s">
        <v>3047</v>
      </c>
      <c r="U245" s="142" t="s">
        <v>3047</v>
      </c>
      <c r="V245" s="142" t="s">
        <v>3047</v>
      </c>
      <c r="W245" s="142">
        <f>B245*IBGE_2!W$245/100</f>
        <v>30</v>
      </c>
      <c r="X245" s="142">
        <f>B245*IBGE_2!X$245/100</f>
        <v>0.04</v>
      </c>
      <c r="Y245" s="142">
        <f>B245*IBGE_2!Y$245/100</f>
        <v>0.04</v>
      </c>
      <c r="Z245" s="142" t="s">
        <v>3047</v>
      </c>
      <c r="AA245" s="142">
        <f>B245*IBGE_2!AA$245/100</f>
        <v>0.5</v>
      </c>
      <c r="AB245" s="142">
        <f>B245*IBGE_2!AB$245/100</f>
        <v>33</v>
      </c>
      <c r="AC245" s="142" t="s">
        <v>3047</v>
      </c>
      <c r="AD245" s="142" t="s">
        <v>3047</v>
      </c>
      <c r="AE245" s="145" t="s">
        <v>3047</v>
      </c>
      <c r="AF245" s="142" t="s">
        <v>3047</v>
      </c>
      <c r="AG245" s="145" t="s">
        <v>3047</v>
      </c>
      <c r="AH245" s="145" t="s">
        <v>3047</v>
      </c>
      <c r="AI245" s="145" t="s">
        <v>3047</v>
      </c>
      <c r="AJ245" s="145" t="s">
        <v>3047</v>
      </c>
      <c r="AK245" s="145" t="s">
        <v>3047</v>
      </c>
      <c r="AL245" s="145" t="s">
        <v>3047</v>
      </c>
      <c r="AM245" s="142" t="s">
        <v>3047</v>
      </c>
      <c r="AN245" s="161"/>
    </row>
    <row r="246" spans="1:40">
      <c r="A246" s="143" t="s">
        <v>1305</v>
      </c>
      <c r="B246" s="141">
        <v>100</v>
      </c>
      <c r="C246" s="142">
        <f>B246*IBGE_2!C$246/100</f>
        <v>15</v>
      </c>
      <c r="D246" s="142">
        <f>B246*IBGE_2!D$246/100</f>
        <v>1.36</v>
      </c>
      <c r="E246" s="142">
        <f>B246*IBGE_2!E$246/100</f>
        <v>0.15</v>
      </c>
      <c r="F246" s="142">
        <f>B246*IBGE_2!F$246/100</f>
        <v>0.02</v>
      </c>
      <c r="G246" s="142">
        <f>B246*IBGE_2!G$246/100</f>
        <v>0.01</v>
      </c>
      <c r="H246" s="142">
        <f>B246*IBGE_2!H$246/100</f>
        <v>0.08</v>
      </c>
      <c r="I246" s="142">
        <f>B246*IBGE_2!I$246/100</f>
        <v>0.02</v>
      </c>
      <c r="J246" s="142">
        <f>B246*IBGE_2!J$246/100</f>
        <v>0.06</v>
      </c>
      <c r="K246" s="142" t="s">
        <v>3047</v>
      </c>
      <c r="L246" s="142">
        <f>B246*IBGE_2!L$246/100</f>
        <v>2.79</v>
      </c>
      <c r="M246" s="142">
        <f>B246*IBGE_2!M$246/100</f>
        <v>1.3</v>
      </c>
      <c r="N246" s="142">
        <f>B246*IBGE_2!N$246/100</f>
        <v>36</v>
      </c>
      <c r="O246" s="142">
        <f>B246*IBGE_2!O$246/100</f>
        <v>13</v>
      </c>
      <c r="P246" s="142">
        <f>B246*IBGE_2!P$246/100</f>
        <v>0.25</v>
      </c>
      <c r="Q246" s="142">
        <f>B246*IBGE_2!Q$246/100</f>
        <v>29</v>
      </c>
      <c r="R246" s="142">
        <f>B246*IBGE_2!R$246/100</f>
        <v>0.86</v>
      </c>
      <c r="S246" s="142">
        <f>B246*IBGE_2!S$246/100</f>
        <v>28</v>
      </c>
      <c r="T246" s="142">
        <f>B246*IBGE_2!T$246/100</f>
        <v>194</v>
      </c>
      <c r="U246" s="142">
        <f>B246*IBGE_2!U$246/100</f>
        <v>0.03</v>
      </c>
      <c r="V246" s="142">
        <f>B246*IBGE_2!V$246/100</f>
        <v>0.18</v>
      </c>
      <c r="W246" s="142" t="s">
        <v>3047</v>
      </c>
      <c r="X246" s="142">
        <f>B246*IBGE_2!X$246/100</f>
        <v>7.0000000000000007E-2</v>
      </c>
      <c r="Y246" s="142">
        <f>B246*IBGE_2!Y$246/100</f>
        <v>0.08</v>
      </c>
      <c r="Z246" s="142">
        <f>B246*IBGE_2!Z$246/100</f>
        <v>0.09</v>
      </c>
      <c r="AA246" s="142">
        <f>B246*IBGE_2!AA$246/100</f>
        <v>0.38</v>
      </c>
      <c r="AB246" s="142">
        <f>B246*IBGE_2!AB$246/100</f>
        <v>18</v>
      </c>
      <c r="AC246" s="142">
        <f>B246*IBGE_2!AC$246/100</f>
        <v>0.53</v>
      </c>
      <c r="AD246" s="142" t="s">
        <v>3047</v>
      </c>
      <c r="AE246" s="142">
        <f>B246*IBGE_2!AE$246/100</f>
        <v>38</v>
      </c>
      <c r="AF246" s="142" t="s">
        <v>3047</v>
      </c>
      <c r="AG246" s="142">
        <f>B246*IBGE_2!AG$246/100</f>
        <v>0.31</v>
      </c>
      <c r="AH246" s="145" t="s">
        <v>3047</v>
      </c>
      <c r="AI246" s="145" t="s">
        <v>3047</v>
      </c>
      <c r="AJ246" s="142">
        <f>B246*IBGE_2!AJ$246/100</f>
        <v>0.6</v>
      </c>
      <c r="AK246" s="142">
        <f>B246*IBGE_2!AK$246/100</f>
        <v>370.25</v>
      </c>
      <c r="AL246" s="142">
        <f>B246*IBGE_2!AL$246/100</f>
        <v>0.79</v>
      </c>
      <c r="AM246" s="142" t="s">
        <v>3047</v>
      </c>
      <c r="AN246" s="161"/>
    </row>
    <row r="247" spans="1:40">
      <c r="A247" s="143" t="s">
        <v>1306</v>
      </c>
      <c r="B247" s="141">
        <v>100</v>
      </c>
      <c r="C247" s="142">
        <f>B247*IBGE_2!C$247/100</f>
        <v>45.3</v>
      </c>
      <c r="D247" s="142">
        <f>B247*IBGE_2!D$247/100</f>
        <v>2.97</v>
      </c>
      <c r="E247" s="142">
        <f>B247*IBGE_2!E$247/100</f>
        <v>2.78</v>
      </c>
      <c r="F247" s="142">
        <f>B247*IBGE_2!F$247/100</f>
        <v>0.41</v>
      </c>
      <c r="G247" s="142">
        <f>B247*IBGE_2!G$247/100</f>
        <v>0.59</v>
      </c>
      <c r="H247" s="142">
        <f>B247*IBGE_2!H$247/100</f>
        <v>1.57</v>
      </c>
      <c r="I247" s="142">
        <f>B247*IBGE_2!I$247/100</f>
        <v>1.3</v>
      </c>
      <c r="J247" s="142">
        <f>B247*IBGE_2!J$247/100</f>
        <v>0.26</v>
      </c>
      <c r="K247" s="142" t="s">
        <v>3047</v>
      </c>
      <c r="L247" s="142">
        <f>B247*IBGE_2!L$247/100</f>
        <v>3.75</v>
      </c>
      <c r="M247" s="142">
        <f>B247*IBGE_2!M$247/100</f>
        <v>2.4</v>
      </c>
      <c r="N247" s="142">
        <f>B247*IBGE_2!N$247/100</f>
        <v>136</v>
      </c>
      <c r="O247" s="142">
        <f>B247*IBGE_2!O$247/100</f>
        <v>87</v>
      </c>
      <c r="P247" s="142">
        <f>B247*IBGE_2!P$247/100</f>
        <v>0.94</v>
      </c>
      <c r="Q247" s="142">
        <f>B247*IBGE_2!Q$247/100</f>
        <v>56</v>
      </c>
      <c r="R247" s="142">
        <f>B247*IBGE_2!R$247/100</f>
        <v>3.57</v>
      </c>
      <c r="S247" s="142">
        <f>B247*IBGE_2!S$247/100</f>
        <v>70</v>
      </c>
      <c r="T247" s="142">
        <f>B247*IBGE_2!T$247/100</f>
        <v>466</v>
      </c>
      <c r="U247" s="142">
        <f>B247*IBGE_2!U$247/100</f>
        <v>0.17</v>
      </c>
      <c r="V247" s="142">
        <f>B247*IBGE_2!V$247/100</f>
        <v>0.76</v>
      </c>
      <c r="W247" s="142" t="s">
        <v>3047</v>
      </c>
      <c r="X247" s="142">
        <f>B247*IBGE_2!X$247/100</f>
        <v>0.1</v>
      </c>
      <c r="Y247" s="142">
        <f>B247*IBGE_2!Y$247/100</f>
        <v>0.24</v>
      </c>
      <c r="Z247" s="142">
        <f>B247*IBGE_2!Z$247/100</f>
        <v>0.24</v>
      </c>
      <c r="AA247" s="142">
        <f>B247*IBGE_2!AA$247/100</f>
        <v>0.49</v>
      </c>
      <c r="AB247" s="142">
        <f>B247*IBGE_2!AB$247/100</f>
        <v>9.8000000000000007</v>
      </c>
      <c r="AC247" s="142">
        <f>B247*IBGE_2!AC$247/100</f>
        <v>1.1599999999999999</v>
      </c>
      <c r="AD247" s="142" t="s">
        <v>3047</v>
      </c>
      <c r="AE247" s="142">
        <f>B247*IBGE_2!AE$247/100</f>
        <v>146</v>
      </c>
      <c r="AF247" s="142" t="s">
        <v>3047</v>
      </c>
      <c r="AG247" s="142">
        <f>B247*IBGE_2!AG$247/100</f>
        <v>2.31</v>
      </c>
      <c r="AH247" s="145" t="s">
        <v>3047</v>
      </c>
      <c r="AI247" s="142">
        <f>B247*IBGE_2!AI$247/100</f>
        <v>210</v>
      </c>
      <c r="AJ247" s="142">
        <f>B247*IBGE_2!AJ$247/100</f>
        <v>2.66</v>
      </c>
      <c r="AK247" s="142">
        <f>B247*IBGE_2!AK$247/100</f>
        <v>524</v>
      </c>
      <c r="AL247" s="142">
        <f>B247*IBGE_2!AL$247/100</f>
        <v>0.89</v>
      </c>
      <c r="AM247" s="142" t="s">
        <v>3047</v>
      </c>
      <c r="AN247" s="161"/>
    </row>
    <row r="248" spans="1:40">
      <c r="A248" s="143" t="s">
        <v>1307</v>
      </c>
      <c r="B248" s="141">
        <v>100</v>
      </c>
      <c r="C248" s="142">
        <f>B248*IBGE_2!C$248/100</f>
        <v>17</v>
      </c>
      <c r="D248" s="142">
        <f>B248*IBGE_2!D$248/100</f>
        <v>1.25</v>
      </c>
      <c r="E248" s="142">
        <f>B248*IBGE_2!E$248/100</f>
        <v>0.2</v>
      </c>
      <c r="F248" s="142">
        <f>B248*IBGE_2!F$248/100</f>
        <v>0.05</v>
      </c>
      <c r="G248" s="142" t="s">
        <v>3047</v>
      </c>
      <c r="H248" s="142">
        <f>B248*IBGE_2!H$248/100</f>
        <v>0.09</v>
      </c>
      <c r="I248" s="142">
        <f>B248*IBGE_2!I$248/100</f>
        <v>0.08</v>
      </c>
      <c r="J248" s="142">
        <f>B248*IBGE_2!J$248/100</f>
        <v>0.01</v>
      </c>
      <c r="K248" s="142" t="s">
        <v>3047</v>
      </c>
      <c r="L248" s="142">
        <f>B248*IBGE_2!L$248/100</f>
        <v>3.35</v>
      </c>
      <c r="M248" s="142">
        <f>B248*IBGE_2!M$248/100</f>
        <v>3.1</v>
      </c>
      <c r="N248" s="142">
        <f>B248*IBGE_2!N$248/100</f>
        <v>52</v>
      </c>
      <c r="O248" s="142">
        <f>B248*IBGE_2!O$248/100</f>
        <v>15</v>
      </c>
      <c r="P248" s="142">
        <f>B248*IBGE_2!P$248/100</f>
        <v>0.42</v>
      </c>
      <c r="Q248" s="142">
        <f>B248*IBGE_2!Q$248/100</f>
        <v>28</v>
      </c>
      <c r="R248" s="142">
        <f>B248*IBGE_2!R$248/100</f>
        <v>0.83</v>
      </c>
      <c r="S248" s="142">
        <f>B248*IBGE_2!S$248/100</f>
        <v>22</v>
      </c>
      <c r="T248" s="142">
        <f>B248*IBGE_2!T$248/100</f>
        <v>314</v>
      </c>
      <c r="U248" s="142">
        <f>B248*IBGE_2!U$248/100</f>
        <v>0.1</v>
      </c>
      <c r="V248" s="142">
        <f>B248*IBGE_2!V$248/100</f>
        <v>0.79</v>
      </c>
      <c r="W248" s="142" t="s">
        <v>3047</v>
      </c>
      <c r="X248" s="142">
        <f>B248*IBGE_2!X$248/100</f>
        <v>0.08</v>
      </c>
      <c r="Y248" s="142">
        <f>B248*IBGE_2!Y$248/100</f>
        <v>0.08</v>
      </c>
      <c r="Z248" s="142">
        <f>B248*IBGE_2!Z$248/100</f>
        <v>0.02</v>
      </c>
      <c r="AA248" s="142">
        <f>B248*IBGE_2!AA$248/100</f>
        <v>0.4</v>
      </c>
      <c r="AB248" s="142">
        <f>B248*IBGE_2!AB$248/100</f>
        <v>6.5</v>
      </c>
      <c r="AC248" s="142">
        <f>B248*IBGE_2!AC$248/100</f>
        <v>0.48</v>
      </c>
      <c r="AD248" s="142" t="s">
        <v>3047</v>
      </c>
      <c r="AE248" s="142">
        <f>B248*IBGE_2!AE$248/100</f>
        <v>142</v>
      </c>
      <c r="AF248" s="142" t="s">
        <v>3047</v>
      </c>
      <c r="AG248" s="142">
        <f>B248*IBGE_2!AG$248/100</f>
        <v>0.44</v>
      </c>
      <c r="AH248" s="145" t="s">
        <v>3047</v>
      </c>
      <c r="AI248" s="145" t="s">
        <v>3047</v>
      </c>
      <c r="AJ248" s="142">
        <f>B248*IBGE_2!AJ$248/100</f>
        <v>0.2</v>
      </c>
      <c r="AK248" s="142">
        <f>B248*IBGE_2!AK$248/100</f>
        <v>108.33</v>
      </c>
      <c r="AL248" s="142">
        <f>B248*IBGE_2!AL$248/100</f>
        <v>0.5</v>
      </c>
      <c r="AM248" s="142" t="s">
        <v>3047</v>
      </c>
      <c r="AN248" s="161"/>
    </row>
    <row r="249" spans="1:40">
      <c r="A249" s="143" t="s">
        <v>1308</v>
      </c>
      <c r="B249" s="141">
        <v>100</v>
      </c>
      <c r="C249" s="142">
        <f>B249*IBGE_2!C$249/100</f>
        <v>58.883000000000003</v>
      </c>
      <c r="D249" s="142">
        <f>B249*IBGE_2!D$249/100</f>
        <v>1.9</v>
      </c>
      <c r="E249" s="142">
        <f>B249*IBGE_2!E$249/100</f>
        <v>3.8940000000000001</v>
      </c>
      <c r="F249" s="142">
        <f>B249*IBGE_2!F$249/100</f>
        <v>0.59899999999999998</v>
      </c>
      <c r="G249" s="142">
        <f>B249*IBGE_2!G$249/100</f>
        <v>0.82599999999999996</v>
      </c>
      <c r="H249" s="142">
        <f>B249*IBGE_2!H$249/100</f>
        <v>2.21</v>
      </c>
      <c r="I249" s="142">
        <f>B249*IBGE_2!I$249/100</f>
        <v>1.859</v>
      </c>
      <c r="J249" s="142">
        <f>B249*IBGE_2!J$249/100</f>
        <v>0.34</v>
      </c>
      <c r="K249" s="142" t="s">
        <v>3047</v>
      </c>
      <c r="L249" s="142">
        <f>B249*IBGE_2!L$249/100</f>
        <v>5.63</v>
      </c>
      <c r="M249" s="142">
        <f>B249*IBGE_2!M$249/100</f>
        <v>2</v>
      </c>
      <c r="N249" s="142">
        <f>B249*IBGE_2!N$249/100</f>
        <v>72</v>
      </c>
      <c r="O249" s="142">
        <f>B249*IBGE_2!O$249/100</f>
        <v>18</v>
      </c>
      <c r="P249" s="142">
        <f>B249*IBGE_2!P$249/100</f>
        <v>0.41600000000000004</v>
      </c>
      <c r="Q249" s="142">
        <f>B249*IBGE_2!Q$249/100</f>
        <v>28</v>
      </c>
      <c r="R249" s="142">
        <f>B249*IBGE_2!R$249/100</f>
        <v>0.90200000000000002</v>
      </c>
      <c r="S249" s="142">
        <f>B249*IBGE_2!S$249/100</f>
        <v>23</v>
      </c>
      <c r="T249" s="142">
        <f>B249*IBGE_2!T$249/100</f>
        <v>228</v>
      </c>
      <c r="U249" s="142">
        <f>B249*IBGE_2!U$249/100</f>
        <v>0.156</v>
      </c>
      <c r="V249" s="142">
        <f>B249*IBGE_2!V$249/100</f>
        <v>0.24</v>
      </c>
      <c r="W249" s="142" t="s">
        <v>3047</v>
      </c>
      <c r="X249" s="142">
        <f>B249*IBGE_2!X$249/100</f>
        <v>5.2999999999999999E-2</v>
      </c>
      <c r="Y249" s="142">
        <f>B249*IBGE_2!Y$249/100</f>
        <v>7.0000000000000007E-2</v>
      </c>
      <c r="Z249" s="142">
        <f>B249*IBGE_2!Z$249/100</f>
        <v>0.13800000000000001</v>
      </c>
      <c r="AA249" s="142">
        <f>B249*IBGE_2!AA$249/100</f>
        <v>0.5</v>
      </c>
      <c r="AB249" s="142">
        <f>B249*IBGE_2!AB$249/100</f>
        <v>41</v>
      </c>
      <c r="AC249" s="142">
        <f>B249*IBGE_2!AC$249/100</f>
        <v>0.88300000000000001</v>
      </c>
      <c r="AD249" s="162" t="s">
        <v>3047</v>
      </c>
      <c r="AE249" s="142">
        <f>B249*IBGE_2!AE$249/100</f>
        <v>13</v>
      </c>
      <c r="AF249" s="162" t="s">
        <v>3047</v>
      </c>
      <c r="AG249" s="142">
        <f>B249*IBGE_2!AG$249/100</f>
        <v>1.1359999999999999</v>
      </c>
      <c r="AH249" s="142">
        <f>B249*IBGE_2!AH$249/100</f>
        <v>1.9E-2</v>
      </c>
      <c r="AI249" s="142">
        <f>B249*IBGE_2!AI$249/100</f>
        <v>290</v>
      </c>
      <c r="AJ249" s="142">
        <f>B249*IBGE_2!AJ$249/100</f>
        <v>2.5009999999999999</v>
      </c>
      <c r="AK249" s="142">
        <f>B249*IBGE_2!AK$249/100</f>
        <v>681.08300000000008</v>
      </c>
      <c r="AL249" s="142">
        <f>B249*IBGE_2!AL$249/100</f>
        <v>0.89500000000000002</v>
      </c>
      <c r="AM249" s="162" t="s">
        <v>3047</v>
      </c>
      <c r="AN249" s="161"/>
    </row>
    <row r="250" spans="1:40">
      <c r="A250" s="143" t="s">
        <v>1309</v>
      </c>
      <c r="B250" s="141">
        <v>100</v>
      </c>
      <c r="C250" s="142">
        <f>B250*IBGE_2!C$250/100</f>
        <v>58.883000000000003</v>
      </c>
      <c r="D250" s="142">
        <f>B250*IBGE_2!D$250/100</f>
        <v>1.9</v>
      </c>
      <c r="E250" s="142">
        <f>B250*IBGE_2!E$250/100</f>
        <v>3.8940000000000001</v>
      </c>
      <c r="F250" s="142">
        <f>B250*IBGE_2!F$250/100</f>
        <v>0.59899999999999998</v>
      </c>
      <c r="G250" s="142">
        <f>B250*IBGE_2!G$250/100</f>
        <v>0.82599999999999996</v>
      </c>
      <c r="H250" s="142">
        <f>B250*IBGE_2!H$250/100</f>
        <v>2.21</v>
      </c>
      <c r="I250" s="142">
        <f>B250*IBGE_2!I$250/100</f>
        <v>1.859</v>
      </c>
      <c r="J250" s="142">
        <f>B250*IBGE_2!J$250/100</f>
        <v>0.34</v>
      </c>
      <c r="K250" s="142" t="s">
        <v>3047</v>
      </c>
      <c r="L250" s="142">
        <f>B250*IBGE_2!L$250/100</f>
        <v>5.63</v>
      </c>
      <c r="M250" s="142">
        <f>B250*IBGE_2!M$250/100</f>
        <v>2</v>
      </c>
      <c r="N250" s="142">
        <f>B250*IBGE_2!N$250/100</f>
        <v>72</v>
      </c>
      <c r="O250" s="142">
        <f>B250*IBGE_2!O$250/100</f>
        <v>18</v>
      </c>
      <c r="P250" s="142">
        <f>B250*IBGE_2!P$250/100</f>
        <v>0.41600000000000004</v>
      </c>
      <c r="Q250" s="142">
        <f>B250*IBGE_2!Q$250/100</f>
        <v>28</v>
      </c>
      <c r="R250" s="142">
        <f>B250*IBGE_2!R$250/100</f>
        <v>0.90200000000000002</v>
      </c>
      <c r="S250" s="142">
        <f>B250*IBGE_2!S$250/100</f>
        <v>23</v>
      </c>
      <c r="T250" s="142">
        <f>B250*IBGE_2!T$250/100</f>
        <v>228</v>
      </c>
      <c r="U250" s="142">
        <f>B250*IBGE_2!U$250/100</f>
        <v>0.156</v>
      </c>
      <c r="V250" s="142">
        <f>B250*IBGE_2!V$250/100</f>
        <v>0.24</v>
      </c>
      <c r="W250" s="142" t="s">
        <v>3047</v>
      </c>
      <c r="X250" s="142">
        <f>B250*IBGE_2!X$250/100</f>
        <v>5.2999999999999999E-2</v>
      </c>
      <c r="Y250" s="142">
        <f>B250*IBGE_2!Y$250/100</f>
        <v>7.0000000000000007E-2</v>
      </c>
      <c r="Z250" s="142">
        <f>B250*IBGE_2!Z$250/100</f>
        <v>0.13800000000000001</v>
      </c>
      <c r="AA250" s="142">
        <f>B250*IBGE_2!AA$250/100</f>
        <v>0.5</v>
      </c>
      <c r="AB250" s="142">
        <f>B250*IBGE_2!AB$250/100</f>
        <v>41</v>
      </c>
      <c r="AC250" s="142">
        <f>B250*IBGE_2!AC$250/100</f>
        <v>0.88300000000000001</v>
      </c>
      <c r="AD250" s="162" t="s">
        <v>3047</v>
      </c>
      <c r="AE250" s="142">
        <f>B250*IBGE_2!AE$250/100</f>
        <v>13</v>
      </c>
      <c r="AF250" s="162" t="s">
        <v>3047</v>
      </c>
      <c r="AG250" s="142">
        <f>B250*IBGE_2!AG$250/100</f>
        <v>1.1359999999999999</v>
      </c>
      <c r="AH250" s="142">
        <f>B250*IBGE_2!AH$250/100</f>
        <v>1.9E-2</v>
      </c>
      <c r="AI250" s="142">
        <f>B250*IBGE_2!AI$250/100</f>
        <v>290</v>
      </c>
      <c r="AJ250" s="142">
        <f>B250*IBGE_2!AJ$250/100</f>
        <v>2.5009999999999999</v>
      </c>
      <c r="AK250" s="142">
        <f>B250*IBGE_2!AK$250/100</f>
        <v>681.08300000000008</v>
      </c>
      <c r="AL250" s="142">
        <f>B250*IBGE_2!AL$250/100</f>
        <v>0.89500000000000002</v>
      </c>
      <c r="AM250" s="162" t="s">
        <v>3047</v>
      </c>
      <c r="AN250" s="161"/>
    </row>
    <row r="251" spans="1:40">
      <c r="A251" s="143" t="s">
        <v>1310</v>
      </c>
      <c r="B251" s="141">
        <v>100</v>
      </c>
      <c r="C251" s="142">
        <f>B251*IBGE_2!C$251/100</f>
        <v>58.883000000000003</v>
      </c>
      <c r="D251" s="142">
        <f>B251*IBGE_2!D$251/100</f>
        <v>1.9</v>
      </c>
      <c r="E251" s="142">
        <f>B251*IBGE_2!E$251/100</f>
        <v>3.8940000000000001</v>
      </c>
      <c r="F251" s="142">
        <f>B251*IBGE_2!F$251/100</f>
        <v>0.59899999999999998</v>
      </c>
      <c r="G251" s="142">
        <f>B251*IBGE_2!G$251/100</f>
        <v>0.82599999999999996</v>
      </c>
      <c r="H251" s="142">
        <f>B251*IBGE_2!H$251/100</f>
        <v>2.21</v>
      </c>
      <c r="I251" s="142">
        <f>B251*IBGE_2!I$251/100</f>
        <v>1.859</v>
      </c>
      <c r="J251" s="142">
        <f>B251*IBGE_2!J$251/100</f>
        <v>0.34</v>
      </c>
      <c r="K251" s="142" t="s">
        <v>3047</v>
      </c>
      <c r="L251" s="142">
        <f>B251*IBGE_2!L$251/100</f>
        <v>5.63</v>
      </c>
      <c r="M251" s="142">
        <f>B251*IBGE_2!M$251/100</f>
        <v>2</v>
      </c>
      <c r="N251" s="142">
        <f>B251*IBGE_2!N$251/100</f>
        <v>72</v>
      </c>
      <c r="O251" s="142">
        <f>B251*IBGE_2!O$251/100</f>
        <v>18</v>
      </c>
      <c r="P251" s="142">
        <f>B251*IBGE_2!P$251/100</f>
        <v>0.41600000000000004</v>
      </c>
      <c r="Q251" s="142">
        <f>B251*IBGE_2!Q$251/100</f>
        <v>28</v>
      </c>
      <c r="R251" s="142">
        <f>B251*IBGE_2!R$251/100</f>
        <v>0.90200000000000002</v>
      </c>
      <c r="S251" s="142">
        <f>B251*IBGE_2!S$251/100</f>
        <v>23</v>
      </c>
      <c r="T251" s="142">
        <f>B251*IBGE_2!T$251/100</f>
        <v>228</v>
      </c>
      <c r="U251" s="142">
        <f>B251*IBGE_2!U$251/100</f>
        <v>0.156</v>
      </c>
      <c r="V251" s="142">
        <f>B251*IBGE_2!V$251/100</f>
        <v>0.24</v>
      </c>
      <c r="W251" s="142" t="s">
        <v>3047</v>
      </c>
      <c r="X251" s="142">
        <f>B251*IBGE_2!X$251/100</f>
        <v>5.2999999999999999E-2</v>
      </c>
      <c r="Y251" s="142">
        <f>B251*IBGE_2!Y$251/100</f>
        <v>7.0000000000000007E-2</v>
      </c>
      <c r="Z251" s="142">
        <f>B251*IBGE_2!Z$251/100</f>
        <v>0.13800000000000001</v>
      </c>
      <c r="AA251" s="142">
        <f>B251*IBGE_2!AA$251/100</f>
        <v>0.5</v>
      </c>
      <c r="AB251" s="142">
        <f>B251*IBGE_2!AB$251/100</f>
        <v>41</v>
      </c>
      <c r="AC251" s="142">
        <f>B251*IBGE_2!AC$251/100</f>
        <v>0.88300000000000001</v>
      </c>
      <c r="AD251" s="162" t="s">
        <v>3047</v>
      </c>
      <c r="AE251" s="142">
        <f>B251*IBGE_2!AE$251/100</f>
        <v>13</v>
      </c>
      <c r="AF251" s="162" t="s">
        <v>3047</v>
      </c>
      <c r="AG251" s="142">
        <f>B251*IBGE_2!AG$251/100</f>
        <v>1.1359999999999999</v>
      </c>
      <c r="AH251" s="142">
        <f>B251*IBGE_2!AH$251/100</f>
        <v>1.9E-2</v>
      </c>
      <c r="AI251" s="142">
        <f>B251*IBGE_2!AI$251/100</f>
        <v>290</v>
      </c>
      <c r="AJ251" s="142">
        <f>B251*IBGE_2!AJ$251/100</f>
        <v>2.5009999999999999</v>
      </c>
      <c r="AK251" s="142">
        <f>B251*IBGE_2!AK$251/100</f>
        <v>681.08300000000008</v>
      </c>
      <c r="AL251" s="142">
        <f>B251*IBGE_2!AL$251/100</f>
        <v>0.89500000000000002</v>
      </c>
      <c r="AM251" s="162" t="s">
        <v>3047</v>
      </c>
      <c r="AN251" s="161"/>
    </row>
    <row r="252" spans="1:40">
      <c r="A252" s="143" t="s">
        <v>1311</v>
      </c>
      <c r="B252" s="141">
        <v>100</v>
      </c>
      <c r="C252" s="142">
        <f>B252*IBGE_2!C$252/100</f>
        <v>52.88</v>
      </c>
      <c r="D252" s="142">
        <f>B252*IBGE_2!D$252/100</f>
        <v>1.61</v>
      </c>
      <c r="E252" s="142">
        <f>B252*IBGE_2!E$252/100</f>
        <v>3.75</v>
      </c>
      <c r="F252" s="142">
        <f>B252*IBGE_2!F$252/100</f>
        <v>0.56000000000000005</v>
      </c>
      <c r="G252" s="142">
        <f>B252*IBGE_2!G$252/100</f>
        <v>0.81</v>
      </c>
      <c r="H252" s="142">
        <f>B252*IBGE_2!H$252/100</f>
        <v>2.13</v>
      </c>
      <c r="I252" s="142">
        <f>B252*IBGE_2!I$252/100</f>
        <v>1.88</v>
      </c>
      <c r="J252" s="142">
        <f>B252*IBGE_2!J$252/100</f>
        <v>0.26</v>
      </c>
      <c r="K252" s="142" t="s">
        <v>3047</v>
      </c>
      <c r="L252" s="142">
        <f>B252*IBGE_2!L$252/100</f>
        <v>4.3099999999999996</v>
      </c>
      <c r="M252" s="142">
        <f>B252*IBGE_2!M$252/100</f>
        <v>3.99</v>
      </c>
      <c r="N252" s="142">
        <f>B252*IBGE_2!N$252/100</f>
        <v>64</v>
      </c>
      <c r="O252" s="142">
        <f>B252*IBGE_2!O$252/100</f>
        <v>18</v>
      </c>
      <c r="P252" s="142">
        <f>B252*IBGE_2!P$252/100</f>
        <v>0.55000000000000004</v>
      </c>
      <c r="Q252" s="142">
        <f>B252*IBGE_2!Q$252/100</f>
        <v>32</v>
      </c>
      <c r="R252" s="142">
        <f>B252*IBGE_2!R$252/100</f>
        <v>1.02</v>
      </c>
      <c r="S252" s="142">
        <f>B252*IBGE_2!S$252/100</f>
        <v>29</v>
      </c>
      <c r="T252" s="142">
        <f>B252*IBGE_2!T$252/100</f>
        <v>364</v>
      </c>
      <c r="U252" s="142">
        <f>B252*IBGE_2!U$252/100</f>
        <v>0.12</v>
      </c>
      <c r="V252" s="142">
        <f>B252*IBGE_2!V$252/100</f>
        <v>0.97</v>
      </c>
      <c r="W252" s="142" t="s">
        <v>3047</v>
      </c>
      <c r="X252" s="142">
        <f>B252*IBGE_2!X$252/100</f>
        <v>0.09</v>
      </c>
      <c r="Y252" s="142">
        <f>B252*IBGE_2!Y$252/100</f>
        <v>0.09</v>
      </c>
      <c r="Z252" s="142">
        <f>B252*IBGE_2!Z$252/100</f>
        <v>0.02</v>
      </c>
      <c r="AA252" s="142">
        <f>B252*IBGE_2!AA$252/100</f>
        <v>0.46</v>
      </c>
      <c r="AB252" s="142">
        <f>B252*IBGE_2!AB$252/100</f>
        <v>5.0199999999999996</v>
      </c>
      <c r="AC252" s="142">
        <f>B252*IBGE_2!AC$252/100</f>
        <v>0.63</v>
      </c>
      <c r="AD252" s="142" t="s">
        <v>3047</v>
      </c>
      <c r="AE252" s="142">
        <f>B252*IBGE_2!AE$252/100</f>
        <v>119</v>
      </c>
      <c r="AF252" s="142" t="s">
        <v>3047</v>
      </c>
      <c r="AG252" s="142">
        <f>B252*IBGE_2!AG$252/100</f>
        <v>0.97</v>
      </c>
      <c r="AH252" s="145" t="s">
        <v>3047</v>
      </c>
      <c r="AI252" s="145" t="s">
        <v>3047</v>
      </c>
      <c r="AJ252" s="142">
        <f>B252*IBGE_2!AJ$252/100</f>
        <v>1.86</v>
      </c>
      <c r="AK252" s="142">
        <f>B252*IBGE_2!AK$252/100</f>
        <v>80</v>
      </c>
      <c r="AL252" s="142">
        <f>B252*IBGE_2!AL$252/100</f>
        <v>0.65</v>
      </c>
      <c r="AM252" s="142" t="s">
        <v>3047</v>
      </c>
      <c r="AN252" s="161"/>
    </row>
    <row r="253" spans="1:40">
      <c r="A253" s="143" t="s">
        <v>1312</v>
      </c>
      <c r="B253" s="141">
        <v>100</v>
      </c>
      <c r="C253" s="142">
        <f>B253*IBGE_2!C$253/100</f>
        <v>30</v>
      </c>
      <c r="D253" s="142">
        <f>B253*IBGE_2!D$253/100</f>
        <v>2.4500000000000002</v>
      </c>
      <c r="E253" s="142">
        <f>B253*IBGE_2!E$253/100</f>
        <v>0.42</v>
      </c>
      <c r="F253" s="142">
        <f>B253*IBGE_2!F$253/100</f>
        <v>0.06</v>
      </c>
      <c r="G253" s="142">
        <f>B253*IBGE_2!G$253/100</f>
        <v>0.03</v>
      </c>
      <c r="H253" s="142">
        <f>B253*IBGE_2!H$253/100</f>
        <v>0.2</v>
      </c>
      <c r="I253" s="142">
        <f>B253*IBGE_2!I$253/100</f>
        <v>0.08</v>
      </c>
      <c r="J253" s="142">
        <f>B253*IBGE_2!J$253/100</f>
        <v>0.11</v>
      </c>
      <c r="K253" s="142" t="s">
        <v>3047</v>
      </c>
      <c r="L253" s="142">
        <f>B253*IBGE_2!L$253/100</f>
        <v>5.69</v>
      </c>
      <c r="M253" s="142">
        <f>B253*IBGE_2!M$253/100</f>
        <v>3.6</v>
      </c>
      <c r="N253" s="142">
        <f>B253*IBGE_2!N$253/100</f>
        <v>145</v>
      </c>
      <c r="O253" s="142">
        <f>B253*IBGE_2!O$253/100</f>
        <v>9</v>
      </c>
      <c r="P253" s="142">
        <f>B253*IBGE_2!P$253/100</f>
        <v>0.28000000000000003</v>
      </c>
      <c r="Q253" s="142">
        <f>B253*IBGE_2!Q$253/100</f>
        <v>10</v>
      </c>
      <c r="R253" s="142">
        <f>B253*IBGE_2!R$253/100</f>
        <v>0.19</v>
      </c>
      <c r="S253" s="142">
        <f>B253*IBGE_2!S$253/100</f>
        <v>20</v>
      </c>
      <c r="T253" s="142">
        <f>B253*IBGE_2!T$253/100</f>
        <v>169</v>
      </c>
      <c r="U253" s="142">
        <f>B253*IBGE_2!U$253/100</f>
        <v>0.04</v>
      </c>
      <c r="V253" s="142">
        <f>B253*IBGE_2!V$253/100</f>
        <v>0.13</v>
      </c>
      <c r="W253" s="142" t="s">
        <v>3047</v>
      </c>
      <c r="X253" s="142">
        <f>B253*IBGE_2!X$253/100</f>
        <v>0.05</v>
      </c>
      <c r="Y253" s="142">
        <f>B253*IBGE_2!Y$253/100</f>
        <v>0.13</v>
      </c>
      <c r="Z253" s="142">
        <f>B253*IBGE_2!Z$253/100</f>
        <v>0.17</v>
      </c>
      <c r="AA253" s="142">
        <f>B253*IBGE_2!AA$253/100</f>
        <v>0.74</v>
      </c>
      <c r="AB253" s="142">
        <f>B253*IBGE_2!AB$253/100</f>
        <v>35.299999999999997</v>
      </c>
      <c r="AC253" s="142">
        <f>B253*IBGE_2!AC$253/100</f>
        <v>1.26</v>
      </c>
      <c r="AD253" s="145" t="s">
        <v>3047</v>
      </c>
      <c r="AE253" s="142">
        <f>B253*IBGE_2!AE$253/100</f>
        <v>166</v>
      </c>
      <c r="AF253" s="145" t="s">
        <v>3047</v>
      </c>
      <c r="AG253" s="142">
        <f>B253*IBGE_2!AG$253/100</f>
        <v>2.2599999999999998</v>
      </c>
      <c r="AH253" s="142" t="s">
        <v>3047</v>
      </c>
      <c r="AI253" s="145" t="s">
        <v>3047</v>
      </c>
      <c r="AJ253" s="142">
        <f>B253*IBGE_2!AJ$253/100</f>
        <v>1.3</v>
      </c>
      <c r="AK253" s="142">
        <f>B253*IBGE_2!AK$253/100</f>
        <v>333.42</v>
      </c>
      <c r="AL253" s="142">
        <f>B253*IBGE_2!AL$253/100</f>
        <v>1.63</v>
      </c>
      <c r="AM253" s="145" t="s">
        <v>3047</v>
      </c>
      <c r="AN253" s="161"/>
    </row>
    <row r="254" spans="1:40">
      <c r="A254" s="143" t="s">
        <v>1313</v>
      </c>
      <c r="B254" s="141">
        <v>100</v>
      </c>
      <c r="C254" s="142">
        <f>B254*IBGE_2!C$254/100</f>
        <v>26</v>
      </c>
      <c r="D254" s="142">
        <f>B254*IBGE_2!D$254/100</f>
        <v>2.11</v>
      </c>
      <c r="E254" s="142">
        <f>B254*IBGE_2!E$254/100</f>
        <v>0.36</v>
      </c>
      <c r="F254" s="142">
        <f>B254*IBGE_2!F$254/100</f>
        <v>0.05</v>
      </c>
      <c r="G254" s="142">
        <f>B254*IBGE_2!G$254/100</f>
        <v>0.03</v>
      </c>
      <c r="H254" s="142">
        <f>B254*IBGE_2!H$254/100</f>
        <v>0.17</v>
      </c>
      <c r="I254" s="142">
        <f>B254*IBGE_2!I$254/100</f>
        <v>7.0000000000000007E-2</v>
      </c>
      <c r="J254" s="142">
        <f>B254*IBGE_2!J$254/100</f>
        <v>0.09</v>
      </c>
      <c r="K254" s="142" t="s">
        <v>3047</v>
      </c>
      <c r="L254" s="142">
        <f>B254*IBGE_2!L$254/100</f>
        <v>4.91</v>
      </c>
      <c r="M254" s="142">
        <f>B254*IBGE_2!M$254/100</f>
        <v>2.8</v>
      </c>
      <c r="N254" s="142">
        <f>B254*IBGE_2!N$254/100</f>
        <v>140</v>
      </c>
      <c r="O254" s="142">
        <f>B254*IBGE_2!O$254/100</f>
        <v>20</v>
      </c>
      <c r="P254" s="142">
        <f>B254*IBGE_2!P$254/100</f>
        <v>0.44</v>
      </c>
      <c r="Q254" s="142">
        <f>B254*IBGE_2!Q$254/100</f>
        <v>30</v>
      </c>
      <c r="R254" s="142">
        <f>B254*IBGE_2!R$254/100</f>
        <v>1.1599999999999999</v>
      </c>
      <c r="S254" s="142">
        <f>B254*IBGE_2!S$254/100</f>
        <v>16</v>
      </c>
      <c r="T254" s="142">
        <f>B254*IBGE_2!T$254/100</f>
        <v>116</v>
      </c>
      <c r="U254" s="142">
        <f>B254*IBGE_2!U$254/100</f>
        <v>0.04</v>
      </c>
      <c r="V254" s="142">
        <f>B254*IBGE_2!V$254/100</f>
        <v>0.23</v>
      </c>
      <c r="W254" s="142" t="s">
        <v>3047</v>
      </c>
      <c r="X254" s="142">
        <f>B254*IBGE_2!X$254/100</f>
        <v>0.04</v>
      </c>
      <c r="Y254" s="142">
        <f>B254*IBGE_2!Y$254/100</f>
        <v>0.11</v>
      </c>
      <c r="Z254" s="142">
        <f>B254*IBGE_2!Z$254/100</f>
        <v>0.13</v>
      </c>
      <c r="AA254" s="142">
        <f>B254*IBGE_2!AA$254/100</f>
        <v>0.57999999999999996</v>
      </c>
      <c r="AB254" s="142">
        <f>B254*IBGE_2!AB$254/100</f>
        <v>18.2</v>
      </c>
      <c r="AC254" s="142">
        <f>B254*IBGE_2!AC$254/100</f>
        <v>1.03</v>
      </c>
      <c r="AD254" s="145" t="s">
        <v>3047</v>
      </c>
      <c r="AE254" s="142">
        <f>B254*IBGE_2!AE$254/100</f>
        <v>93</v>
      </c>
      <c r="AF254" s="145" t="s">
        <v>3047</v>
      </c>
      <c r="AG254" s="142">
        <f>B254*IBGE_2!AG$254/100</f>
        <v>0.88</v>
      </c>
      <c r="AH254" s="142" t="s">
        <v>3047</v>
      </c>
      <c r="AI254" s="142">
        <f>B254*IBGE_2!AI$254/100</f>
        <v>199</v>
      </c>
      <c r="AJ254" s="142">
        <f>B254*IBGE_2!AJ$254/100</f>
        <v>0.5</v>
      </c>
      <c r="AK254" s="142">
        <f>B254*IBGE_2!AK$254/100</f>
        <v>405.75</v>
      </c>
      <c r="AL254" s="142">
        <f>B254*IBGE_2!AL$254/100</f>
        <v>1.41</v>
      </c>
      <c r="AM254" s="145" t="s">
        <v>3047</v>
      </c>
      <c r="AN254" s="161"/>
    </row>
    <row r="255" spans="1:40">
      <c r="A255" s="143" t="s">
        <v>1314</v>
      </c>
      <c r="B255" s="141">
        <v>100</v>
      </c>
      <c r="C255" s="142">
        <f>B255*IBGE_2!C$255/100</f>
        <v>47.13</v>
      </c>
      <c r="D255" s="142">
        <f>B255*IBGE_2!D$255/100</f>
        <v>2.11</v>
      </c>
      <c r="E255" s="142">
        <f>B255*IBGE_2!E$255/100</f>
        <v>2.75</v>
      </c>
      <c r="F255" s="142">
        <f>B255*IBGE_2!F$255/100</f>
        <v>0.39</v>
      </c>
      <c r="G255" s="142">
        <f>B255*IBGE_2!G$255/100</f>
        <v>0.57999999999999996</v>
      </c>
      <c r="H255" s="142">
        <f>B255*IBGE_2!H$255/100</f>
        <v>1.56</v>
      </c>
      <c r="I255" s="142">
        <f>B255*IBGE_2!I$255/100</f>
        <v>1.29</v>
      </c>
      <c r="J255" s="142">
        <f>B255*IBGE_2!J$255/100</f>
        <v>0.26</v>
      </c>
      <c r="K255" s="142" t="s">
        <v>3047</v>
      </c>
      <c r="L255" s="142">
        <f>B255*IBGE_2!L$255/100</f>
        <v>4.91</v>
      </c>
      <c r="M255" s="142">
        <f>B255*IBGE_2!M$255/100</f>
        <v>2.8</v>
      </c>
      <c r="N255" s="142">
        <f>B255*IBGE_2!N$255/100</f>
        <v>140</v>
      </c>
      <c r="O255" s="142">
        <f>B255*IBGE_2!O$255/100</f>
        <v>20</v>
      </c>
      <c r="P255" s="142">
        <f>B255*IBGE_2!P$255/100</f>
        <v>0.44</v>
      </c>
      <c r="Q255" s="142">
        <f>B255*IBGE_2!Q$255/100</f>
        <v>30</v>
      </c>
      <c r="R255" s="142">
        <f>B255*IBGE_2!R$255/100</f>
        <v>1.1599999999999999</v>
      </c>
      <c r="S255" s="142">
        <f>B255*IBGE_2!S$255/100</f>
        <v>16</v>
      </c>
      <c r="T255" s="142">
        <f>B255*IBGE_2!T$255/100</f>
        <v>116</v>
      </c>
      <c r="U255" s="142">
        <f>B255*IBGE_2!U$255/100</f>
        <v>0.04</v>
      </c>
      <c r="V255" s="142">
        <f>B255*IBGE_2!V$255/100</f>
        <v>0.23</v>
      </c>
      <c r="W255" s="142" t="s">
        <v>3047</v>
      </c>
      <c r="X255" s="142">
        <f>B255*IBGE_2!X$255/100</f>
        <v>0.04</v>
      </c>
      <c r="Y255" s="142">
        <f>B255*IBGE_2!Y$255/100</f>
        <v>0.11</v>
      </c>
      <c r="Z255" s="142">
        <f>B255*IBGE_2!Z$255/100</f>
        <v>0.13</v>
      </c>
      <c r="AA255" s="142">
        <f>B255*IBGE_2!AA$255/100</f>
        <v>0.57999999999999996</v>
      </c>
      <c r="AB255" s="142">
        <f>B255*IBGE_2!AB$255/100</f>
        <v>18.2</v>
      </c>
      <c r="AC255" s="142">
        <f>B255*IBGE_2!AC$255/100</f>
        <v>1.03</v>
      </c>
      <c r="AD255" s="145" t="s">
        <v>3047</v>
      </c>
      <c r="AE255" s="142">
        <f>B255*IBGE_2!AE$255/100</f>
        <v>93</v>
      </c>
      <c r="AF255" s="145" t="s">
        <v>3047</v>
      </c>
      <c r="AG255" s="142">
        <f>B255*IBGE_2!AG$255/100</f>
        <v>1.1000000000000001</v>
      </c>
      <c r="AH255" s="145" t="s">
        <v>3047</v>
      </c>
      <c r="AI255" s="142">
        <f>B255*IBGE_2!AI$255/100</f>
        <v>199</v>
      </c>
      <c r="AJ255" s="142">
        <f>B255*IBGE_2!AJ$255/100</f>
        <v>1.6</v>
      </c>
      <c r="AK255" s="142">
        <f>B255*IBGE_2!AK$255/100</f>
        <v>405.75</v>
      </c>
      <c r="AL255" s="142">
        <f>B255*IBGE_2!AL$255/100</f>
        <v>1.41</v>
      </c>
      <c r="AM255" s="145" t="s">
        <v>3047</v>
      </c>
      <c r="AN255" s="161"/>
    </row>
    <row r="256" spans="1:40">
      <c r="A256" s="143" t="s">
        <v>1315</v>
      </c>
      <c r="B256" s="141">
        <v>100</v>
      </c>
      <c r="C256" s="142">
        <f>B256*IBGE_2!C$256/100</f>
        <v>47.13</v>
      </c>
      <c r="D256" s="142">
        <f>B256*IBGE_2!D$256/100</f>
        <v>2.11</v>
      </c>
      <c r="E256" s="142">
        <f>B256*IBGE_2!E$256/100</f>
        <v>2.75</v>
      </c>
      <c r="F256" s="142">
        <f>B256*IBGE_2!F$256/100</f>
        <v>0.39</v>
      </c>
      <c r="G256" s="142">
        <f>B256*IBGE_2!G$256/100</f>
        <v>0.57999999999999996</v>
      </c>
      <c r="H256" s="142">
        <f>B256*IBGE_2!H$256/100</f>
        <v>1.56</v>
      </c>
      <c r="I256" s="142">
        <f>B256*IBGE_2!I$256/100</f>
        <v>1.29</v>
      </c>
      <c r="J256" s="142">
        <f>B256*IBGE_2!J$256/100</f>
        <v>0.26</v>
      </c>
      <c r="K256" s="142" t="s">
        <v>3047</v>
      </c>
      <c r="L256" s="142">
        <f>B256*IBGE_2!L$256/100</f>
        <v>4.91</v>
      </c>
      <c r="M256" s="142">
        <f>B256*IBGE_2!M$256/100</f>
        <v>2.8</v>
      </c>
      <c r="N256" s="142">
        <f>B256*IBGE_2!N$256/100</f>
        <v>140</v>
      </c>
      <c r="O256" s="142">
        <f>B256*IBGE_2!O$256/100</f>
        <v>20</v>
      </c>
      <c r="P256" s="142">
        <f>B256*IBGE_2!P$256/100</f>
        <v>0.44</v>
      </c>
      <c r="Q256" s="142">
        <f>B256*IBGE_2!Q$256/100</f>
        <v>30</v>
      </c>
      <c r="R256" s="142">
        <f>B256*IBGE_2!R$256/100</f>
        <v>1.1599999999999999</v>
      </c>
      <c r="S256" s="142">
        <f>B256*IBGE_2!S$256/100</f>
        <v>16</v>
      </c>
      <c r="T256" s="142">
        <f>B256*IBGE_2!T$256/100</f>
        <v>116</v>
      </c>
      <c r="U256" s="142">
        <f>B256*IBGE_2!U$256/100</f>
        <v>0.04</v>
      </c>
      <c r="V256" s="142">
        <f>B256*IBGE_2!V$256/100</f>
        <v>0.23</v>
      </c>
      <c r="W256" s="142" t="s">
        <v>3047</v>
      </c>
      <c r="X256" s="142">
        <f>B256*IBGE_2!X$256/100</f>
        <v>0.04</v>
      </c>
      <c r="Y256" s="142">
        <f>B256*IBGE_2!Y$256/100</f>
        <v>0.11</v>
      </c>
      <c r="Z256" s="142">
        <f>B256*IBGE_2!Z$256/100</f>
        <v>0.13</v>
      </c>
      <c r="AA256" s="142">
        <f>B256*IBGE_2!AA$256/100</f>
        <v>0.57999999999999996</v>
      </c>
      <c r="AB256" s="142">
        <f>B256*IBGE_2!AB$256/100</f>
        <v>18.2</v>
      </c>
      <c r="AC256" s="142">
        <f>B256*IBGE_2!AC$256/100</f>
        <v>1.03</v>
      </c>
      <c r="AD256" s="145" t="s">
        <v>3047</v>
      </c>
      <c r="AE256" s="142">
        <f>B256*IBGE_2!AE$256/100</f>
        <v>93</v>
      </c>
      <c r="AF256" s="145" t="s">
        <v>3047</v>
      </c>
      <c r="AG256" s="142">
        <f>B256*IBGE_2!AG$256/100</f>
        <v>1.1000000000000001</v>
      </c>
      <c r="AH256" s="145" t="s">
        <v>3047</v>
      </c>
      <c r="AI256" s="142">
        <f>B256*IBGE_2!AI$256/100</f>
        <v>199</v>
      </c>
      <c r="AJ256" s="142">
        <f>B256*IBGE_2!AJ$256/100</f>
        <v>1.6</v>
      </c>
      <c r="AK256" s="142">
        <f>B256*IBGE_2!AK$256/100</f>
        <v>405.75</v>
      </c>
      <c r="AL256" s="142">
        <f>B256*IBGE_2!AL$256/100</f>
        <v>1.41</v>
      </c>
      <c r="AM256" s="145" t="s">
        <v>3047</v>
      </c>
      <c r="AN256" s="161"/>
    </row>
    <row r="257" spans="1:40">
      <c r="A257" s="143" t="s">
        <v>1316</v>
      </c>
      <c r="B257" s="141">
        <v>100</v>
      </c>
      <c r="C257" s="142">
        <f>B257*IBGE_2!C$257/100</f>
        <v>25.6</v>
      </c>
      <c r="D257" s="142">
        <f>B257*IBGE_2!D$257/100</f>
        <v>1.952</v>
      </c>
      <c r="E257" s="142">
        <f>B257*IBGE_2!E$257/100</f>
        <v>0.32400000000000001</v>
      </c>
      <c r="F257" s="142">
        <f>B257*IBGE_2!F$257/100</f>
        <v>4.2999999999999997E-2</v>
      </c>
      <c r="G257" s="142">
        <f>B257*IBGE_2!G$257/100</f>
        <v>2.6000000000000002E-2</v>
      </c>
      <c r="H257" s="142">
        <f>B257*IBGE_2!H$257/100</f>
        <v>0.153</v>
      </c>
      <c r="I257" s="142">
        <f>B257*IBGE_2!I$257/100</f>
        <v>7.0000000000000007E-2</v>
      </c>
      <c r="J257" s="142">
        <f>B257*IBGE_2!J$257/100</f>
        <v>7.4999999999999997E-2</v>
      </c>
      <c r="K257" s="142" t="s">
        <v>3047</v>
      </c>
      <c r="L257" s="142">
        <f>B257*IBGE_2!L$257/100</f>
        <v>5.0039999999999996</v>
      </c>
      <c r="M257" s="142">
        <f>B257*IBGE_2!M$257/100</f>
        <v>2.54</v>
      </c>
      <c r="N257" s="142">
        <f>B257*IBGE_2!N$257/100</f>
        <v>114.6</v>
      </c>
      <c r="O257" s="142">
        <f>B257*IBGE_2!O$257/100</f>
        <v>19.2</v>
      </c>
      <c r="P257" s="142">
        <f>B257*IBGE_2!P$257/100</f>
        <v>0.37</v>
      </c>
      <c r="Q257" s="142">
        <f>B257*IBGE_2!Q$257/100</f>
        <v>29.2</v>
      </c>
      <c r="R257" s="142">
        <f>B257*IBGE_2!R$257/100</f>
        <v>1.1319999999999999</v>
      </c>
      <c r="S257" s="142">
        <f>B257*IBGE_2!S$257/100</f>
        <v>117.6</v>
      </c>
      <c r="T257" s="142">
        <f>B257*IBGE_2!T$257/100</f>
        <v>159</v>
      </c>
      <c r="U257" s="142">
        <f>B257*IBGE_2!U$257/100</f>
        <v>5.4000000000000006E-2</v>
      </c>
      <c r="V257" s="142">
        <f>B257*IBGE_2!V$257/100</f>
        <v>0.22400000000000003</v>
      </c>
      <c r="W257" s="142" t="s">
        <v>3047</v>
      </c>
      <c r="X257" s="142">
        <f>B257*IBGE_2!X$257/100</f>
        <v>3.6999999999999998E-2</v>
      </c>
      <c r="Y257" s="142">
        <f>B257*IBGE_2!Y$257/100</f>
        <v>9.8000000000000004E-2</v>
      </c>
      <c r="Z257" s="142">
        <f>B257*IBGE_2!Z$257/100</f>
        <v>0.122</v>
      </c>
      <c r="AA257" s="142">
        <f>B257*IBGE_2!AA$257/100</f>
        <v>0.65500000000000003</v>
      </c>
      <c r="AB257" s="142">
        <f>B257*IBGE_2!AB$257/100</f>
        <v>15.96</v>
      </c>
      <c r="AC257" s="142">
        <f>B257*IBGE_2!AC$257/100</f>
        <v>1.048</v>
      </c>
      <c r="AD257" s="145" t="s">
        <v>3047</v>
      </c>
      <c r="AE257" s="142">
        <f>B257*IBGE_2!AE$257/100</f>
        <v>76.599999999999994</v>
      </c>
      <c r="AF257" s="145" t="s">
        <v>3047</v>
      </c>
      <c r="AG257" s="142">
        <f>B257*IBGE_2!AG$257/100</f>
        <v>0.98799999999999999</v>
      </c>
      <c r="AH257" s="145" t="s">
        <v>3047</v>
      </c>
      <c r="AI257" s="142">
        <f>B257*IBGE_2!AI$257/100</f>
        <v>199</v>
      </c>
      <c r="AJ257" s="142">
        <f>B257*IBGE_2!AJ$257/100</f>
        <v>0.44</v>
      </c>
      <c r="AK257" s="142">
        <f>B257*IBGE_2!AK$257/100</f>
        <v>328.08300000000003</v>
      </c>
      <c r="AL257" s="142">
        <f>B257*IBGE_2!AL$257/100</f>
        <v>1.9780000000000002</v>
      </c>
      <c r="AM257" s="145" t="s">
        <v>3047</v>
      </c>
      <c r="AN257" s="161"/>
    </row>
    <row r="258" spans="1:40">
      <c r="A258" s="143" t="s">
        <v>1317</v>
      </c>
      <c r="B258" s="141">
        <v>100</v>
      </c>
      <c r="C258" s="142">
        <f>B258*IBGE_2!C$258/100</f>
        <v>47.13</v>
      </c>
      <c r="D258" s="142">
        <f>B258*IBGE_2!D$258/100</f>
        <v>2.11</v>
      </c>
      <c r="E258" s="142">
        <f>B258*IBGE_2!E$258/100</f>
        <v>2.75</v>
      </c>
      <c r="F258" s="142">
        <f>B258*IBGE_2!F$258/100</f>
        <v>0.39</v>
      </c>
      <c r="G258" s="142">
        <f>B258*IBGE_2!G$258/100</f>
        <v>0.57999999999999996</v>
      </c>
      <c r="H258" s="142">
        <f>B258*IBGE_2!H$258/100</f>
        <v>1.56</v>
      </c>
      <c r="I258" s="142">
        <f>B258*IBGE_2!I$258/100</f>
        <v>1.29</v>
      </c>
      <c r="J258" s="142">
        <f>B258*IBGE_2!J$258/100</f>
        <v>0.26</v>
      </c>
      <c r="K258" s="142" t="s">
        <v>3047</v>
      </c>
      <c r="L258" s="142">
        <f>B258*IBGE_2!L$258/100</f>
        <v>4.91</v>
      </c>
      <c r="M258" s="142">
        <f>B258*IBGE_2!M$258/100</f>
        <v>2.8</v>
      </c>
      <c r="N258" s="142">
        <f>B258*IBGE_2!N$258/100</f>
        <v>140</v>
      </c>
      <c r="O258" s="142">
        <f>B258*IBGE_2!O$258/100</f>
        <v>20</v>
      </c>
      <c r="P258" s="142">
        <f>B258*IBGE_2!P$258/100</f>
        <v>0.44</v>
      </c>
      <c r="Q258" s="142">
        <f>B258*IBGE_2!Q$258/100</f>
        <v>30</v>
      </c>
      <c r="R258" s="142">
        <f>B258*IBGE_2!R$258/100</f>
        <v>1.1599999999999999</v>
      </c>
      <c r="S258" s="142">
        <f>B258*IBGE_2!S$258/100</f>
        <v>16</v>
      </c>
      <c r="T258" s="142">
        <f>B258*IBGE_2!T$258/100</f>
        <v>116</v>
      </c>
      <c r="U258" s="142">
        <f>B258*IBGE_2!U$258/100</f>
        <v>0.04</v>
      </c>
      <c r="V258" s="142">
        <f>B258*IBGE_2!V$258/100</f>
        <v>0.23</v>
      </c>
      <c r="W258" s="142" t="s">
        <v>3047</v>
      </c>
      <c r="X258" s="142">
        <f>B258*IBGE_2!X$258/100</f>
        <v>0.04</v>
      </c>
      <c r="Y258" s="142">
        <f>B258*IBGE_2!Y$258/100</f>
        <v>0.11</v>
      </c>
      <c r="Z258" s="142">
        <f>B258*IBGE_2!Z$258/100</f>
        <v>0.13</v>
      </c>
      <c r="AA258" s="142">
        <f>B258*IBGE_2!AA$258/100</f>
        <v>0.57999999999999996</v>
      </c>
      <c r="AB258" s="142">
        <f>B258*IBGE_2!AB$258/100</f>
        <v>18.2</v>
      </c>
      <c r="AC258" s="142">
        <f>B258*IBGE_2!AC$258/100</f>
        <v>1.03</v>
      </c>
      <c r="AD258" s="145" t="s">
        <v>3047</v>
      </c>
      <c r="AE258" s="142">
        <f>B258*IBGE_2!AE$258/100</f>
        <v>93</v>
      </c>
      <c r="AF258" s="145" t="s">
        <v>3047</v>
      </c>
      <c r="AG258" s="142">
        <f>B258*IBGE_2!AG$258/100</f>
        <v>1.1000000000000001</v>
      </c>
      <c r="AH258" s="145" t="s">
        <v>3047</v>
      </c>
      <c r="AI258" s="142">
        <f>B258*IBGE_2!AI$258/100</f>
        <v>199</v>
      </c>
      <c r="AJ258" s="142">
        <f>B258*IBGE_2!AJ$258/100</f>
        <v>1.6</v>
      </c>
      <c r="AK258" s="142">
        <f>B258*IBGE_2!AK$258/100</f>
        <v>405.75</v>
      </c>
      <c r="AL258" s="142">
        <f>B258*IBGE_2!AL$258/100</f>
        <v>1.41</v>
      </c>
      <c r="AM258" s="145" t="s">
        <v>3047</v>
      </c>
      <c r="AN258" s="161"/>
    </row>
    <row r="259" spans="1:40">
      <c r="A259" s="143" t="s">
        <v>1318</v>
      </c>
      <c r="B259" s="141">
        <v>100</v>
      </c>
      <c r="C259" s="142">
        <f>B259*IBGE_2!C$259/100</f>
        <v>43.845999999999997</v>
      </c>
      <c r="D259" s="142">
        <f>B259*IBGE_2!D$259/100</f>
        <v>2.1309999999999998</v>
      </c>
      <c r="E259" s="142">
        <f>B259*IBGE_2!E$259/100</f>
        <v>2.379</v>
      </c>
      <c r="F259" s="142">
        <f>B259*IBGE_2!F$259/100</f>
        <v>1.3259999999999998</v>
      </c>
      <c r="G259" s="142">
        <f>B259*IBGE_2!G$259/100</f>
        <v>0.54900000000000004</v>
      </c>
      <c r="H259" s="142">
        <f>B259*IBGE_2!H$259/100</f>
        <v>0.249</v>
      </c>
      <c r="I259" s="142">
        <f>B259*IBGE_2!I$259/100</f>
        <v>0.13800000000000001</v>
      </c>
      <c r="J259" s="142">
        <f>B259*IBGE_2!J$259/100</f>
        <v>0.10100000000000002</v>
      </c>
      <c r="K259" s="142">
        <f>B259*IBGE_2!K$259/100</f>
        <v>5.351</v>
      </c>
      <c r="L259" s="142">
        <f>B259*IBGE_2!L$259/100</f>
        <v>4.9109999999999996</v>
      </c>
      <c r="M259" s="142">
        <f>B259*IBGE_2!M$259/100</f>
        <v>2.8</v>
      </c>
      <c r="N259" s="142">
        <f>B259*IBGE_2!N$259/100</f>
        <v>140.59700000000001</v>
      </c>
      <c r="O259" s="142">
        <f>B259*IBGE_2!O$259/100</f>
        <v>20.05</v>
      </c>
      <c r="P259" s="142">
        <f>B259*IBGE_2!P$259/100</f>
        <v>0.436</v>
      </c>
      <c r="Q259" s="142">
        <f>B259*IBGE_2!Q$259/100</f>
        <v>30.597000000000001</v>
      </c>
      <c r="R259" s="142">
        <f>B259*IBGE_2!R$259/100</f>
        <v>1.1599999999999999</v>
      </c>
      <c r="S259" s="142">
        <f>B259*IBGE_2!S$259/100</f>
        <v>30.337</v>
      </c>
      <c r="T259" s="142">
        <f>B259*IBGE_2!T$259/100</f>
        <v>116.59699999999999</v>
      </c>
      <c r="U259" s="142">
        <f>B259*IBGE_2!U$259/100</f>
        <v>3.7999999999999999E-2</v>
      </c>
      <c r="V259" s="142">
        <f>B259*IBGE_2!V$259/100</f>
        <v>0.23200000000000004</v>
      </c>
      <c r="W259" s="142">
        <f>B259*IBGE_2!W$259/100</f>
        <v>16.701000000000001</v>
      </c>
      <c r="X259" s="142">
        <f>B259*IBGE_2!X$259/100</f>
        <v>0.04</v>
      </c>
      <c r="Y259" s="142">
        <f>B259*IBGE_2!Y$259/100</f>
        <v>0.107</v>
      </c>
      <c r="Z259" s="142">
        <f>B259*IBGE_2!Z$259/100</f>
        <v>0.128</v>
      </c>
      <c r="AA259" s="142">
        <f>B259*IBGE_2!AA$259/100</f>
        <v>0.57599999999999996</v>
      </c>
      <c r="AB259" s="142">
        <f>B259*IBGE_2!AB$259/100</f>
        <v>18.2</v>
      </c>
      <c r="AC259" s="142">
        <f>B259*IBGE_2!AC$259/100</f>
        <v>1.0309999999999999</v>
      </c>
      <c r="AD259" s="142">
        <f>B259*IBGE_2!AD$259/100</f>
        <v>4.0000000000000001E-3</v>
      </c>
      <c r="AE259" s="142">
        <f>B259*IBGE_2!AE$259/100</f>
        <v>93.075000000000003</v>
      </c>
      <c r="AF259" s="142">
        <f>B259*IBGE_2!AF$259/100</f>
        <v>3.5000000000000003E-2</v>
      </c>
      <c r="AG259" s="142">
        <f>B259*IBGE_2!AG$259/100</f>
        <v>0.93799999999999994</v>
      </c>
      <c r="AH259" s="142">
        <f>B259*IBGE_2!AH$259/100</f>
        <v>8.2000000000000017E-2</v>
      </c>
      <c r="AI259" s="142">
        <f>B259*IBGE_2!AI$259/100</f>
        <v>199</v>
      </c>
      <c r="AJ259" s="142">
        <f>B259*IBGE_2!AJ$259/100</f>
        <v>0.52500000000000002</v>
      </c>
      <c r="AK259" s="142">
        <f>B259*IBGE_2!AK$259/100</f>
        <v>422.779</v>
      </c>
      <c r="AL259" s="142">
        <f>B259*IBGE_2!AL$259/100</f>
        <v>1.4119999999999999</v>
      </c>
      <c r="AM259" s="145" t="s">
        <v>3047</v>
      </c>
      <c r="AN259" s="161"/>
    </row>
    <row r="260" spans="1:40">
      <c r="A260" s="143" t="s">
        <v>1319</v>
      </c>
      <c r="B260" s="141">
        <v>100</v>
      </c>
      <c r="C260" s="142">
        <f>B260*IBGE_2!C$260/100</f>
        <v>26</v>
      </c>
      <c r="D260" s="142">
        <f>B260*IBGE_2!D$260/100</f>
        <v>2.11</v>
      </c>
      <c r="E260" s="142">
        <f>B260*IBGE_2!E$260/100</f>
        <v>0.36</v>
      </c>
      <c r="F260" s="142">
        <f>B260*IBGE_2!F$260/100</f>
        <v>0.05</v>
      </c>
      <c r="G260" s="142">
        <f>B260*IBGE_2!G$260/100</f>
        <v>0.03</v>
      </c>
      <c r="H260" s="142">
        <f>B260*IBGE_2!H$260/100</f>
        <v>0.17</v>
      </c>
      <c r="I260" s="142">
        <f>B260*IBGE_2!I$260/100</f>
        <v>7.0000000000000007E-2</v>
      </c>
      <c r="J260" s="142">
        <f>B260*IBGE_2!J$260/100</f>
        <v>0.09</v>
      </c>
      <c r="K260" s="142" t="s">
        <v>3047</v>
      </c>
      <c r="L260" s="142">
        <f>B260*IBGE_2!L$260/100</f>
        <v>4.91</v>
      </c>
      <c r="M260" s="142">
        <f>B260*IBGE_2!M$260/100</f>
        <v>2.8</v>
      </c>
      <c r="N260" s="142">
        <f>B260*IBGE_2!N$260/100</f>
        <v>140</v>
      </c>
      <c r="O260" s="142">
        <f>B260*IBGE_2!O$260/100</f>
        <v>20</v>
      </c>
      <c r="P260" s="142">
        <f>B260*IBGE_2!P$260/100</f>
        <v>0.44</v>
      </c>
      <c r="Q260" s="142">
        <f>B260*IBGE_2!Q$260/100</f>
        <v>30</v>
      </c>
      <c r="R260" s="142">
        <f>B260*IBGE_2!R$260/100</f>
        <v>1.1599999999999999</v>
      </c>
      <c r="S260" s="142">
        <f>B260*IBGE_2!S$260/100</f>
        <v>16</v>
      </c>
      <c r="T260" s="142">
        <f>B260*IBGE_2!T$260/100</f>
        <v>116</v>
      </c>
      <c r="U260" s="142">
        <f>B260*IBGE_2!U$260/100</f>
        <v>0.04</v>
      </c>
      <c r="V260" s="142">
        <f>B260*IBGE_2!V$260/100</f>
        <v>0.23</v>
      </c>
      <c r="W260" s="142" t="s">
        <v>3047</v>
      </c>
      <c r="X260" s="142">
        <f>B260*IBGE_2!X$260/100</f>
        <v>0.04</v>
      </c>
      <c r="Y260" s="142">
        <f>B260*IBGE_2!Y$260/100</f>
        <v>0.11</v>
      </c>
      <c r="Z260" s="142">
        <f>B260*IBGE_2!Z$260/100</f>
        <v>0.13</v>
      </c>
      <c r="AA260" s="142">
        <f>B260*IBGE_2!AA$260/100</f>
        <v>0.57999999999999996</v>
      </c>
      <c r="AB260" s="142">
        <f>B260*IBGE_2!AB$260/100</f>
        <v>18.2</v>
      </c>
      <c r="AC260" s="142">
        <f>B260*IBGE_2!AC$260/100</f>
        <v>1.03</v>
      </c>
      <c r="AD260" s="162" t="s">
        <v>3047</v>
      </c>
      <c r="AE260" s="142">
        <f>B260*IBGE_2!AE$260/100</f>
        <v>93</v>
      </c>
      <c r="AF260" s="162" t="s">
        <v>3047</v>
      </c>
      <c r="AG260" s="142">
        <f>B260*IBGE_2!AG$260/100</f>
        <v>0.88</v>
      </c>
      <c r="AH260" s="162" t="s">
        <v>3047</v>
      </c>
      <c r="AI260" s="142">
        <f>B260*IBGE_2!AI$260/100</f>
        <v>199</v>
      </c>
      <c r="AJ260" s="142">
        <f>B260*IBGE_2!AJ$260/100</f>
        <v>0.5</v>
      </c>
      <c r="AK260" s="142">
        <f>B260*IBGE_2!AK$260/100</f>
        <v>405.75</v>
      </c>
      <c r="AL260" s="142">
        <f>B260*IBGE_2!AL$260/100</f>
        <v>1.41</v>
      </c>
      <c r="AM260" s="162" t="s">
        <v>3047</v>
      </c>
      <c r="AN260" s="161"/>
    </row>
    <row r="261" spans="1:40">
      <c r="A261" s="143" t="s">
        <v>1320</v>
      </c>
      <c r="B261" s="141">
        <v>100</v>
      </c>
      <c r="C261" s="142">
        <f>B261*IBGE_2!C$261/100</f>
        <v>47.13</v>
      </c>
      <c r="D261" s="142">
        <f>B261*IBGE_2!D$261/100</f>
        <v>2.11</v>
      </c>
      <c r="E261" s="142">
        <f>B261*IBGE_2!E$261/100</f>
        <v>2.75</v>
      </c>
      <c r="F261" s="142">
        <f>B261*IBGE_2!F$261/100</f>
        <v>0.39</v>
      </c>
      <c r="G261" s="142">
        <f>B261*IBGE_2!G$261/100</f>
        <v>0.57999999999999996</v>
      </c>
      <c r="H261" s="142">
        <f>B261*IBGE_2!H$261/100</f>
        <v>1.56</v>
      </c>
      <c r="I261" s="142">
        <f>B261*IBGE_2!I$261/100</f>
        <v>1.29</v>
      </c>
      <c r="J261" s="142">
        <f>B261*IBGE_2!J$261/100</f>
        <v>0.26</v>
      </c>
      <c r="K261" s="142" t="s">
        <v>3047</v>
      </c>
      <c r="L261" s="142">
        <f>B261*IBGE_2!L$261/100</f>
        <v>4.91</v>
      </c>
      <c r="M261" s="142">
        <f>B261*IBGE_2!M$261/100</f>
        <v>2.8</v>
      </c>
      <c r="N261" s="142">
        <f>B261*IBGE_2!N$261/100</f>
        <v>140</v>
      </c>
      <c r="O261" s="142">
        <f>B261*IBGE_2!O$261/100</f>
        <v>20</v>
      </c>
      <c r="P261" s="142">
        <f>B261*IBGE_2!P$261/100</f>
        <v>0.44</v>
      </c>
      <c r="Q261" s="142">
        <f>B261*IBGE_2!Q$261/100</f>
        <v>30</v>
      </c>
      <c r="R261" s="142">
        <f>B261*IBGE_2!R$261/100</f>
        <v>1.1599999999999999</v>
      </c>
      <c r="S261" s="142">
        <f>B261*IBGE_2!S$261/100</f>
        <v>16</v>
      </c>
      <c r="T261" s="142">
        <f>B261*IBGE_2!T$261/100</f>
        <v>116</v>
      </c>
      <c r="U261" s="142">
        <f>B261*IBGE_2!U$261/100</f>
        <v>0.04</v>
      </c>
      <c r="V261" s="142">
        <f>B261*IBGE_2!V$261/100</f>
        <v>0.23</v>
      </c>
      <c r="W261" s="142" t="s">
        <v>3047</v>
      </c>
      <c r="X261" s="142">
        <f>B261*IBGE_2!X$261/100</f>
        <v>0.04</v>
      </c>
      <c r="Y261" s="142">
        <f>B261*IBGE_2!Y$261/100</f>
        <v>0.11</v>
      </c>
      <c r="Z261" s="142">
        <f>B261*IBGE_2!Z$261/100</f>
        <v>0.13</v>
      </c>
      <c r="AA261" s="142">
        <f>B261*IBGE_2!AA$261/100</f>
        <v>0.57999999999999996</v>
      </c>
      <c r="AB261" s="142">
        <f>B261*IBGE_2!AB$261/100</f>
        <v>18.2</v>
      </c>
      <c r="AC261" s="142">
        <f>B261*IBGE_2!AC$261/100</f>
        <v>1.03</v>
      </c>
      <c r="AD261" s="162" t="s">
        <v>3047</v>
      </c>
      <c r="AE261" s="142">
        <f>B261*IBGE_2!AE$261/100</f>
        <v>93</v>
      </c>
      <c r="AF261" s="162" t="s">
        <v>3047</v>
      </c>
      <c r="AG261" s="142">
        <f>B261*IBGE_2!AG$261/100</f>
        <v>1.1000000000000001</v>
      </c>
      <c r="AH261" s="162" t="s">
        <v>3047</v>
      </c>
      <c r="AI261" s="142">
        <f>B261*IBGE_2!AI$261/100</f>
        <v>199</v>
      </c>
      <c r="AJ261" s="142">
        <f>B261*IBGE_2!AJ$261/100</f>
        <v>1.6</v>
      </c>
      <c r="AK261" s="142">
        <f>B261*IBGE_2!AK$261/100</f>
        <v>405.75</v>
      </c>
      <c r="AL261" s="142">
        <f>B261*IBGE_2!AL$261/100</f>
        <v>1.41</v>
      </c>
      <c r="AM261" s="162" t="s">
        <v>3047</v>
      </c>
      <c r="AN261" s="161"/>
    </row>
    <row r="262" spans="1:40">
      <c r="A262" s="143" t="s">
        <v>1321</v>
      </c>
      <c r="B262" s="141">
        <v>100</v>
      </c>
      <c r="C262" s="142">
        <f>B262*IBGE_2!C$262/100</f>
        <v>26</v>
      </c>
      <c r="D262" s="142">
        <f>B262*IBGE_2!D$262/100</f>
        <v>2.11</v>
      </c>
      <c r="E262" s="142">
        <f>B262*IBGE_2!E$262/100</f>
        <v>0.36</v>
      </c>
      <c r="F262" s="142">
        <f>B262*IBGE_2!F$262/100</f>
        <v>0.05</v>
      </c>
      <c r="G262" s="142">
        <f>B262*IBGE_2!G$262/100</f>
        <v>0.03</v>
      </c>
      <c r="H262" s="142">
        <f>B262*IBGE_2!H$262/100</f>
        <v>0.17</v>
      </c>
      <c r="I262" s="142">
        <f>B262*IBGE_2!I$262/100</f>
        <v>7.0000000000000007E-2</v>
      </c>
      <c r="J262" s="142">
        <f>B262*IBGE_2!J$262/100</f>
        <v>0.09</v>
      </c>
      <c r="K262" s="142" t="s">
        <v>3047</v>
      </c>
      <c r="L262" s="142">
        <f>B262*IBGE_2!L$262/100</f>
        <v>4.91</v>
      </c>
      <c r="M262" s="142">
        <f>B262*IBGE_2!M$262/100</f>
        <v>2.8</v>
      </c>
      <c r="N262" s="142">
        <f>B262*IBGE_2!N$262/100</f>
        <v>140</v>
      </c>
      <c r="O262" s="142">
        <f>B262*IBGE_2!O$262/100</f>
        <v>20</v>
      </c>
      <c r="P262" s="142">
        <f>B262*IBGE_2!P$262/100</f>
        <v>0.44</v>
      </c>
      <c r="Q262" s="142">
        <f>B262*IBGE_2!Q$262/100</f>
        <v>30</v>
      </c>
      <c r="R262" s="142">
        <f>B262*IBGE_2!R$262/100</f>
        <v>1.1599999999999999</v>
      </c>
      <c r="S262" s="142">
        <f>B262*IBGE_2!S$262/100</f>
        <v>16</v>
      </c>
      <c r="T262" s="142">
        <f>B262*IBGE_2!T$262/100</f>
        <v>116</v>
      </c>
      <c r="U262" s="142">
        <f>B262*IBGE_2!U$262/100</f>
        <v>0.04</v>
      </c>
      <c r="V262" s="142">
        <f>B262*IBGE_2!V$262/100</f>
        <v>0.23</v>
      </c>
      <c r="W262" s="142" t="s">
        <v>3047</v>
      </c>
      <c r="X262" s="142">
        <f>B262*IBGE_2!X$262/100</f>
        <v>0.04</v>
      </c>
      <c r="Y262" s="142">
        <f>B262*IBGE_2!Y$262/100</f>
        <v>0.11</v>
      </c>
      <c r="Z262" s="142">
        <f>B262*IBGE_2!Z$262/100</f>
        <v>0.13</v>
      </c>
      <c r="AA262" s="142">
        <f>B262*IBGE_2!AA$262/100</f>
        <v>0.57999999999999996</v>
      </c>
      <c r="AB262" s="142">
        <f>B262*IBGE_2!AB$262/100</f>
        <v>18.2</v>
      </c>
      <c r="AC262" s="142">
        <f>B262*IBGE_2!AC$262/100</f>
        <v>1.03</v>
      </c>
      <c r="AD262" s="142" t="s">
        <v>3047</v>
      </c>
      <c r="AE262" s="142">
        <f>B262*IBGE_2!AE$262/100</f>
        <v>93</v>
      </c>
      <c r="AF262" s="142" t="s">
        <v>3047</v>
      </c>
      <c r="AG262" s="142">
        <f>B262*IBGE_2!AG$262/100</f>
        <v>0.88</v>
      </c>
      <c r="AH262" s="142" t="s">
        <v>3047</v>
      </c>
      <c r="AI262" s="142">
        <f>B262*IBGE_2!AI$262/100</f>
        <v>199</v>
      </c>
      <c r="AJ262" s="142">
        <f>B262*IBGE_2!AJ$262/100</f>
        <v>0.5</v>
      </c>
      <c r="AK262" s="142">
        <f>B262*IBGE_2!AK$262/100</f>
        <v>405.75</v>
      </c>
      <c r="AL262" s="142">
        <f>B262*IBGE_2!AL$262/100</f>
        <v>1.41</v>
      </c>
      <c r="AM262" s="142" t="s">
        <v>3047</v>
      </c>
      <c r="AN262" s="161"/>
    </row>
    <row r="263" spans="1:40">
      <c r="A263" s="143" t="s">
        <v>1322</v>
      </c>
      <c r="B263" s="141">
        <v>100</v>
      </c>
      <c r="C263" s="142">
        <f>B263*IBGE_2!C$263/100</f>
        <v>26</v>
      </c>
      <c r="D263" s="142">
        <f>B263*IBGE_2!D$263/100</f>
        <v>2.11</v>
      </c>
      <c r="E263" s="142">
        <f>B263*IBGE_2!E$263/100</f>
        <v>0.36</v>
      </c>
      <c r="F263" s="142">
        <f>B263*IBGE_2!F$263/100</f>
        <v>0.05</v>
      </c>
      <c r="G263" s="142">
        <f>B263*IBGE_2!G$263/100</f>
        <v>0.03</v>
      </c>
      <c r="H263" s="142">
        <f>B263*IBGE_2!H$263/100</f>
        <v>0.17</v>
      </c>
      <c r="I263" s="142">
        <f>B263*IBGE_2!I$263/100</f>
        <v>7.0000000000000007E-2</v>
      </c>
      <c r="J263" s="142">
        <f>B263*IBGE_2!J$263/100</f>
        <v>0.09</v>
      </c>
      <c r="K263" s="142" t="s">
        <v>3047</v>
      </c>
      <c r="L263" s="142">
        <f>B263*IBGE_2!L$263/100</f>
        <v>4.91</v>
      </c>
      <c r="M263" s="142">
        <f>B263*IBGE_2!M$263/100</f>
        <v>2.8</v>
      </c>
      <c r="N263" s="142">
        <f>B263*IBGE_2!N$263/100</f>
        <v>140</v>
      </c>
      <c r="O263" s="142">
        <f>B263*IBGE_2!O$263/100</f>
        <v>20</v>
      </c>
      <c r="P263" s="142">
        <f>B263*IBGE_2!P$263/100</f>
        <v>0.44</v>
      </c>
      <c r="Q263" s="142">
        <f>B263*IBGE_2!Q$263/100</f>
        <v>30</v>
      </c>
      <c r="R263" s="142">
        <f>B263*IBGE_2!R$263/100</f>
        <v>1.1599999999999999</v>
      </c>
      <c r="S263" s="142">
        <f>B263*IBGE_2!S$263/100</f>
        <v>16</v>
      </c>
      <c r="T263" s="142">
        <f>B263*IBGE_2!T$263/100</f>
        <v>116</v>
      </c>
      <c r="U263" s="142">
        <f>B263*IBGE_2!U$263/100</f>
        <v>0.04</v>
      </c>
      <c r="V263" s="142">
        <f>B263*IBGE_2!V$263/100</f>
        <v>0.23</v>
      </c>
      <c r="W263" s="142" t="s">
        <v>3047</v>
      </c>
      <c r="X263" s="142">
        <f>B263*IBGE_2!X$263/100</f>
        <v>0.04</v>
      </c>
      <c r="Y263" s="142">
        <f>B263*IBGE_2!Y$263/100</f>
        <v>0.11</v>
      </c>
      <c r="Z263" s="142">
        <f>B263*IBGE_2!Z$263/100</f>
        <v>0.13</v>
      </c>
      <c r="AA263" s="142">
        <f>B263*IBGE_2!AA$263/100</f>
        <v>0.57999999999999996</v>
      </c>
      <c r="AB263" s="142">
        <f>B263*IBGE_2!AB$263/100</f>
        <v>18.2</v>
      </c>
      <c r="AC263" s="142">
        <f>B263*IBGE_2!AC$263/100</f>
        <v>1.03</v>
      </c>
      <c r="AD263" s="145" t="s">
        <v>3047</v>
      </c>
      <c r="AE263" s="142">
        <f>B263*IBGE_2!AE$263/100</f>
        <v>93</v>
      </c>
      <c r="AF263" s="145" t="s">
        <v>3047</v>
      </c>
      <c r="AG263" s="142">
        <f>B263*IBGE_2!AG$263/100</f>
        <v>0.88</v>
      </c>
      <c r="AH263" s="145" t="s">
        <v>3047</v>
      </c>
      <c r="AI263" s="142">
        <f>B263*IBGE_2!AI$263/100</f>
        <v>199</v>
      </c>
      <c r="AJ263" s="142">
        <f>B263*IBGE_2!AJ$263/100</f>
        <v>0.5</v>
      </c>
      <c r="AK263" s="142">
        <f>B263*IBGE_2!AK$263/100</f>
        <v>405.75</v>
      </c>
      <c r="AL263" s="142">
        <f>B263*IBGE_2!AL$263/100</f>
        <v>1.41</v>
      </c>
      <c r="AM263" s="145" t="s">
        <v>3047</v>
      </c>
      <c r="AN263" s="161"/>
    </row>
    <row r="264" spans="1:40">
      <c r="A264" s="143" t="s">
        <v>1323</v>
      </c>
      <c r="B264" s="141">
        <v>100</v>
      </c>
      <c r="C264" s="142">
        <f>B264*IBGE_2!C$264/100</f>
        <v>23</v>
      </c>
      <c r="D264" s="142">
        <f>B264*IBGE_2!D$264/100</f>
        <v>1.84</v>
      </c>
      <c r="E264" s="142">
        <f>B264*IBGE_2!E$264/100</f>
        <v>0.45</v>
      </c>
      <c r="F264" s="142">
        <f>B264*IBGE_2!F$264/100</f>
        <v>7.0000000000000007E-2</v>
      </c>
      <c r="G264" s="142">
        <f>B264*IBGE_2!G$264/100</f>
        <v>0.03</v>
      </c>
      <c r="H264" s="142">
        <f>B264*IBGE_2!H$264/100</f>
        <v>0.22</v>
      </c>
      <c r="I264" s="142">
        <f>B264*IBGE_2!I$264/100</f>
        <v>0.05</v>
      </c>
      <c r="J264" s="142">
        <f>B264*IBGE_2!J$264/100</f>
        <v>0.17</v>
      </c>
      <c r="K264" s="142" t="s">
        <v>3047</v>
      </c>
      <c r="L264" s="142">
        <f>B264*IBGE_2!L$264/100</f>
        <v>4.1100000000000003</v>
      </c>
      <c r="M264" s="142">
        <f>B264*IBGE_2!M$264/100</f>
        <v>2.2999999999999998</v>
      </c>
      <c r="N264" s="142">
        <f>B264*IBGE_2!N$264/100</f>
        <v>16</v>
      </c>
      <c r="O264" s="142">
        <f>B264*IBGE_2!O$264/100</f>
        <v>9</v>
      </c>
      <c r="P264" s="142">
        <f>B264*IBGE_2!P$264/100</f>
        <v>0.13</v>
      </c>
      <c r="Q264" s="142">
        <f>B264*IBGE_2!Q$264/100</f>
        <v>32</v>
      </c>
      <c r="R264" s="142">
        <f>B264*IBGE_2!R$264/100</f>
        <v>0.32</v>
      </c>
      <c r="S264" s="142">
        <f>B264*IBGE_2!S$264/100</f>
        <v>15</v>
      </c>
      <c r="T264" s="142">
        <f>B264*IBGE_2!T$264/100</f>
        <v>142</v>
      </c>
      <c r="U264" s="142">
        <f>B264*IBGE_2!U$264/100</f>
        <v>0.02</v>
      </c>
      <c r="V264" s="142">
        <f>B264*IBGE_2!V$264/100</f>
        <v>0.17</v>
      </c>
      <c r="W264" s="142" t="s">
        <v>3047</v>
      </c>
      <c r="X264" s="142">
        <f>B264*IBGE_2!X$264/100</f>
        <v>0.04</v>
      </c>
      <c r="Y264" s="142">
        <f>B264*IBGE_2!Y$264/100</f>
        <v>0.05</v>
      </c>
      <c r="Z264" s="142">
        <f>B264*IBGE_2!Z$264/100</f>
        <v>0.17</v>
      </c>
      <c r="AA264" s="142">
        <f>B264*IBGE_2!AA$264/100</f>
        <v>0.41</v>
      </c>
      <c r="AB264" s="142">
        <f>B264*IBGE_2!AB$264/100</f>
        <v>44.3</v>
      </c>
      <c r="AC264" s="142">
        <f>B264*IBGE_2!AC$264/100</f>
        <v>0.81</v>
      </c>
      <c r="AD264" s="145" t="s">
        <v>3047</v>
      </c>
      <c r="AE264" s="142">
        <f>B264*IBGE_2!AE$264/100</f>
        <v>44</v>
      </c>
      <c r="AF264" s="145" t="s">
        <v>3047</v>
      </c>
      <c r="AG264" s="142">
        <f>B264*IBGE_2!AG$264/100</f>
        <v>7.0000000000000007E-2</v>
      </c>
      <c r="AH264" s="145" t="s">
        <v>3047</v>
      </c>
      <c r="AI264" s="142">
        <f>B264*IBGE_2!AI$264/100</f>
        <v>304</v>
      </c>
      <c r="AJ264" s="142">
        <f>B264*IBGE_2!AJ$264/100</f>
        <v>0.6</v>
      </c>
      <c r="AK264" s="142">
        <f>B264*IBGE_2!AK$264/100</f>
        <v>0.57999999999999996</v>
      </c>
      <c r="AL264" s="142">
        <f>B264*IBGE_2!AL$264/100</f>
        <v>1.8</v>
      </c>
      <c r="AM264" s="145" t="s">
        <v>3047</v>
      </c>
      <c r="AN264" s="161"/>
    </row>
    <row r="265" spans="1:40">
      <c r="A265" s="143" t="s">
        <v>1324</v>
      </c>
      <c r="B265" s="141">
        <v>100</v>
      </c>
      <c r="C265" s="142">
        <f>B265*IBGE_2!C$265/100</f>
        <v>23</v>
      </c>
      <c r="D265" s="142">
        <f>B265*IBGE_2!D$265/100</f>
        <v>1.84</v>
      </c>
      <c r="E265" s="142">
        <f>B265*IBGE_2!E$265/100</f>
        <v>0.45</v>
      </c>
      <c r="F265" s="142">
        <f>B265*IBGE_2!F$265/100</f>
        <v>7.0000000000000007E-2</v>
      </c>
      <c r="G265" s="142">
        <f>B265*IBGE_2!G$265/100</f>
        <v>0.03</v>
      </c>
      <c r="H265" s="142">
        <f>B265*IBGE_2!H$265/100</f>
        <v>0.22</v>
      </c>
      <c r="I265" s="142">
        <f>B265*IBGE_2!I$265/100</f>
        <v>0.05</v>
      </c>
      <c r="J265" s="142">
        <f>B265*IBGE_2!J$265/100</f>
        <v>0.17</v>
      </c>
      <c r="K265" s="142" t="s">
        <v>3047</v>
      </c>
      <c r="L265" s="142">
        <f>B265*IBGE_2!L$265/100</f>
        <v>4.1100000000000003</v>
      </c>
      <c r="M265" s="142">
        <f>B265*IBGE_2!M$265/100</f>
        <v>2.2999999999999998</v>
      </c>
      <c r="N265" s="142">
        <f>B265*IBGE_2!N$265/100</f>
        <v>16</v>
      </c>
      <c r="O265" s="142">
        <f>B265*IBGE_2!O$265/100</f>
        <v>9</v>
      </c>
      <c r="P265" s="142">
        <f>B265*IBGE_2!P$265/100</f>
        <v>0.13</v>
      </c>
      <c r="Q265" s="142">
        <f>B265*IBGE_2!Q$265/100</f>
        <v>32</v>
      </c>
      <c r="R265" s="142">
        <f>B265*IBGE_2!R$265/100</f>
        <v>0.32</v>
      </c>
      <c r="S265" s="142">
        <f>B265*IBGE_2!S$265/100</f>
        <v>15</v>
      </c>
      <c r="T265" s="142">
        <f>B265*IBGE_2!T$265/100</f>
        <v>142</v>
      </c>
      <c r="U265" s="142">
        <f>B265*IBGE_2!U$265/100</f>
        <v>0.02</v>
      </c>
      <c r="V265" s="142">
        <f>B265*IBGE_2!V$265/100</f>
        <v>0.17</v>
      </c>
      <c r="W265" s="142" t="s">
        <v>3047</v>
      </c>
      <c r="X265" s="142">
        <f>B265*IBGE_2!X$265/100</f>
        <v>0.04</v>
      </c>
      <c r="Y265" s="142">
        <f>B265*IBGE_2!Y$265/100</f>
        <v>0.05</v>
      </c>
      <c r="Z265" s="142">
        <f>B265*IBGE_2!Z$265/100</f>
        <v>0.17</v>
      </c>
      <c r="AA265" s="142">
        <f>B265*IBGE_2!AA$265/100</f>
        <v>0.41</v>
      </c>
      <c r="AB265" s="142">
        <f>B265*IBGE_2!AB$265/100</f>
        <v>44.3</v>
      </c>
      <c r="AC265" s="142">
        <f>B265*IBGE_2!AC$265/100</f>
        <v>0.81</v>
      </c>
      <c r="AD265" s="145" t="s">
        <v>3047</v>
      </c>
      <c r="AE265" s="142">
        <f>B265*IBGE_2!AE$265/100</f>
        <v>44</v>
      </c>
      <c r="AF265" s="145" t="s">
        <v>3047</v>
      </c>
      <c r="AG265" s="142">
        <f>B265*IBGE_2!AG$265/100</f>
        <v>7.0000000000000007E-2</v>
      </c>
      <c r="AH265" s="145" t="s">
        <v>3047</v>
      </c>
      <c r="AI265" s="142">
        <f>B265*IBGE_2!AI$265/100</f>
        <v>304</v>
      </c>
      <c r="AJ265" s="142">
        <f>B265*IBGE_2!AJ$265/100</f>
        <v>0.6</v>
      </c>
      <c r="AK265" s="142">
        <f>B265*IBGE_2!AK$265/100</f>
        <v>0.57999999999999996</v>
      </c>
      <c r="AL265" s="142">
        <f>B265*IBGE_2!AL$265/100</f>
        <v>1.8</v>
      </c>
      <c r="AM265" s="145" t="s">
        <v>3047</v>
      </c>
      <c r="AN265" s="161"/>
    </row>
    <row r="266" spans="1:40">
      <c r="A266" s="143" t="s">
        <v>1325</v>
      </c>
      <c r="B266" s="141">
        <v>100</v>
      </c>
      <c r="C266" s="142">
        <f>B266*IBGE_2!C$266/100</f>
        <v>55.38</v>
      </c>
      <c r="D266" s="142">
        <f>B266*IBGE_2!D$266/100</f>
        <v>1.84</v>
      </c>
      <c r="E266" s="142">
        <f>B266*IBGE_2!E$266/100</f>
        <v>4.1100000000000003</v>
      </c>
      <c r="F266" s="142">
        <f>B266*IBGE_2!F$266/100</f>
        <v>0.6</v>
      </c>
      <c r="G266" s="142">
        <f>B266*IBGE_2!G$266/100</f>
        <v>0.89</v>
      </c>
      <c r="H266" s="142">
        <f>B266*IBGE_2!H$266/100</f>
        <v>2.34</v>
      </c>
      <c r="I266" s="142">
        <f>B266*IBGE_2!I$266/100</f>
        <v>1.92</v>
      </c>
      <c r="J266" s="142">
        <f>B266*IBGE_2!J$266/100</f>
        <v>0.42</v>
      </c>
      <c r="K266" s="142" t="s">
        <v>3047</v>
      </c>
      <c r="L266" s="142">
        <f>B266*IBGE_2!L$266/100</f>
        <v>4.1100000000000003</v>
      </c>
      <c r="M266" s="142">
        <f>B266*IBGE_2!M$266/100</f>
        <v>2.2999999999999998</v>
      </c>
      <c r="N266" s="142">
        <f>B266*IBGE_2!N$266/100</f>
        <v>16</v>
      </c>
      <c r="O266" s="142">
        <f>B266*IBGE_2!O$266/100</f>
        <v>9</v>
      </c>
      <c r="P266" s="142">
        <f>B266*IBGE_2!P$266/100</f>
        <v>0.13</v>
      </c>
      <c r="Q266" s="142">
        <f>B266*IBGE_2!Q$266/100</f>
        <v>32</v>
      </c>
      <c r="R266" s="142">
        <f>B266*IBGE_2!R$266/100</f>
        <v>0.32</v>
      </c>
      <c r="S266" s="142">
        <f>B266*IBGE_2!S$266/100</f>
        <v>15</v>
      </c>
      <c r="T266" s="142">
        <f>B266*IBGE_2!T$266/100</f>
        <v>142</v>
      </c>
      <c r="U266" s="142">
        <f>B266*IBGE_2!U$266/100</f>
        <v>0.02</v>
      </c>
      <c r="V266" s="142">
        <f>B266*IBGE_2!V$266/100</f>
        <v>0.17</v>
      </c>
      <c r="W266" s="142" t="s">
        <v>3047</v>
      </c>
      <c r="X266" s="142">
        <f>B266*IBGE_2!X$266/100</f>
        <v>0.04</v>
      </c>
      <c r="Y266" s="142">
        <f>B266*IBGE_2!Y$266/100</f>
        <v>0.05</v>
      </c>
      <c r="Z266" s="142">
        <f>B266*IBGE_2!Z$266/100</f>
        <v>0.17</v>
      </c>
      <c r="AA266" s="142">
        <f>B266*IBGE_2!AA$266/100</f>
        <v>0.41</v>
      </c>
      <c r="AB266" s="142">
        <f>B266*IBGE_2!AB$266/100</f>
        <v>44.3</v>
      </c>
      <c r="AC266" s="142">
        <f>B266*IBGE_2!AC$266/100</f>
        <v>0.81</v>
      </c>
      <c r="AD266" s="145" t="s">
        <v>3047</v>
      </c>
      <c r="AE266" s="142">
        <f>B266*IBGE_2!AE$266/100</f>
        <v>44</v>
      </c>
      <c r="AF266" s="145" t="s">
        <v>3047</v>
      </c>
      <c r="AG266" s="142">
        <f>B266*IBGE_2!AG$266/100</f>
        <v>0.41</v>
      </c>
      <c r="AH266" s="145" t="s">
        <v>3047</v>
      </c>
      <c r="AI266" s="142">
        <f>B266*IBGE_2!AI$266/100</f>
        <v>304</v>
      </c>
      <c r="AJ266" s="142">
        <f>B266*IBGE_2!AJ$266/100</f>
        <v>2.2799999999999998</v>
      </c>
      <c r="AK266" s="142">
        <f>B266*IBGE_2!AK$266/100</f>
        <v>0.57999999999999996</v>
      </c>
      <c r="AL266" s="142">
        <f>B266*IBGE_2!AL$266/100</f>
        <v>1.8</v>
      </c>
      <c r="AM266" s="145" t="s">
        <v>3047</v>
      </c>
      <c r="AN266" s="161"/>
    </row>
    <row r="267" spans="1:40">
      <c r="A267" s="143" t="s">
        <v>1326</v>
      </c>
      <c r="B267" s="141">
        <v>100</v>
      </c>
      <c r="C267" s="142">
        <f>B267*IBGE_2!C$267/100</f>
        <v>137.44</v>
      </c>
      <c r="D267" s="142">
        <f>B267*IBGE_2!D$267/100</f>
        <v>4.17</v>
      </c>
      <c r="E267" s="142">
        <f>B267*IBGE_2!E$267/100</f>
        <v>9.2100000000000009</v>
      </c>
      <c r="F267" s="142">
        <f>B267*IBGE_2!F$267/100</f>
        <v>1.59</v>
      </c>
      <c r="G267" s="142">
        <f>B267*IBGE_2!G$267/100</f>
        <v>2.27</v>
      </c>
      <c r="H267" s="142">
        <f>B267*IBGE_2!H$267/100</f>
        <v>4.63</v>
      </c>
      <c r="I267" s="142">
        <f>B267*IBGE_2!I$267/100</f>
        <v>3.97</v>
      </c>
      <c r="J267" s="142">
        <f>B267*IBGE_2!J$267/100</f>
        <v>0.62</v>
      </c>
      <c r="K267" s="142">
        <f>B267*IBGE_2!K$267/100</f>
        <v>51.39</v>
      </c>
      <c r="L267" s="142">
        <f>B267*IBGE_2!L$267/100</f>
        <v>10.31</v>
      </c>
      <c r="M267" s="142">
        <f>B267*IBGE_2!M$267/100</f>
        <v>2.08</v>
      </c>
      <c r="N267" s="142">
        <f>B267*IBGE_2!N$267/100</f>
        <v>35.86</v>
      </c>
      <c r="O267" s="142">
        <f>B267*IBGE_2!O$267/100</f>
        <v>11.92</v>
      </c>
      <c r="P267" s="142">
        <f>B267*IBGE_2!P$267/100</f>
        <v>0.19</v>
      </c>
      <c r="Q267" s="142">
        <f>B267*IBGE_2!Q$267/100</f>
        <v>60.14</v>
      </c>
      <c r="R267" s="142">
        <f>B267*IBGE_2!R$267/100</f>
        <v>0.86</v>
      </c>
      <c r="S267" s="142">
        <f>B267*IBGE_2!S$267/100</f>
        <v>99.57</v>
      </c>
      <c r="T267" s="142">
        <f>B267*IBGE_2!T$267/100</f>
        <v>135.47999999999999</v>
      </c>
      <c r="U267" s="142">
        <f>B267*IBGE_2!U$267/100</f>
        <v>0.04</v>
      </c>
      <c r="V267" s="142">
        <f>B267*IBGE_2!V$267/100</f>
        <v>0.39</v>
      </c>
      <c r="W267" s="142">
        <f>B267*IBGE_2!W$267/100</f>
        <v>20.36</v>
      </c>
      <c r="X267" s="142">
        <f>B267*IBGE_2!X$267/100</f>
        <v>0.14000000000000001</v>
      </c>
      <c r="Y267" s="142">
        <f>B267*IBGE_2!Y$267/100</f>
        <v>0.14000000000000001</v>
      </c>
      <c r="Z267" s="142">
        <f>B267*IBGE_2!Z$267/100</f>
        <v>0.15</v>
      </c>
      <c r="AA267" s="142">
        <f>B267*IBGE_2!AA$267/100</f>
        <v>0.97</v>
      </c>
      <c r="AB267" s="142">
        <f>B267*IBGE_2!AB$267/100</f>
        <v>31.32</v>
      </c>
      <c r="AC267" s="142">
        <f>B267*IBGE_2!AC$267/100</f>
        <v>1.83</v>
      </c>
      <c r="AD267" s="142">
        <f>B267*IBGE_2!AD$267/100</f>
        <v>0.17</v>
      </c>
      <c r="AE267" s="142">
        <f>B267*IBGE_2!AE$267/100</f>
        <v>53.01</v>
      </c>
      <c r="AF267" s="142">
        <f>B267*IBGE_2!AF$267/100</f>
        <v>0.16</v>
      </c>
      <c r="AG267" s="142">
        <f>B267*IBGE_2!AG$267/100</f>
        <v>0.83</v>
      </c>
      <c r="AH267" s="142">
        <f>B267*IBGE_2!AH$267/100</f>
        <v>0.01</v>
      </c>
      <c r="AI267" s="142">
        <f>B267*IBGE_2!AI$267/100</f>
        <v>304</v>
      </c>
      <c r="AJ267" s="142">
        <f>B267*IBGE_2!AJ$267/100</f>
        <v>9.94</v>
      </c>
      <c r="AK267" s="142">
        <f>B267*IBGE_2!AK$267/100</f>
        <v>20.94</v>
      </c>
      <c r="AL267" s="142">
        <f>B267*IBGE_2!AL$267/100</f>
        <v>2.04</v>
      </c>
      <c r="AM267" s="142">
        <f>B267*IBGE_2!AM$267/100</f>
        <v>1.23</v>
      </c>
      <c r="AN267" s="161"/>
    </row>
    <row r="268" spans="1:40">
      <c r="A268" s="143" t="s">
        <v>1327</v>
      </c>
      <c r="B268" s="141">
        <v>100</v>
      </c>
      <c r="C268" s="142">
        <f>B268*IBGE_2!C$268/100</f>
        <v>55.38</v>
      </c>
      <c r="D268" s="142">
        <f>B268*IBGE_2!D$268/100</f>
        <v>1.84</v>
      </c>
      <c r="E268" s="142">
        <f>B268*IBGE_2!E$268/100</f>
        <v>4.1100000000000003</v>
      </c>
      <c r="F268" s="142">
        <f>B268*IBGE_2!F$268/100</f>
        <v>0.6</v>
      </c>
      <c r="G268" s="142">
        <f>B268*IBGE_2!G$268/100</f>
        <v>0.89</v>
      </c>
      <c r="H268" s="142">
        <f>B268*IBGE_2!H$268/100</f>
        <v>2.34</v>
      </c>
      <c r="I268" s="142">
        <f>B268*IBGE_2!I$268/100</f>
        <v>1.92</v>
      </c>
      <c r="J268" s="142">
        <f>B268*IBGE_2!J$268/100</f>
        <v>0.42</v>
      </c>
      <c r="K268" s="142" t="s">
        <v>3047</v>
      </c>
      <c r="L268" s="142">
        <f>B268*IBGE_2!L$268/100</f>
        <v>4.1100000000000003</v>
      </c>
      <c r="M268" s="142">
        <f>B268*IBGE_2!M$268/100</f>
        <v>2.2999999999999998</v>
      </c>
      <c r="N268" s="142">
        <f>B268*IBGE_2!N$268/100</f>
        <v>16</v>
      </c>
      <c r="O268" s="142">
        <f>B268*IBGE_2!O$268/100</f>
        <v>9</v>
      </c>
      <c r="P268" s="142">
        <f>B268*IBGE_2!P$268/100</f>
        <v>0.13</v>
      </c>
      <c r="Q268" s="142">
        <f>B268*IBGE_2!Q$268/100</f>
        <v>32</v>
      </c>
      <c r="R268" s="142">
        <f>B268*IBGE_2!R$268/100</f>
        <v>0.32</v>
      </c>
      <c r="S268" s="142">
        <f>B268*IBGE_2!S$268/100</f>
        <v>15</v>
      </c>
      <c r="T268" s="142">
        <f>B268*IBGE_2!T$268/100</f>
        <v>142</v>
      </c>
      <c r="U268" s="142">
        <f>B268*IBGE_2!U$268/100</f>
        <v>0.02</v>
      </c>
      <c r="V268" s="142">
        <f>B268*IBGE_2!V$268/100</f>
        <v>0.17</v>
      </c>
      <c r="W268" s="142" t="s">
        <v>3047</v>
      </c>
      <c r="X268" s="142">
        <f>B268*IBGE_2!X$268/100</f>
        <v>0.04</v>
      </c>
      <c r="Y268" s="142">
        <f>B268*IBGE_2!Y$268/100</f>
        <v>0.05</v>
      </c>
      <c r="Z268" s="142">
        <f>B268*IBGE_2!Z$268/100</f>
        <v>0.17</v>
      </c>
      <c r="AA268" s="142">
        <f>B268*IBGE_2!AA$268/100</f>
        <v>0.41</v>
      </c>
      <c r="AB268" s="142">
        <f>B268*IBGE_2!AB$268/100</f>
        <v>44.3</v>
      </c>
      <c r="AC268" s="142">
        <f>B268*IBGE_2!AC$268/100</f>
        <v>0.81</v>
      </c>
      <c r="AD268" s="142" t="s">
        <v>3047</v>
      </c>
      <c r="AE268" s="142">
        <f>B268*IBGE_2!AE$268/100</f>
        <v>44</v>
      </c>
      <c r="AF268" s="142" t="s">
        <v>3047</v>
      </c>
      <c r="AG268" s="142">
        <f>B268*IBGE_2!AG$268/100</f>
        <v>0.41</v>
      </c>
      <c r="AH268" s="142" t="s">
        <v>3047</v>
      </c>
      <c r="AI268" s="142">
        <f>B268*IBGE_2!AI$268/100</f>
        <v>304</v>
      </c>
      <c r="AJ268" s="142">
        <f>B268*IBGE_2!AJ$268/100</f>
        <v>2.2799999999999998</v>
      </c>
      <c r="AK268" s="142">
        <f>B268*IBGE_2!AK$268/100</f>
        <v>0.57999999999999996</v>
      </c>
      <c r="AL268" s="142">
        <f>B268*IBGE_2!AL$268/100</f>
        <v>1.8</v>
      </c>
      <c r="AM268" s="142" t="s">
        <v>3047</v>
      </c>
      <c r="AN268" s="161"/>
    </row>
    <row r="269" spans="1:40">
      <c r="A269" s="143" t="s">
        <v>1328</v>
      </c>
      <c r="B269" s="141">
        <v>100</v>
      </c>
      <c r="C269" s="142">
        <f>B269*IBGE_2!C$269/100</f>
        <v>23</v>
      </c>
      <c r="D269" s="142">
        <f>B269*IBGE_2!D$269/100</f>
        <v>1.84</v>
      </c>
      <c r="E269" s="142">
        <f>B269*IBGE_2!E$269/100</f>
        <v>0.45</v>
      </c>
      <c r="F269" s="142">
        <f>B269*IBGE_2!F$269/100</f>
        <v>7.0000000000000007E-2</v>
      </c>
      <c r="G269" s="142">
        <f>B269*IBGE_2!G$269/100</f>
        <v>0.03</v>
      </c>
      <c r="H269" s="142">
        <f>B269*IBGE_2!H$269/100</f>
        <v>0.22</v>
      </c>
      <c r="I269" s="142">
        <f>B269*IBGE_2!I$269/100</f>
        <v>0.05</v>
      </c>
      <c r="J269" s="142">
        <f>B269*IBGE_2!J$269/100</f>
        <v>0.17</v>
      </c>
      <c r="K269" s="142" t="s">
        <v>3047</v>
      </c>
      <c r="L269" s="142">
        <f>B269*IBGE_2!L$269/100</f>
        <v>4.1100000000000003</v>
      </c>
      <c r="M269" s="142">
        <f>B269*IBGE_2!M$269/100</f>
        <v>2.2999999999999998</v>
      </c>
      <c r="N269" s="142">
        <f>B269*IBGE_2!N$269/100</f>
        <v>16</v>
      </c>
      <c r="O269" s="142">
        <f>B269*IBGE_2!O$269/100</f>
        <v>9</v>
      </c>
      <c r="P269" s="142">
        <f>B269*IBGE_2!P$269/100</f>
        <v>0.13</v>
      </c>
      <c r="Q269" s="142">
        <f>B269*IBGE_2!Q$269/100</f>
        <v>32</v>
      </c>
      <c r="R269" s="142">
        <f>B269*IBGE_2!R$269/100</f>
        <v>0.32</v>
      </c>
      <c r="S269" s="142">
        <f>B269*IBGE_2!S$269/100</f>
        <v>15</v>
      </c>
      <c r="T269" s="142">
        <f>B269*IBGE_2!T$269/100</f>
        <v>142</v>
      </c>
      <c r="U269" s="142">
        <f>B269*IBGE_2!U$269/100</f>
        <v>0.02</v>
      </c>
      <c r="V269" s="142">
        <f>B269*IBGE_2!V$269/100</f>
        <v>0.17</v>
      </c>
      <c r="W269" s="142" t="s">
        <v>3047</v>
      </c>
      <c r="X269" s="142">
        <f>B269*IBGE_2!X$269/100</f>
        <v>0.04</v>
      </c>
      <c r="Y269" s="142">
        <f>B269*IBGE_2!Y$269/100</f>
        <v>0.05</v>
      </c>
      <c r="Z269" s="142">
        <f>B269*IBGE_2!Z$269/100</f>
        <v>0.17</v>
      </c>
      <c r="AA269" s="142">
        <f>B269*IBGE_2!AA$269/100</f>
        <v>0.41</v>
      </c>
      <c r="AB269" s="142">
        <f>B269*IBGE_2!AB$269/100</f>
        <v>44.3</v>
      </c>
      <c r="AC269" s="142">
        <f>B269*IBGE_2!AC$269/100</f>
        <v>0.81</v>
      </c>
      <c r="AD269" s="142" t="s">
        <v>3047</v>
      </c>
      <c r="AE269" s="142">
        <f>B269*IBGE_2!AE$269/100</f>
        <v>44</v>
      </c>
      <c r="AF269" s="142" t="s">
        <v>3047</v>
      </c>
      <c r="AG269" s="142">
        <f>B269*IBGE_2!AG$269/100</f>
        <v>7.0000000000000007E-2</v>
      </c>
      <c r="AH269" s="142" t="s">
        <v>3047</v>
      </c>
      <c r="AI269" s="142">
        <f>B269*IBGE_2!AI$269/100</f>
        <v>304</v>
      </c>
      <c r="AJ269" s="142">
        <f>B269*IBGE_2!AJ$269/100</f>
        <v>0.6</v>
      </c>
      <c r="AK269" s="142">
        <f>B269*IBGE_2!AK$269/100</f>
        <v>0.57999999999999996</v>
      </c>
      <c r="AL269" s="142">
        <f>B269*IBGE_2!AL$269/100</f>
        <v>1.8</v>
      </c>
      <c r="AM269" s="142" t="s">
        <v>3047</v>
      </c>
      <c r="AN269" s="161"/>
    </row>
    <row r="270" spans="1:40">
      <c r="A270" s="143" t="s">
        <v>1329</v>
      </c>
      <c r="B270" s="141">
        <v>100</v>
      </c>
      <c r="C270" s="142">
        <f>B270*IBGE_2!C$270/100</f>
        <v>23</v>
      </c>
      <c r="D270" s="142">
        <f>B270*IBGE_2!D$270/100</f>
        <v>1.84</v>
      </c>
      <c r="E270" s="142">
        <f>B270*IBGE_2!E$270/100</f>
        <v>0.45</v>
      </c>
      <c r="F270" s="142">
        <f>B270*IBGE_2!F$270/100</f>
        <v>7.0000000000000007E-2</v>
      </c>
      <c r="G270" s="142">
        <f>B270*IBGE_2!G$270/100</f>
        <v>0.03</v>
      </c>
      <c r="H270" s="142">
        <f>B270*IBGE_2!H$270/100</f>
        <v>0.22</v>
      </c>
      <c r="I270" s="142">
        <f>B270*IBGE_2!I$270/100</f>
        <v>0.05</v>
      </c>
      <c r="J270" s="142">
        <f>B270*IBGE_2!J$270/100</f>
        <v>0.17</v>
      </c>
      <c r="K270" s="142" t="s">
        <v>3047</v>
      </c>
      <c r="L270" s="142">
        <f>B270*IBGE_2!L$270/100</f>
        <v>4.1100000000000003</v>
      </c>
      <c r="M270" s="142">
        <f>B270*IBGE_2!M$270/100</f>
        <v>2.2999999999999998</v>
      </c>
      <c r="N270" s="142">
        <f>B270*IBGE_2!N$270/100</f>
        <v>16</v>
      </c>
      <c r="O270" s="142">
        <f>B270*IBGE_2!O$270/100</f>
        <v>9</v>
      </c>
      <c r="P270" s="142">
        <f>B270*IBGE_2!P$270/100</f>
        <v>0.13</v>
      </c>
      <c r="Q270" s="142">
        <f>B270*IBGE_2!Q$270/100</f>
        <v>32</v>
      </c>
      <c r="R270" s="142">
        <f>B270*IBGE_2!R$270/100</f>
        <v>0.32</v>
      </c>
      <c r="S270" s="142">
        <f>B270*IBGE_2!S$270/100</f>
        <v>15</v>
      </c>
      <c r="T270" s="142">
        <f>B270*IBGE_2!T$270/100</f>
        <v>142</v>
      </c>
      <c r="U270" s="142">
        <f>B270*IBGE_2!U$270/100</f>
        <v>0.02</v>
      </c>
      <c r="V270" s="142">
        <f>B270*IBGE_2!V$270/100</f>
        <v>0.17</v>
      </c>
      <c r="W270" s="142" t="s">
        <v>3047</v>
      </c>
      <c r="X270" s="142">
        <f>B270*IBGE_2!X$270/100</f>
        <v>0.04</v>
      </c>
      <c r="Y270" s="142">
        <f>B270*IBGE_2!Y$270/100</f>
        <v>0.05</v>
      </c>
      <c r="Z270" s="142">
        <f>B270*IBGE_2!Z$270/100</f>
        <v>0.17</v>
      </c>
      <c r="AA270" s="142">
        <f>B270*IBGE_2!AA$270/100</f>
        <v>0.41</v>
      </c>
      <c r="AB270" s="142">
        <f>B270*IBGE_2!AB$270/100</f>
        <v>44.3</v>
      </c>
      <c r="AC270" s="142">
        <f>B270*IBGE_2!AC$270/100</f>
        <v>0.81</v>
      </c>
      <c r="AD270" s="142" t="s">
        <v>3047</v>
      </c>
      <c r="AE270" s="142">
        <f>B270*IBGE_2!AE$270/100</f>
        <v>44</v>
      </c>
      <c r="AF270" s="142" t="s">
        <v>3047</v>
      </c>
      <c r="AG270" s="142">
        <f>B270*IBGE_2!AG$270/100</f>
        <v>7.0000000000000007E-2</v>
      </c>
      <c r="AH270" s="142" t="s">
        <v>3047</v>
      </c>
      <c r="AI270" s="142">
        <f>B270*IBGE_2!AI$270/100</f>
        <v>304</v>
      </c>
      <c r="AJ270" s="142">
        <f>B270*IBGE_2!AJ$270/100</f>
        <v>0.6</v>
      </c>
      <c r="AK270" s="142">
        <f>B270*IBGE_2!AK$270/100</f>
        <v>0.57999999999999996</v>
      </c>
      <c r="AL270" s="142">
        <f>B270*IBGE_2!AL$270/100</f>
        <v>1.8</v>
      </c>
      <c r="AM270" s="142" t="s">
        <v>3047</v>
      </c>
      <c r="AN270" s="161"/>
    </row>
    <row r="271" spans="1:40">
      <c r="A271" s="143" t="s">
        <v>1330</v>
      </c>
      <c r="B271" s="141">
        <v>100</v>
      </c>
      <c r="C271" s="142">
        <f>B271*IBGE_2!C$271/100</f>
        <v>23</v>
      </c>
      <c r="D271" s="142">
        <f>B271*IBGE_2!D$271/100</f>
        <v>2.97</v>
      </c>
      <c r="E271" s="142">
        <f>B271*IBGE_2!E$271/100</f>
        <v>0.26</v>
      </c>
      <c r="F271" s="142">
        <f>B271*IBGE_2!F$271/100</f>
        <v>0.04</v>
      </c>
      <c r="G271" s="142">
        <f>B271*IBGE_2!G$271/100</f>
        <v>0.01</v>
      </c>
      <c r="H271" s="142">
        <f>B271*IBGE_2!H$271/100</f>
        <v>0.11</v>
      </c>
      <c r="I271" s="142">
        <f>B271*IBGE_2!I$271/100</f>
        <v>0.02</v>
      </c>
      <c r="J271" s="142">
        <f>B271*IBGE_2!J$271/100</f>
        <v>0.09</v>
      </c>
      <c r="K271" s="142" t="s">
        <v>3047</v>
      </c>
      <c r="L271" s="142">
        <f>B271*IBGE_2!L$271/100</f>
        <v>3.75</v>
      </c>
      <c r="M271" s="142">
        <f>B271*IBGE_2!M$271/100</f>
        <v>2.4</v>
      </c>
      <c r="N271" s="142">
        <f>B271*IBGE_2!N$271/100</f>
        <v>136</v>
      </c>
      <c r="O271" s="142">
        <f>B271*IBGE_2!O$271/100</f>
        <v>87</v>
      </c>
      <c r="P271" s="142">
        <f>B271*IBGE_2!P$271/100</f>
        <v>0.94</v>
      </c>
      <c r="Q271" s="142">
        <f>B271*IBGE_2!Q$271/100</f>
        <v>56</v>
      </c>
      <c r="R271" s="142">
        <f>B271*IBGE_2!R$271/100</f>
        <v>3.57</v>
      </c>
      <c r="S271" s="142">
        <f>B271*IBGE_2!S$271/100</f>
        <v>70</v>
      </c>
      <c r="T271" s="142">
        <f>B271*IBGE_2!T$271/100</f>
        <v>466</v>
      </c>
      <c r="U271" s="142">
        <f>B271*IBGE_2!U$271/100</f>
        <v>0.17</v>
      </c>
      <c r="V271" s="142">
        <f>B271*IBGE_2!V$271/100</f>
        <v>0.76</v>
      </c>
      <c r="W271" s="142" t="s">
        <v>3047</v>
      </c>
      <c r="X271" s="142">
        <f>B271*IBGE_2!X$271/100</f>
        <v>0.1</v>
      </c>
      <c r="Y271" s="142">
        <f>B271*IBGE_2!Y$271/100</f>
        <v>0.24</v>
      </c>
      <c r="Z271" s="142">
        <f>B271*IBGE_2!Z$271/100</f>
        <v>0.24</v>
      </c>
      <c r="AA271" s="142">
        <f>B271*IBGE_2!AA$271/100</f>
        <v>0.49</v>
      </c>
      <c r="AB271" s="142">
        <f>B271*IBGE_2!AB$271/100</f>
        <v>9.8000000000000007</v>
      </c>
      <c r="AC271" s="142">
        <f>B271*IBGE_2!AC$271/100</f>
        <v>1.1599999999999999</v>
      </c>
      <c r="AD271" s="142" t="s">
        <v>3047</v>
      </c>
      <c r="AE271" s="142">
        <f>B271*IBGE_2!AE$271/100</f>
        <v>146</v>
      </c>
      <c r="AF271" s="142" t="s">
        <v>3047</v>
      </c>
      <c r="AG271" s="142">
        <f>B271*IBGE_2!AG$271/100</f>
        <v>2.08</v>
      </c>
      <c r="AH271" s="142" t="s">
        <v>3047</v>
      </c>
      <c r="AI271" s="142">
        <f>B271*IBGE_2!AI$271/100</f>
        <v>210</v>
      </c>
      <c r="AJ271" s="142">
        <f>B271*IBGE_2!AJ$271/100</f>
        <v>1.5</v>
      </c>
      <c r="AK271" s="142">
        <f>B271*IBGE_2!AK$271/100</f>
        <v>524</v>
      </c>
      <c r="AL271" s="142">
        <f>B271*IBGE_2!AL$271/100</f>
        <v>0.89</v>
      </c>
      <c r="AM271" s="142" t="s">
        <v>3047</v>
      </c>
      <c r="AN271" s="161"/>
    </row>
    <row r="272" spans="1:40">
      <c r="A272" s="143" t="s">
        <v>1331</v>
      </c>
      <c r="B272" s="141">
        <v>100</v>
      </c>
      <c r="C272" s="142">
        <f>B272*IBGE_2!C$272/100</f>
        <v>23</v>
      </c>
      <c r="D272" s="142">
        <f>B272*IBGE_2!D$272/100</f>
        <v>2.97</v>
      </c>
      <c r="E272" s="142">
        <f>B272*IBGE_2!E$272/100</f>
        <v>0.26</v>
      </c>
      <c r="F272" s="142">
        <f>B272*IBGE_2!F$272/100</f>
        <v>0.04</v>
      </c>
      <c r="G272" s="142">
        <f>B272*IBGE_2!G$272/100</f>
        <v>0.01</v>
      </c>
      <c r="H272" s="142">
        <f>B272*IBGE_2!H$272/100</f>
        <v>0.11</v>
      </c>
      <c r="I272" s="142">
        <f>B272*IBGE_2!I$272/100</f>
        <v>0.02</v>
      </c>
      <c r="J272" s="142">
        <f>B272*IBGE_2!J$272/100</f>
        <v>0.09</v>
      </c>
      <c r="K272" s="142" t="s">
        <v>3047</v>
      </c>
      <c r="L272" s="142">
        <f>B272*IBGE_2!L$272/100</f>
        <v>3.75</v>
      </c>
      <c r="M272" s="142">
        <f>B272*IBGE_2!M$272/100</f>
        <v>2.4</v>
      </c>
      <c r="N272" s="142">
        <f>B272*IBGE_2!N$272/100</f>
        <v>136</v>
      </c>
      <c r="O272" s="142">
        <f>B272*IBGE_2!O$272/100</f>
        <v>87</v>
      </c>
      <c r="P272" s="142">
        <f>B272*IBGE_2!P$272/100</f>
        <v>0.94</v>
      </c>
      <c r="Q272" s="142">
        <f>B272*IBGE_2!Q$272/100</f>
        <v>56</v>
      </c>
      <c r="R272" s="142">
        <f>B272*IBGE_2!R$272/100</f>
        <v>3.57</v>
      </c>
      <c r="S272" s="142">
        <f>B272*IBGE_2!S$272/100</f>
        <v>70</v>
      </c>
      <c r="T272" s="142">
        <f>B272*IBGE_2!T$272/100</f>
        <v>466</v>
      </c>
      <c r="U272" s="142">
        <f>B272*IBGE_2!U$272/100</f>
        <v>0.17</v>
      </c>
      <c r="V272" s="142">
        <f>B272*IBGE_2!V$272/100</f>
        <v>0.76</v>
      </c>
      <c r="W272" s="142" t="s">
        <v>3047</v>
      </c>
      <c r="X272" s="142">
        <f>B272*IBGE_2!X$272/100</f>
        <v>0.1</v>
      </c>
      <c r="Y272" s="142">
        <f>B272*IBGE_2!Y$272/100</f>
        <v>0.24</v>
      </c>
      <c r="Z272" s="142">
        <f>B272*IBGE_2!Z$272/100</f>
        <v>0.24</v>
      </c>
      <c r="AA272" s="142">
        <f>B272*IBGE_2!AA$272/100</f>
        <v>0.49</v>
      </c>
      <c r="AB272" s="142">
        <f>B272*IBGE_2!AB$272/100</f>
        <v>9.8000000000000007</v>
      </c>
      <c r="AC272" s="142">
        <f>B272*IBGE_2!AC$272/100</f>
        <v>1.1599999999999999</v>
      </c>
      <c r="AD272" s="142" t="s">
        <v>3047</v>
      </c>
      <c r="AE272" s="142">
        <f>B272*IBGE_2!AE$272/100</f>
        <v>146</v>
      </c>
      <c r="AF272" s="142" t="s">
        <v>3047</v>
      </c>
      <c r="AG272" s="142">
        <f>B272*IBGE_2!AG$272/100</f>
        <v>2.08</v>
      </c>
      <c r="AH272" s="142" t="s">
        <v>3047</v>
      </c>
      <c r="AI272" s="142">
        <f>B272*IBGE_2!AI$272/100</f>
        <v>210</v>
      </c>
      <c r="AJ272" s="142">
        <f>B272*IBGE_2!AJ$272/100</f>
        <v>1.5</v>
      </c>
      <c r="AK272" s="142">
        <f>B272*IBGE_2!AK$272/100</f>
        <v>524</v>
      </c>
      <c r="AL272" s="142">
        <f>B272*IBGE_2!AL$272/100</f>
        <v>0.89</v>
      </c>
      <c r="AM272" s="142" t="s">
        <v>3047</v>
      </c>
      <c r="AN272" s="161"/>
    </row>
    <row r="273" spans="1:40">
      <c r="A273" s="143" t="s">
        <v>1332</v>
      </c>
      <c r="B273" s="141">
        <v>100</v>
      </c>
      <c r="C273" s="142">
        <f>B273*IBGE_2!C$273/100</f>
        <v>45.3</v>
      </c>
      <c r="D273" s="142">
        <f>B273*IBGE_2!D$273/100</f>
        <v>2.97</v>
      </c>
      <c r="E273" s="142">
        <f>B273*IBGE_2!E$273/100</f>
        <v>2.78</v>
      </c>
      <c r="F273" s="142">
        <f>B273*IBGE_2!F$273/100</f>
        <v>0.41</v>
      </c>
      <c r="G273" s="142">
        <f>B273*IBGE_2!G$273/100</f>
        <v>0.59</v>
      </c>
      <c r="H273" s="142">
        <f>B273*IBGE_2!H$273/100</f>
        <v>1.57</v>
      </c>
      <c r="I273" s="142">
        <f>B273*IBGE_2!I$273/100</f>
        <v>1.3</v>
      </c>
      <c r="J273" s="142">
        <f>B273*IBGE_2!J$273/100</f>
        <v>0.26</v>
      </c>
      <c r="K273" s="142" t="s">
        <v>3047</v>
      </c>
      <c r="L273" s="142">
        <f>B273*IBGE_2!L$273/100</f>
        <v>3.75</v>
      </c>
      <c r="M273" s="142">
        <f>B273*IBGE_2!M$273/100</f>
        <v>2.4</v>
      </c>
      <c r="N273" s="142">
        <f>B273*IBGE_2!N$273/100</f>
        <v>136</v>
      </c>
      <c r="O273" s="142">
        <f>B273*IBGE_2!O$273/100</f>
        <v>87</v>
      </c>
      <c r="P273" s="142">
        <f>B273*IBGE_2!P$273/100</f>
        <v>0.94</v>
      </c>
      <c r="Q273" s="142">
        <f>B273*IBGE_2!Q$273/100</f>
        <v>56</v>
      </c>
      <c r="R273" s="142">
        <f>B273*IBGE_2!R$273/100</f>
        <v>3.57</v>
      </c>
      <c r="S273" s="142">
        <f>B273*IBGE_2!S$273/100</f>
        <v>70</v>
      </c>
      <c r="T273" s="142">
        <f>B273*IBGE_2!T$273/100</f>
        <v>466</v>
      </c>
      <c r="U273" s="142">
        <f>B273*IBGE_2!U$273/100</f>
        <v>0.17</v>
      </c>
      <c r="V273" s="142">
        <f>B273*IBGE_2!V$273/100</f>
        <v>0.76</v>
      </c>
      <c r="W273" s="142" t="s">
        <v>3047</v>
      </c>
      <c r="X273" s="142">
        <f>B273*IBGE_2!X$273/100</f>
        <v>0.1</v>
      </c>
      <c r="Y273" s="142">
        <f>B273*IBGE_2!Y$273/100</f>
        <v>0.24</v>
      </c>
      <c r="Z273" s="142">
        <f>B273*IBGE_2!Z$273/100</f>
        <v>0.24</v>
      </c>
      <c r="AA273" s="142">
        <f>B273*IBGE_2!AA$273/100</f>
        <v>0.49</v>
      </c>
      <c r="AB273" s="142">
        <f>B273*IBGE_2!AB$273/100</f>
        <v>9.8000000000000007</v>
      </c>
      <c r="AC273" s="142">
        <f>B273*IBGE_2!AC$273/100</f>
        <v>1.1599999999999999</v>
      </c>
      <c r="AD273" s="142" t="s">
        <v>3047</v>
      </c>
      <c r="AE273" s="142">
        <f>B273*IBGE_2!AE$273/100</f>
        <v>146</v>
      </c>
      <c r="AF273" s="142" t="s">
        <v>3047</v>
      </c>
      <c r="AG273" s="142">
        <f>B273*IBGE_2!AG$273/100</f>
        <v>2.31</v>
      </c>
      <c r="AH273" s="142" t="s">
        <v>3047</v>
      </c>
      <c r="AI273" s="142">
        <f>B273*IBGE_2!AI$273/100</f>
        <v>210</v>
      </c>
      <c r="AJ273" s="142">
        <f>B273*IBGE_2!AJ$273/100</f>
        <v>2.66</v>
      </c>
      <c r="AK273" s="142">
        <f>B273*IBGE_2!AK$273/100</f>
        <v>524</v>
      </c>
      <c r="AL273" s="142">
        <f>B273*IBGE_2!AL$273/100</f>
        <v>0.89</v>
      </c>
      <c r="AM273" s="142" t="s">
        <v>3047</v>
      </c>
      <c r="AN273" s="161"/>
    </row>
    <row r="274" spans="1:40">
      <c r="A274" s="143" t="s">
        <v>1333</v>
      </c>
      <c r="B274" s="141">
        <v>100</v>
      </c>
      <c r="C274" s="142">
        <f>B274*IBGE_2!C$274/100</f>
        <v>23</v>
      </c>
      <c r="D274" s="142">
        <f>B274*IBGE_2!D$274/100</f>
        <v>2.97</v>
      </c>
      <c r="E274" s="142">
        <f>B274*IBGE_2!E$274/100</f>
        <v>0.26</v>
      </c>
      <c r="F274" s="142">
        <f>B274*IBGE_2!F$274/100</f>
        <v>0.04</v>
      </c>
      <c r="G274" s="142">
        <f>B274*IBGE_2!G$274/100</f>
        <v>0.01</v>
      </c>
      <c r="H274" s="142">
        <f>B274*IBGE_2!H$274/100</f>
        <v>0.11</v>
      </c>
      <c r="I274" s="142">
        <f>B274*IBGE_2!I$274/100</f>
        <v>0.02</v>
      </c>
      <c r="J274" s="142">
        <f>B274*IBGE_2!J$274/100</f>
        <v>0.09</v>
      </c>
      <c r="K274" s="142" t="s">
        <v>3047</v>
      </c>
      <c r="L274" s="142">
        <f>B274*IBGE_2!L$274/100</f>
        <v>3.75</v>
      </c>
      <c r="M274" s="142">
        <f>B274*IBGE_2!M$274/100</f>
        <v>2.4</v>
      </c>
      <c r="N274" s="142">
        <f>B274*IBGE_2!N$274/100</f>
        <v>136</v>
      </c>
      <c r="O274" s="142">
        <f>B274*IBGE_2!O$274/100</f>
        <v>87</v>
      </c>
      <c r="P274" s="142">
        <f>B274*IBGE_2!P$274/100</f>
        <v>0.94</v>
      </c>
      <c r="Q274" s="142">
        <f>B274*IBGE_2!Q$274/100</f>
        <v>56</v>
      </c>
      <c r="R274" s="142">
        <f>B274*IBGE_2!R$274/100</f>
        <v>3.57</v>
      </c>
      <c r="S274" s="142">
        <f>B274*IBGE_2!S$274/100</f>
        <v>70</v>
      </c>
      <c r="T274" s="142">
        <f>B274*IBGE_2!T$274/100</f>
        <v>466</v>
      </c>
      <c r="U274" s="142">
        <f>B274*IBGE_2!U$274/100</f>
        <v>0.17</v>
      </c>
      <c r="V274" s="142">
        <f>B274*IBGE_2!V$274/100</f>
        <v>0.76</v>
      </c>
      <c r="W274" s="142" t="s">
        <v>3047</v>
      </c>
      <c r="X274" s="142">
        <f>B274*IBGE_2!X$274/100</f>
        <v>0.1</v>
      </c>
      <c r="Y274" s="142">
        <f>B274*IBGE_2!Y$274/100</f>
        <v>0.24</v>
      </c>
      <c r="Z274" s="142">
        <f>B274*IBGE_2!Z$274/100</f>
        <v>0.24</v>
      </c>
      <c r="AA274" s="142">
        <f>B274*IBGE_2!AA$274/100</f>
        <v>0.49</v>
      </c>
      <c r="AB274" s="142">
        <f>B274*IBGE_2!AB$274/100</f>
        <v>9.8000000000000007</v>
      </c>
      <c r="AC274" s="142">
        <f>B274*IBGE_2!AC$274/100</f>
        <v>1.1599999999999999</v>
      </c>
      <c r="AD274" s="142" t="s">
        <v>3047</v>
      </c>
      <c r="AE274" s="142">
        <f>B274*IBGE_2!AE$274/100</f>
        <v>146</v>
      </c>
      <c r="AF274" s="142" t="s">
        <v>3047</v>
      </c>
      <c r="AG274" s="142">
        <f>B274*IBGE_2!AG$274/100</f>
        <v>2.08</v>
      </c>
      <c r="AH274" s="142" t="s">
        <v>3047</v>
      </c>
      <c r="AI274" s="142">
        <f>B274*IBGE_2!AI$274/100</f>
        <v>210</v>
      </c>
      <c r="AJ274" s="142">
        <f>B274*IBGE_2!AJ$274/100</f>
        <v>1.5</v>
      </c>
      <c r="AK274" s="142">
        <f>B274*IBGE_2!AK$274/100</f>
        <v>524</v>
      </c>
      <c r="AL274" s="142">
        <f>B274*IBGE_2!AL$274/100</f>
        <v>0.89</v>
      </c>
      <c r="AM274" s="142" t="s">
        <v>3047</v>
      </c>
      <c r="AN274" s="161"/>
    </row>
    <row r="275" spans="1:40">
      <c r="A275" s="143" t="s">
        <v>1334</v>
      </c>
      <c r="B275" s="141">
        <v>100</v>
      </c>
      <c r="C275" s="142">
        <f>B275*IBGE_2!C$275/100</f>
        <v>23</v>
      </c>
      <c r="D275" s="142">
        <f>B275*IBGE_2!D$275/100</f>
        <v>2.97</v>
      </c>
      <c r="E275" s="142">
        <f>B275*IBGE_2!E$275/100</f>
        <v>0.26</v>
      </c>
      <c r="F275" s="142">
        <f>B275*IBGE_2!F$275/100</f>
        <v>0.04</v>
      </c>
      <c r="G275" s="142">
        <f>B275*IBGE_2!G$275/100</f>
        <v>0.01</v>
      </c>
      <c r="H275" s="142">
        <f>B275*IBGE_2!H$275/100</f>
        <v>0.11</v>
      </c>
      <c r="I275" s="142">
        <f>B275*IBGE_2!I$275/100</f>
        <v>0.02</v>
      </c>
      <c r="J275" s="142">
        <f>B275*IBGE_2!J$275/100</f>
        <v>0.09</v>
      </c>
      <c r="K275" s="142" t="s">
        <v>3047</v>
      </c>
      <c r="L275" s="142">
        <f>B275*IBGE_2!L$275/100</f>
        <v>3.75</v>
      </c>
      <c r="M275" s="142">
        <f>B275*IBGE_2!M$275/100</f>
        <v>2.4</v>
      </c>
      <c r="N275" s="142">
        <f>B275*IBGE_2!N$275/100</f>
        <v>136</v>
      </c>
      <c r="O275" s="142">
        <f>B275*IBGE_2!O$275/100</f>
        <v>87</v>
      </c>
      <c r="P275" s="142">
        <f>B275*IBGE_2!P$275/100</f>
        <v>0.94</v>
      </c>
      <c r="Q275" s="142">
        <f>B275*IBGE_2!Q$275/100</f>
        <v>56</v>
      </c>
      <c r="R275" s="142">
        <f>B275*IBGE_2!R$275/100</f>
        <v>3.57</v>
      </c>
      <c r="S275" s="142">
        <f>B275*IBGE_2!S$275/100</f>
        <v>70</v>
      </c>
      <c r="T275" s="142">
        <f>B275*IBGE_2!T$275/100</f>
        <v>466</v>
      </c>
      <c r="U275" s="142">
        <f>B275*IBGE_2!U$275/100</f>
        <v>0.17</v>
      </c>
      <c r="V275" s="142">
        <f>B275*IBGE_2!V$275/100</f>
        <v>0.76</v>
      </c>
      <c r="W275" s="142" t="s">
        <v>3047</v>
      </c>
      <c r="X275" s="142">
        <f>B275*IBGE_2!X$275/100</f>
        <v>0.1</v>
      </c>
      <c r="Y275" s="142">
        <f>B275*IBGE_2!Y$275/100</f>
        <v>0.24</v>
      </c>
      <c r="Z275" s="142">
        <f>B275*IBGE_2!Z$275/100</f>
        <v>0.24</v>
      </c>
      <c r="AA275" s="142">
        <f>B275*IBGE_2!AA$275/100</f>
        <v>0.49</v>
      </c>
      <c r="AB275" s="142">
        <f>B275*IBGE_2!AB$275/100</f>
        <v>9.8000000000000007</v>
      </c>
      <c r="AC275" s="142">
        <f>B275*IBGE_2!AC$275/100</f>
        <v>1.1599999999999999</v>
      </c>
      <c r="AD275" s="142" t="s">
        <v>3047</v>
      </c>
      <c r="AE275" s="142">
        <f>B275*IBGE_2!AE$275/100</f>
        <v>146</v>
      </c>
      <c r="AF275" s="142" t="s">
        <v>3047</v>
      </c>
      <c r="AG275" s="142">
        <f>B275*IBGE_2!AG$275/100</f>
        <v>2.08</v>
      </c>
      <c r="AH275" s="142" t="s">
        <v>3047</v>
      </c>
      <c r="AI275" s="142">
        <f>B275*IBGE_2!AI$275/100</f>
        <v>210</v>
      </c>
      <c r="AJ275" s="142">
        <f>B275*IBGE_2!AJ$275/100</f>
        <v>1.5</v>
      </c>
      <c r="AK275" s="142">
        <f>B275*IBGE_2!AK$275/100</f>
        <v>524</v>
      </c>
      <c r="AL275" s="142">
        <f>B275*IBGE_2!AL$275/100</f>
        <v>0.89</v>
      </c>
      <c r="AM275" s="142" t="s">
        <v>3047</v>
      </c>
      <c r="AN275" s="161"/>
    </row>
    <row r="276" spans="1:40">
      <c r="A276" s="143" t="s">
        <v>1335</v>
      </c>
      <c r="B276" s="141">
        <v>100</v>
      </c>
      <c r="C276" s="142">
        <f>B276*IBGE_2!C$276/100</f>
        <v>26</v>
      </c>
      <c r="D276" s="142">
        <f>B276*IBGE_2!D$276/100</f>
        <v>2.7</v>
      </c>
      <c r="E276" s="142">
        <f>B276*IBGE_2!E$276/100</f>
        <v>0.2</v>
      </c>
      <c r="F276" s="142">
        <f>B276*IBGE_2!F$276/100</f>
        <v>0.01</v>
      </c>
      <c r="G276" s="142">
        <f>B276*IBGE_2!G$276/100</f>
        <v>0.09</v>
      </c>
      <c r="H276" s="142">
        <f>B276*IBGE_2!H$276/100</f>
        <v>0.04</v>
      </c>
      <c r="I276" s="142">
        <f>B276*IBGE_2!I$276/100</f>
        <v>0.02</v>
      </c>
      <c r="J276" s="142">
        <f>B276*IBGE_2!J$276/100</f>
        <v>0.02</v>
      </c>
      <c r="K276" s="142" t="s">
        <v>3047</v>
      </c>
      <c r="L276" s="142">
        <f>B276*IBGE_2!L$276/100</f>
        <v>4.9000000000000004</v>
      </c>
      <c r="M276" s="142">
        <f>B276*IBGE_2!M$276/100</f>
        <v>3.3</v>
      </c>
      <c r="N276" s="142">
        <f>B276*IBGE_2!N$276/100</f>
        <v>103</v>
      </c>
      <c r="O276" s="142">
        <f>B276*IBGE_2!O$276/100</f>
        <v>32</v>
      </c>
      <c r="P276" s="142">
        <f>B276*IBGE_2!P$276/100</f>
        <v>0.48</v>
      </c>
      <c r="Q276" s="142">
        <f>B276*IBGE_2!Q$276/100</f>
        <v>43</v>
      </c>
      <c r="R276" s="142">
        <f>B276*IBGE_2!R$276/100</f>
        <v>1.46</v>
      </c>
      <c r="S276" s="142">
        <f>B276*IBGE_2!S$276/100</f>
        <v>25</v>
      </c>
      <c r="T276" s="142">
        <f>B276*IBGE_2!T$276/100</f>
        <v>354</v>
      </c>
      <c r="U276" s="142">
        <f>B276*IBGE_2!U$276/100</f>
        <v>0.15</v>
      </c>
      <c r="V276" s="142">
        <f>B276*IBGE_2!V$276/100</f>
        <v>0.2</v>
      </c>
      <c r="W276" s="142" t="s">
        <v>3047</v>
      </c>
      <c r="X276" s="142">
        <f>B276*IBGE_2!X$276/100</f>
        <v>0.08</v>
      </c>
      <c r="Y276" s="142">
        <f>B276*IBGE_2!Y$276/100</f>
        <v>0.11</v>
      </c>
      <c r="Z276" s="142">
        <f>B276*IBGE_2!Z$276/100</f>
        <v>0.18</v>
      </c>
      <c r="AA276" s="142">
        <f>B276*IBGE_2!AA$276/100</f>
        <v>0.8</v>
      </c>
      <c r="AB276" s="142">
        <f>B276*IBGE_2!AB$276/100</f>
        <v>70</v>
      </c>
      <c r="AC276" s="142">
        <f>B276*IBGE_2!AC$276/100</f>
        <v>1.3</v>
      </c>
      <c r="AD276" s="162" t="s">
        <v>3047</v>
      </c>
      <c r="AE276" s="142">
        <f>B276*IBGE_2!AE$276/100</f>
        <v>187</v>
      </c>
      <c r="AF276" s="162" t="s">
        <v>3047</v>
      </c>
      <c r="AG276" s="142">
        <f>B276*IBGE_2!AG$276/100</f>
        <v>2.0099999999999998</v>
      </c>
      <c r="AH276" s="162" t="s">
        <v>3047</v>
      </c>
      <c r="AI276" s="145" t="s">
        <v>3047</v>
      </c>
      <c r="AJ276" s="142">
        <f>B276*IBGE_2!AJ$276/100</f>
        <v>0.9</v>
      </c>
      <c r="AK276" s="142">
        <f>B276*IBGE_2!AK$276/100</f>
        <v>525</v>
      </c>
      <c r="AL276" s="142">
        <f>B276*IBGE_2!AL$276/100</f>
        <v>0.7</v>
      </c>
      <c r="AM276" s="162" t="s">
        <v>3047</v>
      </c>
      <c r="AN276" s="161"/>
    </row>
    <row r="277" spans="1:40">
      <c r="A277" s="143" t="s">
        <v>1336</v>
      </c>
      <c r="B277" s="141">
        <v>100</v>
      </c>
      <c r="C277" s="142">
        <f>B277*IBGE_2!C$277/100</f>
        <v>15</v>
      </c>
      <c r="D277" s="142">
        <f>B277*IBGE_2!D$277/100</f>
        <v>2.2599999999999998</v>
      </c>
      <c r="E277" s="142">
        <f>B277*IBGE_2!E$277/100</f>
        <v>0.24</v>
      </c>
      <c r="F277" s="142">
        <f>B277*IBGE_2!F$277/100</f>
        <v>0.01</v>
      </c>
      <c r="G277" s="142">
        <f>B277*IBGE_2!G$277/100</f>
        <v>0.11</v>
      </c>
      <c r="H277" s="142">
        <f>B277*IBGE_2!H$277/100</f>
        <v>0.05</v>
      </c>
      <c r="I277" s="142">
        <f>B277*IBGE_2!I$277/100</f>
        <v>0.02</v>
      </c>
      <c r="J277" s="142">
        <f>B277*IBGE_2!J$277/100</f>
        <v>0.02</v>
      </c>
      <c r="K277" s="142" t="s">
        <v>3047</v>
      </c>
      <c r="L277" s="142">
        <f>B277*IBGE_2!L$277/100</f>
        <v>2.1</v>
      </c>
      <c r="M277" s="142">
        <f>B277*IBGE_2!M$277/100</f>
        <v>2</v>
      </c>
      <c r="N277" s="142">
        <f>B277*IBGE_2!N$277/100</f>
        <v>74</v>
      </c>
      <c r="O277" s="142">
        <f>B277*IBGE_2!O$277/100</f>
        <v>15</v>
      </c>
      <c r="P277" s="142">
        <f>B277*IBGE_2!P$277/100</f>
        <v>0.27</v>
      </c>
      <c r="Q277" s="142">
        <f>B277*IBGE_2!Q$277/100</f>
        <v>41</v>
      </c>
      <c r="R277" s="142">
        <f>B277*IBGE_2!R$277/100</f>
        <v>0.7</v>
      </c>
      <c r="S277" s="142">
        <f>B277*IBGE_2!S$277/100</f>
        <v>16</v>
      </c>
      <c r="T277" s="142">
        <f>B277*IBGE_2!T$277/100</f>
        <v>202</v>
      </c>
      <c r="U277" s="142">
        <f>B277*IBGE_2!U$277/100</f>
        <v>0.08</v>
      </c>
      <c r="V277" s="142">
        <f>B277*IBGE_2!V$277/100</f>
        <v>0.11</v>
      </c>
      <c r="W277" s="142" t="s">
        <v>3047</v>
      </c>
      <c r="X277" s="142">
        <f>B277*IBGE_2!X$277/100</f>
        <v>0.04</v>
      </c>
      <c r="Y277" s="142">
        <f>B277*IBGE_2!Y$277/100</f>
        <v>0.06</v>
      </c>
      <c r="Z277" s="142">
        <f>B277*IBGE_2!Z$277/100</f>
        <v>0.1</v>
      </c>
      <c r="AA277" s="142">
        <f>B277*IBGE_2!AA$277/100</f>
        <v>0.43</v>
      </c>
      <c r="AB277" s="142">
        <f>B277*IBGE_2!AB$277/100</f>
        <v>25.3</v>
      </c>
      <c r="AC277" s="142">
        <f>B277*IBGE_2!AC$277/100</f>
        <v>0.85</v>
      </c>
      <c r="AD277" s="162" t="s">
        <v>3047</v>
      </c>
      <c r="AE277" s="142">
        <f>B277*IBGE_2!AE$277/100</f>
        <v>73</v>
      </c>
      <c r="AF277" s="162" t="s">
        <v>3047</v>
      </c>
      <c r="AG277" s="142">
        <f>B277*IBGE_2!AG$277/100</f>
        <v>1.21</v>
      </c>
      <c r="AH277" s="162" t="s">
        <v>3047</v>
      </c>
      <c r="AI277" s="142">
        <f>B277*IBGE_2!AI$277/100</f>
        <v>222</v>
      </c>
      <c r="AJ277" s="142">
        <f>B277*IBGE_2!AJ$277/100</f>
        <v>0.6</v>
      </c>
      <c r="AK277" s="142">
        <f>B277*IBGE_2!AK$277/100</f>
        <v>316.17</v>
      </c>
      <c r="AL277" s="142">
        <f>B277*IBGE_2!AL$277/100</f>
        <v>0.5</v>
      </c>
      <c r="AM277" s="162" t="s">
        <v>3047</v>
      </c>
      <c r="AN277" s="161"/>
    </row>
    <row r="278" spans="1:40">
      <c r="A278" s="143" t="s">
        <v>1337</v>
      </c>
      <c r="B278" s="141">
        <v>100</v>
      </c>
      <c r="C278" s="142">
        <f>B278*IBGE_2!C$278/100</f>
        <v>43.68</v>
      </c>
      <c r="D278" s="142">
        <f>B278*IBGE_2!D$278/100</f>
        <v>2.2599999999999998</v>
      </c>
      <c r="E278" s="142">
        <f>B278*IBGE_2!E$278/100</f>
        <v>3.48</v>
      </c>
      <c r="F278" s="142">
        <f>B278*IBGE_2!F$278/100</f>
        <v>0.48</v>
      </c>
      <c r="G278" s="142">
        <f>B278*IBGE_2!G$278/100</f>
        <v>0.87</v>
      </c>
      <c r="H278" s="142">
        <f>B278*IBGE_2!H$278/100</f>
        <v>1.92</v>
      </c>
      <c r="I278" s="142">
        <f>B278*IBGE_2!I$278/100</f>
        <v>1.68</v>
      </c>
      <c r="J278" s="142">
        <f>B278*IBGE_2!J$278/100</f>
        <v>0.24</v>
      </c>
      <c r="K278" s="142" t="s">
        <v>3047</v>
      </c>
      <c r="L278" s="142">
        <f>B278*IBGE_2!L$278/100</f>
        <v>2.1</v>
      </c>
      <c r="M278" s="142">
        <f>B278*IBGE_2!M$278/100</f>
        <v>2</v>
      </c>
      <c r="N278" s="142">
        <f>B278*IBGE_2!N$278/100</f>
        <v>74</v>
      </c>
      <c r="O278" s="142">
        <f>B278*IBGE_2!O$278/100</f>
        <v>15</v>
      </c>
      <c r="P278" s="142">
        <f>B278*IBGE_2!P$278/100</f>
        <v>0.27</v>
      </c>
      <c r="Q278" s="142">
        <f>B278*IBGE_2!Q$278/100</f>
        <v>41</v>
      </c>
      <c r="R278" s="142">
        <f>B278*IBGE_2!R$278/100</f>
        <v>0.7</v>
      </c>
      <c r="S278" s="142">
        <f>B278*IBGE_2!S$278/100</f>
        <v>16</v>
      </c>
      <c r="T278" s="142">
        <f>B278*IBGE_2!T$278/100</f>
        <v>202</v>
      </c>
      <c r="U278" s="142">
        <f>B278*IBGE_2!U$278/100</f>
        <v>0.08</v>
      </c>
      <c r="V278" s="142">
        <f>B278*IBGE_2!V$278/100</f>
        <v>0.11</v>
      </c>
      <c r="W278" s="142" t="s">
        <v>3047</v>
      </c>
      <c r="X278" s="142">
        <f>B278*IBGE_2!X$278/100</f>
        <v>0.04</v>
      </c>
      <c r="Y278" s="142">
        <f>B278*IBGE_2!Y$278/100</f>
        <v>0.06</v>
      </c>
      <c r="Z278" s="142">
        <f>B278*IBGE_2!Z$278/100</f>
        <v>0.1</v>
      </c>
      <c r="AA278" s="142">
        <f>B278*IBGE_2!AA$278/100</f>
        <v>0.43</v>
      </c>
      <c r="AB278" s="142">
        <f>B278*IBGE_2!AB$278/100</f>
        <v>25.3</v>
      </c>
      <c r="AC278" s="142">
        <f>B278*IBGE_2!AC$278/100</f>
        <v>0.85</v>
      </c>
      <c r="AD278" s="162" t="s">
        <v>3047</v>
      </c>
      <c r="AE278" s="142">
        <f>B278*IBGE_2!AE$278/100</f>
        <v>73</v>
      </c>
      <c r="AF278" s="162" t="s">
        <v>3047</v>
      </c>
      <c r="AG278" s="142">
        <f>B278*IBGE_2!AG$278/100</f>
        <v>1.51</v>
      </c>
      <c r="AH278" s="162" t="s">
        <v>3047</v>
      </c>
      <c r="AI278" s="142">
        <f>B278*IBGE_2!AI$278/100</f>
        <v>222</v>
      </c>
      <c r="AJ278" s="142">
        <f>B278*IBGE_2!AJ$278/100</f>
        <v>2.09</v>
      </c>
      <c r="AK278" s="142">
        <f>B278*IBGE_2!AK$278/100</f>
        <v>316.17</v>
      </c>
      <c r="AL278" s="142">
        <f>B278*IBGE_2!AL$278/100</f>
        <v>0.5</v>
      </c>
      <c r="AM278" s="162" t="s">
        <v>3047</v>
      </c>
      <c r="AN278" s="161"/>
    </row>
    <row r="279" spans="1:40">
      <c r="A279" s="143" t="s">
        <v>1338</v>
      </c>
      <c r="B279" s="141">
        <v>100</v>
      </c>
      <c r="C279" s="142">
        <f>B279*IBGE_2!C$279/100</f>
        <v>15</v>
      </c>
      <c r="D279" s="142">
        <f>B279*IBGE_2!D$279/100</f>
        <v>2.2599999999999998</v>
      </c>
      <c r="E279" s="142">
        <f>B279*IBGE_2!E$279/100</f>
        <v>0.24</v>
      </c>
      <c r="F279" s="142">
        <f>B279*IBGE_2!F$279/100</f>
        <v>0.01</v>
      </c>
      <c r="G279" s="142">
        <f>B279*IBGE_2!G$279/100</f>
        <v>0.11</v>
      </c>
      <c r="H279" s="142">
        <f>B279*IBGE_2!H$279/100</f>
        <v>0.05</v>
      </c>
      <c r="I279" s="142">
        <f>B279*IBGE_2!I$279/100</f>
        <v>0.02</v>
      </c>
      <c r="J279" s="142">
        <f>B279*IBGE_2!J$279/100</f>
        <v>0.02</v>
      </c>
      <c r="K279" s="142" t="s">
        <v>3047</v>
      </c>
      <c r="L279" s="142">
        <f>B279*IBGE_2!L$279/100</f>
        <v>2.1</v>
      </c>
      <c r="M279" s="142">
        <f>B279*IBGE_2!M$279/100</f>
        <v>2</v>
      </c>
      <c r="N279" s="142">
        <f>B279*IBGE_2!N$279/100</f>
        <v>74</v>
      </c>
      <c r="O279" s="142">
        <f>B279*IBGE_2!O$279/100</f>
        <v>15</v>
      </c>
      <c r="P279" s="142">
        <f>B279*IBGE_2!P$279/100</f>
        <v>0.27</v>
      </c>
      <c r="Q279" s="142">
        <f>B279*IBGE_2!Q$279/100</f>
        <v>41</v>
      </c>
      <c r="R279" s="142">
        <f>B279*IBGE_2!R$279/100</f>
        <v>0.7</v>
      </c>
      <c r="S279" s="142">
        <f>B279*IBGE_2!S$279/100</f>
        <v>16</v>
      </c>
      <c r="T279" s="142">
        <f>B279*IBGE_2!T$279/100</f>
        <v>202</v>
      </c>
      <c r="U279" s="142">
        <f>B279*IBGE_2!U$279/100</f>
        <v>0.08</v>
      </c>
      <c r="V279" s="142">
        <f>B279*IBGE_2!V$279/100</f>
        <v>0.11</v>
      </c>
      <c r="W279" s="142" t="s">
        <v>3047</v>
      </c>
      <c r="X279" s="142">
        <f>B279*IBGE_2!X$279/100</f>
        <v>0.04</v>
      </c>
      <c r="Y279" s="142">
        <f>B279*IBGE_2!Y$279/100</f>
        <v>0.06</v>
      </c>
      <c r="Z279" s="142">
        <f>B279*IBGE_2!Z$279/100</f>
        <v>0.1</v>
      </c>
      <c r="AA279" s="142">
        <f>B279*IBGE_2!AA$279/100</f>
        <v>0.43</v>
      </c>
      <c r="AB279" s="142">
        <f>B279*IBGE_2!AB$279/100</f>
        <v>25.3</v>
      </c>
      <c r="AC279" s="142">
        <f>B279*IBGE_2!AC$279/100</f>
        <v>0.85</v>
      </c>
      <c r="AD279" s="142" t="s">
        <v>3047</v>
      </c>
      <c r="AE279" s="142">
        <f>B279*IBGE_2!AE$279/100</f>
        <v>73</v>
      </c>
      <c r="AF279" s="142" t="s">
        <v>3047</v>
      </c>
      <c r="AG279" s="142">
        <f>B279*IBGE_2!AG$279/100</f>
        <v>1.21</v>
      </c>
      <c r="AH279" s="142" t="s">
        <v>3047</v>
      </c>
      <c r="AI279" s="142">
        <f>B279*IBGE_2!AI$279/100</f>
        <v>222</v>
      </c>
      <c r="AJ279" s="142">
        <f>B279*IBGE_2!AJ$279/100</f>
        <v>0.6</v>
      </c>
      <c r="AK279" s="142">
        <f>B279*IBGE_2!AK$279/100</f>
        <v>316.17</v>
      </c>
      <c r="AL279" s="142">
        <f>B279*IBGE_2!AL$279/100</f>
        <v>0.5</v>
      </c>
      <c r="AM279" s="142" t="s">
        <v>3047</v>
      </c>
      <c r="AN279" s="161"/>
    </row>
    <row r="280" spans="1:40">
      <c r="A280" s="143" t="s">
        <v>1339</v>
      </c>
      <c r="B280" s="141">
        <v>100</v>
      </c>
      <c r="C280" s="142">
        <f>B280*IBGE_2!C$280/100</f>
        <v>25</v>
      </c>
      <c r="D280" s="142">
        <f>B280*IBGE_2!D$280/100</f>
        <v>1.28</v>
      </c>
      <c r="E280" s="142">
        <f>B280*IBGE_2!E$280/100</f>
        <v>0.1</v>
      </c>
      <c r="F280" s="142">
        <f>B280*IBGE_2!F$280/100</f>
        <v>0.03</v>
      </c>
      <c r="G280" s="142">
        <f>B280*IBGE_2!G$280/100</f>
        <v>0.02</v>
      </c>
      <c r="H280" s="142">
        <f>B280*IBGE_2!H$280/100</f>
        <v>0.02</v>
      </c>
      <c r="I280" s="142">
        <f>B280*IBGE_2!I$280/100</f>
        <v>0.02</v>
      </c>
      <c r="J280" s="142" t="s">
        <v>3047</v>
      </c>
      <c r="K280" s="142" t="s">
        <v>3047</v>
      </c>
      <c r="L280" s="142">
        <f>B280*IBGE_2!L$280/100</f>
        <v>5.8</v>
      </c>
      <c r="M280" s="142">
        <f>B280*IBGE_2!M$280/100</f>
        <v>2.2400000000000002</v>
      </c>
      <c r="N280" s="142">
        <f>B280*IBGE_2!N$280/100</f>
        <v>40</v>
      </c>
      <c r="O280" s="142">
        <f>B280*IBGE_2!O$280/100</f>
        <v>12</v>
      </c>
      <c r="P280" s="142">
        <f>B280*IBGE_2!P$280/100</f>
        <v>0.16</v>
      </c>
      <c r="Q280" s="142">
        <f>B280*IBGE_2!Q$280/100</f>
        <v>26</v>
      </c>
      <c r="R280" s="142">
        <f>B280*IBGE_2!R$280/100</f>
        <v>0.47</v>
      </c>
      <c r="S280" s="142">
        <f>B280*IBGE_2!S$280/100</f>
        <v>18</v>
      </c>
      <c r="T280" s="142">
        <f>B280*IBGE_2!T$280/100</f>
        <v>170</v>
      </c>
      <c r="U280" s="142">
        <f>B280*IBGE_2!U$280/100</f>
        <v>0.02</v>
      </c>
      <c r="V280" s="142">
        <f>B280*IBGE_2!V$280/100</f>
        <v>0.18</v>
      </c>
      <c r="W280" s="142" t="s">
        <v>3047</v>
      </c>
      <c r="X280" s="142">
        <f>B280*IBGE_2!X$280/100</f>
        <v>0.06</v>
      </c>
      <c r="Y280" s="142">
        <f>B280*IBGE_2!Y$280/100</f>
        <v>0.04</v>
      </c>
      <c r="Z280" s="142">
        <f>B280*IBGE_2!Z$280/100</f>
        <v>0.12</v>
      </c>
      <c r="AA280" s="142">
        <f>B280*IBGE_2!AA$280/100</f>
        <v>0.23</v>
      </c>
      <c r="AB280" s="142">
        <f>B280*IBGE_2!AB$280/100</f>
        <v>36.6</v>
      </c>
      <c r="AC280" s="142">
        <f>B280*IBGE_2!AC$280/100</f>
        <v>0.42</v>
      </c>
      <c r="AD280" s="145" t="s">
        <v>3047</v>
      </c>
      <c r="AE280" s="142">
        <f>B280*IBGE_2!AE$280/100</f>
        <v>43</v>
      </c>
      <c r="AF280" s="145" t="s">
        <v>3047</v>
      </c>
      <c r="AG280" s="142">
        <f>B280*IBGE_2!AG$280/100</f>
        <v>0.15</v>
      </c>
      <c r="AH280" s="145" t="s">
        <v>3047</v>
      </c>
      <c r="AI280" s="145" t="s">
        <v>3047</v>
      </c>
      <c r="AJ280" s="142">
        <f>B280*IBGE_2!AJ$280/100</f>
        <v>0.3</v>
      </c>
      <c r="AK280" s="142">
        <f>B280*IBGE_2!AK$280/100</f>
        <v>4.88</v>
      </c>
      <c r="AL280" s="142">
        <f>B280*IBGE_2!AL$280/100</f>
        <v>3.21</v>
      </c>
      <c r="AM280" s="145" t="s">
        <v>3047</v>
      </c>
      <c r="AN280" s="161"/>
    </row>
    <row r="281" spans="1:40">
      <c r="A281" s="143" t="s">
        <v>1340</v>
      </c>
      <c r="B281" s="141">
        <v>100</v>
      </c>
      <c r="C281" s="142">
        <f>B281*IBGE_2!C$281/100</f>
        <v>23</v>
      </c>
      <c r="D281" s="142">
        <f>B281*IBGE_2!D$281/100</f>
        <v>1.27</v>
      </c>
      <c r="E281" s="142">
        <f>B281*IBGE_2!E$281/100</f>
        <v>0.06</v>
      </c>
      <c r="F281" s="142" t="s">
        <v>3047</v>
      </c>
      <c r="G281" s="142">
        <f>B281*IBGE_2!G$281/100</f>
        <v>1.9E-2</v>
      </c>
      <c r="H281" s="142">
        <f>B281*IBGE_2!H$281/100</f>
        <v>2.3E-2</v>
      </c>
      <c r="I281" s="142">
        <f>B281*IBGE_2!I$281/100</f>
        <v>8.9999999999999993E-3</v>
      </c>
      <c r="J281" s="142">
        <f>B281*IBGE_2!J$281/100</f>
        <v>1.4000000000000002E-2</v>
      </c>
      <c r="K281" s="142" t="s">
        <v>3047</v>
      </c>
      <c r="L281" s="142">
        <f>B281*IBGE_2!L$281/100</f>
        <v>5.51</v>
      </c>
      <c r="M281" s="142">
        <f>B281*IBGE_2!M$281/100</f>
        <v>1.9</v>
      </c>
      <c r="N281" s="142">
        <f>B281*IBGE_2!N$281/100</f>
        <v>48</v>
      </c>
      <c r="O281" s="142">
        <f>B281*IBGE_2!O$281/100</f>
        <v>15</v>
      </c>
      <c r="P281" s="142">
        <f>B281*IBGE_2!P$281/100</f>
        <v>0.20499999999999999</v>
      </c>
      <c r="Q281" s="142">
        <f>B281*IBGE_2!Q$281/100</f>
        <v>33</v>
      </c>
      <c r="R281" s="142">
        <f>B281*IBGE_2!R$281/100</f>
        <v>0.17</v>
      </c>
      <c r="S281" s="142">
        <f>B281*IBGE_2!S$281/100</f>
        <v>8</v>
      </c>
      <c r="T281" s="142">
        <f>B281*IBGE_2!T$281/100</f>
        <v>196</v>
      </c>
      <c r="U281" s="142">
        <f>B281*IBGE_2!U$281/100</f>
        <v>1.7000000000000001E-2</v>
      </c>
      <c r="V281" s="142">
        <f>B281*IBGE_2!V$281/100</f>
        <v>0.2</v>
      </c>
      <c r="W281" s="142" t="s">
        <v>3047</v>
      </c>
      <c r="X281" s="142">
        <f>B281*IBGE_2!X$281/100</f>
        <v>6.0999999999999999E-2</v>
      </c>
      <c r="Y281" s="142">
        <f>B281*IBGE_2!Y$281/100</f>
        <v>3.7999999999999999E-2</v>
      </c>
      <c r="Z281" s="142">
        <f>B281*IBGE_2!Z$281/100</f>
        <v>0.11200000000000002</v>
      </c>
      <c r="AA281" s="142">
        <f>B281*IBGE_2!AA$281/100</f>
        <v>0.248</v>
      </c>
      <c r="AB281" s="142">
        <f>B281*IBGE_2!AB$281/100</f>
        <v>37.5</v>
      </c>
      <c r="AC281" s="142">
        <f>B281*IBGE_2!AC$281/100</f>
        <v>0.43099999999999999</v>
      </c>
      <c r="AD281" s="145" t="s">
        <v>3047</v>
      </c>
      <c r="AE281" s="142">
        <f>B281*IBGE_2!AE$281/100</f>
        <v>30</v>
      </c>
      <c r="AF281" s="145" t="s">
        <v>3047</v>
      </c>
      <c r="AG281" s="142">
        <f>B281*IBGE_2!AG$281/100</f>
        <v>0.14000000000000001</v>
      </c>
      <c r="AH281" s="145" t="s">
        <v>3047</v>
      </c>
      <c r="AI281" s="142">
        <f>B281*IBGE_2!AI$281/100</f>
        <v>251</v>
      </c>
      <c r="AJ281" s="142">
        <f>B281*IBGE_2!AJ$281/100</f>
        <v>0.6</v>
      </c>
      <c r="AK281" s="142">
        <f>B281*IBGE_2!AK$281/100</f>
        <v>4</v>
      </c>
      <c r="AL281" s="142">
        <f>B281*IBGE_2!AL$281/100</f>
        <v>2.78</v>
      </c>
      <c r="AM281" s="145" t="s">
        <v>3047</v>
      </c>
      <c r="AN281" s="161"/>
    </row>
    <row r="282" spans="1:40">
      <c r="A282" s="143" t="s">
        <v>1341</v>
      </c>
      <c r="B282" s="141">
        <v>100</v>
      </c>
      <c r="C282" s="142">
        <f>B282*IBGE_2!C$282/100</f>
        <v>49.765999999999991</v>
      </c>
      <c r="D282" s="142">
        <f>B282*IBGE_2!D$282/100</f>
        <v>1.27</v>
      </c>
      <c r="E282" s="142">
        <f>B282*IBGE_2!E$282/100</f>
        <v>3.0880000000000001</v>
      </c>
      <c r="F282" s="142">
        <f>B282*IBGE_2!F$282/100</f>
        <v>0.47399999999999998</v>
      </c>
      <c r="G282" s="142">
        <f>B282*IBGE_2!G$282/100</f>
        <v>0.70899999999999996</v>
      </c>
      <c r="H282" s="142">
        <f>B282*IBGE_2!H$282/100</f>
        <v>1.7709999999999999</v>
      </c>
      <c r="I282" s="142">
        <f>B282*IBGE_2!I$282/100</f>
        <v>1.5520000000000003</v>
      </c>
      <c r="J282" s="142">
        <f>B282*IBGE_2!J$282/100</f>
        <v>0.22</v>
      </c>
      <c r="K282" s="142" t="s">
        <v>3047</v>
      </c>
      <c r="L282" s="142">
        <f>B282*IBGE_2!L$282/100</f>
        <v>5.51</v>
      </c>
      <c r="M282" s="142">
        <f>B282*IBGE_2!M$282/100</f>
        <v>1.9</v>
      </c>
      <c r="N282" s="142">
        <f>B282*IBGE_2!N$282/100</f>
        <v>48</v>
      </c>
      <c r="O282" s="142">
        <f>B282*IBGE_2!O$282/100</f>
        <v>15</v>
      </c>
      <c r="P282" s="142">
        <f>B282*IBGE_2!P$282/100</f>
        <v>0.20499999999999999</v>
      </c>
      <c r="Q282" s="142">
        <f>B282*IBGE_2!Q$282/100</f>
        <v>33</v>
      </c>
      <c r="R282" s="142">
        <f>B282*IBGE_2!R$282/100</f>
        <v>0.17199999999999999</v>
      </c>
      <c r="S282" s="142">
        <f>B282*IBGE_2!S$282/100</f>
        <v>8</v>
      </c>
      <c r="T282" s="142">
        <f>B282*IBGE_2!T$282/100</f>
        <v>196</v>
      </c>
      <c r="U282" s="142">
        <f>B282*IBGE_2!U$282/100</f>
        <v>1.7000000000000001E-2</v>
      </c>
      <c r="V282" s="142">
        <f>B282*IBGE_2!V$282/100</f>
        <v>0.2</v>
      </c>
      <c r="W282" s="142" t="s">
        <v>3047</v>
      </c>
      <c r="X282" s="142">
        <f>B282*IBGE_2!X$282/100</f>
        <v>6.0999999999999999E-2</v>
      </c>
      <c r="Y282" s="142">
        <f>B282*IBGE_2!Y$282/100</f>
        <v>3.7999999999999999E-2</v>
      </c>
      <c r="Z282" s="142">
        <f>B282*IBGE_2!Z$282/100</f>
        <v>0.11200000000000002</v>
      </c>
      <c r="AA282" s="142">
        <f>B282*IBGE_2!AA$282/100</f>
        <v>0.248</v>
      </c>
      <c r="AB282" s="142">
        <f>B282*IBGE_2!AB$282/100</f>
        <v>37.5</v>
      </c>
      <c r="AC282" s="142">
        <f>B282*IBGE_2!AC$282/100</f>
        <v>0.43099999999999999</v>
      </c>
      <c r="AD282" s="145" t="s">
        <v>3047</v>
      </c>
      <c r="AE282" s="142">
        <f>B282*IBGE_2!AE$282/100</f>
        <v>30</v>
      </c>
      <c r="AF282" s="145" t="s">
        <v>3047</v>
      </c>
      <c r="AG282" s="142">
        <f>B282*IBGE_2!AG$282/100</f>
        <v>0.38800000000000007</v>
      </c>
      <c r="AH282" s="142">
        <f>B282*IBGE_2!AH$282/100</f>
        <v>1.6E-2</v>
      </c>
      <c r="AI282" s="142">
        <f>B282*IBGE_2!AI$282/100</f>
        <v>251</v>
      </c>
      <c r="AJ282" s="142">
        <f>B282*IBGE_2!AJ$282/100</f>
        <v>1.9880000000000002</v>
      </c>
      <c r="AK282" s="142">
        <f>B282*IBGE_2!AK$282/100</f>
        <v>4</v>
      </c>
      <c r="AL282" s="142">
        <f>B282*IBGE_2!AL$282/100</f>
        <v>2.78</v>
      </c>
      <c r="AM282" s="145" t="s">
        <v>3047</v>
      </c>
      <c r="AN282" s="161"/>
    </row>
    <row r="283" spans="1:40">
      <c r="A283" s="143" t="s">
        <v>1342</v>
      </c>
      <c r="B283" s="141">
        <v>100</v>
      </c>
      <c r="C283" s="142">
        <f>B283*IBGE_2!C$283/100</f>
        <v>49.765999999999991</v>
      </c>
      <c r="D283" s="142">
        <f>B283*IBGE_2!D$283/100</f>
        <v>1.27</v>
      </c>
      <c r="E283" s="142">
        <f>B283*IBGE_2!E$283/100</f>
        <v>3.0880000000000001</v>
      </c>
      <c r="F283" s="142">
        <f>B283*IBGE_2!F$283/100</f>
        <v>0.47399999999999998</v>
      </c>
      <c r="G283" s="142">
        <f>B283*IBGE_2!G$283/100</f>
        <v>0.70899999999999996</v>
      </c>
      <c r="H283" s="142">
        <f>B283*IBGE_2!H$283/100</f>
        <v>1.7709999999999999</v>
      </c>
      <c r="I283" s="142">
        <f>B283*IBGE_2!I$283/100</f>
        <v>1.5520000000000003</v>
      </c>
      <c r="J283" s="142">
        <f>B283*IBGE_2!J$283/100</f>
        <v>0.22</v>
      </c>
      <c r="K283" s="142" t="s">
        <v>3047</v>
      </c>
      <c r="L283" s="142">
        <f>B283*IBGE_2!L$283/100</f>
        <v>5.51</v>
      </c>
      <c r="M283" s="142">
        <f>B283*IBGE_2!M$283/100</f>
        <v>1.9</v>
      </c>
      <c r="N283" s="142">
        <f>B283*IBGE_2!N$283/100</f>
        <v>48</v>
      </c>
      <c r="O283" s="142">
        <f>B283*IBGE_2!O$283/100</f>
        <v>15</v>
      </c>
      <c r="P283" s="142">
        <f>B283*IBGE_2!P$283/100</f>
        <v>0.20499999999999999</v>
      </c>
      <c r="Q283" s="142">
        <f>B283*IBGE_2!Q$283/100</f>
        <v>33</v>
      </c>
      <c r="R283" s="142">
        <f>B283*IBGE_2!R$283/100</f>
        <v>0.17199999999999999</v>
      </c>
      <c r="S283" s="142">
        <f>B283*IBGE_2!S$283/100</f>
        <v>8</v>
      </c>
      <c r="T283" s="142">
        <f>B283*IBGE_2!T$283/100</f>
        <v>196</v>
      </c>
      <c r="U283" s="142">
        <f>B283*IBGE_2!U$283/100</f>
        <v>1.7000000000000001E-2</v>
      </c>
      <c r="V283" s="142">
        <f>B283*IBGE_2!V$283/100</f>
        <v>0.2</v>
      </c>
      <c r="W283" s="142" t="s">
        <v>3047</v>
      </c>
      <c r="X283" s="142">
        <f>B283*IBGE_2!X$283/100</f>
        <v>6.0999999999999999E-2</v>
      </c>
      <c r="Y283" s="142">
        <f>B283*IBGE_2!Y$283/100</f>
        <v>3.7999999999999999E-2</v>
      </c>
      <c r="Z283" s="142">
        <f>B283*IBGE_2!Z$283/100</f>
        <v>0.11200000000000002</v>
      </c>
      <c r="AA283" s="142">
        <f>B283*IBGE_2!AA$283/100</f>
        <v>0.248</v>
      </c>
      <c r="AB283" s="142">
        <f>B283*IBGE_2!AB$283/100</f>
        <v>37.5</v>
      </c>
      <c r="AC283" s="142">
        <f>B283*IBGE_2!AC$283/100</f>
        <v>0.43099999999999999</v>
      </c>
      <c r="AD283" s="145" t="s">
        <v>3047</v>
      </c>
      <c r="AE283" s="142">
        <f>B283*IBGE_2!AE$283/100</f>
        <v>30</v>
      </c>
      <c r="AF283" s="145" t="s">
        <v>3047</v>
      </c>
      <c r="AG283" s="142">
        <f>B283*IBGE_2!AG$283/100</f>
        <v>0.38800000000000007</v>
      </c>
      <c r="AH283" s="142">
        <f>B283*IBGE_2!AH$283/100</f>
        <v>1.6E-2</v>
      </c>
      <c r="AI283" s="142">
        <f>B283*IBGE_2!AI$283/100</f>
        <v>251</v>
      </c>
      <c r="AJ283" s="142">
        <f>B283*IBGE_2!AJ$283/100</f>
        <v>1.9880000000000002</v>
      </c>
      <c r="AK283" s="142">
        <f>B283*IBGE_2!AK$283/100</f>
        <v>4</v>
      </c>
      <c r="AL283" s="142">
        <f>B283*IBGE_2!AL$283/100</f>
        <v>2.78</v>
      </c>
      <c r="AM283" s="145" t="s">
        <v>3047</v>
      </c>
      <c r="AN283" s="161"/>
    </row>
    <row r="284" spans="1:40">
      <c r="A284" s="143" t="s">
        <v>1343</v>
      </c>
      <c r="B284" s="141">
        <v>100</v>
      </c>
      <c r="C284" s="142">
        <f>B284*IBGE_2!C$284/100</f>
        <v>23</v>
      </c>
      <c r="D284" s="142">
        <f>B284*IBGE_2!D$284/100</f>
        <v>1.27</v>
      </c>
      <c r="E284" s="142">
        <f>B284*IBGE_2!E$284/100</f>
        <v>0.06</v>
      </c>
      <c r="F284" s="142" t="s">
        <v>3047</v>
      </c>
      <c r="G284" s="142">
        <f>B284*IBGE_2!G$284/100</f>
        <v>1.9E-2</v>
      </c>
      <c r="H284" s="142">
        <f>B284*IBGE_2!H$284/100</f>
        <v>2.3E-2</v>
      </c>
      <c r="I284" s="142">
        <f>B284*IBGE_2!I$284/100</f>
        <v>8.9999999999999993E-3</v>
      </c>
      <c r="J284" s="142">
        <f>B284*IBGE_2!J$284/100</f>
        <v>1.4000000000000002E-2</v>
      </c>
      <c r="K284" s="142" t="s">
        <v>3047</v>
      </c>
      <c r="L284" s="142">
        <f>B284*IBGE_2!L$284/100</f>
        <v>5.51</v>
      </c>
      <c r="M284" s="142">
        <f>B284*IBGE_2!M$284/100</f>
        <v>1.9</v>
      </c>
      <c r="N284" s="142">
        <f>B284*IBGE_2!N$284/100</f>
        <v>48</v>
      </c>
      <c r="O284" s="142">
        <f>B284*IBGE_2!O$284/100</f>
        <v>15</v>
      </c>
      <c r="P284" s="142">
        <f>B284*IBGE_2!P$284/100</f>
        <v>0.20499999999999999</v>
      </c>
      <c r="Q284" s="142">
        <f>B284*IBGE_2!Q$284/100</f>
        <v>33</v>
      </c>
      <c r="R284" s="142">
        <f>B284*IBGE_2!R$284/100</f>
        <v>0.17</v>
      </c>
      <c r="S284" s="142">
        <f>B284*IBGE_2!S$284/100</f>
        <v>8</v>
      </c>
      <c r="T284" s="142">
        <f>B284*IBGE_2!T$284/100</f>
        <v>196</v>
      </c>
      <c r="U284" s="142">
        <f>B284*IBGE_2!U$284/100</f>
        <v>1.7000000000000001E-2</v>
      </c>
      <c r="V284" s="142">
        <f>B284*IBGE_2!V$284/100</f>
        <v>0.2</v>
      </c>
      <c r="W284" s="142" t="s">
        <v>3047</v>
      </c>
      <c r="X284" s="142">
        <f>B284*IBGE_2!X$284/100</f>
        <v>6.0999999999999999E-2</v>
      </c>
      <c r="Y284" s="142">
        <f>B284*IBGE_2!Y$284/100</f>
        <v>3.7999999999999999E-2</v>
      </c>
      <c r="Z284" s="142">
        <f>B284*IBGE_2!Z$284/100</f>
        <v>0.11200000000000002</v>
      </c>
      <c r="AA284" s="142">
        <f>B284*IBGE_2!AA$284/100</f>
        <v>0.248</v>
      </c>
      <c r="AB284" s="142">
        <f>B284*IBGE_2!AB$284/100</f>
        <v>37.5</v>
      </c>
      <c r="AC284" s="142">
        <f>B284*IBGE_2!AC$284/100</f>
        <v>0.43099999999999999</v>
      </c>
      <c r="AD284" s="145" t="s">
        <v>3047</v>
      </c>
      <c r="AE284" s="142">
        <f>B284*IBGE_2!AE$284/100</f>
        <v>30</v>
      </c>
      <c r="AF284" s="145" t="s">
        <v>3047</v>
      </c>
      <c r="AG284" s="142">
        <f>B284*IBGE_2!AG$284/100</f>
        <v>0.14000000000000001</v>
      </c>
      <c r="AH284" s="145" t="s">
        <v>3047</v>
      </c>
      <c r="AI284" s="142">
        <f>B284*IBGE_2!AI$284/100</f>
        <v>251</v>
      </c>
      <c r="AJ284" s="142">
        <f>B284*IBGE_2!AJ$284/100</f>
        <v>0.6</v>
      </c>
      <c r="AK284" s="142">
        <f>B284*IBGE_2!AK$284/100</f>
        <v>4</v>
      </c>
      <c r="AL284" s="142">
        <f>B284*IBGE_2!AL$284/100</f>
        <v>2.78</v>
      </c>
      <c r="AM284" s="145" t="s">
        <v>3047</v>
      </c>
      <c r="AN284" s="161"/>
    </row>
    <row r="285" spans="1:40">
      <c r="A285" s="143" t="s">
        <v>1344</v>
      </c>
      <c r="B285" s="141">
        <v>100</v>
      </c>
      <c r="C285" s="142">
        <f>B285*IBGE_2!C$285/100</f>
        <v>49.765999999999991</v>
      </c>
      <c r="D285" s="142">
        <f>B285*IBGE_2!D$285/100</f>
        <v>1.27</v>
      </c>
      <c r="E285" s="142">
        <f>B285*IBGE_2!E$285/100</f>
        <v>3.0880000000000001</v>
      </c>
      <c r="F285" s="142">
        <f>B285*IBGE_2!F$285/100</f>
        <v>0.47399999999999998</v>
      </c>
      <c r="G285" s="142">
        <f>B285*IBGE_2!G$285/100</f>
        <v>0.70899999999999996</v>
      </c>
      <c r="H285" s="142">
        <f>B285*IBGE_2!H$285/100</f>
        <v>1.7709999999999999</v>
      </c>
      <c r="I285" s="142">
        <f>B285*IBGE_2!I$285/100</f>
        <v>1.5520000000000003</v>
      </c>
      <c r="J285" s="142">
        <f>B285*IBGE_2!J$285/100</f>
        <v>0.22</v>
      </c>
      <c r="K285" s="142" t="s">
        <v>3047</v>
      </c>
      <c r="L285" s="142">
        <f>B285*IBGE_2!L$285/100</f>
        <v>5.51</v>
      </c>
      <c r="M285" s="142">
        <f>B285*IBGE_2!M$285/100</f>
        <v>1.9</v>
      </c>
      <c r="N285" s="142">
        <f>B285*IBGE_2!N$285/100</f>
        <v>48</v>
      </c>
      <c r="O285" s="142">
        <f>B285*IBGE_2!O$285/100</f>
        <v>15</v>
      </c>
      <c r="P285" s="142">
        <f>B285*IBGE_2!P$285/100</f>
        <v>0.20499999999999999</v>
      </c>
      <c r="Q285" s="142">
        <f>B285*IBGE_2!Q$285/100</f>
        <v>33</v>
      </c>
      <c r="R285" s="142">
        <f>B285*IBGE_2!R$285/100</f>
        <v>0.17199999999999999</v>
      </c>
      <c r="S285" s="142">
        <f>B285*IBGE_2!S$285/100</f>
        <v>8</v>
      </c>
      <c r="T285" s="142">
        <f>B285*IBGE_2!T$285/100</f>
        <v>196</v>
      </c>
      <c r="U285" s="142">
        <f>B285*IBGE_2!U$285/100</f>
        <v>1.7000000000000001E-2</v>
      </c>
      <c r="V285" s="142">
        <f>B285*IBGE_2!V$285/100</f>
        <v>0.2</v>
      </c>
      <c r="W285" s="142" t="s">
        <v>3047</v>
      </c>
      <c r="X285" s="142">
        <f>B285*IBGE_2!X$285/100</f>
        <v>6.0999999999999999E-2</v>
      </c>
      <c r="Y285" s="142">
        <f>B285*IBGE_2!Y$285/100</f>
        <v>3.7999999999999999E-2</v>
      </c>
      <c r="Z285" s="142">
        <f>B285*IBGE_2!Z$285/100</f>
        <v>0.11200000000000002</v>
      </c>
      <c r="AA285" s="142">
        <f>B285*IBGE_2!AA$285/100</f>
        <v>0.248</v>
      </c>
      <c r="AB285" s="142">
        <f>B285*IBGE_2!AB$285/100</f>
        <v>37.5</v>
      </c>
      <c r="AC285" s="142">
        <f>B285*IBGE_2!AC$285/100</f>
        <v>0.43099999999999999</v>
      </c>
      <c r="AD285" s="145" t="s">
        <v>3047</v>
      </c>
      <c r="AE285" s="142">
        <f>B285*IBGE_2!AE$285/100</f>
        <v>30</v>
      </c>
      <c r="AF285" s="145" t="s">
        <v>3047</v>
      </c>
      <c r="AG285" s="142">
        <f>B285*IBGE_2!AG$285/100</f>
        <v>0.38800000000000007</v>
      </c>
      <c r="AH285" s="142">
        <f>B285*IBGE_2!AH$285/100</f>
        <v>1.6E-2</v>
      </c>
      <c r="AI285" s="142">
        <f>B285*IBGE_2!AI$285/100</f>
        <v>251</v>
      </c>
      <c r="AJ285" s="142">
        <f>B285*IBGE_2!AJ$285/100</f>
        <v>1.9880000000000002</v>
      </c>
      <c r="AK285" s="142">
        <f>B285*IBGE_2!AK$285/100</f>
        <v>4</v>
      </c>
      <c r="AL285" s="142">
        <f>B285*IBGE_2!AL$285/100</f>
        <v>2.78</v>
      </c>
      <c r="AM285" s="145" t="s">
        <v>3047</v>
      </c>
      <c r="AN285" s="161"/>
    </row>
    <row r="286" spans="1:40">
      <c r="A286" s="143" t="s">
        <v>1345</v>
      </c>
      <c r="B286" s="141">
        <v>100</v>
      </c>
      <c r="C286" s="142">
        <f>B286*IBGE_2!C$286/100</f>
        <v>23</v>
      </c>
      <c r="D286" s="142">
        <f>B286*IBGE_2!D$286/100</f>
        <v>1.27</v>
      </c>
      <c r="E286" s="142">
        <f>B286*IBGE_2!E$286/100</f>
        <v>0.06</v>
      </c>
      <c r="F286" s="142" t="s">
        <v>3047</v>
      </c>
      <c r="G286" s="142">
        <f>B286*IBGE_2!G$286/100</f>
        <v>1.9E-2</v>
      </c>
      <c r="H286" s="142">
        <f>B286*IBGE_2!H$286/100</f>
        <v>2.3E-2</v>
      </c>
      <c r="I286" s="142">
        <f>B286*IBGE_2!I$286/100</f>
        <v>8.9999999999999993E-3</v>
      </c>
      <c r="J286" s="142">
        <f>B286*IBGE_2!J$286/100</f>
        <v>1.4000000000000002E-2</v>
      </c>
      <c r="K286" s="142" t="s">
        <v>3047</v>
      </c>
      <c r="L286" s="142">
        <f>B286*IBGE_2!L$286/100</f>
        <v>5.51</v>
      </c>
      <c r="M286" s="142">
        <f>B286*IBGE_2!M$286/100</f>
        <v>1.9</v>
      </c>
      <c r="N286" s="142">
        <f>B286*IBGE_2!N$286/100</f>
        <v>48</v>
      </c>
      <c r="O286" s="142">
        <f>B286*IBGE_2!O$286/100</f>
        <v>15</v>
      </c>
      <c r="P286" s="142">
        <f>B286*IBGE_2!P$286/100</f>
        <v>0.20499999999999999</v>
      </c>
      <c r="Q286" s="142">
        <f>B286*IBGE_2!Q$286/100</f>
        <v>33</v>
      </c>
      <c r="R286" s="142">
        <f>B286*IBGE_2!R$286/100</f>
        <v>0.17</v>
      </c>
      <c r="S286" s="142">
        <f>B286*IBGE_2!S$286/100</f>
        <v>8</v>
      </c>
      <c r="T286" s="142">
        <f>B286*IBGE_2!T$286/100</f>
        <v>196</v>
      </c>
      <c r="U286" s="142">
        <f>B286*IBGE_2!U$286/100</f>
        <v>1.7000000000000001E-2</v>
      </c>
      <c r="V286" s="142">
        <f>B286*IBGE_2!V$286/100</f>
        <v>0.2</v>
      </c>
      <c r="W286" s="142" t="s">
        <v>3047</v>
      </c>
      <c r="X286" s="142">
        <f>B286*IBGE_2!X$286/100</f>
        <v>6.0999999999999999E-2</v>
      </c>
      <c r="Y286" s="142">
        <f>B286*IBGE_2!Y$286/100</f>
        <v>3.7999999999999999E-2</v>
      </c>
      <c r="Z286" s="142">
        <f>B286*IBGE_2!Z$286/100</f>
        <v>0.11200000000000002</v>
      </c>
      <c r="AA286" s="142">
        <f>B286*IBGE_2!AA$286/100</f>
        <v>0.248</v>
      </c>
      <c r="AB286" s="142">
        <f>B286*IBGE_2!AB$286/100</f>
        <v>37.5</v>
      </c>
      <c r="AC286" s="142">
        <f>B286*IBGE_2!AC$286/100</f>
        <v>0.43099999999999999</v>
      </c>
      <c r="AD286" s="145" t="s">
        <v>3047</v>
      </c>
      <c r="AE286" s="142">
        <f>B286*IBGE_2!AE$286/100</f>
        <v>30</v>
      </c>
      <c r="AF286" s="145" t="s">
        <v>3047</v>
      </c>
      <c r="AG286" s="142">
        <f>B286*IBGE_2!AG$286/100</f>
        <v>0.14000000000000001</v>
      </c>
      <c r="AH286" s="145" t="s">
        <v>3047</v>
      </c>
      <c r="AI286" s="142">
        <f>B286*IBGE_2!AI$286/100</f>
        <v>251</v>
      </c>
      <c r="AJ286" s="142">
        <f>B286*IBGE_2!AJ$286/100</f>
        <v>0.6</v>
      </c>
      <c r="AK286" s="142">
        <f>B286*IBGE_2!AK$286/100</f>
        <v>4</v>
      </c>
      <c r="AL286" s="142">
        <f>B286*IBGE_2!AL$286/100</f>
        <v>2.78</v>
      </c>
      <c r="AM286" s="145" t="s">
        <v>3047</v>
      </c>
      <c r="AN286" s="161"/>
    </row>
    <row r="287" spans="1:40">
      <c r="A287" s="143" t="s">
        <v>1346</v>
      </c>
      <c r="B287" s="141">
        <v>100</v>
      </c>
      <c r="C287" s="142">
        <f>B287*IBGE_2!C$287/100</f>
        <v>49.765999999999991</v>
      </c>
      <c r="D287" s="142">
        <f>B287*IBGE_2!D$287/100</f>
        <v>1.27</v>
      </c>
      <c r="E287" s="142">
        <f>B287*IBGE_2!E$287/100</f>
        <v>3.0880000000000001</v>
      </c>
      <c r="F287" s="142">
        <f>B287*IBGE_2!F$287/100</f>
        <v>0.47399999999999998</v>
      </c>
      <c r="G287" s="142">
        <f>B287*IBGE_2!G$287/100</f>
        <v>0.70899999999999996</v>
      </c>
      <c r="H287" s="142">
        <f>B287*IBGE_2!H$287/100</f>
        <v>1.7709999999999999</v>
      </c>
      <c r="I287" s="142">
        <f>B287*IBGE_2!I$287/100</f>
        <v>1.5520000000000003</v>
      </c>
      <c r="J287" s="142">
        <f>B287*IBGE_2!J$287/100</f>
        <v>0.22</v>
      </c>
      <c r="K287" s="142" t="s">
        <v>3047</v>
      </c>
      <c r="L287" s="142">
        <f>B287*IBGE_2!L$287/100</f>
        <v>5.51</v>
      </c>
      <c r="M287" s="142">
        <f>B287*IBGE_2!M$287/100</f>
        <v>1.9</v>
      </c>
      <c r="N287" s="142">
        <f>B287*IBGE_2!N$287/100</f>
        <v>48</v>
      </c>
      <c r="O287" s="142">
        <f>B287*IBGE_2!O$287/100</f>
        <v>15</v>
      </c>
      <c r="P287" s="142">
        <f>B287*IBGE_2!P$287/100</f>
        <v>0.20499999999999999</v>
      </c>
      <c r="Q287" s="142">
        <f>B287*IBGE_2!Q$287/100</f>
        <v>33</v>
      </c>
      <c r="R287" s="142">
        <f>B287*IBGE_2!R$287/100</f>
        <v>0.17199999999999999</v>
      </c>
      <c r="S287" s="142">
        <f>B287*IBGE_2!S$287/100</f>
        <v>8</v>
      </c>
      <c r="T287" s="142">
        <f>B287*IBGE_2!T$287/100</f>
        <v>196</v>
      </c>
      <c r="U287" s="142">
        <f>B287*IBGE_2!U$287/100</f>
        <v>1.7000000000000001E-2</v>
      </c>
      <c r="V287" s="142">
        <f>B287*IBGE_2!V$287/100</f>
        <v>0.2</v>
      </c>
      <c r="W287" s="142" t="s">
        <v>3047</v>
      </c>
      <c r="X287" s="142">
        <f>B287*IBGE_2!X$287/100</f>
        <v>6.0999999999999999E-2</v>
      </c>
      <c r="Y287" s="142">
        <f>B287*IBGE_2!Y$287/100</f>
        <v>3.7999999999999999E-2</v>
      </c>
      <c r="Z287" s="142">
        <f>B287*IBGE_2!Z$287/100</f>
        <v>0.11200000000000002</v>
      </c>
      <c r="AA287" s="142">
        <f>B287*IBGE_2!AA$287/100</f>
        <v>0.248</v>
      </c>
      <c r="AB287" s="142">
        <f>B287*IBGE_2!AB$287/100</f>
        <v>37.5</v>
      </c>
      <c r="AC287" s="142">
        <f>B287*IBGE_2!AC$287/100</f>
        <v>0.43099999999999999</v>
      </c>
      <c r="AD287" s="145" t="s">
        <v>3047</v>
      </c>
      <c r="AE287" s="142">
        <f>B287*IBGE_2!AE$287/100</f>
        <v>30</v>
      </c>
      <c r="AF287" s="145" t="s">
        <v>3047</v>
      </c>
      <c r="AG287" s="142">
        <f>B287*IBGE_2!AG$287/100</f>
        <v>0.38800000000000007</v>
      </c>
      <c r="AH287" s="142">
        <f>B287*IBGE_2!AH$287/100</f>
        <v>1.6E-2</v>
      </c>
      <c r="AI287" s="142">
        <f>B287*IBGE_2!AI$287/100</f>
        <v>251</v>
      </c>
      <c r="AJ287" s="142">
        <f>B287*IBGE_2!AJ$287/100</f>
        <v>1.9880000000000002</v>
      </c>
      <c r="AK287" s="142">
        <f>B287*IBGE_2!AK$287/100</f>
        <v>4</v>
      </c>
      <c r="AL287" s="142">
        <f>B287*IBGE_2!AL$287/100</f>
        <v>2.78</v>
      </c>
      <c r="AM287" s="145" t="s">
        <v>3047</v>
      </c>
      <c r="AN287" s="161"/>
    </row>
    <row r="288" spans="1:40">
      <c r="A288" s="143" t="s">
        <v>1347</v>
      </c>
      <c r="B288" s="141">
        <v>100</v>
      </c>
      <c r="C288" s="142">
        <f>B288*IBGE_2!C$288/100</f>
        <v>31.443000000000001</v>
      </c>
      <c r="D288" s="142">
        <f>B288*IBGE_2!D$288/100</f>
        <v>0.94799999999999995</v>
      </c>
      <c r="E288" s="142">
        <f>B288*IBGE_2!E$288/100</f>
        <v>0.12300000000000001</v>
      </c>
      <c r="F288" s="142">
        <f>B288*IBGE_2!F$288/100</f>
        <v>3.9E-2</v>
      </c>
      <c r="G288" s="142">
        <f>B288*IBGE_2!G$288/100</f>
        <v>2.7000000000000003E-2</v>
      </c>
      <c r="H288" s="142">
        <f>B288*IBGE_2!H$288/100</f>
        <v>3.2000000000000001E-2</v>
      </c>
      <c r="I288" s="142">
        <f>B288*IBGE_2!I$288/100</f>
        <v>2.7000000000000003E-2</v>
      </c>
      <c r="J288" s="142">
        <f>B288*IBGE_2!J$288/100</f>
        <v>5.0000000000000001E-3</v>
      </c>
      <c r="K288" s="142" t="s">
        <v>3047</v>
      </c>
      <c r="L288" s="142">
        <f>B288*IBGE_2!L$288/100</f>
        <v>7.0119999999999996</v>
      </c>
      <c r="M288" s="142">
        <f>B288*IBGE_2!M$288/100</f>
        <v>0.71099999999999997</v>
      </c>
      <c r="N288" s="142">
        <f>B288*IBGE_2!N$288/100</f>
        <v>8.5549999999999997</v>
      </c>
      <c r="O288" s="142">
        <f>B288*IBGE_2!O$288/100</f>
        <v>6.3470000000000004</v>
      </c>
      <c r="P288" s="142">
        <f>B288*IBGE_2!P$288/100</f>
        <v>6.8000000000000005E-2</v>
      </c>
      <c r="Q288" s="142">
        <f>B288*IBGE_2!Q$288/100</f>
        <v>15.762</v>
      </c>
      <c r="R288" s="142">
        <f>B288*IBGE_2!R$288/100</f>
        <v>0.28499999999999998</v>
      </c>
      <c r="S288" s="142">
        <f>B288*IBGE_2!S$288/100</f>
        <v>310.43200000000002</v>
      </c>
      <c r="T288" s="142">
        <f>B288*IBGE_2!T$288/100</f>
        <v>88.314999999999998</v>
      </c>
      <c r="U288" s="142">
        <f>B288*IBGE_2!U$288/100</f>
        <v>3.9E-2</v>
      </c>
      <c r="V288" s="142">
        <f>B288*IBGE_2!V$288/100</f>
        <v>0.115</v>
      </c>
      <c r="W288" s="142" t="s">
        <v>3047</v>
      </c>
      <c r="X288" s="142">
        <f>B288*IBGE_2!X$288/100</f>
        <v>0.03</v>
      </c>
      <c r="Y288" s="142">
        <f>B288*IBGE_2!Y$288/100</f>
        <v>2.6000000000000002E-2</v>
      </c>
      <c r="Z288" s="142">
        <f>B288*IBGE_2!Z$288/100</f>
        <v>0.04</v>
      </c>
      <c r="AA288" s="142">
        <f>B288*IBGE_2!AA$288/100</f>
        <v>0.505</v>
      </c>
      <c r="AB288" s="142">
        <f>B288*IBGE_2!AB$288/100</f>
        <v>2.0990000000000002</v>
      </c>
      <c r="AC288" s="142">
        <f>B288*IBGE_2!AC$288/100</f>
        <v>0.66700000000000004</v>
      </c>
      <c r="AD288" s="142">
        <f>B288*IBGE_2!AD$288/100</f>
        <v>1.4999999999999999E-2</v>
      </c>
      <c r="AE288" s="142">
        <f>B288*IBGE_2!AE$288/100</f>
        <v>9.2759999999999998</v>
      </c>
      <c r="AF288" s="145" t="s">
        <v>3047</v>
      </c>
      <c r="AG288" s="142">
        <f>B288*IBGE_2!AG$288/100</f>
        <v>0.20399999999999999</v>
      </c>
      <c r="AH288" s="142">
        <f>B288*IBGE_2!AH$288/100</f>
        <v>2E-3</v>
      </c>
      <c r="AI288" s="145" t="s">
        <v>3047</v>
      </c>
      <c r="AJ288" s="142">
        <f>B288*IBGE_2!AJ$288/100</f>
        <v>1.3440000000000001</v>
      </c>
      <c r="AK288" s="142">
        <f>B288*IBGE_2!AK$288/100</f>
        <v>33.475999999999999</v>
      </c>
      <c r="AL288" s="142">
        <f>B288*IBGE_2!AL$288/100</f>
        <v>3.2749999999999999</v>
      </c>
      <c r="AM288" s="142">
        <f>B288*IBGE_2!AM$288/100</f>
        <v>2.5230000000000001</v>
      </c>
      <c r="AN288" s="161"/>
    </row>
    <row r="289" spans="1:40">
      <c r="A289" s="143" t="s">
        <v>1348</v>
      </c>
      <c r="B289" s="141">
        <v>100</v>
      </c>
      <c r="C289" s="142">
        <f>B289*IBGE_2!C$289/100</f>
        <v>23</v>
      </c>
      <c r="D289" s="142">
        <f>B289*IBGE_2!D$289/100</f>
        <v>1.27</v>
      </c>
      <c r="E289" s="142">
        <f>B289*IBGE_2!E$289/100</f>
        <v>0.06</v>
      </c>
      <c r="F289" s="142" t="s">
        <v>3047</v>
      </c>
      <c r="G289" s="142">
        <f>B289*IBGE_2!G$289/100</f>
        <v>1.9E-2</v>
      </c>
      <c r="H289" s="142">
        <f>B289*IBGE_2!H$289/100</f>
        <v>2.3E-2</v>
      </c>
      <c r="I289" s="142">
        <f>B289*IBGE_2!I$289/100</f>
        <v>8.9999999999999993E-3</v>
      </c>
      <c r="J289" s="142">
        <f>B289*IBGE_2!J$289/100</f>
        <v>1.4000000000000002E-2</v>
      </c>
      <c r="K289" s="142" t="s">
        <v>3047</v>
      </c>
      <c r="L289" s="142">
        <f>B289*IBGE_2!L$289/100</f>
        <v>5.51</v>
      </c>
      <c r="M289" s="142">
        <f>B289*IBGE_2!M$289/100</f>
        <v>1.9</v>
      </c>
      <c r="N289" s="142">
        <f>B289*IBGE_2!N$289/100</f>
        <v>48</v>
      </c>
      <c r="O289" s="142">
        <f>B289*IBGE_2!O$289/100</f>
        <v>15</v>
      </c>
      <c r="P289" s="142">
        <f>B289*IBGE_2!P$289/100</f>
        <v>0.20499999999999999</v>
      </c>
      <c r="Q289" s="142">
        <f>B289*IBGE_2!Q$289/100</f>
        <v>33</v>
      </c>
      <c r="R289" s="142">
        <f>B289*IBGE_2!R$289/100</f>
        <v>0.17</v>
      </c>
      <c r="S289" s="142">
        <f>B289*IBGE_2!S$289/100</f>
        <v>8</v>
      </c>
      <c r="T289" s="142">
        <f>B289*IBGE_2!T$289/100</f>
        <v>196</v>
      </c>
      <c r="U289" s="142">
        <f>B289*IBGE_2!U$289/100</f>
        <v>1.7000000000000001E-2</v>
      </c>
      <c r="V289" s="142">
        <f>B289*IBGE_2!V$289/100</f>
        <v>0.2</v>
      </c>
      <c r="W289" s="142" t="s">
        <v>3047</v>
      </c>
      <c r="X289" s="142">
        <f>B289*IBGE_2!X$289/100</f>
        <v>6.0999999999999999E-2</v>
      </c>
      <c r="Y289" s="142">
        <f>B289*IBGE_2!Y$289/100</f>
        <v>3.7999999999999999E-2</v>
      </c>
      <c r="Z289" s="142">
        <f>B289*IBGE_2!Z$289/100</f>
        <v>0.11200000000000002</v>
      </c>
      <c r="AA289" s="142">
        <f>B289*IBGE_2!AA$289/100</f>
        <v>0.248</v>
      </c>
      <c r="AB289" s="142">
        <f>B289*IBGE_2!AB$289/100</f>
        <v>37.5</v>
      </c>
      <c r="AC289" s="142">
        <f>B289*IBGE_2!AC$289/100</f>
        <v>0.43099999999999999</v>
      </c>
      <c r="AD289" s="145" t="s">
        <v>3047</v>
      </c>
      <c r="AE289" s="142">
        <f>B289*IBGE_2!AE$289/100</f>
        <v>30</v>
      </c>
      <c r="AF289" s="145" t="s">
        <v>3047</v>
      </c>
      <c r="AG289" s="142">
        <f>B289*IBGE_2!AG$289/100</f>
        <v>0.14000000000000001</v>
      </c>
      <c r="AH289" s="145" t="s">
        <v>3047</v>
      </c>
      <c r="AI289" s="142">
        <f>B289*IBGE_2!AI$289/100</f>
        <v>251</v>
      </c>
      <c r="AJ289" s="142">
        <f>B289*IBGE_2!AJ$289/100</f>
        <v>0.6</v>
      </c>
      <c r="AK289" s="142">
        <f>B289*IBGE_2!AK$289/100</f>
        <v>4</v>
      </c>
      <c r="AL289" s="142">
        <f>B289*IBGE_2!AL$289/100</f>
        <v>2.78</v>
      </c>
      <c r="AM289" s="145" t="s">
        <v>3047</v>
      </c>
      <c r="AN289" s="161"/>
    </row>
    <row r="290" spans="1:40">
      <c r="A290" s="143" t="s">
        <v>1349</v>
      </c>
      <c r="B290" s="141">
        <v>100</v>
      </c>
      <c r="C290" s="142">
        <f>B290*IBGE_2!C$290/100</f>
        <v>25</v>
      </c>
      <c r="D290" s="142">
        <f>B290*IBGE_2!D$290/100</f>
        <v>1.8</v>
      </c>
      <c r="E290" s="142">
        <f>B290*IBGE_2!E$290/100</f>
        <v>0.1</v>
      </c>
      <c r="F290" s="142">
        <f>B290*IBGE_2!F$290/100</f>
        <v>0.02</v>
      </c>
      <c r="G290" s="142">
        <f>B290*IBGE_2!G$290/100</f>
        <v>0.01</v>
      </c>
      <c r="H290" s="142">
        <f>B290*IBGE_2!H$290/100</f>
        <v>0.04</v>
      </c>
      <c r="I290" s="142">
        <f>B290*IBGE_2!I$290/100</f>
        <v>0.04</v>
      </c>
      <c r="J290" s="142" t="s">
        <v>3047</v>
      </c>
      <c r="K290" s="142" t="s">
        <v>3047</v>
      </c>
      <c r="L290" s="142">
        <f>B290*IBGE_2!L$290/100</f>
        <v>5.65</v>
      </c>
      <c r="M290" s="142">
        <f>B290*IBGE_2!M$290/100</f>
        <v>3.5</v>
      </c>
      <c r="N290" s="142">
        <f>B290*IBGE_2!N$290/100</f>
        <v>61</v>
      </c>
      <c r="O290" s="142">
        <f>B290*IBGE_2!O$290/100</f>
        <v>20</v>
      </c>
      <c r="P290" s="142">
        <f>B290*IBGE_2!P$290/100</f>
        <v>0.13</v>
      </c>
      <c r="Q290" s="142">
        <f>B290*IBGE_2!Q$290/100</f>
        <v>33</v>
      </c>
      <c r="R290" s="142">
        <f>B290*IBGE_2!R$290/100</f>
        <v>1.92</v>
      </c>
      <c r="S290" s="142">
        <f>B290*IBGE_2!S$290/100</f>
        <v>4</v>
      </c>
      <c r="T290" s="142">
        <f>B290*IBGE_2!T$290/100</f>
        <v>260</v>
      </c>
      <c r="U290" s="142">
        <f>B290*IBGE_2!U$290/100</f>
        <v>0.06</v>
      </c>
      <c r="V290" s="142">
        <f>B290*IBGE_2!V$290/100</f>
        <v>0.45</v>
      </c>
      <c r="W290" s="142" t="s">
        <v>3047</v>
      </c>
      <c r="X290" s="142">
        <f>B290*IBGE_2!X$290/100</f>
        <v>7.0000000000000007E-2</v>
      </c>
      <c r="Y290" s="142">
        <f>B290*IBGE_2!Y$290/100</f>
        <v>0.14000000000000001</v>
      </c>
      <c r="Z290" s="142">
        <f>B290*IBGE_2!Z$290/100</f>
        <v>0.06</v>
      </c>
      <c r="AA290" s="142">
        <f>B290*IBGE_2!AA$290/100</f>
        <v>0.2</v>
      </c>
      <c r="AB290" s="142">
        <f>B290*IBGE_2!AB$290/100</f>
        <v>45.6</v>
      </c>
      <c r="AC290" s="142">
        <f>B290*IBGE_2!AC$290/100</f>
        <v>0.53</v>
      </c>
      <c r="AD290" s="145" t="s">
        <v>3047</v>
      </c>
      <c r="AE290" s="142">
        <f>B290*IBGE_2!AE$290/100</f>
        <v>14</v>
      </c>
      <c r="AF290" s="145" t="s">
        <v>3047</v>
      </c>
      <c r="AG290" s="142">
        <f>B290*IBGE_2!AG$290/100</f>
        <v>0.21</v>
      </c>
      <c r="AH290" s="145" t="s">
        <v>3047</v>
      </c>
      <c r="AI290" s="145" t="s">
        <v>3047</v>
      </c>
      <c r="AJ290" s="142">
        <f>B290*IBGE_2!AJ$290/100</f>
        <v>0.5</v>
      </c>
      <c r="AK290" s="142">
        <f>B290*IBGE_2!AK$290/100</f>
        <v>200</v>
      </c>
      <c r="AL290" s="142">
        <f>B290*IBGE_2!AL$290/100</f>
        <v>2.09</v>
      </c>
      <c r="AM290" s="145" t="s">
        <v>3047</v>
      </c>
      <c r="AN290" s="161"/>
    </row>
    <row r="291" spans="1:40">
      <c r="A291" s="143" t="s">
        <v>1350</v>
      </c>
      <c r="B291" s="141">
        <v>100</v>
      </c>
      <c r="C291" s="142">
        <f>B291*IBGE_2!C$291/100</f>
        <v>25</v>
      </c>
      <c r="D291" s="142">
        <f>B291*IBGE_2!D$291/100</f>
        <v>2.58</v>
      </c>
      <c r="E291" s="142">
        <f>B291*IBGE_2!E$291/100</f>
        <v>0.66</v>
      </c>
      <c r="F291" s="142">
        <f>B291*IBGE_2!F$291/100</f>
        <v>0.09</v>
      </c>
      <c r="G291" s="142">
        <f>B291*IBGE_2!G$291/100</f>
        <v>0.05</v>
      </c>
      <c r="H291" s="142">
        <f>B291*IBGE_2!H$291/100</f>
        <v>0.32</v>
      </c>
      <c r="I291" s="142">
        <f>B291*IBGE_2!I$291/100</f>
        <v>0.13</v>
      </c>
      <c r="J291" s="142">
        <f>B291*IBGE_2!J$291/100</f>
        <v>0.17</v>
      </c>
      <c r="K291" s="142" t="s">
        <v>3047</v>
      </c>
      <c r="L291" s="142">
        <f>B291*IBGE_2!L$291/100</f>
        <v>3.65</v>
      </c>
      <c r="M291" s="142">
        <f>B291*IBGE_2!M$291/100</f>
        <v>1.6</v>
      </c>
      <c r="N291" s="142">
        <f>B291*IBGE_2!N$291/100</f>
        <v>160</v>
      </c>
      <c r="O291" s="142">
        <f>B291*IBGE_2!O$291/100</f>
        <v>47</v>
      </c>
      <c r="P291" s="142">
        <f>B291*IBGE_2!P$291/100</f>
        <v>0.32</v>
      </c>
      <c r="Q291" s="142">
        <f>B291*IBGE_2!Q$291/100</f>
        <v>52</v>
      </c>
      <c r="R291" s="142">
        <f>B291*IBGE_2!R$291/100</f>
        <v>1.46</v>
      </c>
      <c r="S291" s="142">
        <f>B291*IBGE_2!S$291/100</f>
        <v>27</v>
      </c>
      <c r="T291" s="142">
        <f>B291*IBGE_2!T$291/100</f>
        <v>369</v>
      </c>
      <c r="U291" s="142">
        <f>B291*IBGE_2!U$291/100</f>
        <v>0.08</v>
      </c>
      <c r="V291" s="142">
        <f>B291*IBGE_2!V$291/100</f>
        <v>0.47</v>
      </c>
      <c r="W291" s="142" t="s">
        <v>3047</v>
      </c>
      <c r="X291" s="142">
        <f>B291*IBGE_2!X$291/100</f>
        <v>0.04</v>
      </c>
      <c r="Y291" s="142">
        <f>B291*IBGE_2!Y$291/100</f>
        <v>0.09</v>
      </c>
      <c r="Z291" s="142">
        <f>B291*IBGE_2!Z$291/100</f>
        <v>7.0000000000000007E-2</v>
      </c>
      <c r="AA291" s="142">
        <f>B291*IBGE_2!AA$291/100</f>
        <v>0.31</v>
      </c>
      <c r="AB291" s="142">
        <f>B291*IBGE_2!AB$291/100</f>
        <v>15</v>
      </c>
      <c r="AC291" s="142">
        <f>B291*IBGE_2!AC$291/100</f>
        <v>0.31</v>
      </c>
      <c r="AD291" s="145" t="s">
        <v>3047</v>
      </c>
      <c r="AE291" s="142">
        <f>B291*IBGE_2!AE$291/100</f>
        <v>97</v>
      </c>
      <c r="AF291" s="145" t="s">
        <v>3047</v>
      </c>
      <c r="AG291" s="142">
        <f>B291*IBGE_2!AG$291/100</f>
        <v>0.43</v>
      </c>
      <c r="AH291" s="145" t="s">
        <v>3047</v>
      </c>
      <c r="AI291" s="145" t="s">
        <v>3047</v>
      </c>
      <c r="AJ291" s="142">
        <f>B291*IBGE_2!AJ$291/100</f>
        <v>0.3</v>
      </c>
      <c r="AK291" s="142">
        <f>B291*IBGE_2!AK$291/100</f>
        <v>118.67</v>
      </c>
      <c r="AL291" s="142">
        <f>B291*IBGE_2!AL$291/100</f>
        <v>1.6</v>
      </c>
      <c r="AM291" s="145" t="s">
        <v>3047</v>
      </c>
      <c r="AN291" s="161"/>
    </row>
    <row r="292" spans="1:40">
      <c r="A292" s="143" t="s">
        <v>1351</v>
      </c>
      <c r="B292" s="141">
        <v>100</v>
      </c>
      <c r="C292" s="142">
        <f>B292*IBGE_2!C$292/100</f>
        <v>11</v>
      </c>
      <c r="D292" s="142">
        <f>B292*IBGE_2!D$292/100</f>
        <v>2.2999999999999998</v>
      </c>
      <c r="E292" s="142">
        <f>B292*IBGE_2!E$292/100</f>
        <v>0.1</v>
      </c>
      <c r="F292" s="142">
        <f>B292*IBGE_2!F$292/100</f>
        <v>2.7000000000000003E-2</v>
      </c>
      <c r="G292" s="142">
        <f>B292*IBGE_2!G$292/100</f>
        <v>8.0000000000000002E-3</v>
      </c>
      <c r="H292" s="142">
        <f>B292*IBGE_2!H$292/100</f>
        <v>3.5000000000000003E-2</v>
      </c>
      <c r="I292" s="142">
        <f>B292*IBGE_2!I$292/100</f>
        <v>1.2E-2</v>
      </c>
      <c r="J292" s="142">
        <f>B292*IBGE_2!J$292/100</f>
        <v>2.3E-2</v>
      </c>
      <c r="K292" s="142" t="s">
        <v>3047</v>
      </c>
      <c r="L292" s="142">
        <f>B292*IBGE_2!L$292/100</f>
        <v>1.29</v>
      </c>
      <c r="M292" s="142">
        <f>B292*IBGE_2!M$292/100</f>
        <v>0.5</v>
      </c>
      <c r="N292" s="142">
        <f>B292*IBGE_2!N$292/100</f>
        <v>120.17100000000001</v>
      </c>
      <c r="O292" s="142">
        <f>B292*IBGE_2!O$292/100</f>
        <v>21.007000000000001</v>
      </c>
      <c r="P292" s="142">
        <f>B292*IBGE_2!P$292/100</f>
        <v>0.245</v>
      </c>
      <c r="Q292" s="142">
        <f>B292*IBGE_2!Q$292/100</f>
        <v>60</v>
      </c>
      <c r="R292" s="142">
        <f>B292*IBGE_2!R$292/100</f>
        <v>0.20200000000000004</v>
      </c>
      <c r="S292" s="142">
        <f>B292*IBGE_2!S$292/100</f>
        <v>316.36099999999999</v>
      </c>
      <c r="T292" s="142">
        <f>B292*IBGE_2!T$292/100</f>
        <v>330.05700000000002</v>
      </c>
      <c r="U292" s="142">
        <f>B292*IBGE_2!U$292/100</f>
        <v>7.6999999999999999E-2</v>
      </c>
      <c r="V292" s="142">
        <f>B292*IBGE_2!V$292/100</f>
        <v>0.111</v>
      </c>
      <c r="W292" s="142" t="s">
        <v>3047</v>
      </c>
      <c r="X292" s="142">
        <f>B292*IBGE_2!X$292/100</f>
        <v>0.09</v>
      </c>
      <c r="Y292" s="142">
        <f>B292*IBGE_2!Y$292/100</f>
        <v>0.12</v>
      </c>
      <c r="Z292" s="142">
        <f>B292*IBGE_2!Z$292/100</f>
        <v>0.129</v>
      </c>
      <c r="AA292" s="142">
        <f>B292*IBGE_2!AA$292/100</f>
        <v>0.2</v>
      </c>
      <c r="AB292" s="142">
        <f>B292*IBGE_2!AB$292/100</f>
        <v>30</v>
      </c>
      <c r="AC292" s="142">
        <f>B292*IBGE_2!AC$292/100</f>
        <v>0.7</v>
      </c>
      <c r="AD292" s="145" t="s">
        <v>3047</v>
      </c>
      <c r="AE292" s="142">
        <f>B292*IBGE_2!AE$292/100</f>
        <v>9</v>
      </c>
      <c r="AF292" s="145" t="s">
        <v>3047</v>
      </c>
      <c r="AG292" s="142">
        <f>B292*IBGE_2!AG$292/100</f>
        <v>1</v>
      </c>
      <c r="AH292" s="145" t="s">
        <v>3047</v>
      </c>
      <c r="AI292" s="142">
        <f>B292*IBGE_2!AI$292/100</f>
        <v>275</v>
      </c>
      <c r="AJ292" s="142">
        <f>B292*IBGE_2!AJ$292/100</f>
        <v>0.90100000000000013</v>
      </c>
      <c r="AK292" s="142">
        <f>B292*IBGE_2!AK$292/100</f>
        <v>159.5</v>
      </c>
      <c r="AL292" s="142">
        <f>B292*IBGE_2!AL$292/100</f>
        <v>0.7</v>
      </c>
      <c r="AM292" s="145" t="s">
        <v>3047</v>
      </c>
      <c r="AN292" s="161"/>
    </row>
    <row r="293" spans="1:40">
      <c r="A293" s="143" t="s">
        <v>1352</v>
      </c>
      <c r="B293" s="141">
        <v>100</v>
      </c>
      <c r="C293" s="142">
        <f>B293*IBGE_2!C$293/100</f>
        <v>11</v>
      </c>
      <c r="D293" s="142">
        <f>B293*IBGE_2!D$293/100</f>
        <v>2.2999999999999998</v>
      </c>
      <c r="E293" s="142">
        <f>B293*IBGE_2!E$293/100</f>
        <v>0.1</v>
      </c>
      <c r="F293" s="142">
        <f>B293*IBGE_2!F$293/100</f>
        <v>2.7000000000000003E-2</v>
      </c>
      <c r="G293" s="142">
        <f>B293*IBGE_2!G$293/100</f>
        <v>8.0000000000000002E-3</v>
      </c>
      <c r="H293" s="142">
        <f>B293*IBGE_2!H$293/100</f>
        <v>3.5000000000000003E-2</v>
      </c>
      <c r="I293" s="142">
        <f>B293*IBGE_2!I$293/100</f>
        <v>1.2E-2</v>
      </c>
      <c r="J293" s="142">
        <f>B293*IBGE_2!J$293/100</f>
        <v>2.3E-2</v>
      </c>
      <c r="K293" s="142" t="s">
        <v>3047</v>
      </c>
      <c r="L293" s="142">
        <f>B293*IBGE_2!L$293/100</f>
        <v>1.29</v>
      </c>
      <c r="M293" s="142">
        <f>B293*IBGE_2!M$293/100</f>
        <v>0.5</v>
      </c>
      <c r="N293" s="142">
        <f>B293*IBGE_2!N$293/100</f>
        <v>120.17100000000001</v>
      </c>
      <c r="O293" s="142">
        <f>B293*IBGE_2!O$293/100</f>
        <v>21.007000000000001</v>
      </c>
      <c r="P293" s="142">
        <f>B293*IBGE_2!P$293/100</f>
        <v>0.245</v>
      </c>
      <c r="Q293" s="142">
        <f>B293*IBGE_2!Q$293/100</f>
        <v>60</v>
      </c>
      <c r="R293" s="142">
        <f>B293*IBGE_2!R$293/100</f>
        <v>0.20200000000000004</v>
      </c>
      <c r="S293" s="142">
        <f>B293*IBGE_2!S$293/100</f>
        <v>316.36099999999999</v>
      </c>
      <c r="T293" s="142">
        <f>B293*IBGE_2!T$293/100</f>
        <v>330.05700000000002</v>
      </c>
      <c r="U293" s="142">
        <f>B293*IBGE_2!U$293/100</f>
        <v>7.6999999999999999E-2</v>
      </c>
      <c r="V293" s="142">
        <f>B293*IBGE_2!V$293/100</f>
        <v>0.111</v>
      </c>
      <c r="W293" s="142" t="s">
        <v>3047</v>
      </c>
      <c r="X293" s="142">
        <f>B293*IBGE_2!X$293/100</f>
        <v>0.09</v>
      </c>
      <c r="Y293" s="142">
        <f>B293*IBGE_2!Y$293/100</f>
        <v>0.12</v>
      </c>
      <c r="Z293" s="142">
        <f>B293*IBGE_2!Z$293/100</f>
        <v>0.129</v>
      </c>
      <c r="AA293" s="142">
        <f>B293*IBGE_2!AA$293/100</f>
        <v>0.2</v>
      </c>
      <c r="AB293" s="142">
        <f>B293*IBGE_2!AB$293/100</f>
        <v>30</v>
      </c>
      <c r="AC293" s="142">
        <f>B293*IBGE_2!AC$293/100</f>
        <v>0.7</v>
      </c>
      <c r="AD293" s="145" t="s">
        <v>3047</v>
      </c>
      <c r="AE293" s="142">
        <f>B293*IBGE_2!AE$293/100</f>
        <v>9</v>
      </c>
      <c r="AF293" s="145" t="s">
        <v>3047</v>
      </c>
      <c r="AG293" s="142">
        <f>B293*IBGE_2!AG$293/100</f>
        <v>1</v>
      </c>
      <c r="AH293" s="145" t="s">
        <v>3047</v>
      </c>
      <c r="AI293" s="142">
        <f>B293*IBGE_2!AI$293/100</f>
        <v>275</v>
      </c>
      <c r="AJ293" s="142">
        <f>B293*IBGE_2!AJ$293/100</f>
        <v>0.90100000000000013</v>
      </c>
      <c r="AK293" s="142">
        <f>B293*IBGE_2!AK$293/100</f>
        <v>159.5</v>
      </c>
      <c r="AL293" s="142">
        <f>B293*IBGE_2!AL$293/100</f>
        <v>0.7</v>
      </c>
      <c r="AM293" s="145" t="s">
        <v>3047</v>
      </c>
      <c r="AN293" s="161"/>
    </row>
    <row r="294" spans="1:40">
      <c r="A294" s="143" t="s">
        <v>1353</v>
      </c>
      <c r="B294" s="141">
        <v>100</v>
      </c>
      <c r="C294" s="142">
        <f>B294*IBGE_2!C$294/100</f>
        <v>35.75</v>
      </c>
      <c r="D294" s="142">
        <f>B294*IBGE_2!D$294/100</f>
        <v>2.3290000000000002</v>
      </c>
      <c r="E294" s="142">
        <f>B294*IBGE_2!E$294/100</f>
        <v>2.9</v>
      </c>
      <c r="F294" s="142">
        <f>B294*IBGE_2!F$294/100</f>
        <v>1.8</v>
      </c>
      <c r="G294" s="142">
        <f>B294*IBGE_2!G$294/100</f>
        <v>0.7340000000000001</v>
      </c>
      <c r="H294" s="142">
        <f>B294*IBGE_2!H$294/100</f>
        <v>0.14000000000000001</v>
      </c>
      <c r="I294" s="142">
        <f>B294*IBGE_2!I$294/100</f>
        <v>0.106</v>
      </c>
      <c r="J294" s="142">
        <f>B294*IBGE_2!J$294/100</f>
        <v>3.4000000000000002E-2</v>
      </c>
      <c r="K294" s="142">
        <f>B294*IBGE_2!K$294/100</f>
        <v>7.4219999999999997</v>
      </c>
      <c r="L294" s="142">
        <f>B294*IBGE_2!L$294/100</f>
        <v>1.2920000000000003</v>
      </c>
      <c r="M294" s="142">
        <f>B294*IBGE_2!M$294/100</f>
        <v>0.5</v>
      </c>
      <c r="N294" s="142">
        <f>B294*IBGE_2!N$294/100</f>
        <v>120.82800000000002</v>
      </c>
      <c r="O294" s="142">
        <f>B294*IBGE_2!O$294/100</f>
        <v>21.069000000000003</v>
      </c>
      <c r="P294" s="142">
        <f>B294*IBGE_2!P$294/100</f>
        <v>0.24399999999999999</v>
      </c>
      <c r="Q294" s="142">
        <f>B294*IBGE_2!Q$294/100</f>
        <v>60.828000000000003</v>
      </c>
      <c r="R294" s="142">
        <f>B294*IBGE_2!R$294/100</f>
        <v>0.20100000000000001</v>
      </c>
      <c r="S294" s="142">
        <f>B294*IBGE_2!S$294/100</f>
        <v>60.883000000000003</v>
      </c>
      <c r="T294" s="142">
        <f>B294*IBGE_2!T$294/100</f>
        <v>330.82799999999997</v>
      </c>
      <c r="U294" s="142">
        <f>B294*IBGE_2!U$294/100</f>
        <v>7.6999999999999999E-2</v>
      </c>
      <c r="V294" s="142">
        <f>B294*IBGE_2!V$294/100</f>
        <v>0.113</v>
      </c>
      <c r="W294" s="142">
        <f>B294*IBGE_2!W$294/100</f>
        <v>23.163</v>
      </c>
      <c r="X294" s="142">
        <f>B294*IBGE_2!X$294/100</f>
        <v>0.09</v>
      </c>
      <c r="Y294" s="142">
        <f>B294*IBGE_2!Y$294/100</f>
        <v>0.121</v>
      </c>
      <c r="Z294" s="142">
        <f>B294*IBGE_2!Z$294/100</f>
        <v>0.129</v>
      </c>
      <c r="AA294" s="142">
        <f>B294*IBGE_2!AA$294/100</f>
        <v>0.20100000000000001</v>
      </c>
      <c r="AB294" s="142">
        <f>B294*IBGE_2!AB$294/100</f>
        <v>30</v>
      </c>
      <c r="AC294" s="142">
        <f>B294*IBGE_2!AC$294/100</f>
        <v>0.70799999999999996</v>
      </c>
      <c r="AD294" s="142">
        <f>B294*IBGE_2!AD$294/100</f>
        <v>6.0000000000000001E-3</v>
      </c>
      <c r="AE294" s="142">
        <f>B294*IBGE_2!AE$294/100</f>
        <v>9.1039999999999992</v>
      </c>
      <c r="AF294" s="142">
        <f>B294*IBGE_2!AF$294/100</f>
        <v>4.8000000000000001E-2</v>
      </c>
      <c r="AG294" s="142">
        <f>B294*IBGE_2!AG$294/100</f>
        <v>1.08</v>
      </c>
      <c r="AH294" s="142">
        <f>B294*IBGE_2!AH$294/100</f>
        <v>0.113</v>
      </c>
      <c r="AI294" s="142">
        <f>B294*IBGE_2!AI$294/100</f>
        <v>275</v>
      </c>
      <c r="AJ294" s="142">
        <f>B294*IBGE_2!AJ$294/100</f>
        <v>0.93500000000000005</v>
      </c>
      <c r="AK294" s="142">
        <f>B294*IBGE_2!AK$294/100</f>
        <v>183.11700000000002</v>
      </c>
      <c r="AL294" s="142">
        <f>B294*IBGE_2!AL$294/100</f>
        <v>0.70299999999999996</v>
      </c>
      <c r="AM294" s="145" t="s">
        <v>3047</v>
      </c>
      <c r="AN294" s="161"/>
    </row>
    <row r="295" spans="1:40">
      <c r="A295" s="143" t="s">
        <v>1354</v>
      </c>
      <c r="B295" s="141">
        <v>100</v>
      </c>
      <c r="C295" s="142">
        <f>B295*IBGE_2!C$295/100</f>
        <v>25</v>
      </c>
      <c r="D295" s="142">
        <f>B295*IBGE_2!D$295/100</f>
        <v>2.58</v>
      </c>
      <c r="E295" s="142">
        <f>B295*IBGE_2!E$295/100</f>
        <v>0.66</v>
      </c>
      <c r="F295" s="142">
        <f>B295*IBGE_2!F$295/100</f>
        <v>0.09</v>
      </c>
      <c r="G295" s="142">
        <f>B295*IBGE_2!G$295/100</f>
        <v>0.05</v>
      </c>
      <c r="H295" s="142">
        <f>B295*IBGE_2!H$295/100</f>
        <v>0.32</v>
      </c>
      <c r="I295" s="142">
        <f>B295*IBGE_2!I$295/100</f>
        <v>0.13</v>
      </c>
      <c r="J295" s="142">
        <f>B295*IBGE_2!J$295/100</f>
        <v>0.17</v>
      </c>
      <c r="K295" s="142" t="s">
        <v>3047</v>
      </c>
      <c r="L295" s="142">
        <f>B295*IBGE_2!L$295/100</f>
        <v>3.65</v>
      </c>
      <c r="M295" s="142">
        <f>B295*IBGE_2!M$295/100</f>
        <v>1.6</v>
      </c>
      <c r="N295" s="142">
        <f>B295*IBGE_2!N$295/100</f>
        <v>160</v>
      </c>
      <c r="O295" s="142">
        <f>B295*IBGE_2!O$295/100</f>
        <v>47</v>
      </c>
      <c r="P295" s="142">
        <f>B295*IBGE_2!P$295/100</f>
        <v>0.32</v>
      </c>
      <c r="Q295" s="142">
        <f>B295*IBGE_2!Q$295/100</f>
        <v>52</v>
      </c>
      <c r="R295" s="142">
        <f>B295*IBGE_2!R$295/100</f>
        <v>1.46</v>
      </c>
      <c r="S295" s="142">
        <f>B295*IBGE_2!S$295/100</f>
        <v>27</v>
      </c>
      <c r="T295" s="142">
        <f>B295*IBGE_2!T$295/100</f>
        <v>369</v>
      </c>
      <c r="U295" s="142">
        <f>B295*IBGE_2!U$295/100</f>
        <v>0.08</v>
      </c>
      <c r="V295" s="142">
        <f>B295*IBGE_2!V$295/100</f>
        <v>0.47</v>
      </c>
      <c r="W295" s="142" t="s">
        <v>3047</v>
      </c>
      <c r="X295" s="142">
        <f>B295*IBGE_2!X$295/100</f>
        <v>0.04</v>
      </c>
      <c r="Y295" s="142">
        <f>B295*IBGE_2!Y$295/100</f>
        <v>0.09</v>
      </c>
      <c r="Z295" s="142">
        <f>B295*IBGE_2!Z$295/100</f>
        <v>7.0000000000000007E-2</v>
      </c>
      <c r="AA295" s="142">
        <f>B295*IBGE_2!AA$295/100</f>
        <v>0.31</v>
      </c>
      <c r="AB295" s="142">
        <f>B295*IBGE_2!AB$295/100</f>
        <v>15</v>
      </c>
      <c r="AC295" s="142">
        <f>B295*IBGE_2!AC$295/100</f>
        <v>0.31</v>
      </c>
      <c r="AD295" s="145" t="s">
        <v>3047</v>
      </c>
      <c r="AE295" s="142">
        <f>B295*IBGE_2!AE$295/100</f>
        <v>97</v>
      </c>
      <c r="AF295" s="145" t="s">
        <v>3047</v>
      </c>
      <c r="AG295" s="142">
        <f>B295*IBGE_2!AG$295/100</f>
        <v>0.43</v>
      </c>
      <c r="AH295" s="145" t="s">
        <v>3047</v>
      </c>
      <c r="AI295" s="145" t="s">
        <v>3047</v>
      </c>
      <c r="AJ295" s="142">
        <f>B295*IBGE_2!AJ$295/100</f>
        <v>0.3</v>
      </c>
      <c r="AK295" s="142">
        <f>B295*IBGE_2!AK$295/100</f>
        <v>118.67</v>
      </c>
      <c r="AL295" s="142">
        <f>B295*IBGE_2!AL$295/100</f>
        <v>1.6</v>
      </c>
      <c r="AM295" s="145" t="s">
        <v>3047</v>
      </c>
      <c r="AN295" s="161"/>
    </row>
    <row r="296" spans="1:40">
      <c r="A296" s="143" t="s">
        <v>1355</v>
      </c>
      <c r="B296" s="141">
        <v>100</v>
      </c>
      <c r="C296" s="142">
        <f>B296*IBGE_2!C$296/100</f>
        <v>34</v>
      </c>
      <c r="D296" s="142">
        <f>B296*IBGE_2!D$296/100</f>
        <v>2.9</v>
      </c>
      <c r="E296" s="142">
        <f>B296*IBGE_2!E$296/100</f>
        <v>0.9</v>
      </c>
      <c r="F296" s="142">
        <f>B296*IBGE_2!F$296/100</f>
        <v>0.2</v>
      </c>
      <c r="G296" s="142">
        <f>B296*IBGE_2!G$296/100</f>
        <v>0.1</v>
      </c>
      <c r="H296" s="142">
        <f>B296*IBGE_2!H$296/100</f>
        <v>0.4</v>
      </c>
      <c r="I296" s="142">
        <f>B296*IBGE_2!I$296/100</f>
        <v>0.12</v>
      </c>
      <c r="J296" s="142">
        <f>B296*IBGE_2!J$296/100</f>
        <v>0.25</v>
      </c>
      <c r="K296" s="142" t="s">
        <v>3047</v>
      </c>
      <c r="L296" s="142">
        <f>B296*IBGE_2!L$296/100</f>
        <v>5.4</v>
      </c>
      <c r="M296" s="142">
        <f>B296*IBGE_2!M$296/100</f>
        <v>4.5</v>
      </c>
      <c r="N296" s="142">
        <f>B296*IBGE_2!N$296/100</f>
        <v>141</v>
      </c>
      <c r="O296" s="142">
        <f>B296*IBGE_2!O$296/100</f>
        <v>38</v>
      </c>
      <c r="P296" s="142">
        <f>B296*IBGE_2!P$296/100</f>
        <v>0.66</v>
      </c>
      <c r="Q296" s="142">
        <f>B296*IBGE_2!Q$296/100</f>
        <v>53</v>
      </c>
      <c r="R296" s="142">
        <f>B296*IBGE_2!R$296/100</f>
        <v>1.9</v>
      </c>
      <c r="S296" s="142">
        <f>B296*IBGE_2!S$296/100</f>
        <v>1</v>
      </c>
      <c r="T296" s="142">
        <f>B296*IBGE_2!T$296/100</f>
        <v>290</v>
      </c>
      <c r="U296" s="142">
        <f>B296*IBGE_2!U$296/100</f>
        <v>0.16</v>
      </c>
      <c r="V296" s="142">
        <f>B296*IBGE_2!V$296/100</f>
        <v>0.6</v>
      </c>
      <c r="W296" s="142" t="s">
        <v>3047</v>
      </c>
      <c r="X296" s="142" t="s">
        <v>3047</v>
      </c>
      <c r="Y296" s="142">
        <f>B296*IBGE_2!Y$296/100</f>
        <v>0.1</v>
      </c>
      <c r="Z296" s="142">
        <f>B296*IBGE_2!Z$296/100</f>
        <v>0.1</v>
      </c>
      <c r="AA296" s="142" t="s">
        <v>3047</v>
      </c>
      <c r="AB296" s="142">
        <f>B296*IBGE_2!AB$296/100</f>
        <v>17.899999999999999</v>
      </c>
      <c r="AC296" s="142" t="s">
        <v>3047</v>
      </c>
      <c r="AD296" s="142" t="s">
        <v>3047</v>
      </c>
      <c r="AE296" s="145" t="s">
        <v>3047</v>
      </c>
      <c r="AF296" s="145" t="s">
        <v>3047</v>
      </c>
      <c r="AG296" s="145" t="s">
        <v>3047</v>
      </c>
      <c r="AH296" s="145" t="s">
        <v>3047</v>
      </c>
      <c r="AI296" s="145" t="s">
        <v>3047</v>
      </c>
      <c r="AJ296" s="145" t="s">
        <v>3047</v>
      </c>
      <c r="AK296" s="142">
        <f>B296*IBGE_2!AK$296/100</f>
        <v>580</v>
      </c>
      <c r="AL296" s="145" t="s">
        <v>3047</v>
      </c>
      <c r="AM296" s="145" t="s">
        <v>3047</v>
      </c>
      <c r="AN296" s="161"/>
    </row>
    <row r="297" spans="1:40">
      <c r="A297" s="143" t="s">
        <v>1356</v>
      </c>
      <c r="B297" s="141">
        <v>100</v>
      </c>
      <c r="C297" s="142">
        <f>B297*IBGE_2!C$297/100</f>
        <v>26</v>
      </c>
      <c r="D297" s="142">
        <f>B297*IBGE_2!D$297/100</f>
        <v>2.11</v>
      </c>
      <c r="E297" s="142">
        <f>B297*IBGE_2!E$297/100</f>
        <v>0.36</v>
      </c>
      <c r="F297" s="142">
        <f>B297*IBGE_2!F$297/100</f>
        <v>0.05</v>
      </c>
      <c r="G297" s="142">
        <f>B297*IBGE_2!G$297/100</f>
        <v>0.03</v>
      </c>
      <c r="H297" s="142">
        <f>B297*IBGE_2!H$297/100</f>
        <v>0.17</v>
      </c>
      <c r="I297" s="142">
        <f>B297*IBGE_2!I$297/100</f>
        <v>7.0000000000000007E-2</v>
      </c>
      <c r="J297" s="142">
        <f>B297*IBGE_2!J$297/100</f>
        <v>0.09</v>
      </c>
      <c r="K297" s="142" t="s">
        <v>3047</v>
      </c>
      <c r="L297" s="142">
        <f>B297*IBGE_2!L$297/100</f>
        <v>4.91</v>
      </c>
      <c r="M297" s="142">
        <f>B297*IBGE_2!M$297/100</f>
        <v>2.8</v>
      </c>
      <c r="N297" s="142">
        <f>B297*IBGE_2!N$297/100</f>
        <v>140</v>
      </c>
      <c r="O297" s="142">
        <f>B297*IBGE_2!O$297/100</f>
        <v>20</v>
      </c>
      <c r="P297" s="142">
        <f>B297*IBGE_2!P$297/100</f>
        <v>0.44</v>
      </c>
      <c r="Q297" s="142">
        <f>B297*IBGE_2!Q$297/100</f>
        <v>30</v>
      </c>
      <c r="R297" s="142">
        <f>B297*IBGE_2!R$297/100</f>
        <v>1.1599999999999999</v>
      </c>
      <c r="S297" s="142">
        <f>B297*IBGE_2!S$297/100</f>
        <v>16</v>
      </c>
      <c r="T297" s="142">
        <f>B297*IBGE_2!T$297/100</f>
        <v>116</v>
      </c>
      <c r="U297" s="142">
        <f>B297*IBGE_2!U$297/100</f>
        <v>0.04</v>
      </c>
      <c r="V297" s="142">
        <f>B297*IBGE_2!V$297/100</f>
        <v>0.23</v>
      </c>
      <c r="W297" s="142" t="s">
        <v>3047</v>
      </c>
      <c r="X297" s="142">
        <f>B297*IBGE_2!X$297/100</f>
        <v>0.04</v>
      </c>
      <c r="Y297" s="142">
        <f>B297*IBGE_2!Y$297/100</f>
        <v>0.11</v>
      </c>
      <c r="Z297" s="142">
        <f>B297*IBGE_2!Z$297/100</f>
        <v>0.13</v>
      </c>
      <c r="AA297" s="142">
        <f>B297*IBGE_2!AA$297/100</f>
        <v>0.57999999999999996</v>
      </c>
      <c r="AB297" s="142">
        <f>B297*IBGE_2!AB$297/100</f>
        <v>18.2</v>
      </c>
      <c r="AC297" s="142">
        <f>B297*IBGE_2!AC$297/100</f>
        <v>1.03</v>
      </c>
      <c r="AD297" s="142" t="s">
        <v>3047</v>
      </c>
      <c r="AE297" s="142">
        <f>B297*IBGE_2!AE$297/100</f>
        <v>93</v>
      </c>
      <c r="AF297" s="142" t="s">
        <v>3047</v>
      </c>
      <c r="AG297" s="142">
        <f>B297*IBGE_2!AG$297/100</f>
        <v>0.88</v>
      </c>
      <c r="AH297" s="145" t="s">
        <v>3047</v>
      </c>
      <c r="AI297" s="142">
        <f>B297*IBGE_2!AI$297/100</f>
        <v>199</v>
      </c>
      <c r="AJ297" s="142">
        <f>B297*IBGE_2!AJ$297/100</f>
        <v>0.5</v>
      </c>
      <c r="AK297" s="142">
        <f>B297*IBGE_2!AK$297/100</f>
        <v>405.75</v>
      </c>
      <c r="AL297" s="142">
        <f>B297*IBGE_2!AL$297/100</f>
        <v>1.41</v>
      </c>
      <c r="AM297" s="145" t="s">
        <v>3047</v>
      </c>
      <c r="AN297" s="161"/>
    </row>
    <row r="298" spans="1:40">
      <c r="A298" s="143" t="s">
        <v>1357</v>
      </c>
      <c r="B298" s="141">
        <v>100</v>
      </c>
      <c r="C298" s="142">
        <f>B298*IBGE_2!C$298/100</f>
        <v>47.13</v>
      </c>
      <c r="D298" s="142">
        <f>B298*IBGE_2!D$298/100</f>
        <v>2.11</v>
      </c>
      <c r="E298" s="142">
        <f>B298*IBGE_2!E$298/100</f>
        <v>2.75</v>
      </c>
      <c r="F298" s="142">
        <f>B298*IBGE_2!F$298/100</f>
        <v>0.39</v>
      </c>
      <c r="G298" s="142">
        <f>B298*IBGE_2!G$298/100</f>
        <v>0.57999999999999996</v>
      </c>
      <c r="H298" s="142">
        <f>B298*IBGE_2!H$298/100</f>
        <v>1.56</v>
      </c>
      <c r="I298" s="142">
        <f>B298*IBGE_2!I$298/100</f>
        <v>1.29</v>
      </c>
      <c r="J298" s="142">
        <f>B298*IBGE_2!J$298/100</f>
        <v>0.26</v>
      </c>
      <c r="K298" s="142" t="s">
        <v>3047</v>
      </c>
      <c r="L298" s="142">
        <f>B298*IBGE_2!L$298/100</f>
        <v>4.91</v>
      </c>
      <c r="M298" s="142">
        <f>B298*IBGE_2!M$298/100</f>
        <v>2.8</v>
      </c>
      <c r="N298" s="142">
        <f>B298*IBGE_2!N$298/100</f>
        <v>140</v>
      </c>
      <c r="O298" s="142">
        <f>B298*IBGE_2!O$298/100</f>
        <v>20</v>
      </c>
      <c r="P298" s="142">
        <f>B298*IBGE_2!P$298/100</f>
        <v>0.44</v>
      </c>
      <c r="Q298" s="142">
        <f>B298*IBGE_2!Q$298/100</f>
        <v>30</v>
      </c>
      <c r="R298" s="142">
        <f>B298*IBGE_2!R$298/100</f>
        <v>1.1599999999999999</v>
      </c>
      <c r="S298" s="142">
        <f>B298*IBGE_2!S$298/100</f>
        <v>16</v>
      </c>
      <c r="T298" s="142">
        <f>B298*IBGE_2!T$298/100</f>
        <v>116</v>
      </c>
      <c r="U298" s="142">
        <f>B298*IBGE_2!U$298/100</f>
        <v>0.04</v>
      </c>
      <c r="V298" s="142">
        <f>B298*IBGE_2!V$298/100</f>
        <v>0.23</v>
      </c>
      <c r="W298" s="142" t="s">
        <v>3047</v>
      </c>
      <c r="X298" s="142">
        <f>B298*IBGE_2!X$298/100</f>
        <v>0.04</v>
      </c>
      <c r="Y298" s="142">
        <f>B298*IBGE_2!Y$298/100</f>
        <v>0.11</v>
      </c>
      <c r="Z298" s="142">
        <f>B298*IBGE_2!Z$298/100</f>
        <v>0.13</v>
      </c>
      <c r="AA298" s="142">
        <f>B298*IBGE_2!AA$298/100</f>
        <v>0.57999999999999996</v>
      </c>
      <c r="AB298" s="142">
        <f>B298*IBGE_2!AB$298/100</f>
        <v>18.2</v>
      </c>
      <c r="AC298" s="142">
        <f>B298*IBGE_2!AC$298/100</f>
        <v>1.03</v>
      </c>
      <c r="AD298" s="142" t="s">
        <v>3047</v>
      </c>
      <c r="AE298" s="142">
        <f>B298*IBGE_2!AE$298/100</f>
        <v>93</v>
      </c>
      <c r="AF298" s="142" t="s">
        <v>3047</v>
      </c>
      <c r="AG298" s="142">
        <f>B298*IBGE_2!AG$298/100</f>
        <v>1.1000000000000001</v>
      </c>
      <c r="AH298" s="145" t="s">
        <v>3047</v>
      </c>
      <c r="AI298" s="142">
        <f>B298*IBGE_2!AI$298/100</f>
        <v>222</v>
      </c>
      <c r="AJ298" s="142">
        <f>B298*IBGE_2!AJ$298/100</f>
        <v>1.6</v>
      </c>
      <c r="AK298" s="142">
        <f>B298*IBGE_2!AK$298/100</f>
        <v>405.75</v>
      </c>
      <c r="AL298" s="142">
        <f>B298*IBGE_2!AL$298/100</f>
        <v>1.41</v>
      </c>
      <c r="AM298" s="145" t="s">
        <v>3047</v>
      </c>
      <c r="AN298" s="161"/>
    </row>
    <row r="299" spans="1:40">
      <c r="A299" s="143" t="s">
        <v>1358</v>
      </c>
      <c r="B299" s="141">
        <v>100</v>
      </c>
      <c r="C299" s="142">
        <f>B299*IBGE_2!C$299/100</f>
        <v>19</v>
      </c>
      <c r="D299" s="142">
        <f>B299*IBGE_2!D$299/100</f>
        <v>1.8</v>
      </c>
      <c r="E299" s="142">
        <f>B299*IBGE_2!E$299/100</f>
        <v>0.2</v>
      </c>
      <c r="F299" s="142">
        <f>B299*IBGE_2!F$299/100</f>
        <v>0.03</v>
      </c>
      <c r="G299" s="142">
        <f>B299*IBGE_2!G$299/100</f>
        <v>0.04</v>
      </c>
      <c r="H299" s="142">
        <f>B299*IBGE_2!H$299/100</f>
        <v>7.0000000000000007E-2</v>
      </c>
      <c r="I299" s="142">
        <f>B299*IBGE_2!I$299/100</f>
        <v>0.06</v>
      </c>
      <c r="J299" s="142">
        <f>B299*IBGE_2!J$299/100</f>
        <v>0.01</v>
      </c>
      <c r="K299" s="142" t="s">
        <v>3047</v>
      </c>
      <c r="L299" s="142">
        <f>B299*IBGE_2!L$299/100</f>
        <v>3.74</v>
      </c>
      <c r="M299" s="142">
        <f>B299*IBGE_2!M$299/100</f>
        <v>1.6</v>
      </c>
      <c r="N299" s="142">
        <f>B299*IBGE_2!N$299/100</f>
        <v>51</v>
      </c>
      <c r="O299" s="142">
        <f>B299*IBGE_2!O$299/100</f>
        <v>81</v>
      </c>
      <c r="P299" s="142">
        <f>B299*IBGE_2!P$299/100</f>
        <v>0.37</v>
      </c>
      <c r="Q299" s="142">
        <f>B299*IBGE_2!Q$299/100</f>
        <v>46</v>
      </c>
      <c r="R299" s="142">
        <f>B299*IBGE_2!R$299/100</f>
        <v>1.8</v>
      </c>
      <c r="S299" s="142">
        <f>B299*IBGE_2!S$299/100</f>
        <v>213</v>
      </c>
      <c r="T299" s="142">
        <f>B299*IBGE_2!T$299/100</f>
        <v>379</v>
      </c>
      <c r="U299" s="142">
        <f>B299*IBGE_2!U$299/100</f>
        <v>0.18</v>
      </c>
      <c r="V299" s="142">
        <f>B299*IBGE_2!V$299/100</f>
        <v>0.36</v>
      </c>
      <c r="W299" s="142" t="s">
        <v>3047</v>
      </c>
      <c r="X299" s="142">
        <f>B299*IBGE_2!X$299/100</f>
        <v>0.04</v>
      </c>
      <c r="Y299" s="142">
        <f>B299*IBGE_2!Y$299/100</f>
        <v>0.09</v>
      </c>
      <c r="Z299" s="142">
        <f>B299*IBGE_2!Z$299/100</f>
        <v>0.1</v>
      </c>
      <c r="AA299" s="142">
        <f>B299*IBGE_2!AA$299/100</f>
        <v>0.4</v>
      </c>
      <c r="AB299" s="142">
        <f>B299*IBGE_2!AB$299/100</f>
        <v>30</v>
      </c>
      <c r="AC299" s="142">
        <f>B299*IBGE_2!AC$299/100</f>
        <v>0.68</v>
      </c>
      <c r="AD299" s="142" t="s">
        <v>3047</v>
      </c>
      <c r="AE299" s="142">
        <f>B299*IBGE_2!AE$299/100</f>
        <v>14</v>
      </c>
      <c r="AF299" s="142" t="s">
        <v>3047</v>
      </c>
      <c r="AG299" s="142">
        <f>B299*IBGE_2!AG$299/100</f>
        <v>1.89</v>
      </c>
      <c r="AH299" s="145" t="s">
        <v>3047</v>
      </c>
      <c r="AI299" s="145" t="s">
        <v>3047</v>
      </c>
      <c r="AJ299" s="142">
        <f>B299*IBGE_2!AJ$299/100</f>
        <v>0.9</v>
      </c>
      <c r="AK299" s="142">
        <f>B299*IBGE_2!AK$299/100</f>
        <v>305.79000000000002</v>
      </c>
      <c r="AL299" s="142">
        <f>B299*IBGE_2!AL$299/100</f>
        <v>0.6</v>
      </c>
      <c r="AM299" s="145" t="s">
        <v>3047</v>
      </c>
      <c r="AN299" s="161"/>
    </row>
    <row r="300" spans="1:40">
      <c r="A300" s="143" t="s">
        <v>1359</v>
      </c>
      <c r="B300" s="141">
        <v>100</v>
      </c>
      <c r="C300" s="142">
        <f>B300*IBGE_2!C$300/100</f>
        <v>14</v>
      </c>
      <c r="D300" s="142">
        <f>B300*IBGE_2!D$300/100</f>
        <v>1.5</v>
      </c>
      <c r="E300" s="142">
        <f>B300*IBGE_2!E$300/100</f>
        <v>0.17</v>
      </c>
      <c r="F300" s="142">
        <f>B300*IBGE_2!F$300/100</f>
        <v>3.5999999999999997E-2</v>
      </c>
      <c r="G300" s="142">
        <f>B300*IBGE_2!G$300/100</f>
        <v>0.02</v>
      </c>
      <c r="H300" s="142">
        <f>B300*IBGE_2!H$300/100</f>
        <v>6.0999999999999999E-2</v>
      </c>
      <c r="I300" s="142">
        <f>B300*IBGE_2!I$300/100</f>
        <v>1.3000000000000001E-2</v>
      </c>
      <c r="J300" s="142">
        <f>B300*IBGE_2!J$300/100</f>
        <v>4.8000000000000001E-2</v>
      </c>
      <c r="K300" s="142" t="s">
        <v>3047</v>
      </c>
      <c r="L300" s="142">
        <f>B300*IBGE_2!L$300/100</f>
        <v>2.41</v>
      </c>
      <c r="M300" s="142">
        <f>B300*IBGE_2!M$300/100</f>
        <v>1.7</v>
      </c>
      <c r="N300" s="142">
        <f>B300*IBGE_2!N$300/100</f>
        <v>32</v>
      </c>
      <c r="O300" s="142">
        <f>B300*IBGE_2!O$300/100</f>
        <v>10</v>
      </c>
      <c r="P300" s="142">
        <f>B300*IBGE_2!P$300/100</f>
        <v>0.153</v>
      </c>
      <c r="Q300" s="142">
        <f>B300*IBGE_2!Q$300/100</f>
        <v>39</v>
      </c>
      <c r="R300" s="142">
        <f>B300*IBGE_2!R$300/100</f>
        <v>0.3</v>
      </c>
      <c r="S300" s="142">
        <f>B300*IBGE_2!S$300/100</f>
        <v>9</v>
      </c>
      <c r="T300" s="142">
        <f>B300*IBGE_2!T$300/100</f>
        <v>225</v>
      </c>
      <c r="U300" s="142">
        <f>B300*IBGE_2!U$300/100</f>
        <v>2.9000000000000005E-2</v>
      </c>
      <c r="V300" s="142">
        <f>B300*IBGE_2!V$300/100</f>
        <v>0.18</v>
      </c>
      <c r="W300" s="142" t="s">
        <v>3047</v>
      </c>
      <c r="X300" s="142">
        <f>B300*IBGE_2!X$300/100</f>
        <v>4.3999999999999997E-2</v>
      </c>
      <c r="Y300" s="142">
        <f>B300*IBGE_2!Y$300/100</f>
        <v>4.3999999999999997E-2</v>
      </c>
      <c r="Z300" s="142">
        <f>B300*IBGE_2!Z$300/100</f>
        <v>0.17699999999999999</v>
      </c>
      <c r="AA300" s="142">
        <f>B300*IBGE_2!AA$300/100</f>
        <v>0.5</v>
      </c>
      <c r="AB300" s="142">
        <f>B300*IBGE_2!AB$300/100</f>
        <v>15.8</v>
      </c>
      <c r="AC300" s="142">
        <f>B300*IBGE_2!AC$300/100</f>
        <v>0.75</v>
      </c>
      <c r="AD300" s="142" t="s">
        <v>3047</v>
      </c>
      <c r="AE300" s="142">
        <f>B300*IBGE_2!AE$300/100</f>
        <v>53</v>
      </c>
      <c r="AF300" s="142" t="s">
        <v>3047</v>
      </c>
      <c r="AG300" s="142">
        <f>B300*IBGE_2!AG$300/100</f>
        <v>0.12</v>
      </c>
      <c r="AH300" s="145" t="s">
        <v>3047</v>
      </c>
      <c r="AI300" s="142">
        <f>B300*IBGE_2!AI$300/100</f>
        <v>216</v>
      </c>
      <c r="AJ300" s="142">
        <f>B300*IBGE_2!AJ$300/100</f>
        <v>0.4</v>
      </c>
      <c r="AK300" s="142">
        <f>B300*IBGE_2!AK$300/100</f>
        <v>13.458</v>
      </c>
      <c r="AL300" s="142">
        <f>B300*IBGE_2!AL$300/100</f>
        <v>0.67</v>
      </c>
      <c r="AM300" s="145" t="s">
        <v>3047</v>
      </c>
      <c r="AN300" s="161"/>
    </row>
    <row r="301" spans="1:40">
      <c r="A301" s="143" t="s">
        <v>1360</v>
      </c>
      <c r="B301" s="141">
        <v>100</v>
      </c>
      <c r="C301" s="142">
        <f>B301*IBGE_2!C$301/100</f>
        <v>47.738</v>
      </c>
      <c r="D301" s="142">
        <f>B301*IBGE_2!D$301/100</f>
        <v>1.5</v>
      </c>
      <c r="E301" s="142">
        <f>B301*IBGE_2!E$301/100</f>
        <v>3.9870000000000001</v>
      </c>
      <c r="F301" s="142">
        <f>B301*IBGE_2!F$301/100</f>
        <v>0.63300000000000001</v>
      </c>
      <c r="G301" s="142">
        <f>B301*IBGE_2!G$301/100</f>
        <v>0.89</v>
      </c>
      <c r="H301" s="142">
        <f>B301*IBGE_2!H$301/100</f>
        <v>2.2650000000000001</v>
      </c>
      <c r="I301" s="142">
        <f>B301*IBGE_2!I$301/100</f>
        <v>1.9579999999999997</v>
      </c>
      <c r="J301" s="142">
        <f>B301*IBGE_2!J$301/100</f>
        <v>0.307</v>
      </c>
      <c r="K301" s="142" t="s">
        <v>3047</v>
      </c>
      <c r="L301" s="142">
        <f>B301*IBGE_2!L$301/100</f>
        <v>2.41</v>
      </c>
      <c r="M301" s="142">
        <f>B301*IBGE_2!M$301/100</f>
        <v>1.7</v>
      </c>
      <c r="N301" s="142">
        <f>B301*IBGE_2!N$301/100</f>
        <v>32</v>
      </c>
      <c r="O301" s="142">
        <f>B301*IBGE_2!O$301/100</f>
        <v>10</v>
      </c>
      <c r="P301" s="142">
        <f>B301*IBGE_2!P$301/100</f>
        <v>0.153</v>
      </c>
      <c r="Q301" s="142">
        <f>B301*IBGE_2!Q$301/100</f>
        <v>39</v>
      </c>
      <c r="R301" s="142">
        <f>B301*IBGE_2!R$301/100</f>
        <v>0.30199999999999999</v>
      </c>
      <c r="S301" s="142">
        <f>B301*IBGE_2!S$301/100</f>
        <v>9</v>
      </c>
      <c r="T301" s="142">
        <f>B301*IBGE_2!T$301/100</f>
        <v>225</v>
      </c>
      <c r="U301" s="142">
        <f>B301*IBGE_2!U$301/100</f>
        <v>2.9000000000000005E-2</v>
      </c>
      <c r="V301" s="142">
        <f>B301*IBGE_2!V$301/100</f>
        <v>0.18</v>
      </c>
      <c r="W301" s="142" t="s">
        <v>3047</v>
      </c>
      <c r="X301" s="142">
        <f>B301*IBGE_2!X$301/100</f>
        <v>4.3999999999999997E-2</v>
      </c>
      <c r="Y301" s="142">
        <f>B301*IBGE_2!Y$301/100</f>
        <v>4.3999999999999997E-2</v>
      </c>
      <c r="Z301" s="142">
        <f>B301*IBGE_2!Z$301/100</f>
        <v>0.17699999999999999</v>
      </c>
      <c r="AA301" s="142">
        <f>B301*IBGE_2!AA$301/100</f>
        <v>0.5</v>
      </c>
      <c r="AB301" s="142">
        <f>B301*IBGE_2!AB$301/100</f>
        <v>15.8</v>
      </c>
      <c r="AC301" s="142">
        <f>B301*IBGE_2!AC$301/100</f>
        <v>0.75</v>
      </c>
      <c r="AD301" s="142" t="s">
        <v>3047</v>
      </c>
      <c r="AE301" s="142">
        <f>B301*IBGE_2!AE$301/100</f>
        <v>53</v>
      </c>
      <c r="AF301" s="142" t="s">
        <v>3047</v>
      </c>
      <c r="AG301" s="142">
        <f>B301*IBGE_2!AG$301/100</f>
        <v>0.43200000000000005</v>
      </c>
      <c r="AH301" s="142">
        <f>B301*IBGE_2!AH$301/100</f>
        <v>0.02</v>
      </c>
      <c r="AI301" s="142">
        <f>B301*IBGE_2!AI$301/100</f>
        <v>216</v>
      </c>
      <c r="AJ301" s="142">
        <f>B301*IBGE_2!AJ$301/100</f>
        <v>2.149</v>
      </c>
      <c r="AK301" s="142">
        <f>B301*IBGE_2!AK$301/100</f>
        <v>13.458</v>
      </c>
      <c r="AL301" s="142">
        <f>B301*IBGE_2!AL$301/100</f>
        <v>0.67</v>
      </c>
      <c r="AM301" s="145" t="s">
        <v>3047</v>
      </c>
      <c r="AN301" s="161"/>
    </row>
    <row r="302" spans="1:40">
      <c r="A302" s="143" t="s">
        <v>1361</v>
      </c>
      <c r="B302" s="141">
        <v>100</v>
      </c>
      <c r="C302" s="142">
        <f>B302*IBGE_2!C$302/100</f>
        <v>19</v>
      </c>
      <c r="D302" s="142">
        <f>B302*IBGE_2!D$302/100</f>
        <v>1.8</v>
      </c>
      <c r="E302" s="142">
        <f>B302*IBGE_2!E$302/100</f>
        <v>0.2</v>
      </c>
      <c r="F302" s="142">
        <f>B302*IBGE_2!F$302/100</f>
        <v>0.03</v>
      </c>
      <c r="G302" s="142">
        <f>B302*IBGE_2!G$302/100</f>
        <v>0.04</v>
      </c>
      <c r="H302" s="142">
        <f>B302*IBGE_2!H$302/100</f>
        <v>7.0000000000000007E-2</v>
      </c>
      <c r="I302" s="142">
        <f>B302*IBGE_2!I$302/100</f>
        <v>0.06</v>
      </c>
      <c r="J302" s="142">
        <f>B302*IBGE_2!J$302/100</f>
        <v>0.01</v>
      </c>
      <c r="K302" s="142" t="s">
        <v>3047</v>
      </c>
      <c r="L302" s="142">
        <f>B302*IBGE_2!L$302/100</f>
        <v>3.74</v>
      </c>
      <c r="M302" s="142">
        <f>B302*IBGE_2!M$302/100</f>
        <v>1.6</v>
      </c>
      <c r="N302" s="142">
        <f>B302*IBGE_2!N$302/100</f>
        <v>51</v>
      </c>
      <c r="O302" s="142">
        <f>B302*IBGE_2!O$302/100</f>
        <v>81</v>
      </c>
      <c r="P302" s="142">
        <f>B302*IBGE_2!P$302/100</f>
        <v>0.37</v>
      </c>
      <c r="Q302" s="142">
        <f>B302*IBGE_2!Q$302/100</f>
        <v>46</v>
      </c>
      <c r="R302" s="142">
        <f>B302*IBGE_2!R$302/100</f>
        <v>1.8</v>
      </c>
      <c r="S302" s="142">
        <f>B302*IBGE_2!S$302/100</f>
        <v>213</v>
      </c>
      <c r="T302" s="142">
        <f>B302*IBGE_2!T$302/100</f>
        <v>379</v>
      </c>
      <c r="U302" s="142">
        <f>B302*IBGE_2!U$302/100</f>
        <v>0.18</v>
      </c>
      <c r="V302" s="142">
        <f>B302*IBGE_2!V$302/100</f>
        <v>0.36</v>
      </c>
      <c r="W302" s="142" t="s">
        <v>3047</v>
      </c>
      <c r="X302" s="142">
        <f>B302*IBGE_2!X$302/100</f>
        <v>0.04</v>
      </c>
      <c r="Y302" s="142">
        <f>B302*IBGE_2!Y$302/100</f>
        <v>0.09</v>
      </c>
      <c r="Z302" s="142">
        <f>B302*IBGE_2!Z$302/100</f>
        <v>0.1</v>
      </c>
      <c r="AA302" s="142">
        <f>B302*IBGE_2!AA$302/100</f>
        <v>0.4</v>
      </c>
      <c r="AB302" s="142">
        <f>B302*IBGE_2!AB$302/100</f>
        <v>30</v>
      </c>
      <c r="AC302" s="142">
        <f>B302*IBGE_2!AC$302/100</f>
        <v>0.68</v>
      </c>
      <c r="AD302" s="142" t="s">
        <v>3047</v>
      </c>
      <c r="AE302" s="142">
        <f>B302*IBGE_2!AE$302/100</f>
        <v>14</v>
      </c>
      <c r="AF302" s="142" t="s">
        <v>3047</v>
      </c>
      <c r="AG302" s="142">
        <f>B302*IBGE_2!AG$302/100</f>
        <v>1.89</v>
      </c>
      <c r="AH302" s="145" t="s">
        <v>3047</v>
      </c>
      <c r="AI302" s="145" t="s">
        <v>3047</v>
      </c>
      <c r="AJ302" s="142">
        <f>B302*IBGE_2!AJ$302/100</f>
        <v>0.9</v>
      </c>
      <c r="AK302" s="142">
        <f>B302*IBGE_2!AK$302/100</f>
        <v>305.79000000000002</v>
      </c>
      <c r="AL302" s="142">
        <f>B302*IBGE_2!AL$302/100</f>
        <v>0.6</v>
      </c>
      <c r="AM302" s="145" t="s">
        <v>3047</v>
      </c>
      <c r="AN302" s="161"/>
    </row>
    <row r="303" spans="1:40">
      <c r="A303" s="143" t="s">
        <v>1362</v>
      </c>
      <c r="B303" s="141">
        <v>100</v>
      </c>
      <c r="C303" s="142">
        <f>B303*IBGE_2!C$303/100</f>
        <v>14</v>
      </c>
      <c r="D303" s="142">
        <f>B303*IBGE_2!D$303/100</f>
        <v>1.5</v>
      </c>
      <c r="E303" s="142">
        <f>B303*IBGE_2!E$303/100</f>
        <v>0.17</v>
      </c>
      <c r="F303" s="142">
        <f>B303*IBGE_2!F$303/100</f>
        <v>3.5999999999999997E-2</v>
      </c>
      <c r="G303" s="142">
        <f>B303*IBGE_2!G$303/100</f>
        <v>0.02</v>
      </c>
      <c r="H303" s="142">
        <f>B303*IBGE_2!H$303/100</f>
        <v>6.0999999999999999E-2</v>
      </c>
      <c r="I303" s="142">
        <f>B303*IBGE_2!I$303/100</f>
        <v>1.3000000000000001E-2</v>
      </c>
      <c r="J303" s="142">
        <f>B303*IBGE_2!J$303/100</f>
        <v>4.8000000000000001E-2</v>
      </c>
      <c r="K303" s="142" t="s">
        <v>3047</v>
      </c>
      <c r="L303" s="142">
        <f>B303*IBGE_2!L$303/100</f>
        <v>2.41</v>
      </c>
      <c r="M303" s="142">
        <f>B303*IBGE_2!M$303/100</f>
        <v>1.7</v>
      </c>
      <c r="N303" s="142">
        <f>B303*IBGE_2!N$303/100</f>
        <v>32</v>
      </c>
      <c r="O303" s="142">
        <f>B303*IBGE_2!O$303/100</f>
        <v>10</v>
      </c>
      <c r="P303" s="142">
        <f>B303*IBGE_2!P$303/100</f>
        <v>0.153</v>
      </c>
      <c r="Q303" s="142">
        <f>B303*IBGE_2!Q$303/100</f>
        <v>39</v>
      </c>
      <c r="R303" s="142">
        <f>B303*IBGE_2!R$303/100</f>
        <v>0.3</v>
      </c>
      <c r="S303" s="142">
        <f>B303*IBGE_2!S$303/100</f>
        <v>9</v>
      </c>
      <c r="T303" s="142">
        <f>B303*IBGE_2!T$303/100</f>
        <v>225</v>
      </c>
      <c r="U303" s="142">
        <f>B303*IBGE_2!U$303/100</f>
        <v>2.9000000000000005E-2</v>
      </c>
      <c r="V303" s="142">
        <f>B303*IBGE_2!V$303/100</f>
        <v>0.18</v>
      </c>
      <c r="W303" s="142" t="s">
        <v>3047</v>
      </c>
      <c r="X303" s="142">
        <f>B303*IBGE_2!X$303/100</f>
        <v>4.3999999999999997E-2</v>
      </c>
      <c r="Y303" s="142">
        <f>B303*IBGE_2!Y$303/100</f>
        <v>4.3999999999999997E-2</v>
      </c>
      <c r="Z303" s="142">
        <f>B303*IBGE_2!Z$303/100</f>
        <v>0.17699999999999999</v>
      </c>
      <c r="AA303" s="142">
        <f>B303*IBGE_2!AA$303/100</f>
        <v>0.5</v>
      </c>
      <c r="AB303" s="142">
        <f>B303*IBGE_2!AB$303/100</f>
        <v>15.8</v>
      </c>
      <c r="AC303" s="142">
        <f>B303*IBGE_2!AC$303/100</f>
        <v>0.75</v>
      </c>
      <c r="AD303" s="142" t="s">
        <v>3047</v>
      </c>
      <c r="AE303" s="142">
        <f>B303*IBGE_2!AE$303/100</f>
        <v>53</v>
      </c>
      <c r="AF303" s="142" t="s">
        <v>3047</v>
      </c>
      <c r="AG303" s="142">
        <f>B303*IBGE_2!AG$303/100</f>
        <v>0.12</v>
      </c>
      <c r="AH303" s="145" t="s">
        <v>3047</v>
      </c>
      <c r="AI303" s="142">
        <f>B303*IBGE_2!AI$303/100</f>
        <v>216</v>
      </c>
      <c r="AJ303" s="142">
        <f>B303*IBGE_2!AJ$303/100</f>
        <v>0.4</v>
      </c>
      <c r="AK303" s="142">
        <f>B303*IBGE_2!AK$303/100</f>
        <v>13.458</v>
      </c>
      <c r="AL303" s="142">
        <f>B303*IBGE_2!AL$303/100</f>
        <v>0.67</v>
      </c>
      <c r="AM303" s="145" t="s">
        <v>3047</v>
      </c>
      <c r="AN303" s="161"/>
    </row>
    <row r="304" spans="1:40">
      <c r="A304" s="143" t="s">
        <v>1363</v>
      </c>
      <c r="B304" s="141">
        <v>100</v>
      </c>
      <c r="C304" s="142">
        <f>B304*IBGE_2!C$304/100</f>
        <v>17</v>
      </c>
      <c r="D304" s="142">
        <f>B304*IBGE_2!D$304/100</f>
        <v>1.25</v>
      </c>
      <c r="E304" s="142">
        <f>B304*IBGE_2!E$304/100</f>
        <v>0.2</v>
      </c>
      <c r="F304" s="142">
        <f>B304*IBGE_2!F$304/100</f>
        <v>0.05</v>
      </c>
      <c r="G304" s="142" t="s">
        <v>3047</v>
      </c>
      <c r="H304" s="142">
        <f>B304*IBGE_2!H$304/100</f>
        <v>0.09</v>
      </c>
      <c r="I304" s="142">
        <f>B304*IBGE_2!I$304/100</f>
        <v>0.08</v>
      </c>
      <c r="J304" s="142">
        <f>B304*IBGE_2!J$304/100</f>
        <v>0.01</v>
      </c>
      <c r="K304" s="142" t="s">
        <v>3047</v>
      </c>
      <c r="L304" s="142">
        <f>B304*IBGE_2!L$304/100</f>
        <v>3.35</v>
      </c>
      <c r="M304" s="142">
        <f>B304*IBGE_2!M$304/100</f>
        <v>3.1</v>
      </c>
      <c r="N304" s="142">
        <f>B304*IBGE_2!N$304/100</f>
        <v>52</v>
      </c>
      <c r="O304" s="142">
        <f>B304*IBGE_2!O$304/100</f>
        <v>15</v>
      </c>
      <c r="P304" s="142">
        <f>B304*IBGE_2!P$304/100</f>
        <v>0.42</v>
      </c>
      <c r="Q304" s="142">
        <f>B304*IBGE_2!Q$304/100</f>
        <v>28</v>
      </c>
      <c r="R304" s="142">
        <f>B304*IBGE_2!R$304/100</f>
        <v>0.83</v>
      </c>
      <c r="S304" s="142">
        <f>B304*IBGE_2!S$304/100</f>
        <v>22</v>
      </c>
      <c r="T304" s="142">
        <f>B304*IBGE_2!T$304/100</f>
        <v>314</v>
      </c>
      <c r="U304" s="142">
        <f>B304*IBGE_2!U$304/100</f>
        <v>0.1</v>
      </c>
      <c r="V304" s="142">
        <f>B304*IBGE_2!V$304/100</f>
        <v>0.79</v>
      </c>
      <c r="W304" s="142" t="s">
        <v>3047</v>
      </c>
      <c r="X304" s="142">
        <f>B304*IBGE_2!X$304/100</f>
        <v>0.08</v>
      </c>
      <c r="Y304" s="142">
        <f>B304*IBGE_2!Y$304/100</f>
        <v>0.08</v>
      </c>
      <c r="Z304" s="142">
        <f>B304*IBGE_2!Z$304/100</f>
        <v>0.02</v>
      </c>
      <c r="AA304" s="142">
        <f>B304*IBGE_2!AA$304/100</f>
        <v>0.4</v>
      </c>
      <c r="AB304" s="142">
        <f>B304*IBGE_2!AB$304/100</f>
        <v>6.5</v>
      </c>
      <c r="AC304" s="142">
        <f>B304*IBGE_2!AC$304/100</f>
        <v>0.48</v>
      </c>
      <c r="AD304" s="142" t="s">
        <v>3047</v>
      </c>
      <c r="AE304" s="142">
        <f>B304*IBGE_2!AE$304/100</f>
        <v>142</v>
      </c>
      <c r="AF304" s="142" t="s">
        <v>3047</v>
      </c>
      <c r="AG304" s="142">
        <f>B304*IBGE_2!AG$304/100</f>
        <v>0.44</v>
      </c>
      <c r="AH304" s="145" t="s">
        <v>3047</v>
      </c>
      <c r="AI304" s="145" t="s">
        <v>3047</v>
      </c>
      <c r="AJ304" s="142">
        <f>B304*IBGE_2!AJ$304/100</f>
        <v>0.2</v>
      </c>
      <c r="AK304" s="142">
        <f>B304*IBGE_2!AK$304/100</f>
        <v>108.33</v>
      </c>
      <c r="AL304" s="142">
        <f>B304*IBGE_2!AL$304/100</f>
        <v>0.5</v>
      </c>
      <c r="AM304" s="145" t="s">
        <v>3047</v>
      </c>
      <c r="AN304" s="161"/>
    </row>
    <row r="305" spans="1:40">
      <c r="A305" s="143" t="s">
        <v>1364</v>
      </c>
      <c r="B305" s="141">
        <v>100</v>
      </c>
      <c r="C305" s="142">
        <f>B305*IBGE_2!C$305/100</f>
        <v>22</v>
      </c>
      <c r="D305" s="142">
        <f>B305*IBGE_2!D$305/100</f>
        <v>1.61</v>
      </c>
      <c r="E305" s="142">
        <f>B305*IBGE_2!E$305/100</f>
        <v>0.26</v>
      </c>
      <c r="F305" s="142">
        <f>B305*IBGE_2!F$305/100</f>
        <v>0.06</v>
      </c>
      <c r="G305" s="142" t="s">
        <v>3047</v>
      </c>
      <c r="H305" s="142">
        <f>B305*IBGE_2!H$305/100</f>
        <v>0.11</v>
      </c>
      <c r="I305" s="142">
        <f>B305*IBGE_2!I$305/100</f>
        <v>0.1</v>
      </c>
      <c r="J305" s="142">
        <f>B305*IBGE_2!J$305/100</f>
        <v>0.02</v>
      </c>
      <c r="K305" s="142" t="s">
        <v>3047</v>
      </c>
      <c r="L305" s="142">
        <f>B305*IBGE_2!L$305/100</f>
        <v>4.3099999999999996</v>
      </c>
      <c r="M305" s="142">
        <f>B305*IBGE_2!M$305/100</f>
        <v>3.99</v>
      </c>
      <c r="N305" s="142">
        <f>B305*IBGE_2!N$305/100</f>
        <v>64</v>
      </c>
      <c r="O305" s="142">
        <f>B305*IBGE_2!O$305/100</f>
        <v>18</v>
      </c>
      <c r="P305" s="142">
        <f>B305*IBGE_2!P$305/100</f>
        <v>0.55000000000000004</v>
      </c>
      <c r="Q305" s="142">
        <f>B305*IBGE_2!Q$305/100</f>
        <v>32</v>
      </c>
      <c r="R305" s="142">
        <f>B305*IBGE_2!R$305/100</f>
        <v>1.02</v>
      </c>
      <c r="S305" s="142">
        <f>B305*IBGE_2!S$305/100</f>
        <v>29</v>
      </c>
      <c r="T305" s="142">
        <f>B305*IBGE_2!T$305/100</f>
        <v>364</v>
      </c>
      <c r="U305" s="142">
        <f>B305*IBGE_2!U$305/100</f>
        <v>0.12</v>
      </c>
      <c r="V305" s="142">
        <f>B305*IBGE_2!V$305/100</f>
        <v>0.97</v>
      </c>
      <c r="W305" s="142" t="s">
        <v>3047</v>
      </c>
      <c r="X305" s="142">
        <f>B305*IBGE_2!X$305/100</f>
        <v>0.09</v>
      </c>
      <c r="Y305" s="142">
        <f>B305*IBGE_2!Y$305/100</f>
        <v>0.09</v>
      </c>
      <c r="Z305" s="142">
        <f>B305*IBGE_2!Z$305/100</f>
        <v>0.02</v>
      </c>
      <c r="AA305" s="142">
        <f>B305*IBGE_2!AA$305/100</f>
        <v>0.46</v>
      </c>
      <c r="AB305" s="142">
        <f>B305*IBGE_2!AB$305/100</f>
        <v>5.0199999999999996</v>
      </c>
      <c r="AC305" s="142">
        <f>B305*IBGE_2!AC$305/100</f>
        <v>0.63</v>
      </c>
      <c r="AD305" s="142" t="s">
        <v>3047</v>
      </c>
      <c r="AE305" s="142">
        <f>B305*IBGE_2!AE$305/100</f>
        <v>119</v>
      </c>
      <c r="AF305" s="142" t="s">
        <v>3047</v>
      </c>
      <c r="AG305" s="142">
        <f>B305*IBGE_2!AG$305/100</f>
        <v>0.65</v>
      </c>
      <c r="AH305" s="142" t="s">
        <v>3047</v>
      </c>
      <c r="AI305" s="142">
        <f>B305*IBGE_2!AI$305/100</f>
        <v>210</v>
      </c>
      <c r="AJ305" s="142">
        <f>B305*IBGE_2!AJ$305/100</f>
        <v>0.26</v>
      </c>
      <c r="AK305" s="142">
        <f>B305*IBGE_2!AK$305/100</f>
        <v>80</v>
      </c>
      <c r="AL305" s="142">
        <f>B305*IBGE_2!AL$305/100</f>
        <v>0.65</v>
      </c>
      <c r="AM305" s="145" t="s">
        <v>3047</v>
      </c>
      <c r="AN305" s="161"/>
    </row>
    <row r="306" spans="1:40">
      <c r="A306" s="143" t="s">
        <v>1365</v>
      </c>
      <c r="B306" s="141">
        <v>100</v>
      </c>
      <c r="C306" s="142">
        <f>B306*IBGE_2!C$306/100</f>
        <v>52.88</v>
      </c>
      <c r="D306" s="142">
        <f>B306*IBGE_2!D$306/100</f>
        <v>1.61</v>
      </c>
      <c r="E306" s="142">
        <f>B306*IBGE_2!E$306/100</f>
        <v>3.75</v>
      </c>
      <c r="F306" s="142">
        <f>B306*IBGE_2!F$306/100</f>
        <v>0.56000000000000005</v>
      </c>
      <c r="G306" s="142">
        <f>B306*IBGE_2!G$306/100</f>
        <v>0.81</v>
      </c>
      <c r="H306" s="142">
        <f>B306*IBGE_2!H$306/100</f>
        <v>2.13</v>
      </c>
      <c r="I306" s="142">
        <f>B306*IBGE_2!I$306/100</f>
        <v>1.88</v>
      </c>
      <c r="J306" s="142">
        <f>B306*IBGE_2!J$306/100</f>
        <v>0.26</v>
      </c>
      <c r="K306" s="142" t="s">
        <v>3047</v>
      </c>
      <c r="L306" s="142">
        <f>B306*IBGE_2!L$306/100</f>
        <v>4.3099999999999996</v>
      </c>
      <c r="M306" s="142">
        <f>B306*IBGE_2!M$306/100</f>
        <v>3.99</v>
      </c>
      <c r="N306" s="142">
        <f>B306*IBGE_2!N$306/100</f>
        <v>64</v>
      </c>
      <c r="O306" s="142">
        <f>B306*IBGE_2!O$306/100</f>
        <v>18</v>
      </c>
      <c r="P306" s="142">
        <f>B306*IBGE_2!P$306/100</f>
        <v>0.55000000000000004</v>
      </c>
      <c r="Q306" s="142">
        <f>B306*IBGE_2!Q$306/100</f>
        <v>32</v>
      </c>
      <c r="R306" s="142">
        <f>B306*IBGE_2!R$306/100</f>
        <v>1.02</v>
      </c>
      <c r="S306" s="142">
        <f>B306*IBGE_2!S$306/100</f>
        <v>29</v>
      </c>
      <c r="T306" s="142">
        <f>B306*IBGE_2!T$306/100</f>
        <v>364</v>
      </c>
      <c r="U306" s="142">
        <f>B306*IBGE_2!U$306/100</f>
        <v>0.12</v>
      </c>
      <c r="V306" s="142">
        <f>B306*IBGE_2!V$306/100</f>
        <v>0.97</v>
      </c>
      <c r="W306" s="142" t="s">
        <v>3047</v>
      </c>
      <c r="X306" s="142">
        <f>B306*IBGE_2!X$306/100</f>
        <v>0.09</v>
      </c>
      <c r="Y306" s="142">
        <f>B306*IBGE_2!Y$306/100</f>
        <v>0.09</v>
      </c>
      <c r="Z306" s="142">
        <f>B306*IBGE_2!Z$306/100</f>
        <v>0.02</v>
      </c>
      <c r="AA306" s="142">
        <f>B306*IBGE_2!AA$306/100</f>
        <v>0.46</v>
      </c>
      <c r="AB306" s="142">
        <f>B306*IBGE_2!AB$306/100</f>
        <v>5.0199999999999996</v>
      </c>
      <c r="AC306" s="142">
        <f>B306*IBGE_2!AC$306/100</f>
        <v>0.63</v>
      </c>
      <c r="AD306" s="142" t="s">
        <v>3047</v>
      </c>
      <c r="AE306" s="142">
        <f>B306*IBGE_2!AE$306/100</f>
        <v>119</v>
      </c>
      <c r="AF306" s="142" t="s">
        <v>3047</v>
      </c>
      <c r="AG306" s="142">
        <f>B306*IBGE_2!AG$306/100</f>
        <v>0.97</v>
      </c>
      <c r="AH306" s="142" t="s">
        <v>3047</v>
      </c>
      <c r="AI306" s="142">
        <f>B306*IBGE_2!AI$306/100</f>
        <v>210</v>
      </c>
      <c r="AJ306" s="142">
        <f>B306*IBGE_2!AJ$306/100</f>
        <v>1.86</v>
      </c>
      <c r="AK306" s="142">
        <f>B306*IBGE_2!AK$306/100</f>
        <v>80</v>
      </c>
      <c r="AL306" s="142">
        <f>B306*IBGE_2!AL$306/100</f>
        <v>0.65</v>
      </c>
      <c r="AM306" s="145" t="s">
        <v>3047</v>
      </c>
      <c r="AN306" s="161"/>
    </row>
    <row r="307" spans="1:40">
      <c r="A307" s="143" t="s">
        <v>1366</v>
      </c>
      <c r="B307" s="141">
        <v>100</v>
      </c>
      <c r="C307" s="142">
        <f>B307*IBGE_2!C$307/100</f>
        <v>22</v>
      </c>
      <c r="D307" s="142">
        <f>B307*IBGE_2!D$307/100</f>
        <v>1.61</v>
      </c>
      <c r="E307" s="142">
        <f>B307*IBGE_2!E$307/100</f>
        <v>0.26</v>
      </c>
      <c r="F307" s="142">
        <f>B307*IBGE_2!F$307/100</f>
        <v>0.06</v>
      </c>
      <c r="G307" s="142" t="s">
        <v>3047</v>
      </c>
      <c r="H307" s="142">
        <f>B307*IBGE_2!H$307/100</f>
        <v>0.11</v>
      </c>
      <c r="I307" s="142">
        <f>B307*IBGE_2!I$307/100</f>
        <v>0.1</v>
      </c>
      <c r="J307" s="142">
        <f>B307*IBGE_2!J$307/100</f>
        <v>0.02</v>
      </c>
      <c r="K307" s="142" t="s">
        <v>3047</v>
      </c>
      <c r="L307" s="142">
        <f>B307*IBGE_2!L$307/100</f>
        <v>4.3099999999999996</v>
      </c>
      <c r="M307" s="142">
        <f>B307*IBGE_2!M$307/100</f>
        <v>3.99</v>
      </c>
      <c r="N307" s="142">
        <f>B307*IBGE_2!N$307/100</f>
        <v>64</v>
      </c>
      <c r="O307" s="142">
        <f>B307*IBGE_2!O$307/100</f>
        <v>18</v>
      </c>
      <c r="P307" s="142">
        <f>B307*IBGE_2!P$307/100</f>
        <v>0.55000000000000004</v>
      </c>
      <c r="Q307" s="142">
        <f>B307*IBGE_2!Q$307/100</f>
        <v>32</v>
      </c>
      <c r="R307" s="142">
        <f>B307*IBGE_2!R$307/100</f>
        <v>1.02</v>
      </c>
      <c r="S307" s="142">
        <f>B307*IBGE_2!S$307/100</f>
        <v>29</v>
      </c>
      <c r="T307" s="142">
        <f>B307*IBGE_2!T$307/100</f>
        <v>364</v>
      </c>
      <c r="U307" s="142">
        <f>B307*IBGE_2!U$307/100</f>
        <v>0.12</v>
      </c>
      <c r="V307" s="142">
        <f>B307*IBGE_2!V$307/100</f>
        <v>0.97</v>
      </c>
      <c r="W307" s="142" t="s">
        <v>3047</v>
      </c>
      <c r="X307" s="142">
        <f>B307*IBGE_2!X$307/100</f>
        <v>0.09</v>
      </c>
      <c r="Y307" s="142">
        <f>B307*IBGE_2!Y$307/100</f>
        <v>0.09</v>
      </c>
      <c r="Z307" s="142">
        <f>B307*IBGE_2!Z$307/100</f>
        <v>0.02</v>
      </c>
      <c r="AA307" s="142">
        <f>B307*IBGE_2!AA$307/100</f>
        <v>0.46</v>
      </c>
      <c r="AB307" s="142">
        <f>B307*IBGE_2!AB$307/100</f>
        <v>5.0199999999999996</v>
      </c>
      <c r="AC307" s="142">
        <f>B307*IBGE_2!AC$307/100</f>
        <v>0.63</v>
      </c>
      <c r="AD307" s="142" t="s">
        <v>3047</v>
      </c>
      <c r="AE307" s="142">
        <f>B307*IBGE_2!AE$307/100</f>
        <v>119</v>
      </c>
      <c r="AF307" s="142" t="s">
        <v>3047</v>
      </c>
      <c r="AG307" s="142">
        <f>B307*IBGE_2!AG$307/100</f>
        <v>0.65</v>
      </c>
      <c r="AH307" s="142" t="s">
        <v>3047</v>
      </c>
      <c r="AI307" s="142">
        <f>B307*IBGE_2!AI$307/100</f>
        <v>210</v>
      </c>
      <c r="AJ307" s="142">
        <f>B307*IBGE_2!AJ$307/100</f>
        <v>0.26</v>
      </c>
      <c r="AK307" s="142">
        <f>B307*IBGE_2!AK$307/100</f>
        <v>80</v>
      </c>
      <c r="AL307" s="142">
        <f>B307*IBGE_2!AL$307/100</f>
        <v>0.65</v>
      </c>
      <c r="AM307" s="145" t="s">
        <v>3047</v>
      </c>
      <c r="AN307" s="161"/>
    </row>
    <row r="308" spans="1:40">
      <c r="A308" s="143" t="s">
        <v>1367</v>
      </c>
      <c r="B308" s="141">
        <v>100</v>
      </c>
      <c r="C308" s="142">
        <f>B308*IBGE_2!C$308/100</f>
        <v>17</v>
      </c>
      <c r="D308" s="142">
        <f>B308*IBGE_2!D$308/100</f>
        <v>1.25</v>
      </c>
      <c r="E308" s="142">
        <f>B308*IBGE_2!E$308/100</f>
        <v>0.2</v>
      </c>
      <c r="F308" s="142">
        <f>B308*IBGE_2!F$308/100</f>
        <v>0.05</v>
      </c>
      <c r="G308" s="142" t="s">
        <v>3047</v>
      </c>
      <c r="H308" s="142">
        <f>B308*IBGE_2!H$308/100</f>
        <v>0.09</v>
      </c>
      <c r="I308" s="142">
        <f>B308*IBGE_2!I$308/100</f>
        <v>0.08</v>
      </c>
      <c r="J308" s="142">
        <f>B308*IBGE_2!J$308/100</f>
        <v>0.01</v>
      </c>
      <c r="K308" s="142" t="s">
        <v>3047</v>
      </c>
      <c r="L308" s="142">
        <f>B308*IBGE_2!L$308/100</f>
        <v>3.35</v>
      </c>
      <c r="M308" s="142">
        <f>B308*IBGE_2!M$308/100</f>
        <v>3.1</v>
      </c>
      <c r="N308" s="142">
        <f>B308*IBGE_2!N$308/100</f>
        <v>52</v>
      </c>
      <c r="O308" s="142">
        <f>B308*IBGE_2!O$308/100</f>
        <v>15</v>
      </c>
      <c r="P308" s="142">
        <f>B308*IBGE_2!P$308/100</f>
        <v>0.42</v>
      </c>
      <c r="Q308" s="142">
        <f>B308*IBGE_2!Q$308/100</f>
        <v>28</v>
      </c>
      <c r="R308" s="142">
        <f>B308*IBGE_2!R$308/100</f>
        <v>0.83</v>
      </c>
      <c r="S308" s="142">
        <f>B308*IBGE_2!S$308/100</f>
        <v>22</v>
      </c>
      <c r="T308" s="142">
        <f>B308*IBGE_2!T$308/100</f>
        <v>314</v>
      </c>
      <c r="U308" s="142">
        <f>B308*IBGE_2!U$308/100</f>
        <v>0.1</v>
      </c>
      <c r="V308" s="142">
        <f>B308*IBGE_2!V$308/100</f>
        <v>0.79</v>
      </c>
      <c r="W308" s="142" t="s">
        <v>3047</v>
      </c>
      <c r="X308" s="142">
        <f>B308*IBGE_2!X$308/100</f>
        <v>0.08</v>
      </c>
      <c r="Y308" s="142">
        <f>B308*IBGE_2!Y$308/100</f>
        <v>0.08</v>
      </c>
      <c r="Z308" s="142">
        <f>B308*IBGE_2!Z$308/100</f>
        <v>0.02</v>
      </c>
      <c r="AA308" s="142">
        <f>B308*IBGE_2!AA$308/100</f>
        <v>0.4</v>
      </c>
      <c r="AB308" s="142">
        <f>B308*IBGE_2!AB$308/100</f>
        <v>6.5</v>
      </c>
      <c r="AC308" s="142">
        <f>B308*IBGE_2!AC$308/100</f>
        <v>0.48</v>
      </c>
      <c r="AD308" s="142" t="s">
        <v>3047</v>
      </c>
      <c r="AE308" s="142">
        <f>B308*IBGE_2!AE$308/100</f>
        <v>142</v>
      </c>
      <c r="AF308" s="142" t="s">
        <v>3047</v>
      </c>
      <c r="AG308" s="142">
        <f>B308*IBGE_2!AG$308/100</f>
        <v>0.44</v>
      </c>
      <c r="AH308" s="142" t="s">
        <v>3047</v>
      </c>
      <c r="AI308" s="145" t="s">
        <v>3047</v>
      </c>
      <c r="AJ308" s="142">
        <f>B308*IBGE_2!AJ$308/100</f>
        <v>0.2</v>
      </c>
      <c r="AK308" s="142">
        <f>B308*IBGE_2!AK$308/100</f>
        <v>108.33</v>
      </c>
      <c r="AL308" s="142">
        <f>B308*IBGE_2!AL$308/100</f>
        <v>0.5</v>
      </c>
      <c r="AM308" s="145" t="s">
        <v>3047</v>
      </c>
      <c r="AN308" s="161"/>
    </row>
    <row r="309" spans="1:40">
      <c r="A309" s="143" t="s">
        <v>1368</v>
      </c>
      <c r="B309" s="141">
        <v>100</v>
      </c>
      <c r="C309" s="142">
        <f>B309*IBGE_2!C$309/100</f>
        <v>52.88</v>
      </c>
      <c r="D309" s="142">
        <f>B309*IBGE_2!D$309/100</f>
        <v>1.61</v>
      </c>
      <c r="E309" s="142">
        <f>B309*IBGE_2!E$309/100</f>
        <v>3.75</v>
      </c>
      <c r="F309" s="142">
        <f>B309*IBGE_2!F$309/100</f>
        <v>0.56000000000000005</v>
      </c>
      <c r="G309" s="142">
        <f>B309*IBGE_2!G$309/100</f>
        <v>0.81</v>
      </c>
      <c r="H309" s="142">
        <f>B309*IBGE_2!H$309/100</f>
        <v>2.13</v>
      </c>
      <c r="I309" s="142">
        <f>B309*IBGE_2!I$309/100</f>
        <v>1.88</v>
      </c>
      <c r="J309" s="142">
        <f>B309*IBGE_2!J$309/100</f>
        <v>0.26</v>
      </c>
      <c r="K309" s="142" t="s">
        <v>3047</v>
      </c>
      <c r="L309" s="142">
        <f>B309*IBGE_2!L$309/100</f>
        <v>4.3099999999999996</v>
      </c>
      <c r="M309" s="142">
        <f>B309*IBGE_2!M$309/100</f>
        <v>3.99</v>
      </c>
      <c r="N309" s="142">
        <f>B309*IBGE_2!N$309/100</f>
        <v>64</v>
      </c>
      <c r="O309" s="142">
        <f>B309*IBGE_2!O$309/100</f>
        <v>18</v>
      </c>
      <c r="P309" s="142">
        <f>B309*IBGE_2!P$309/100</f>
        <v>0.55000000000000004</v>
      </c>
      <c r="Q309" s="142">
        <f>B309*IBGE_2!Q$309/100</f>
        <v>32</v>
      </c>
      <c r="R309" s="142">
        <f>B309*IBGE_2!R$309/100</f>
        <v>1.02</v>
      </c>
      <c r="S309" s="142">
        <f>B309*IBGE_2!S$309/100</f>
        <v>29</v>
      </c>
      <c r="T309" s="142">
        <f>B309*IBGE_2!T$309/100</f>
        <v>364</v>
      </c>
      <c r="U309" s="142">
        <f>B309*IBGE_2!U$309/100</f>
        <v>0.12</v>
      </c>
      <c r="V309" s="142">
        <f>B309*IBGE_2!V$309/100</f>
        <v>0.97</v>
      </c>
      <c r="W309" s="142" t="s">
        <v>3047</v>
      </c>
      <c r="X309" s="142">
        <f>B309*IBGE_2!X$309/100</f>
        <v>0.09</v>
      </c>
      <c r="Y309" s="142">
        <f>B309*IBGE_2!Y$309/100</f>
        <v>0.09</v>
      </c>
      <c r="Z309" s="142">
        <f>B309*IBGE_2!Z$309/100</f>
        <v>0.02</v>
      </c>
      <c r="AA309" s="142">
        <f>B309*IBGE_2!AA$309/100</f>
        <v>0.46</v>
      </c>
      <c r="AB309" s="142">
        <f>B309*IBGE_2!AB$309/100</f>
        <v>5.0199999999999996</v>
      </c>
      <c r="AC309" s="142">
        <f>B309*IBGE_2!AC$309/100</f>
        <v>0.63</v>
      </c>
      <c r="AD309" s="142" t="s">
        <v>3047</v>
      </c>
      <c r="AE309" s="142">
        <f>B309*IBGE_2!AE$309/100</f>
        <v>119</v>
      </c>
      <c r="AF309" s="142" t="s">
        <v>3047</v>
      </c>
      <c r="AG309" s="142">
        <f>B309*IBGE_2!AG$309/100</f>
        <v>0.97</v>
      </c>
      <c r="AH309" s="142" t="s">
        <v>3047</v>
      </c>
      <c r="AI309" s="142">
        <f>B309*IBGE_2!AI$309/100</f>
        <v>210</v>
      </c>
      <c r="AJ309" s="142">
        <f>B309*IBGE_2!AJ$309/100</f>
        <v>1.86</v>
      </c>
      <c r="AK309" s="142">
        <f>B309*IBGE_2!AK$309/100</f>
        <v>80</v>
      </c>
      <c r="AL309" s="142">
        <f>B309*IBGE_2!AL$309/100</f>
        <v>0.65</v>
      </c>
      <c r="AM309" s="145" t="s">
        <v>3047</v>
      </c>
      <c r="AN309" s="161"/>
    </row>
    <row r="310" spans="1:40">
      <c r="A310" s="143" t="s">
        <v>1369</v>
      </c>
      <c r="B310" s="141">
        <v>100</v>
      </c>
      <c r="C310" s="142">
        <f>B310*IBGE_2!C$310/100</f>
        <v>22</v>
      </c>
      <c r="D310" s="142">
        <f>B310*IBGE_2!D$310/100</f>
        <v>1.61</v>
      </c>
      <c r="E310" s="142">
        <f>B310*IBGE_2!E$310/100</f>
        <v>0.26</v>
      </c>
      <c r="F310" s="142">
        <f>B310*IBGE_2!F$310/100</f>
        <v>0.06</v>
      </c>
      <c r="G310" s="142" t="s">
        <v>3047</v>
      </c>
      <c r="H310" s="142">
        <f>B310*IBGE_2!H$310/100</f>
        <v>0.11</v>
      </c>
      <c r="I310" s="142">
        <f>B310*IBGE_2!I$310/100</f>
        <v>0.1</v>
      </c>
      <c r="J310" s="142">
        <f>B310*IBGE_2!J$310/100</f>
        <v>0.02</v>
      </c>
      <c r="K310" s="142" t="s">
        <v>3047</v>
      </c>
      <c r="L310" s="142">
        <f>B310*IBGE_2!L$310/100</f>
        <v>4.3099999999999996</v>
      </c>
      <c r="M310" s="142">
        <f>B310*IBGE_2!M$310/100</f>
        <v>3.99</v>
      </c>
      <c r="N310" s="142">
        <f>B310*IBGE_2!N$310/100</f>
        <v>64</v>
      </c>
      <c r="O310" s="142">
        <f>B310*IBGE_2!O$310/100</f>
        <v>18</v>
      </c>
      <c r="P310" s="142">
        <f>B310*IBGE_2!P$310/100</f>
        <v>0.55000000000000004</v>
      </c>
      <c r="Q310" s="142">
        <f>B310*IBGE_2!Q$310/100</f>
        <v>32</v>
      </c>
      <c r="R310" s="142">
        <f>B310*IBGE_2!R$310/100</f>
        <v>1.02</v>
      </c>
      <c r="S310" s="142">
        <f>B310*IBGE_2!S$310/100</f>
        <v>29</v>
      </c>
      <c r="T310" s="142">
        <f>B310*IBGE_2!T$310/100</f>
        <v>364</v>
      </c>
      <c r="U310" s="142">
        <f>B310*IBGE_2!U$310/100</f>
        <v>0.12</v>
      </c>
      <c r="V310" s="142">
        <f>B310*IBGE_2!V$310/100</f>
        <v>0.97</v>
      </c>
      <c r="W310" s="142" t="s">
        <v>3047</v>
      </c>
      <c r="X310" s="142">
        <f>B310*IBGE_2!X$310/100</f>
        <v>0.09</v>
      </c>
      <c r="Y310" s="142">
        <f>B310*IBGE_2!Y$310/100</f>
        <v>0.09</v>
      </c>
      <c r="Z310" s="142">
        <f>B310*IBGE_2!Z$310/100</f>
        <v>0.02</v>
      </c>
      <c r="AA310" s="142">
        <f>B310*IBGE_2!AA$310/100</f>
        <v>0.46</v>
      </c>
      <c r="AB310" s="142">
        <f>B310*IBGE_2!AB$310/100</f>
        <v>5.0199999999999996</v>
      </c>
      <c r="AC310" s="142">
        <f>B310*IBGE_2!AC$310/100</f>
        <v>0.63</v>
      </c>
      <c r="AD310" s="142" t="s">
        <v>3047</v>
      </c>
      <c r="AE310" s="142">
        <f>B310*IBGE_2!AE$310/100</f>
        <v>119</v>
      </c>
      <c r="AF310" s="142" t="s">
        <v>3047</v>
      </c>
      <c r="AG310" s="142">
        <f>B310*IBGE_2!AG$310/100</f>
        <v>0.65</v>
      </c>
      <c r="AH310" s="142" t="s">
        <v>3047</v>
      </c>
      <c r="AI310" s="142">
        <f>B310*IBGE_2!AI$310/100</f>
        <v>210</v>
      </c>
      <c r="AJ310" s="142">
        <f>B310*IBGE_2!AJ$310/100</f>
        <v>0.26</v>
      </c>
      <c r="AK310" s="142">
        <f>B310*IBGE_2!AK$310/100</f>
        <v>80</v>
      </c>
      <c r="AL310" s="142">
        <f>B310*IBGE_2!AL$310/100</f>
        <v>0.65</v>
      </c>
      <c r="AM310" s="145" t="s">
        <v>3047</v>
      </c>
      <c r="AN310" s="161"/>
    </row>
    <row r="311" spans="1:40">
      <c r="A311" s="143" t="s">
        <v>1370</v>
      </c>
      <c r="B311" s="141">
        <v>100</v>
      </c>
      <c r="C311" s="142">
        <f>B311*IBGE_2!C$311/100</f>
        <v>34</v>
      </c>
      <c r="D311" s="142">
        <f>B311*IBGE_2!D$311/100</f>
        <v>2.82</v>
      </c>
      <c r="E311" s="142">
        <f>B311*IBGE_2!E$311/100</f>
        <v>0.37</v>
      </c>
      <c r="F311" s="142">
        <f>B311*IBGE_2!F$311/100</f>
        <v>3.9E-2</v>
      </c>
      <c r="G311" s="142">
        <f>B311*IBGE_2!G$311/100</f>
        <v>1.0999999999999999E-2</v>
      </c>
      <c r="H311" s="142">
        <f>B311*IBGE_2!H$311/100</f>
        <v>3.7999999999999999E-2</v>
      </c>
      <c r="I311" s="142">
        <f>B311*IBGE_2!I$311/100</f>
        <v>1.7000000000000001E-2</v>
      </c>
      <c r="J311" s="142">
        <f>B311*IBGE_2!J$311/100</f>
        <v>2.1000000000000001E-2</v>
      </c>
      <c r="K311" s="142" t="s">
        <v>3047</v>
      </c>
      <c r="L311" s="142">
        <f>B311*IBGE_2!L$311/100</f>
        <v>6.64</v>
      </c>
      <c r="M311" s="142">
        <f>B311*IBGE_2!M$311/100</f>
        <v>2.6</v>
      </c>
      <c r="N311" s="142">
        <f>B311*IBGE_2!N$311/100</f>
        <v>47</v>
      </c>
      <c r="O311" s="142">
        <f>B311*IBGE_2!O$311/100</f>
        <v>21</v>
      </c>
      <c r="P311" s="142">
        <f>B311*IBGE_2!P$311/100</f>
        <v>0.21</v>
      </c>
      <c r="Q311" s="142">
        <f>B311*IBGE_2!Q$311/100</f>
        <v>66</v>
      </c>
      <c r="R311" s="142">
        <f>B311*IBGE_2!R$311/100</f>
        <v>0.73</v>
      </c>
      <c r="S311" s="142">
        <f>B311*IBGE_2!S$311/100</f>
        <v>33</v>
      </c>
      <c r="T311" s="142">
        <f>B311*IBGE_2!T$311/100</f>
        <v>316</v>
      </c>
      <c r="U311" s="142">
        <f>B311*IBGE_2!U$311/100</f>
        <v>4.9000000000000002E-2</v>
      </c>
      <c r="V311" s="142">
        <f>B311*IBGE_2!V$311/100</f>
        <v>0.41</v>
      </c>
      <c r="W311" s="142" t="s">
        <v>3047</v>
      </c>
      <c r="X311" s="142">
        <f>B311*IBGE_2!X$311/100</f>
        <v>7.0999999999999994E-2</v>
      </c>
      <c r="Y311" s="142">
        <f>B311*IBGE_2!Y$311/100</f>
        <v>0.11700000000000001</v>
      </c>
      <c r="Z311" s="142">
        <f>B311*IBGE_2!Z$311/100</f>
        <v>0.17499999999999999</v>
      </c>
      <c r="AA311" s="142">
        <f>B311*IBGE_2!AA$311/100</f>
        <v>0.63900000000000001</v>
      </c>
      <c r="AB311" s="142">
        <f>B311*IBGE_2!AB$311/100</f>
        <v>89.2</v>
      </c>
      <c r="AC311" s="142">
        <f>B311*IBGE_2!AC$311/100</f>
        <v>1.1890000000000001</v>
      </c>
      <c r="AD311" s="142" t="s">
        <v>3047</v>
      </c>
      <c r="AE311" s="142">
        <f>B311*IBGE_2!AE$311/100</f>
        <v>63</v>
      </c>
      <c r="AF311" s="142" t="s">
        <v>3047</v>
      </c>
      <c r="AG311" s="142">
        <f>B311*IBGE_2!AG$311/100</f>
        <v>1.44</v>
      </c>
      <c r="AH311" s="142" t="s">
        <v>3047</v>
      </c>
      <c r="AI311" s="145" t="s">
        <v>3047</v>
      </c>
      <c r="AJ311" s="142">
        <f>B311*IBGE_2!AJ$311/100</f>
        <v>2.5</v>
      </c>
      <c r="AK311" s="142">
        <f>B311*IBGE_2!AK$311/100</f>
        <v>31.167000000000002</v>
      </c>
      <c r="AL311" s="142">
        <f>B311*IBGE_2!AL$311/100</f>
        <v>1.69</v>
      </c>
      <c r="AM311" s="145" t="s">
        <v>3047</v>
      </c>
      <c r="AN311" s="161"/>
    </row>
    <row r="312" spans="1:40">
      <c r="A312" s="143" t="s">
        <v>1371</v>
      </c>
      <c r="B312" s="141">
        <v>100</v>
      </c>
      <c r="C312" s="142">
        <f>B312*IBGE_2!C$312/100</f>
        <v>35</v>
      </c>
      <c r="D312" s="142">
        <f>B312*IBGE_2!D$312/100</f>
        <v>2.38</v>
      </c>
      <c r="E312" s="142">
        <f>B312*IBGE_2!E$312/100</f>
        <v>0.41</v>
      </c>
      <c r="F312" s="142">
        <f>B312*IBGE_2!F$312/100</f>
        <v>0.08</v>
      </c>
      <c r="G312" s="142">
        <f>B312*IBGE_2!G$312/100</f>
        <v>0.04</v>
      </c>
      <c r="H312" s="142">
        <f>B312*IBGE_2!H$312/100</f>
        <v>0.17</v>
      </c>
      <c r="I312" s="142">
        <f>B312*IBGE_2!I$312/100</f>
        <v>0.05</v>
      </c>
      <c r="J312" s="142">
        <f>B312*IBGE_2!J$312/100</f>
        <v>0.12</v>
      </c>
      <c r="K312" s="142" t="s">
        <v>3047</v>
      </c>
      <c r="L312" s="142">
        <f>B312*IBGE_2!L$312/100</f>
        <v>7.18</v>
      </c>
      <c r="M312" s="142">
        <f>B312*IBGE_2!M$312/100</f>
        <v>3.3</v>
      </c>
      <c r="N312" s="142">
        <f>B312*IBGE_2!N$312/100</f>
        <v>40</v>
      </c>
      <c r="O312" s="142">
        <f>B312*IBGE_2!O$312/100</f>
        <v>21</v>
      </c>
      <c r="P312" s="142">
        <f>B312*IBGE_2!P$312/100</f>
        <v>0.19</v>
      </c>
      <c r="Q312" s="142">
        <f>B312*IBGE_2!Q$312/100</f>
        <v>67</v>
      </c>
      <c r="R312" s="142">
        <f>B312*IBGE_2!R$312/100</f>
        <v>0.67</v>
      </c>
      <c r="S312" s="142">
        <f>B312*IBGE_2!S$312/100</f>
        <v>41</v>
      </c>
      <c r="T312" s="142">
        <f>B312*IBGE_2!T$312/100</f>
        <v>293</v>
      </c>
      <c r="U312" s="142">
        <f>B312*IBGE_2!U$312/100</f>
        <v>0.06</v>
      </c>
      <c r="V312" s="142">
        <f>B312*IBGE_2!V$312/100</f>
        <v>0.45</v>
      </c>
      <c r="W312" s="142" t="s">
        <v>3047</v>
      </c>
      <c r="X312" s="142">
        <f>B312*IBGE_2!X$312/100</f>
        <v>0.06</v>
      </c>
      <c r="Y312" s="142">
        <f>B312*IBGE_2!Y$312/100</f>
        <v>0.12</v>
      </c>
      <c r="Z312" s="142">
        <f>B312*IBGE_2!Z$312/100</f>
        <v>0.2</v>
      </c>
      <c r="AA312" s="142">
        <f>B312*IBGE_2!AA$312/100</f>
        <v>0.55000000000000004</v>
      </c>
      <c r="AB312" s="142">
        <f>B312*IBGE_2!AB$312/100</f>
        <v>64.900000000000006</v>
      </c>
      <c r="AC312" s="142">
        <f>B312*IBGE_2!AC$312/100</f>
        <v>1.07</v>
      </c>
      <c r="AD312" s="142" t="s">
        <v>3047</v>
      </c>
      <c r="AE312" s="142">
        <f>B312*IBGE_2!AE$312/100</f>
        <v>108</v>
      </c>
      <c r="AF312" s="142" t="s">
        <v>3047</v>
      </c>
      <c r="AG312" s="142">
        <f>B312*IBGE_2!AG$312/100</f>
        <v>2.02</v>
      </c>
      <c r="AH312" s="142" t="s">
        <v>3047</v>
      </c>
      <c r="AI312" s="142">
        <f>B312*IBGE_2!AI$312/100</f>
        <v>242</v>
      </c>
      <c r="AJ312" s="142">
        <f>B312*IBGE_2!AJ$312/100</f>
        <v>1.6</v>
      </c>
      <c r="AK312" s="142">
        <f>B312*IBGE_2!AK$312/100</f>
        <v>77.42</v>
      </c>
      <c r="AL312" s="142">
        <f>B312*IBGE_2!AL$312/100</f>
        <v>1.31</v>
      </c>
      <c r="AM312" s="145" t="s">
        <v>3047</v>
      </c>
      <c r="AN312" s="161"/>
    </row>
    <row r="313" spans="1:40">
      <c r="A313" s="143" t="s">
        <v>1372</v>
      </c>
      <c r="B313" s="141">
        <v>100</v>
      </c>
      <c r="C313" s="142">
        <f>B313*IBGE_2!C$313/100</f>
        <v>181.23</v>
      </c>
      <c r="D313" s="142">
        <f>B313*IBGE_2!D$313/100</f>
        <v>4.18</v>
      </c>
      <c r="E313" s="142">
        <f>B313*IBGE_2!E$313/100</f>
        <v>11.48</v>
      </c>
      <c r="F313" s="142">
        <f>B313*IBGE_2!F$313/100</f>
        <v>1.87</v>
      </c>
      <c r="G313" s="142">
        <f>B313*IBGE_2!G$313/100</f>
        <v>2.82</v>
      </c>
      <c r="H313" s="142">
        <f>B313*IBGE_2!H$313/100</f>
        <v>6.03</v>
      </c>
      <c r="I313" s="142">
        <f>B313*IBGE_2!I$313/100</f>
        <v>5.26</v>
      </c>
      <c r="J313" s="142">
        <f>B313*IBGE_2!J$313/100</f>
        <v>0.74</v>
      </c>
      <c r="K313" s="142">
        <f>B313*IBGE_2!K$313/100</f>
        <v>49.88</v>
      </c>
      <c r="L313" s="142">
        <f>B313*IBGE_2!L$313/100</f>
        <v>15.43</v>
      </c>
      <c r="M313" s="142">
        <f>B313*IBGE_2!M$313/100</f>
        <v>2.06</v>
      </c>
      <c r="N313" s="142">
        <f>B313*IBGE_2!N$313/100</f>
        <v>29.41</v>
      </c>
      <c r="O313" s="142">
        <f>B313*IBGE_2!O$313/100</f>
        <v>16.96</v>
      </c>
      <c r="P313" s="142">
        <f>B313*IBGE_2!P$313/100</f>
        <v>0.22</v>
      </c>
      <c r="Q313" s="142">
        <f>B313*IBGE_2!Q$313/100</f>
        <v>73</v>
      </c>
      <c r="R313" s="142">
        <f>B313*IBGE_2!R$313/100</f>
        <v>1.23</v>
      </c>
      <c r="S313" s="142">
        <f>B313*IBGE_2!S$313/100</f>
        <v>243.98</v>
      </c>
      <c r="T313" s="142">
        <f>B313*IBGE_2!T$313/100</f>
        <v>194.28</v>
      </c>
      <c r="U313" s="142">
        <f>B313*IBGE_2!U$313/100</f>
        <v>0.05</v>
      </c>
      <c r="V313" s="142">
        <f>B313*IBGE_2!V$313/100</f>
        <v>0.47</v>
      </c>
      <c r="W313" s="142">
        <f>B313*IBGE_2!W$313/100</f>
        <v>19.760000000000002</v>
      </c>
      <c r="X313" s="142">
        <f>B313*IBGE_2!X$313/100</f>
        <v>0.16</v>
      </c>
      <c r="Y313" s="142">
        <f>B313*IBGE_2!Y$313/100</f>
        <v>0.2</v>
      </c>
      <c r="Z313" s="142">
        <f>B313*IBGE_2!Z$313/100</f>
        <v>0.13</v>
      </c>
      <c r="AA313" s="142">
        <f>B313*IBGE_2!AA$313/100</f>
        <v>1.18</v>
      </c>
      <c r="AB313" s="142">
        <f>B313*IBGE_2!AB$313/100</f>
        <v>31.69</v>
      </c>
      <c r="AC313" s="142">
        <f>B313*IBGE_2!AC$313/100</f>
        <v>2.04</v>
      </c>
      <c r="AD313" s="142">
        <f>B313*IBGE_2!AD$313/100</f>
        <v>0.13</v>
      </c>
      <c r="AE313" s="142">
        <f>B313*IBGE_2!AE$313/100</f>
        <v>88.12</v>
      </c>
      <c r="AF313" s="142">
        <f>B313*IBGE_2!AF$313/100</f>
        <v>0.15</v>
      </c>
      <c r="AG313" s="142">
        <f>B313*IBGE_2!AG$313/100</f>
        <v>2.0299999999999998</v>
      </c>
      <c r="AH313" s="142" t="s">
        <v>3047</v>
      </c>
      <c r="AI313" s="142">
        <f>B313*IBGE_2!AI$313/100</f>
        <v>242</v>
      </c>
      <c r="AJ313" s="142">
        <f>B313*IBGE_2!AJ$313/100</f>
        <v>13.96</v>
      </c>
      <c r="AK313" s="142">
        <f>B313*IBGE_2!AK$313/100</f>
        <v>57.72</v>
      </c>
      <c r="AL313" s="142">
        <f>B313*IBGE_2!AL$313/100</f>
        <v>1.21</v>
      </c>
      <c r="AM313" s="145" t="s">
        <v>3047</v>
      </c>
      <c r="AN313" s="161"/>
    </row>
    <row r="314" spans="1:40">
      <c r="A314" s="143" t="s">
        <v>1373</v>
      </c>
      <c r="B314" s="141">
        <v>100</v>
      </c>
      <c r="C314" s="142">
        <f>B314*IBGE_2!C$314/100</f>
        <v>60.74</v>
      </c>
      <c r="D314" s="142">
        <f>B314*IBGE_2!D$314/100</f>
        <v>2.38</v>
      </c>
      <c r="E314" s="142">
        <f>B314*IBGE_2!E$314/100</f>
        <v>3.32</v>
      </c>
      <c r="F314" s="142">
        <f>B314*IBGE_2!F$314/100</f>
        <v>0.5</v>
      </c>
      <c r="G314" s="142">
        <f>B314*IBGE_2!G$314/100</f>
        <v>0.72</v>
      </c>
      <c r="H314" s="142">
        <f>B314*IBGE_2!H$314/100</f>
        <v>1.86</v>
      </c>
      <c r="I314" s="142">
        <f>B314*IBGE_2!I$314/100</f>
        <v>1.54</v>
      </c>
      <c r="J314" s="142">
        <f>B314*IBGE_2!J$314/100</f>
        <v>0.32</v>
      </c>
      <c r="K314" s="142" t="s">
        <v>3047</v>
      </c>
      <c r="L314" s="142">
        <f>B314*IBGE_2!L$314/100</f>
        <v>7.18</v>
      </c>
      <c r="M314" s="142">
        <f>B314*IBGE_2!M$314/100</f>
        <v>3.3</v>
      </c>
      <c r="N314" s="142">
        <f>B314*IBGE_2!N$314/100</f>
        <v>40</v>
      </c>
      <c r="O314" s="142">
        <f>B314*IBGE_2!O$314/100</f>
        <v>21</v>
      </c>
      <c r="P314" s="142">
        <f>B314*IBGE_2!P$314/100</f>
        <v>0.19</v>
      </c>
      <c r="Q314" s="142">
        <f>B314*IBGE_2!Q$314/100</f>
        <v>67</v>
      </c>
      <c r="R314" s="142">
        <f>B314*IBGE_2!R$314/100</f>
        <v>0.67</v>
      </c>
      <c r="S314" s="142">
        <f>B314*IBGE_2!S$314/100</f>
        <v>41</v>
      </c>
      <c r="T314" s="142">
        <f>B314*IBGE_2!T$314/100</f>
        <v>293</v>
      </c>
      <c r="U314" s="142">
        <f>B314*IBGE_2!U$314/100</f>
        <v>0.06</v>
      </c>
      <c r="V314" s="142">
        <f>B314*IBGE_2!V$314/100</f>
        <v>0.45</v>
      </c>
      <c r="W314" s="142" t="s">
        <v>3047</v>
      </c>
      <c r="X314" s="142">
        <f>B314*IBGE_2!X$314/100</f>
        <v>0.06</v>
      </c>
      <c r="Y314" s="142">
        <f>B314*IBGE_2!Y$314/100</f>
        <v>0.12</v>
      </c>
      <c r="Z314" s="142">
        <f>B314*IBGE_2!Z$314/100</f>
        <v>0.2</v>
      </c>
      <c r="AA314" s="142">
        <f>B314*IBGE_2!AA$314/100</f>
        <v>0.55000000000000004</v>
      </c>
      <c r="AB314" s="142">
        <f>B314*IBGE_2!AB$314/100</f>
        <v>64.900000000000006</v>
      </c>
      <c r="AC314" s="142">
        <f>B314*IBGE_2!AC$314/100</f>
        <v>1.07</v>
      </c>
      <c r="AD314" s="142" t="s">
        <v>3047</v>
      </c>
      <c r="AE314" s="142">
        <f>B314*IBGE_2!AE$314/100</f>
        <v>108</v>
      </c>
      <c r="AF314" s="142" t="s">
        <v>3047</v>
      </c>
      <c r="AG314" s="142">
        <f>B314*IBGE_2!AG$314/100</f>
        <v>2.29</v>
      </c>
      <c r="AH314" s="142" t="s">
        <v>3047</v>
      </c>
      <c r="AI314" s="142">
        <f>B314*IBGE_2!AI$314/100</f>
        <v>242</v>
      </c>
      <c r="AJ314" s="142">
        <f>B314*IBGE_2!AJ$314/100</f>
        <v>2.93</v>
      </c>
      <c r="AK314" s="142">
        <f>B314*IBGE_2!AK$314/100</f>
        <v>77.42</v>
      </c>
      <c r="AL314" s="142">
        <f>B314*IBGE_2!AL$314/100</f>
        <v>1.31</v>
      </c>
      <c r="AM314" s="145" t="s">
        <v>3047</v>
      </c>
      <c r="AN314" s="161"/>
    </row>
    <row r="315" spans="1:40">
      <c r="A315" s="143" t="s">
        <v>1374</v>
      </c>
      <c r="B315" s="141">
        <v>100</v>
      </c>
      <c r="C315" s="142">
        <f>B315*IBGE_2!C$315/100</f>
        <v>60.74</v>
      </c>
      <c r="D315" s="142">
        <f>B315*IBGE_2!D$315/100</f>
        <v>2.38</v>
      </c>
      <c r="E315" s="142">
        <f>B315*IBGE_2!E$315/100</f>
        <v>3.32</v>
      </c>
      <c r="F315" s="142">
        <f>B315*IBGE_2!F$315/100</f>
        <v>0.5</v>
      </c>
      <c r="G315" s="142">
        <f>B315*IBGE_2!G$315/100</f>
        <v>0.72</v>
      </c>
      <c r="H315" s="142">
        <f>B315*IBGE_2!H$315/100</f>
        <v>1.86</v>
      </c>
      <c r="I315" s="142">
        <f>B315*IBGE_2!I$315/100</f>
        <v>1.54</v>
      </c>
      <c r="J315" s="142">
        <f>B315*IBGE_2!J$315/100</f>
        <v>0.32</v>
      </c>
      <c r="K315" s="142" t="s">
        <v>3047</v>
      </c>
      <c r="L315" s="142">
        <f>B315*IBGE_2!L$315/100</f>
        <v>7.18</v>
      </c>
      <c r="M315" s="142">
        <f>B315*IBGE_2!M$315/100</f>
        <v>3.3</v>
      </c>
      <c r="N315" s="142">
        <f>B315*IBGE_2!N$315/100</f>
        <v>40</v>
      </c>
      <c r="O315" s="142">
        <f>B315*IBGE_2!O$315/100</f>
        <v>21</v>
      </c>
      <c r="P315" s="142">
        <f>B315*IBGE_2!P$315/100</f>
        <v>0.19</v>
      </c>
      <c r="Q315" s="142">
        <f>B315*IBGE_2!Q$315/100</f>
        <v>67</v>
      </c>
      <c r="R315" s="142">
        <f>B315*IBGE_2!R$315/100</f>
        <v>0.67</v>
      </c>
      <c r="S315" s="142">
        <f>B315*IBGE_2!S$315/100</f>
        <v>41</v>
      </c>
      <c r="T315" s="142">
        <f>B315*IBGE_2!T$315/100</f>
        <v>293</v>
      </c>
      <c r="U315" s="142">
        <f>B315*IBGE_2!U$315/100</f>
        <v>0.06</v>
      </c>
      <c r="V315" s="142">
        <f>B315*IBGE_2!V$315/100</f>
        <v>0.45</v>
      </c>
      <c r="W315" s="142" t="s">
        <v>3047</v>
      </c>
      <c r="X315" s="142">
        <f>B315*IBGE_2!X$315/100</f>
        <v>0.06</v>
      </c>
      <c r="Y315" s="142">
        <f>B315*IBGE_2!Y$315/100</f>
        <v>0.12</v>
      </c>
      <c r="Z315" s="142">
        <f>B315*IBGE_2!Z$315/100</f>
        <v>0.2</v>
      </c>
      <c r="AA315" s="142">
        <f>B315*IBGE_2!AA$315/100</f>
        <v>0.55000000000000004</v>
      </c>
      <c r="AB315" s="142">
        <f>B315*IBGE_2!AB$315/100</f>
        <v>64.900000000000006</v>
      </c>
      <c r="AC315" s="142">
        <f>B315*IBGE_2!AC$315/100</f>
        <v>1.07</v>
      </c>
      <c r="AD315" s="142" t="s">
        <v>3047</v>
      </c>
      <c r="AE315" s="142">
        <f>B315*IBGE_2!AE$315/100</f>
        <v>108</v>
      </c>
      <c r="AF315" s="142" t="s">
        <v>3047</v>
      </c>
      <c r="AG315" s="142">
        <f>B315*IBGE_2!AG$315/100</f>
        <v>2.29</v>
      </c>
      <c r="AH315" s="142" t="s">
        <v>3047</v>
      </c>
      <c r="AI315" s="142">
        <f>B315*IBGE_2!AI$315/100</f>
        <v>242</v>
      </c>
      <c r="AJ315" s="142">
        <f>B315*IBGE_2!AJ$315/100</f>
        <v>2.93</v>
      </c>
      <c r="AK315" s="142">
        <f>B315*IBGE_2!AK$315/100</f>
        <v>77.42</v>
      </c>
      <c r="AL315" s="142">
        <f>B315*IBGE_2!AL$315/100</f>
        <v>1.31</v>
      </c>
      <c r="AM315" s="145" t="s">
        <v>3047</v>
      </c>
      <c r="AN315" s="161"/>
    </row>
    <row r="316" spans="1:40">
      <c r="A316" s="143" t="s">
        <v>1375</v>
      </c>
      <c r="B316" s="141">
        <v>100</v>
      </c>
      <c r="C316" s="142">
        <f>B316*IBGE_2!C$316/100</f>
        <v>35</v>
      </c>
      <c r="D316" s="142">
        <f>B316*IBGE_2!D$316/100</f>
        <v>2.38</v>
      </c>
      <c r="E316" s="142">
        <f>B316*IBGE_2!E$316/100</f>
        <v>0.41</v>
      </c>
      <c r="F316" s="142">
        <f>B316*IBGE_2!F$316/100</f>
        <v>0.08</v>
      </c>
      <c r="G316" s="142">
        <f>B316*IBGE_2!G$316/100</f>
        <v>0.04</v>
      </c>
      <c r="H316" s="142">
        <f>B316*IBGE_2!H$316/100</f>
        <v>0.17</v>
      </c>
      <c r="I316" s="142">
        <f>B316*IBGE_2!I$316/100</f>
        <v>0.05</v>
      </c>
      <c r="J316" s="142">
        <f>B316*IBGE_2!J$316/100</f>
        <v>0.12</v>
      </c>
      <c r="K316" s="142" t="s">
        <v>3047</v>
      </c>
      <c r="L316" s="142">
        <f>B316*IBGE_2!L$316/100</f>
        <v>7.18</v>
      </c>
      <c r="M316" s="142">
        <f>B316*IBGE_2!M$316/100</f>
        <v>3.3</v>
      </c>
      <c r="N316" s="142">
        <f>B316*IBGE_2!N$316/100</f>
        <v>40</v>
      </c>
      <c r="O316" s="142">
        <f>B316*IBGE_2!O$316/100</f>
        <v>21</v>
      </c>
      <c r="P316" s="142">
        <f>B316*IBGE_2!P$316/100</f>
        <v>0.19</v>
      </c>
      <c r="Q316" s="142">
        <f>B316*IBGE_2!Q$316/100</f>
        <v>67</v>
      </c>
      <c r="R316" s="142">
        <f>B316*IBGE_2!R$316/100</f>
        <v>0.67</v>
      </c>
      <c r="S316" s="142">
        <f>B316*IBGE_2!S$316/100</f>
        <v>41</v>
      </c>
      <c r="T316" s="142">
        <f>B316*IBGE_2!T$316/100</f>
        <v>293</v>
      </c>
      <c r="U316" s="142">
        <f>B316*IBGE_2!U$316/100</f>
        <v>0.06</v>
      </c>
      <c r="V316" s="142">
        <f>B316*IBGE_2!V$316/100</f>
        <v>0.45</v>
      </c>
      <c r="W316" s="142" t="s">
        <v>3047</v>
      </c>
      <c r="X316" s="142">
        <f>B316*IBGE_2!X$316/100</f>
        <v>0.06</v>
      </c>
      <c r="Y316" s="142">
        <f>B316*IBGE_2!Y$316/100</f>
        <v>0.12</v>
      </c>
      <c r="Z316" s="142">
        <f>B316*IBGE_2!Z$316/100</f>
        <v>0.2</v>
      </c>
      <c r="AA316" s="142">
        <f>B316*IBGE_2!AA$316/100</f>
        <v>0.55000000000000004</v>
      </c>
      <c r="AB316" s="142">
        <f>B316*IBGE_2!AB$316/100</f>
        <v>64.900000000000006</v>
      </c>
      <c r="AC316" s="142">
        <f>B316*IBGE_2!AC$316/100</f>
        <v>1.07</v>
      </c>
      <c r="AD316" s="142" t="s">
        <v>3047</v>
      </c>
      <c r="AE316" s="142">
        <f>B316*IBGE_2!AE$316/100</f>
        <v>108</v>
      </c>
      <c r="AF316" s="142" t="s">
        <v>3047</v>
      </c>
      <c r="AG316" s="142">
        <f>B316*IBGE_2!AG$316/100</f>
        <v>2.02</v>
      </c>
      <c r="AH316" s="142" t="s">
        <v>3047</v>
      </c>
      <c r="AI316" s="142">
        <f>B316*IBGE_2!AI$316/100</f>
        <v>242</v>
      </c>
      <c r="AJ316" s="142">
        <f>B316*IBGE_2!AJ$316/100</f>
        <v>1.6</v>
      </c>
      <c r="AK316" s="142">
        <f>B316*IBGE_2!AK$316/100</f>
        <v>77.42</v>
      </c>
      <c r="AL316" s="142">
        <f>B316*IBGE_2!AL$316/100</f>
        <v>1.31</v>
      </c>
      <c r="AM316" s="145" t="s">
        <v>3047</v>
      </c>
      <c r="AN316" s="161"/>
    </row>
    <row r="317" spans="1:40">
      <c r="A317" s="143" t="s">
        <v>1376</v>
      </c>
      <c r="B317" s="141">
        <v>100</v>
      </c>
      <c r="C317" s="142">
        <f>B317*IBGE_2!C$317/100</f>
        <v>35</v>
      </c>
      <c r="D317" s="142">
        <f>B317*IBGE_2!D$317/100</f>
        <v>2.38</v>
      </c>
      <c r="E317" s="142">
        <f>B317*IBGE_2!E$317/100</f>
        <v>0.41</v>
      </c>
      <c r="F317" s="142">
        <f>B317*IBGE_2!F$317/100</f>
        <v>0.08</v>
      </c>
      <c r="G317" s="142">
        <f>B317*IBGE_2!G$317/100</f>
        <v>0.04</v>
      </c>
      <c r="H317" s="142">
        <f>B317*IBGE_2!H$317/100</f>
        <v>0.17</v>
      </c>
      <c r="I317" s="142">
        <f>B317*IBGE_2!I$317/100</f>
        <v>0.05</v>
      </c>
      <c r="J317" s="142">
        <f>B317*IBGE_2!J$317/100</f>
        <v>0.12</v>
      </c>
      <c r="K317" s="142" t="s">
        <v>3047</v>
      </c>
      <c r="L317" s="142">
        <f>B317*IBGE_2!L$317/100</f>
        <v>7.18</v>
      </c>
      <c r="M317" s="142">
        <f>B317*IBGE_2!M$317/100</f>
        <v>3.3</v>
      </c>
      <c r="N317" s="142">
        <f>B317*IBGE_2!N$317/100</f>
        <v>40</v>
      </c>
      <c r="O317" s="142">
        <f>B317*IBGE_2!O$317/100</f>
        <v>21</v>
      </c>
      <c r="P317" s="142">
        <f>B317*IBGE_2!P$317/100</f>
        <v>0.19</v>
      </c>
      <c r="Q317" s="142">
        <f>B317*IBGE_2!Q$317/100</f>
        <v>67</v>
      </c>
      <c r="R317" s="142">
        <f>B317*IBGE_2!R$317/100</f>
        <v>0.67</v>
      </c>
      <c r="S317" s="142">
        <f>B317*IBGE_2!S$317/100</f>
        <v>41</v>
      </c>
      <c r="T317" s="142">
        <f>B317*IBGE_2!T$317/100</f>
        <v>293</v>
      </c>
      <c r="U317" s="142">
        <f>B317*IBGE_2!U$317/100</f>
        <v>0.06</v>
      </c>
      <c r="V317" s="142">
        <f>B317*IBGE_2!V$317/100</f>
        <v>0.45</v>
      </c>
      <c r="W317" s="142" t="s">
        <v>3047</v>
      </c>
      <c r="X317" s="142">
        <f>B317*IBGE_2!X$317/100</f>
        <v>0.06</v>
      </c>
      <c r="Y317" s="142">
        <f>B317*IBGE_2!Y$317/100</f>
        <v>0.12</v>
      </c>
      <c r="Z317" s="142">
        <f>B317*IBGE_2!Z$317/100</f>
        <v>0.2</v>
      </c>
      <c r="AA317" s="142">
        <f>B317*IBGE_2!AA$317/100</f>
        <v>0.55000000000000004</v>
      </c>
      <c r="AB317" s="142">
        <f>B317*IBGE_2!AB$317/100</f>
        <v>64.900000000000006</v>
      </c>
      <c r="AC317" s="142">
        <f>B317*IBGE_2!AC$317/100</f>
        <v>1.07</v>
      </c>
      <c r="AD317" s="142" t="s">
        <v>3047</v>
      </c>
      <c r="AE317" s="142">
        <f>B317*IBGE_2!AE$317/100</f>
        <v>108</v>
      </c>
      <c r="AF317" s="142" t="s">
        <v>3047</v>
      </c>
      <c r="AG317" s="142">
        <f>B317*IBGE_2!AG$317/100</f>
        <v>2.02</v>
      </c>
      <c r="AH317" s="142" t="s">
        <v>3047</v>
      </c>
      <c r="AI317" s="142">
        <f>B317*IBGE_2!AI$317/100</f>
        <v>242</v>
      </c>
      <c r="AJ317" s="142">
        <f>B317*IBGE_2!AJ$317/100</f>
        <v>1.6</v>
      </c>
      <c r="AK317" s="142">
        <f>B317*IBGE_2!AK$317/100</f>
        <v>77.42</v>
      </c>
      <c r="AL317" s="142">
        <f>B317*IBGE_2!AL$317/100</f>
        <v>1.31</v>
      </c>
      <c r="AM317" s="145" t="s">
        <v>3047</v>
      </c>
      <c r="AN317" s="161"/>
    </row>
    <row r="318" spans="1:40">
      <c r="A318" s="143" t="s">
        <v>1377</v>
      </c>
      <c r="B318" s="141">
        <v>100</v>
      </c>
      <c r="C318" s="142">
        <f>B318*IBGE_2!C$318/100</f>
        <v>23</v>
      </c>
      <c r="D318" s="142">
        <f>B318*IBGE_2!D$318/100</f>
        <v>2.97</v>
      </c>
      <c r="E318" s="142">
        <f>B318*IBGE_2!E$318/100</f>
        <v>0.26</v>
      </c>
      <c r="F318" s="142">
        <f>B318*IBGE_2!F$318/100</f>
        <v>0.04</v>
      </c>
      <c r="G318" s="142">
        <f>B318*IBGE_2!G$318/100</f>
        <v>0.01</v>
      </c>
      <c r="H318" s="142">
        <f>B318*IBGE_2!H$318/100</f>
        <v>0.11</v>
      </c>
      <c r="I318" s="142">
        <f>B318*IBGE_2!I$318/100</f>
        <v>0.02</v>
      </c>
      <c r="J318" s="142">
        <f>B318*IBGE_2!J$318/100</f>
        <v>0.09</v>
      </c>
      <c r="K318" s="142" t="s">
        <v>3047</v>
      </c>
      <c r="L318" s="142">
        <f>B318*IBGE_2!L$318/100</f>
        <v>3.75</v>
      </c>
      <c r="M318" s="142">
        <f>B318*IBGE_2!M$318/100</f>
        <v>2.4</v>
      </c>
      <c r="N318" s="142">
        <f>B318*IBGE_2!N$318/100</f>
        <v>136</v>
      </c>
      <c r="O318" s="142">
        <f>B318*IBGE_2!O$318/100</f>
        <v>87</v>
      </c>
      <c r="P318" s="142">
        <f>B318*IBGE_2!P$318/100</f>
        <v>0.94</v>
      </c>
      <c r="Q318" s="142">
        <f>B318*IBGE_2!Q$318/100</f>
        <v>56</v>
      </c>
      <c r="R318" s="142">
        <f>B318*IBGE_2!R$318/100</f>
        <v>3.57</v>
      </c>
      <c r="S318" s="142">
        <f>B318*IBGE_2!S$318/100</f>
        <v>70</v>
      </c>
      <c r="T318" s="142">
        <f>B318*IBGE_2!T$318/100</f>
        <v>466</v>
      </c>
      <c r="U318" s="142">
        <f>B318*IBGE_2!U$318/100</f>
        <v>0.17</v>
      </c>
      <c r="V318" s="142">
        <f>B318*IBGE_2!V$318/100</f>
        <v>0.76</v>
      </c>
      <c r="W318" s="142" t="s">
        <v>3047</v>
      </c>
      <c r="X318" s="142">
        <f>B318*IBGE_2!X$318/100</f>
        <v>0.1</v>
      </c>
      <c r="Y318" s="142">
        <f>B318*IBGE_2!Y$318/100</f>
        <v>0.24</v>
      </c>
      <c r="Z318" s="142">
        <f>B318*IBGE_2!Z$318/100</f>
        <v>0.24</v>
      </c>
      <c r="AA318" s="142">
        <f>B318*IBGE_2!AA$318/100</f>
        <v>0.49</v>
      </c>
      <c r="AB318" s="142">
        <f>B318*IBGE_2!AB$318/100</f>
        <v>9.8000000000000007</v>
      </c>
      <c r="AC318" s="142">
        <f>B318*IBGE_2!AC$318/100</f>
        <v>1.1599999999999999</v>
      </c>
      <c r="AD318" s="142" t="s">
        <v>3047</v>
      </c>
      <c r="AE318" s="142">
        <f>B318*IBGE_2!AE$318/100</f>
        <v>146</v>
      </c>
      <c r="AF318" s="142" t="s">
        <v>3047</v>
      </c>
      <c r="AG318" s="142">
        <f>B318*IBGE_2!AG$318/100</f>
        <v>2.08</v>
      </c>
      <c r="AH318" s="142" t="s">
        <v>3047</v>
      </c>
      <c r="AI318" s="142">
        <f>B318*IBGE_2!AI$318/100</f>
        <v>210</v>
      </c>
      <c r="AJ318" s="142">
        <f>B318*IBGE_2!AJ$318/100</f>
        <v>1.5</v>
      </c>
      <c r="AK318" s="142">
        <f>B318*IBGE_2!AK$318/100</f>
        <v>524</v>
      </c>
      <c r="AL318" s="142">
        <f>B318*IBGE_2!AL$318/100</f>
        <v>0.89</v>
      </c>
      <c r="AM318" s="145" t="s">
        <v>3047</v>
      </c>
      <c r="AN318" s="161"/>
    </row>
    <row r="319" spans="1:40">
      <c r="A319" s="143" t="s">
        <v>1378</v>
      </c>
      <c r="B319" s="141">
        <v>100</v>
      </c>
      <c r="C319" s="142">
        <f>B319*IBGE_2!C$319/100</f>
        <v>23</v>
      </c>
      <c r="D319" s="142">
        <f>B319*IBGE_2!D$319/100</f>
        <v>2.97</v>
      </c>
      <c r="E319" s="142">
        <f>B319*IBGE_2!E$319/100</f>
        <v>0.26</v>
      </c>
      <c r="F319" s="142">
        <f>B319*IBGE_2!F$319/100</f>
        <v>0.04</v>
      </c>
      <c r="G319" s="142">
        <f>B319*IBGE_2!G$319/100</f>
        <v>0.01</v>
      </c>
      <c r="H319" s="142">
        <f>B319*IBGE_2!H$319/100</f>
        <v>0.11</v>
      </c>
      <c r="I319" s="142">
        <f>B319*IBGE_2!I$319/100</f>
        <v>0.02</v>
      </c>
      <c r="J319" s="142">
        <f>B319*IBGE_2!J$319/100</f>
        <v>0.09</v>
      </c>
      <c r="K319" s="142" t="s">
        <v>3047</v>
      </c>
      <c r="L319" s="142">
        <f>B319*IBGE_2!L$319/100</f>
        <v>3.75</v>
      </c>
      <c r="M319" s="142">
        <f>B319*IBGE_2!M$319/100</f>
        <v>2.4</v>
      </c>
      <c r="N319" s="142">
        <f>B319*IBGE_2!N$319/100</f>
        <v>136</v>
      </c>
      <c r="O319" s="142">
        <f>B319*IBGE_2!O$319/100</f>
        <v>87</v>
      </c>
      <c r="P319" s="142">
        <f>B319*IBGE_2!P$319/100</f>
        <v>0.94</v>
      </c>
      <c r="Q319" s="142">
        <f>B319*IBGE_2!Q$319/100</f>
        <v>56</v>
      </c>
      <c r="R319" s="142">
        <f>B319*IBGE_2!R$319/100</f>
        <v>3.57</v>
      </c>
      <c r="S319" s="142">
        <f>B319*IBGE_2!S$319/100</f>
        <v>70</v>
      </c>
      <c r="T319" s="142">
        <f>B319*IBGE_2!T$319/100</f>
        <v>466</v>
      </c>
      <c r="U319" s="142">
        <f>B319*IBGE_2!U$319/100</f>
        <v>0.17</v>
      </c>
      <c r="V319" s="142">
        <f>B319*IBGE_2!V$319/100</f>
        <v>0.76</v>
      </c>
      <c r="W319" s="142" t="s">
        <v>3047</v>
      </c>
      <c r="X319" s="142">
        <f>B319*IBGE_2!X$319/100</f>
        <v>0.1</v>
      </c>
      <c r="Y319" s="142">
        <f>B319*IBGE_2!Y$319/100</f>
        <v>0.24</v>
      </c>
      <c r="Z319" s="142">
        <f>B319*IBGE_2!Z$319/100</f>
        <v>0.24</v>
      </c>
      <c r="AA319" s="142">
        <f>B319*IBGE_2!AA$319/100</f>
        <v>0.49</v>
      </c>
      <c r="AB319" s="142">
        <f>B319*IBGE_2!AB$319/100</f>
        <v>9.8000000000000007</v>
      </c>
      <c r="AC319" s="142">
        <f>B319*IBGE_2!AC$319/100</f>
        <v>1.1599999999999999</v>
      </c>
      <c r="AD319" s="142" t="s">
        <v>3047</v>
      </c>
      <c r="AE319" s="142">
        <f>B319*IBGE_2!AE$319/100</f>
        <v>146</v>
      </c>
      <c r="AF319" s="142" t="s">
        <v>3047</v>
      </c>
      <c r="AG319" s="142">
        <f>B319*IBGE_2!AG$319/100</f>
        <v>2.08</v>
      </c>
      <c r="AH319" s="142" t="s">
        <v>3047</v>
      </c>
      <c r="AI319" s="142">
        <f>B319*IBGE_2!AI$319/100</f>
        <v>210</v>
      </c>
      <c r="AJ319" s="142">
        <f>B319*IBGE_2!AJ$319/100</f>
        <v>1.5</v>
      </c>
      <c r="AK319" s="142">
        <f>B319*IBGE_2!AK$319/100</f>
        <v>524</v>
      </c>
      <c r="AL319" s="142">
        <f>B319*IBGE_2!AL$319/100</f>
        <v>0.89</v>
      </c>
      <c r="AM319" s="145" t="s">
        <v>3047</v>
      </c>
      <c r="AN319" s="161"/>
    </row>
    <row r="320" spans="1:40">
      <c r="A320" s="143" t="s">
        <v>1379</v>
      </c>
      <c r="B320" s="141">
        <v>100</v>
      </c>
      <c r="C320" s="142">
        <f>B320*IBGE_2!C$320/100</f>
        <v>45.3</v>
      </c>
      <c r="D320" s="142">
        <f>B320*IBGE_2!D$320/100</f>
        <v>2.97</v>
      </c>
      <c r="E320" s="142">
        <f>B320*IBGE_2!E$320/100</f>
        <v>2.78</v>
      </c>
      <c r="F320" s="142">
        <f>B320*IBGE_2!F$320/100</f>
        <v>0.41</v>
      </c>
      <c r="G320" s="142">
        <f>B320*IBGE_2!G$320/100</f>
        <v>0.59</v>
      </c>
      <c r="H320" s="142">
        <f>B320*IBGE_2!H$320/100</f>
        <v>1.57</v>
      </c>
      <c r="I320" s="142">
        <f>B320*IBGE_2!I$320/100</f>
        <v>1.3</v>
      </c>
      <c r="J320" s="142">
        <f>B320*IBGE_2!J$320/100</f>
        <v>0.26</v>
      </c>
      <c r="K320" s="142" t="s">
        <v>3047</v>
      </c>
      <c r="L320" s="142">
        <f>B320*IBGE_2!L$320/100</f>
        <v>3.75</v>
      </c>
      <c r="M320" s="142">
        <f>B320*IBGE_2!M$320/100</f>
        <v>2.4</v>
      </c>
      <c r="N320" s="142">
        <f>B320*IBGE_2!N$320/100</f>
        <v>136</v>
      </c>
      <c r="O320" s="142">
        <f>B320*IBGE_2!O$320/100</f>
        <v>87</v>
      </c>
      <c r="P320" s="142">
        <f>B320*IBGE_2!P$320/100</f>
        <v>0.94</v>
      </c>
      <c r="Q320" s="142">
        <f>B320*IBGE_2!Q$320/100</f>
        <v>56</v>
      </c>
      <c r="R320" s="142">
        <f>B320*IBGE_2!R$320/100</f>
        <v>3.57</v>
      </c>
      <c r="S320" s="142">
        <f>B320*IBGE_2!S$320/100</f>
        <v>70</v>
      </c>
      <c r="T320" s="142">
        <f>B320*IBGE_2!T$320/100</f>
        <v>466</v>
      </c>
      <c r="U320" s="142">
        <f>B320*IBGE_2!U$320/100</f>
        <v>0.17</v>
      </c>
      <c r="V320" s="142">
        <f>B320*IBGE_2!V$320/100</f>
        <v>0.76</v>
      </c>
      <c r="W320" s="142" t="s">
        <v>3047</v>
      </c>
      <c r="X320" s="142">
        <f>B320*IBGE_2!X$320/100</f>
        <v>0.1</v>
      </c>
      <c r="Y320" s="142">
        <f>B320*IBGE_2!Y$320/100</f>
        <v>0.24</v>
      </c>
      <c r="Z320" s="142">
        <f>B320*IBGE_2!Z$320/100</f>
        <v>0.24</v>
      </c>
      <c r="AA320" s="142">
        <f>B320*IBGE_2!AA$320/100</f>
        <v>0.49</v>
      </c>
      <c r="AB320" s="142">
        <f>B320*IBGE_2!AB$320/100</f>
        <v>9.8000000000000007</v>
      </c>
      <c r="AC320" s="142">
        <f>B320*IBGE_2!AC$320/100</f>
        <v>1.1599999999999999</v>
      </c>
      <c r="AD320" s="142" t="s">
        <v>3047</v>
      </c>
      <c r="AE320" s="142">
        <f>B320*IBGE_2!AE$320/100</f>
        <v>146</v>
      </c>
      <c r="AF320" s="142" t="s">
        <v>3047</v>
      </c>
      <c r="AG320" s="142">
        <f>B320*IBGE_2!AG$320/100</f>
        <v>2.31</v>
      </c>
      <c r="AH320" s="142" t="s">
        <v>3047</v>
      </c>
      <c r="AI320" s="142">
        <f>B320*IBGE_2!AI$320/100</f>
        <v>210</v>
      </c>
      <c r="AJ320" s="142">
        <f>B320*IBGE_2!AJ$320/100</f>
        <v>2.66</v>
      </c>
      <c r="AK320" s="142">
        <f>B320*IBGE_2!AK$320/100</f>
        <v>524</v>
      </c>
      <c r="AL320" s="142">
        <f>B320*IBGE_2!AL$320/100</f>
        <v>0.89</v>
      </c>
      <c r="AM320" s="145" t="s">
        <v>3047</v>
      </c>
      <c r="AN320" s="161"/>
    </row>
    <row r="321" spans="1:40">
      <c r="A321" s="143" t="s">
        <v>1380</v>
      </c>
      <c r="B321" s="141">
        <v>100</v>
      </c>
      <c r="C321" s="142">
        <f>B321*IBGE_2!C$321/100</f>
        <v>26</v>
      </c>
      <c r="D321" s="142">
        <f>B321*IBGE_2!D$321/100</f>
        <v>2.11</v>
      </c>
      <c r="E321" s="142">
        <f>B321*IBGE_2!E$321/100</f>
        <v>0.36</v>
      </c>
      <c r="F321" s="142">
        <f>B321*IBGE_2!F$321/100</f>
        <v>0.05</v>
      </c>
      <c r="G321" s="142">
        <f>B321*IBGE_2!G$321/100</f>
        <v>0.03</v>
      </c>
      <c r="H321" s="142">
        <f>B321*IBGE_2!H$321/100</f>
        <v>0.17</v>
      </c>
      <c r="I321" s="142">
        <f>B321*IBGE_2!I$321/100</f>
        <v>7.0000000000000007E-2</v>
      </c>
      <c r="J321" s="142">
        <f>B321*IBGE_2!J$321/100</f>
        <v>0.09</v>
      </c>
      <c r="K321" s="142" t="s">
        <v>3047</v>
      </c>
      <c r="L321" s="142">
        <f>B321*IBGE_2!L$321/100</f>
        <v>4.91</v>
      </c>
      <c r="M321" s="142">
        <f>B321*IBGE_2!M$321/100</f>
        <v>2.8</v>
      </c>
      <c r="N321" s="142">
        <f>B321*IBGE_2!N$321/100</f>
        <v>140</v>
      </c>
      <c r="O321" s="142">
        <f>B321*IBGE_2!O$321/100</f>
        <v>20</v>
      </c>
      <c r="P321" s="142">
        <f>B321*IBGE_2!P$321/100</f>
        <v>0.44</v>
      </c>
      <c r="Q321" s="142">
        <f>B321*IBGE_2!Q$321/100</f>
        <v>30</v>
      </c>
      <c r="R321" s="142">
        <f>B321*IBGE_2!R$321/100</f>
        <v>1.1599999999999999</v>
      </c>
      <c r="S321" s="142">
        <f>B321*IBGE_2!S$321/100</f>
        <v>16</v>
      </c>
      <c r="T321" s="142">
        <f>B321*IBGE_2!T$321/100</f>
        <v>116</v>
      </c>
      <c r="U321" s="142">
        <f>B321*IBGE_2!U$321/100</f>
        <v>0.04</v>
      </c>
      <c r="V321" s="142">
        <f>B321*IBGE_2!V$321/100</f>
        <v>0.23</v>
      </c>
      <c r="W321" s="142" t="s">
        <v>3047</v>
      </c>
      <c r="X321" s="142">
        <f>B321*IBGE_2!X$321/100</f>
        <v>0.04</v>
      </c>
      <c r="Y321" s="142">
        <f>B321*IBGE_2!Y$321/100</f>
        <v>0.11</v>
      </c>
      <c r="Z321" s="142">
        <f>B321*IBGE_2!Z$321/100</f>
        <v>0.13</v>
      </c>
      <c r="AA321" s="142">
        <f>B321*IBGE_2!AA$321/100</f>
        <v>0.57999999999999996</v>
      </c>
      <c r="AB321" s="142">
        <f>B321*IBGE_2!AB$321/100</f>
        <v>18.2</v>
      </c>
      <c r="AC321" s="142">
        <f>B321*IBGE_2!AC$321/100</f>
        <v>1.03</v>
      </c>
      <c r="AD321" s="142" t="s">
        <v>3047</v>
      </c>
      <c r="AE321" s="142">
        <f>B321*IBGE_2!AE$321/100</f>
        <v>93</v>
      </c>
      <c r="AF321" s="142" t="s">
        <v>3047</v>
      </c>
      <c r="AG321" s="142">
        <f>B321*IBGE_2!AG$321/100</f>
        <v>0.88</v>
      </c>
      <c r="AH321" s="142" t="s">
        <v>3047</v>
      </c>
      <c r="AI321" s="142">
        <f>B321*IBGE_2!AI$321/100</f>
        <v>199</v>
      </c>
      <c r="AJ321" s="142">
        <f>B321*IBGE_2!AJ$321/100</f>
        <v>0.5</v>
      </c>
      <c r="AK321" s="142">
        <f>B321*IBGE_2!AK$321/100</f>
        <v>405.75</v>
      </c>
      <c r="AL321" s="142">
        <f>B321*IBGE_2!AL$321/100</f>
        <v>1.41</v>
      </c>
      <c r="AM321" s="145" t="s">
        <v>3047</v>
      </c>
      <c r="AN321" s="161"/>
    </row>
    <row r="322" spans="1:40">
      <c r="A322" s="143" t="s">
        <v>1381</v>
      </c>
      <c r="B322" s="141">
        <v>100</v>
      </c>
      <c r="C322" s="142">
        <f>B322*IBGE_2!C$322/100</f>
        <v>26</v>
      </c>
      <c r="D322" s="142">
        <f>B322*IBGE_2!D$322/100</f>
        <v>2.11</v>
      </c>
      <c r="E322" s="142">
        <f>B322*IBGE_2!E$322/100</f>
        <v>0.36</v>
      </c>
      <c r="F322" s="142">
        <f>B322*IBGE_2!F$322/100</f>
        <v>0.05</v>
      </c>
      <c r="G322" s="142">
        <f>B322*IBGE_2!G$322/100</f>
        <v>0.03</v>
      </c>
      <c r="H322" s="142">
        <f>B322*IBGE_2!H$322/100</f>
        <v>0.17</v>
      </c>
      <c r="I322" s="142">
        <f>B322*IBGE_2!I$322/100</f>
        <v>7.0000000000000007E-2</v>
      </c>
      <c r="J322" s="142">
        <f>B322*IBGE_2!J$322/100</f>
        <v>0.09</v>
      </c>
      <c r="K322" s="142" t="s">
        <v>3047</v>
      </c>
      <c r="L322" s="142">
        <f>B322*IBGE_2!L$322/100</f>
        <v>4.91</v>
      </c>
      <c r="M322" s="142">
        <f>B322*IBGE_2!M$322/100</f>
        <v>2.8</v>
      </c>
      <c r="N322" s="142">
        <f>B322*IBGE_2!N$322/100</f>
        <v>140</v>
      </c>
      <c r="O322" s="142">
        <f>B322*IBGE_2!O$322/100</f>
        <v>20</v>
      </c>
      <c r="P322" s="142">
        <f>B322*IBGE_2!P$322/100</f>
        <v>0.44</v>
      </c>
      <c r="Q322" s="142">
        <f>B322*IBGE_2!Q$322/100</f>
        <v>30</v>
      </c>
      <c r="R322" s="142">
        <f>B322*IBGE_2!R$322/100</f>
        <v>1.1599999999999999</v>
      </c>
      <c r="S322" s="142">
        <f>B322*IBGE_2!S$322/100</f>
        <v>16</v>
      </c>
      <c r="T322" s="142">
        <f>B322*IBGE_2!T$322/100</f>
        <v>116</v>
      </c>
      <c r="U322" s="142">
        <f>B322*IBGE_2!U$322/100</f>
        <v>0.04</v>
      </c>
      <c r="V322" s="142">
        <f>B322*IBGE_2!V$322/100</f>
        <v>0.23</v>
      </c>
      <c r="W322" s="142" t="s">
        <v>3047</v>
      </c>
      <c r="X322" s="142">
        <f>B322*IBGE_2!X$322/100</f>
        <v>0.04</v>
      </c>
      <c r="Y322" s="142">
        <f>B322*IBGE_2!Y$322/100</f>
        <v>0.11</v>
      </c>
      <c r="Z322" s="142">
        <f>B322*IBGE_2!Z$322/100</f>
        <v>0.13</v>
      </c>
      <c r="AA322" s="142">
        <f>B322*IBGE_2!AA$322/100</f>
        <v>0.57999999999999996</v>
      </c>
      <c r="AB322" s="142">
        <f>B322*IBGE_2!AB$322/100</f>
        <v>18.2</v>
      </c>
      <c r="AC322" s="142">
        <f>B322*IBGE_2!AC$322/100</f>
        <v>1.03</v>
      </c>
      <c r="AD322" s="142" t="s">
        <v>3047</v>
      </c>
      <c r="AE322" s="142">
        <f>B322*IBGE_2!AE$322/100</f>
        <v>93</v>
      </c>
      <c r="AF322" s="142" t="s">
        <v>3047</v>
      </c>
      <c r="AG322" s="142">
        <f>B322*IBGE_2!AG$322/100</f>
        <v>0.88</v>
      </c>
      <c r="AH322" s="142" t="s">
        <v>3047</v>
      </c>
      <c r="AI322" s="142">
        <f>B322*IBGE_2!AI$322/100</f>
        <v>199</v>
      </c>
      <c r="AJ322" s="142">
        <f>B322*IBGE_2!AJ$322/100</f>
        <v>0.5</v>
      </c>
      <c r="AK322" s="142">
        <f>B322*IBGE_2!AK$322/100</f>
        <v>405.75</v>
      </c>
      <c r="AL322" s="142">
        <f>B322*IBGE_2!AL$322/100</f>
        <v>1.41</v>
      </c>
      <c r="AM322" s="145" t="s">
        <v>3047</v>
      </c>
      <c r="AN322" s="161"/>
    </row>
    <row r="323" spans="1:40">
      <c r="A323" s="143" t="s">
        <v>1382</v>
      </c>
      <c r="B323" s="141">
        <v>100</v>
      </c>
      <c r="C323" s="142">
        <f>B323*IBGE_2!C$323/100</f>
        <v>26</v>
      </c>
      <c r="D323" s="142">
        <f>B323*IBGE_2!D$323/100</f>
        <v>2.11</v>
      </c>
      <c r="E323" s="142">
        <f>B323*IBGE_2!E$323/100</f>
        <v>0.36</v>
      </c>
      <c r="F323" s="142">
        <f>B323*IBGE_2!F$323/100</f>
        <v>0.05</v>
      </c>
      <c r="G323" s="142">
        <f>B323*IBGE_2!G$323/100</f>
        <v>0.03</v>
      </c>
      <c r="H323" s="142">
        <f>B323*IBGE_2!H$323/100</f>
        <v>0.17</v>
      </c>
      <c r="I323" s="142">
        <f>B323*IBGE_2!I$323/100</f>
        <v>7.0000000000000007E-2</v>
      </c>
      <c r="J323" s="142">
        <f>B323*IBGE_2!J$323/100</f>
        <v>0.09</v>
      </c>
      <c r="K323" s="142" t="s">
        <v>3047</v>
      </c>
      <c r="L323" s="142">
        <f>B323*IBGE_2!L$323/100</f>
        <v>4.91</v>
      </c>
      <c r="M323" s="142">
        <f>B323*IBGE_2!M$323/100</f>
        <v>2.8</v>
      </c>
      <c r="N323" s="142">
        <f>B323*IBGE_2!N$323/100</f>
        <v>140</v>
      </c>
      <c r="O323" s="142">
        <f>B323*IBGE_2!O$323/100</f>
        <v>20</v>
      </c>
      <c r="P323" s="142">
        <f>B323*IBGE_2!P$323/100</f>
        <v>0.44</v>
      </c>
      <c r="Q323" s="142">
        <f>B323*IBGE_2!Q$323/100</f>
        <v>30</v>
      </c>
      <c r="R323" s="142">
        <f>B323*IBGE_2!R$323/100</f>
        <v>1.1599999999999999</v>
      </c>
      <c r="S323" s="142">
        <f>B323*IBGE_2!S$323/100</f>
        <v>16</v>
      </c>
      <c r="T323" s="142">
        <f>B323*IBGE_2!T$323/100</f>
        <v>116</v>
      </c>
      <c r="U323" s="142">
        <f>B323*IBGE_2!U$323/100</f>
        <v>0.04</v>
      </c>
      <c r="V323" s="142">
        <f>B323*IBGE_2!V$323/100</f>
        <v>0.23</v>
      </c>
      <c r="W323" s="142" t="s">
        <v>3047</v>
      </c>
      <c r="X323" s="142">
        <f>B323*IBGE_2!X$323/100</f>
        <v>0.04</v>
      </c>
      <c r="Y323" s="142">
        <f>B323*IBGE_2!Y$323/100</f>
        <v>0.11</v>
      </c>
      <c r="Z323" s="142">
        <f>B323*IBGE_2!Z$323/100</f>
        <v>0.13</v>
      </c>
      <c r="AA323" s="142">
        <f>B323*IBGE_2!AA$323/100</f>
        <v>0.57999999999999996</v>
      </c>
      <c r="AB323" s="142">
        <f>B323*IBGE_2!AB$323/100</f>
        <v>18.2</v>
      </c>
      <c r="AC323" s="142">
        <f>B323*IBGE_2!AC$323/100</f>
        <v>1.03</v>
      </c>
      <c r="AD323" s="142" t="s">
        <v>3047</v>
      </c>
      <c r="AE323" s="142">
        <f>B323*IBGE_2!AE$323/100</f>
        <v>93</v>
      </c>
      <c r="AF323" s="142" t="s">
        <v>3047</v>
      </c>
      <c r="AG323" s="142">
        <f>B323*IBGE_2!AG$323/100</f>
        <v>0.88</v>
      </c>
      <c r="AH323" s="142" t="s">
        <v>3047</v>
      </c>
      <c r="AI323" s="142">
        <f>B323*IBGE_2!AI$323/100</f>
        <v>199</v>
      </c>
      <c r="AJ323" s="142">
        <f>B323*IBGE_2!AJ$323/100</f>
        <v>0.5</v>
      </c>
      <c r="AK323" s="142">
        <f>B323*IBGE_2!AK$323/100</f>
        <v>405.75</v>
      </c>
      <c r="AL323" s="142">
        <f>B323*IBGE_2!AL$323/100</f>
        <v>1.41</v>
      </c>
      <c r="AM323" s="145" t="s">
        <v>3047</v>
      </c>
      <c r="AN323" s="161"/>
    </row>
    <row r="324" spans="1:40">
      <c r="A324" s="143" t="s">
        <v>1383</v>
      </c>
      <c r="B324" s="141">
        <v>100</v>
      </c>
      <c r="C324" s="142">
        <f>B324*IBGE_2!C$324/100</f>
        <v>26</v>
      </c>
      <c r="D324" s="142">
        <f>B324*IBGE_2!D$324/100</f>
        <v>2.11</v>
      </c>
      <c r="E324" s="142">
        <f>B324*IBGE_2!E$324/100</f>
        <v>0.36</v>
      </c>
      <c r="F324" s="142">
        <f>B324*IBGE_2!F$324/100</f>
        <v>0.05</v>
      </c>
      <c r="G324" s="142">
        <f>B324*IBGE_2!G$324/100</f>
        <v>0.03</v>
      </c>
      <c r="H324" s="142">
        <f>B324*IBGE_2!H$324/100</f>
        <v>0.17</v>
      </c>
      <c r="I324" s="142">
        <f>B324*IBGE_2!I$324/100</f>
        <v>7.0000000000000007E-2</v>
      </c>
      <c r="J324" s="142">
        <f>B324*IBGE_2!J$324/100</f>
        <v>0.09</v>
      </c>
      <c r="K324" s="142" t="s">
        <v>3047</v>
      </c>
      <c r="L324" s="142">
        <f>B324*IBGE_2!L$324/100</f>
        <v>4.91</v>
      </c>
      <c r="M324" s="142">
        <f>B324*IBGE_2!M$324/100</f>
        <v>2.8</v>
      </c>
      <c r="N324" s="142">
        <f>B324*IBGE_2!N$324/100</f>
        <v>140</v>
      </c>
      <c r="O324" s="142">
        <f>B324*IBGE_2!O$324/100</f>
        <v>20</v>
      </c>
      <c r="P324" s="142">
        <f>B324*IBGE_2!P$324/100</f>
        <v>0.44</v>
      </c>
      <c r="Q324" s="142">
        <f>B324*IBGE_2!Q$324/100</f>
        <v>30</v>
      </c>
      <c r="R324" s="142">
        <f>B324*IBGE_2!R$324/100</f>
        <v>1.1599999999999999</v>
      </c>
      <c r="S324" s="142">
        <f>B324*IBGE_2!S$324/100</f>
        <v>16</v>
      </c>
      <c r="T324" s="142">
        <f>B324*IBGE_2!T$324/100</f>
        <v>116</v>
      </c>
      <c r="U324" s="142">
        <f>B324*IBGE_2!U$324/100</f>
        <v>0.04</v>
      </c>
      <c r="V324" s="142">
        <f>B324*IBGE_2!V$324/100</f>
        <v>0.23</v>
      </c>
      <c r="W324" s="142" t="s">
        <v>3047</v>
      </c>
      <c r="X324" s="142">
        <f>B324*IBGE_2!X$324/100</f>
        <v>0.04</v>
      </c>
      <c r="Y324" s="142">
        <f>B324*IBGE_2!Y$324/100</f>
        <v>0.11</v>
      </c>
      <c r="Z324" s="142">
        <f>B324*IBGE_2!Z$324/100</f>
        <v>0.13</v>
      </c>
      <c r="AA324" s="142">
        <f>B324*IBGE_2!AA$324/100</f>
        <v>0.57999999999999996</v>
      </c>
      <c r="AB324" s="142">
        <f>B324*IBGE_2!AB$324/100</f>
        <v>18.2</v>
      </c>
      <c r="AC324" s="142">
        <f>B324*IBGE_2!AC$324/100</f>
        <v>1.03</v>
      </c>
      <c r="AD324" s="142" t="s">
        <v>3047</v>
      </c>
      <c r="AE324" s="142">
        <f>B324*IBGE_2!AE$324/100</f>
        <v>93</v>
      </c>
      <c r="AF324" s="142" t="s">
        <v>3047</v>
      </c>
      <c r="AG324" s="142">
        <f>B324*IBGE_2!AG$324/100</f>
        <v>0.88</v>
      </c>
      <c r="AH324" s="142" t="s">
        <v>3047</v>
      </c>
      <c r="AI324" s="142">
        <f>B324*IBGE_2!AI$324/100</f>
        <v>199</v>
      </c>
      <c r="AJ324" s="142">
        <f>B324*IBGE_2!AJ$324/100</f>
        <v>0.5</v>
      </c>
      <c r="AK324" s="142">
        <f>B324*IBGE_2!AK$324/100</f>
        <v>405.75</v>
      </c>
      <c r="AL324" s="142">
        <f>B324*IBGE_2!AL$324/100</f>
        <v>1.41</v>
      </c>
      <c r="AM324" s="145" t="s">
        <v>3047</v>
      </c>
      <c r="AN324" s="161"/>
    </row>
    <row r="325" spans="1:40">
      <c r="A325" s="143" t="s">
        <v>1384</v>
      </c>
      <c r="B325" s="141">
        <v>100</v>
      </c>
      <c r="C325" s="142">
        <f>B325*IBGE_2!C$325/100</f>
        <v>25</v>
      </c>
      <c r="D325" s="142">
        <f>B325*IBGE_2!D$325/100</f>
        <v>2.58</v>
      </c>
      <c r="E325" s="142">
        <f>B325*IBGE_2!E$325/100</f>
        <v>0.66</v>
      </c>
      <c r="F325" s="142">
        <f>B325*IBGE_2!F$325/100</f>
        <v>8.5999999999999993E-2</v>
      </c>
      <c r="G325" s="142">
        <f>B325*IBGE_2!G$325/100</f>
        <v>4.9000000000000002E-2</v>
      </c>
      <c r="H325" s="142">
        <f>B325*IBGE_2!H$325/100</f>
        <v>0.31900000000000001</v>
      </c>
      <c r="I325" s="142">
        <f>B325*IBGE_2!I$325/100</f>
        <v>0.13</v>
      </c>
      <c r="J325" s="142">
        <f>B325*IBGE_2!J$325/100</f>
        <v>0.17</v>
      </c>
      <c r="K325" s="142" t="s">
        <v>3047</v>
      </c>
      <c r="L325" s="142">
        <f>B325*IBGE_2!L$325/100</f>
        <v>3.65</v>
      </c>
      <c r="M325" s="142">
        <f>B325*IBGE_2!M$325/100</f>
        <v>1.6</v>
      </c>
      <c r="N325" s="142">
        <f>B325*IBGE_2!N$325/100</f>
        <v>160</v>
      </c>
      <c r="O325" s="142">
        <f>B325*IBGE_2!O$325/100</f>
        <v>47</v>
      </c>
      <c r="P325" s="142">
        <f>B325*IBGE_2!P$325/100</f>
        <v>0.32100000000000001</v>
      </c>
      <c r="Q325" s="142">
        <f>B325*IBGE_2!Q$325/100</f>
        <v>52</v>
      </c>
      <c r="R325" s="142">
        <f>B325*IBGE_2!R$325/100</f>
        <v>1.46</v>
      </c>
      <c r="S325" s="142">
        <f>B325*IBGE_2!S$325/100</f>
        <v>27</v>
      </c>
      <c r="T325" s="142">
        <f>B325*IBGE_2!T$325/100</f>
        <v>369</v>
      </c>
      <c r="U325" s="142">
        <f>B325*IBGE_2!U$325/100</f>
        <v>7.5999999999999998E-2</v>
      </c>
      <c r="V325" s="142">
        <f>B325*IBGE_2!V$325/100</f>
        <v>0.47</v>
      </c>
      <c r="W325" s="142" t="s">
        <v>3047</v>
      </c>
      <c r="X325" s="142">
        <f>B325*IBGE_2!X$325/100</f>
        <v>4.3999999999999997E-2</v>
      </c>
      <c r="Y325" s="142">
        <f>B325*IBGE_2!Y$325/100</f>
        <v>8.5999999999999993E-2</v>
      </c>
      <c r="Z325" s="142">
        <f>B325*IBGE_2!Z$325/100</f>
        <v>7.2999999999999995E-2</v>
      </c>
      <c r="AA325" s="142">
        <f>B325*IBGE_2!AA$325/100</f>
        <v>0.30499999999999999</v>
      </c>
      <c r="AB325" s="142">
        <f>B325*IBGE_2!AB$325/100</f>
        <v>15</v>
      </c>
      <c r="AC325" s="142">
        <f>B325*IBGE_2!AC$325/100</f>
        <v>0.30499999999999999</v>
      </c>
      <c r="AD325" s="142" t="s">
        <v>3047</v>
      </c>
      <c r="AE325" s="142">
        <f>B325*IBGE_2!AE$325/100</f>
        <v>97</v>
      </c>
      <c r="AF325" s="142" t="s">
        <v>3047</v>
      </c>
      <c r="AG325" s="142">
        <f>B325*IBGE_2!AG$325/100</f>
        <v>0.43</v>
      </c>
      <c r="AH325" s="142" t="s">
        <v>3047</v>
      </c>
      <c r="AI325" s="145" t="s">
        <v>3047</v>
      </c>
      <c r="AJ325" s="142">
        <f>B325*IBGE_2!AJ$325/100</f>
        <v>0.3</v>
      </c>
      <c r="AK325" s="142">
        <f>B325*IBGE_2!AK$325/100</f>
        <v>118.667</v>
      </c>
      <c r="AL325" s="142">
        <f>B325*IBGE_2!AL$325/100</f>
        <v>1.6</v>
      </c>
      <c r="AM325" s="145" t="s">
        <v>3047</v>
      </c>
      <c r="AN325" s="161"/>
    </row>
    <row r="326" spans="1:40">
      <c r="A326" s="143" t="s">
        <v>1385</v>
      </c>
      <c r="B326" s="141">
        <v>100</v>
      </c>
      <c r="C326" s="142">
        <f>B326*IBGE_2!C$326/100</f>
        <v>32</v>
      </c>
      <c r="D326" s="142">
        <f>B326*IBGE_2!D$326/100</f>
        <v>1.9</v>
      </c>
      <c r="E326" s="142">
        <f>B326*IBGE_2!E$326/100</f>
        <v>0.3</v>
      </c>
      <c r="F326" s="142" t="s">
        <v>3047</v>
      </c>
      <c r="G326" s="142" t="s">
        <v>3047</v>
      </c>
      <c r="H326" s="142" t="s">
        <v>3047</v>
      </c>
      <c r="I326" s="142" t="s">
        <v>3047</v>
      </c>
      <c r="J326" s="142" t="s">
        <v>3047</v>
      </c>
      <c r="K326" s="142" t="s">
        <v>3047</v>
      </c>
      <c r="L326" s="142">
        <f>B326*IBGE_2!L$326/100</f>
        <v>7.2</v>
      </c>
      <c r="M326" s="142">
        <f>B326*IBGE_2!M$326/100</f>
        <v>1.3</v>
      </c>
      <c r="N326" s="142">
        <f>B326*IBGE_2!N$326/100</f>
        <v>162</v>
      </c>
      <c r="O326" s="142" t="s">
        <v>3047</v>
      </c>
      <c r="P326" s="142" t="s">
        <v>3047</v>
      </c>
      <c r="Q326" s="142">
        <f>B326*IBGE_2!Q$326/100</f>
        <v>41</v>
      </c>
      <c r="R326" s="142">
        <f>B326*IBGE_2!R$326/100</f>
        <v>4</v>
      </c>
      <c r="S326" s="142" t="s">
        <v>3047</v>
      </c>
      <c r="T326" s="142" t="s">
        <v>3047</v>
      </c>
      <c r="U326" s="142" t="s">
        <v>3047</v>
      </c>
      <c r="V326" s="142" t="s">
        <v>3047</v>
      </c>
      <c r="W326" s="142">
        <f>B326*IBGE_2!W$326/100</f>
        <v>392</v>
      </c>
      <c r="X326" s="142">
        <f>B326*IBGE_2!X$326/100</f>
        <v>0.03</v>
      </c>
      <c r="Y326" s="142">
        <f>B326*IBGE_2!Y$326/100</f>
        <v>0.21</v>
      </c>
      <c r="Z326" s="142" t="s">
        <v>3047</v>
      </c>
      <c r="AA326" s="142">
        <f>B326*IBGE_2!AA$326/100</f>
        <v>1</v>
      </c>
      <c r="AB326" s="142">
        <f>B326*IBGE_2!AB$326/100</f>
        <v>20</v>
      </c>
      <c r="AC326" s="142" t="s">
        <v>3047</v>
      </c>
      <c r="AD326" s="142" t="s">
        <v>3047</v>
      </c>
      <c r="AE326" s="145" t="s">
        <v>3047</v>
      </c>
      <c r="AF326" s="142" t="s">
        <v>3047</v>
      </c>
      <c r="AG326" s="145" t="s">
        <v>3047</v>
      </c>
      <c r="AH326" s="142" t="s">
        <v>3047</v>
      </c>
      <c r="AI326" s="145" t="s">
        <v>3047</v>
      </c>
      <c r="AJ326" s="145" t="s">
        <v>3047</v>
      </c>
      <c r="AK326" s="145" t="s">
        <v>3047</v>
      </c>
      <c r="AL326" s="145" t="s">
        <v>3047</v>
      </c>
      <c r="AM326" s="145" t="s">
        <v>3047</v>
      </c>
      <c r="AN326" s="161"/>
    </row>
    <row r="327" spans="1:40">
      <c r="A327" s="143" t="s">
        <v>1386</v>
      </c>
      <c r="B327" s="141">
        <v>100</v>
      </c>
      <c r="C327" s="142">
        <f>B327*IBGE_2!C$327/100</f>
        <v>30</v>
      </c>
      <c r="D327" s="142">
        <f>B327*IBGE_2!D$327/100</f>
        <v>2.4500000000000002</v>
      </c>
      <c r="E327" s="142">
        <f>B327*IBGE_2!E$327/100</f>
        <v>0.42</v>
      </c>
      <c r="F327" s="142">
        <f>B327*IBGE_2!F$327/100</f>
        <v>0.06</v>
      </c>
      <c r="G327" s="142">
        <f>B327*IBGE_2!G$327/100</f>
        <v>0.03</v>
      </c>
      <c r="H327" s="142">
        <f>B327*IBGE_2!H$327/100</f>
        <v>0.2</v>
      </c>
      <c r="I327" s="142">
        <f>B327*IBGE_2!I$327/100</f>
        <v>0.08</v>
      </c>
      <c r="J327" s="142">
        <f>B327*IBGE_2!J$327/100</f>
        <v>0.11</v>
      </c>
      <c r="K327" s="142" t="s">
        <v>3047</v>
      </c>
      <c r="L327" s="142">
        <f>B327*IBGE_2!L$327/100</f>
        <v>5.69</v>
      </c>
      <c r="M327" s="142">
        <f>B327*IBGE_2!M$327/100</f>
        <v>3.6</v>
      </c>
      <c r="N327" s="142">
        <f>B327*IBGE_2!N$327/100</f>
        <v>145</v>
      </c>
      <c r="O327" s="142">
        <f>B327*IBGE_2!O$327/100</f>
        <v>9</v>
      </c>
      <c r="P327" s="142">
        <f>B327*IBGE_2!P$327/100</f>
        <v>0.28000000000000003</v>
      </c>
      <c r="Q327" s="142">
        <f>B327*IBGE_2!Q$327/100</f>
        <v>10</v>
      </c>
      <c r="R327" s="142">
        <f>B327*IBGE_2!R$327/100</f>
        <v>0.19</v>
      </c>
      <c r="S327" s="142">
        <f>B327*IBGE_2!S$327/100</f>
        <v>20</v>
      </c>
      <c r="T327" s="142">
        <f>B327*IBGE_2!T$327/100</f>
        <v>169</v>
      </c>
      <c r="U327" s="142">
        <f>B327*IBGE_2!U$327/100</f>
        <v>0.04</v>
      </c>
      <c r="V327" s="142">
        <f>B327*IBGE_2!V$327/100</f>
        <v>0.13</v>
      </c>
      <c r="W327" s="142" t="s">
        <v>3047</v>
      </c>
      <c r="X327" s="142">
        <f>B327*IBGE_2!X$327/100</f>
        <v>0.05</v>
      </c>
      <c r="Y327" s="142">
        <f>B327*IBGE_2!Y$327/100</f>
        <v>0.13</v>
      </c>
      <c r="Z327" s="142">
        <f>B327*IBGE_2!Z$327/100</f>
        <v>0.17</v>
      </c>
      <c r="AA327" s="142">
        <f>B327*IBGE_2!AA$327/100</f>
        <v>0.74</v>
      </c>
      <c r="AB327" s="142">
        <f>B327*IBGE_2!AB$327/100</f>
        <v>35.299999999999997</v>
      </c>
      <c r="AC327" s="142">
        <f>B327*IBGE_2!AC$327/100</f>
        <v>1.26</v>
      </c>
      <c r="AD327" s="142" t="s">
        <v>3047</v>
      </c>
      <c r="AE327" s="142">
        <f>B327*IBGE_2!AE$327/100</f>
        <v>166</v>
      </c>
      <c r="AF327" s="142" t="s">
        <v>3047</v>
      </c>
      <c r="AG327" s="142">
        <f>B327*IBGE_2!AG$327/100</f>
        <v>2.2599999999999998</v>
      </c>
      <c r="AH327" s="142" t="s">
        <v>3047</v>
      </c>
      <c r="AI327" s="145" t="s">
        <v>3047</v>
      </c>
      <c r="AJ327" s="142">
        <f>B327*IBGE_2!AJ$327/100</f>
        <v>1.3</v>
      </c>
      <c r="AK327" s="142">
        <f>B327*IBGE_2!AK$327/100</f>
        <v>333.42</v>
      </c>
      <c r="AL327" s="142">
        <f>B327*IBGE_2!AL$327/100</f>
        <v>1.63</v>
      </c>
      <c r="AM327" s="145" t="s">
        <v>3047</v>
      </c>
      <c r="AN327" s="161"/>
    </row>
    <row r="328" spans="1:40">
      <c r="A328" s="143" t="s">
        <v>1387</v>
      </c>
      <c r="B328" s="141">
        <v>100</v>
      </c>
      <c r="C328" s="142">
        <f>B328*IBGE_2!C$328/100</f>
        <v>53</v>
      </c>
      <c r="D328" s="142">
        <f>B328*IBGE_2!D$328/100</f>
        <v>2.89</v>
      </c>
      <c r="E328" s="142">
        <f>B328*IBGE_2!E$328/100</f>
        <v>0.34</v>
      </c>
      <c r="F328" s="142">
        <f>B328*IBGE_2!F$328/100</f>
        <v>8.1000000000000003E-2</v>
      </c>
      <c r="G328" s="142">
        <f>B328*IBGE_2!G$328/100</f>
        <v>1.0999999999999999E-2</v>
      </c>
      <c r="H328" s="142">
        <f>B328*IBGE_2!H$328/100</f>
        <v>0.14299999999999999</v>
      </c>
      <c r="I328" s="142">
        <f>B328*IBGE_2!I$328/100</f>
        <v>0.105</v>
      </c>
      <c r="J328" s="142">
        <f>B328*IBGE_2!J$328/100</f>
        <v>3.7999999999999999E-2</v>
      </c>
      <c r="K328" s="142" t="s">
        <v>3047</v>
      </c>
      <c r="L328" s="142">
        <f>B328*IBGE_2!L$328/100</f>
        <v>11.95</v>
      </c>
      <c r="M328" s="142">
        <f>B328*IBGE_2!M$328/100</f>
        <v>8.6</v>
      </c>
      <c r="N328" s="142">
        <f>B328*IBGE_2!N$328/100</f>
        <v>21</v>
      </c>
      <c r="O328" s="142">
        <f>B328*IBGE_2!O$328/100</f>
        <v>42</v>
      </c>
      <c r="P328" s="142">
        <f>B328*IBGE_2!P$328/100</f>
        <v>0.22500000000000001</v>
      </c>
      <c r="Q328" s="142">
        <f>B328*IBGE_2!Q$328/100</f>
        <v>73</v>
      </c>
      <c r="R328" s="142">
        <f>B328*IBGE_2!R$328/100</f>
        <v>0.61</v>
      </c>
      <c r="S328" s="142">
        <f>B328*IBGE_2!S$328/100</f>
        <v>60</v>
      </c>
      <c r="T328" s="142">
        <f>B328*IBGE_2!T$328/100</f>
        <v>286</v>
      </c>
      <c r="U328" s="142">
        <f>B328*IBGE_2!U$328/100</f>
        <v>0.127</v>
      </c>
      <c r="V328" s="142">
        <f>B328*IBGE_2!V$328/100</f>
        <v>0.4</v>
      </c>
      <c r="W328" s="142" t="s">
        <v>3047</v>
      </c>
      <c r="X328" s="142">
        <f>B328*IBGE_2!X$328/100</f>
        <v>0.05</v>
      </c>
      <c r="Y328" s="142">
        <f>B328*IBGE_2!Y$328/100</f>
        <v>8.900000000000001E-2</v>
      </c>
      <c r="Z328" s="142">
        <f>B328*IBGE_2!Z$328/100</f>
        <v>8.1000000000000003E-2</v>
      </c>
      <c r="AA328" s="142">
        <f>B328*IBGE_2!AA$328/100</f>
        <v>1.1100000000000001</v>
      </c>
      <c r="AB328" s="142">
        <f>B328*IBGE_2!AB$328/100</f>
        <v>7.4</v>
      </c>
      <c r="AC328" s="142">
        <f>B328*IBGE_2!AC$328/100</f>
        <v>1.1100000000000001</v>
      </c>
      <c r="AD328" s="142" t="s">
        <v>3047</v>
      </c>
      <c r="AE328" s="142">
        <f>B328*IBGE_2!AE$328/100</f>
        <v>89</v>
      </c>
      <c r="AF328" s="142" t="s">
        <v>3047</v>
      </c>
      <c r="AG328" s="142">
        <f>B328*IBGE_2!AG$328/100</f>
        <v>0.19</v>
      </c>
      <c r="AH328" s="142" t="s">
        <v>3047</v>
      </c>
      <c r="AI328" s="142">
        <f>B328*IBGE_2!AI$328/100</f>
        <v>225</v>
      </c>
      <c r="AJ328" s="142">
        <f>B328*IBGE_2!AJ$328/100</f>
        <v>0.2</v>
      </c>
      <c r="AK328" s="142">
        <f>B328*IBGE_2!AK$328/100</f>
        <v>0.66700000000000004</v>
      </c>
      <c r="AL328" s="142">
        <f>B328*IBGE_2!AL$328/100</f>
        <v>0.99</v>
      </c>
      <c r="AM328" s="145" t="s">
        <v>3047</v>
      </c>
      <c r="AN328" s="161"/>
    </row>
    <row r="329" spans="1:40">
      <c r="A329" s="143" t="s">
        <v>1388</v>
      </c>
      <c r="B329" s="141">
        <v>100</v>
      </c>
      <c r="C329" s="142">
        <f>B329*IBGE_2!C$329/100</f>
        <v>26</v>
      </c>
      <c r="D329" s="142">
        <f>B329*IBGE_2!D$329/100</f>
        <v>2.11</v>
      </c>
      <c r="E329" s="142">
        <f>B329*IBGE_2!E$329/100</f>
        <v>0.36</v>
      </c>
      <c r="F329" s="142">
        <f>B329*IBGE_2!F$329/100</f>
        <v>0.05</v>
      </c>
      <c r="G329" s="142">
        <f>B329*IBGE_2!G$329/100</f>
        <v>0.03</v>
      </c>
      <c r="H329" s="142">
        <f>B329*IBGE_2!H$329/100</f>
        <v>0.17</v>
      </c>
      <c r="I329" s="142">
        <f>B329*IBGE_2!I$329/100</f>
        <v>7.0000000000000007E-2</v>
      </c>
      <c r="J329" s="142">
        <f>B329*IBGE_2!J$329/100</f>
        <v>0.09</v>
      </c>
      <c r="K329" s="142" t="s">
        <v>3047</v>
      </c>
      <c r="L329" s="142">
        <f>B329*IBGE_2!L$329/100</f>
        <v>4.91</v>
      </c>
      <c r="M329" s="142">
        <f>B329*IBGE_2!M$329/100</f>
        <v>2.8</v>
      </c>
      <c r="N329" s="142">
        <f>B329*IBGE_2!N$329/100</f>
        <v>140</v>
      </c>
      <c r="O329" s="142">
        <f>B329*IBGE_2!O$329/100</f>
        <v>20</v>
      </c>
      <c r="P329" s="142">
        <f>B329*IBGE_2!P$329/100</f>
        <v>0.44</v>
      </c>
      <c r="Q329" s="142">
        <f>B329*IBGE_2!Q$329/100</f>
        <v>30</v>
      </c>
      <c r="R329" s="142">
        <f>B329*IBGE_2!R$329/100</f>
        <v>1.1599999999999999</v>
      </c>
      <c r="S329" s="142">
        <f>B329*IBGE_2!S$329/100</f>
        <v>16</v>
      </c>
      <c r="T329" s="142">
        <f>B329*IBGE_2!T$329/100</f>
        <v>116</v>
      </c>
      <c r="U329" s="142">
        <f>B329*IBGE_2!U$329/100</f>
        <v>0.04</v>
      </c>
      <c r="V329" s="142">
        <f>B329*IBGE_2!V$329/100</f>
        <v>0.23</v>
      </c>
      <c r="W329" s="142" t="s">
        <v>3047</v>
      </c>
      <c r="X329" s="142">
        <f>B329*IBGE_2!X$329/100</f>
        <v>0.04</v>
      </c>
      <c r="Y329" s="142">
        <f>B329*IBGE_2!Y$329/100</f>
        <v>0.11</v>
      </c>
      <c r="Z329" s="142">
        <f>B329*IBGE_2!Z$329/100</f>
        <v>0.13</v>
      </c>
      <c r="AA329" s="142">
        <f>B329*IBGE_2!AA$329/100</f>
        <v>0.57999999999999996</v>
      </c>
      <c r="AB329" s="142">
        <f>B329*IBGE_2!AB$329/100</f>
        <v>18.2</v>
      </c>
      <c r="AC329" s="142">
        <f>B329*IBGE_2!AC$329/100</f>
        <v>1.03</v>
      </c>
      <c r="AD329" s="142" t="s">
        <v>3047</v>
      </c>
      <c r="AE329" s="142">
        <f>B329*IBGE_2!AE$329/100</f>
        <v>93</v>
      </c>
      <c r="AF329" s="142" t="s">
        <v>3047</v>
      </c>
      <c r="AG329" s="142">
        <f>B329*IBGE_2!AG$329/100</f>
        <v>0.88</v>
      </c>
      <c r="AH329" s="142" t="s">
        <v>3047</v>
      </c>
      <c r="AI329" s="142">
        <f>B329*IBGE_2!AI$329/100</f>
        <v>199</v>
      </c>
      <c r="AJ329" s="142">
        <f>B329*IBGE_2!AJ$329/100</f>
        <v>0.5</v>
      </c>
      <c r="AK329" s="142">
        <f>B329*IBGE_2!AK$329/100</f>
        <v>405.75</v>
      </c>
      <c r="AL329" s="142">
        <f>B329*IBGE_2!AL$329/100</f>
        <v>1.41</v>
      </c>
      <c r="AM329" s="145" t="s">
        <v>3047</v>
      </c>
      <c r="AN329" s="161"/>
    </row>
    <row r="330" spans="1:40">
      <c r="A330" s="143" t="s">
        <v>1389</v>
      </c>
      <c r="B330" s="141">
        <v>100</v>
      </c>
      <c r="C330" s="142">
        <f>B330*IBGE_2!C$330/100</f>
        <v>18</v>
      </c>
      <c r="D330" s="142">
        <f>B330*IBGE_2!D$330/100</f>
        <v>0.83</v>
      </c>
      <c r="E330" s="142">
        <f>B330*IBGE_2!E$330/100</f>
        <v>0.16</v>
      </c>
      <c r="F330" s="142">
        <f>B330*IBGE_2!F$330/100</f>
        <v>0.04</v>
      </c>
      <c r="G330" s="142">
        <f>B330*IBGE_2!G$330/100</f>
        <v>0.03</v>
      </c>
      <c r="H330" s="142">
        <f>B330*IBGE_2!H$330/100</f>
        <v>7.4999999999999997E-2</v>
      </c>
      <c r="I330" s="142">
        <f>B330*IBGE_2!I$330/100</f>
        <v>7.4999999999999997E-2</v>
      </c>
      <c r="J330" s="142" t="s">
        <v>3047</v>
      </c>
      <c r="K330" s="142" t="s">
        <v>3047</v>
      </c>
      <c r="L330" s="142">
        <f>B330*IBGE_2!L$330/100</f>
        <v>4</v>
      </c>
      <c r="M330" s="142">
        <f>B330*IBGE_2!M$330/100</f>
        <v>1.6</v>
      </c>
      <c r="N330" s="142">
        <f>B330*IBGE_2!N$330/100</f>
        <v>42</v>
      </c>
      <c r="O330" s="142">
        <f>B330*IBGE_2!O$330/100</f>
        <v>12</v>
      </c>
      <c r="P330" s="142">
        <f>B330*IBGE_2!P$330/100</f>
        <v>0.106</v>
      </c>
      <c r="Q330" s="142">
        <f>B330*IBGE_2!Q$330/100</f>
        <v>25</v>
      </c>
      <c r="R330" s="142">
        <f>B330*IBGE_2!R$330/100</f>
        <v>0.42</v>
      </c>
      <c r="S330" s="142">
        <f>B330*IBGE_2!S$330/100</f>
        <v>91</v>
      </c>
      <c r="T330" s="142">
        <f>B330*IBGE_2!T$330/100</f>
        <v>284</v>
      </c>
      <c r="U330" s="142">
        <f>B330*IBGE_2!U$330/100</f>
        <v>3.5999999999999997E-2</v>
      </c>
      <c r="V330" s="142">
        <f>B330*IBGE_2!V$330/100</f>
        <v>0.14000000000000001</v>
      </c>
      <c r="W330" s="142" t="s">
        <v>3047</v>
      </c>
      <c r="X330" s="142">
        <f>B330*IBGE_2!X$330/100</f>
        <v>4.2999999999999997E-2</v>
      </c>
      <c r="Y330" s="142">
        <f>B330*IBGE_2!Y$330/100</f>
        <v>4.7E-2</v>
      </c>
      <c r="Z330" s="142">
        <f>B330*IBGE_2!Z$330/100</f>
        <v>8.5999999999999993E-2</v>
      </c>
      <c r="AA330" s="142">
        <f>B330*IBGE_2!AA$330/100</f>
        <v>0.31900000000000001</v>
      </c>
      <c r="AB330" s="142">
        <f>B330*IBGE_2!AB$330/100</f>
        <v>6.1</v>
      </c>
      <c r="AC330" s="142">
        <f>B330*IBGE_2!AC$330/100</f>
        <v>0.502</v>
      </c>
      <c r="AD330" s="142" t="s">
        <v>3047</v>
      </c>
      <c r="AE330" s="142">
        <f>B330*IBGE_2!AE$330/100</f>
        <v>22</v>
      </c>
      <c r="AF330" s="142" t="s">
        <v>3047</v>
      </c>
      <c r="AG330" s="142">
        <f>B330*IBGE_2!AG$330/100</f>
        <v>0.35</v>
      </c>
      <c r="AH330" s="142" t="s">
        <v>3047</v>
      </c>
      <c r="AI330" s="142">
        <f>B330*IBGE_2!AI$330/100</f>
        <v>251</v>
      </c>
      <c r="AJ330" s="142">
        <f>B330*IBGE_2!AJ$330/100</f>
        <v>1</v>
      </c>
      <c r="AK330" s="142">
        <f>B330*IBGE_2!AK$330/100</f>
        <v>26.082999999999998</v>
      </c>
      <c r="AL330" s="142">
        <f>B330*IBGE_2!AL$330/100</f>
        <v>2.36</v>
      </c>
      <c r="AM330" s="145" t="s">
        <v>3047</v>
      </c>
      <c r="AN330" s="161"/>
    </row>
    <row r="331" spans="1:40">
      <c r="A331" s="143" t="s">
        <v>1390</v>
      </c>
      <c r="B331" s="141">
        <v>100</v>
      </c>
      <c r="C331" s="142">
        <f>B331*IBGE_2!C$331/100</f>
        <v>31</v>
      </c>
      <c r="D331" s="142">
        <f>B331*IBGE_2!D$331/100</f>
        <v>1.24</v>
      </c>
      <c r="E331" s="142">
        <f>B331*IBGE_2!E$331/100</f>
        <v>0.2</v>
      </c>
      <c r="F331" s="142" t="s">
        <v>3047</v>
      </c>
      <c r="G331" s="142" t="s">
        <v>3047</v>
      </c>
      <c r="H331" s="142" t="s">
        <v>3047</v>
      </c>
      <c r="I331" s="142" t="s">
        <v>3047</v>
      </c>
      <c r="J331" s="142" t="s">
        <v>3047</v>
      </c>
      <c r="K331" s="142" t="s">
        <v>3047</v>
      </c>
      <c r="L331" s="142">
        <f>B331*IBGE_2!L$331/100</f>
        <v>7.29</v>
      </c>
      <c r="M331" s="142">
        <f>B331*IBGE_2!M$331/100</f>
        <v>3.1</v>
      </c>
      <c r="N331" s="142">
        <f>B331*IBGE_2!N$331/100</f>
        <v>49</v>
      </c>
      <c r="O331" s="142">
        <f>B331*IBGE_2!O$331/100</f>
        <v>17</v>
      </c>
      <c r="P331" s="142">
        <f>B331*IBGE_2!P$331/100</f>
        <v>0.191</v>
      </c>
      <c r="Q331" s="142">
        <f>B331*IBGE_2!Q$331/100</f>
        <v>50</v>
      </c>
      <c r="R331" s="142">
        <f>B331*IBGE_2!R$331/100</f>
        <v>0.73</v>
      </c>
      <c r="S331" s="142">
        <f>B331*IBGE_2!S$331/100</f>
        <v>52</v>
      </c>
      <c r="T331" s="142">
        <f>B331*IBGE_2!T$331/100</f>
        <v>414</v>
      </c>
      <c r="U331" s="142">
        <f>B331*IBGE_2!U$331/100</f>
        <v>6.6000000000000003E-2</v>
      </c>
      <c r="V331" s="142">
        <f>B331*IBGE_2!V$331/100</f>
        <v>0.2</v>
      </c>
      <c r="W331" s="142" t="s">
        <v>3047</v>
      </c>
      <c r="X331" s="142">
        <f>B331*IBGE_2!X$331/100</f>
        <v>0.01</v>
      </c>
      <c r="Y331" s="142">
        <f>B331*IBGE_2!Y$331/100</f>
        <v>3.2000000000000001E-2</v>
      </c>
      <c r="Z331" s="142">
        <f>B331*IBGE_2!Z$331/100</f>
        <v>4.7E-2</v>
      </c>
      <c r="AA331" s="142">
        <f>B331*IBGE_2!AA$331/100</f>
        <v>0.64</v>
      </c>
      <c r="AB331" s="142">
        <f>B331*IBGE_2!AB$331/100</f>
        <v>12</v>
      </c>
      <c r="AC331" s="142">
        <f>B331*IBGE_2!AC$331/100</f>
        <v>0.64</v>
      </c>
      <c r="AD331" s="142" t="s">
        <v>3047</v>
      </c>
      <c r="AE331" s="142">
        <f>B331*IBGE_2!AE$331/100</f>
        <v>27</v>
      </c>
      <c r="AF331" s="142" t="s">
        <v>3047</v>
      </c>
      <c r="AG331" s="142">
        <f>B331*IBGE_2!AG$331/100</f>
        <v>0.02</v>
      </c>
      <c r="AH331" s="142" t="s">
        <v>3047</v>
      </c>
      <c r="AI331" s="145" t="s">
        <v>3047</v>
      </c>
      <c r="AJ331" s="142">
        <f>B331*IBGE_2!AJ$331/100</f>
        <v>0.7</v>
      </c>
      <c r="AK331" s="142">
        <f>B331*IBGE_2!AK$331/100</f>
        <v>6.6669999999999989</v>
      </c>
      <c r="AL331" s="142">
        <f>B331*IBGE_2!AL$331/100</f>
        <v>1.7</v>
      </c>
      <c r="AM331" s="145" t="s">
        <v>3047</v>
      </c>
      <c r="AN331" s="161"/>
    </row>
    <row r="332" spans="1:40">
      <c r="A332" s="143" t="s">
        <v>1391</v>
      </c>
      <c r="B332" s="141">
        <v>100</v>
      </c>
      <c r="C332" s="142">
        <f>B332*IBGE_2!C$332/100</f>
        <v>30</v>
      </c>
      <c r="D332" s="142">
        <f>B332*IBGE_2!D$332/100</f>
        <v>2.4500000000000002</v>
      </c>
      <c r="E332" s="142">
        <f>B332*IBGE_2!E$332/100</f>
        <v>0.42</v>
      </c>
      <c r="F332" s="142">
        <f>B332*IBGE_2!F$332/100</f>
        <v>0.06</v>
      </c>
      <c r="G332" s="142">
        <f>B332*IBGE_2!G$332/100</f>
        <v>0.03</v>
      </c>
      <c r="H332" s="142">
        <f>B332*IBGE_2!H$332/100</f>
        <v>0.2</v>
      </c>
      <c r="I332" s="142">
        <f>B332*IBGE_2!I$332/100</f>
        <v>0.08</v>
      </c>
      <c r="J332" s="142">
        <f>B332*IBGE_2!J$332/100</f>
        <v>0.11</v>
      </c>
      <c r="K332" s="142" t="s">
        <v>3047</v>
      </c>
      <c r="L332" s="142">
        <f>B332*IBGE_2!L$332/100</f>
        <v>5.69</v>
      </c>
      <c r="M332" s="142">
        <f>B332*IBGE_2!M$332/100</f>
        <v>3.6</v>
      </c>
      <c r="N332" s="142">
        <f>B332*IBGE_2!N$332/100</f>
        <v>145</v>
      </c>
      <c r="O332" s="142">
        <f>B332*IBGE_2!O$332/100</f>
        <v>9</v>
      </c>
      <c r="P332" s="142">
        <f>B332*IBGE_2!P$332/100</f>
        <v>0.28000000000000003</v>
      </c>
      <c r="Q332" s="142">
        <f>B332*IBGE_2!Q$332/100</f>
        <v>10</v>
      </c>
      <c r="R332" s="142">
        <f>B332*IBGE_2!R$332/100</f>
        <v>0.19</v>
      </c>
      <c r="S332" s="142">
        <f>B332*IBGE_2!S$332/100</f>
        <v>20</v>
      </c>
      <c r="T332" s="142">
        <f>B332*IBGE_2!T$332/100</f>
        <v>169</v>
      </c>
      <c r="U332" s="142">
        <f>B332*IBGE_2!U$332/100</f>
        <v>0.04</v>
      </c>
      <c r="V332" s="142">
        <f>B332*IBGE_2!V$332/100</f>
        <v>0.13</v>
      </c>
      <c r="W332" s="142" t="s">
        <v>3047</v>
      </c>
      <c r="X332" s="142">
        <f>B332*IBGE_2!X$332/100</f>
        <v>0.05</v>
      </c>
      <c r="Y332" s="142">
        <f>B332*IBGE_2!Y$332/100</f>
        <v>0.13</v>
      </c>
      <c r="Z332" s="142">
        <f>B332*IBGE_2!Z$332/100</f>
        <v>0.17</v>
      </c>
      <c r="AA332" s="142">
        <f>B332*IBGE_2!AA$332/100</f>
        <v>0.74</v>
      </c>
      <c r="AB332" s="142">
        <f>B332*IBGE_2!AB$332/100</f>
        <v>35.299999999999997</v>
      </c>
      <c r="AC332" s="142">
        <f>B332*IBGE_2!AC$332/100</f>
        <v>1.26</v>
      </c>
      <c r="AD332" s="142" t="s">
        <v>3047</v>
      </c>
      <c r="AE332" s="142">
        <f>B332*IBGE_2!AE$332/100</f>
        <v>166</v>
      </c>
      <c r="AF332" s="142" t="s">
        <v>3047</v>
      </c>
      <c r="AG332" s="142">
        <f>B332*IBGE_2!AG$332/100</f>
        <v>2.2599999999999998</v>
      </c>
      <c r="AH332" s="142" t="s">
        <v>3047</v>
      </c>
      <c r="AI332" s="145" t="s">
        <v>3047</v>
      </c>
      <c r="AJ332" s="142">
        <f>B332*IBGE_2!AJ$332/100</f>
        <v>1.3</v>
      </c>
      <c r="AK332" s="142">
        <f>B332*IBGE_2!AK$332/100</f>
        <v>333.42</v>
      </c>
      <c r="AL332" s="142">
        <f>B332*IBGE_2!AL$332/100</f>
        <v>1.63</v>
      </c>
      <c r="AM332" s="145" t="s">
        <v>3047</v>
      </c>
      <c r="AN332" s="161"/>
    </row>
    <row r="333" spans="1:40">
      <c r="A333" s="143" t="s">
        <v>1392</v>
      </c>
      <c r="B333" s="141">
        <v>100</v>
      </c>
      <c r="C333" s="142">
        <f>B333*IBGE_2!C$333/100</f>
        <v>26</v>
      </c>
      <c r="D333" s="142">
        <f>B333*IBGE_2!D$333/100</f>
        <v>2.11</v>
      </c>
      <c r="E333" s="142">
        <f>B333*IBGE_2!E$333/100</f>
        <v>0.36</v>
      </c>
      <c r="F333" s="142">
        <f>B333*IBGE_2!F$333/100</f>
        <v>0.05</v>
      </c>
      <c r="G333" s="142">
        <f>B333*IBGE_2!G$333/100</f>
        <v>0.03</v>
      </c>
      <c r="H333" s="142">
        <f>B333*IBGE_2!H$333/100</f>
        <v>0.17</v>
      </c>
      <c r="I333" s="142">
        <f>B333*IBGE_2!I$333/100</f>
        <v>7.0000000000000007E-2</v>
      </c>
      <c r="J333" s="142">
        <f>B333*IBGE_2!J$333/100</f>
        <v>0.09</v>
      </c>
      <c r="K333" s="142" t="s">
        <v>3047</v>
      </c>
      <c r="L333" s="142">
        <f>B333*IBGE_2!L$333/100</f>
        <v>4.91</v>
      </c>
      <c r="M333" s="142">
        <f>B333*IBGE_2!M$333/100</f>
        <v>2.8</v>
      </c>
      <c r="N333" s="142">
        <f>B333*IBGE_2!N$333/100</f>
        <v>140</v>
      </c>
      <c r="O333" s="142">
        <f>B333*IBGE_2!O$333/100</f>
        <v>20</v>
      </c>
      <c r="P333" s="142">
        <f>B333*IBGE_2!P$333/100</f>
        <v>0.44</v>
      </c>
      <c r="Q333" s="142">
        <f>B333*IBGE_2!Q$333/100</f>
        <v>30</v>
      </c>
      <c r="R333" s="142">
        <f>B333*IBGE_2!R$333/100</f>
        <v>1.1599999999999999</v>
      </c>
      <c r="S333" s="142">
        <f>B333*IBGE_2!S$333/100</f>
        <v>16</v>
      </c>
      <c r="T333" s="142">
        <f>B333*IBGE_2!T$333/100</f>
        <v>116</v>
      </c>
      <c r="U333" s="142">
        <f>B333*IBGE_2!U$333/100</f>
        <v>0.04</v>
      </c>
      <c r="V333" s="142">
        <f>B333*IBGE_2!V$333/100</f>
        <v>0.23</v>
      </c>
      <c r="W333" s="142" t="s">
        <v>3047</v>
      </c>
      <c r="X333" s="142">
        <f>B333*IBGE_2!X$333/100</f>
        <v>0.04</v>
      </c>
      <c r="Y333" s="142">
        <f>B333*IBGE_2!Y$333/100</f>
        <v>0.11</v>
      </c>
      <c r="Z333" s="142">
        <f>B333*IBGE_2!Z$333/100</f>
        <v>0.13</v>
      </c>
      <c r="AA333" s="142">
        <f>B333*IBGE_2!AA$333/100</f>
        <v>0.57999999999999996</v>
      </c>
      <c r="AB333" s="142">
        <f>B333*IBGE_2!AB$333/100</f>
        <v>18.2</v>
      </c>
      <c r="AC333" s="142">
        <f>B333*IBGE_2!AC$333/100</f>
        <v>1.03</v>
      </c>
      <c r="AD333" s="142" t="s">
        <v>3047</v>
      </c>
      <c r="AE333" s="142">
        <f>B333*IBGE_2!AE$333/100</f>
        <v>93</v>
      </c>
      <c r="AF333" s="142" t="s">
        <v>3047</v>
      </c>
      <c r="AG333" s="142">
        <f>B333*IBGE_2!AG$333/100</f>
        <v>0.88</v>
      </c>
      <c r="AH333" s="142" t="s">
        <v>3047</v>
      </c>
      <c r="AI333" s="142">
        <f>B333*IBGE_2!AI$333/100</f>
        <v>199</v>
      </c>
      <c r="AJ333" s="142">
        <f>B333*IBGE_2!AJ$333/100</f>
        <v>0.5</v>
      </c>
      <c r="AK333" s="142">
        <f>B333*IBGE_2!AK$333/100</f>
        <v>405.75</v>
      </c>
      <c r="AL333" s="142">
        <f>B333*IBGE_2!AL$333/100</f>
        <v>1.41</v>
      </c>
      <c r="AM333" s="145" t="s">
        <v>3047</v>
      </c>
      <c r="AN333" s="161"/>
    </row>
    <row r="334" spans="1:40">
      <c r="A334" s="143" t="s">
        <v>1393</v>
      </c>
      <c r="B334" s="141">
        <v>100</v>
      </c>
      <c r="C334" s="142">
        <f>B334*IBGE_2!C$334/100</f>
        <v>30</v>
      </c>
      <c r="D334" s="142">
        <f>B334*IBGE_2!D$334/100</f>
        <v>3.04</v>
      </c>
      <c r="E334" s="142">
        <f>B334*IBGE_2!E$334/100</f>
        <v>0.18</v>
      </c>
      <c r="F334" s="142">
        <f>B334*IBGE_2!F$334/100</f>
        <v>4.5999999999999999E-2</v>
      </c>
      <c r="G334" s="142">
        <f>B334*IBGE_2!G$334/100</f>
        <v>2.1999999999999999E-2</v>
      </c>
      <c r="H334" s="142">
        <f>B334*IBGE_2!H$334/100</f>
        <v>5.800000000000001E-2</v>
      </c>
      <c r="I334" s="142">
        <f>B334*IBGE_2!I$334/100</f>
        <v>4.2000000000000003E-2</v>
      </c>
      <c r="J334" s="142">
        <f>B334*IBGE_2!J$334/100</f>
        <v>1.6E-2</v>
      </c>
      <c r="K334" s="142" t="s">
        <v>3047</v>
      </c>
      <c r="L334" s="142">
        <f>B334*IBGE_2!L$334/100</f>
        <v>5.94</v>
      </c>
      <c r="M334" s="142">
        <f>B334*IBGE_2!M$334/100</f>
        <v>1.8</v>
      </c>
      <c r="N334" s="142">
        <f>B334*IBGE_2!N$334/100</f>
        <v>13</v>
      </c>
      <c r="O334" s="142">
        <f>B334*IBGE_2!O$334/100</f>
        <v>21</v>
      </c>
      <c r="P334" s="142">
        <f>B334*IBGE_2!P$334/100</f>
        <v>0.188</v>
      </c>
      <c r="Q334" s="142">
        <f>B334*IBGE_2!Q$334/100</f>
        <v>54</v>
      </c>
      <c r="R334" s="142">
        <f>B334*IBGE_2!R$334/100</f>
        <v>0.91</v>
      </c>
      <c r="S334" s="142">
        <f>B334*IBGE_2!S$334/100</f>
        <v>6</v>
      </c>
      <c r="T334" s="142">
        <f>B334*IBGE_2!T$334/100</f>
        <v>149</v>
      </c>
      <c r="U334" s="142">
        <f>B334*IBGE_2!U$334/100</f>
        <v>0.16400000000000003</v>
      </c>
      <c r="V334" s="142">
        <f>B334*IBGE_2!V$334/100</f>
        <v>0.41</v>
      </c>
      <c r="W334" s="142">
        <f>B334*IBGE_2!W$334/100</f>
        <v>2</v>
      </c>
      <c r="X334" s="142">
        <f>B334*IBGE_2!X$334/100</f>
        <v>8.4000000000000005E-2</v>
      </c>
      <c r="Y334" s="142">
        <f>B334*IBGE_2!Y$334/100</f>
        <v>0.124</v>
      </c>
      <c r="Z334" s="142">
        <f>B334*IBGE_2!Z$334/100</f>
        <v>8.7999999999999995E-2</v>
      </c>
      <c r="AA334" s="142">
        <f>B334*IBGE_2!AA$334/100</f>
        <v>0.74900000000000011</v>
      </c>
      <c r="AB334" s="142">
        <f>B334*IBGE_2!AB$334/100</f>
        <v>13.2</v>
      </c>
      <c r="AC334" s="142">
        <f>B334*IBGE_2!AC$334/100</f>
        <v>1.3660000000000003</v>
      </c>
      <c r="AD334" s="142" t="s">
        <v>3047</v>
      </c>
      <c r="AE334" s="142">
        <f>B334*IBGE_2!AE$334/100</f>
        <v>61</v>
      </c>
      <c r="AF334" s="142" t="s">
        <v>3047</v>
      </c>
      <c r="AG334" s="142">
        <f>B334*IBGE_2!AG$334/100</f>
        <v>0.1</v>
      </c>
      <c r="AH334" s="142" t="s">
        <v>3047</v>
      </c>
      <c r="AI334" s="145" t="s">
        <v>3048</v>
      </c>
      <c r="AJ334" s="142">
        <f>B334*IBGE_2!AJ$334/100</f>
        <v>0.6</v>
      </c>
      <c r="AK334" s="142">
        <f>B334*IBGE_2!AK$334/100</f>
        <v>1</v>
      </c>
      <c r="AL334" s="142">
        <f>B334*IBGE_2!AL$334/100</f>
        <v>2.1</v>
      </c>
      <c r="AM334" s="145" t="s">
        <v>3047</v>
      </c>
      <c r="AN334" s="161"/>
    </row>
    <row r="335" spans="1:40">
      <c r="A335" s="143" t="s">
        <v>1394</v>
      </c>
      <c r="B335" s="141">
        <v>100</v>
      </c>
      <c r="C335" s="142">
        <f>B335*IBGE_2!C$335/100</f>
        <v>53.378</v>
      </c>
      <c r="D335" s="142">
        <f>B335*IBGE_2!D$335/100</f>
        <v>2.0299999999999998</v>
      </c>
      <c r="E335" s="142">
        <f>B335*IBGE_2!E$335/100</f>
        <v>3.7530000000000001</v>
      </c>
      <c r="F335" s="142">
        <f>B335*IBGE_2!F$335/100</f>
        <v>0.59799999999999998</v>
      </c>
      <c r="G335" s="142">
        <f>B335*IBGE_2!G$335/100</f>
        <v>0.84599999999999997</v>
      </c>
      <c r="H335" s="142">
        <f>B335*IBGE_2!H$335/100</f>
        <v>2.1469999999999998</v>
      </c>
      <c r="I335" s="142">
        <f>B335*IBGE_2!I$335/100</f>
        <v>1.889</v>
      </c>
      <c r="J335" s="142">
        <f>B335*IBGE_2!J$335/100</f>
        <v>0.25800000000000001</v>
      </c>
      <c r="K335" s="142" t="s">
        <v>3047</v>
      </c>
      <c r="L335" s="142">
        <f>B335*IBGE_2!L$335/100</f>
        <v>4.1900000000000004</v>
      </c>
      <c r="M335" s="142">
        <f>B335*IBGE_2!M$335/100</f>
        <v>0.8</v>
      </c>
      <c r="N335" s="142">
        <f>B335*IBGE_2!N$335/100</f>
        <v>12</v>
      </c>
      <c r="O335" s="142">
        <f>B335*IBGE_2!O$335/100</f>
        <v>14</v>
      </c>
      <c r="P335" s="142">
        <f>B335*IBGE_2!P$335/100</f>
        <v>0.14000000000000001</v>
      </c>
      <c r="Q335" s="142">
        <f>B335*IBGE_2!Q$335/100</f>
        <v>28</v>
      </c>
      <c r="R335" s="142">
        <f>B335*IBGE_2!R$335/100</f>
        <v>0.65200000000000002</v>
      </c>
      <c r="S335" s="142">
        <f>B335*IBGE_2!S$335/100</f>
        <v>10</v>
      </c>
      <c r="T335" s="142">
        <f>B335*IBGE_2!T$335/100</f>
        <v>101</v>
      </c>
      <c r="U335" s="142">
        <f>B335*IBGE_2!U$335/100</f>
        <v>0.122</v>
      </c>
      <c r="V335" s="142">
        <f>B335*IBGE_2!V$335/100</f>
        <v>0.47</v>
      </c>
      <c r="W335" s="142" t="s">
        <v>3047</v>
      </c>
      <c r="X335" s="142">
        <f>B335*IBGE_2!X$335/100</f>
        <v>0.05</v>
      </c>
      <c r="Y335" s="142">
        <f>B335*IBGE_2!Y$335/100</f>
        <v>0.10199999999999999</v>
      </c>
      <c r="Z335" s="142">
        <f>B335*IBGE_2!Z$335/100</f>
        <v>5.4000000000000006E-2</v>
      </c>
      <c r="AA335" s="142">
        <f>B335*IBGE_2!AA$335/100</f>
        <v>0.81699999999999984</v>
      </c>
      <c r="AB335" s="142">
        <f>B335*IBGE_2!AB$335/100</f>
        <v>11.4</v>
      </c>
      <c r="AC335" s="142">
        <f>B335*IBGE_2!AC$335/100</f>
        <v>1.284</v>
      </c>
      <c r="AD335" s="142" t="s">
        <v>3047</v>
      </c>
      <c r="AE335" s="142">
        <f>B335*IBGE_2!AE$335/100</f>
        <v>29</v>
      </c>
      <c r="AF335" s="142" t="s">
        <v>3047</v>
      </c>
      <c r="AG335" s="142">
        <f>B335*IBGE_2!AG$335/100</f>
        <v>0.37</v>
      </c>
      <c r="AH335" s="142">
        <f>B335*IBGE_2!AH$335/100</f>
        <v>0.02</v>
      </c>
      <c r="AI335" s="142">
        <f>B335*IBGE_2!AI$335/100</f>
        <v>304</v>
      </c>
      <c r="AJ335" s="142">
        <f>B335*IBGE_2!AJ$335/100</f>
        <v>2.2789999999999999</v>
      </c>
      <c r="AK335" s="142">
        <f>B335*IBGE_2!AK$335/100</f>
        <v>0.66700000000000004</v>
      </c>
      <c r="AL335" s="142">
        <f>B335*IBGE_2!AL$335/100</f>
        <v>1.4</v>
      </c>
      <c r="AM335" s="145" t="s">
        <v>3047</v>
      </c>
      <c r="AN335" s="161"/>
    </row>
    <row r="336" spans="1:40">
      <c r="A336" s="143" t="s">
        <v>1395</v>
      </c>
      <c r="B336" s="141">
        <v>100</v>
      </c>
      <c r="C336" s="142">
        <f>B336*IBGE_2!C$336/100</f>
        <v>20</v>
      </c>
      <c r="D336" s="142">
        <f>B336*IBGE_2!D$336/100</f>
        <v>0.72</v>
      </c>
      <c r="E336" s="142">
        <f>B336*IBGE_2!E$336/100</f>
        <v>7.0000000000000007E-2</v>
      </c>
      <c r="F336" s="142">
        <f>B336*IBGE_2!F$336/100</f>
        <v>0.04</v>
      </c>
      <c r="G336" s="142">
        <f>B336*IBGE_2!G$336/100</f>
        <v>0.01</v>
      </c>
      <c r="H336" s="142" t="s">
        <v>3047</v>
      </c>
      <c r="I336" s="142" t="s">
        <v>3047</v>
      </c>
      <c r="J336" s="142" t="s">
        <v>3047</v>
      </c>
      <c r="K336" s="142" t="s">
        <v>3047</v>
      </c>
      <c r="L336" s="142">
        <f>B336*IBGE_2!L$336/100</f>
        <v>4.9000000000000004</v>
      </c>
      <c r="M336" s="142">
        <f>B336*IBGE_2!M$336/100</f>
        <v>1.1000000000000001</v>
      </c>
      <c r="N336" s="142">
        <f>B336*IBGE_2!N$336/100</f>
        <v>15</v>
      </c>
      <c r="O336" s="142">
        <f>B336*IBGE_2!O$336/100</f>
        <v>9</v>
      </c>
      <c r="P336" s="142">
        <f>B336*IBGE_2!P$336/100</f>
        <v>0.09</v>
      </c>
      <c r="Q336" s="142">
        <f>B336*IBGE_2!Q$336/100</f>
        <v>30</v>
      </c>
      <c r="R336" s="142">
        <f>B336*IBGE_2!R$336/100</f>
        <v>0.56999999999999995</v>
      </c>
      <c r="S336" s="142">
        <f>B336*IBGE_2!S$336/100</f>
        <v>1</v>
      </c>
      <c r="T336" s="142">
        <f>B336*IBGE_2!T$336/100</f>
        <v>230</v>
      </c>
      <c r="U336" s="142">
        <f>B336*IBGE_2!U$336/100</f>
        <v>0.09</v>
      </c>
      <c r="V336" s="142">
        <f>B336*IBGE_2!V$336/100</f>
        <v>0.23</v>
      </c>
      <c r="W336" s="142" t="s">
        <v>3047</v>
      </c>
      <c r="X336" s="142">
        <f>B336*IBGE_2!X$336/100</f>
        <v>0.03</v>
      </c>
      <c r="Y336" s="142">
        <f>B336*IBGE_2!Y$336/100</f>
        <v>0.08</v>
      </c>
      <c r="Z336" s="142">
        <f>B336*IBGE_2!Z$336/100</f>
        <v>0.04</v>
      </c>
      <c r="AA336" s="142">
        <f>B336*IBGE_2!AA$336/100</f>
        <v>0.41</v>
      </c>
      <c r="AB336" s="142">
        <f>B336*IBGE_2!AB$336/100</f>
        <v>4.7</v>
      </c>
      <c r="AC336" s="142">
        <f>B336*IBGE_2!AC$336/100</f>
        <v>0.56000000000000005</v>
      </c>
      <c r="AD336" s="142" t="s">
        <v>3047</v>
      </c>
      <c r="AE336" s="142">
        <f>B336*IBGE_2!AE$336/100</f>
        <v>9</v>
      </c>
      <c r="AF336" s="142" t="s">
        <v>3047</v>
      </c>
      <c r="AG336" s="142">
        <f>B336*IBGE_2!AG$336/100</f>
        <v>0.8</v>
      </c>
      <c r="AH336" s="142" t="s">
        <v>3047</v>
      </c>
      <c r="AI336" s="142">
        <f>B336*IBGE_2!AI$336/100</f>
        <v>154</v>
      </c>
      <c r="AJ336" s="142">
        <f>B336*IBGE_2!AJ$336/100</f>
        <v>0.2</v>
      </c>
      <c r="AK336" s="142">
        <f>B336*IBGE_2!AK$336/100</f>
        <v>249.58</v>
      </c>
      <c r="AL336" s="142">
        <f>B336*IBGE_2!AL$336/100</f>
        <v>3.3</v>
      </c>
      <c r="AM336" s="145" t="s">
        <v>3047</v>
      </c>
      <c r="AN336" s="161"/>
    </row>
    <row r="337" spans="1:40">
      <c r="A337" s="143" t="s">
        <v>1396</v>
      </c>
      <c r="B337" s="141">
        <v>100</v>
      </c>
      <c r="C337" s="142">
        <f>B337*IBGE_2!C$337/100</f>
        <v>36.39</v>
      </c>
      <c r="D337" s="142">
        <f>B337*IBGE_2!D$337/100</f>
        <v>0.72</v>
      </c>
      <c r="E337" s="142">
        <f>B337*IBGE_2!E$337/100</f>
        <v>1.92</v>
      </c>
      <c r="F337" s="142">
        <f>B337*IBGE_2!F$337/100</f>
        <v>0.3</v>
      </c>
      <c r="G337" s="142">
        <f>B337*IBGE_2!G$337/100</f>
        <v>0.44</v>
      </c>
      <c r="H337" s="142">
        <f>B337*IBGE_2!H$337/100</f>
        <v>1.08</v>
      </c>
      <c r="I337" s="142">
        <f>B337*IBGE_2!I$337/100</f>
        <v>0.95</v>
      </c>
      <c r="J337" s="142">
        <f>B337*IBGE_2!J$337/100</f>
        <v>0.13</v>
      </c>
      <c r="K337" s="142" t="s">
        <v>3047</v>
      </c>
      <c r="L337" s="142">
        <f>B337*IBGE_2!L$337/100</f>
        <v>4.9000000000000004</v>
      </c>
      <c r="M337" s="142">
        <f>B337*IBGE_2!M$337/100</f>
        <v>1.1000000000000001</v>
      </c>
      <c r="N337" s="142">
        <f>B337*IBGE_2!N$337/100</f>
        <v>15</v>
      </c>
      <c r="O337" s="142">
        <f>B337*IBGE_2!O$337/100</f>
        <v>9</v>
      </c>
      <c r="P337" s="142">
        <f>B337*IBGE_2!P$337/100</f>
        <v>0.09</v>
      </c>
      <c r="Q337" s="142">
        <f>B337*IBGE_2!Q$337/100</f>
        <v>30</v>
      </c>
      <c r="R337" s="142">
        <f>B337*IBGE_2!R$337/100</f>
        <v>0.56999999999999995</v>
      </c>
      <c r="S337" s="142">
        <f>B337*IBGE_2!S$337/100</f>
        <v>1</v>
      </c>
      <c r="T337" s="142">
        <f>B337*IBGE_2!T$337/100</f>
        <v>230</v>
      </c>
      <c r="U337" s="142">
        <f>B337*IBGE_2!U$337/100</f>
        <v>0.09</v>
      </c>
      <c r="V337" s="142">
        <f>B337*IBGE_2!V$337/100</f>
        <v>0.23</v>
      </c>
      <c r="W337" s="142" t="s">
        <v>3047</v>
      </c>
      <c r="X337" s="142">
        <f>B337*IBGE_2!X$337/100</f>
        <v>0.03</v>
      </c>
      <c r="Y337" s="142">
        <f>B337*IBGE_2!Y$337/100</f>
        <v>0.08</v>
      </c>
      <c r="Z337" s="142">
        <f>B337*IBGE_2!Z$337/100</f>
        <v>0.04</v>
      </c>
      <c r="AA337" s="142">
        <f>B337*IBGE_2!AA$337/100</f>
        <v>0.41</v>
      </c>
      <c r="AB337" s="142">
        <f>B337*IBGE_2!AB$337/100</f>
        <v>4.7</v>
      </c>
      <c r="AC337" s="142">
        <f>B337*IBGE_2!AC$337/100</f>
        <v>0.56000000000000005</v>
      </c>
      <c r="AD337" s="142" t="s">
        <v>3047</v>
      </c>
      <c r="AE337" s="142">
        <f>B337*IBGE_2!AE$337/100</f>
        <v>9</v>
      </c>
      <c r="AF337" s="142" t="s">
        <v>3047</v>
      </c>
      <c r="AG337" s="142">
        <f>B337*IBGE_2!AG$337/100</f>
        <v>0.97</v>
      </c>
      <c r="AH337" s="142" t="s">
        <v>3047</v>
      </c>
      <c r="AI337" s="142">
        <f>B337*IBGE_2!AI$337/100</f>
        <v>154</v>
      </c>
      <c r="AJ337" s="142">
        <f>B337*IBGE_2!AJ$337/100</f>
        <v>1.05</v>
      </c>
      <c r="AK337" s="142">
        <f>B337*IBGE_2!AK$337/100</f>
        <v>249.58</v>
      </c>
      <c r="AL337" s="142">
        <f>B337*IBGE_2!AL$337/100</f>
        <v>3.3</v>
      </c>
      <c r="AM337" s="145" t="s">
        <v>3047</v>
      </c>
      <c r="AN337" s="161"/>
    </row>
    <row r="338" spans="1:40">
      <c r="A338" s="143" t="s">
        <v>1397</v>
      </c>
      <c r="B338" s="141">
        <v>100</v>
      </c>
      <c r="C338" s="142">
        <f>B338*IBGE_2!C$338/100</f>
        <v>36.39</v>
      </c>
      <c r="D338" s="142">
        <f>B338*IBGE_2!D$338/100</f>
        <v>0.72</v>
      </c>
      <c r="E338" s="142">
        <f>B338*IBGE_2!E$338/100</f>
        <v>1.92</v>
      </c>
      <c r="F338" s="142">
        <f>B338*IBGE_2!F$338/100</f>
        <v>0.3</v>
      </c>
      <c r="G338" s="142">
        <f>B338*IBGE_2!G$338/100</f>
        <v>0.44</v>
      </c>
      <c r="H338" s="142">
        <f>B338*IBGE_2!H$338/100</f>
        <v>1.08</v>
      </c>
      <c r="I338" s="142">
        <f>B338*IBGE_2!I$338/100</f>
        <v>0.95</v>
      </c>
      <c r="J338" s="142">
        <f>B338*IBGE_2!J$338/100</f>
        <v>0.13</v>
      </c>
      <c r="K338" s="142" t="s">
        <v>3047</v>
      </c>
      <c r="L338" s="142">
        <f>B338*IBGE_2!L$338/100</f>
        <v>4.9000000000000004</v>
      </c>
      <c r="M338" s="142">
        <f>B338*IBGE_2!M$338/100</f>
        <v>1.1000000000000001</v>
      </c>
      <c r="N338" s="142">
        <f>B338*IBGE_2!N$338/100</f>
        <v>15</v>
      </c>
      <c r="O338" s="142">
        <f>B338*IBGE_2!O$338/100</f>
        <v>9</v>
      </c>
      <c r="P338" s="142">
        <f>B338*IBGE_2!P$338/100</f>
        <v>0.09</v>
      </c>
      <c r="Q338" s="142">
        <f>B338*IBGE_2!Q$338/100</f>
        <v>30</v>
      </c>
      <c r="R338" s="142">
        <f>B338*IBGE_2!R$338/100</f>
        <v>0.56999999999999995</v>
      </c>
      <c r="S338" s="142">
        <f>B338*IBGE_2!S$338/100</f>
        <v>1</v>
      </c>
      <c r="T338" s="142">
        <f>B338*IBGE_2!T$338/100</f>
        <v>230</v>
      </c>
      <c r="U338" s="142">
        <f>B338*IBGE_2!U$338/100</f>
        <v>0.09</v>
      </c>
      <c r="V338" s="142">
        <f>B338*IBGE_2!V$338/100</f>
        <v>0.23</v>
      </c>
      <c r="W338" s="142" t="s">
        <v>3047</v>
      </c>
      <c r="X338" s="142">
        <f>B338*IBGE_2!X$338/100</f>
        <v>0.03</v>
      </c>
      <c r="Y338" s="142">
        <f>B338*IBGE_2!Y$338/100</f>
        <v>0.08</v>
      </c>
      <c r="Z338" s="142">
        <f>B338*IBGE_2!Z$338/100</f>
        <v>0.04</v>
      </c>
      <c r="AA338" s="142">
        <f>B338*IBGE_2!AA$338/100</f>
        <v>0.41</v>
      </c>
      <c r="AB338" s="142">
        <f>B338*IBGE_2!AB$338/100</f>
        <v>4.7</v>
      </c>
      <c r="AC338" s="142">
        <f>B338*IBGE_2!AC$338/100</f>
        <v>0.56000000000000005</v>
      </c>
      <c r="AD338" s="142" t="s">
        <v>3047</v>
      </c>
      <c r="AE338" s="142">
        <f>B338*IBGE_2!AE$338/100</f>
        <v>9</v>
      </c>
      <c r="AF338" s="142" t="s">
        <v>3047</v>
      </c>
      <c r="AG338" s="142">
        <f>B338*IBGE_2!AG$338/100</f>
        <v>0.97</v>
      </c>
      <c r="AH338" s="142" t="s">
        <v>3047</v>
      </c>
      <c r="AI338" s="142">
        <f>B338*IBGE_2!AI$338/100</f>
        <v>154</v>
      </c>
      <c r="AJ338" s="142">
        <f>B338*IBGE_2!AJ$338/100</f>
        <v>1.05</v>
      </c>
      <c r="AK338" s="142">
        <f>B338*IBGE_2!AK$338/100</f>
        <v>249.58</v>
      </c>
      <c r="AL338" s="142">
        <f>B338*IBGE_2!AL$338/100</f>
        <v>3.3</v>
      </c>
      <c r="AM338" s="145" t="s">
        <v>3047</v>
      </c>
      <c r="AN338" s="161"/>
    </row>
    <row r="339" spans="1:40">
      <c r="A339" s="143" t="s">
        <v>1398</v>
      </c>
      <c r="B339" s="141">
        <v>100</v>
      </c>
      <c r="C339" s="142">
        <f>B339*IBGE_2!C$339/100</f>
        <v>20</v>
      </c>
      <c r="D339" s="142">
        <f>B339*IBGE_2!D$339/100</f>
        <v>0.72</v>
      </c>
      <c r="E339" s="142">
        <f>B339*IBGE_2!E$339/100</f>
        <v>7.0000000000000007E-2</v>
      </c>
      <c r="F339" s="142">
        <f>B339*IBGE_2!F$339/100</f>
        <v>0.04</v>
      </c>
      <c r="G339" s="142">
        <f>B339*IBGE_2!G$339/100</f>
        <v>0.01</v>
      </c>
      <c r="H339" s="142" t="s">
        <v>3047</v>
      </c>
      <c r="I339" s="142" t="s">
        <v>3047</v>
      </c>
      <c r="J339" s="142" t="s">
        <v>3047</v>
      </c>
      <c r="K339" s="142" t="s">
        <v>3047</v>
      </c>
      <c r="L339" s="142">
        <f>B339*IBGE_2!L$339/100</f>
        <v>4.9000000000000004</v>
      </c>
      <c r="M339" s="142">
        <f>B339*IBGE_2!M$339/100</f>
        <v>1.1000000000000001</v>
      </c>
      <c r="N339" s="142">
        <f>B339*IBGE_2!N$339/100</f>
        <v>15</v>
      </c>
      <c r="O339" s="142">
        <f>B339*IBGE_2!O$339/100</f>
        <v>9</v>
      </c>
      <c r="P339" s="142">
        <f>B339*IBGE_2!P$339/100</f>
        <v>0.09</v>
      </c>
      <c r="Q339" s="142">
        <f>B339*IBGE_2!Q$339/100</f>
        <v>30</v>
      </c>
      <c r="R339" s="142">
        <f>B339*IBGE_2!R$339/100</f>
        <v>0.56999999999999995</v>
      </c>
      <c r="S339" s="142">
        <f>B339*IBGE_2!S$339/100</f>
        <v>1</v>
      </c>
      <c r="T339" s="142">
        <f>B339*IBGE_2!T$339/100</f>
        <v>230</v>
      </c>
      <c r="U339" s="142">
        <f>B339*IBGE_2!U$339/100</f>
        <v>0.09</v>
      </c>
      <c r="V339" s="142">
        <f>B339*IBGE_2!V$339/100</f>
        <v>0.23</v>
      </c>
      <c r="W339" s="142" t="s">
        <v>3047</v>
      </c>
      <c r="X339" s="142">
        <f>B339*IBGE_2!X$339/100</f>
        <v>0.03</v>
      </c>
      <c r="Y339" s="142">
        <f>B339*IBGE_2!Y$339/100</f>
        <v>0.08</v>
      </c>
      <c r="Z339" s="142">
        <f>B339*IBGE_2!Z$339/100</f>
        <v>0.04</v>
      </c>
      <c r="AA339" s="142">
        <f>B339*IBGE_2!AA$339/100</f>
        <v>0.41</v>
      </c>
      <c r="AB339" s="142">
        <f>B339*IBGE_2!AB$339/100</f>
        <v>4.7</v>
      </c>
      <c r="AC339" s="142">
        <f>B339*IBGE_2!AC$339/100</f>
        <v>0.56000000000000005</v>
      </c>
      <c r="AD339" s="142" t="s">
        <v>3047</v>
      </c>
      <c r="AE339" s="142">
        <f>B339*IBGE_2!AE$339/100</f>
        <v>9</v>
      </c>
      <c r="AF339" s="142" t="s">
        <v>3047</v>
      </c>
      <c r="AG339" s="142">
        <f>B339*IBGE_2!AG$339/100</f>
        <v>0.8</v>
      </c>
      <c r="AH339" s="142" t="s">
        <v>3047</v>
      </c>
      <c r="AI339" s="142">
        <f>B339*IBGE_2!AI$339/100</f>
        <v>154</v>
      </c>
      <c r="AJ339" s="142">
        <f>B339*IBGE_2!AJ$339/100</f>
        <v>0.2</v>
      </c>
      <c r="AK339" s="142">
        <f>B339*IBGE_2!AK$339/100</f>
        <v>249.58</v>
      </c>
      <c r="AL339" s="142">
        <f>B339*IBGE_2!AL$339/100</f>
        <v>3.3</v>
      </c>
      <c r="AM339" s="145" t="s">
        <v>3047</v>
      </c>
      <c r="AN339" s="161"/>
    </row>
    <row r="340" spans="1:40">
      <c r="A340" s="143" t="s">
        <v>1399</v>
      </c>
      <c r="B340" s="141">
        <v>100</v>
      </c>
      <c r="C340" s="142">
        <f>B340*IBGE_2!C$340/100</f>
        <v>16</v>
      </c>
      <c r="D340" s="142">
        <f>B340*IBGE_2!D$340/100</f>
        <v>1.21</v>
      </c>
      <c r="E340" s="142">
        <f>B340*IBGE_2!E$340/100</f>
        <v>0.18</v>
      </c>
      <c r="F340" s="142">
        <f>B340*IBGE_2!F$340/100</f>
        <v>0.04</v>
      </c>
      <c r="G340" s="142">
        <f>B340*IBGE_2!G$340/100</f>
        <v>0.02</v>
      </c>
      <c r="H340" s="142">
        <f>B340*IBGE_2!H$340/100</f>
        <v>0.09</v>
      </c>
      <c r="I340" s="142">
        <f>B340*IBGE_2!I$340/100</f>
        <v>0.03</v>
      </c>
      <c r="J340" s="142">
        <f>B340*IBGE_2!J$340/100</f>
        <v>0.06</v>
      </c>
      <c r="K340" s="142" t="s">
        <v>3047</v>
      </c>
      <c r="L340" s="142">
        <f>B340*IBGE_2!L$340/100</f>
        <v>3.35</v>
      </c>
      <c r="M340" s="142">
        <f>B340*IBGE_2!M$340/100</f>
        <v>1.1000000000000001</v>
      </c>
      <c r="N340" s="142">
        <f>B340*IBGE_2!N$340/100</f>
        <v>15</v>
      </c>
      <c r="O340" s="142">
        <f>B340*IBGE_2!O$340/100</f>
        <v>17</v>
      </c>
      <c r="P340" s="142">
        <f>B340*IBGE_2!P$340/100</f>
        <v>0.18</v>
      </c>
      <c r="Q340" s="142">
        <f>B340*IBGE_2!Q$340/100</f>
        <v>38</v>
      </c>
      <c r="R340" s="142">
        <f>B340*IBGE_2!R$340/100</f>
        <v>0.35</v>
      </c>
      <c r="S340" s="142">
        <f>B340*IBGE_2!S$340/100</f>
        <v>2</v>
      </c>
      <c r="T340" s="142">
        <f>B340*IBGE_2!T$340/100</f>
        <v>262</v>
      </c>
      <c r="U340" s="142">
        <f>B340*IBGE_2!U$340/100</f>
        <v>0.05</v>
      </c>
      <c r="V340" s="142">
        <f>B340*IBGE_2!V$340/100</f>
        <v>0.28999999999999998</v>
      </c>
      <c r="W340" s="142" t="s">
        <v>3047</v>
      </c>
      <c r="X340" s="142">
        <f>B340*IBGE_2!X$340/100</f>
        <v>0.05</v>
      </c>
      <c r="Y340" s="142">
        <f>B340*IBGE_2!Y$340/100</f>
        <v>0.14000000000000001</v>
      </c>
      <c r="Z340" s="142">
        <f>B340*IBGE_2!Z$340/100</f>
        <v>0.22</v>
      </c>
      <c r="AA340" s="142">
        <f>B340*IBGE_2!AA$340/100</f>
        <v>0.49</v>
      </c>
      <c r="AB340" s="142">
        <f>B340*IBGE_2!AB$340/100</f>
        <v>17</v>
      </c>
      <c r="AC340" s="142">
        <f>B340*IBGE_2!AC$340/100</f>
        <v>0.67</v>
      </c>
      <c r="AD340" s="142" t="s">
        <v>3047</v>
      </c>
      <c r="AE340" s="142">
        <f>B340*IBGE_2!AE$340/100</f>
        <v>29</v>
      </c>
      <c r="AF340" s="142" t="s">
        <v>3047</v>
      </c>
      <c r="AG340" s="142">
        <f>B340*IBGE_2!AG$340/100</f>
        <v>0.12</v>
      </c>
      <c r="AH340" s="142" t="s">
        <v>3047</v>
      </c>
      <c r="AI340" s="145" t="s">
        <v>3047</v>
      </c>
      <c r="AJ340" s="142">
        <f>B340*IBGE_2!AJ$340/100</f>
        <v>0.2</v>
      </c>
      <c r="AK340" s="142">
        <f>B340*IBGE_2!AK$340/100</f>
        <v>10</v>
      </c>
      <c r="AL340" s="142">
        <f>B340*IBGE_2!AL$340/100</f>
        <v>1.73</v>
      </c>
      <c r="AM340" s="145" t="s">
        <v>3047</v>
      </c>
      <c r="AN340" s="161"/>
    </row>
    <row r="341" spans="1:40">
      <c r="A341" s="143" t="s">
        <v>1400</v>
      </c>
      <c r="B341" s="141">
        <v>100</v>
      </c>
      <c r="C341" s="142">
        <f>B341*IBGE_2!C$341/100</f>
        <v>20</v>
      </c>
      <c r="D341" s="142">
        <f>B341*IBGE_2!D$341/100</f>
        <v>0.91</v>
      </c>
      <c r="E341" s="142">
        <f>B341*IBGE_2!E$341/100</f>
        <v>0.31</v>
      </c>
      <c r="F341" s="142">
        <f>B341*IBGE_2!F$341/100</f>
        <v>0.06</v>
      </c>
      <c r="G341" s="142">
        <f>B341*IBGE_2!G$341/100</f>
        <v>0.02</v>
      </c>
      <c r="H341" s="142">
        <f>B341*IBGE_2!H$341/100</f>
        <v>0.13</v>
      </c>
      <c r="I341" s="142">
        <f>B341*IBGE_2!I$341/100</f>
        <v>0.05</v>
      </c>
      <c r="J341" s="142">
        <f>B341*IBGE_2!J$341/100</f>
        <v>0.08</v>
      </c>
      <c r="K341" s="142" t="s">
        <v>3047</v>
      </c>
      <c r="L341" s="142">
        <f>B341*IBGE_2!L$341/100</f>
        <v>4.3099999999999996</v>
      </c>
      <c r="M341" s="142">
        <f>B341*IBGE_2!M$341/100</f>
        <v>1.4</v>
      </c>
      <c r="N341" s="142">
        <f>B341*IBGE_2!N$341/100</f>
        <v>27</v>
      </c>
      <c r="O341" s="142">
        <f>B341*IBGE_2!O$341/100</f>
        <v>24</v>
      </c>
      <c r="P341" s="142">
        <f>B341*IBGE_2!P$341/100</f>
        <v>0.21</v>
      </c>
      <c r="Q341" s="142">
        <f>B341*IBGE_2!Q$341/100</f>
        <v>39</v>
      </c>
      <c r="R341" s="142">
        <f>B341*IBGE_2!R$341/100</f>
        <v>0.36</v>
      </c>
      <c r="S341" s="142">
        <f>B341*IBGE_2!S$341/100</f>
        <v>1</v>
      </c>
      <c r="T341" s="142">
        <f>B341*IBGE_2!T$341/100</f>
        <v>192</v>
      </c>
      <c r="U341" s="142">
        <f>B341*IBGE_2!U$341/100</f>
        <v>0.1</v>
      </c>
      <c r="V341" s="142">
        <f>B341*IBGE_2!V$341/100</f>
        <v>0.39</v>
      </c>
      <c r="W341" s="142" t="s">
        <v>3047</v>
      </c>
      <c r="X341" s="142">
        <f>B341*IBGE_2!X$341/100</f>
        <v>0.04</v>
      </c>
      <c r="Y341" s="142">
        <f>B341*IBGE_2!Y$341/100</f>
        <v>0.04</v>
      </c>
      <c r="Z341" s="142">
        <f>B341*IBGE_2!Z$341/100</f>
        <v>7.0000000000000007E-2</v>
      </c>
      <c r="AA341" s="142">
        <f>B341*IBGE_2!AA$341/100</f>
        <v>0.51</v>
      </c>
      <c r="AB341" s="142">
        <f>B341*IBGE_2!AB$341/100</f>
        <v>5.5</v>
      </c>
      <c r="AC341" s="142">
        <f>B341*IBGE_2!AC$341/100</f>
        <v>0.65</v>
      </c>
      <c r="AD341" s="142" t="s">
        <v>3047</v>
      </c>
      <c r="AE341" s="142">
        <f>B341*IBGE_2!AE$341/100</f>
        <v>20</v>
      </c>
      <c r="AF341" s="142" t="s">
        <v>3047</v>
      </c>
      <c r="AG341" s="142">
        <f>B341*IBGE_2!AG$341/100</f>
        <v>0.14000000000000001</v>
      </c>
      <c r="AH341" s="142" t="s">
        <v>3047</v>
      </c>
      <c r="AI341" s="142">
        <f>B341*IBGE_2!AI$341/100</f>
        <v>212</v>
      </c>
      <c r="AJ341" s="142">
        <f>B341*IBGE_2!AJ$341/100</f>
        <v>0.2</v>
      </c>
      <c r="AK341" s="142">
        <f>B341*IBGE_2!AK$341/100</f>
        <v>10.58</v>
      </c>
      <c r="AL341" s="142">
        <f>B341*IBGE_2!AL$341/100</f>
        <v>1.66</v>
      </c>
      <c r="AM341" s="145" t="s">
        <v>3047</v>
      </c>
      <c r="AN341" s="161"/>
    </row>
    <row r="342" spans="1:40">
      <c r="A342" s="143" t="s">
        <v>1401</v>
      </c>
      <c r="B342" s="141">
        <v>100</v>
      </c>
      <c r="C342" s="142">
        <f>B342*IBGE_2!C$342/100</f>
        <v>20</v>
      </c>
      <c r="D342" s="142">
        <f>B342*IBGE_2!D$342/100</f>
        <v>0.91</v>
      </c>
      <c r="E342" s="142">
        <f>B342*IBGE_2!E$342/100</f>
        <v>0.31</v>
      </c>
      <c r="F342" s="142">
        <f>B342*IBGE_2!F$342/100</f>
        <v>0.06</v>
      </c>
      <c r="G342" s="142">
        <f>B342*IBGE_2!G$342/100</f>
        <v>0.02</v>
      </c>
      <c r="H342" s="142">
        <f>B342*IBGE_2!H$342/100</f>
        <v>0.13</v>
      </c>
      <c r="I342" s="142">
        <f>B342*IBGE_2!I$342/100</f>
        <v>0.05</v>
      </c>
      <c r="J342" s="142">
        <f>B342*IBGE_2!J$342/100</f>
        <v>0.08</v>
      </c>
      <c r="K342" s="142" t="s">
        <v>3047</v>
      </c>
      <c r="L342" s="142">
        <f>B342*IBGE_2!L$342/100</f>
        <v>4.3099999999999996</v>
      </c>
      <c r="M342" s="142">
        <f>B342*IBGE_2!M$342/100</f>
        <v>1.4</v>
      </c>
      <c r="N342" s="142">
        <f>B342*IBGE_2!N$342/100</f>
        <v>27</v>
      </c>
      <c r="O342" s="142">
        <f>B342*IBGE_2!O$342/100</f>
        <v>24</v>
      </c>
      <c r="P342" s="142">
        <f>B342*IBGE_2!P$342/100</f>
        <v>0.21</v>
      </c>
      <c r="Q342" s="142">
        <f>B342*IBGE_2!Q$342/100</f>
        <v>39</v>
      </c>
      <c r="R342" s="142">
        <f>B342*IBGE_2!R$342/100</f>
        <v>0.36</v>
      </c>
      <c r="S342" s="142">
        <f>B342*IBGE_2!S$342/100</f>
        <v>1</v>
      </c>
      <c r="T342" s="142">
        <f>B342*IBGE_2!T$342/100</f>
        <v>192</v>
      </c>
      <c r="U342" s="142">
        <f>B342*IBGE_2!U$342/100</f>
        <v>0.1</v>
      </c>
      <c r="V342" s="142">
        <f>B342*IBGE_2!V$342/100</f>
        <v>0.39</v>
      </c>
      <c r="W342" s="142" t="s">
        <v>3047</v>
      </c>
      <c r="X342" s="142">
        <f>B342*IBGE_2!X$342/100</f>
        <v>0.04</v>
      </c>
      <c r="Y342" s="142">
        <f>B342*IBGE_2!Y$342/100</f>
        <v>0.04</v>
      </c>
      <c r="Z342" s="142">
        <f>B342*IBGE_2!Z$342/100</f>
        <v>7.0000000000000007E-2</v>
      </c>
      <c r="AA342" s="142">
        <f>B342*IBGE_2!AA$342/100</f>
        <v>0.51</v>
      </c>
      <c r="AB342" s="142">
        <f>B342*IBGE_2!AB$342/100</f>
        <v>5.5</v>
      </c>
      <c r="AC342" s="142">
        <f>B342*IBGE_2!AC$342/100</f>
        <v>0.65</v>
      </c>
      <c r="AD342" s="142" t="s">
        <v>3047</v>
      </c>
      <c r="AE342" s="142">
        <f>B342*IBGE_2!AE$342/100</f>
        <v>20</v>
      </c>
      <c r="AF342" s="142" t="s">
        <v>3047</v>
      </c>
      <c r="AG342" s="142">
        <f>B342*IBGE_2!AG$342/100</f>
        <v>0.14000000000000001</v>
      </c>
      <c r="AH342" s="142" t="s">
        <v>3047</v>
      </c>
      <c r="AI342" s="142">
        <f>B342*IBGE_2!AI$342/100</f>
        <v>212</v>
      </c>
      <c r="AJ342" s="142">
        <f>B342*IBGE_2!AJ$342/100</f>
        <v>0.2</v>
      </c>
      <c r="AK342" s="142">
        <f>B342*IBGE_2!AK$342/100</f>
        <v>10.58</v>
      </c>
      <c r="AL342" s="142">
        <f>B342*IBGE_2!AL$342/100</f>
        <v>1.66</v>
      </c>
      <c r="AM342" s="145" t="s">
        <v>3047</v>
      </c>
      <c r="AN342" s="161"/>
    </row>
    <row r="343" spans="1:40">
      <c r="A343" s="143" t="s">
        <v>1402</v>
      </c>
      <c r="B343" s="141">
        <v>100</v>
      </c>
      <c r="C343" s="142">
        <f>B343*IBGE_2!C$343/100</f>
        <v>20</v>
      </c>
      <c r="D343" s="142">
        <f>B343*IBGE_2!D$343/100</f>
        <v>0.91</v>
      </c>
      <c r="E343" s="142">
        <f>B343*IBGE_2!E$343/100</f>
        <v>0.31</v>
      </c>
      <c r="F343" s="142">
        <f>B343*IBGE_2!F$343/100</f>
        <v>0.06</v>
      </c>
      <c r="G343" s="142">
        <f>B343*IBGE_2!G$343/100</f>
        <v>0.02</v>
      </c>
      <c r="H343" s="142">
        <f>B343*IBGE_2!H$343/100</f>
        <v>0.13</v>
      </c>
      <c r="I343" s="142">
        <f>B343*IBGE_2!I$343/100</f>
        <v>0.05</v>
      </c>
      <c r="J343" s="142">
        <f>B343*IBGE_2!J$343/100</f>
        <v>0.08</v>
      </c>
      <c r="K343" s="142" t="s">
        <v>3047</v>
      </c>
      <c r="L343" s="142">
        <f>B343*IBGE_2!L$343/100</f>
        <v>4.3099999999999996</v>
      </c>
      <c r="M343" s="142">
        <f>B343*IBGE_2!M$343/100</f>
        <v>1.4</v>
      </c>
      <c r="N343" s="142">
        <f>B343*IBGE_2!N$343/100</f>
        <v>27</v>
      </c>
      <c r="O343" s="142">
        <f>B343*IBGE_2!O$343/100</f>
        <v>24</v>
      </c>
      <c r="P343" s="142">
        <f>B343*IBGE_2!P$343/100</f>
        <v>0.21</v>
      </c>
      <c r="Q343" s="142">
        <f>B343*IBGE_2!Q$343/100</f>
        <v>39</v>
      </c>
      <c r="R343" s="142">
        <f>B343*IBGE_2!R$343/100</f>
        <v>0.36</v>
      </c>
      <c r="S343" s="142">
        <f>B343*IBGE_2!S$343/100</f>
        <v>1</v>
      </c>
      <c r="T343" s="142">
        <f>B343*IBGE_2!T$343/100</f>
        <v>192</v>
      </c>
      <c r="U343" s="142">
        <f>B343*IBGE_2!U$343/100</f>
        <v>0.1</v>
      </c>
      <c r="V343" s="142">
        <f>B343*IBGE_2!V$343/100</f>
        <v>0.39</v>
      </c>
      <c r="W343" s="142" t="s">
        <v>3047</v>
      </c>
      <c r="X343" s="142">
        <f>B343*IBGE_2!X$343/100</f>
        <v>0.04</v>
      </c>
      <c r="Y343" s="142">
        <f>B343*IBGE_2!Y$343/100</f>
        <v>0.04</v>
      </c>
      <c r="Z343" s="142">
        <f>B343*IBGE_2!Z$343/100</f>
        <v>7.0000000000000007E-2</v>
      </c>
      <c r="AA343" s="142">
        <f>B343*IBGE_2!AA$343/100</f>
        <v>0.51</v>
      </c>
      <c r="AB343" s="142">
        <f>B343*IBGE_2!AB$343/100</f>
        <v>5.5</v>
      </c>
      <c r="AC343" s="142">
        <f>B343*IBGE_2!AC$343/100</f>
        <v>0.65</v>
      </c>
      <c r="AD343" s="142" t="s">
        <v>3047</v>
      </c>
      <c r="AE343" s="142">
        <f>B343*IBGE_2!AE$343/100</f>
        <v>20</v>
      </c>
      <c r="AF343" s="142" t="s">
        <v>3047</v>
      </c>
      <c r="AG343" s="142">
        <f>B343*IBGE_2!AG$343/100</f>
        <v>0.14000000000000001</v>
      </c>
      <c r="AH343" s="142" t="s">
        <v>3047</v>
      </c>
      <c r="AI343" s="142">
        <f>B343*IBGE_2!AI$343/100</f>
        <v>212</v>
      </c>
      <c r="AJ343" s="142">
        <f>B343*IBGE_2!AJ$343/100</f>
        <v>0.2</v>
      </c>
      <c r="AK343" s="142">
        <f>B343*IBGE_2!AK$343/100</f>
        <v>10.58</v>
      </c>
      <c r="AL343" s="142">
        <f>B343*IBGE_2!AL$343/100</f>
        <v>1.66</v>
      </c>
      <c r="AM343" s="145" t="s">
        <v>3047</v>
      </c>
      <c r="AN343" s="161"/>
    </row>
    <row r="344" spans="1:40">
      <c r="A344" s="143" t="s">
        <v>1403</v>
      </c>
      <c r="B344" s="141">
        <v>100</v>
      </c>
      <c r="C344" s="142">
        <f>B344*IBGE_2!C$344/100</f>
        <v>42.3</v>
      </c>
      <c r="D344" s="142">
        <f>B344*IBGE_2!D$344/100</f>
        <v>0.91</v>
      </c>
      <c r="E344" s="142">
        <f>B344*IBGE_2!E$344/100</f>
        <v>2.83</v>
      </c>
      <c r="F344" s="142">
        <f>B344*IBGE_2!F$344/100</f>
        <v>0.43</v>
      </c>
      <c r="G344" s="142">
        <f>B344*IBGE_2!G$344/100</f>
        <v>0.61</v>
      </c>
      <c r="H344" s="142">
        <f>B344*IBGE_2!H$344/100</f>
        <v>1.59</v>
      </c>
      <c r="I344" s="142">
        <f>B344*IBGE_2!I$344/100</f>
        <v>1.34</v>
      </c>
      <c r="J344" s="142">
        <f>B344*IBGE_2!J$344/100</f>
        <v>0.25</v>
      </c>
      <c r="K344" s="142" t="s">
        <v>3047</v>
      </c>
      <c r="L344" s="142">
        <f>B344*IBGE_2!L$344/100</f>
        <v>4.3099999999999996</v>
      </c>
      <c r="M344" s="142">
        <f>B344*IBGE_2!M$344/100</f>
        <v>1.4</v>
      </c>
      <c r="N344" s="142">
        <f>B344*IBGE_2!N$344/100</f>
        <v>27</v>
      </c>
      <c r="O344" s="142">
        <f>B344*IBGE_2!O$344/100</f>
        <v>24</v>
      </c>
      <c r="P344" s="142">
        <f>B344*IBGE_2!P$344/100</f>
        <v>0.21</v>
      </c>
      <c r="Q344" s="142">
        <f>B344*IBGE_2!Q$344/100</f>
        <v>39</v>
      </c>
      <c r="R344" s="142">
        <f>B344*IBGE_2!R$344/100</f>
        <v>0.36</v>
      </c>
      <c r="S344" s="142">
        <f>B344*IBGE_2!S$344/100</f>
        <v>1</v>
      </c>
      <c r="T344" s="142">
        <f>B344*IBGE_2!T$344/100</f>
        <v>192</v>
      </c>
      <c r="U344" s="142">
        <f>B344*IBGE_2!U$344/100</f>
        <v>0.1</v>
      </c>
      <c r="V344" s="142">
        <f>B344*IBGE_2!V$344/100</f>
        <v>0.39</v>
      </c>
      <c r="W344" s="142" t="s">
        <v>3047</v>
      </c>
      <c r="X344" s="142">
        <f>B344*IBGE_2!X$344/100</f>
        <v>0.04</v>
      </c>
      <c r="Y344" s="142">
        <f>B344*IBGE_2!Y$344/100</f>
        <v>0.04</v>
      </c>
      <c r="Z344" s="142">
        <f>B344*IBGE_2!Z$344/100</f>
        <v>7.0000000000000007E-2</v>
      </c>
      <c r="AA344" s="142">
        <f>B344*IBGE_2!AA$344/100</f>
        <v>0.51</v>
      </c>
      <c r="AB344" s="142">
        <f>B344*IBGE_2!AB$344/100</f>
        <v>5.5</v>
      </c>
      <c r="AC344" s="142">
        <f>B344*IBGE_2!AC$344/100</f>
        <v>0.65</v>
      </c>
      <c r="AD344" s="142" t="s">
        <v>3047</v>
      </c>
      <c r="AE344" s="142">
        <f>B344*IBGE_2!AE$344/100</f>
        <v>20</v>
      </c>
      <c r="AF344" s="142" t="s">
        <v>3047</v>
      </c>
      <c r="AG344" s="142">
        <f>B344*IBGE_2!AG$344/100</f>
        <v>0.37</v>
      </c>
      <c r="AH344" s="145" t="s">
        <v>3047</v>
      </c>
      <c r="AI344" s="142">
        <f>B344*IBGE_2!AI$344/100</f>
        <v>212</v>
      </c>
      <c r="AJ344" s="142">
        <f>B344*IBGE_2!AJ$344/100</f>
        <v>1.36</v>
      </c>
      <c r="AK344" s="142">
        <f>B344*IBGE_2!AK$344/100</f>
        <v>10.58</v>
      </c>
      <c r="AL344" s="142">
        <f>B344*IBGE_2!AL$344/100</f>
        <v>1.66</v>
      </c>
      <c r="AM344" s="145" t="s">
        <v>3047</v>
      </c>
      <c r="AN344" s="161"/>
    </row>
    <row r="345" spans="1:40">
      <c r="A345" s="143" t="s">
        <v>1404</v>
      </c>
      <c r="B345" s="141">
        <v>100</v>
      </c>
      <c r="C345" s="142">
        <f>B345*IBGE_2!C$345/100</f>
        <v>160.71</v>
      </c>
      <c r="D345" s="142">
        <f>B345*IBGE_2!D$345/100</f>
        <v>4.3499999999999996</v>
      </c>
      <c r="E345" s="142">
        <f>B345*IBGE_2!E$345/100</f>
        <v>8.92</v>
      </c>
      <c r="F345" s="142">
        <f>B345*IBGE_2!F$345/100</f>
        <v>1.67</v>
      </c>
      <c r="G345" s="142">
        <f>B345*IBGE_2!G$345/100</f>
        <v>2.2400000000000002</v>
      </c>
      <c r="H345" s="142">
        <f>B345*IBGE_2!H$345/100</f>
        <v>4.32</v>
      </c>
      <c r="I345" s="142">
        <f>B345*IBGE_2!I$345/100</f>
        <v>3.79</v>
      </c>
      <c r="J345" s="142">
        <f>B345*IBGE_2!J$345/100</f>
        <v>0.49</v>
      </c>
      <c r="K345" s="142">
        <f>B345*IBGE_2!K$345/100</f>
        <v>52.96</v>
      </c>
      <c r="L345" s="142">
        <f>B345*IBGE_2!L$345/100</f>
        <v>16.010000000000002</v>
      </c>
      <c r="M345" s="142">
        <f>B345*IBGE_2!M$345/100</f>
        <v>1.56</v>
      </c>
      <c r="N345" s="142">
        <f>B345*IBGE_2!N$345/100</f>
        <v>43.61</v>
      </c>
      <c r="O345" s="142">
        <f>B345*IBGE_2!O$345/100</f>
        <v>21.73</v>
      </c>
      <c r="P345" s="142">
        <f>B345*IBGE_2!P$345/100</f>
        <v>0.21</v>
      </c>
      <c r="Q345" s="142">
        <f>B345*IBGE_2!Q$345/100</f>
        <v>78.48</v>
      </c>
      <c r="R345" s="142">
        <f>B345*IBGE_2!R$345/100</f>
        <v>1.22</v>
      </c>
      <c r="S345" s="142">
        <f>B345*IBGE_2!S$345/100</f>
        <v>93.58</v>
      </c>
      <c r="T345" s="142">
        <f>B345*IBGE_2!T$345/100</f>
        <v>212.17</v>
      </c>
      <c r="U345" s="142">
        <f>B345*IBGE_2!U$345/100</f>
        <v>0.09</v>
      </c>
      <c r="V345" s="142">
        <f>B345*IBGE_2!V$345/100</f>
        <v>0.47</v>
      </c>
      <c r="W345" s="142">
        <f>B345*IBGE_2!W$345/100</f>
        <v>23.07</v>
      </c>
      <c r="X345" s="142">
        <f>B345*IBGE_2!X$345/100</f>
        <v>0.19</v>
      </c>
      <c r="Y345" s="142">
        <f>B345*IBGE_2!Y$345/100</f>
        <v>0.18</v>
      </c>
      <c r="Z345" s="142">
        <f>B345*IBGE_2!Z$345/100</f>
        <v>0.08</v>
      </c>
      <c r="AA345" s="142">
        <f>B345*IBGE_2!AA$345/100</f>
        <v>1.39</v>
      </c>
      <c r="AB345" s="142">
        <f>B345*IBGE_2!AB$345/100</f>
        <v>2.84</v>
      </c>
      <c r="AC345" s="142">
        <f>B345*IBGE_2!AC$345/100</f>
        <v>0.65</v>
      </c>
      <c r="AD345" s="142">
        <f>B345*IBGE_2!AD$345/100</f>
        <v>0.21</v>
      </c>
      <c r="AE345" s="142">
        <f>B345*IBGE_2!AE$345/100</f>
        <v>20</v>
      </c>
      <c r="AF345" s="142">
        <f>B345*IBGE_2!AF$345/100</f>
        <v>0.24</v>
      </c>
      <c r="AG345" s="142">
        <f>B345*IBGE_2!AG$345/100</f>
        <v>0.8</v>
      </c>
      <c r="AH345" s="142">
        <f>B345*IBGE_2!AH$345/100</f>
        <v>0.02</v>
      </c>
      <c r="AI345" s="142">
        <f>B345*IBGE_2!AI$345/100</f>
        <v>212</v>
      </c>
      <c r="AJ345" s="142">
        <f>B345*IBGE_2!AJ$345/100</f>
        <v>12.41</v>
      </c>
      <c r="AK345" s="142">
        <f>B345*IBGE_2!AK$345/100</f>
        <v>10.58</v>
      </c>
      <c r="AL345" s="142">
        <f>B345*IBGE_2!AL$345/100</f>
        <v>1.66</v>
      </c>
      <c r="AM345" s="145" t="s">
        <v>3047</v>
      </c>
      <c r="AN345" s="161"/>
    </row>
    <row r="346" spans="1:40">
      <c r="A346" s="143" t="s">
        <v>1405</v>
      </c>
      <c r="B346" s="141">
        <v>100</v>
      </c>
      <c r="C346" s="142">
        <f>B346*IBGE_2!C$346/100</f>
        <v>42.3</v>
      </c>
      <c r="D346" s="142">
        <f>B346*IBGE_2!D$346/100</f>
        <v>0.91</v>
      </c>
      <c r="E346" s="142">
        <f>B346*IBGE_2!E$346/100</f>
        <v>2.83</v>
      </c>
      <c r="F346" s="142">
        <f>B346*IBGE_2!F$346/100</f>
        <v>0.43</v>
      </c>
      <c r="G346" s="142">
        <f>B346*IBGE_2!G$346/100</f>
        <v>0.61</v>
      </c>
      <c r="H346" s="142">
        <f>B346*IBGE_2!H$346/100</f>
        <v>1.59</v>
      </c>
      <c r="I346" s="142">
        <f>B346*IBGE_2!I$346/100</f>
        <v>1.34</v>
      </c>
      <c r="J346" s="142">
        <f>B346*IBGE_2!J$346/100</f>
        <v>0.25</v>
      </c>
      <c r="K346" s="142" t="s">
        <v>3047</v>
      </c>
      <c r="L346" s="142">
        <f>B346*IBGE_2!L$346/100</f>
        <v>4.3099999999999996</v>
      </c>
      <c r="M346" s="142">
        <f>B346*IBGE_2!M$346/100</f>
        <v>1.4</v>
      </c>
      <c r="N346" s="142">
        <f>B346*IBGE_2!N$346/100</f>
        <v>27</v>
      </c>
      <c r="O346" s="142">
        <f>B346*IBGE_2!O$346/100</f>
        <v>24</v>
      </c>
      <c r="P346" s="142">
        <f>B346*IBGE_2!P$346/100</f>
        <v>0.21</v>
      </c>
      <c r="Q346" s="142">
        <f>B346*IBGE_2!Q$346/100</f>
        <v>39</v>
      </c>
      <c r="R346" s="142">
        <f>B346*IBGE_2!R$346/100</f>
        <v>0.36</v>
      </c>
      <c r="S346" s="142">
        <f>B346*IBGE_2!S$346/100</f>
        <v>1</v>
      </c>
      <c r="T346" s="142">
        <f>B346*IBGE_2!T$346/100</f>
        <v>192</v>
      </c>
      <c r="U346" s="142">
        <f>B346*IBGE_2!U$346/100</f>
        <v>0.1</v>
      </c>
      <c r="V346" s="142">
        <f>B346*IBGE_2!V$346/100</f>
        <v>0.39</v>
      </c>
      <c r="W346" s="142" t="s">
        <v>3047</v>
      </c>
      <c r="X346" s="142">
        <f>B346*IBGE_2!X$346/100</f>
        <v>0.04</v>
      </c>
      <c r="Y346" s="142">
        <f>B346*IBGE_2!Y$346/100</f>
        <v>0.04</v>
      </c>
      <c r="Z346" s="142">
        <f>B346*IBGE_2!Z$346/100</f>
        <v>7.0000000000000007E-2</v>
      </c>
      <c r="AA346" s="142">
        <f>B346*IBGE_2!AA$346/100</f>
        <v>0.51</v>
      </c>
      <c r="AB346" s="142">
        <f>B346*IBGE_2!AB$346/100</f>
        <v>5.5</v>
      </c>
      <c r="AC346" s="142">
        <f>B346*IBGE_2!AC$346/100</f>
        <v>0.65</v>
      </c>
      <c r="AD346" s="142" t="s">
        <v>3047</v>
      </c>
      <c r="AE346" s="142">
        <f>B346*IBGE_2!AE$346/100</f>
        <v>20</v>
      </c>
      <c r="AF346" s="142" t="s">
        <v>3047</v>
      </c>
      <c r="AG346" s="142">
        <f>B346*IBGE_2!AG$346/100</f>
        <v>0.37</v>
      </c>
      <c r="AH346" s="142" t="s">
        <v>3047</v>
      </c>
      <c r="AI346" s="142">
        <f>B346*IBGE_2!AI$346/100</f>
        <v>212</v>
      </c>
      <c r="AJ346" s="142">
        <f>B346*IBGE_2!AJ$346/100</f>
        <v>1.36</v>
      </c>
      <c r="AK346" s="142">
        <f>B346*IBGE_2!AK$346/100</f>
        <v>10.58</v>
      </c>
      <c r="AL346" s="142">
        <f>B346*IBGE_2!AL$346/100</f>
        <v>1.66</v>
      </c>
      <c r="AM346" s="145" t="s">
        <v>3047</v>
      </c>
      <c r="AN346" s="161"/>
    </row>
    <row r="347" spans="1:40">
      <c r="A347" s="143" t="s">
        <v>1406</v>
      </c>
      <c r="B347" s="141">
        <v>100</v>
      </c>
      <c r="C347" s="142">
        <f>B347*IBGE_2!C$347/100</f>
        <v>42.3</v>
      </c>
      <c r="D347" s="142">
        <f>B347*IBGE_2!D$347/100</f>
        <v>0.91</v>
      </c>
      <c r="E347" s="142">
        <f>B347*IBGE_2!E$347/100</f>
        <v>2.83</v>
      </c>
      <c r="F347" s="142">
        <f>B347*IBGE_2!F$347/100</f>
        <v>0.43</v>
      </c>
      <c r="G347" s="142">
        <f>B347*IBGE_2!G$347/100</f>
        <v>0.61</v>
      </c>
      <c r="H347" s="142">
        <f>B347*IBGE_2!H$347/100</f>
        <v>1.59</v>
      </c>
      <c r="I347" s="142">
        <f>B347*IBGE_2!I$347/100</f>
        <v>1.34</v>
      </c>
      <c r="J347" s="142">
        <f>B347*IBGE_2!J$347/100</f>
        <v>0.25</v>
      </c>
      <c r="K347" s="142" t="s">
        <v>3047</v>
      </c>
      <c r="L347" s="142">
        <f>B347*IBGE_2!L$347/100</f>
        <v>4.3099999999999996</v>
      </c>
      <c r="M347" s="142">
        <f>B347*IBGE_2!M$347/100</f>
        <v>1.4</v>
      </c>
      <c r="N347" s="142">
        <f>B347*IBGE_2!N$347/100</f>
        <v>27</v>
      </c>
      <c r="O347" s="142">
        <f>B347*IBGE_2!O$347/100</f>
        <v>24</v>
      </c>
      <c r="P347" s="142">
        <f>B347*IBGE_2!P$347/100</f>
        <v>0.21</v>
      </c>
      <c r="Q347" s="142">
        <f>B347*IBGE_2!Q$347/100</f>
        <v>39</v>
      </c>
      <c r="R347" s="142">
        <f>B347*IBGE_2!R$347/100</f>
        <v>0.36</v>
      </c>
      <c r="S347" s="142">
        <f>B347*IBGE_2!S$347/100</f>
        <v>1</v>
      </c>
      <c r="T347" s="142">
        <f>B347*IBGE_2!T$347/100</f>
        <v>192</v>
      </c>
      <c r="U347" s="142">
        <f>B347*IBGE_2!U$347/100</f>
        <v>0.1</v>
      </c>
      <c r="V347" s="142">
        <f>B347*IBGE_2!V$347/100</f>
        <v>0.39</v>
      </c>
      <c r="W347" s="142" t="s">
        <v>3047</v>
      </c>
      <c r="X347" s="142">
        <f>B347*IBGE_2!X$347/100</f>
        <v>0.04</v>
      </c>
      <c r="Y347" s="142">
        <f>B347*IBGE_2!Y$347/100</f>
        <v>0.04</v>
      </c>
      <c r="Z347" s="142">
        <f>B347*IBGE_2!Z$347/100</f>
        <v>7.0000000000000007E-2</v>
      </c>
      <c r="AA347" s="142">
        <f>B347*IBGE_2!AA$347/100</f>
        <v>0.51</v>
      </c>
      <c r="AB347" s="142">
        <f>B347*IBGE_2!AB$347/100</f>
        <v>5.5</v>
      </c>
      <c r="AC347" s="142">
        <f>B347*IBGE_2!AC$347/100</f>
        <v>0.65</v>
      </c>
      <c r="AD347" s="142" t="s">
        <v>3047</v>
      </c>
      <c r="AE347" s="142">
        <f>B347*IBGE_2!AE$347/100</f>
        <v>20</v>
      </c>
      <c r="AF347" s="142" t="s">
        <v>3047</v>
      </c>
      <c r="AG347" s="142">
        <f>B347*IBGE_2!AG$347/100</f>
        <v>0.37</v>
      </c>
      <c r="AH347" s="142" t="s">
        <v>3047</v>
      </c>
      <c r="AI347" s="142">
        <f>B347*IBGE_2!AI$347/100</f>
        <v>212</v>
      </c>
      <c r="AJ347" s="142">
        <f>B347*IBGE_2!AJ$347/100</f>
        <v>1.36</v>
      </c>
      <c r="AK347" s="142">
        <f>B347*IBGE_2!AK$347/100</f>
        <v>10.58</v>
      </c>
      <c r="AL347" s="142">
        <f>B347*IBGE_2!AL$347/100</f>
        <v>1.66</v>
      </c>
      <c r="AM347" s="145" t="s">
        <v>3047</v>
      </c>
      <c r="AN347" s="161"/>
    </row>
    <row r="348" spans="1:40">
      <c r="A348" s="143" t="s">
        <v>1407</v>
      </c>
      <c r="B348" s="141">
        <v>100</v>
      </c>
      <c r="C348" s="142">
        <f>B348*IBGE_2!C$348/100</f>
        <v>20</v>
      </c>
      <c r="D348" s="142">
        <f>B348*IBGE_2!D$348/100</f>
        <v>0.72</v>
      </c>
      <c r="E348" s="142">
        <f>B348*IBGE_2!E$348/100</f>
        <v>7.0000000000000007E-2</v>
      </c>
      <c r="F348" s="142">
        <f>B348*IBGE_2!F$348/100</f>
        <v>0.04</v>
      </c>
      <c r="G348" s="142">
        <f>B348*IBGE_2!G$348/100</f>
        <v>0.01</v>
      </c>
      <c r="H348" s="142" t="s">
        <v>3047</v>
      </c>
      <c r="I348" s="142" t="s">
        <v>3047</v>
      </c>
      <c r="J348" s="142" t="s">
        <v>3047</v>
      </c>
      <c r="K348" s="142" t="s">
        <v>3047</v>
      </c>
      <c r="L348" s="142">
        <f>B348*IBGE_2!L$348/100</f>
        <v>4.9000000000000004</v>
      </c>
      <c r="M348" s="142">
        <f>B348*IBGE_2!M$348/100</f>
        <v>1.1000000000000001</v>
      </c>
      <c r="N348" s="142">
        <f>B348*IBGE_2!N$348/100</f>
        <v>15</v>
      </c>
      <c r="O348" s="142">
        <f>B348*IBGE_2!O$348/100</f>
        <v>9</v>
      </c>
      <c r="P348" s="142">
        <f>B348*IBGE_2!P$348/100</f>
        <v>0.09</v>
      </c>
      <c r="Q348" s="142">
        <f>B348*IBGE_2!Q$348/100</f>
        <v>30</v>
      </c>
      <c r="R348" s="142">
        <f>B348*IBGE_2!R$348/100</f>
        <v>0.56999999999999995</v>
      </c>
      <c r="S348" s="142">
        <f>B348*IBGE_2!S$348/100</f>
        <v>1</v>
      </c>
      <c r="T348" s="142">
        <f>B348*IBGE_2!T$348/100</f>
        <v>230</v>
      </c>
      <c r="U348" s="142">
        <f>B348*IBGE_2!U$348/100</f>
        <v>0.09</v>
      </c>
      <c r="V348" s="142">
        <f>B348*IBGE_2!V$348/100</f>
        <v>0.23</v>
      </c>
      <c r="W348" s="142" t="s">
        <v>3047</v>
      </c>
      <c r="X348" s="142">
        <f>B348*IBGE_2!X$348/100</f>
        <v>0.03</v>
      </c>
      <c r="Y348" s="142">
        <f>B348*IBGE_2!Y$348/100</f>
        <v>0.08</v>
      </c>
      <c r="Z348" s="142">
        <f>B348*IBGE_2!Z$348/100</f>
        <v>0.04</v>
      </c>
      <c r="AA348" s="142">
        <f>B348*IBGE_2!AA$348/100</f>
        <v>0.41</v>
      </c>
      <c r="AB348" s="142">
        <f>B348*IBGE_2!AB$348/100</f>
        <v>4.7</v>
      </c>
      <c r="AC348" s="142">
        <f>B348*IBGE_2!AC$348/100</f>
        <v>0.56000000000000005</v>
      </c>
      <c r="AD348" s="142" t="s">
        <v>3047</v>
      </c>
      <c r="AE348" s="142">
        <f>B348*IBGE_2!AE$348/100</f>
        <v>9</v>
      </c>
      <c r="AF348" s="142" t="s">
        <v>3047</v>
      </c>
      <c r="AG348" s="142">
        <f>B348*IBGE_2!AG$348/100</f>
        <v>0.8</v>
      </c>
      <c r="AH348" s="142" t="s">
        <v>3047</v>
      </c>
      <c r="AI348" s="142">
        <f>B348*IBGE_2!AI$348/100</f>
        <v>154</v>
      </c>
      <c r="AJ348" s="142">
        <f>B348*IBGE_2!AJ$348/100</f>
        <v>0.2</v>
      </c>
      <c r="AK348" s="142">
        <f>B348*IBGE_2!AK$348/100</f>
        <v>249.58</v>
      </c>
      <c r="AL348" s="142">
        <f>B348*IBGE_2!AL$348/100</f>
        <v>3.3</v>
      </c>
      <c r="AM348" s="145" t="s">
        <v>3047</v>
      </c>
      <c r="AN348" s="161"/>
    </row>
    <row r="349" spans="1:40">
      <c r="A349" s="143" t="s">
        <v>1408</v>
      </c>
      <c r="B349" s="141">
        <v>100</v>
      </c>
      <c r="C349" s="142">
        <f>B349*IBGE_2!C$349/100</f>
        <v>20</v>
      </c>
      <c r="D349" s="142">
        <f>B349*IBGE_2!D$349/100</f>
        <v>0.72</v>
      </c>
      <c r="E349" s="142">
        <f>B349*IBGE_2!E$349/100</f>
        <v>7.0000000000000007E-2</v>
      </c>
      <c r="F349" s="142">
        <f>B349*IBGE_2!F$349/100</f>
        <v>0.04</v>
      </c>
      <c r="G349" s="142">
        <f>B349*IBGE_2!G$349/100</f>
        <v>0.01</v>
      </c>
      <c r="H349" s="142" t="s">
        <v>3047</v>
      </c>
      <c r="I349" s="142" t="s">
        <v>3047</v>
      </c>
      <c r="J349" s="142" t="s">
        <v>3047</v>
      </c>
      <c r="K349" s="142" t="s">
        <v>3047</v>
      </c>
      <c r="L349" s="142">
        <f>B349*IBGE_2!L$349/100</f>
        <v>4.9000000000000004</v>
      </c>
      <c r="M349" s="142">
        <f>B349*IBGE_2!M$349/100</f>
        <v>1.1000000000000001</v>
      </c>
      <c r="N349" s="142">
        <f>B349*IBGE_2!N$349/100</f>
        <v>15</v>
      </c>
      <c r="O349" s="142">
        <f>B349*IBGE_2!O$349/100</f>
        <v>9</v>
      </c>
      <c r="P349" s="142">
        <f>B349*IBGE_2!P$349/100</f>
        <v>0.09</v>
      </c>
      <c r="Q349" s="142">
        <f>B349*IBGE_2!Q$349/100</f>
        <v>30</v>
      </c>
      <c r="R349" s="142">
        <f>B349*IBGE_2!R$349/100</f>
        <v>0.56999999999999995</v>
      </c>
      <c r="S349" s="142">
        <f>B349*IBGE_2!S$349/100</f>
        <v>1</v>
      </c>
      <c r="T349" s="142">
        <f>B349*IBGE_2!T$349/100</f>
        <v>230</v>
      </c>
      <c r="U349" s="142">
        <f>B349*IBGE_2!U$349/100</f>
        <v>0.09</v>
      </c>
      <c r="V349" s="142">
        <f>B349*IBGE_2!V$349/100</f>
        <v>0.23</v>
      </c>
      <c r="W349" s="142" t="s">
        <v>3047</v>
      </c>
      <c r="X349" s="142">
        <f>B349*IBGE_2!X$349/100</f>
        <v>0.03</v>
      </c>
      <c r="Y349" s="142">
        <f>B349*IBGE_2!Y$349/100</f>
        <v>0.08</v>
      </c>
      <c r="Z349" s="142">
        <f>B349*IBGE_2!Z$349/100</f>
        <v>0.04</v>
      </c>
      <c r="AA349" s="142">
        <f>B349*IBGE_2!AA$349/100</f>
        <v>0.41</v>
      </c>
      <c r="AB349" s="142">
        <f>B349*IBGE_2!AB$349/100</f>
        <v>4.7</v>
      </c>
      <c r="AC349" s="142">
        <f>B349*IBGE_2!AC$349/100</f>
        <v>0.56000000000000005</v>
      </c>
      <c r="AD349" s="142" t="s">
        <v>3047</v>
      </c>
      <c r="AE349" s="142">
        <f>B349*IBGE_2!AE$349/100</f>
        <v>9</v>
      </c>
      <c r="AF349" s="142" t="s">
        <v>3047</v>
      </c>
      <c r="AG349" s="142">
        <f>B349*IBGE_2!AG$349/100</f>
        <v>0.8</v>
      </c>
      <c r="AH349" s="142" t="s">
        <v>3047</v>
      </c>
      <c r="AI349" s="142">
        <f>B349*IBGE_2!AI$349/100</f>
        <v>154</v>
      </c>
      <c r="AJ349" s="142">
        <f>B349*IBGE_2!AJ$349/100</f>
        <v>0.2</v>
      </c>
      <c r="AK349" s="142">
        <f>B349*IBGE_2!AK$349/100</f>
        <v>249.58</v>
      </c>
      <c r="AL349" s="142">
        <f>B349*IBGE_2!AL$349/100</f>
        <v>3.3</v>
      </c>
      <c r="AM349" s="145" t="s">
        <v>3047</v>
      </c>
      <c r="AN349" s="161"/>
    </row>
    <row r="350" spans="1:40">
      <c r="A350" s="143" t="s">
        <v>1409</v>
      </c>
      <c r="B350" s="141">
        <v>100</v>
      </c>
      <c r="C350" s="142">
        <f>B350*IBGE_2!C$350/100</f>
        <v>20</v>
      </c>
      <c r="D350" s="142">
        <f>B350*IBGE_2!D$350/100</f>
        <v>0.72</v>
      </c>
      <c r="E350" s="142">
        <f>B350*IBGE_2!E$350/100</f>
        <v>7.0000000000000007E-2</v>
      </c>
      <c r="F350" s="142">
        <f>B350*IBGE_2!F$350/100</f>
        <v>0.04</v>
      </c>
      <c r="G350" s="142">
        <f>B350*IBGE_2!G$350/100</f>
        <v>0.01</v>
      </c>
      <c r="H350" s="142" t="s">
        <v>3047</v>
      </c>
      <c r="I350" s="142" t="s">
        <v>3047</v>
      </c>
      <c r="J350" s="142" t="s">
        <v>3047</v>
      </c>
      <c r="K350" s="142" t="s">
        <v>3047</v>
      </c>
      <c r="L350" s="142">
        <f>B350*IBGE_2!L$350/100</f>
        <v>4.9000000000000004</v>
      </c>
      <c r="M350" s="142">
        <f>B350*IBGE_2!M$350/100</f>
        <v>1.1000000000000001</v>
      </c>
      <c r="N350" s="142">
        <f>B350*IBGE_2!N$350/100</f>
        <v>15</v>
      </c>
      <c r="O350" s="142">
        <f>B350*IBGE_2!O$350/100</f>
        <v>9</v>
      </c>
      <c r="P350" s="142">
        <f>B350*IBGE_2!P$350/100</f>
        <v>0.09</v>
      </c>
      <c r="Q350" s="142">
        <f>B350*IBGE_2!Q$350/100</f>
        <v>30</v>
      </c>
      <c r="R350" s="142">
        <f>B350*IBGE_2!R$350/100</f>
        <v>0.56999999999999995</v>
      </c>
      <c r="S350" s="142">
        <f>B350*IBGE_2!S$350/100</f>
        <v>1</v>
      </c>
      <c r="T350" s="142">
        <f>B350*IBGE_2!T$350/100</f>
        <v>230</v>
      </c>
      <c r="U350" s="142">
        <f>B350*IBGE_2!U$350/100</f>
        <v>0.09</v>
      </c>
      <c r="V350" s="142">
        <f>B350*IBGE_2!V$350/100</f>
        <v>0.23</v>
      </c>
      <c r="W350" s="142" t="s">
        <v>3047</v>
      </c>
      <c r="X350" s="142">
        <f>B350*IBGE_2!X$350/100</f>
        <v>0.03</v>
      </c>
      <c r="Y350" s="142">
        <f>B350*IBGE_2!Y$350/100</f>
        <v>0.08</v>
      </c>
      <c r="Z350" s="142">
        <f>B350*IBGE_2!Z$350/100</f>
        <v>0.04</v>
      </c>
      <c r="AA350" s="142">
        <f>B350*IBGE_2!AA$350/100</f>
        <v>0.41</v>
      </c>
      <c r="AB350" s="142">
        <f>B350*IBGE_2!AB$350/100</f>
        <v>4.7</v>
      </c>
      <c r="AC350" s="142">
        <f>B350*IBGE_2!AC$350/100</f>
        <v>0.56000000000000005</v>
      </c>
      <c r="AD350" s="142" t="s">
        <v>3047</v>
      </c>
      <c r="AE350" s="142">
        <f>B350*IBGE_2!AE$350/100</f>
        <v>9</v>
      </c>
      <c r="AF350" s="142" t="s">
        <v>3047</v>
      </c>
      <c r="AG350" s="142">
        <f>B350*IBGE_2!AG$350/100</f>
        <v>0.8</v>
      </c>
      <c r="AH350" s="142" t="s">
        <v>3047</v>
      </c>
      <c r="AI350" s="142">
        <f>B350*IBGE_2!AI$350/100</f>
        <v>154</v>
      </c>
      <c r="AJ350" s="142">
        <f>B350*IBGE_2!AJ$350/100</f>
        <v>0.2</v>
      </c>
      <c r="AK350" s="142">
        <f>B350*IBGE_2!AK$350/100</f>
        <v>249.58</v>
      </c>
      <c r="AL350" s="142">
        <f>B350*IBGE_2!AL$350/100</f>
        <v>3.3</v>
      </c>
      <c r="AM350" s="145" t="s">
        <v>3047</v>
      </c>
      <c r="AN350" s="161"/>
    </row>
    <row r="351" spans="1:40">
      <c r="A351" s="143" t="s">
        <v>1410</v>
      </c>
      <c r="B351" s="141">
        <v>100</v>
      </c>
      <c r="C351" s="142">
        <f>B351*IBGE_2!C$351/100</f>
        <v>20</v>
      </c>
      <c r="D351" s="142">
        <f>B351*IBGE_2!D$351/100</f>
        <v>0.72</v>
      </c>
      <c r="E351" s="142">
        <f>B351*IBGE_2!E$351/100</f>
        <v>7.0000000000000007E-2</v>
      </c>
      <c r="F351" s="142">
        <f>B351*IBGE_2!F$351/100</f>
        <v>0.04</v>
      </c>
      <c r="G351" s="142">
        <f>B351*IBGE_2!G$351/100</f>
        <v>0.01</v>
      </c>
      <c r="H351" s="142" t="s">
        <v>3047</v>
      </c>
      <c r="I351" s="142" t="s">
        <v>3047</v>
      </c>
      <c r="J351" s="142" t="s">
        <v>3047</v>
      </c>
      <c r="K351" s="142" t="s">
        <v>3047</v>
      </c>
      <c r="L351" s="142">
        <f>B351*IBGE_2!L$351/100</f>
        <v>4.9000000000000004</v>
      </c>
      <c r="M351" s="142">
        <f>B351*IBGE_2!M$351/100</f>
        <v>1.1000000000000001</v>
      </c>
      <c r="N351" s="142">
        <f>B351*IBGE_2!N$351/100</f>
        <v>15</v>
      </c>
      <c r="O351" s="142">
        <f>B351*IBGE_2!O$351/100</f>
        <v>9</v>
      </c>
      <c r="P351" s="142">
        <f>B351*IBGE_2!P$351/100</f>
        <v>0.09</v>
      </c>
      <c r="Q351" s="142">
        <f>B351*IBGE_2!Q$351/100</f>
        <v>30</v>
      </c>
      <c r="R351" s="142">
        <f>B351*IBGE_2!R$351/100</f>
        <v>0.56999999999999995</v>
      </c>
      <c r="S351" s="142">
        <f>B351*IBGE_2!S$351/100</f>
        <v>1</v>
      </c>
      <c r="T351" s="142">
        <f>B351*IBGE_2!T$351/100</f>
        <v>230</v>
      </c>
      <c r="U351" s="142">
        <f>B351*IBGE_2!U$351/100</f>
        <v>0.09</v>
      </c>
      <c r="V351" s="142">
        <f>B351*IBGE_2!V$351/100</f>
        <v>0.23</v>
      </c>
      <c r="W351" s="142" t="s">
        <v>3047</v>
      </c>
      <c r="X351" s="142">
        <f>B351*IBGE_2!X$351/100</f>
        <v>0.03</v>
      </c>
      <c r="Y351" s="142">
        <f>B351*IBGE_2!Y$351/100</f>
        <v>0.08</v>
      </c>
      <c r="Z351" s="142">
        <f>B351*IBGE_2!Z$351/100</f>
        <v>0.04</v>
      </c>
      <c r="AA351" s="142">
        <f>B351*IBGE_2!AA$351/100</f>
        <v>0.41</v>
      </c>
      <c r="AB351" s="142">
        <f>B351*IBGE_2!AB$351/100</f>
        <v>4.7</v>
      </c>
      <c r="AC351" s="142">
        <f>B351*IBGE_2!AC$351/100</f>
        <v>0.56000000000000005</v>
      </c>
      <c r="AD351" s="142" t="s">
        <v>3047</v>
      </c>
      <c r="AE351" s="142">
        <f>B351*IBGE_2!AE$351/100</f>
        <v>9</v>
      </c>
      <c r="AF351" s="142" t="s">
        <v>3047</v>
      </c>
      <c r="AG351" s="142">
        <f>B351*IBGE_2!AG$351/100</f>
        <v>0.8</v>
      </c>
      <c r="AH351" s="142" t="s">
        <v>3047</v>
      </c>
      <c r="AI351" s="142">
        <f>B351*IBGE_2!AI$351/100</f>
        <v>154</v>
      </c>
      <c r="AJ351" s="142">
        <f>B351*IBGE_2!AJ$351/100</f>
        <v>0.2</v>
      </c>
      <c r="AK351" s="142">
        <f>B351*IBGE_2!AK$351/100</f>
        <v>249.58</v>
      </c>
      <c r="AL351" s="142">
        <f>B351*IBGE_2!AL$351/100</f>
        <v>3.3</v>
      </c>
      <c r="AM351" s="145" t="s">
        <v>3047</v>
      </c>
      <c r="AN351" s="161"/>
    </row>
    <row r="352" spans="1:40">
      <c r="A352" s="143" t="s">
        <v>1411</v>
      </c>
      <c r="B352" s="141">
        <v>100</v>
      </c>
      <c r="C352" s="142">
        <f>B352*IBGE_2!C$352/100</f>
        <v>20</v>
      </c>
      <c r="D352" s="142">
        <f>B352*IBGE_2!D$352/100</f>
        <v>0.72</v>
      </c>
      <c r="E352" s="142">
        <f>B352*IBGE_2!E$352/100</f>
        <v>7.0000000000000007E-2</v>
      </c>
      <c r="F352" s="142">
        <f>B352*IBGE_2!F$352/100</f>
        <v>0.04</v>
      </c>
      <c r="G352" s="142">
        <f>B352*IBGE_2!G$352/100</f>
        <v>0.01</v>
      </c>
      <c r="H352" s="142" t="s">
        <v>3047</v>
      </c>
      <c r="I352" s="142" t="s">
        <v>3047</v>
      </c>
      <c r="J352" s="142" t="s">
        <v>3047</v>
      </c>
      <c r="K352" s="142" t="s">
        <v>3047</v>
      </c>
      <c r="L352" s="142">
        <f>B352*IBGE_2!L$352/100</f>
        <v>4.9000000000000004</v>
      </c>
      <c r="M352" s="142">
        <f>B352*IBGE_2!M$352/100</f>
        <v>1.1000000000000001</v>
      </c>
      <c r="N352" s="142">
        <f>B352*IBGE_2!N$352/100</f>
        <v>15</v>
      </c>
      <c r="O352" s="142">
        <f>B352*IBGE_2!O$352/100</f>
        <v>9</v>
      </c>
      <c r="P352" s="142">
        <f>B352*IBGE_2!P$352/100</f>
        <v>0.09</v>
      </c>
      <c r="Q352" s="142">
        <f>B352*IBGE_2!Q$352/100</f>
        <v>30</v>
      </c>
      <c r="R352" s="142">
        <f>B352*IBGE_2!R$352/100</f>
        <v>0.56999999999999995</v>
      </c>
      <c r="S352" s="142">
        <f>B352*IBGE_2!S$352/100</f>
        <v>1</v>
      </c>
      <c r="T352" s="142">
        <f>B352*IBGE_2!T$352/100</f>
        <v>230</v>
      </c>
      <c r="U352" s="142">
        <f>B352*IBGE_2!U$352/100</f>
        <v>0.09</v>
      </c>
      <c r="V352" s="142">
        <f>B352*IBGE_2!V$352/100</f>
        <v>0.23</v>
      </c>
      <c r="W352" s="142" t="s">
        <v>3047</v>
      </c>
      <c r="X352" s="142">
        <f>B352*IBGE_2!X$352/100</f>
        <v>0.03</v>
      </c>
      <c r="Y352" s="142">
        <f>B352*IBGE_2!Y$352/100</f>
        <v>0.08</v>
      </c>
      <c r="Z352" s="142">
        <f>B352*IBGE_2!Z$352/100</f>
        <v>0.04</v>
      </c>
      <c r="AA352" s="142">
        <f>B352*IBGE_2!AA$352/100</f>
        <v>0.41</v>
      </c>
      <c r="AB352" s="142">
        <f>B352*IBGE_2!AB$352/100</f>
        <v>4.7</v>
      </c>
      <c r="AC352" s="142">
        <f>B352*IBGE_2!AC$352/100</f>
        <v>0.56000000000000005</v>
      </c>
      <c r="AD352" s="142" t="s">
        <v>3047</v>
      </c>
      <c r="AE352" s="142">
        <f>B352*IBGE_2!AE$352/100</f>
        <v>9</v>
      </c>
      <c r="AF352" s="142" t="s">
        <v>3047</v>
      </c>
      <c r="AG352" s="142">
        <f>B352*IBGE_2!AG$352/100</f>
        <v>0.8</v>
      </c>
      <c r="AH352" s="142" t="s">
        <v>3047</v>
      </c>
      <c r="AI352" s="142">
        <f>B352*IBGE_2!AI$352/100</f>
        <v>154</v>
      </c>
      <c r="AJ352" s="142">
        <f>B352*IBGE_2!AJ$352/100</f>
        <v>0.2</v>
      </c>
      <c r="AK352" s="142">
        <f>B352*IBGE_2!AK$352/100</f>
        <v>249.58</v>
      </c>
      <c r="AL352" s="142">
        <f>B352*IBGE_2!AL$352/100</f>
        <v>3.3</v>
      </c>
      <c r="AM352" s="145" t="s">
        <v>3047</v>
      </c>
      <c r="AN352" s="161"/>
    </row>
    <row r="353" spans="1:40">
      <c r="A353" s="143" t="s">
        <v>1412</v>
      </c>
      <c r="B353" s="141">
        <v>100</v>
      </c>
      <c r="C353" s="142">
        <f>B353*IBGE_2!C$353/100</f>
        <v>36.39</v>
      </c>
      <c r="D353" s="142">
        <f>B353*IBGE_2!D$353/100</f>
        <v>0.72</v>
      </c>
      <c r="E353" s="142">
        <f>B353*IBGE_2!E$353/100</f>
        <v>1.92</v>
      </c>
      <c r="F353" s="142">
        <f>B353*IBGE_2!F$353/100</f>
        <v>0.3</v>
      </c>
      <c r="G353" s="142">
        <f>B353*IBGE_2!G$353/100</f>
        <v>0.44</v>
      </c>
      <c r="H353" s="142">
        <f>B353*IBGE_2!H$353/100</f>
        <v>1.08</v>
      </c>
      <c r="I353" s="142">
        <f>B353*IBGE_2!I$353/100</f>
        <v>0.95</v>
      </c>
      <c r="J353" s="142">
        <f>B353*IBGE_2!J$353/100</f>
        <v>0.13</v>
      </c>
      <c r="K353" s="142" t="s">
        <v>3047</v>
      </c>
      <c r="L353" s="142">
        <f>B353*IBGE_2!L$353/100</f>
        <v>4.9000000000000004</v>
      </c>
      <c r="M353" s="142">
        <f>B353*IBGE_2!M$353/100</f>
        <v>1.1000000000000001</v>
      </c>
      <c r="N353" s="142">
        <f>B353*IBGE_2!N$353/100</f>
        <v>15</v>
      </c>
      <c r="O353" s="142">
        <f>B353*IBGE_2!O$353/100</f>
        <v>9</v>
      </c>
      <c r="P353" s="142">
        <f>B353*IBGE_2!P$353/100</f>
        <v>0.09</v>
      </c>
      <c r="Q353" s="142">
        <f>B353*IBGE_2!Q$353/100</f>
        <v>30</v>
      </c>
      <c r="R353" s="142">
        <f>B353*IBGE_2!R$353/100</f>
        <v>0.56999999999999995</v>
      </c>
      <c r="S353" s="142">
        <f>B353*IBGE_2!S$353/100</f>
        <v>1</v>
      </c>
      <c r="T353" s="142">
        <f>B353*IBGE_2!T$353/100</f>
        <v>230</v>
      </c>
      <c r="U353" s="142">
        <f>B353*IBGE_2!U$353/100</f>
        <v>0.09</v>
      </c>
      <c r="V353" s="142">
        <f>B353*IBGE_2!V$353/100</f>
        <v>0.23</v>
      </c>
      <c r="W353" s="142" t="s">
        <v>3047</v>
      </c>
      <c r="X353" s="142">
        <f>B353*IBGE_2!X$353/100</f>
        <v>0.03</v>
      </c>
      <c r="Y353" s="142">
        <f>B353*IBGE_2!Y$353/100</f>
        <v>0.08</v>
      </c>
      <c r="Z353" s="142">
        <f>B353*IBGE_2!Z$353/100</f>
        <v>0.04</v>
      </c>
      <c r="AA353" s="142">
        <f>B353*IBGE_2!AA$353/100</f>
        <v>0.41</v>
      </c>
      <c r="AB353" s="142">
        <f>B353*IBGE_2!AB$353/100</f>
        <v>4.7</v>
      </c>
      <c r="AC353" s="142">
        <f>B353*IBGE_2!AC$353/100</f>
        <v>0.56000000000000005</v>
      </c>
      <c r="AD353" s="142" t="s">
        <v>3047</v>
      </c>
      <c r="AE353" s="142">
        <f>B353*IBGE_2!AE$353/100</f>
        <v>9</v>
      </c>
      <c r="AF353" s="142" t="s">
        <v>3047</v>
      </c>
      <c r="AG353" s="142">
        <f>B353*IBGE_2!AG$353/100</f>
        <v>0.97</v>
      </c>
      <c r="AH353" s="142" t="s">
        <v>3047</v>
      </c>
      <c r="AI353" s="142">
        <f>B353*IBGE_2!AI$353/100</f>
        <v>154</v>
      </c>
      <c r="AJ353" s="142">
        <f>B353*IBGE_2!AJ$353/100</f>
        <v>1.05</v>
      </c>
      <c r="AK353" s="142">
        <f>B353*IBGE_2!AK$353/100</f>
        <v>249.58</v>
      </c>
      <c r="AL353" s="142">
        <f>B353*IBGE_2!AL$353/100</f>
        <v>3.3</v>
      </c>
      <c r="AM353" s="145" t="s">
        <v>3047</v>
      </c>
      <c r="AN353" s="161"/>
    </row>
    <row r="354" spans="1:40">
      <c r="A354" s="143" t="s">
        <v>1413</v>
      </c>
      <c r="B354" s="141">
        <v>100</v>
      </c>
      <c r="C354" s="142">
        <f>B354*IBGE_2!C$354/100</f>
        <v>36.39</v>
      </c>
      <c r="D354" s="142">
        <f>B354*IBGE_2!D$354/100</f>
        <v>0.72</v>
      </c>
      <c r="E354" s="142">
        <f>B354*IBGE_2!E$354/100</f>
        <v>1.92</v>
      </c>
      <c r="F354" s="142">
        <f>B354*IBGE_2!F$354/100</f>
        <v>0.3</v>
      </c>
      <c r="G354" s="142">
        <f>B354*IBGE_2!G$354/100</f>
        <v>0.44</v>
      </c>
      <c r="H354" s="142">
        <f>B354*IBGE_2!H$354/100</f>
        <v>1.08</v>
      </c>
      <c r="I354" s="142">
        <f>B354*IBGE_2!I$354/100</f>
        <v>0.95</v>
      </c>
      <c r="J354" s="142">
        <f>B354*IBGE_2!J$354/100</f>
        <v>0.13</v>
      </c>
      <c r="K354" s="142" t="s">
        <v>3047</v>
      </c>
      <c r="L354" s="142">
        <f>B354*IBGE_2!L$354/100</f>
        <v>4.9000000000000004</v>
      </c>
      <c r="M354" s="142">
        <f>B354*IBGE_2!M$354/100</f>
        <v>1.1000000000000001</v>
      </c>
      <c r="N354" s="142">
        <f>B354*IBGE_2!N$354/100</f>
        <v>15</v>
      </c>
      <c r="O354" s="142">
        <f>B354*IBGE_2!O$354/100</f>
        <v>9</v>
      </c>
      <c r="P354" s="142">
        <f>B354*IBGE_2!P$354/100</f>
        <v>0.09</v>
      </c>
      <c r="Q354" s="142">
        <f>B354*IBGE_2!Q$354/100</f>
        <v>30</v>
      </c>
      <c r="R354" s="142">
        <f>B354*IBGE_2!R$354/100</f>
        <v>0.56999999999999995</v>
      </c>
      <c r="S354" s="142">
        <f>B354*IBGE_2!S$354/100</f>
        <v>1</v>
      </c>
      <c r="T354" s="142">
        <f>B354*IBGE_2!T$354/100</f>
        <v>230</v>
      </c>
      <c r="U354" s="142">
        <f>B354*IBGE_2!U$354/100</f>
        <v>0.09</v>
      </c>
      <c r="V354" s="142">
        <f>B354*IBGE_2!V$354/100</f>
        <v>0.23</v>
      </c>
      <c r="W354" s="142" t="s">
        <v>3047</v>
      </c>
      <c r="X354" s="142">
        <f>B354*IBGE_2!X$354/100</f>
        <v>0.03</v>
      </c>
      <c r="Y354" s="142">
        <f>B354*IBGE_2!Y$354/100</f>
        <v>0.08</v>
      </c>
      <c r="Z354" s="142">
        <f>B354*IBGE_2!Z$354/100</f>
        <v>0.04</v>
      </c>
      <c r="AA354" s="142">
        <f>B354*IBGE_2!AA$354/100</f>
        <v>0.41</v>
      </c>
      <c r="AB354" s="142">
        <f>B354*IBGE_2!AB$354/100</f>
        <v>4.7</v>
      </c>
      <c r="AC354" s="142">
        <f>B354*IBGE_2!AC$354/100</f>
        <v>0.56000000000000005</v>
      </c>
      <c r="AD354" s="142" t="s">
        <v>3047</v>
      </c>
      <c r="AE354" s="142">
        <f>B354*IBGE_2!AE$354/100</f>
        <v>9</v>
      </c>
      <c r="AF354" s="145" t="s">
        <v>3047</v>
      </c>
      <c r="AG354" s="142">
        <f>B354*IBGE_2!AG$354/100</f>
        <v>0.97</v>
      </c>
      <c r="AH354" s="142" t="s">
        <v>3047</v>
      </c>
      <c r="AI354" s="142">
        <f>B354*IBGE_2!AI$354/100</f>
        <v>154</v>
      </c>
      <c r="AJ354" s="142">
        <f>B354*IBGE_2!AJ$354/100</f>
        <v>1.05</v>
      </c>
      <c r="AK354" s="142">
        <f>B354*IBGE_2!AK$354/100</f>
        <v>249.58</v>
      </c>
      <c r="AL354" s="142">
        <f>B354*IBGE_2!AL$354/100</f>
        <v>3.3</v>
      </c>
      <c r="AM354" s="145" t="s">
        <v>3047</v>
      </c>
      <c r="AN354" s="161"/>
    </row>
    <row r="355" spans="1:40">
      <c r="A355" s="143" t="s">
        <v>1414</v>
      </c>
      <c r="B355" s="141">
        <v>100</v>
      </c>
      <c r="C355" s="142">
        <f>B355*IBGE_2!C$355/100</f>
        <v>20.8</v>
      </c>
      <c r="D355" s="142">
        <f>B355*IBGE_2!D$355/100</f>
        <v>0.84</v>
      </c>
      <c r="E355" s="142">
        <f>B355*IBGE_2!E$355/100</f>
        <v>9.1999999999999998E-2</v>
      </c>
      <c r="F355" s="142">
        <f>B355*IBGE_2!F$355/100</f>
        <v>3.5000000000000003E-2</v>
      </c>
      <c r="G355" s="142">
        <f>B355*IBGE_2!G$355/100</f>
        <v>1.3000000000000001E-2</v>
      </c>
      <c r="H355" s="142">
        <f>B355*IBGE_2!H$355/100</f>
        <v>1.7999999999999999E-2</v>
      </c>
      <c r="I355" s="142">
        <f>B355*IBGE_2!I$355/100</f>
        <v>1.4999999999999999E-2</v>
      </c>
      <c r="J355" s="142">
        <f>B355*IBGE_2!J$355/100</f>
        <v>2E-3</v>
      </c>
      <c r="K355" s="142" t="s">
        <v>3047</v>
      </c>
      <c r="L355" s="142">
        <f>B355*IBGE_2!L$355/100</f>
        <v>4.9960000000000004</v>
      </c>
      <c r="M355" s="142">
        <f>B355*IBGE_2!M$355/100</f>
        <v>1.18</v>
      </c>
      <c r="N355" s="142">
        <f>B355*IBGE_2!N$355/100</f>
        <v>14.6</v>
      </c>
      <c r="O355" s="142">
        <f>B355*IBGE_2!O$355/100</f>
        <v>10.4</v>
      </c>
      <c r="P355" s="142">
        <f>B355*IBGE_2!P$355/100</f>
        <v>9.3000000000000013E-2</v>
      </c>
      <c r="Q355" s="142">
        <f>B355*IBGE_2!Q$355/100</f>
        <v>29.2</v>
      </c>
      <c r="R355" s="142">
        <f>B355*IBGE_2!R$355/100</f>
        <v>0.66</v>
      </c>
      <c r="S355" s="142">
        <f>B355*IBGE_2!S$355/100</f>
        <v>105.6</v>
      </c>
      <c r="T355" s="142">
        <f>B355*IBGE_2!T$355/100</f>
        <v>250.2</v>
      </c>
      <c r="U355" s="142">
        <f>B355*IBGE_2!U$355/100</f>
        <v>9.6000000000000002E-2</v>
      </c>
      <c r="V355" s="142">
        <f>B355*IBGE_2!V$355/100</f>
        <v>0.22400000000000003</v>
      </c>
      <c r="W355" s="142" t="s">
        <v>3047</v>
      </c>
      <c r="X355" s="142">
        <f>B355*IBGE_2!X$355/100</f>
        <v>0.03</v>
      </c>
      <c r="Y355" s="142">
        <f>B355*IBGE_2!Y$355/100</f>
        <v>7.5999999999999998E-2</v>
      </c>
      <c r="Z355" s="142">
        <f>B355*IBGE_2!Z$355/100</f>
        <v>5.5E-2</v>
      </c>
      <c r="AA355" s="142">
        <f>B355*IBGE_2!AA$355/100</f>
        <v>0.52500000000000002</v>
      </c>
      <c r="AB355" s="142">
        <f>B355*IBGE_2!AB$355/100</f>
        <v>5.16</v>
      </c>
      <c r="AC355" s="142">
        <f>B355*IBGE_2!AC$355/100</f>
        <v>0.67900000000000005</v>
      </c>
      <c r="AD355" s="142" t="s">
        <v>3047</v>
      </c>
      <c r="AE355" s="142">
        <f>B355*IBGE_2!AE$355/100</f>
        <v>9.4</v>
      </c>
      <c r="AF355" s="142" t="s">
        <v>3047</v>
      </c>
      <c r="AG355" s="142">
        <f>B355*IBGE_2!AG$355/100</f>
        <v>0.92400000000000004</v>
      </c>
      <c r="AH355" s="142" t="s">
        <v>3047</v>
      </c>
      <c r="AI355" s="142">
        <f>B355*IBGE_2!AI$355/100</f>
        <v>154</v>
      </c>
      <c r="AJ355" s="142">
        <f>B355*IBGE_2!AJ$355/100</f>
        <v>0.2</v>
      </c>
      <c r="AK355" s="142">
        <f>B355*IBGE_2!AK$355/100</f>
        <v>203.15</v>
      </c>
      <c r="AL355" s="142">
        <f>B355*IBGE_2!AL$355/100</f>
        <v>3.49</v>
      </c>
      <c r="AM355" s="145" t="s">
        <v>3047</v>
      </c>
      <c r="AN355" s="161"/>
    </row>
    <row r="356" spans="1:40">
      <c r="A356" s="143" t="s">
        <v>1415</v>
      </c>
      <c r="B356" s="141">
        <v>100</v>
      </c>
      <c r="C356" s="142">
        <f>B356*IBGE_2!C$356/100</f>
        <v>36.39</v>
      </c>
      <c r="D356" s="142">
        <f>B356*IBGE_2!D$356/100</f>
        <v>0.72</v>
      </c>
      <c r="E356" s="142">
        <f>B356*IBGE_2!E$356/100</f>
        <v>1.92</v>
      </c>
      <c r="F356" s="142">
        <f>B356*IBGE_2!F$356/100</f>
        <v>0.3</v>
      </c>
      <c r="G356" s="142">
        <f>B356*IBGE_2!G$356/100</f>
        <v>0.44</v>
      </c>
      <c r="H356" s="142">
        <f>B356*IBGE_2!H$356/100</f>
        <v>1.08</v>
      </c>
      <c r="I356" s="142">
        <f>B356*IBGE_2!I$356/100</f>
        <v>0.95</v>
      </c>
      <c r="J356" s="142">
        <f>B356*IBGE_2!J$356/100</f>
        <v>0.13</v>
      </c>
      <c r="K356" s="142" t="s">
        <v>3047</v>
      </c>
      <c r="L356" s="142">
        <f>B356*IBGE_2!L$356/100</f>
        <v>4.9000000000000004</v>
      </c>
      <c r="M356" s="142">
        <f>B356*IBGE_2!M$356/100</f>
        <v>1.1000000000000001</v>
      </c>
      <c r="N356" s="142">
        <f>B356*IBGE_2!N$356/100</f>
        <v>15</v>
      </c>
      <c r="O356" s="142">
        <f>B356*IBGE_2!O$356/100</f>
        <v>9</v>
      </c>
      <c r="P356" s="142">
        <f>B356*IBGE_2!P$356/100</f>
        <v>0.09</v>
      </c>
      <c r="Q356" s="142">
        <f>B356*IBGE_2!Q$356/100</f>
        <v>30</v>
      </c>
      <c r="R356" s="142">
        <f>B356*IBGE_2!R$356/100</f>
        <v>0.56999999999999995</v>
      </c>
      <c r="S356" s="142">
        <f>B356*IBGE_2!S$356/100</f>
        <v>1</v>
      </c>
      <c r="T356" s="142">
        <f>B356*IBGE_2!T$356/100</f>
        <v>230</v>
      </c>
      <c r="U356" s="142">
        <f>B356*IBGE_2!U$356/100</f>
        <v>0.09</v>
      </c>
      <c r="V356" s="142">
        <f>B356*IBGE_2!V$356/100</f>
        <v>0.23</v>
      </c>
      <c r="W356" s="142" t="s">
        <v>3047</v>
      </c>
      <c r="X356" s="142">
        <f>B356*IBGE_2!X$356/100</f>
        <v>0.03</v>
      </c>
      <c r="Y356" s="142">
        <f>B356*IBGE_2!Y$356/100</f>
        <v>0.08</v>
      </c>
      <c r="Z356" s="142">
        <f>B356*IBGE_2!Z$356/100</f>
        <v>0.04</v>
      </c>
      <c r="AA356" s="142">
        <f>B356*IBGE_2!AA$356/100</f>
        <v>0.41</v>
      </c>
      <c r="AB356" s="142">
        <f>B356*IBGE_2!AB$356/100</f>
        <v>4.7</v>
      </c>
      <c r="AC356" s="142">
        <f>B356*IBGE_2!AC$356/100</f>
        <v>0.56000000000000005</v>
      </c>
      <c r="AD356" s="142" t="s">
        <v>3047</v>
      </c>
      <c r="AE356" s="142">
        <f>B356*IBGE_2!AE$356/100</f>
        <v>9</v>
      </c>
      <c r="AF356" s="142" t="s">
        <v>3047</v>
      </c>
      <c r="AG356" s="142">
        <f>B356*IBGE_2!AG$356/100</f>
        <v>0.97</v>
      </c>
      <c r="AH356" s="142" t="s">
        <v>3047</v>
      </c>
      <c r="AI356" s="142">
        <f>B356*IBGE_2!AI$356/100</f>
        <v>154</v>
      </c>
      <c r="AJ356" s="142">
        <f>B356*IBGE_2!AJ$356/100</f>
        <v>1.05</v>
      </c>
      <c r="AK356" s="142">
        <f>B356*IBGE_2!AK$356/100</f>
        <v>249.58</v>
      </c>
      <c r="AL356" s="142">
        <f>B356*IBGE_2!AL$356/100</f>
        <v>3.3</v>
      </c>
      <c r="AM356" s="145" t="s">
        <v>3047</v>
      </c>
      <c r="AN356" s="161"/>
    </row>
    <row r="357" spans="1:40">
      <c r="A357" s="143" t="s">
        <v>1416</v>
      </c>
      <c r="B357" s="141">
        <v>100</v>
      </c>
      <c r="C357" s="142">
        <f>B357*IBGE_2!C$357/100</f>
        <v>31.443000000000001</v>
      </c>
      <c r="D357" s="142">
        <f>B357*IBGE_2!D$357/100</f>
        <v>0.94799999999999995</v>
      </c>
      <c r="E357" s="142">
        <f>B357*IBGE_2!E$357/100</f>
        <v>0.12300000000000001</v>
      </c>
      <c r="F357" s="142">
        <f>B357*IBGE_2!F$357/100</f>
        <v>3.9E-2</v>
      </c>
      <c r="G357" s="142">
        <f>B357*IBGE_2!G$357/100</f>
        <v>2.7000000000000003E-2</v>
      </c>
      <c r="H357" s="142">
        <f>B357*IBGE_2!H$357/100</f>
        <v>3.2000000000000001E-2</v>
      </c>
      <c r="I357" s="142">
        <f>B357*IBGE_2!I$357/100</f>
        <v>2.7000000000000003E-2</v>
      </c>
      <c r="J357" s="142">
        <f>B357*IBGE_2!J$357/100</f>
        <v>5.0000000000000001E-3</v>
      </c>
      <c r="K357" s="142" t="s">
        <v>3047</v>
      </c>
      <c r="L357" s="142">
        <f>B357*IBGE_2!L$357/100</f>
        <v>7.0119999999999996</v>
      </c>
      <c r="M357" s="142">
        <f>B357*IBGE_2!M$357/100</f>
        <v>0.71099999999999997</v>
      </c>
      <c r="N357" s="142">
        <f>B357*IBGE_2!N$357/100</f>
        <v>8.5549999999999997</v>
      </c>
      <c r="O357" s="142">
        <f>B357*IBGE_2!O$357/100</f>
        <v>6.3470000000000004</v>
      </c>
      <c r="P357" s="142">
        <f>B357*IBGE_2!P$357/100</f>
        <v>6.8000000000000005E-2</v>
      </c>
      <c r="Q357" s="142">
        <f>B357*IBGE_2!Q$357/100</f>
        <v>15.762</v>
      </c>
      <c r="R357" s="142">
        <f>B357*IBGE_2!R$357/100</f>
        <v>0.28499999999999998</v>
      </c>
      <c r="S357" s="142">
        <f>B357*IBGE_2!S$357/100</f>
        <v>310.43200000000002</v>
      </c>
      <c r="T357" s="142">
        <f>B357*IBGE_2!T$357/100</f>
        <v>88.314999999999998</v>
      </c>
      <c r="U357" s="142">
        <f>B357*IBGE_2!U$357/100</f>
        <v>3.9E-2</v>
      </c>
      <c r="V357" s="142">
        <f>B357*IBGE_2!V$357/100</f>
        <v>0.115</v>
      </c>
      <c r="W357" s="142" t="s">
        <v>3047</v>
      </c>
      <c r="X357" s="142">
        <f>B357*IBGE_2!X$357/100</f>
        <v>0.03</v>
      </c>
      <c r="Y357" s="142">
        <f>B357*IBGE_2!Y$357/100</f>
        <v>2.6000000000000002E-2</v>
      </c>
      <c r="Z357" s="142">
        <f>B357*IBGE_2!Z$357/100</f>
        <v>0.04</v>
      </c>
      <c r="AA357" s="142">
        <f>B357*IBGE_2!AA$357/100</f>
        <v>0.505</v>
      </c>
      <c r="AB357" s="142">
        <f>B357*IBGE_2!AB$357/100</f>
        <v>2.0990000000000002</v>
      </c>
      <c r="AC357" s="142">
        <f>B357*IBGE_2!AC$357/100</f>
        <v>0.66700000000000004</v>
      </c>
      <c r="AD357" s="142">
        <f>B357*IBGE_2!AD$357/100</f>
        <v>1.4999999999999999E-2</v>
      </c>
      <c r="AE357" s="142">
        <f>B357*IBGE_2!AE$357/100</f>
        <v>9.2759999999999998</v>
      </c>
      <c r="AF357" s="142" t="s">
        <v>3047</v>
      </c>
      <c r="AG357" s="142">
        <f>B357*IBGE_2!AG$357/100</f>
        <v>0.20399999999999999</v>
      </c>
      <c r="AH357" s="142">
        <f>B357*IBGE_2!AH$357/100</f>
        <v>2E-3</v>
      </c>
      <c r="AI357" s="145" t="s">
        <v>3047</v>
      </c>
      <c r="AJ357" s="142">
        <f>B357*IBGE_2!AJ$357/100</f>
        <v>1.3440000000000001</v>
      </c>
      <c r="AK357" s="142">
        <f>B357*IBGE_2!AK$357/100</f>
        <v>33.475999999999999</v>
      </c>
      <c r="AL357" s="142">
        <f>B357*IBGE_2!AL$357/100</f>
        <v>3.2749999999999999</v>
      </c>
      <c r="AM357" s="142">
        <f>B357*IBGE_2!AM$357/100</f>
        <v>2.5230000000000001</v>
      </c>
      <c r="AN357" s="161"/>
    </row>
    <row r="358" spans="1:40">
      <c r="A358" s="143" t="s">
        <v>1417</v>
      </c>
      <c r="B358" s="141">
        <v>100</v>
      </c>
      <c r="C358" s="142">
        <f>B358*IBGE_2!C$358/100</f>
        <v>20</v>
      </c>
      <c r="D358" s="142">
        <f>B358*IBGE_2!D$358/100</f>
        <v>0.72</v>
      </c>
      <c r="E358" s="142">
        <f>B358*IBGE_2!E$358/100</f>
        <v>7.0000000000000007E-2</v>
      </c>
      <c r="F358" s="142">
        <f>B358*IBGE_2!F$358/100</f>
        <v>0.04</v>
      </c>
      <c r="G358" s="142">
        <f>B358*IBGE_2!G$358/100</f>
        <v>0.01</v>
      </c>
      <c r="H358" s="142" t="s">
        <v>3047</v>
      </c>
      <c r="I358" s="142" t="s">
        <v>3047</v>
      </c>
      <c r="J358" s="142" t="s">
        <v>3047</v>
      </c>
      <c r="K358" s="142" t="s">
        <v>3047</v>
      </c>
      <c r="L358" s="142">
        <f>B358*IBGE_2!L$358/100</f>
        <v>4.9000000000000004</v>
      </c>
      <c r="M358" s="142">
        <f>B358*IBGE_2!M$358/100</f>
        <v>1.1000000000000001</v>
      </c>
      <c r="N358" s="142">
        <f>B358*IBGE_2!N$358/100</f>
        <v>15</v>
      </c>
      <c r="O358" s="142">
        <f>B358*IBGE_2!O$358/100</f>
        <v>9</v>
      </c>
      <c r="P358" s="142">
        <f>B358*IBGE_2!P$358/100</f>
        <v>0.09</v>
      </c>
      <c r="Q358" s="142">
        <f>B358*IBGE_2!Q$358/100</f>
        <v>30</v>
      </c>
      <c r="R358" s="142">
        <f>B358*IBGE_2!R$358/100</f>
        <v>0.56999999999999995</v>
      </c>
      <c r="S358" s="142">
        <f>B358*IBGE_2!S$358/100</f>
        <v>1</v>
      </c>
      <c r="T358" s="142">
        <f>B358*IBGE_2!T$358/100</f>
        <v>230</v>
      </c>
      <c r="U358" s="142">
        <f>B358*IBGE_2!U$358/100</f>
        <v>0.09</v>
      </c>
      <c r="V358" s="142">
        <f>B358*IBGE_2!V$358/100</f>
        <v>0.23</v>
      </c>
      <c r="W358" s="142" t="s">
        <v>3047</v>
      </c>
      <c r="X358" s="142">
        <f>B358*IBGE_2!X$358/100</f>
        <v>0.03</v>
      </c>
      <c r="Y358" s="142">
        <f>B358*IBGE_2!Y$358/100</f>
        <v>0.08</v>
      </c>
      <c r="Z358" s="142">
        <f>B358*IBGE_2!Z$358/100</f>
        <v>0.04</v>
      </c>
      <c r="AA358" s="142">
        <f>B358*IBGE_2!AA$358/100</f>
        <v>0.41</v>
      </c>
      <c r="AB358" s="142">
        <f>B358*IBGE_2!AB$358/100</f>
        <v>4.7</v>
      </c>
      <c r="AC358" s="142">
        <f>B358*IBGE_2!AC$358/100</f>
        <v>0.56000000000000005</v>
      </c>
      <c r="AD358" s="142" t="s">
        <v>3047</v>
      </c>
      <c r="AE358" s="142">
        <f>B358*IBGE_2!AE$358/100</f>
        <v>9</v>
      </c>
      <c r="AF358" s="142" t="s">
        <v>3047</v>
      </c>
      <c r="AG358" s="142">
        <f>B358*IBGE_2!AG$358/100</f>
        <v>0.8</v>
      </c>
      <c r="AH358" s="142" t="s">
        <v>3047</v>
      </c>
      <c r="AI358" s="142">
        <f>B358*IBGE_2!AI$358/100</f>
        <v>154</v>
      </c>
      <c r="AJ358" s="142">
        <f>B358*IBGE_2!AJ$358/100</f>
        <v>0.2</v>
      </c>
      <c r="AK358" s="142">
        <f>B358*IBGE_2!AK$358/100</f>
        <v>249.58</v>
      </c>
      <c r="AL358" s="142">
        <f>B358*IBGE_2!AL$358/100</f>
        <v>3.3</v>
      </c>
      <c r="AM358" s="145" t="s">
        <v>3047</v>
      </c>
      <c r="AN358" s="161"/>
    </row>
    <row r="359" spans="1:40">
      <c r="A359" s="143" t="s">
        <v>1418</v>
      </c>
      <c r="B359" s="141">
        <v>100</v>
      </c>
      <c r="C359" s="142">
        <f>B359*IBGE_2!C$359/100</f>
        <v>15</v>
      </c>
      <c r="D359" s="142">
        <f>B359*IBGE_2!D$359/100</f>
        <v>0.65</v>
      </c>
      <c r="E359" s="142">
        <f>B359*IBGE_2!E$359/100</f>
        <v>0.11</v>
      </c>
      <c r="F359" s="142">
        <f>B359*IBGE_2!F$359/100</f>
        <v>0.04</v>
      </c>
      <c r="G359" s="142">
        <f>B359*IBGE_2!G$359/100</f>
        <v>0.01</v>
      </c>
      <c r="H359" s="142">
        <f>B359*IBGE_2!H$359/100</f>
        <v>0.03</v>
      </c>
      <c r="I359" s="142">
        <f>B359*IBGE_2!I$359/100</f>
        <v>0.03</v>
      </c>
      <c r="J359" s="142">
        <f>B359*IBGE_2!J$359/100</f>
        <v>0.01</v>
      </c>
      <c r="K359" s="142" t="s">
        <v>3047</v>
      </c>
      <c r="L359" s="142">
        <f>B359*IBGE_2!L$359/100</f>
        <v>3.63</v>
      </c>
      <c r="M359" s="142">
        <f>B359*IBGE_2!M$359/100</f>
        <v>1.1399999999999999</v>
      </c>
      <c r="N359" s="142">
        <f>B359*IBGE_2!N$359/100</f>
        <v>16</v>
      </c>
      <c r="O359" s="142">
        <f>B359*IBGE_2!O$359/100</f>
        <v>13</v>
      </c>
      <c r="P359" s="142">
        <f>B359*IBGE_2!P$359/100</f>
        <v>0.08</v>
      </c>
      <c r="Q359" s="142">
        <f>B359*IBGE_2!Q$359/100</f>
        <v>24</v>
      </c>
      <c r="R359" s="142">
        <f>B359*IBGE_2!R$359/100</f>
        <v>0.28000000000000003</v>
      </c>
      <c r="S359" s="142">
        <f>B359*IBGE_2!S$359/100</f>
        <v>2</v>
      </c>
      <c r="T359" s="142">
        <f>B359*IBGE_2!T$359/100</f>
        <v>147</v>
      </c>
      <c r="U359" s="142">
        <f>B359*IBGE_2!U$359/100</f>
        <v>0.04</v>
      </c>
      <c r="V359" s="142">
        <f>B359*IBGE_2!V$359/100</f>
        <v>0.2</v>
      </c>
      <c r="W359" s="142" t="s">
        <v>3047</v>
      </c>
      <c r="X359" s="142">
        <f>B359*IBGE_2!X$359/100</f>
        <v>0.03</v>
      </c>
      <c r="Y359" s="142">
        <f>B359*IBGE_2!Y$359/100</f>
        <v>0.03</v>
      </c>
      <c r="Z359" s="142">
        <f>B359*IBGE_2!Z$359/100</f>
        <v>0.04</v>
      </c>
      <c r="AA359" s="142">
        <f>B359*IBGE_2!AA$359/100</f>
        <v>0.1</v>
      </c>
      <c r="AB359" s="142">
        <f>B359*IBGE_2!AB$359/100</f>
        <v>2.8</v>
      </c>
      <c r="AC359" s="142">
        <f>B359*IBGE_2!AC$359/100</f>
        <v>0.18</v>
      </c>
      <c r="AD359" s="142" t="s">
        <v>3047</v>
      </c>
      <c r="AE359" s="142">
        <f>B359*IBGE_2!AE$359/100</f>
        <v>7</v>
      </c>
      <c r="AF359" s="142" t="s">
        <v>3047</v>
      </c>
      <c r="AG359" s="142">
        <f>B359*IBGE_2!AG$359/100</f>
        <v>0.03</v>
      </c>
      <c r="AH359" s="142" t="s">
        <v>3047</v>
      </c>
      <c r="AI359" s="145" t="s">
        <v>3047</v>
      </c>
      <c r="AJ359" s="142">
        <f>B359*IBGE_2!AJ$359/100</f>
        <v>0.3</v>
      </c>
      <c r="AK359" s="142">
        <f>B359*IBGE_2!AK$359/100</f>
        <v>5.29</v>
      </c>
      <c r="AL359" s="142">
        <f>B359*IBGE_2!AL$359/100</f>
        <v>1.67</v>
      </c>
      <c r="AM359" s="145" t="s">
        <v>3047</v>
      </c>
      <c r="AN359" s="161"/>
    </row>
    <row r="360" spans="1:40">
      <c r="A360" s="143" t="s">
        <v>1419</v>
      </c>
      <c r="B360" s="141">
        <v>100</v>
      </c>
      <c r="C360" s="142">
        <f>B360*IBGE_2!C$360/100</f>
        <v>24</v>
      </c>
      <c r="D360" s="142">
        <f>B360*IBGE_2!D$360/100</f>
        <v>0.62</v>
      </c>
      <c r="E360" s="142">
        <f>B360*IBGE_2!E$360/100</f>
        <v>0.48</v>
      </c>
      <c r="F360" s="142">
        <f>B360*IBGE_2!F$360/100</f>
        <v>0.09</v>
      </c>
      <c r="G360" s="142" t="s">
        <v>3047</v>
      </c>
      <c r="H360" s="142" t="s">
        <v>3047</v>
      </c>
      <c r="I360" s="142" t="s">
        <v>3047</v>
      </c>
      <c r="J360" s="142" t="s">
        <v>3047</v>
      </c>
      <c r="K360" s="142" t="s">
        <v>3047</v>
      </c>
      <c r="L360" s="142">
        <f>B360*IBGE_2!L$360/100</f>
        <v>5.09</v>
      </c>
      <c r="M360" s="142">
        <f>B360*IBGE_2!M$360/100</f>
        <v>2.8</v>
      </c>
      <c r="N360" s="142">
        <f>B360*IBGE_2!N$360/100</f>
        <v>13</v>
      </c>
      <c r="O360" s="142">
        <f>B360*IBGE_2!O$360/100</f>
        <v>12</v>
      </c>
      <c r="P360" s="142">
        <f>B360*IBGE_2!P$360/100</f>
        <v>0.17</v>
      </c>
      <c r="Q360" s="142">
        <f>B360*IBGE_2!Q$360/100</f>
        <v>29</v>
      </c>
      <c r="R360" s="142">
        <f>B360*IBGE_2!R$360/100</f>
        <v>0.22</v>
      </c>
      <c r="S360" s="142">
        <f>B360*IBGE_2!S$360/100</f>
        <v>1</v>
      </c>
      <c r="T360" s="142">
        <f>B360*IBGE_2!T$360/100</f>
        <v>173</v>
      </c>
      <c r="U360" s="142">
        <f>B360*IBGE_2!U$360/100</f>
        <v>0.11</v>
      </c>
      <c r="V360" s="142">
        <f>B360*IBGE_2!V$360/100</f>
        <v>0.31</v>
      </c>
      <c r="W360" s="142" t="s">
        <v>3047</v>
      </c>
      <c r="X360" s="142">
        <f>B360*IBGE_2!X$360/100</f>
        <v>0.03</v>
      </c>
      <c r="Y360" s="142">
        <f>B360*IBGE_2!Y$360/100</f>
        <v>0.04</v>
      </c>
      <c r="Z360" s="142">
        <f>B360*IBGE_2!Z$360/100</f>
        <v>0.12</v>
      </c>
      <c r="AA360" s="142">
        <f>B360*IBGE_2!AA$360/100</f>
        <v>0.42</v>
      </c>
      <c r="AB360" s="142">
        <f>B360*IBGE_2!AB$360/100</f>
        <v>8</v>
      </c>
      <c r="AC360" s="142">
        <f>B360*IBGE_2!AC$360/100</f>
        <v>0.55000000000000004</v>
      </c>
      <c r="AD360" s="142" t="s">
        <v>3047</v>
      </c>
      <c r="AE360" s="142">
        <f>B360*IBGE_2!AE$360/100</f>
        <v>18</v>
      </c>
      <c r="AF360" s="142" t="s">
        <v>3047</v>
      </c>
      <c r="AG360" s="142">
        <f>B360*IBGE_2!AG$360/100</f>
        <v>0.12</v>
      </c>
      <c r="AH360" s="142" t="s">
        <v>3047</v>
      </c>
      <c r="AI360" s="142">
        <f>B360*IBGE_2!AI$360/100</f>
        <v>236</v>
      </c>
      <c r="AJ360" s="142">
        <f>B360*IBGE_2!AJ$360/100</f>
        <v>0.3</v>
      </c>
      <c r="AK360" s="145" t="s">
        <v>3047</v>
      </c>
      <c r="AL360" s="142">
        <f>B360*IBGE_2!AL$360/100</f>
        <v>1.97</v>
      </c>
      <c r="AM360" s="145" t="s">
        <v>3047</v>
      </c>
      <c r="AN360" s="161"/>
    </row>
    <row r="361" spans="1:40">
      <c r="A361" s="143" t="s">
        <v>1420</v>
      </c>
      <c r="B361" s="141">
        <v>100</v>
      </c>
      <c r="C361" s="142">
        <f>B361*IBGE_2!C$361/100</f>
        <v>24</v>
      </c>
      <c r="D361" s="142">
        <f>B361*IBGE_2!D$361/100</f>
        <v>0.62</v>
      </c>
      <c r="E361" s="142">
        <f>B361*IBGE_2!E$361/100</f>
        <v>0.48</v>
      </c>
      <c r="F361" s="142">
        <f>B361*IBGE_2!F$361/100</f>
        <v>0.09</v>
      </c>
      <c r="G361" s="142" t="s">
        <v>3047</v>
      </c>
      <c r="H361" s="142" t="s">
        <v>3047</v>
      </c>
      <c r="I361" s="142" t="s">
        <v>3047</v>
      </c>
      <c r="J361" s="142" t="s">
        <v>3047</v>
      </c>
      <c r="K361" s="142" t="s">
        <v>3047</v>
      </c>
      <c r="L361" s="142">
        <f>B361*IBGE_2!L$361/100</f>
        <v>5.09</v>
      </c>
      <c r="M361" s="142">
        <f>B361*IBGE_2!M$361/100</f>
        <v>2.8</v>
      </c>
      <c r="N361" s="142">
        <f>B361*IBGE_2!N$361/100</f>
        <v>13</v>
      </c>
      <c r="O361" s="142">
        <f>B361*IBGE_2!O$361/100</f>
        <v>12</v>
      </c>
      <c r="P361" s="142">
        <f>B361*IBGE_2!P$361/100</f>
        <v>0.17</v>
      </c>
      <c r="Q361" s="142">
        <f>B361*IBGE_2!Q$361/100</f>
        <v>29</v>
      </c>
      <c r="R361" s="142">
        <f>B361*IBGE_2!R$361/100</f>
        <v>0.22</v>
      </c>
      <c r="S361" s="142">
        <f>B361*IBGE_2!S$361/100</f>
        <v>1</v>
      </c>
      <c r="T361" s="142">
        <f>B361*IBGE_2!T$361/100</f>
        <v>173</v>
      </c>
      <c r="U361" s="142">
        <f>B361*IBGE_2!U$361/100</f>
        <v>0.11</v>
      </c>
      <c r="V361" s="142">
        <f>B361*IBGE_2!V$361/100</f>
        <v>0.31</v>
      </c>
      <c r="W361" s="142" t="s">
        <v>3047</v>
      </c>
      <c r="X361" s="142">
        <f>B361*IBGE_2!X$361/100</f>
        <v>0.03</v>
      </c>
      <c r="Y361" s="142">
        <f>B361*IBGE_2!Y$361/100</f>
        <v>0.04</v>
      </c>
      <c r="Z361" s="142">
        <f>B361*IBGE_2!Z$361/100</f>
        <v>0.12</v>
      </c>
      <c r="AA361" s="142">
        <f>B361*IBGE_2!AA$361/100</f>
        <v>0.42</v>
      </c>
      <c r="AB361" s="142">
        <f>B361*IBGE_2!AB$361/100</f>
        <v>8</v>
      </c>
      <c r="AC361" s="142">
        <f>B361*IBGE_2!AC$361/100</f>
        <v>0.55000000000000004</v>
      </c>
      <c r="AD361" s="142" t="s">
        <v>3047</v>
      </c>
      <c r="AE361" s="142">
        <f>B361*IBGE_2!AE$361/100</f>
        <v>18</v>
      </c>
      <c r="AF361" s="142" t="s">
        <v>3047</v>
      </c>
      <c r="AG361" s="142">
        <f>B361*IBGE_2!AG$361/100</f>
        <v>0.12</v>
      </c>
      <c r="AH361" s="142" t="s">
        <v>3047</v>
      </c>
      <c r="AI361" s="142">
        <f>B361*IBGE_2!AI$361/100</f>
        <v>236</v>
      </c>
      <c r="AJ361" s="142">
        <f>B361*IBGE_2!AJ$361/100</f>
        <v>0.3</v>
      </c>
      <c r="AK361" s="145" t="s">
        <v>3047</v>
      </c>
      <c r="AL361" s="142">
        <f>B361*IBGE_2!AL$361/100</f>
        <v>1.97</v>
      </c>
      <c r="AM361" s="145" t="s">
        <v>3047</v>
      </c>
      <c r="AN361" s="161"/>
    </row>
    <row r="362" spans="1:40">
      <c r="A362" s="143" t="s">
        <v>1421</v>
      </c>
      <c r="B362" s="141">
        <v>100</v>
      </c>
      <c r="C362" s="142">
        <f>B362*IBGE_2!C$362/100</f>
        <v>24</v>
      </c>
      <c r="D362" s="142">
        <f>B362*IBGE_2!D$362/100</f>
        <v>0.76</v>
      </c>
      <c r="E362" s="142">
        <f>B362*IBGE_2!E$362/100</f>
        <v>0.42</v>
      </c>
      <c r="F362" s="142">
        <f>B362*IBGE_2!F$362/100</f>
        <v>7.0000000000000007E-2</v>
      </c>
      <c r="G362" s="142">
        <f>B362*IBGE_2!G$362/100</f>
        <v>0.01</v>
      </c>
      <c r="H362" s="142">
        <f>B362*IBGE_2!H$362/100</f>
        <v>0.01</v>
      </c>
      <c r="I362" s="142">
        <f>B362*IBGE_2!I$362/100</f>
        <v>0.01</v>
      </c>
      <c r="J362" s="142" t="s">
        <v>3047</v>
      </c>
      <c r="K362" s="142" t="s">
        <v>3047</v>
      </c>
      <c r="L362" s="142">
        <f>B362*IBGE_2!L$362/100</f>
        <v>5.15</v>
      </c>
      <c r="M362" s="142">
        <f>B362*IBGE_2!M$362/100</f>
        <v>2.54</v>
      </c>
      <c r="N362" s="142">
        <f>B362*IBGE_2!N$362/100</f>
        <v>13</v>
      </c>
      <c r="O362" s="142">
        <f>B362*IBGE_2!O$362/100</f>
        <v>12.8</v>
      </c>
      <c r="P362" s="142">
        <f>B362*IBGE_2!P$362/100</f>
        <v>0.17</v>
      </c>
      <c r="Q362" s="142">
        <f>B362*IBGE_2!Q$362/100</f>
        <v>28.4</v>
      </c>
      <c r="R362" s="142">
        <f>B362*IBGE_2!R$362/100</f>
        <v>0.38</v>
      </c>
      <c r="S362" s="142">
        <f>B362*IBGE_2!S$362/100</f>
        <v>105.6</v>
      </c>
      <c r="T362" s="142">
        <f>B362*IBGE_2!T$362/100</f>
        <v>204.6</v>
      </c>
      <c r="U362" s="142">
        <f>B362*IBGE_2!U$362/100</f>
        <v>0.11</v>
      </c>
      <c r="V362" s="142">
        <f>B362*IBGE_2!V$362/100</f>
        <v>0.28999999999999998</v>
      </c>
      <c r="W362" s="142" t="s">
        <v>3047</v>
      </c>
      <c r="X362" s="142">
        <f>B362*IBGE_2!X$362/100</f>
        <v>0.03</v>
      </c>
      <c r="Y362" s="142">
        <f>B362*IBGE_2!Y$362/100</f>
        <v>0.05</v>
      </c>
      <c r="Z362" s="142">
        <f>B362*IBGE_2!Z$362/100</f>
        <v>0.11</v>
      </c>
      <c r="AA362" s="142">
        <f>B362*IBGE_2!AA$362/100</f>
        <v>0.53</v>
      </c>
      <c r="AB362" s="142">
        <f>B362*IBGE_2!AB$362/100</f>
        <v>7.8</v>
      </c>
      <c r="AC362" s="142">
        <f>B362*IBGE_2!AC$362/100</f>
        <v>0.55000000000000004</v>
      </c>
      <c r="AD362" s="142" t="s">
        <v>3047</v>
      </c>
      <c r="AE362" s="142">
        <f>B362*IBGE_2!AE$362/100</f>
        <v>18</v>
      </c>
      <c r="AF362" s="142" t="s">
        <v>3047</v>
      </c>
      <c r="AG362" s="142">
        <f>B362*IBGE_2!AG$362/100</f>
        <v>0.38</v>
      </c>
      <c r="AH362" s="142" t="s">
        <v>3047</v>
      </c>
      <c r="AI362" s="142">
        <f>B362*IBGE_2!AI$362/100</f>
        <v>236</v>
      </c>
      <c r="AJ362" s="142">
        <f>B362*IBGE_2!AJ$362/100</f>
        <v>0.28000000000000003</v>
      </c>
      <c r="AK362" s="145" t="s">
        <v>3047</v>
      </c>
      <c r="AL362" s="142">
        <f>B362*IBGE_2!AL$362/100</f>
        <v>1.97</v>
      </c>
      <c r="AM362" s="145" t="s">
        <v>3047</v>
      </c>
      <c r="AN362" s="161"/>
    </row>
    <row r="363" spans="1:40">
      <c r="A363" s="143" t="s">
        <v>1422</v>
      </c>
      <c r="B363" s="141">
        <v>100</v>
      </c>
      <c r="C363" s="142">
        <f>B363*IBGE_2!C$363/100</f>
        <v>49.09</v>
      </c>
      <c r="D363" s="142">
        <f>B363*IBGE_2!D$363/100</f>
        <v>0.62</v>
      </c>
      <c r="E363" s="142">
        <f>B363*IBGE_2!E$363/100</f>
        <v>3.32</v>
      </c>
      <c r="F363" s="142">
        <f>B363*IBGE_2!F$363/100</f>
        <v>0.49</v>
      </c>
      <c r="G363" s="142">
        <f>B363*IBGE_2!G$363/100</f>
        <v>0.66</v>
      </c>
      <c r="H363" s="142">
        <f>B363*IBGE_2!H$363/100</f>
        <v>1.64</v>
      </c>
      <c r="I363" s="142">
        <f>B363*IBGE_2!I$363/100</f>
        <v>1.45</v>
      </c>
      <c r="J363" s="142">
        <f>B363*IBGE_2!J$363/100</f>
        <v>0.19</v>
      </c>
      <c r="K363" s="142" t="s">
        <v>3047</v>
      </c>
      <c r="L363" s="142">
        <f>B363*IBGE_2!L$363/100</f>
        <v>5.09</v>
      </c>
      <c r="M363" s="142">
        <f>B363*IBGE_2!M$363/100</f>
        <v>2.8</v>
      </c>
      <c r="N363" s="142">
        <f>B363*IBGE_2!N$363/100</f>
        <v>13</v>
      </c>
      <c r="O363" s="142">
        <f>B363*IBGE_2!O$363/100</f>
        <v>12</v>
      </c>
      <c r="P363" s="142">
        <f>B363*IBGE_2!P$363/100</f>
        <v>0.17</v>
      </c>
      <c r="Q363" s="142">
        <f>B363*IBGE_2!Q$363/100</f>
        <v>29</v>
      </c>
      <c r="R363" s="142">
        <f>B363*IBGE_2!R$363/100</f>
        <v>0.22</v>
      </c>
      <c r="S363" s="142">
        <f>B363*IBGE_2!S$363/100</f>
        <v>1</v>
      </c>
      <c r="T363" s="142">
        <f>B363*IBGE_2!T$363/100</f>
        <v>173</v>
      </c>
      <c r="U363" s="142">
        <f>B363*IBGE_2!U$363/100</f>
        <v>0.11</v>
      </c>
      <c r="V363" s="142">
        <f>B363*IBGE_2!V$363/100</f>
        <v>0.31</v>
      </c>
      <c r="W363" s="142" t="s">
        <v>3047</v>
      </c>
      <c r="X363" s="142">
        <f>B363*IBGE_2!X$363/100</f>
        <v>0.03</v>
      </c>
      <c r="Y363" s="142">
        <f>B363*IBGE_2!Y$363/100</f>
        <v>0.04</v>
      </c>
      <c r="Z363" s="142">
        <f>B363*IBGE_2!Z$363/100</f>
        <v>0.12</v>
      </c>
      <c r="AA363" s="142">
        <f>B363*IBGE_2!AA$363/100</f>
        <v>0.42</v>
      </c>
      <c r="AB363" s="142">
        <f>B363*IBGE_2!AB$363/100</f>
        <v>8</v>
      </c>
      <c r="AC363" s="142">
        <f>B363*IBGE_2!AC$363/100</f>
        <v>0.55000000000000004</v>
      </c>
      <c r="AD363" s="142" t="s">
        <v>3047</v>
      </c>
      <c r="AE363" s="142">
        <f>B363*IBGE_2!AE$363/100</f>
        <v>18</v>
      </c>
      <c r="AF363" s="142" t="s">
        <v>3047</v>
      </c>
      <c r="AG363" s="142">
        <f>B363*IBGE_2!AG$363/100</f>
        <v>0.38</v>
      </c>
      <c r="AH363" s="142" t="s">
        <v>3047</v>
      </c>
      <c r="AI363" s="142">
        <f>B363*IBGE_2!AI$363/100</f>
        <v>236</v>
      </c>
      <c r="AJ363" s="142">
        <f>B363*IBGE_2!AJ$363/100</f>
        <v>1.6</v>
      </c>
      <c r="AK363" s="145" t="s">
        <v>3047</v>
      </c>
      <c r="AL363" s="142">
        <f>B363*IBGE_2!AL$363/100</f>
        <v>1.97</v>
      </c>
      <c r="AM363" s="145" t="s">
        <v>3047</v>
      </c>
      <c r="AN363" s="161"/>
    </row>
    <row r="364" spans="1:40">
      <c r="A364" s="143" t="s">
        <v>1423</v>
      </c>
      <c r="B364" s="141">
        <v>100</v>
      </c>
      <c r="C364" s="142">
        <f>B364*IBGE_2!C$364/100</f>
        <v>24</v>
      </c>
      <c r="D364" s="142">
        <f>B364*IBGE_2!D$364/100</f>
        <v>0.76</v>
      </c>
      <c r="E364" s="142">
        <f>B364*IBGE_2!E$364/100</f>
        <v>0.42</v>
      </c>
      <c r="F364" s="142">
        <f>B364*IBGE_2!F$364/100</f>
        <v>7.3999999999999996E-2</v>
      </c>
      <c r="G364" s="142">
        <f>B364*IBGE_2!G$364/100</f>
        <v>5.0000000000000001E-3</v>
      </c>
      <c r="H364" s="142">
        <f>B364*IBGE_2!H$364/100</f>
        <v>1.4999999999999999E-2</v>
      </c>
      <c r="I364" s="142">
        <f>B364*IBGE_2!I$364/100</f>
        <v>1.4000000000000002E-2</v>
      </c>
      <c r="J364" s="142">
        <f>B364*IBGE_2!J$364/100</f>
        <v>1E-3</v>
      </c>
      <c r="K364" s="142" t="s">
        <v>3047</v>
      </c>
      <c r="L364" s="142">
        <f>B364*IBGE_2!L$364/100</f>
        <v>5.1479999999999997</v>
      </c>
      <c r="M364" s="142">
        <f>B364*IBGE_2!M$364/100</f>
        <v>2.54</v>
      </c>
      <c r="N364" s="142">
        <f>B364*IBGE_2!N$364/100</f>
        <v>13</v>
      </c>
      <c r="O364" s="142">
        <f>B364*IBGE_2!O$364/100</f>
        <v>12.8</v>
      </c>
      <c r="P364" s="142">
        <f>B364*IBGE_2!P$364/100</f>
        <v>0.157</v>
      </c>
      <c r="Q364" s="142">
        <f>B364*IBGE_2!Q$364/100</f>
        <v>28.4</v>
      </c>
      <c r="R364" s="142">
        <f>B364*IBGE_2!R$364/100</f>
        <v>0.38</v>
      </c>
      <c r="S364" s="142">
        <f>B364*IBGE_2!S$364/100</f>
        <v>105.6</v>
      </c>
      <c r="T364" s="142">
        <f>B364*IBGE_2!T$364/100</f>
        <v>204.6</v>
      </c>
      <c r="U364" s="142">
        <f>B364*IBGE_2!U$364/100</f>
        <v>0.111</v>
      </c>
      <c r="V364" s="142">
        <f>B364*IBGE_2!V$364/100</f>
        <v>0.28799999999999998</v>
      </c>
      <c r="W364" s="142" t="s">
        <v>3047</v>
      </c>
      <c r="X364" s="142">
        <f>B364*IBGE_2!X$364/100</f>
        <v>2.6000000000000002E-2</v>
      </c>
      <c r="Y364" s="142">
        <f>B364*IBGE_2!Y$364/100</f>
        <v>4.4999999999999998E-2</v>
      </c>
      <c r="Z364" s="142">
        <f>B364*IBGE_2!Z$364/100</f>
        <v>0.114</v>
      </c>
      <c r="AA364" s="142">
        <f>B364*IBGE_2!AA$364/100</f>
        <v>0.53100000000000003</v>
      </c>
      <c r="AB364" s="142">
        <f>B364*IBGE_2!AB$364/100</f>
        <v>7.8</v>
      </c>
      <c r="AC364" s="142">
        <f>B364*IBGE_2!AC$364/100</f>
        <v>0.67100000000000004</v>
      </c>
      <c r="AD364" s="142" t="s">
        <v>3047</v>
      </c>
      <c r="AE364" s="142">
        <f>B364*IBGE_2!AE$364/100</f>
        <v>16.600000000000001</v>
      </c>
      <c r="AF364" s="142" t="s">
        <v>3047</v>
      </c>
      <c r="AG364" s="142">
        <f>B364*IBGE_2!AG$364/100</f>
        <v>0.38</v>
      </c>
      <c r="AH364" s="142" t="s">
        <v>3047</v>
      </c>
      <c r="AI364" s="142">
        <f>B364*IBGE_2!AI$364/100</f>
        <v>236</v>
      </c>
      <c r="AJ364" s="142">
        <f>B364*IBGE_2!AJ$364/100</f>
        <v>0.28000000000000003</v>
      </c>
      <c r="AK364" s="142">
        <f>B364*IBGE_2!AK$364/100</f>
        <v>3.4830000000000001</v>
      </c>
      <c r="AL364" s="142">
        <f>B364*IBGE_2!AL$364/100</f>
        <v>2.4260000000000002</v>
      </c>
      <c r="AM364" s="145" t="s">
        <v>3047</v>
      </c>
      <c r="AN364" s="161"/>
    </row>
    <row r="365" spans="1:40">
      <c r="A365" s="143" t="s">
        <v>1424</v>
      </c>
      <c r="B365" s="141">
        <v>100</v>
      </c>
      <c r="C365" s="142">
        <f>B365*IBGE_2!C$365/100</f>
        <v>49.09</v>
      </c>
      <c r="D365" s="142">
        <f>B365*IBGE_2!D$365/100</f>
        <v>0.62</v>
      </c>
      <c r="E365" s="142">
        <f>B365*IBGE_2!E$365/100</f>
        <v>3.32</v>
      </c>
      <c r="F365" s="142">
        <f>B365*IBGE_2!F$365/100</f>
        <v>0.49</v>
      </c>
      <c r="G365" s="142">
        <f>B365*IBGE_2!G$365/100</f>
        <v>0.66</v>
      </c>
      <c r="H365" s="142">
        <f>B365*IBGE_2!H$365/100</f>
        <v>1.64</v>
      </c>
      <c r="I365" s="142">
        <f>B365*IBGE_2!I$365/100</f>
        <v>1.45</v>
      </c>
      <c r="J365" s="142">
        <f>B365*IBGE_2!J$365/100</f>
        <v>0.19</v>
      </c>
      <c r="K365" s="142" t="s">
        <v>3047</v>
      </c>
      <c r="L365" s="142">
        <f>B365*IBGE_2!L$365/100</f>
        <v>5.09</v>
      </c>
      <c r="M365" s="142">
        <f>B365*IBGE_2!M$365/100</f>
        <v>2.8</v>
      </c>
      <c r="N365" s="142">
        <f>B365*IBGE_2!N$365/100</f>
        <v>13</v>
      </c>
      <c r="O365" s="142">
        <f>B365*IBGE_2!O$365/100</f>
        <v>12</v>
      </c>
      <c r="P365" s="142">
        <f>B365*IBGE_2!P$365/100</f>
        <v>0.17</v>
      </c>
      <c r="Q365" s="142">
        <f>B365*IBGE_2!Q$365/100</f>
        <v>29</v>
      </c>
      <c r="R365" s="142">
        <f>B365*IBGE_2!R$365/100</f>
        <v>0.22</v>
      </c>
      <c r="S365" s="142">
        <f>B365*IBGE_2!S$365/100</f>
        <v>1</v>
      </c>
      <c r="T365" s="142">
        <f>B365*IBGE_2!T$365/100</f>
        <v>173</v>
      </c>
      <c r="U365" s="142">
        <f>B365*IBGE_2!U$365/100</f>
        <v>0.11</v>
      </c>
      <c r="V365" s="142">
        <f>B365*IBGE_2!V$365/100</f>
        <v>0.31</v>
      </c>
      <c r="W365" s="142" t="s">
        <v>3047</v>
      </c>
      <c r="X365" s="142">
        <f>B365*IBGE_2!X$365/100</f>
        <v>0.03</v>
      </c>
      <c r="Y365" s="142">
        <f>B365*IBGE_2!Y$365/100</f>
        <v>0.04</v>
      </c>
      <c r="Z365" s="142">
        <f>B365*IBGE_2!Z$365/100</f>
        <v>0.12</v>
      </c>
      <c r="AA365" s="142">
        <f>B365*IBGE_2!AA$365/100</f>
        <v>0.42</v>
      </c>
      <c r="AB365" s="142">
        <f>B365*IBGE_2!AB$365/100</f>
        <v>8</v>
      </c>
      <c r="AC365" s="142">
        <f>B365*IBGE_2!AC$365/100</f>
        <v>0.55000000000000004</v>
      </c>
      <c r="AD365" s="142" t="s">
        <v>3047</v>
      </c>
      <c r="AE365" s="142">
        <f>B365*IBGE_2!AE$365/100</f>
        <v>18</v>
      </c>
      <c r="AF365" s="142" t="s">
        <v>3047</v>
      </c>
      <c r="AG365" s="142">
        <f>B365*IBGE_2!AG$365/100</f>
        <v>0.38</v>
      </c>
      <c r="AH365" s="142" t="s">
        <v>3047</v>
      </c>
      <c r="AI365" s="142">
        <f>B365*IBGE_2!AI$365/100</f>
        <v>236</v>
      </c>
      <c r="AJ365" s="142">
        <f>B365*IBGE_2!AJ$365/100</f>
        <v>1.6</v>
      </c>
      <c r="AK365" s="145" t="s">
        <v>3047</v>
      </c>
      <c r="AL365" s="142">
        <f>B365*IBGE_2!AL$365/100</f>
        <v>1.97</v>
      </c>
      <c r="AM365" s="145" t="s">
        <v>3047</v>
      </c>
      <c r="AN365" s="161"/>
    </row>
    <row r="366" spans="1:40">
      <c r="A366" s="143" t="s">
        <v>1425</v>
      </c>
      <c r="B366" s="141">
        <v>100</v>
      </c>
      <c r="C366" s="142">
        <f>B366*IBGE_2!C$366/100</f>
        <v>24</v>
      </c>
      <c r="D366" s="142">
        <f>B366*IBGE_2!D$366/100</f>
        <v>0.62</v>
      </c>
      <c r="E366" s="142">
        <f>B366*IBGE_2!E$366/100</f>
        <v>0.48</v>
      </c>
      <c r="F366" s="142">
        <f>B366*IBGE_2!F$366/100</f>
        <v>0.09</v>
      </c>
      <c r="G366" s="142" t="s">
        <v>3047</v>
      </c>
      <c r="H366" s="142" t="s">
        <v>3047</v>
      </c>
      <c r="I366" s="142" t="s">
        <v>3047</v>
      </c>
      <c r="J366" s="142" t="s">
        <v>3047</v>
      </c>
      <c r="K366" s="142" t="s">
        <v>3047</v>
      </c>
      <c r="L366" s="142">
        <f>B366*IBGE_2!L$366/100</f>
        <v>5.09</v>
      </c>
      <c r="M366" s="142">
        <f>B366*IBGE_2!M$366/100</f>
        <v>2.8</v>
      </c>
      <c r="N366" s="142">
        <f>B366*IBGE_2!N$366/100</f>
        <v>13</v>
      </c>
      <c r="O366" s="142">
        <f>B366*IBGE_2!O$366/100</f>
        <v>12</v>
      </c>
      <c r="P366" s="142">
        <f>B366*IBGE_2!P$366/100</f>
        <v>0.17</v>
      </c>
      <c r="Q366" s="142">
        <f>B366*IBGE_2!Q$366/100</f>
        <v>29</v>
      </c>
      <c r="R366" s="142">
        <f>B366*IBGE_2!R$366/100</f>
        <v>0.22</v>
      </c>
      <c r="S366" s="142">
        <f>B366*IBGE_2!S$366/100</f>
        <v>1</v>
      </c>
      <c r="T366" s="142">
        <f>B366*IBGE_2!T$366/100</f>
        <v>173</v>
      </c>
      <c r="U366" s="142">
        <f>B366*IBGE_2!U$366/100</f>
        <v>0.11</v>
      </c>
      <c r="V366" s="142">
        <f>B366*IBGE_2!V$366/100</f>
        <v>0.31</v>
      </c>
      <c r="W366" s="142" t="s">
        <v>3047</v>
      </c>
      <c r="X366" s="142">
        <f>B366*IBGE_2!X$366/100</f>
        <v>0.03</v>
      </c>
      <c r="Y366" s="142">
        <f>B366*IBGE_2!Y$366/100</f>
        <v>0.04</v>
      </c>
      <c r="Z366" s="142">
        <f>B366*IBGE_2!Z$366/100</f>
        <v>0.12</v>
      </c>
      <c r="AA366" s="142">
        <f>B366*IBGE_2!AA$366/100</f>
        <v>0.42</v>
      </c>
      <c r="AB366" s="142">
        <f>B366*IBGE_2!AB$366/100</f>
        <v>8</v>
      </c>
      <c r="AC366" s="142">
        <f>B366*IBGE_2!AC$366/100</f>
        <v>0.55000000000000004</v>
      </c>
      <c r="AD366" s="145" t="s">
        <v>3047</v>
      </c>
      <c r="AE366" s="142">
        <f>B366*IBGE_2!AE$366/100</f>
        <v>18</v>
      </c>
      <c r="AF366" s="142" t="s">
        <v>3047</v>
      </c>
      <c r="AG366" s="142">
        <f>B366*IBGE_2!AG$366/100</f>
        <v>0.12</v>
      </c>
      <c r="AH366" s="142" t="s">
        <v>3047</v>
      </c>
      <c r="AI366" s="142">
        <f>B366*IBGE_2!AI$366/100</f>
        <v>236</v>
      </c>
      <c r="AJ366" s="142">
        <f>B366*IBGE_2!AJ$366/100</f>
        <v>0.3</v>
      </c>
      <c r="AK366" s="145" t="s">
        <v>3047</v>
      </c>
      <c r="AL366" s="142">
        <f>B366*IBGE_2!AL$366/100</f>
        <v>1.97</v>
      </c>
      <c r="AM366" s="145" t="s">
        <v>3047</v>
      </c>
      <c r="AN366" s="161"/>
    </row>
    <row r="367" spans="1:40">
      <c r="A367" s="143" t="s">
        <v>1426</v>
      </c>
      <c r="B367" s="141">
        <v>100</v>
      </c>
      <c r="C367" s="142">
        <f>B367*IBGE_2!C$367/100</f>
        <v>49.09</v>
      </c>
      <c r="D367" s="142">
        <f>B367*IBGE_2!D$367/100</f>
        <v>0.62</v>
      </c>
      <c r="E367" s="142">
        <f>B367*IBGE_2!E$367/100</f>
        <v>3.32</v>
      </c>
      <c r="F367" s="142">
        <f>B367*IBGE_2!F$367/100</f>
        <v>0.49</v>
      </c>
      <c r="G367" s="142">
        <f>B367*IBGE_2!G$367/100</f>
        <v>0.66</v>
      </c>
      <c r="H367" s="142">
        <f>B367*IBGE_2!H$367/100</f>
        <v>1.64</v>
      </c>
      <c r="I367" s="142">
        <f>B367*IBGE_2!I$367/100</f>
        <v>1.45</v>
      </c>
      <c r="J367" s="142">
        <f>B367*IBGE_2!J$367/100</f>
        <v>0.19</v>
      </c>
      <c r="K367" s="142" t="s">
        <v>3047</v>
      </c>
      <c r="L367" s="142">
        <f>B367*IBGE_2!L$367/100</f>
        <v>5.09</v>
      </c>
      <c r="M367" s="142">
        <f>B367*IBGE_2!M$367/100</f>
        <v>2.8</v>
      </c>
      <c r="N367" s="142">
        <f>B367*IBGE_2!N$367/100</f>
        <v>13</v>
      </c>
      <c r="O367" s="142">
        <f>B367*IBGE_2!O$367/100</f>
        <v>12</v>
      </c>
      <c r="P367" s="142">
        <f>B367*IBGE_2!P$367/100</f>
        <v>0.17</v>
      </c>
      <c r="Q367" s="142">
        <f>B367*IBGE_2!Q$367/100</f>
        <v>29</v>
      </c>
      <c r="R367" s="142">
        <f>B367*IBGE_2!R$367/100</f>
        <v>0.22</v>
      </c>
      <c r="S367" s="142">
        <f>B367*IBGE_2!S$367/100</f>
        <v>1</v>
      </c>
      <c r="T367" s="142">
        <f>B367*IBGE_2!T$367/100</f>
        <v>173</v>
      </c>
      <c r="U367" s="142">
        <f>B367*IBGE_2!U$367/100</f>
        <v>0.11</v>
      </c>
      <c r="V367" s="142">
        <f>B367*IBGE_2!V$367/100</f>
        <v>0.31</v>
      </c>
      <c r="W367" s="142" t="s">
        <v>3047</v>
      </c>
      <c r="X367" s="142">
        <f>B367*IBGE_2!X$367/100</f>
        <v>0.03</v>
      </c>
      <c r="Y367" s="142">
        <f>B367*IBGE_2!Y$367/100</f>
        <v>0.04</v>
      </c>
      <c r="Z367" s="142">
        <f>B367*IBGE_2!Z$367/100</f>
        <v>0.12</v>
      </c>
      <c r="AA367" s="142">
        <f>B367*IBGE_2!AA$367/100</f>
        <v>0.42</v>
      </c>
      <c r="AB367" s="142">
        <f>B367*IBGE_2!AB$367/100</f>
        <v>8</v>
      </c>
      <c r="AC367" s="142">
        <f>B367*IBGE_2!AC$367/100</f>
        <v>0.55000000000000004</v>
      </c>
      <c r="AD367" s="145" t="s">
        <v>3047</v>
      </c>
      <c r="AE367" s="142">
        <f>B367*IBGE_2!AE$367/100</f>
        <v>18</v>
      </c>
      <c r="AF367" s="142" t="s">
        <v>3047</v>
      </c>
      <c r="AG367" s="142">
        <f>B367*IBGE_2!AG$367/100</f>
        <v>0.38</v>
      </c>
      <c r="AH367" s="142" t="s">
        <v>3047</v>
      </c>
      <c r="AI367" s="142">
        <f>B367*IBGE_2!AI$367/100</f>
        <v>236</v>
      </c>
      <c r="AJ367" s="142">
        <f>B367*IBGE_2!AJ$367/100</f>
        <v>1.6</v>
      </c>
      <c r="AK367" s="145" t="s">
        <v>3047</v>
      </c>
      <c r="AL367" s="142">
        <f>B367*IBGE_2!AL$367/100</f>
        <v>1.97</v>
      </c>
      <c r="AM367" s="145" t="s">
        <v>3047</v>
      </c>
      <c r="AN367" s="161"/>
    </row>
    <row r="368" spans="1:40">
      <c r="A368" s="143" t="s">
        <v>1427</v>
      </c>
      <c r="B368" s="141">
        <v>100</v>
      </c>
      <c r="C368" s="142">
        <f>B368*IBGE_2!C$368/100</f>
        <v>31.443000000000001</v>
      </c>
      <c r="D368" s="142">
        <f>B368*IBGE_2!D$368/100</f>
        <v>0.94799999999999995</v>
      </c>
      <c r="E368" s="142">
        <f>B368*IBGE_2!E$368/100</f>
        <v>0.12300000000000001</v>
      </c>
      <c r="F368" s="142">
        <f>B368*IBGE_2!F$368/100</f>
        <v>3.9E-2</v>
      </c>
      <c r="G368" s="142">
        <f>B368*IBGE_2!G$368/100</f>
        <v>2.7000000000000003E-2</v>
      </c>
      <c r="H368" s="142">
        <f>B368*IBGE_2!H$368/100</f>
        <v>3.2000000000000001E-2</v>
      </c>
      <c r="I368" s="142">
        <f>B368*IBGE_2!I$368/100</f>
        <v>2.7000000000000003E-2</v>
      </c>
      <c r="J368" s="142">
        <f>B368*IBGE_2!J$368/100</f>
        <v>5.0000000000000001E-3</v>
      </c>
      <c r="K368" s="142" t="s">
        <v>3047</v>
      </c>
      <c r="L368" s="142">
        <f>B368*IBGE_2!L$368/100</f>
        <v>7.0119999999999996</v>
      </c>
      <c r="M368" s="142">
        <f>B368*IBGE_2!M$368/100</f>
        <v>0.71099999999999997</v>
      </c>
      <c r="N368" s="142">
        <f>B368*IBGE_2!N$368/100</f>
        <v>8.5549999999999997</v>
      </c>
      <c r="O368" s="142">
        <f>B368*IBGE_2!O$368/100</f>
        <v>6.3470000000000004</v>
      </c>
      <c r="P368" s="142">
        <f>B368*IBGE_2!P$368/100</f>
        <v>6.8000000000000005E-2</v>
      </c>
      <c r="Q368" s="142">
        <f>B368*IBGE_2!Q$368/100</f>
        <v>15.762</v>
      </c>
      <c r="R368" s="142">
        <f>B368*IBGE_2!R$368/100</f>
        <v>0.28499999999999998</v>
      </c>
      <c r="S368" s="142">
        <f>B368*IBGE_2!S$368/100</f>
        <v>310.43200000000002</v>
      </c>
      <c r="T368" s="142">
        <f>B368*IBGE_2!T$368/100</f>
        <v>88.314999999999998</v>
      </c>
      <c r="U368" s="142">
        <f>B368*IBGE_2!U$368/100</f>
        <v>3.9E-2</v>
      </c>
      <c r="V368" s="142">
        <f>B368*IBGE_2!V$368/100</f>
        <v>0.115</v>
      </c>
      <c r="W368" s="142" t="s">
        <v>3047</v>
      </c>
      <c r="X368" s="142">
        <f>B368*IBGE_2!X$368/100</f>
        <v>0.03</v>
      </c>
      <c r="Y368" s="142">
        <f>B368*IBGE_2!Y$368/100</f>
        <v>2.6000000000000002E-2</v>
      </c>
      <c r="Z368" s="142">
        <f>B368*IBGE_2!Z$368/100</f>
        <v>0.04</v>
      </c>
      <c r="AA368" s="142">
        <f>B368*IBGE_2!AA$368/100</f>
        <v>0.505</v>
      </c>
      <c r="AB368" s="142">
        <f>B368*IBGE_2!AB$368/100</f>
        <v>2.0990000000000002</v>
      </c>
      <c r="AC368" s="142">
        <f>B368*IBGE_2!AC$368/100</f>
        <v>0.66700000000000004</v>
      </c>
      <c r="AD368" s="142">
        <f>B368*IBGE_2!AD$368/100</f>
        <v>1.4999999999999999E-2</v>
      </c>
      <c r="AE368" s="142">
        <f>B368*IBGE_2!AE$368/100</f>
        <v>9.2759999999999998</v>
      </c>
      <c r="AF368" s="142" t="s">
        <v>3047</v>
      </c>
      <c r="AG368" s="142">
        <f>B368*IBGE_2!AG$368/100</f>
        <v>0.20399999999999999</v>
      </c>
      <c r="AH368" s="142">
        <f>B368*IBGE_2!AH$368/100</f>
        <v>2E-3</v>
      </c>
      <c r="AI368" s="145" t="s">
        <v>3047</v>
      </c>
      <c r="AJ368" s="142">
        <f>B368*IBGE_2!AJ$368/100</f>
        <v>1.3440000000000001</v>
      </c>
      <c r="AK368" s="142">
        <f>B368*IBGE_2!AK$368/100</f>
        <v>33.475999999999999</v>
      </c>
      <c r="AL368" s="142">
        <f>B368*IBGE_2!AL$368/100</f>
        <v>3.2749999999999999</v>
      </c>
      <c r="AM368" s="142">
        <f>B368*IBGE_2!AM$368/100</f>
        <v>2.5230000000000001</v>
      </c>
      <c r="AN368" s="161"/>
    </row>
    <row r="369" spans="1:40">
      <c r="A369" s="143" t="s">
        <v>1428</v>
      </c>
      <c r="B369" s="141">
        <v>100</v>
      </c>
      <c r="C369" s="142">
        <f>B369*IBGE_2!C$369/100</f>
        <v>22</v>
      </c>
      <c r="D369" s="142">
        <f>B369*IBGE_2!D$369/100</f>
        <v>1.87</v>
      </c>
      <c r="E369" s="142">
        <f>B369*IBGE_2!E$369/100</f>
        <v>0.21</v>
      </c>
      <c r="F369" s="142">
        <f>B369*IBGE_2!F$369/100</f>
        <v>4.4999999999999998E-2</v>
      </c>
      <c r="G369" s="142">
        <f>B369*IBGE_2!G$369/100</f>
        <v>2.8000000000000004E-2</v>
      </c>
      <c r="H369" s="142">
        <f>B369*IBGE_2!H$369/100</f>
        <v>4.5999999999999999E-2</v>
      </c>
      <c r="I369" s="142">
        <f>B369*IBGE_2!I$369/100</f>
        <v>4.4999999999999998E-2</v>
      </c>
      <c r="J369" s="142">
        <f>B369*IBGE_2!J$369/100</f>
        <v>1E-3</v>
      </c>
      <c r="K369" s="142" t="s">
        <v>3047</v>
      </c>
      <c r="L369" s="142">
        <f>B369*IBGE_2!L$369/100</f>
        <v>4.51</v>
      </c>
      <c r="M369" s="142">
        <f>B369*IBGE_2!M$369/100</f>
        <v>2.5</v>
      </c>
      <c r="N369" s="142">
        <f>B369*IBGE_2!N$369/100</f>
        <v>77</v>
      </c>
      <c r="O369" s="142">
        <f>B369*IBGE_2!O$369/100</f>
        <v>36</v>
      </c>
      <c r="P369" s="142">
        <f>B369*IBGE_2!P$369/100</f>
        <v>0.29399999999999998</v>
      </c>
      <c r="Q369" s="142">
        <f>B369*IBGE_2!Q$369/100</f>
        <v>32</v>
      </c>
      <c r="R369" s="142">
        <f>B369*IBGE_2!R$369/100</f>
        <v>0.28000000000000003</v>
      </c>
      <c r="S369" s="142">
        <f>B369*IBGE_2!S$369/100</f>
        <v>6</v>
      </c>
      <c r="T369" s="142">
        <f>B369*IBGE_2!T$369/100</f>
        <v>135</v>
      </c>
      <c r="U369" s="142">
        <f>B369*IBGE_2!U$369/100</f>
        <v>8.5000000000000006E-2</v>
      </c>
      <c r="V369" s="142">
        <f>B369*IBGE_2!V$369/100</f>
        <v>0.43</v>
      </c>
      <c r="W369" s="142" t="s">
        <v>3047</v>
      </c>
      <c r="X369" s="142">
        <f>B369*IBGE_2!X$369/100</f>
        <v>0.13200000000000001</v>
      </c>
      <c r="Y369" s="142">
        <f>B369*IBGE_2!Y$369/100</f>
        <v>5.5E-2</v>
      </c>
      <c r="Z369" s="142">
        <f>B369*IBGE_2!Z$369/100</f>
        <v>0.187</v>
      </c>
      <c r="AA369" s="142">
        <f>B369*IBGE_2!AA$369/100</f>
        <v>0.871</v>
      </c>
      <c r="AB369" s="142">
        <f>B369*IBGE_2!AB$369/100</f>
        <v>16.3</v>
      </c>
      <c r="AC369" s="142">
        <f>B369*IBGE_2!AC$369/100</f>
        <v>1.1379999999999999</v>
      </c>
      <c r="AD369" s="145" t="s">
        <v>3047</v>
      </c>
      <c r="AE369" s="142">
        <f>B369*IBGE_2!AE$369/100</f>
        <v>46</v>
      </c>
      <c r="AF369" s="142" t="s">
        <v>3047</v>
      </c>
      <c r="AG369" s="142">
        <f>B369*IBGE_2!AG$369/100</f>
        <v>0.27</v>
      </c>
      <c r="AH369" s="145" t="s">
        <v>3047</v>
      </c>
      <c r="AI369" s="142">
        <f>B369*IBGE_2!AI$369/100</f>
        <v>236</v>
      </c>
      <c r="AJ369" s="142">
        <f>B369*IBGE_2!AJ$369/100</f>
        <v>0.4</v>
      </c>
      <c r="AK369" s="142">
        <f>B369*IBGE_2!AK$369/100</f>
        <v>14.167</v>
      </c>
      <c r="AL369" s="142">
        <f>B369*IBGE_2!AL$369/100</f>
        <v>2.2549999999999999</v>
      </c>
      <c r="AM369" s="145" t="s">
        <v>3047</v>
      </c>
      <c r="AN369" s="161"/>
    </row>
    <row r="370" spans="1:40">
      <c r="A370" s="143" t="s">
        <v>1429</v>
      </c>
      <c r="B370" s="141">
        <v>100</v>
      </c>
      <c r="C370" s="142">
        <f>B370*IBGE_2!C$370/100</f>
        <v>22</v>
      </c>
      <c r="D370" s="142">
        <f>B370*IBGE_2!D$370/100</f>
        <v>1.87</v>
      </c>
      <c r="E370" s="142">
        <f>B370*IBGE_2!E$370/100</f>
        <v>0.21</v>
      </c>
      <c r="F370" s="142">
        <f>B370*IBGE_2!F$370/100</f>
        <v>4.4999999999999998E-2</v>
      </c>
      <c r="G370" s="142">
        <f>B370*IBGE_2!G$370/100</f>
        <v>2.8000000000000004E-2</v>
      </c>
      <c r="H370" s="142">
        <f>B370*IBGE_2!H$370/100</f>
        <v>4.5999999999999999E-2</v>
      </c>
      <c r="I370" s="142">
        <f>B370*IBGE_2!I$370/100</f>
        <v>4.4999999999999998E-2</v>
      </c>
      <c r="J370" s="142">
        <f>B370*IBGE_2!J$370/100</f>
        <v>1E-3</v>
      </c>
      <c r="K370" s="142" t="s">
        <v>3047</v>
      </c>
      <c r="L370" s="142">
        <f>B370*IBGE_2!L$370/100</f>
        <v>4.51</v>
      </c>
      <c r="M370" s="142">
        <f>B370*IBGE_2!M$370/100</f>
        <v>2.5</v>
      </c>
      <c r="N370" s="142">
        <f>B370*IBGE_2!N$370/100</f>
        <v>77</v>
      </c>
      <c r="O370" s="142">
        <f>B370*IBGE_2!O$370/100</f>
        <v>36</v>
      </c>
      <c r="P370" s="142">
        <f>B370*IBGE_2!P$370/100</f>
        <v>0.29399999999999998</v>
      </c>
      <c r="Q370" s="142">
        <f>B370*IBGE_2!Q$370/100</f>
        <v>32</v>
      </c>
      <c r="R370" s="142">
        <f>B370*IBGE_2!R$370/100</f>
        <v>0.28000000000000003</v>
      </c>
      <c r="S370" s="142">
        <f>B370*IBGE_2!S$370/100</f>
        <v>6</v>
      </c>
      <c r="T370" s="142">
        <f>B370*IBGE_2!T$370/100</f>
        <v>135</v>
      </c>
      <c r="U370" s="142">
        <f>B370*IBGE_2!U$370/100</f>
        <v>8.5000000000000006E-2</v>
      </c>
      <c r="V370" s="142">
        <f>B370*IBGE_2!V$370/100</f>
        <v>0.43</v>
      </c>
      <c r="W370" s="142" t="s">
        <v>3047</v>
      </c>
      <c r="X370" s="142">
        <f>B370*IBGE_2!X$370/100</f>
        <v>0.13200000000000001</v>
      </c>
      <c r="Y370" s="142">
        <f>B370*IBGE_2!Y$370/100</f>
        <v>5.5E-2</v>
      </c>
      <c r="Z370" s="142">
        <f>B370*IBGE_2!Z$370/100</f>
        <v>0.187</v>
      </c>
      <c r="AA370" s="142">
        <f>B370*IBGE_2!AA$370/100</f>
        <v>0.871</v>
      </c>
      <c r="AB370" s="142">
        <f>B370*IBGE_2!AB$370/100</f>
        <v>16.3</v>
      </c>
      <c r="AC370" s="142">
        <f>B370*IBGE_2!AC$370/100</f>
        <v>1.1379999999999999</v>
      </c>
      <c r="AD370" s="145" t="s">
        <v>3047</v>
      </c>
      <c r="AE370" s="142">
        <f>B370*IBGE_2!AE$370/100</f>
        <v>46</v>
      </c>
      <c r="AF370" s="142" t="s">
        <v>3047</v>
      </c>
      <c r="AG370" s="142">
        <f>B370*IBGE_2!AG$370/100</f>
        <v>0.27</v>
      </c>
      <c r="AH370" s="145" t="s">
        <v>3047</v>
      </c>
      <c r="AI370" s="142">
        <f>B370*IBGE_2!AI$370/100</f>
        <v>236</v>
      </c>
      <c r="AJ370" s="142">
        <f>B370*IBGE_2!AJ$370/100</f>
        <v>0.4</v>
      </c>
      <c r="AK370" s="142">
        <f>B370*IBGE_2!AK$370/100</f>
        <v>14.167</v>
      </c>
      <c r="AL370" s="142">
        <f>B370*IBGE_2!AL$370/100</f>
        <v>2.2549999999999999</v>
      </c>
      <c r="AM370" s="145" t="s">
        <v>3047</v>
      </c>
      <c r="AN370" s="161"/>
    </row>
    <row r="371" spans="1:40">
      <c r="A371" s="143" t="s">
        <v>1430</v>
      </c>
      <c r="B371" s="141">
        <v>100</v>
      </c>
      <c r="C371" s="142">
        <f>B371*IBGE_2!C$371/100</f>
        <v>22</v>
      </c>
      <c r="D371" s="142">
        <f>B371*IBGE_2!D$371/100</f>
        <v>1.87</v>
      </c>
      <c r="E371" s="142">
        <f>B371*IBGE_2!E$371/100</f>
        <v>0.21</v>
      </c>
      <c r="F371" s="142">
        <f>B371*IBGE_2!F$371/100</f>
        <v>4.4999999999999998E-2</v>
      </c>
      <c r="G371" s="142">
        <f>B371*IBGE_2!G$371/100</f>
        <v>2.8000000000000004E-2</v>
      </c>
      <c r="H371" s="142">
        <f>B371*IBGE_2!H$371/100</f>
        <v>4.5999999999999999E-2</v>
      </c>
      <c r="I371" s="142">
        <f>B371*IBGE_2!I$371/100</f>
        <v>4.4999999999999998E-2</v>
      </c>
      <c r="J371" s="142">
        <f>B371*IBGE_2!J$371/100</f>
        <v>1E-3</v>
      </c>
      <c r="K371" s="142" t="s">
        <v>3047</v>
      </c>
      <c r="L371" s="142">
        <f>B371*IBGE_2!L$371/100</f>
        <v>4.51</v>
      </c>
      <c r="M371" s="142">
        <f>B371*IBGE_2!M$371/100</f>
        <v>2.5</v>
      </c>
      <c r="N371" s="142">
        <f>B371*IBGE_2!N$371/100</f>
        <v>77</v>
      </c>
      <c r="O371" s="142">
        <f>B371*IBGE_2!O$371/100</f>
        <v>36</v>
      </c>
      <c r="P371" s="142">
        <f>B371*IBGE_2!P$371/100</f>
        <v>0.29399999999999998</v>
      </c>
      <c r="Q371" s="142">
        <f>B371*IBGE_2!Q$371/100</f>
        <v>32</v>
      </c>
      <c r="R371" s="142">
        <f>B371*IBGE_2!R$371/100</f>
        <v>0.28000000000000003</v>
      </c>
      <c r="S371" s="142">
        <f>B371*IBGE_2!S$371/100</f>
        <v>6</v>
      </c>
      <c r="T371" s="142">
        <f>B371*IBGE_2!T$371/100</f>
        <v>135</v>
      </c>
      <c r="U371" s="142">
        <f>B371*IBGE_2!U$371/100</f>
        <v>8.5000000000000006E-2</v>
      </c>
      <c r="V371" s="142">
        <f>B371*IBGE_2!V$371/100</f>
        <v>0.43</v>
      </c>
      <c r="W371" s="142" t="s">
        <v>3047</v>
      </c>
      <c r="X371" s="142">
        <f>B371*IBGE_2!X$371/100</f>
        <v>0.13200000000000001</v>
      </c>
      <c r="Y371" s="142">
        <f>B371*IBGE_2!Y$371/100</f>
        <v>5.5E-2</v>
      </c>
      <c r="Z371" s="142">
        <f>B371*IBGE_2!Z$371/100</f>
        <v>0.187</v>
      </c>
      <c r="AA371" s="142">
        <f>B371*IBGE_2!AA$371/100</f>
        <v>0.871</v>
      </c>
      <c r="AB371" s="142">
        <f>B371*IBGE_2!AB$371/100</f>
        <v>16.3</v>
      </c>
      <c r="AC371" s="142">
        <f>B371*IBGE_2!AC$371/100</f>
        <v>1.1379999999999999</v>
      </c>
      <c r="AD371" s="145" t="s">
        <v>3047</v>
      </c>
      <c r="AE371" s="142">
        <f>B371*IBGE_2!AE$371/100</f>
        <v>46</v>
      </c>
      <c r="AF371" s="142" t="s">
        <v>3047</v>
      </c>
      <c r="AG371" s="142">
        <f>B371*IBGE_2!AG$371/100</f>
        <v>0.27</v>
      </c>
      <c r="AH371" s="145" t="s">
        <v>3047</v>
      </c>
      <c r="AI371" s="142">
        <f>B371*IBGE_2!AI$371/100</f>
        <v>236</v>
      </c>
      <c r="AJ371" s="142">
        <f>B371*IBGE_2!AJ$371/100</f>
        <v>0.4</v>
      </c>
      <c r="AK371" s="142">
        <f>B371*IBGE_2!AK$371/100</f>
        <v>14.167</v>
      </c>
      <c r="AL371" s="142">
        <f>B371*IBGE_2!AL$371/100</f>
        <v>2.2549999999999999</v>
      </c>
      <c r="AM371" s="145" t="s">
        <v>3047</v>
      </c>
      <c r="AN371" s="161"/>
    </row>
    <row r="372" spans="1:40">
      <c r="A372" s="143" t="s">
        <v>1431</v>
      </c>
      <c r="B372" s="141">
        <v>100</v>
      </c>
      <c r="C372" s="142">
        <f>B372*IBGE_2!C$372/100</f>
        <v>47.093000000000004</v>
      </c>
      <c r="D372" s="142">
        <f>B372*IBGE_2!D$372/100</f>
        <v>1.87</v>
      </c>
      <c r="E372" s="142">
        <f>B372*IBGE_2!E$372/100</f>
        <v>3.0489999999999999</v>
      </c>
      <c r="F372" s="142">
        <f>B372*IBGE_2!F$372/100</f>
        <v>0.48899999999999999</v>
      </c>
      <c r="G372" s="142">
        <f>B372*IBGE_2!G$372/100</f>
        <v>0.67500000000000004</v>
      </c>
      <c r="H372" s="142">
        <f>B372*IBGE_2!H$372/100</f>
        <v>1.6850000000000001</v>
      </c>
      <c r="I372" s="142">
        <f>B372*IBGE_2!I$372/100</f>
        <v>1.4910000000000003</v>
      </c>
      <c r="J372" s="142">
        <f>B372*IBGE_2!J$372/100</f>
        <v>0.19400000000000003</v>
      </c>
      <c r="K372" s="142" t="s">
        <v>3047</v>
      </c>
      <c r="L372" s="142">
        <f>B372*IBGE_2!L$372/100</f>
        <v>4.51</v>
      </c>
      <c r="M372" s="142">
        <f>B372*IBGE_2!M$372/100</f>
        <v>2.5</v>
      </c>
      <c r="N372" s="142">
        <f>B372*IBGE_2!N$372/100</f>
        <v>77</v>
      </c>
      <c r="O372" s="142">
        <f>B372*IBGE_2!O$372/100</f>
        <v>36</v>
      </c>
      <c r="P372" s="142">
        <f>B372*IBGE_2!P$372/100</f>
        <v>0.29399999999999998</v>
      </c>
      <c r="Q372" s="142">
        <f>B372*IBGE_2!Q$372/100</f>
        <v>32</v>
      </c>
      <c r="R372" s="142">
        <f>B372*IBGE_2!R$372/100</f>
        <v>0.28100000000000003</v>
      </c>
      <c r="S372" s="142">
        <f>B372*IBGE_2!S$372/100</f>
        <v>6</v>
      </c>
      <c r="T372" s="142">
        <f>B372*IBGE_2!T$372/100</f>
        <v>135</v>
      </c>
      <c r="U372" s="142">
        <f>B372*IBGE_2!U$372/100</f>
        <v>8.5000000000000006E-2</v>
      </c>
      <c r="V372" s="142">
        <f>B372*IBGE_2!V$372/100</f>
        <v>0.43</v>
      </c>
      <c r="W372" s="142" t="s">
        <v>3047</v>
      </c>
      <c r="X372" s="142">
        <f>B372*IBGE_2!X$372/100</f>
        <v>0.13200000000000001</v>
      </c>
      <c r="Y372" s="142">
        <f>B372*IBGE_2!Y$372/100</f>
        <v>5.5E-2</v>
      </c>
      <c r="Z372" s="142">
        <f>B372*IBGE_2!Z$372/100</f>
        <v>0.187</v>
      </c>
      <c r="AA372" s="142">
        <f>B372*IBGE_2!AA$372/100</f>
        <v>0.871</v>
      </c>
      <c r="AB372" s="142">
        <f>B372*IBGE_2!AB$372/100</f>
        <v>16.3</v>
      </c>
      <c r="AC372" s="142">
        <f>B372*IBGE_2!AC$372/100</f>
        <v>1.1379999999999999</v>
      </c>
      <c r="AD372" s="145" t="s">
        <v>3047</v>
      </c>
      <c r="AE372" s="142">
        <f>B372*IBGE_2!AE$372/100</f>
        <v>46</v>
      </c>
      <c r="AF372" s="142" t="s">
        <v>3047</v>
      </c>
      <c r="AG372" s="142">
        <f>B372*IBGE_2!AG$372/100</f>
        <v>0.502</v>
      </c>
      <c r="AH372" s="142">
        <f>B372*IBGE_2!AH$372/100</f>
        <v>1.4999999999999999E-2</v>
      </c>
      <c r="AI372" s="142">
        <f>B372*IBGE_2!AI$372/100</f>
        <v>236</v>
      </c>
      <c r="AJ372" s="142">
        <f>B372*IBGE_2!AJ$372/100</f>
        <v>1.7009999999999998</v>
      </c>
      <c r="AK372" s="142">
        <f>B372*IBGE_2!AK$372/100</f>
        <v>14.167</v>
      </c>
      <c r="AL372" s="142">
        <f>B372*IBGE_2!AL$372/100</f>
        <v>2.2549999999999999</v>
      </c>
      <c r="AM372" s="145" t="s">
        <v>3047</v>
      </c>
      <c r="AN372" s="161"/>
    </row>
    <row r="373" spans="1:40">
      <c r="A373" s="143" t="s">
        <v>1432</v>
      </c>
      <c r="B373" s="141">
        <v>100</v>
      </c>
      <c r="C373" s="142">
        <f>B373*IBGE_2!C$373/100</f>
        <v>47.093000000000004</v>
      </c>
      <c r="D373" s="142">
        <f>B373*IBGE_2!D$373/100</f>
        <v>1.87</v>
      </c>
      <c r="E373" s="142">
        <f>B373*IBGE_2!E$373/100</f>
        <v>3.0489999999999999</v>
      </c>
      <c r="F373" s="142">
        <f>B373*IBGE_2!F$373/100</f>
        <v>0.48899999999999999</v>
      </c>
      <c r="G373" s="142">
        <f>B373*IBGE_2!G$373/100</f>
        <v>0.67500000000000004</v>
      </c>
      <c r="H373" s="142">
        <f>B373*IBGE_2!H$373/100</f>
        <v>1.6850000000000001</v>
      </c>
      <c r="I373" s="142">
        <f>B373*IBGE_2!I$373/100</f>
        <v>1.4910000000000003</v>
      </c>
      <c r="J373" s="142">
        <f>B373*IBGE_2!J$373/100</f>
        <v>0.19400000000000003</v>
      </c>
      <c r="K373" s="142" t="s">
        <v>3047</v>
      </c>
      <c r="L373" s="142">
        <f>B373*IBGE_2!L$373/100</f>
        <v>4.51</v>
      </c>
      <c r="M373" s="142">
        <f>B373*IBGE_2!M$373/100</f>
        <v>2.5</v>
      </c>
      <c r="N373" s="142">
        <f>B373*IBGE_2!N$373/100</f>
        <v>77</v>
      </c>
      <c r="O373" s="142">
        <f>B373*IBGE_2!O$373/100</f>
        <v>36</v>
      </c>
      <c r="P373" s="142">
        <f>B373*IBGE_2!P$373/100</f>
        <v>0.29399999999999998</v>
      </c>
      <c r="Q373" s="142">
        <f>B373*IBGE_2!Q$373/100</f>
        <v>32</v>
      </c>
      <c r="R373" s="142">
        <f>B373*IBGE_2!R$373/100</f>
        <v>0.28100000000000003</v>
      </c>
      <c r="S373" s="142">
        <f>B373*IBGE_2!S$373/100</f>
        <v>6</v>
      </c>
      <c r="T373" s="142">
        <f>B373*IBGE_2!T$373/100</f>
        <v>135</v>
      </c>
      <c r="U373" s="142">
        <f>B373*IBGE_2!U$373/100</f>
        <v>8.5000000000000006E-2</v>
      </c>
      <c r="V373" s="142">
        <f>B373*IBGE_2!V$373/100</f>
        <v>0.43</v>
      </c>
      <c r="W373" s="142" t="s">
        <v>3047</v>
      </c>
      <c r="X373" s="142">
        <f>B373*IBGE_2!X$373/100</f>
        <v>0.13200000000000001</v>
      </c>
      <c r="Y373" s="142">
        <f>B373*IBGE_2!Y$373/100</f>
        <v>5.5E-2</v>
      </c>
      <c r="Z373" s="142">
        <f>B373*IBGE_2!Z$373/100</f>
        <v>0.187</v>
      </c>
      <c r="AA373" s="142">
        <f>B373*IBGE_2!AA$373/100</f>
        <v>0.871</v>
      </c>
      <c r="AB373" s="142">
        <f>B373*IBGE_2!AB$373/100</f>
        <v>16.3</v>
      </c>
      <c r="AC373" s="142">
        <f>B373*IBGE_2!AC$373/100</f>
        <v>1.1379999999999999</v>
      </c>
      <c r="AD373" s="145" t="s">
        <v>3047</v>
      </c>
      <c r="AE373" s="142">
        <f>B373*IBGE_2!AE$373/100</f>
        <v>46</v>
      </c>
      <c r="AF373" s="142" t="s">
        <v>3047</v>
      </c>
      <c r="AG373" s="142">
        <f>B373*IBGE_2!AG$373/100</f>
        <v>0.502</v>
      </c>
      <c r="AH373" s="142">
        <f>B373*IBGE_2!AH$373/100</f>
        <v>1.4999999999999999E-2</v>
      </c>
      <c r="AI373" s="142">
        <f>B373*IBGE_2!AI$373/100</f>
        <v>236</v>
      </c>
      <c r="AJ373" s="142">
        <f>B373*IBGE_2!AJ$373/100</f>
        <v>1.7009999999999998</v>
      </c>
      <c r="AK373" s="142">
        <f>B373*IBGE_2!AK$373/100</f>
        <v>14.167</v>
      </c>
      <c r="AL373" s="142">
        <f>B373*IBGE_2!AL$373/100</f>
        <v>2.2549999999999999</v>
      </c>
      <c r="AM373" s="145" t="s">
        <v>3047</v>
      </c>
      <c r="AN373" s="161"/>
    </row>
    <row r="374" spans="1:40">
      <c r="A374" s="143" t="s">
        <v>1433</v>
      </c>
      <c r="B374" s="141">
        <v>100</v>
      </c>
      <c r="C374" s="142">
        <f>B374*IBGE_2!C$374/100</f>
        <v>43.193000000000005</v>
      </c>
      <c r="D374" s="142">
        <f>B374*IBGE_2!D$374/100</f>
        <v>1.895</v>
      </c>
      <c r="E374" s="142">
        <f>B374*IBGE_2!E$374/100</f>
        <v>2.6070000000000007</v>
      </c>
      <c r="F374" s="142">
        <f>B374*IBGE_2!F$374/100</f>
        <v>1.5629999999999997</v>
      </c>
      <c r="G374" s="142">
        <f>B374*IBGE_2!G$374/100</f>
        <v>0.64900000000000002</v>
      </c>
      <c r="H374" s="142">
        <f>B374*IBGE_2!H$374/100</f>
        <v>0.13600000000000001</v>
      </c>
      <c r="I374" s="142">
        <f>B374*IBGE_2!I$374/100</f>
        <v>0.126</v>
      </c>
      <c r="J374" s="142">
        <f>B374*IBGE_2!J$374/100</f>
        <v>0.01</v>
      </c>
      <c r="K374" s="142">
        <f>B374*IBGE_2!K$374/100</f>
        <v>6.3550000000000004</v>
      </c>
      <c r="L374" s="142">
        <f>B374*IBGE_2!L$374/100</f>
        <v>4.5119999999999996</v>
      </c>
      <c r="M374" s="142">
        <f>B374*IBGE_2!M$374/100</f>
        <v>2.5</v>
      </c>
      <c r="N374" s="142">
        <f>B374*IBGE_2!N$374/100</f>
        <v>77.709000000000003</v>
      </c>
      <c r="O374" s="142">
        <f>B374*IBGE_2!O$374/100</f>
        <v>36.058999999999997</v>
      </c>
      <c r="P374" s="142">
        <f>B374*IBGE_2!P$374/100</f>
        <v>0.29399999999999998</v>
      </c>
      <c r="Q374" s="142">
        <f>B374*IBGE_2!Q$374/100</f>
        <v>32.709000000000003</v>
      </c>
      <c r="R374" s="142">
        <f>B374*IBGE_2!R$374/100</f>
        <v>0.28100000000000003</v>
      </c>
      <c r="S374" s="142">
        <f>B374*IBGE_2!S$374/100</f>
        <v>23.024999999999999</v>
      </c>
      <c r="T374" s="142">
        <f>B374*IBGE_2!T$374/100</f>
        <v>135.709</v>
      </c>
      <c r="U374" s="142">
        <f>B374*IBGE_2!U$374/100</f>
        <v>8.5000000000000006E-2</v>
      </c>
      <c r="V374" s="142">
        <f>B374*IBGE_2!V$374/100</f>
        <v>0.433</v>
      </c>
      <c r="W374" s="142">
        <f>B374*IBGE_2!W$374/100</f>
        <v>19.832999999999998</v>
      </c>
      <c r="X374" s="142">
        <f>B374*IBGE_2!X$374/100</f>
        <v>0.13200000000000001</v>
      </c>
      <c r="Y374" s="142">
        <f>B374*IBGE_2!Y$374/100</f>
        <v>5.6000000000000008E-2</v>
      </c>
      <c r="Z374" s="142">
        <f>B374*IBGE_2!Z$374/100</f>
        <v>0.187</v>
      </c>
      <c r="AA374" s="142">
        <f>B374*IBGE_2!AA$374/100</f>
        <v>0.872</v>
      </c>
      <c r="AB374" s="142">
        <f>B374*IBGE_2!AB$374/100</f>
        <v>16.3</v>
      </c>
      <c r="AC374" s="142">
        <f>B374*IBGE_2!AC$374/100</f>
        <v>1.145</v>
      </c>
      <c r="AD374" s="142">
        <f>B374*IBGE_2!AD$374/100</f>
        <v>5.0000000000000001E-3</v>
      </c>
      <c r="AE374" s="142">
        <f>B374*IBGE_2!AE$374/100</f>
        <v>46.088999999999999</v>
      </c>
      <c r="AF374" s="142">
        <f>B374*IBGE_2!AF$374/100</f>
        <v>4.1000000000000009E-2</v>
      </c>
      <c r="AG374" s="142">
        <f>B374*IBGE_2!AG$374/100</f>
        <v>0.33900000000000008</v>
      </c>
      <c r="AH374" s="142">
        <f>B374*IBGE_2!AH$374/100</f>
        <v>9.7000000000000017E-2</v>
      </c>
      <c r="AI374" s="142">
        <f>B374*IBGE_2!AI$374/100</f>
        <v>236</v>
      </c>
      <c r="AJ374" s="142">
        <f>B374*IBGE_2!AJ$374/100</f>
        <v>0.43</v>
      </c>
      <c r="AK374" s="142">
        <f>B374*IBGE_2!AK$374/100</f>
        <v>34.389000000000003</v>
      </c>
      <c r="AL374" s="142">
        <f>B374*IBGE_2!AL$374/100</f>
        <v>2.258</v>
      </c>
      <c r="AM374" s="145" t="s">
        <v>3047</v>
      </c>
      <c r="AN374" s="161"/>
    </row>
    <row r="375" spans="1:40">
      <c r="A375" s="143" t="s">
        <v>1434</v>
      </c>
      <c r="B375" s="141">
        <v>100</v>
      </c>
      <c r="C375" s="142">
        <f>B375*IBGE_2!C$375/100</f>
        <v>47.093000000000004</v>
      </c>
      <c r="D375" s="142">
        <f>B375*IBGE_2!D$375/100</f>
        <v>1.87</v>
      </c>
      <c r="E375" s="142">
        <f>B375*IBGE_2!E$375/100</f>
        <v>3.0489999999999999</v>
      </c>
      <c r="F375" s="142">
        <f>B375*IBGE_2!F$375/100</f>
        <v>0.48899999999999999</v>
      </c>
      <c r="G375" s="142">
        <f>B375*IBGE_2!G$375/100</f>
        <v>0.67500000000000004</v>
      </c>
      <c r="H375" s="142">
        <f>B375*IBGE_2!H$375/100</f>
        <v>1.6850000000000001</v>
      </c>
      <c r="I375" s="142">
        <f>B375*IBGE_2!I$375/100</f>
        <v>1.4910000000000003</v>
      </c>
      <c r="J375" s="142">
        <f>B375*IBGE_2!J$375/100</f>
        <v>0.19400000000000003</v>
      </c>
      <c r="K375" s="142" t="s">
        <v>3047</v>
      </c>
      <c r="L375" s="142">
        <f>B375*IBGE_2!L$375/100</f>
        <v>4.51</v>
      </c>
      <c r="M375" s="142">
        <f>B375*IBGE_2!M$375/100</f>
        <v>2.5</v>
      </c>
      <c r="N375" s="142">
        <f>B375*IBGE_2!N$375/100</f>
        <v>77</v>
      </c>
      <c r="O375" s="142">
        <f>B375*IBGE_2!O$375/100</f>
        <v>36</v>
      </c>
      <c r="P375" s="142">
        <f>B375*IBGE_2!P$375/100</f>
        <v>0.29399999999999998</v>
      </c>
      <c r="Q375" s="142">
        <f>B375*IBGE_2!Q$375/100</f>
        <v>32</v>
      </c>
      <c r="R375" s="142">
        <f>B375*IBGE_2!R$375/100</f>
        <v>0.28100000000000003</v>
      </c>
      <c r="S375" s="142">
        <f>B375*IBGE_2!S$375/100</f>
        <v>6</v>
      </c>
      <c r="T375" s="142">
        <f>B375*IBGE_2!T$375/100</f>
        <v>135</v>
      </c>
      <c r="U375" s="142">
        <f>B375*IBGE_2!U$375/100</f>
        <v>8.5000000000000006E-2</v>
      </c>
      <c r="V375" s="142">
        <f>B375*IBGE_2!V$375/100</f>
        <v>0.43</v>
      </c>
      <c r="W375" s="142" t="s">
        <v>3047</v>
      </c>
      <c r="X375" s="142">
        <f>B375*IBGE_2!X$375/100</f>
        <v>0.13200000000000001</v>
      </c>
      <c r="Y375" s="142">
        <f>B375*IBGE_2!Y$375/100</f>
        <v>5.5E-2</v>
      </c>
      <c r="Z375" s="142">
        <f>B375*IBGE_2!Z$375/100</f>
        <v>0.187</v>
      </c>
      <c r="AA375" s="142">
        <f>B375*IBGE_2!AA$375/100</f>
        <v>0.871</v>
      </c>
      <c r="AB375" s="142">
        <f>B375*IBGE_2!AB$375/100</f>
        <v>16.3</v>
      </c>
      <c r="AC375" s="142">
        <f>B375*IBGE_2!AC$375/100</f>
        <v>1.1379999999999999</v>
      </c>
      <c r="AD375" s="142" t="s">
        <v>3047</v>
      </c>
      <c r="AE375" s="142">
        <f>B375*IBGE_2!AE$375/100</f>
        <v>46</v>
      </c>
      <c r="AF375" s="142" t="s">
        <v>3047</v>
      </c>
      <c r="AG375" s="142">
        <f>B375*IBGE_2!AG$375/100</f>
        <v>0.502</v>
      </c>
      <c r="AH375" s="142">
        <f>B375*IBGE_2!AH$375/100</f>
        <v>1.4999999999999999E-2</v>
      </c>
      <c r="AI375" s="142">
        <f>B375*IBGE_2!AI$375/100</f>
        <v>236</v>
      </c>
      <c r="AJ375" s="142">
        <f>B375*IBGE_2!AJ$375/100</f>
        <v>1.7009999999999998</v>
      </c>
      <c r="AK375" s="142">
        <f>B375*IBGE_2!AK$375/100</f>
        <v>14.167</v>
      </c>
      <c r="AL375" s="142">
        <f>B375*IBGE_2!AL$375/100</f>
        <v>2.2549999999999999</v>
      </c>
      <c r="AM375" s="145" t="s">
        <v>3047</v>
      </c>
      <c r="AN375" s="161"/>
    </row>
    <row r="376" spans="1:40">
      <c r="A376" s="143" t="s">
        <v>1435</v>
      </c>
      <c r="B376" s="141">
        <v>100</v>
      </c>
      <c r="C376" s="142">
        <f>B376*IBGE_2!C$376/100</f>
        <v>22</v>
      </c>
      <c r="D376" s="142">
        <f>B376*IBGE_2!D$376/100</f>
        <v>1.87</v>
      </c>
      <c r="E376" s="142">
        <f>B376*IBGE_2!E$376/100</f>
        <v>0.21</v>
      </c>
      <c r="F376" s="142">
        <f>B376*IBGE_2!F$376/100</f>
        <v>4.4999999999999998E-2</v>
      </c>
      <c r="G376" s="142">
        <f>B376*IBGE_2!G$376/100</f>
        <v>2.8000000000000004E-2</v>
      </c>
      <c r="H376" s="142">
        <f>B376*IBGE_2!H$376/100</f>
        <v>4.5999999999999999E-2</v>
      </c>
      <c r="I376" s="142">
        <f>B376*IBGE_2!I$376/100</f>
        <v>4.4999999999999998E-2</v>
      </c>
      <c r="J376" s="142">
        <f>B376*IBGE_2!J$376/100</f>
        <v>1E-3</v>
      </c>
      <c r="K376" s="142" t="s">
        <v>3047</v>
      </c>
      <c r="L376" s="142">
        <f>B376*IBGE_2!L$376/100</f>
        <v>4.51</v>
      </c>
      <c r="M376" s="142">
        <f>B376*IBGE_2!M$376/100</f>
        <v>2.5</v>
      </c>
      <c r="N376" s="142">
        <f>B376*IBGE_2!N$376/100</f>
        <v>77</v>
      </c>
      <c r="O376" s="142">
        <f>B376*IBGE_2!O$376/100</f>
        <v>36</v>
      </c>
      <c r="P376" s="142">
        <f>B376*IBGE_2!P$376/100</f>
        <v>0.29399999999999998</v>
      </c>
      <c r="Q376" s="142">
        <f>B376*IBGE_2!Q$376/100</f>
        <v>32</v>
      </c>
      <c r="R376" s="142">
        <f>B376*IBGE_2!R$376/100</f>
        <v>0.28000000000000003</v>
      </c>
      <c r="S376" s="142">
        <f>B376*IBGE_2!S$376/100</f>
        <v>6</v>
      </c>
      <c r="T376" s="142">
        <f>B376*IBGE_2!T$376/100</f>
        <v>135</v>
      </c>
      <c r="U376" s="142">
        <f>B376*IBGE_2!U$376/100</f>
        <v>8.5000000000000006E-2</v>
      </c>
      <c r="V376" s="142">
        <f>B376*IBGE_2!V$376/100</f>
        <v>0.43</v>
      </c>
      <c r="W376" s="142" t="s">
        <v>3047</v>
      </c>
      <c r="X376" s="142">
        <f>B376*IBGE_2!X$376/100</f>
        <v>0.13200000000000001</v>
      </c>
      <c r="Y376" s="142">
        <f>B376*IBGE_2!Y$376/100</f>
        <v>5.5E-2</v>
      </c>
      <c r="Z376" s="142">
        <f>B376*IBGE_2!Z$376/100</f>
        <v>0.187</v>
      </c>
      <c r="AA376" s="142">
        <f>B376*IBGE_2!AA$376/100</f>
        <v>0.871</v>
      </c>
      <c r="AB376" s="142">
        <f>B376*IBGE_2!AB$376/100</f>
        <v>16.3</v>
      </c>
      <c r="AC376" s="142">
        <f>B376*IBGE_2!AC$376/100</f>
        <v>1.1379999999999999</v>
      </c>
      <c r="AD376" s="142" t="s">
        <v>3047</v>
      </c>
      <c r="AE376" s="142">
        <f>B376*IBGE_2!AE$376/100</f>
        <v>46</v>
      </c>
      <c r="AF376" s="142" t="s">
        <v>3047</v>
      </c>
      <c r="AG376" s="142">
        <f>B376*IBGE_2!AG$376/100</f>
        <v>0.27</v>
      </c>
      <c r="AH376" s="142" t="s">
        <v>3047</v>
      </c>
      <c r="AI376" s="142">
        <f>B376*IBGE_2!AI$376/100</f>
        <v>236</v>
      </c>
      <c r="AJ376" s="142">
        <f>B376*IBGE_2!AJ$376/100</f>
        <v>0.4</v>
      </c>
      <c r="AK376" s="142">
        <f>B376*IBGE_2!AK$376/100</f>
        <v>14.167</v>
      </c>
      <c r="AL376" s="142">
        <f>B376*IBGE_2!AL$376/100</f>
        <v>2.2549999999999999</v>
      </c>
      <c r="AM376" s="145" t="s">
        <v>3047</v>
      </c>
      <c r="AN376" s="161"/>
    </row>
    <row r="377" spans="1:40">
      <c r="A377" s="143" t="s">
        <v>1436</v>
      </c>
      <c r="B377" s="141">
        <v>100</v>
      </c>
      <c r="C377" s="142">
        <f>B377*IBGE_2!C$377/100</f>
        <v>14</v>
      </c>
      <c r="D377" s="142">
        <f>B377*IBGE_2!D$377/100</f>
        <v>1.4</v>
      </c>
      <c r="E377" s="142">
        <f>B377*IBGE_2!E$377/100</f>
        <v>0.1</v>
      </c>
      <c r="F377" s="142" t="s">
        <v>3047</v>
      </c>
      <c r="G377" s="142" t="s">
        <v>3047</v>
      </c>
      <c r="H377" s="142" t="s">
        <v>3047</v>
      </c>
      <c r="I377" s="142" t="s">
        <v>3047</v>
      </c>
      <c r="J377" s="142" t="s">
        <v>3047</v>
      </c>
      <c r="K377" s="142" t="s">
        <v>3047</v>
      </c>
      <c r="L377" s="142">
        <f>B377*IBGE_2!L$377/100</f>
        <v>2.7</v>
      </c>
      <c r="M377" s="142">
        <f>B377*IBGE_2!M$377/100</f>
        <v>2.2000000000000002</v>
      </c>
      <c r="N377" s="142">
        <f>B377*IBGE_2!N$377/100</f>
        <v>21</v>
      </c>
      <c r="O377" s="142">
        <f>B377*IBGE_2!O$377/100</f>
        <v>10</v>
      </c>
      <c r="P377" s="142">
        <f>B377*IBGE_2!P$377/100</f>
        <v>7.0000000000000007E-2</v>
      </c>
      <c r="Q377" s="142">
        <f>B377*IBGE_2!Q$377/100</f>
        <v>25</v>
      </c>
      <c r="R377" s="142">
        <f>B377*IBGE_2!R$377/100</f>
        <v>0.4</v>
      </c>
      <c r="S377" s="142">
        <f>B377*IBGE_2!S$377/100</f>
        <v>11</v>
      </c>
      <c r="T377" s="142">
        <f>B377*IBGE_2!T$377/100</f>
        <v>328</v>
      </c>
      <c r="U377" s="142">
        <f>B377*IBGE_2!U$377/100</f>
        <v>0.02</v>
      </c>
      <c r="V377" s="142">
        <f>B377*IBGE_2!V$377/100</f>
        <v>0.2</v>
      </c>
      <c r="W377" s="142" t="s">
        <v>3047</v>
      </c>
      <c r="X377" s="142">
        <f>B377*IBGE_2!X$377/100</f>
        <v>0.06</v>
      </c>
      <c r="Y377" s="142">
        <f>B377*IBGE_2!Y$377/100</f>
        <v>0.02</v>
      </c>
      <c r="Z377" s="142">
        <f>B377*IBGE_2!Z$377/100</f>
        <v>0.04</v>
      </c>
      <c r="AA377" s="142" t="s">
        <v>3047</v>
      </c>
      <c r="AB377" s="142">
        <f>B377*IBGE_2!AB$377/100</f>
        <v>9.6</v>
      </c>
      <c r="AC377" s="142" t="s">
        <v>3047</v>
      </c>
      <c r="AD377" s="142" t="s">
        <v>3047</v>
      </c>
      <c r="AE377" s="145" t="s">
        <v>3047</v>
      </c>
      <c r="AF377" s="145" t="s">
        <v>3047</v>
      </c>
      <c r="AG377" s="145" t="s">
        <v>3047</v>
      </c>
      <c r="AH377" s="145" t="s">
        <v>3047</v>
      </c>
      <c r="AI377" s="145" t="s">
        <v>3047</v>
      </c>
      <c r="AJ377" s="145" t="s">
        <v>3047</v>
      </c>
      <c r="AK377" s="142">
        <f>B377*IBGE_2!AK$377/100</f>
        <v>3</v>
      </c>
      <c r="AL377" s="145" t="s">
        <v>3047</v>
      </c>
      <c r="AM377" s="145" t="s">
        <v>3047</v>
      </c>
      <c r="AN377" s="161"/>
    </row>
    <row r="378" spans="1:40">
      <c r="A378" s="143" t="s">
        <v>1437</v>
      </c>
      <c r="B378" s="141">
        <v>100</v>
      </c>
      <c r="C378" s="142">
        <f>B378*IBGE_2!C$378/100</f>
        <v>14</v>
      </c>
      <c r="D378" s="142">
        <f>B378*IBGE_2!D$378/100</f>
        <v>0.4</v>
      </c>
      <c r="E378" s="142">
        <f>B378*IBGE_2!E$378/100</f>
        <v>0.2</v>
      </c>
      <c r="F378" s="142">
        <f>B378*IBGE_2!F$378/100</f>
        <v>0.02</v>
      </c>
      <c r="G378" s="142">
        <f>B378*IBGE_2!G$378/100</f>
        <v>0.04</v>
      </c>
      <c r="H378" s="142">
        <f>B378*IBGE_2!H$378/100</f>
        <v>0.09</v>
      </c>
      <c r="I378" s="142">
        <f>B378*IBGE_2!I$378/100</f>
        <v>0.09</v>
      </c>
      <c r="J378" s="142" t="s">
        <v>3047</v>
      </c>
      <c r="K378" s="142" t="s">
        <v>3047</v>
      </c>
      <c r="L378" s="142">
        <f>B378*IBGE_2!L$378/100</f>
        <v>3.04</v>
      </c>
      <c r="M378" s="142">
        <f>B378*IBGE_2!M$378/100</f>
        <v>1</v>
      </c>
      <c r="N378" s="142">
        <f>B378*IBGE_2!N$378/100</f>
        <v>18</v>
      </c>
      <c r="O378" s="142">
        <f>B378*IBGE_2!O$378/100</f>
        <v>10</v>
      </c>
      <c r="P378" s="142">
        <f>B378*IBGE_2!P$378/100</f>
        <v>0.06</v>
      </c>
      <c r="Q378" s="142">
        <f>B378*IBGE_2!Q$378/100</f>
        <v>17</v>
      </c>
      <c r="R378" s="142">
        <f>B378*IBGE_2!R$378/100</f>
        <v>0.38</v>
      </c>
      <c r="S378" s="142">
        <f>B378*IBGE_2!S$378/100</f>
        <v>107</v>
      </c>
      <c r="T378" s="142">
        <f>B378*IBGE_2!T$378/100</f>
        <v>5</v>
      </c>
      <c r="U378" s="142">
        <f>B378*IBGE_2!U$378/100</f>
        <v>0.02</v>
      </c>
      <c r="V378" s="142">
        <f>B378*IBGE_2!V$378/100</f>
        <v>0.59</v>
      </c>
      <c r="W378" s="142" t="s">
        <v>3047</v>
      </c>
      <c r="X378" s="142">
        <f>B378*IBGE_2!X$378/100</f>
        <v>0.03</v>
      </c>
      <c r="Y378" s="142" t="s">
        <v>3047</v>
      </c>
      <c r="Z378" s="142">
        <f>B378*IBGE_2!Z$378/100</f>
        <v>0.03</v>
      </c>
      <c r="AA378" s="142">
        <f>B378*IBGE_2!AA$378/100</f>
        <v>0.38</v>
      </c>
      <c r="AB378" s="142">
        <f>B378*IBGE_2!AB$378/100</f>
        <v>10.5</v>
      </c>
      <c r="AC378" s="142">
        <f>B378*IBGE_2!AC$378/100</f>
        <v>0.42</v>
      </c>
      <c r="AD378" s="142" t="s">
        <v>3047</v>
      </c>
      <c r="AE378" s="142">
        <f>B378*IBGE_2!AE$378/100</f>
        <v>4</v>
      </c>
      <c r="AF378" s="142" t="s">
        <v>3047</v>
      </c>
      <c r="AG378" s="142">
        <f>B378*IBGE_2!AG$378/100</f>
        <v>0.39</v>
      </c>
      <c r="AH378" s="142" t="s">
        <v>3047</v>
      </c>
      <c r="AI378" s="142">
        <f>B378*IBGE_2!AI$378/100</f>
        <v>212</v>
      </c>
      <c r="AJ378" s="142">
        <f>B378*IBGE_2!AJ$378/100</f>
        <v>0.2</v>
      </c>
      <c r="AK378" s="145" t="s">
        <v>3047</v>
      </c>
      <c r="AL378" s="142">
        <f>B378*IBGE_2!AL$378/100</f>
        <v>1.18</v>
      </c>
      <c r="AM378" s="145" t="s">
        <v>3047</v>
      </c>
      <c r="AN378" s="161"/>
    </row>
    <row r="379" spans="1:40">
      <c r="A379" s="143" t="s">
        <v>1438</v>
      </c>
      <c r="B379" s="141">
        <v>100</v>
      </c>
      <c r="C379" s="142">
        <f>B379*IBGE_2!C$379/100</f>
        <v>36.94</v>
      </c>
      <c r="D379" s="142">
        <f>B379*IBGE_2!D$379/100</f>
        <v>0.4</v>
      </c>
      <c r="E379" s="142">
        <f>B379*IBGE_2!E$379/100</f>
        <v>2.8</v>
      </c>
      <c r="F379" s="142">
        <f>B379*IBGE_2!F$379/100</f>
        <v>0.39</v>
      </c>
      <c r="G379" s="142">
        <f>B379*IBGE_2!G$379/100</f>
        <v>0.64</v>
      </c>
      <c r="H379" s="142">
        <f>B379*IBGE_2!H$379/100</f>
        <v>1.59</v>
      </c>
      <c r="I379" s="142">
        <f>B379*IBGE_2!I$379/100</f>
        <v>1.41</v>
      </c>
      <c r="J379" s="142">
        <f>B379*IBGE_2!J$379/100</f>
        <v>0.18</v>
      </c>
      <c r="K379" s="142" t="s">
        <v>3047</v>
      </c>
      <c r="L379" s="142">
        <f>B379*IBGE_2!L$379/100</f>
        <v>3.04</v>
      </c>
      <c r="M379" s="142">
        <f>B379*IBGE_2!M$379/100</f>
        <v>1</v>
      </c>
      <c r="N379" s="142">
        <f>B379*IBGE_2!N$379/100</f>
        <v>18</v>
      </c>
      <c r="O379" s="142">
        <f>B379*IBGE_2!O$379/100</f>
        <v>10</v>
      </c>
      <c r="P379" s="142">
        <f>B379*IBGE_2!P$379/100</f>
        <v>0.06</v>
      </c>
      <c r="Q379" s="142">
        <f>B379*IBGE_2!Q$379/100</f>
        <v>17</v>
      </c>
      <c r="R379" s="142">
        <f>B379*IBGE_2!R$379/100</f>
        <v>0.38</v>
      </c>
      <c r="S379" s="142">
        <f>B379*IBGE_2!S$379/100</f>
        <v>107</v>
      </c>
      <c r="T379" s="142">
        <f>B379*IBGE_2!T$379/100</f>
        <v>5</v>
      </c>
      <c r="U379" s="142">
        <f>B379*IBGE_2!U$379/100</f>
        <v>0.02</v>
      </c>
      <c r="V379" s="142">
        <f>B379*IBGE_2!V$379/100</f>
        <v>0.59</v>
      </c>
      <c r="W379" s="142" t="s">
        <v>3047</v>
      </c>
      <c r="X379" s="142">
        <f>B379*IBGE_2!X$379/100</f>
        <v>0.03</v>
      </c>
      <c r="Y379" s="142" t="s">
        <v>3047</v>
      </c>
      <c r="Z379" s="142">
        <f>B379*IBGE_2!Z$379/100</f>
        <v>0.03</v>
      </c>
      <c r="AA379" s="142">
        <f>B379*IBGE_2!AA$379/100</f>
        <v>0.38</v>
      </c>
      <c r="AB379" s="142">
        <f>B379*IBGE_2!AB$379/100</f>
        <v>10.5</v>
      </c>
      <c r="AC379" s="142">
        <f>B379*IBGE_2!AC$379/100</f>
        <v>0.42</v>
      </c>
      <c r="AD379" s="142" t="s">
        <v>3047</v>
      </c>
      <c r="AE379" s="142">
        <f>B379*IBGE_2!AE$379/100</f>
        <v>4</v>
      </c>
      <c r="AF379" s="142" t="s">
        <v>3047</v>
      </c>
      <c r="AG379" s="142">
        <f>B379*IBGE_2!AG$379/100</f>
        <v>0.63</v>
      </c>
      <c r="AH379" s="142" t="s">
        <v>3047</v>
      </c>
      <c r="AI379" s="142">
        <f>B379*IBGE_2!AI$379/100</f>
        <v>212</v>
      </c>
      <c r="AJ379" s="142">
        <f>B379*IBGE_2!AJ$379/100</f>
        <v>1.39</v>
      </c>
      <c r="AK379" s="145" t="s">
        <v>3047</v>
      </c>
      <c r="AL379" s="142">
        <f>B379*IBGE_2!AL$379/100</f>
        <v>1.18</v>
      </c>
      <c r="AM379" s="145" t="s">
        <v>3047</v>
      </c>
      <c r="AN379" s="161"/>
    </row>
    <row r="380" spans="1:40">
      <c r="A380" s="143" t="s">
        <v>1439</v>
      </c>
      <c r="B380" s="141">
        <v>100</v>
      </c>
      <c r="C380" s="142">
        <f>B380*IBGE_2!C$380/100</f>
        <v>36.94</v>
      </c>
      <c r="D380" s="142">
        <f>B380*IBGE_2!D$380/100</f>
        <v>0.4</v>
      </c>
      <c r="E380" s="142">
        <f>B380*IBGE_2!E$380/100</f>
        <v>2.8</v>
      </c>
      <c r="F380" s="142">
        <f>B380*IBGE_2!F$380/100</f>
        <v>0.39</v>
      </c>
      <c r="G380" s="142">
        <f>B380*IBGE_2!G$380/100</f>
        <v>0.64</v>
      </c>
      <c r="H380" s="142">
        <f>B380*IBGE_2!H$380/100</f>
        <v>1.59</v>
      </c>
      <c r="I380" s="142">
        <f>B380*IBGE_2!I$380/100</f>
        <v>1.41</v>
      </c>
      <c r="J380" s="142">
        <f>B380*IBGE_2!J$380/100</f>
        <v>0.18</v>
      </c>
      <c r="K380" s="142" t="s">
        <v>3047</v>
      </c>
      <c r="L380" s="142">
        <f>B380*IBGE_2!L$380/100</f>
        <v>3.04</v>
      </c>
      <c r="M380" s="142">
        <f>B380*IBGE_2!M$380/100</f>
        <v>1</v>
      </c>
      <c r="N380" s="142">
        <f>B380*IBGE_2!N$380/100</f>
        <v>18</v>
      </c>
      <c r="O380" s="142">
        <f>B380*IBGE_2!O$380/100</f>
        <v>10</v>
      </c>
      <c r="P380" s="142">
        <f>B380*IBGE_2!P$380/100</f>
        <v>0.06</v>
      </c>
      <c r="Q380" s="142">
        <f>B380*IBGE_2!Q$380/100</f>
        <v>17</v>
      </c>
      <c r="R380" s="142">
        <f>B380*IBGE_2!R$380/100</f>
        <v>0.38</v>
      </c>
      <c r="S380" s="142">
        <f>B380*IBGE_2!S$380/100</f>
        <v>107</v>
      </c>
      <c r="T380" s="142">
        <f>B380*IBGE_2!T$380/100</f>
        <v>5</v>
      </c>
      <c r="U380" s="142">
        <f>B380*IBGE_2!U$380/100</f>
        <v>0.02</v>
      </c>
      <c r="V380" s="142">
        <f>B380*IBGE_2!V$380/100</f>
        <v>0.59</v>
      </c>
      <c r="W380" s="142" t="s">
        <v>3047</v>
      </c>
      <c r="X380" s="142">
        <f>B380*IBGE_2!X$380/100</f>
        <v>0.03</v>
      </c>
      <c r="Y380" s="142" t="s">
        <v>3047</v>
      </c>
      <c r="Z380" s="142">
        <f>B380*IBGE_2!Z$380/100</f>
        <v>0.03</v>
      </c>
      <c r="AA380" s="142">
        <f>B380*IBGE_2!AA$380/100</f>
        <v>0.38</v>
      </c>
      <c r="AB380" s="142">
        <f>B380*IBGE_2!AB$380/100</f>
        <v>10.5</v>
      </c>
      <c r="AC380" s="142">
        <f>B380*IBGE_2!AC$380/100</f>
        <v>0.42</v>
      </c>
      <c r="AD380" s="142" t="s">
        <v>3047</v>
      </c>
      <c r="AE380" s="142">
        <f>B380*IBGE_2!AE$380/100</f>
        <v>4</v>
      </c>
      <c r="AF380" s="142" t="s">
        <v>3047</v>
      </c>
      <c r="AG380" s="142">
        <f>B380*IBGE_2!AG$380/100</f>
        <v>0.63</v>
      </c>
      <c r="AH380" s="142" t="s">
        <v>3047</v>
      </c>
      <c r="AI380" s="142">
        <f>B380*IBGE_2!AI$380/100</f>
        <v>212</v>
      </c>
      <c r="AJ380" s="142">
        <f>B380*IBGE_2!AJ$380/100</f>
        <v>1.39</v>
      </c>
      <c r="AK380" s="145" t="s">
        <v>3047</v>
      </c>
      <c r="AL380" s="142">
        <f>B380*IBGE_2!AL$380/100</f>
        <v>1.18</v>
      </c>
      <c r="AM380" s="145" t="s">
        <v>3047</v>
      </c>
      <c r="AN380" s="161"/>
    </row>
    <row r="381" spans="1:40">
      <c r="A381" s="143" t="s">
        <v>1440</v>
      </c>
      <c r="B381" s="141">
        <v>100</v>
      </c>
      <c r="C381" s="142">
        <f>B381*IBGE_2!C$381/100</f>
        <v>14</v>
      </c>
      <c r="D381" s="142">
        <f>B381*IBGE_2!D$381/100</f>
        <v>0.4</v>
      </c>
      <c r="E381" s="142">
        <f>B381*IBGE_2!E$381/100</f>
        <v>0.2</v>
      </c>
      <c r="F381" s="142">
        <f>B381*IBGE_2!F$381/100</f>
        <v>0.02</v>
      </c>
      <c r="G381" s="142">
        <f>B381*IBGE_2!G$381/100</f>
        <v>0.04</v>
      </c>
      <c r="H381" s="142">
        <f>B381*IBGE_2!H$381/100</f>
        <v>0.09</v>
      </c>
      <c r="I381" s="142">
        <f>B381*IBGE_2!I$381/100</f>
        <v>0.09</v>
      </c>
      <c r="J381" s="142" t="s">
        <v>3047</v>
      </c>
      <c r="K381" s="142" t="s">
        <v>3047</v>
      </c>
      <c r="L381" s="142">
        <f>B381*IBGE_2!L$381/100</f>
        <v>3.04</v>
      </c>
      <c r="M381" s="142">
        <f>B381*IBGE_2!M$381/100</f>
        <v>1</v>
      </c>
      <c r="N381" s="142">
        <f>B381*IBGE_2!N$381/100</f>
        <v>18</v>
      </c>
      <c r="O381" s="142">
        <f>B381*IBGE_2!O$381/100</f>
        <v>10</v>
      </c>
      <c r="P381" s="142">
        <f>B381*IBGE_2!P$381/100</f>
        <v>0.06</v>
      </c>
      <c r="Q381" s="142">
        <f>B381*IBGE_2!Q$381/100</f>
        <v>17</v>
      </c>
      <c r="R381" s="142">
        <f>B381*IBGE_2!R$381/100</f>
        <v>0.38</v>
      </c>
      <c r="S381" s="142">
        <f>B381*IBGE_2!S$381/100</f>
        <v>107</v>
      </c>
      <c r="T381" s="142">
        <f>B381*IBGE_2!T$381/100</f>
        <v>5</v>
      </c>
      <c r="U381" s="142">
        <f>B381*IBGE_2!U$381/100</f>
        <v>0.02</v>
      </c>
      <c r="V381" s="142">
        <f>B381*IBGE_2!V$381/100</f>
        <v>0.59</v>
      </c>
      <c r="W381" s="142" t="s">
        <v>3047</v>
      </c>
      <c r="X381" s="142">
        <f>B381*IBGE_2!X$381/100</f>
        <v>0.03</v>
      </c>
      <c r="Y381" s="142" t="s">
        <v>3047</v>
      </c>
      <c r="Z381" s="142">
        <f>B381*IBGE_2!Z$381/100</f>
        <v>0.03</v>
      </c>
      <c r="AA381" s="142">
        <f>B381*IBGE_2!AA$381/100</f>
        <v>0.38</v>
      </c>
      <c r="AB381" s="142">
        <f>B381*IBGE_2!AB$381/100</f>
        <v>10.5</v>
      </c>
      <c r="AC381" s="142">
        <f>B381*IBGE_2!AC$381/100</f>
        <v>0.42</v>
      </c>
      <c r="AD381" s="142" t="s">
        <v>3047</v>
      </c>
      <c r="AE381" s="142">
        <f>B381*IBGE_2!AE$381/100</f>
        <v>4</v>
      </c>
      <c r="AF381" s="142" t="s">
        <v>3047</v>
      </c>
      <c r="AG381" s="142">
        <f>B381*IBGE_2!AG$381/100</f>
        <v>0.39</v>
      </c>
      <c r="AH381" s="142" t="s">
        <v>3047</v>
      </c>
      <c r="AI381" s="142">
        <f>B381*IBGE_2!AI$381/100</f>
        <v>212</v>
      </c>
      <c r="AJ381" s="142">
        <f>B381*IBGE_2!AJ$381/100</f>
        <v>0.2</v>
      </c>
      <c r="AK381" s="145" t="s">
        <v>3047</v>
      </c>
      <c r="AL381" s="142">
        <f>B381*IBGE_2!AL$381/100</f>
        <v>1.18</v>
      </c>
      <c r="AM381" s="145" t="s">
        <v>3047</v>
      </c>
      <c r="AN381" s="161"/>
    </row>
    <row r="382" spans="1:40">
      <c r="A382" s="143" t="s">
        <v>1441</v>
      </c>
      <c r="B382" s="141">
        <v>100</v>
      </c>
      <c r="C382" s="142">
        <f>B382*IBGE_2!C$382/100</f>
        <v>14</v>
      </c>
      <c r="D382" s="142">
        <f>B382*IBGE_2!D$382/100</f>
        <v>0.4</v>
      </c>
      <c r="E382" s="142">
        <f>B382*IBGE_2!E$382/100</f>
        <v>0.2</v>
      </c>
      <c r="F382" s="142">
        <f>B382*IBGE_2!F$382/100</f>
        <v>0.02</v>
      </c>
      <c r="G382" s="142">
        <f>B382*IBGE_2!G$382/100</f>
        <v>0.04</v>
      </c>
      <c r="H382" s="142">
        <f>B382*IBGE_2!H$382/100</f>
        <v>0.09</v>
      </c>
      <c r="I382" s="142">
        <f>B382*IBGE_2!I$382/100</f>
        <v>0.09</v>
      </c>
      <c r="J382" s="142" t="s">
        <v>3047</v>
      </c>
      <c r="K382" s="142" t="s">
        <v>3047</v>
      </c>
      <c r="L382" s="142">
        <f>B382*IBGE_2!L$382/100</f>
        <v>3.04</v>
      </c>
      <c r="M382" s="142">
        <f>B382*IBGE_2!M$382/100</f>
        <v>1</v>
      </c>
      <c r="N382" s="142">
        <f>B382*IBGE_2!N$382/100</f>
        <v>18</v>
      </c>
      <c r="O382" s="142">
        <f>B382*IBGE_2!O$382/100</f>
        <v>10</v>
      </c>
      <c r="P382" s="142">
        <f>B382*IBGE_2!P$382/100</f>
        <v>0.06</v>
      </c>
      <c r="Q382" s="142">
        <f>B382*IBGE_2!Q$382/100</f>
        <v>17</v>
      </c>
      <c r="R382" s="142">
        <f>B382*IBGE_2!R$382/100</f>
        <v>0.38</v>
      </c>
      <c r="S382" s="142">
        <f>B382*IBGE_2!S$382/100</f>
        <v>107</v>
      </c>
      <c r="T382" s="142">
        <f>B382*IBGE_2!T$382/100</f>
        <v>5</v>
      </c>
      <c r="U382" s="142">
        <f>B382*IBGE_2!U$382/100</f>
        <v>0.02</v>
      </c>
      <c r="V382" s="142">
        <f>B382*IBGE_2!V$382/100</f>
        <v>0.59</v>
      </c>
      <c r="W382" s="142" t="s">
        <v>3047</v>
      </c>
      <c r="X382" s="142">
        <f>B382*IBGE_2!X$382/100</f>
        <v>0.03</v>
      </c>
      <c r="Y382" s="142" t="s">
        <v>3047</v>
      </c>
      <c r="Z382" s="142">
        <f>B382*IBGE_2!Z$382/100</f>
        <v>0.03</v>
      </c>
      <c r="AA382" s="142">
        <f>B382*IBGE_2!AA$382/100</f>
        <v>0.38</v>
      </c>
      <c r="AB382" s="142">
        <f>B382*IBGE_2!AB$382/100</f>
        <v>10.5</v>
      </c>
      <c r="AC382" s="142">
        <f>B382*IBGE_2!AC$382/100</f>
        <v>0.42</v>
      </c>
      <c r="AD382" s="142" t="s">
        <v>3047</v>
      </c>
      <c r="AE382" s="142">
        <f>B382*IBGE_2!AE$382/100</f>
        <v>4</v>
      </c>
      <c r="AF382" s="142" t="s">
        <v>3047</v>
      </c>
      <c r="AG382" s="142">
        <f>B382*IBGE_2!AG$382/100</f>
        <v>0.39</v>
      </c>
      <c r="AH382" s="142" t="s">
        <v>3047</v>
      </c>
      <c r="AI382" s="142">
        <f>B382*IBGE_2!AI$382/100</f>
        <v>212</v>
      </c>
      <c r="AJ382" s="142">
        <f>B382*IBGE_2!AJ$382/100</f>
        <v>0.2</v>
      </c>
      <c r="AK382" s="145" t="s">
        <v>3047</v>
      </c>
      <c r="AL382" s="142">
        <f>B382*IBGE_2!AL$382/100</f>
        <v>1.18</v>
      </c>
      <c r="AM382" s="145" t="s">
        <v>3047</v>
      </c>
      <c r="AN382" s="161"/>
    </row>
    <row r="383" spans="1:40">
      <c r="A383" s="143" t="s">
        <v>1442</v>
      </c>
      <c r="B383" s="141">
        <v>100</v>
      </c>
      <c r="C383" s="142">
        <f>B383*IBGE_2!C$383/100</f>
        <v>28</v>
      </c>
      <c r="D383" s="142">
        <f>B383*IBGE_2!D$383/100</f>
        <v>2.52</v>
      </c>
      <c r="E383" s="142">
        <f>B383*IBGE_2!E$383/100</f>
        <v>0.62</v>
      </c>
      <c r="F383" s="142">
        <f>B383*IBGE_2!F$383/100</f>
        <v>0.13</v>
      </c>
      <c r="G383" s="142">
        <f>B383*IBGE_2!G$383/100</f>
        <v>0.1</v>
      </c>
      <c r="H383" s="142">
        <f>B383*IBGE_2!H$383/100</f>
        <v>0.2</v>
      </c>
      <c r="I383" s="142">
        <f>B383*IBGE_2!I$383/100</f>
        <v>0.18</v>
      </c>
      <c r="J383" s="142">
        <f>B383*IBGE_2!J$383/100</f>
        <v>0.02</v>
      </c>
      <c r="K383" s="142" t="s">
        <v>3047</v>
      </c>
      <c r="L383" s="142">
        <f>B383*IBGE_2!L$383/100</f>
        <v>4.62</v>
      </c>
      <c r="M383" s="142">
        <f>B383*IBGE_2!M$383/100</f>
        <v>2.4</v>
      </c>
      <c r="N383" s="142">
        <f>B383*IBGE_2!N$383/100</f>
        <v>58</v>
      </c>
      <c r="O383" s="142">
        <f>B383*IBGE_2!O$383/100</f>
        <v>38</v>
      </c>
      <c r="P383" s="142">
        <f>B383*IBGE_2!P$383/100</f>
        <v>1.39</v>
      </c>
      <c r="Q383" s="142">
        <f>B383*IBGE_2!Q$383/100</f>
        <v>65</v>
      </c>
      <c r="R383" s="142">
        <f>B383*IBGE_2!R$383/100</f>
        <v>3.13</v>
      </c>
      <c r="S383" s="142">
        <f>B383*IBGE_2!S$383/100</f>
        <v>426</v>
      </c>
      <c r="T383" s="142">
        <f>B383*IBGE_2!T$383/100</f>
        <v>177</v>
      </c>
      <c r="U383" s="142">
        <f>B383*IBGE_2!U$383/100</f>
        <v>0.13</v>
      </c>
      <c r="V383" s="142">
        <f>B383*IBGE_2!V$383/100</f>
        <v>1.1499999999999999</v>
      </c>
      <c r="W383" s="142" t="s">
        <v>3047</v>
      </c>
      <c r="X383" s="142">
        <f>B383*IBGE_2!X$383/100</f>
        <v>0.01</v>
      </c>
      <c r="Y383" s="142">
        <f>B383*IBGE_2!Y$383/100</f>
        <v>0.06</v>
      </c>
      <c r="Z383" s="142">
        <f>B383*IBGE_2!Z$383/100</f>
        <v>0.02</v>
      </c>
      <c r="AA383" s="142">
        <f>B383*IBGE_2!AA$383/100</f>
        <v>0.44</v>
      </c>
      <c r="AB383" s="142">
        <f>B383*IBGE_2!AB$383/100</f>
        <v>7.9</v>
      </c>
      <c r="AC383" s="142">
        <f>B383*IBGE_2!AC$383/100</f>
        <v>0.82</v>
      </c>
      <c r="AD383" s="142" t="s">
        <v>3047</v>
      </c>
      <c r="AE383" s="142">
        <f>B383*IBGE_2!AE$383/100</f>
        <v>39</v>
      </c>
      <c r="AF383" s="142" t="s">
        <v>3047</v>
      </c>
      <c r="AG383" s="142">
        <f>B383*IBGE_2!AG$383/100</f>
        <v>0.5</v>
      </c>
      <c r="AH383" s="142" t="s">
        <v>3047</v>
      </c>
      <c r="AI383" s="142" t="s">
        <v>3047</v>
      </c>
      <c r="AJ383" s="142">
        <f>B383*IBGE_2!AJ$383/100</f>
        <v>0.7</v>
      </c>
      <c r="AK383" s="145" t="s">
        <v>3047</v>
      </c>
      <c r="AL383" s="145" t="s">
        <v>3047</v>
      </c>
      <c r="AM383" s="145" t="s">
        <v>3047</v>
      </c>
      <c r="AN383" s="161"/>
    </row>
    <row r="384" spans="1:40">
      <c r="A384" s="143" t="s">
        <v>1443</v>
      </c>
      <c r="B384" s="141">
        <v>100</v>
      </c>
      <c r="C384" s="142">
        <f>B384*IBGE_2!C$384/100</f>
        <v>28</v>
      </c>
      <c r="D384" s="142">
        <f>B384*IBGE_2!D$384/100</f>
        <v>2.52</v>
      </c>
      <c r="E384" s="142">
        <f>B384*IBGE_2!E$384/100</f>
        <v>0.62</v>
      </c>
      <c r="F384" s="142">
        <f>B384*IBGE_2!F$384/100</f>
        <v>0.13</v>
      </c>
      <c r="G384" s="142">
        <f>B384*IBGE_2!G$384/100</f>
        <v>0.1</v>
      </c>
      <c r="H384" s="142">
        <f>B384*IBGE_2!H$384/100</f>
        <v>0.2</v>
      </c>
      <c r="I384" s="142">
        <f>B384*IBGE_2!I$384/100</f>
        <v>0.18</v>
      </c>
      <c r="J384" s="142">
        <f>B384*IBGE_2!J$384/100</f>
        <v>0.02</v>
      </c>
      <c r="K384" s="142" t="s">
        <v>3047</v>
      </c>
      <c r="L384" s="142">
        <f>B384*IBGE_2!L$384/100</f>
        <v>4.62</v>
      </c>
      <c r="M384" s="142">
        <f>B384*IBGE_2!M$384/100</f>
        <v>2.4</v>
      </c>
      <c r="N384" s="142">
        <f>B384*IBGE_2!N$384/100</f>
        <v>58</v>
      </c>
      <c r="O384" s="142">
        <f>B384*IBGE_2!O$384/100</f>
        <v>38</v>
      </c>
      <c r="P384" s="142">
        <f>B384*IBGE_2!P$384/100</f>
        <v>1.39</v>
      </c>
      <c r="Q384" s="142">
        <f>B384*IBGE_2!Q$384/100</f>
        <v>65</v>
      </c>
      <c r="R384" s="142">
        <f>B384*IBGE_2!R$384/100</f>
        <v>3.13</v>
      </c>
      <c r="S384" s="142">
        <f>B384*IBGE_2!S$384/100</f>
        <v>426</v>
      </c>
      <c r="T384" s="142">
        <f>B384*IBGE_2!T$384/100</f>
        <v>177</v>
      </c>
      <c r="U384" s="142">
        <f>B384*IBGE_2!U$384/100</f>
        <v>0.13</v>
      </c>
      <c r="V384" s="142">
        <f>B384*IBGE_2!V$384/100</f>
        <v>1.1499999999999999</v>
      </c>
      <c r="W384" s="142" t="s">
        <v>3047</v>
      </c>
      <c r="X384" s="142">
        <f>B384*IBGE_2!X$384/100</f>
        <v>0.01</v>
      </c>
      <c r="Y384" s="142">
        <f>B384*IBGE_2!Y$384/100</f>
        <v>0.06</v>
      </c>
      <c r="Z384" s="142">
        <f>B384*IBGE_2!Z$384/100</f>
        <v>0.02</v>
      </c>
      <c r="AA384" s="142">
        <f>B384*IBGE_2!AA$384/100</f>
        <v>0.44</v>
      </c>
      <c r="AB384" s="142">
        <f>B384*IBGE_2!AB$384/100</f>
        <v>7.9</v>
      </c>
      <c r="AC384" s="142">
        <f>B384*IBGE_2!AC$384/100</f>
        <v>0.82</v>
      </c>
      <c r="AD384" s="142" t="s">
        <v>3047</v>
      </c>
      <c r="AE384" s="142">
        <f>B384*IBGE_2!AE$384/100</f>
        <v>39</v>
      </c>
      <c r="AF384" s="142" t="s">
        <v>3047</v>
      </c>
      <c r="AG384" s="142">
        <f>B384*IBGE_2!AG$384/100</f>
        <v>0.5</v>
      </c>
      <c r="AH384" s="142" t="s">
        <v>3047</v>
      </c>
      <c r="AI384" s="142" t="s">
        <v>3047</v>
      </c>
      <c r="AJ384" s="142">
        <f>B384*IBGE_2!AJ$384/100</f>
        <v>0.7</v>
      </c>
      <c r="AK384" s="145" t="s">
        <v>3047</v>
      </c>
      <c r="AL384" s="145" t="s">
        <v>3047</v>
      </c>
      <c r="AM384" s="145" t="s">
        <v>3047</v>
      </c>
      <c r="AN384" s="161"/>
    </row>
    <row r="385" spans="1:40">
      <c r="A385" s="143" t="s">
        <v>1444</v>
      </c>
      <c r="B385" s="141">
        <v>100</v>
      </c>
      <c r="C385" s="142">
        <f>B385*IBGE_2!C$385/100</f>
        <v>28</v>
      </c>
      <c r="D385" s="142">
        <f>B385*IBGE_2!D$385/100</f>
        <v>2.52</v>
      </c>
      <c r="E385" s="142">
        <f>B385*IBGE_2!E$385/100</f>
        <v>0.62</v>
      </c>
      <c r="F385" s="142">
        <f>B385*IBGE_2!F$385/100</f>
        <v>0.13</v>
      </c>
      <c r="G385" s="142">
        <f>B385*IBGE_2!G$385/100</f>
        <v>0.1</v>
      </c>
      <c r="H385" s="142">
        <f>B385*IBGE_2!H$385/100</f>
        <v>0.2</v>
      </c>
      <c r="I385" s="142">
        <f>B385*IBGE_2!I$385/100</f>
        <v>0.18</v>
      </c>
      <c r="J385" s="142">
        <f>B385*IBGE_2!J$385/100</f>
        <v>0.02</v>
      </c>
      <c r="K385" s="142" t="s">
        <v>3047</v>
      </c>
      <c r="L385" s="142">
        <f>B385*IBGE_2!L$385/100</f>
        <v>4.62</v>
      </c>
      <c r="M385" s="142">
        <f>B385*IBGE_2!M$385/100</f>
        <v>2.4</v>
      </c>
      <c r="N385" s="142">
        <f>B385*IBGE_2!N$385/100</f>
        <v>58</v>
      </c>
      <c r="O385" s="142">
        <f>B385*IBGE_2!O$385/100</f>
        <v>38</v>
      </c>
      <c r="P385" s="142">
        <f>B385*IBGE_2!P$385/100</f>
        <v>1.39</v>
      </c>
      <c r="Q385" s="142">
        <f>B385*IBGE_2!Q$385/100</f>
        <v>65</v>
      </c>
      <c r="R385" s="142">
        <f>B385*IBGE_2!R$385/100</f>
        <v>3.13</v>
      </c>
      <c r="S385" s="142">
        <f>B385*IBGE_2!S$385/100</f>
        <v>426</v>
      </c>
      <c r="T385" s="142">
        <f>B385*IBGE_2!T$385/100</f>
        <v>177</v>
      </c>
      <c r="U385" s="142">
        <f>B385*IBGE_2!U$385/100</f>
        <v>0.13</v>
      </c>
      <c r="V385" s="142">
        <f>B385*IBGE_2!V$385/100</f>
        <v>1.1499999999999999</v>
      </c>
      <c r="W385" s="142" t="s">
        <v>3047</v>
      </c>
      <c r="X385" s="142">
        <f>B385*IBGE_2!X$385/100</f>
        <v>0.01</v>
      </c>
      <c r="Y385" s="142">
        <f>B385*IBGE_2!Y$385/100</f>
        <v>0.06</v>
      </c>
      <c r="Z385" s="142">
        <f>B385*IBGE_2!Z$385/100</f>
        <v>0.02</v>
      </c>
      <c r="AA385" s="142">
        <f>B385*IBGE_2!AA$385/100</f>
        <v>0.44</v>
      </c>
      <c r="AB385" s="142">
        <f>B385*IBGE_2!AB$385/100</f>
        <v>7.9</v>
      </c>
      <c r="AC385" s="142">
        <f>B385*IBGE_2!AC$385/100</f>
        <v>0.82</v>
      </c>
      <c r="AD385" s="142" t="s">
        <v>3047</v>
      </c>
      <c r="AE385" s="142">
        <f>B385*IBGE_2!AE$385/100</f>
        <v>39</v>
      </c>
      <c r="AF385" s="142" t="s">
        <v>3047</v>
      </c>
      <c r="AG385" s="142">
        <f>B385*IBGE_2!AG$385/100</f>
        <v>0.5</v>
      </c>
      <c r="AH385" s="142" t="s">
        <v>3047</v>
      </c>
      <c r="AI385" s="142" t="s">
        <v>3047</v>
      </c>
      <c r="AJ385" s="142">
        <f>B385*IBGE_2!AJ$385/100</f>
        <v>0.7</v>
      </c>
      <c r="AK385" s="145" t="s">
        <v>3047</v>
      </c>
      <c r="AL385" s="145" t="s">
        <v>3047</v>
      </c>
      <c r="AM385" s="145" t="s">
        <v>3047</v>
      </c>
      <c r="AN385" s="161"/>
    </row>
    <row r="386" spans="1:40">
      <c r="A386" s="143" t="s">
        <v>1445</v>
      </c>
      <c r="B386" s="141">
        <v>100</v>
      </c>
      <c r="C386" s="142">
        <f>B386*IBGE_2!C$386/100</f>
        <v>28</v>
      </c>
      <c r="D386" s="142">
        <f>B386*IBGE_2!D$386/100</f>
        <v>2.52</v>
      </c>
      <c r="E386" s="142">
        <f>B386*IBGE_2!E$386/100</f>
        <v>0.62</v>
      </c>
      <c r="F386" s="142">
        <f>B386*IBGE_2!F$386/100</f>
        <v>0.13</v>
      </c>
      <c r="G386" s="142">
        <f>B386*IBGE_2!G$386/100</f>
        <v>0.1</v>
      </c>
      <c r="H386" s="142">
        <f>B386*IBGE_2!H$386/100</f>
        <v>0.2</v>
      </c>
      <c r="I386" s="142">
        <f>B386*IBGE_2!I$386/100</f>
        <v>0.18</v>
      </c>
      <c r="J386" s="142">
        <f>B386*IBGE_2!J$386/100</f>
        <v>0.02</v>
      </c>
      <c r="K386" s="142" t="s">
        <v>3047</v>
      </c>
      <c r="L386" s="142">
        <f>B386*IBGE_2!L$386/100</f>
        <v>4.62</v>
      </c>
      <c r="M386" s="142">
        <f>B386*IBGE_2!M$386/100</f>
        <v>2.4</v>
      </c>
      <c r="N386" s="142">
        <f>B386*IBGE_2!N$386/100</f>
        <v>58</v>
      </c>
      <c r="O386" s="142">
        <f>B386*IBGE_2!O$386/100</f>
        <v>38</v>
      </c>
      <c r="P386" s="142">
        <f>B386*IBGE_2!P$386/100</f>
        <v>1.39</v>
      </c>
      <c r="Q386" s="142">
        <f>B386*IBGE_2!Q$386/100</f>
        <v>65</v>
      </c>
      <c r="R386" s="142">
        <f>B386*IBGE_2!R$386/100</f>
        <v>3.13</v>
      </c>
      <c r="S386" s="142">
        <f>B386*IBGE_2!S$386/100</f>
        <v>426</v>
      </c>
      <c r="T386" s="142">
        <f>B386*IBGE_2!T$386/100</f>
        <v>177</v>
      </c>
      <c r="U386" s="142">
        <f>B386*IBGE_2!U$386/100</f>
        <v>0.13</v>
      </c>
      <c r="V386" s="142">
        <f>B386*IBGE_2!V$386/100</f>
        <v>1.1499999999999999</v>
      </c>
      <c r="W386" s="142" t="s">
        <v>3047</v>
      </c>
      <c r="X386" s="142">
        <f>B386*IBGE_2!X$386/100</f>
        <v>0.01</v>
      </c>
      <c r="Y386" s="142">
        <f>B386*IBGE_2!Y$386/100</f>
        <v>0.06</v>
      </c>
      <c r="Z386" s="142">
        <f>B386*IBGE_2!Z$386/100</f>
        <v>0.02</v>
      </c>
      <c r="AA386" s="142">
        <f>B386*IBGE_2!AA$386/100</f>
        <v>0.44</v>
      </c>
      <c r="AB386" s="142">
        <f>B386*IBGE_2!AB$386/100</f>
        <v>7.9</v>
      </c>
      <c r="AC386" s="142">
        <f>B386*IBGE_2!AC$386/100</f>
        <v>0.82</v>
      </c>
      <c r="AD386" s="142" t="s">
        <v>3047</v>
      </c>
      <c r="AE386" s="142">
        <f>B386*IBGE_2!AE$386/100</f>
        <v>39</v>
      </c>
      <c r="AF386" s="142" t="s">
        <v>3047</v>
      </c>
      <c r="AG386" s="142">
        <f>B386*IBGE_2!AG$386/100</f>
        <v>0.5</v>
      </c>
      <c r="AH386" s="142" t="s">
        <v>3047</v>
      </c>
      <c r="AI386" s="142" t="s">
        <v>3047</v>
      </c>
      <c r="AJ386" s="142">
        <f>B386*IBGE_2!AJ$386/100</f>
        <v>0.7</v>
      </c>
      <c r="AK386" s="145" t="s">
        <v>3047</v>
      </c>
      <c r="AL386" s="145" t="s">
        <v>3047</v>
      </c>
      <c r="AM386" s="145" t="s">
        <v>3047</v>
      </c>
      <c r="AN386" s="161"/>
    </row>
    <row r="387" spans="1:40">
      <c r="A387" s="143" t="s">
        <v>1446</v>
      </c>
      <c r="B387" s="141">
        <v>100</v>
      </c>
      <c r="C387" s="142">
        <f>B387*IBGE_2!C$387/100</f>
        <v>28</v>
      </c>
      <c r="D387" s="142">
        <f>B387*IBGE_2!D$387/100</f>
        <v>2.52</v>
      </c>
      <c r="E387" s="142">
        <f>B387*IBGE_2!E$387/100</f>
        <v>0.62</v>
      </c>
      <c r="F387" s="142">
        <f>B387*IBGE_2!F$387/100</f>
        <v>0.13</v>
      </c>
      <c r="G387" s="142">
        <f>B387*IBGE_2!G$387/100</f>
        <v>0.1</v>
      </c>
      <c r="H387" s="142">
        <f>B387*IBGE_2!H$387/100</f>
        <v>0.2</v>
      </c>
      <c r="I387" s="142">
        <f>B387*IBGE_2!I$387/100</f>
        <v>0.18</v>
      </c>
      <c r="J387" s="142">
        <f>B387*IBGE_2!J$387/100</f>
        <v>0.02</v>
      </c>
      <c r="K387" s="142" t="s">
        <v>3047</v>
      </c>
      <c r="L387" s="142">
        <f>B387*IBGE_2!L$387/100</f>
        <v>4.62</v>
      </c>
      <c r="M387" s="142">
        <f>B387*IBGE_2!M$387/100</f>
        <v>2.4</v>
      </c>
      <c r="N387" s="142">
        <f>B387*IBGE_2!N$387/100</f>
        <v>58</v>
      </c>
      <c r="O387" s="142">
        <f>B387*IBGE_2!O$387/100</f>
        <v>38</v>
      </c>
      <c r="P387" s="142">
        <f>B387*IBGE_2!P$387/100</f>
        <v>1.39</v>
      </c>
      <c r="Q387" s="142">
        <f>B387*IBGE_2!Q$387/100</f>
        <v>65</v>
      </c>
      <c r="R387" s="142">
        <f>B387*IBGE_2!R$387/100</f>
        <v>3.13</v>
      </c>
      <c r="S387" s="142">
        <f>B387*IBGE_2!S$387/100</f>
        <v>426</v>
      </c>
      <c r="T387" s="142">
        <f>B387*IBGE_2!T$387/100</f>
        <v>177</v>
      </c>
      <c r="U387" s="142">
        <f>B387*IBGE_2!U$387/100</f>
        <v>0.13</v>
      </c>
      <c r="V387" s="142">
        <f>B387*IBGE_2!V$387/100</f>
        <v>1.1499999999999999</v>
      </c>
      <c r="W387" s="142" t="s">
        <v>3047</v>
      </c>
      <c r="X387" s="142">
        <f>B387*IBGE_2!X$387/100</f>
        <v>0.01</v>
      </c>
      <c r="Y387" s="142">
        <f>B387*IBGE_2!Y$387/100</f>
        <v>0.06</v>
      </c>
      <c r="Z387" s="142">
        <f>B387*IBGE_2!Z$387/100</f>
        <v>0.02</v>
      </c>
      <c r="AA387" s="142">
        <f>B387*IBGE_2!AA$387/100</f>
        <v>0.44</v>
      </c>
      <c r="AB387" s="142">
        <f>B387*IBGE_2!AB$387/100</f>
        <v>7.9</v>
      </c>
      <c r="AC387" s="142">
        <f>B387*IBGE_2!AC$387/100</f>
        <v>0.82</v>
      </c>
      <c r="AD387" s="142" t="s">
        <v>3047</v>
      </c>
      <c r="AE387" s="142">
        <f>B387*IBGE_2!AE$387/100</f>
        <v>39</v>
      </c>
      <c r="AF387" s="142" t="s">
        <v>3047</v>
      </c>
      <c r="AG387" s="142">
        <f>B387*IBGE_2!AG$387/100</f>
        <v>0.5</v>
      </c>
      <c r="AH387" s="142" t="s">
        <v>3047</v>
      </c>
      <c r="AI387" s="142" t="s">
        <v>3047</v>
      </c>
      <c r="AJ387" s="142">
        <f>B387*IBGE_2!AJ$387/100</f>
        <v>0.7</v>
      </c>
      <c r="AK387" s="145" t="s">
        <v>3047</v>
      </c>
      <c r="AL387" s="145" t="s">
        <v>3047</v>
      </c>
      <c r="AM387" s="145" t="s">
        <v>3047</v>
      </c>
      <c r="AN387" s="161"/>
    </row>
    <row r="388" spans="1:40">
      <c r="A388" s="143" t="s">
        <v>1447</v>
      </c>
      <c r="B388" s="141">
        <v>100</v>
      </c>
      <c r="C388" s="142">
        <f>B388*IBGE_2!C$388/100</f>
        <v>28</v>
      </c>
      <c r="D388" s="142">
        <f>B388*IBGE_2!D$388/100</f>
        <v>2.52</v>
      </c>
      <c r="E388" s="142">
        <f>B388*IBGE_2!E$388/100</f>
        <v>0.62</v>
      </c>
      <c r="F388" s="142">
        <f>B388*IBGE_2!F$388/100</f>
        <v>0.13</v>
      </c>
      <c r="G388" s="142">
        <f>B388*IBGE_2!G$388/100</f>
        <v>0.1</v>
      </c>
      <c r="H388" s="142">
        <f>B388*IBGE_2!H$388/100</f>
        <v>0.2</v>
      </c>
      <c r="I388" s="142">
        <f>B388*IBGE_2!I$388/100</f>
        <v>0.18</v>
      </c>
      <c r="J388" s="142">
        <f>B388*IBGE_2!J$388/100</f>
        <v>0.02</v>
      </c>
      <c r="K388" s="142" t="s">
        <v>3047</v>
      </c>
      <c r="L388" s="142">
        <f>B388*IBGE_2!L$388/100</f>
        <v>4.62</v>
      </c>
      <c r="M388" s="142">
        <f>B388*IBGE_2!M$388/100</f>
        <v>2.4</v>
      </c>
      <c r="N388" s="142">
        <f>B388*IBGE_2!N$388/100</f>
        <v>58</v>
      </c>
      <c r="O388" s="142">
        <f>B388*IBGE_2!O$388/100</f>
        <v>38</v>
      </c>
      <c r="P388" s="142">
        <f>B388*IBGE_2!P$388/100</f>
        <v>1.39</v>
      </c>
      <c r="Q388" s="142">
        <f>B388*IBGE_2!Q$388/100</f>
        <v>65</v>
      </c>
      <c r="R388" s="142">
        <f>B388*IBGE_2!R$388/100</f>
        <v>3.13</v>
      </c>
      <c r="S388" s="142">
        <f>B388*IBGE_2!S$388/100</f>
        <v>426</v>
      </c>
      <c r="T388" s="142">
        <f>B388*IBGE_2!T$388/100</f>
        <v>177</v>
      </c>
      <c r="U388" s="142">
        <f>B388*IBGE_2!U$388/100</f>
        <v>0.13</v>
      </c>
      <c r="V388" s="142">
        <f>B388*IBGE_2!V$388/100</f>
        <v>1.1499999999999999</v>
      </c>
      <c r="W388" s="142" t="s">
        <v>3047</v>
      </c>
      <c r="X388" s="142">
        <f>B388*IBGE_2!X$388/100</f>
        <v>0.01</v>
      </c>
      <c r="Y388" s="142">
        <f>B388*IBGE_2!Y$388/100</f>
        <v>0.06</v>
      </c>
      <c r="Z388" s="142">
        <f>B388*IBGE_2!Z$388/100</f>
        <v>0.02</v>
      </c>
      <c r="AA388" s="142">
        <f>B388*IBGE_2!AA$388/100</f>
        <v>0.44</v>
      </c>
      <c r="AB388" s="142">
        <f>B388*IBGE_2!AB$388/100</f>
        <v>7.9</v>
      </c>
      <c r="AC388" s="142">
        <f>B388*IBGE_2!AC$388/100</f>
        <v>0.82</v>
      </c>
      <c r="AD388" s="142" t="s">
        <v>3047</v>
      </c>
      <c r="AE388" s="142">
        <f>B388*IBGE_2!AE$388/100</f>
        <v>39</v>
      </c>
      <c r="AF388" s="142" t="s">
        <v>3047</v>
      </c>
      <c r="AG388" s="142">
        <f>B388*IBGE_2!AG$388/100</f>
        <v>0.5</v>
      </c>
      <c r="AH388" s="142" t="s">
        <v>3047</v>
      </c>
      <c r="AI388" s="142" t="s">
        <v>3047</v>
      </c>
      <c r="AJ388" s="142">
        <f>B388*IBGE_2!AJ$388/100</f>
        <v>0.7</v>
      </c>
      <c r="AK388" s="145" t="s">
        <v>3047</v>
      </c>
      <c r="AL388" s="145" t="s">
        <v>3047</v>
      </c>
      <c r="AM388" s="145" t="s">
        <v>3047</v>
      </c>
      <c r="AN388" s="161"/>
    </row>
    <row r="389" spans="1:40">
      <c r="A389" s="143" t="s">
        <v>1448</v>
      </c>
      <c r="B389" s="141">
        <v>100</v>
      </c>
      <c r="C389" s="142">
        <f>B389*IBGE_2!C$389/100</f>
        <v>28</v>
      </c>
      <c r="D389" s="142">
        <f>B389*IBGE_2!D$389/100</f>
        <v>2.52</v>
      </c>
      <c r="E389" s="142">
        <f>B389*IBGE_2!E$389/100</f>
        <v>0.62</v>
      </c>
      <c r="F389" s="142">
        <f>B389*IBGE_2!F$389/100</f>
        <v>0.13</v>
      </c>
      <c r="G389" s="142">
        <f>B389*IBGE_2!G$389/100</f>
        <v>0.1</v>
      </c>
      <c r="H389" s="142">
        <f>B389*IBGE_2!H$389/100</f>
        <v>0.2</v>
      </c>
      <c r="I389" s="142">
        <f>B389*IBGE_2!I$389/100</f>
        <v>0.18</v>
      </c>
      <c r="J389" s="142">
        <f>B389*IBGE_2!J$389/100</f>
        <v>0.02</v>
      </c>
      <c r="K389" s="142" t="s">
        <v>3047</v>
      </c>
      <c r="L389" s="142">
        <f>B389*IBGE_2!L$389/100</f>
        <v>4.62</v>
      </c>
      <c r="M389" s="142">
        <f>B389*IBGE_2!M$389/100</f>
        <v>2.4</v>
      </c>
      <c r="N389" s="142">
        <f>B389*IBGE_2!N$389/100</f>
        <v>58</v>
      </c>
      <c r="O389" s="142">
        <f>B389*IBGE_2!O$389/100</f>
        <v>38</v>
      </c>
      <c r="P389" s="142">
        <f>B389*IBGE_2!P$389/100</f>
        <v>1.39</v>
      </c>
      <c r="Q389" s="142">
        <f>B389*IBGE_2!Q$389/100</f>
        <v>65</v>
      </c>
      <c r="R389" s="142">
        <f>B389*IBGE_2!R$389/100</f>
        <v>3.13</v>
      </c>
      <c r="S389" s="142">
        <f>B389*IBGE_2!S$389/100</f>
        <v>426</v>
      </c>
      <c r="T389" s="142">
        <f>B389*IBGE_2!T$389/100</f>
        <v>177</v>
      </c>
      <c r="U389" s="142">
        <f>B389*IBGE_2!U$389/100</f>
        <v>0.13</v>
      </c>
      <c r="V389" s="142">
        <f>B389*IBGE_2!V$389/100</f>
        <v>1.1499999999999999</v>
      </c>
      <c r="W389" s="142" t="s">
        <v>3047</v>
      </c>
      <c r="X389" s="142">
        <f>B389*IBGE_2!X$389/100</f>
        <v>0.01</v>
      </c>
      <c r="Y389" s="142">
        <f>B389*IBGE_2!Y$389/100</f>
        <v>0.06</v>
      </c>
      <c r="Z389" s="142">
        <f>B389*IBGE_2!Z$389/100</f>
        <v>0.02</v>
      </c>
      <c r="AA389" s="142">
        <f>B389*IBGE_2!AA$389/100</f>
        <v>0.44</v>
      </c>
      <c r="AB389" s="142">
        <f>B389*IBGE_2!AB$389/100</f>
        <v>7.9</v>
      </c>
      <c r="AC389" s="142">
        <f>B389*IBGE_2!AC$389/100</f>
        <v>0.82</v>
      </c>
      <c r="AD389" s="142" t="s">
        <v>3047</v>
      </c>
      <c r="AE389" s="142">
        <f>B389*IBGE_2!AE$389/100</f>
        <v>39</v>
      </c>
      <c r="AF389" s="142" t="s">
        <v>3047</v>
      </c>
      <c r="AG389" s="142">
        <f>B389*IBGE_2!AG$389/100</f>
        <v>0.5</v>
      </c>
      <c r="AH389" s="142" t="s">
        <v>3047</v>
      </c>
      <c r="AI389" s="142" t="s">
        <v>3047</v>
      </c>
      <c r="AJ389" s="142">
        <f>B389*IBGE_2!AJ$389/100</f>
        <v>0.7</v>
      </c>
      <c r="AK389" s="145" t="s">
        <v>3047</v>
      </c>
      <c r="AL389" s="145" t="s">
        <v>3047</v>
      </c>
      <c r="AM389" s="145" t="s">
        <v>3047</v>
      </c>
      <c r="AN389" s="161"/>
    </row>
    <row r="390" spans="1:40">
      <c r="A390" s="143" t="s">
        <v>1449</v>
      </c>
      <c r="B390" s="141">
        <v>100</v>
      </c>
      <c r="C390" s="142">
        <f>B390*IBGE_2!C$390/100</f>
        <v>28</v>
      </c>
      <c r="D390" s="142">
        <f>B390*IBGE_2!D$390/100</f>
        <v>2.52</v>
      </c>
      <c r="E390" s="142">
        <f>B390*IBGE_2!E$390/100</f>
        <v>0.62</v>
      </c>
      <c r="F390" s="142">
        <f>B390*IBGE_2!F$390/100</f>
        <v>0.13</v>
      </c>
      <c r="G390" s="142">
        <f>B390*IBGE_2!G$390/100</f>
        <v>0.1</v>
      </c>
      <c r="H390" s="142">
        <f>B390*IBGE_2!H$390/100</f>
        <v>0.2</v>
      </c>
      <c r="I390" s="142">
        <f>B390*IBGE_2!I$390/100</f>
        <v>0.18</v>
      </c>
      <c r="J390" s="142">
        <f>B390*IBGE_2!J$390/100</f>
        <v>0.02</v>
      </c>
      <c r="K390" s="142" t="s">
        <v>3047</v>
      </c>
      <c r="L390" s="142">
        <f>B390*IBGE_2!L$390/100</f>
        <v>4.62</v>
      </c>
      <c r="M390" s="142">
        <f>B390*IBGE_2!M$390/100</f>
        <v>2.4</v>
      </c>
      <c r="N390" s="142">
        <f>B390*IBGE_2!N$390/100</f>
        <v>58</v>
      </c>
      <c r="O390" s="142">
        <f>B390*IBGE_2!O$390/100</f>
        <v>38</v>
      </c>
      <c r="P390" s="142">
        <f>B390*IBGE_2!P$390/100</f>
        <v>1.39</v>
      </c>
      <c r="Q390" s="142">
        <f>B390*IBGE_2!Q$390/100</f>
        <v>65</v>
      </c>
      <c r="R390" s="142">
        <f>B390*IBGE_2!R$390/100</f>
        <v>3.13</v>
      </c>
      <c r="S390" s="142">
        <f>B390*IBGE_2!S$390/100</f>
        <v>426</v>
      </c>
      <c r="T390" s="142">
        <f>B390*IBGE_2!T$390/100</f>
        <v>177</v>
      </c>
      <c r="U390" s="142">
        <f>B390*IBGE_2!U$390/100</f>
        <v>0.13</v>
      </c>
      <c r="V390" s="142">
        <f>B390*IBGE_2!V$390/100</f>
        <v>1.1499999999999999</v>
      </c>
      <c r="W390" s="142" t="s">
        <v>3047</v>
      </c>
      <c r="X390" s="142">
        <f>B390*IBGE_2!X$390/100</f>
        <v>0.01</v>
      </c>
      <c r="Y390" s="142">
        <f>B390*IBGE_2!Y$390/100</f>
        <v>0.06</v>
      </c>
      <c r="Z390" s="142">
        <f>B390*IBGE_2!Z$390/100</f>
        <v>0.02</v>
      </c>
      <c r="AA390" s="142">
        <f>B390*IBGE_2!AA$390/100</f>
        <v>0.44</v>
      </c>
      <c r="AB390" s="142">
        <f>B390*IBGE_2!AB$390/100</f>
        <v>7.9</v>
      </c>
      <c r="AC390" s="142">
        <f>B390*IBGE_2!AC$390/100</f>
        <v>0.82</v>
      </c>
      <c r="AD390" s="142" t="s">
        <v>3047</v>
      </c>
      <c r="AE390" s="142">
        <f>B390*IBGE_2!AE$390/100</f>
        <v>39</v>
      </c>
      <c r="AF390" s="142" t="s">
        <v>3047</v>
      </c>
      <c r="AG390" s="142">
        <f>B390*IBGE_2!AG$390/100</f>
        <v>0.5</v>
      </c>
      <c r="AH390" s="142" t="s">
        <v>3047</v>
      </c>
      <c r="AI390" s="142" t="s">
        <v>3047</v>
      </c>
      <c r="AJ390" s="142">
        <f>B390*IBGE_2!AJ$390/100</f>
        <v>0.7</v>
      </c>
      <c r="AK390" s="145" t="s">
        <v>3047</v>
      </c>
      <c r="AL390" s="145" t="s">
        <v>3047</v>
      </c>
      <c r="AM390" s="145" t="s">
        <v>3047</v>
      </c>
      <c r="AN390" s="161"/>
    </row>
    <row r="391" spans="1:40">
      <c r="A391" s="143" t="s">
        <v>1450</v>
      </c>
      <c r="B391" s="141">
        <v>100</v>
      </c>
      <c r="C391" s="142">
        <f>B391*IBGE_2!C$391/100</f>
        <v>28</v>
      </c>
      <c r="D391" s="142">
        <f>B391*IBGE_2!D$391/100</f>
        <v>2.52</v>
      </c>
      <c r="E391" s="142">
        <f>B391*IBGE_2!E$391/100</f>
        <v>0.62</v>
      </c>
      <c r="F391" s="142">
        <f>B391*IBGE_2!F$391/100</f>
        <v>0.13</v>
      </c>
      <c r="G391" s="142">
        <f>B391*IBGE_2!G$391/100</f>
        <v>0.1</v>
      </c>
      <c r="H391" s="142">
        <f>B391*IBGE_2!H$391/100</f>
        <v>0.2</v>
      </c>
      <c r="I391" s="142">
        <f>B391*IBGE_2!I$391/100</f>
        <v>0.18</v>
      </c>
      <c r="J391" s="142">
        <f>B391*IBGE_2!J$391/100</f>
        <v>0.02</v>
      </c>
      <c r="K391" s="142" t="s">
        <v>3047</v>
      </c>
      <c r="L391" s="142">
        <f>B391*IBGE_2!L$391/100</f>
        <v>4.62</v>
      </c>
      <c r="M391" s="142">
        <f>B391*IBGE_2!M$391/100</f>
        <v>2.4</v>
      </c>
      <c r="N391" s="142">
        <f>B391*IBGE_2!N$391/100</f>
        <v>58</v>
      </c>
      <c r="O391" s="142">
        <f>B391*IBGE_2!O$391/100</f>
        <v>38</v>
      </c>
      <c r="P391" s="142">
        <f>B391*IBGE_2!P$391/100</f>
        <v>1.39</v>
      </c>
      <c r="Q391" s="142">
        <f>B391*IBGE_2!Q$391/100</f>
        <v>65</v>
      </c>
      <c r="R391" s="142">
        <f>B391*IBGE_2!R$391/100</f>
        <v>3.13</v>
      </c>
      <c r="S391" s="142">
        <f>B391*IBGE_2!S$391/100</f>
        <v>426</v>
      </c>
      <c r="T391" s="142">
        <f>B391*IBGE_2!T$391/100</f>
        <v>177</v>
      </c>
      <c r="U391" s="142">
        <f>B391*IBGE_2!U$391/100</f>
        <v>0.13</v>
      </c>
      <c r="V391" s="142">
        <f>B391*IBGE_2!V$391/100</f>
        <v>1.1499999999999999</v>
      </c>
      <c r="W391" s="142" t="s">
        <v>3047</v>
      </c>
      <c r="X391" s="142">
        <f>B391*IBGE_2!X$391/100</f>
        <v>0.01</v>
      </c>
      <c r="Y391" s="142">
        <f>B391*IBGE_2!Y$391/100</f>
        <v>0.06</v>
      </c>
      <c r="Z391" s="142">
        <f>B391*IBGE_2!Z$391/100</f>
        <v>0.02</v>
      </c>
      <c r="AA391" s="142">
        <f>B391*IBGE_2!AA$391/100</f>
        <v>0.44</v>
      </c>
      <c r="AB391" s="142">
        <f>B391*IBGE_2!AB$391/100</f>
        <v>7.9</v>
      </c>
      <c r="AC391" s="142">
        <f>B391*IBGE_2!AC$391/100</f>
        <v>0.82</v>
      </c>
      <c r="AD391" s="142" t="s">
        <v>3047</v>
      </c>
      <c r="AE391" s="142">
        <f>B391*IBGE_2!AE$391/100</f>
        <v>39</v>
      </c>
      <c r="AF391" s="142" t="s">
        <v>3047</v>
      </c>
      <c r="AG391" s="142">
        <f>B391*IBGE_2!AG$391/100</f>
        <v>0.5</v>
      </c>
      <c r="AH391" s="142" t="s">
        <v>3047</v>
      </c>
      <c r="AI391" s="145" t="s">
        <v>3047</v>
      </c>
      <c r="AJ391" s="142">
        <f>B391*IBGE_2!AJ$391/100</f>
        <v>0.7</v>
      </c>
      <c r="AK391" s="145" t="s">
        <v>3047</v>
      </c>
      <c r="AL391" s="145" t="s">
        <v>3047</v>
      </c>
      <c r="AM391" s="145" t="s">
        <v>3047</v>
      </c>
      <c r="AN391" s="161"/>
    </row>
    <row r="392" spans="1:40">
      <c r="A392" s="143" t="s">
        <v>1451</v>
      </c>
      <c r="B392" s="141">
        <v>100</v>
      </c>
      <c r="C392" s="142">
        <f>B392*IBGE_2!C$392/100</f>
        <v>20</v>
      </c>
      <c r="D392" s="142">
        <f>B392*IBGE_2!D$392/100</f>
        <v>0.86</v>
      </c>
      <c r="E392" s="142">
        <f>B392*IBGE_2!E$392/100</f>
        <v>0.17</v>
      </c>
      <c r="F392" s="142">
        <f>B392*IBGE_2!F$392/100</f>
        <v>0.06</v>
      </c>
      <c r="G392" s="142">
        <f>B392*IBGE_2!G$392/100</f>
        <v>0.01</v>
      </c>
      <c r="H392" s="142">
        <f>B392*IBGE_2!H$392/100</f>
        <v>0.06</v>
      </c>
      <c r="I392" s="142">
        <f>B392*IBGE_2!I$392/100</f>
        <v>0.05</v>
      </c>
      <c r="J392" s="142">
        <f>B392*IBGE_2!J$392/100</f>
        <v>0.01</v>
      </c>
      <c r="K392" s="142" t="s">
        <v>3047</v>
      </c>
      <c r="L392" s="142">
        <f>B392*IBGE_2!L$392/100</f>
        <v>4.6399999999999997</v>
      </c>
      <c r="M392" s="142">
        <f>B392*IBGE_2!M$392/100</f>
        <v>1.7</v>
      </c>
      <c r="N392" s="142">
        <f>B392*IBGE_2!N$392/100</f>
        <v>10</v>
      </c>
      <c r="O392" s="142">
        <f>B392*IBGE_2!O$392/100</f>
        <v>10</v>
      </c>
      <c r="P392" s="142">
        <f>B392*IBGE_2!P$392/100</f>
        <v>0.12</v>
      </c>
      <c r="Q392" s="142">
        <f>B392*IBGE_2!Q$392/100</f>
        <v>20</v>
      </c>
      <c r="R392" s="142">
        <f>B392*IBGE_2!R$392/100</f>
        <v>0.34</v>
      </c>
      <c r="S392" s="142">
        <f>B392*IBGE_2!S$392/100</f>
        <v>3</v>
      </c>
      <c r="T392" s="142">
        <f>B392*IBGE_2!T$392/100</f>
        <v>175</v>
      </c>
      <c r="U392" s="142">
        <f>B392*IBGE_2!U$392/100</f>
        <v>7.0000000000000007E-2</v>
      </c>
      <c r="V392" s="142">
        <f>B392*IBGE_2!V$392/100</f>
        <v>0.13</v>
      </c>
      <c r="W392" s="142" t="s">
        <v>3047</v>
      </c>
      <c r="X392" s="142">
        <f>B392*IBGE_2!X$392/100</f>
        <v>0.06</v>
      </c>
      <c r="Y392" s="142">
        <f>B392*IBGE_2!Y$392/100</f>
        <v>0.03</v>
      </c>
      <c r="Z392" s="142">
        <f>B392*IBGE_2!Z$392/100</f>
        <v>0.22</v>
      </c>
      <c r="AA392" s="142">
        <f>B392*IBGE_2!AA$392/100</f>
        <v>0.48</v>
      </c>
      <c r="AB392" s="142">
        <f>B392*IBGE_2!AB$392/100</f>
        <v>80.400000000000006</v>
      </c>
      <c r="AC392" s="142">
        <f>B392*IBGE_2!AC$392/100</f>
        <v>0.68</v>
      </c>
      <c r="AD392" s="142" t="s">
        <v>3047</v>
      </c>
      <c r="AE392" s="142">
        <f>B392*IBGE_2!AE$392/100</f>
        <v>10</v>
      </c>
      <c r="AF392" s="142" t="s">
        <v>3047</v>
      </c>
      <c r="AG392" s="142">
        <f>B392*IBGE_2!AG$392/100</f>
        <v>0.08</v>
      </c>
      <c r="AH392" s="142" t="s">
        <v>3047</v>
      </c>
      <c r="AI392" s="145" t="s">
        <v>3047</v>
      </c>
      <c r="AJ392" s="145" t="s">
        <v>3047</v>
      </c>
      <c r="AK392" s="142">
        <f>B392*IBGE_2!AK$392/100</f>
        <v>18.5</v>
      </c>
      <c r="AL392" s="142">
        <f>B392*IBGE_2!AL$392/100</f>
        <v>2.39</v>
      </c>
      <c r="AM392" s="145" t="s">
        <v>3047</v>
      </c>
      <c r="AN392" s="161"/>
    </row>
    <row r="393" spans="1:40">
      <c r="A393" s="143" t="s">
        <v>1452</v>
      </c>
      <c r="B393" s="141">
        <v>100</v>
      </c>
      <c r="C393" s="142">
        <f>B393*IBGE_2!C$393/100</f>
        <v>22</v>
      </c>
      <c r="D393" s="142">
        <f>B393*IBGE_2!D$393/100</f>
        <v>1.87</v>
      </c>
      <c r="E393" s="142">
        <f>B393*IBGE_2!E$393/100</f>
        <v>0.21</v>
      </c>
      <c r="F393" s="142">
        <f>B393*IBGE_2!F$393/100</f>
        <v>4.4999999999999998E-2</v>
      </c>
      <c r="G393" s="142">
        <f>B393*IBGE_2!G$393/100</f>
        <v>2.8000000000000004E-2</v>
      </c>
      <c r="H393" s="142">
        <f>B393*IBGE_2!H$393/100</f>
        <v>4.5999999999999999E-2</v>
      </c>
      <c r="I393" s="142">
        <f>B393*IBGE_2!I$393/100</f>
        <v>4.4999999999999998E-2</v>
      </c>
      <c r="J393" s="142">
        <f>B393*IBGE_2!J$393/100</f>
        <v>1E-3</v>
      </c>
      <c r="K393" s="142" t="s">
        <v>3047</v>
      </c>
      <c r="L393" s="142">
        <f>B393*IBGE_2!L$393/100</f>
        <v>4.51</v>
      </c>
      <c r="M393" s="142">
        <f>B393*IBGE_2!M$393/100</f>
        <v>2.5</v>
      </c>
      <c r="N393" s="142">
        <f>B393*IBGE_2!N$393/100</f>
        <v>77</v>
      </c>
      <c r="O393" s="142">
        <f>B393*IBGE_2!O$393/100</f>
        <v>36</v>
      </c>
      <c r="P393" s="142">
        <f>B393*IBGE_2!P$393/100</f>
        <v>0.29399999999999998</v>
      </c>
      <c r="Q393" s="142">
        <f>B393*IBGE_2!Q$393/100</f>
        <v>32</v>
      </c>
      <c r="R393" s="142">
        <f>B393*IBGE_2!R$393/100</f>
        <v>0.28000000000000003</v>
      </c>
      <c r="S393" s="142">
        <f>B393*IBGE_2!S$393/100</f>
        <v>6</v>
      </c>
      <c r="T393" s="142">
        <f>B393*IBGE_2!T$393/100</f>
        <v>135</v>
      </c>
      <c r="U393" s="142">
        <f>B393*IBGE_2!U$393/100</f>
        <v>8.5000000000000006E-2</v>
      </c>
      <c r="V393" s="142">
        <f>B393*IBGE_2!V$393/100</f>
        <v>0.43</v>
      </c>
      <c r="W393" s="142" t="s">
        <v>3047</v>
      </c>
      <c r="X393" s="142">
        <f>B393*IBGE_2!X$393/100</f>
        <v>0.13200000000000001</v>
      </c>
      <c r="Y393" s="142">
        <f>B393*IBGE_2!Y$393/100</f>
        <v>5.5E-2</v>
      </c>
      <c r="Z393" s="142">
        <f>B393*IBGE_2!Z$393/100</f>
        <v>0.187</v>
      </c>
      <c r="AA393" s="142">
        <f>B393*IBGE_2!AA$393/100</f>
        <v>0.871</v>
      </c>
      <c r="AB393" s="142">
        <f>B393*IBGE_2!AB$393/100</f>
        <v>16.3</v>
      </c>
      <c r="AC393" s="142">
        <f>B393*IBGE_2!AC$393/100</f>
        <v>1.1379999999999999</v>
      </c>
      <c r="AD393" s="142" t="s">
        <v>3047</v>
      </c>
      <c r="AE393" s="142">
        <f>B393*IBGE_2!AE$393/100</f>
        <v>46</v>
      </c>
      <c r="AF393" s="142" t="s">
        <v>3047</v>
      </c>
      <c r="AG393" s="142">
        <f>B393*IBGE_2!AG$393/100</f>
        <v>0.27</v>
      </c>
      <c r="AH393" s="142" t="s">
        <v>3047</v>
      </c>
      <c r="AI393" s="142">
        <f>B393*IBGE_2!AI$393/100</f>
        <v>236</v>
      </c>
      <c r="AJ393" s="142">
        <f>B393*IBGE_2!AJ$393/100</f>
        <v>0.4</v>
      </c>
      <c r="AK393" s="142">
        <f>B393*IBGE_2!AK$393/100</f>
        <v>14.167</v>
      </c>
      <c r="AL393" s="142">
        <f>B393*IBGE_2!AL$393/100</f>
        <v>2.2549999999999999</v>
      </c>
      <c r="AM393" s="145" t="s">
        <v>3047</v>
      </c>
      <c r="AN393" s="161"/>
    </row>
    <row r="394" spans="1:40">
      <c r="A394" s="143" t="s">
        <v>1453</v>
      </c>
      <c r="B394" s="141">
        <v>100</v>
      </c>
      <c r="C394" s="142">
        <f>B394*IBGE_2!C$394/100</f>
        <v>22</v>
      </c>
      <c r="D394" s="142">
        <f>B394*IBGE_2!D$394/100</f>
        <v>1.87</v>
      </c>
      <c r="E394" s="142">
        <f>B394*IBGE_2!E$394/100</f>
        <v>0.21</v>
      </c>
      <c r="F394" s="142">
        <f>B394*IBGE_2!F$394/100</f>
        <v>4.4999999999999998E-2</v>
      </c>
      <c r="G394" s="142">
        <f>B394*IBGE_2!G$394/100</f>
        <v>2.8000000000000004E-2</v>
      </c>
      <c r="H394" s="142">
        <f>B394*IBGE_2!H$394/100</f>
        <v>4.5999999999999999E-2</v>
      </c>
      <c r="I394" s="142">
        <f>B394*IBGE_2!I$394/100</f>
        <v>4.4999999999999998E-2</v>
      </c>
      <c r="J394" s="142">
        <f>B394*IBGE_2!J$394/100</f>
        <v>1E-3</v>
      </c>
      <c r="K394" s="142" t="s">
        <v>3047</v>
      </c>
      <c r="L394" s="142">
        <f>B394*IBGE_2!L$394/100</f>
        <v>4.51</v>
      </c>
      <c r="M394" s="142">
        <f>B394*IBGE_2!M$394/100</f>
        <v>2.5</v>
      </c>
      <c r="N394" s="142">
        <f>B394*IBGE_2!N$394/100</f>
        <v>77</v>
      </c>
      <c r="O394" s="142">
        <f>B394*IBGE_2!O$394/100</f>
        <v>36</v>
      </c>
      <c r="P394" s="142">
        <f>B394*IBGE_2!P$394/100</f>
        <v>0.29399999999999998</v>
      </c>
      <c r="Q394" s="142">
        <f>B394*IBGE_2!Q$394/100</f>
        <v>32</v>
      </c>
      <c r="R394" s="142">
        <f>B394*IBGE_2!R$394/100</f>
        <v>0.28000000000000003</v>
      </c>
      <c r="S394" s="142">
        <f>B394*IBGE_2!S$394/100</f>
        <v>6</v>
      </c>
      <c r="T394" s="142">
        <f>B394*IBGE_2!T$394/100</f>
        <v>135</v>
      </c>
      <c r="U394" s="142">
        <f>B394*IBGE_2!U$394/100</f>
        <v>8.5000000000000006E-2</v>
      </c>
      <c r="V394" s="142">
        <f>B394*IBGE_2!V$394/100</f>
        <v>0.43</v>
      </c>
      <c r="W394" s="142" t="s">
        <v>3047</v>
      </c>
      <c r="X394" s="142">
        <f>B394*IBGE_2!X$394/100</f>
        <v>0.13200000000000001</v>
      </c>
      <c r="Y394" s="142">
        <f>B394*IBGE_2!Y$394/100</f>
        <v>5.5E-2</v>
      </c>
      <c r="Z394" s="142">
        <f>B394*IBGE_2!Z$394/100</f>
        <v>0.187</v>
      </c>
      <c r="AA394" s="142">
        <f>B394*IBGE_2!AA$394/100</f>
        <v>0.871</v>
      </c>
      <c r="AB394" s="142">
        <f>B394*IBGE_2!AB$394/100</f>
        <v>16.3</v>
      </c>
      <c r="AC394" s="142">
        <f>B394*IBGE_2!AC$394/100</f>
        <v>1.1379999999999999</v>
      </c>
      <c r="AD394" s="142" t="s">
        <v>3047</v>
      </c>
      <c r="AE394" s="142">
        <f>B394*IBGE_2!AE$394/100</f>
        <v>46</v>
      </c>
      <c r="AF394" s="142" t="s">
        <v>3047</v>
      </c>
      <c r="AG394" s="142">
        <f>B394*IBGE_2!AG$394/100</f>
        <v>0.27</v>
      </c>
      <c r="AH394" s="142" t="s">
        <v>3047</v>
      </c>
      <c r="AI394" s="142">
        <f>B394*IBGE_2!AI$394/100</f>
        <v>236</v>
      </c>
      <c r="AJ394" s="142">
        <f>B394*IBGE_2!AJ$394/100</f>
        <v>0.4</v>
      </c>
      <c r="AK394" s="142">
        <f>B394*IBGE_2!AK$394/100</f>
        <v>14.167</v>
      </c>
      <c r="AL394" s="142">
        <f>B394*IBGE_2!AL$394/100</f>
        <v>2.2549999999999999</v>
      </c>
      <c r="AM394" s="145" t="s">
        <v>3047</v>
      </c>
      <c r="AN394" s="161"/>
    </row>
    <row r="395" spans="1:40">
      <c r="A395" s="143" t="s">
        <v>1454</v>
      </c>
      <c r="B395" s="141">
        <v>100</v>
      </c>
      <c r="C395" s="142">
        <f>B395*IBGE_2!C$395/100</f>
        <v>47.093000000000004</v>
      </c>
      <c r="D395" s="142">
        <f>B395*IBGE_2!D$395/100</f>
        <v>1.87</v>
      </c>
      <c r="E395" s="142">
        <f>B395*IBGE_2!E$395/100</f>
        <v>3.0489999999999999</v>
      </c>
      <c r="F395" s="142">
        <f>B395*IBGE_2!F$395/100</f>
        <v>0.48899999999999999</v>
      </c>
      <c r="G395" s="142">
        <f>B395*IBGE_2!G$395/100</f>
        <v>0.67500000000000004</v>
      </c>
      <c r="H395" s="142">
        <f>B395*IBGE_2!H$395/100</f>
        <v>1.6850000000000001</v>
      </c>
      <c r="I395" s="142">
        <f>B395*IBGE_2!I$395/100</f>
        <v>1.4910000000000003</v>
      </c>
      <c r="J395" s="142">
        <f>B395*IBGE_2!J$395/100</f>
        <v>0.19400000000000003</v>
      </c>
      <c r="K395" s="142" t="s">
        <v>3047</v>
      </c>
      <c r="L395" s="142">
        <f>B395*IBGE_2!L$395/100</f>
        <v>4.51</v>
      </c>
      <c r="M395" s="142">
        <f>B395*IBGE_2!M$395/100</f>
        <v>2.5</v>
      </c>
      <c r="N395" s="142">
        <f>B395*IBGE_2!N$395/100</f>
        <v>77</v>
      </c>
      <c r="O395" s="142">
        <f>B395*IBGE_2!O$395/100</f>
        <v>36</v>
      </c>
      <c r="P395" s="142">
        <f>B395*IBGE_2!P$395/100</f>
        <v>0.29399999999999998</v>
      </c>
      <c r="Q395" s="142">
        <f>B395*IBGE_2!Q$395/100</f>
        <v>32</v>
      </c>
      <c r="R395" s="142">
        <f>B395*IBGE_2!R$395/100</f>
        <v>0.28100000000000003</v>
      </c>
      <c r="S395" s="142">
        <f>B395*IBGE_2!S$395/100</f>
        <v>6</v>
      </c>
      <c r="T395" s="142">
        <f>B395*IBGE_2!T$395/100</f>
        <v>135</v>
      </c>
      <c r="U395" s="142">
        <f>B395*IBGE_2!U$395/100</f>
        <v>8.5000000000000006E-2</v>
      </c>
      <c r="V395" s="142">
        <f>B395*IBGE_2!V$395/100</f>
        <v>0.43</v>
      </c>
      <c r="W395" s="142" t="s">
        <v>3047</v>
      </c>
      <c r="X395" s="142">
        <f>B395*IBGE_2!X$395/100</f>
        <v>0.13200000000000001</v>
      </c>
      <c r="Y395" s="142">
        <f>B395*IBGE_2!Y$395/100</f>
        <v>5.5E-2</v>
      </c>
      <c r="Z395" s="142">
        <f>B395*IBGE_2!Z$395/100</f>
        <v>0.187</v>
      </c>
      <c r="AA395" s="142">
        <f>B395*IBGE_2!AA$395/100</f>
        <v>0.871</v>
      </c>
      <c r="AB395" s="142">
        <f>B395*IBGE_2!AB$395/100</f>
        <v>16.3</v>
      </c>
      <c r="AC395" s="142">
        <f>B395*IBGE_2!AC$395/100</f>
        <v>1.1379999999999999</v>
      </c>
      <c r="AD395" s="142" t="s">
        <v>3047</v>
      </c>
      <c r="AE395" s="142">
        <f>B395*IBGE_2!AE$395/100</f>
        <v>46</v>
      </c>
      <c r="AF395" s="142" t="s">
        <v>3047</v>
      </c>
      <c r="AG395" s="142">
        <f>B395*IBGE_2!AG$395/100</f>
        <v>0.502</v>
      </c>
      <c r="AH395" s="142">
        <f>B395*IBGE_2!AH$395/100</f>
        <v>1.4999999999999999E-2</v>
      </c>
      <c r="AI395" s="142">
        <f>B395*IBGE_2!AI$395/100</f>
        <v>236</v>
      </c>
      <c r="AJ395" s="142">
        <f>B395*IBGE_2!AJ$395/100</f>
        <v>1.7009999999999998</v>
      </c>
      <c r="AK395" s="142">
        <f>B395*IBGE_2!AK$395/100</f>
        <v>14.167</v>
      </c>
      <c r="AL395" s="142">
        <f>B395*IBGE_2!AL$395/100</f>
        <v>2.2549999999999999</v>
      </c>
      <c r="AM395" s="145" t="s">
        <v>3047</v>
      </c>
      <c r="AN395" s="161"/>
    </row>
    <row r="396" spans="1:40">
      <c r="A396" s="143" t="s">
        <v>1455</v>
      </c>
      <c r="B396" s="141">
        <v>100</v>
      </c>
      <c r="C396" s="142">
        <f>B396*IBGE_2!C$396/100</f>
        <v>47.093000000000004</v>
      </c>
      <c r="D396" s="142">
        <f>B396*IBGE_2!D$396/100</f>
        <v>1.87</v>
      </c>
      <c r="E396" s="142">
        <f>B396*IBGE_2!E$396/100</f>
        <v>3.0489999999999999</v>
      </c>
      <c r="F396" s="142">
        <f>B396*IBGE_2!F$396/100</f>
        <v>0.48899999999999999</v>
      </c>
      <c r="G396" s="142">
        <f>B396*IBGE_2!G$396/100</f>
        <v>0.67500000000000004</v>
      </c>
      <c r="H396" s="142">
        <f>B396*IBGE_2!H$396/100</f>
        <v>1.6850000000000001</v>
      </c>
      <c r="I396" s="142">
        <f>B396*IBGE_2!I$396/100</f>
        <v>1.4910000000000003</v>
      </c>
      <c r="J396" s="142">
        <f>B396*IBGE_2!J$396/100</f>
        <v>0.19400000000000003</v>
      </c>
      <c r="K396" s="142" t="s">
        <v>3047</v>
      </c>
      <c r="L396" s="142">
        <f>B396*IBGE_2!L$396/100</f>
        <v>4.51</v>
      </c>
      <c r="M396" s="142">
        <f>B396*IBGE_2!M$396/100</f>
        <v>2.5</v>
      </c>
      <c r="N396" s="142">
        <f>B396*IBGE_2!N$396/100</f>
        <v>77</v>
      </c>
      <c r="O396" s="142">
        <f>B396*IBGE_2!O$396/100</f>
        <v>36</v>
      </c>
      <c r="P396" s="142">
        <f>B396*IBGE_2!P$396/100</f>
        <v>0.29399999999999998</v>
      </c>
      <c r="Q396" s="142">
        <f>B396*IBGE_2!Q$396/100</f>
        <v>32</v>
      </c>
      <c r="R396" s="142">
        <f>B396*IBGE_2!R$396/100</f>
        <v>0.28100000000000003</v>
      </c>
      <c r="S396" s="142">
        <f>B396*IBGE_2!S$396/100</f>
        <v>6</v>
      </c>
      <c r="T396" s="142">
        <f>B396*IBGE_2!T$396/100</f>
        <v>135</v>
      </c>
      <c r="U396" s="142">
        <f>B396*IBGE_2!U$396/100</f>
        <v>8.5000000000000006E-2</v>
      </c>
      <c r="V396" s="142">
        <f>B396*IBGE_2!V$396/100</f>
        <v>0.43</v>
      </c>
      <c r="W396" s="142" t="s">
        <v>3047</v>
      </c>
      <c r="X396" s="142">
        <f>B396*IBGE_2!X$396/100</f>
        <v>0.13200000000000001</v>
      </c>
      <c r="Y396" s="142">
        <f>B396*IBGE_2!Y$396/100</f>
        <v>5.5E-2</v>
      </c>
      <c r="Z396" s="142">
        <f>B396*IBGE_2!Z$396/100</f>
        <v>0.187</v>
      </c>
      <c r="AA396" s="142">
        <f>B396*IBGE_2!AA$396/100</f>
        <v>0.871</v>
      </c>
      <c r="AB396" s="142">
        <f>B396*IBGE_2!AB$396/100</f>
        <v>16.3</v>
      </c>
      <c r="AC396" s="142">
        <f>B396*IBGE_2!AC$396/100</f>
        <v>1.1379999999999999</v>
      </c>
      <c r="AD396" s="142" t="s">
        <v>3047</v>
      </c>
      <c r="AE396" s="142">
        <f>B396*IBGE_2!AE$396/100</f>
        <v>46</v>
      </c>
      <c r="AF396" s="142" t="s">
        <v>3047</v>
      </c>
      <c r="AG396" s="142">
        <f>B396*IBGE_2!AG$396/100</f>
        <v>0.502</v>
      </c>
      <c r="AH396" s="142">
        <f>B396*IBGE_2!AH$396/100</f>
        <v>1.4999999999999999E-2</v>
      </c>
      <c r="AI396" s="142">
        <f>B396*IBGE_2!AI$396/100</f>
        <v>236</v>
      </c>
      <c r="AJ396" s="142">
        <f>B396*IBGE_2!AJ$396/100</f>
        <v>1.7009999999999998</v>
      </c>
      <c r="AK396" s="142">
        <f>B396*IBGE_2!AK$396/100</f>
        <v>14.167</v>
      </c>
      <c r="AL396" s="142">
        <f>B396*IBGE_2!AL$396/100</f>
        <v>2.2549999999999999</v>
      </c>
      <c r="AM396" s="145" t="s">
        <v>3047</v>
      </c>
      <c r="AN396" s="161"/>
    </row>
    <row r="397" spans="1:40">
      <c r="A397" s="143" t="s">
        <v>1456</v>
      </c>
      <c r="B397" s="141">
        <v>100</v>
      </c>
      <c r="C397" s="142">
        <f>B397*IBGE_2!C$397/100</f>
        <v>47.093000000000004</v>
      </c>
      <c r="D397" s="142">
        <f>B397*IBGE_2!D$397/100</f>
        <v>1.87</v>
      </c>
      <c r="E397" s="142">
        <f>B397*IBGE_2!E$397/100</f>
        <v>3.0489999999999999</v>
      </c>
      <c r="F397" s="142">
        <f>B397*IBGE_2!F$397/100</f>
        <v>0.48899999999999999</v>
      </c>
      <c r="G397" s="142">
        <f>B397*IBGE_2!G$397/100</f>
        <v>0.67500000000000004</v>
      </c>
      <c r="H397" s="142">
        <f>B397*IBGE_2!H$397/100</f>
        <v>1.6850000000000001</v>
      </c>
      <c r="I397" s="142">
        <f>B397*IBGE_2!I$397/100</f>
        <v>1.4910000000000003</v>
      </c>
      <c r="J397" s="142">
        <f>B397*IBGE_2!J$397/100</f>
        <v>0.19400000000000003</v>
      </c>
      <c r="K397" s="142" t="s">
        <v>3047</v>
      </c>
      <c r="L397" s="142">
        <f>B397*IBGE_2!L$397/100</f>
        <v>4.51</v>
      </c>
      <c r="M397" s="142">
        <f>B397*IBGE_2!M$397/100</f>
        <v>2.5</v>
      </c>
      <c r="N397" s="142">
        <f>B397*IBGE_2!N$397/100</f>
        <v>77</v>
      </c>
      <c r="O397" s="142">
        <f>B397*IBGE_2!O$397/100</f>
        <v>36</v>
      </c>
      <c r="P397" s="142">
        <f>B397*IBGE_2!P$397/100</f>
        <v>0.29399999999999998</v>
      </c>
      <c r="Q397" s="142">
        <f>B397*IBGE_2!Q$397/100</f>
        <v>32</v>
      </c>
      <c r="R397" s="142">
        <f>B397*IBGE_2!R$397/100</f>
        <v>0.28100000000000003</v>
      </c>
      <c r="S397" s="142">
        <f>B397*IBGE_2!S$397/100</f>
        <v>6</v>
      </c>
      <c r="T397" s="142">
        <f>B397*IBGE_2!T$397/100</f>
        <v>135</v>
      </c>
      <c r="U397" s="142">
        <f>B397*IBGE_2!U$397/100</f>
        <v>8.5000000000000006E-2</v>
      </c>
      <c r="V397" s="142">
        <f>B397*IBGE_2!V$397/100</f>
        <v>0.43</v>
      </c>
      <c r="W397" s="142" t="s">
        <v>3047</v>
      </c>
      <c r="X397" s="142">
        <f>B397*IBGE_2!X$397/100</f>
        <v>0.13200000000000001</v>
      </c>
      <c r="Y397" s="142">
        <f>B397*IBGE_2!Y$397/100</f>
        <v>5.5E-2</v>
      </c>
      <c r="Z397" s="142">
        <f>B397*IBGE_2!Z$397/100</f>
        <v>0.187</v>
      </c>
      <c r="AA397" s="142">
        <f>B397*IBGE_2!AA$397/100</f>
        <v>0.871</v>
      </c>
      <c r="AB397" s="142">
        <f>B397*IBGE_2!AB$397/100</f>
        <v>16.3</v>
      </c>
      <c r="AC397" s="142">
        <f>B397*IBGE_2!AC$397/100</f>
        <v>1.1379999999999999</v>
      </c>
      <c r="AD397" s="142" t="s">
        <v>3047</v>
      </c>
      <c r="AE397" s="142">
        <f>B397*IBGE_2!AE$397/100</f>
        <v>46</v>
      </c>
      <c r="AF397" s="142" t="s">
        <v>3047</v>
      </c>
      <c r="AG397" s="142">
        <f>B397*IBGE_2!AG$397/100</f>
        <v>0.502</v>
      </c>
      <c r="AH397" s="142">
        <f>B397*IBGE_2!AH$397/100</f>
        <v>1.4999999999999999E-2</v>
      </c>
      <c r="AI397" s="142">
        <f>B397*IBGE_2!AI$397/100</f>
        <v>236</v>
      </c>
      <c r="AJ397" s="142">
        <f>B397*IBGE_2!AJ$397/100</f>
        <v>1.7009999999999998</v>
      </c>
      <c r="AK397" s="142">
        <f>B397*IBGE_2!AK$397/100</f>
        <v>14.167</v>
      </c>
      <c r="AL397" s="142">
        <f>B397*IBGE_2!AL$397/100</f>
        <v>2.2549999999999999</v>
      </c>
      <c r="AM397" s="145" t="s">
        <v>3047</v>
      </c>
      <c r="AN397" s="161"/>
    </row>
    <row r="398" spans="1:40">
      <c r="A398" s="143" t="s">
        <v>1457</v>
      </c>
      <c r="B398" s="141">
        <v>100</v>
      </c>
      <c r="C398" s="142">
        <f>B398*IBGE_2!C$398/100</f>
        <v>47.093000000000004</v>
      </c>
      <c r="D398" s="142">
        <f>B398*IBGE_2!D$398/100</f>
        <v>1.87</v>
      </c>
      <c r="E398" s="142">
        <f>B398*IBGE_2!E$398/100</f>
        <v>3.0489999999999999</v>
      </c>
      <c r="F398" s="142">
        <f>B398*IBGE_2!F$398/100</f>
        <v>0.48899999999999999</v>
      </c>
      <c r="G398" s="142">
        <f>B398*IBGE_2!G$398/100</f>
        <v>0.67500000000000004</v>
      </c>
      <c r="H398" s="142">
        <f>B398*IBGE_2!H$398/100</f>
        <v>1.6850000000000001</v>
      </c>
      <c r="I398" s="142">
        <f>B398*IBGE_2!I$398/100</f>
        <v>1.4910000000000003</v>
      </c>
      <c r="J398" s="142">
        <f>B398*IBGE_2!J$398/100</f>
        <v>0.19400000000000003</v>
      </c>
      <c r="K398" s="142" t="s">
        <v>3047</v>
      </c>
      <c r="L398" s="142">
        <f>B398*IBGE_2!L$398/100</f>
        <v>4.51</v>
      </c>
      <c r="M398" s="142">
        <f>B398*IBGE_2!M$398/100</f>
        <v>2.5</v>
      </c>
      <c r="N398" s="142">
        <f>B398*IBGE_2!N$398/100</f>
        <v>77</v>
      </c>
      <c r="O398" s="142">
        <f>B398*IBGE_2!O$398/100</f>
        <v>36</v>
      </c>
      <c r="P398" s="142">
        <f>B398*IBGE_2!P$398/100</f>
        <v>0.29399999999999998</v>
      </c>
      <c r="Q398" s="142">
        <f>B398*IBGE_2!Q$398/100</f>
        <v>32</v>
      </c>
      <c r="R398" s="142">
        <f>B398*IBGE_2!R$398/100</f>
        <v>0.28100000000000003</v>
      </c>
      <c r="S398" s="142">
        <f>B398*IBGE_2!S$398/100</f>
        <v>6</v>
      </c>
      <c r="T398" s="142">
        <f>B398*IBGE_2!T$398/100</f>
        <v>135</v>
      </c>
      <c r="U398" s="142">
        <f>B398*IBGE_2!U$398/100</f>
        <v>8.5000000000000006E-2</v>
      </c>
      <c r="V398" s="142">
        <f>B398*IBGE_2!V$398/100</f>
        <v>0.43</v>
      </c>
      <c r="W398" s="142" t="s">
        <v>3047</v>
      </c>
      <c r="X398" s="142">
        <f>B398*IBGE_2!X$398/100</f>
        <v>0.13200000000000001</v>
      </c>
      <c r="Y398" s="142">
        <f>B398*IBGE_2!Y$398/100</f>
        <v>5.5E-2</v>
      </c>
      <c r="Z398" s="142">
        <f>B398*IBGE_2!Z$398/100</f>
        <v>0.187</v>
      </c>
      <c r="AA398" s="142">
        <f>B398*IBGE_2!AA$398/100</f>
        <v>0.871</v>
      </c>
      <c r="AB398" s="142">
        <f>B398*IBGE_2!AB$398/100</f>
        <v>16.3</v>
      </c>
      <c r="AC398" s="142">
        <f>B398*IBGE_2!AC$398/100</f>
        <v>1.1379999999999999</v>
      </c>
      <c r="AD398" s="142" t="s">
        <v>3047</v>
      </c>
      <c r="AE398" s="142">
        <f>B398*IBGE_2!AE$398/100</f>
        <v>46</v>
      </c>
      <c r="AF398" s="142" t="s">
        <v>3047</v>
      </c>
      <c r="AG398" s="142">
        <f>B398*IBGE_2!AG$398/100</f>
        <v>0.502</v>
      </c>
      <c r="AH398" s="142">
        <f>B398*IBGE_2!AH$398/100</f>
        <v>1.4999999999999999E-2</v>
      </c>
      <c r="AI398" s="142">
        <f>B398*IBGE_2!AI$398/100</f>
        <v>236</v>
      </c>
      <c r="AJ398" s="142">
        <f>B398*IBGE_2!AJ$398/100</f>
        <v>1.7009999999999998</v>
      </c>
      <c r="AK398" s="142">
        <f>B398*IBGE_2!AK$398/100</f>
        <v>14.167</v>
      </c>
      <c r="AL398" s="142">
        <f>B398*IBGE_2!AL$398/100</f>
        <v>2.2549999999999999</v>
      </c>
      <c r="AM398" s="145" t="s">
        <v>3047</v>
      </c>
      <c r="AN398" s="161"/>
    </row>
    <row r="399" spans="1:40">
      <c r="A399" s="143" t="s">
        <v>1458</v>
      </c>
      <c r="B399" s="141">
        <v>100</v>
      </c>
      <c r="C399" s="142">
        <f>B399*IBGE_2!C$399/100</f>
        <v>22</v>
      </c>
      <c r="D399" s="142">
        <f>B399*IBGE_2!D$399/100</f>
        <v>1.87</v>
      </c>
      <c r="E399" s="142">
        <f>B399*IBGE_2!E$399/100</f>
        <v>0.21</v>
      </c>
      <c r="F399" s="142">
        <f>B399*IBGE_2!F$399/100</f>
        <v>4.4999999999999998E-2</v>
      </c>
      <c r="G399" s="142">
        <f>B399*IBGE_2!G$399/100</f>
        <v>2.8000000000000004E-2</v>
      </c>
      <c r="H399" s="142">
        <f>B399*IBGE_2!H$399/100</f>
        <v>4.5999999999999999E-2</v>
      </c>
      <c r="I399" s="142">
        <f>B399*IBGE_2!I$399/100</f>
        <v>4.4999999999999998E-2</v>
      </c>
      <c r="J399" s="142">
        <f>B399*IBGE_2!J$399/100</f>
        <v>1E-3</v>
      </c>
      <c r="K399" s="142" t="s">
        <v>3047</v>
      </c>
      <c r="L399" s="142">
        <f>B399*IBGE_2!L$399/100</f>
        <v>4.51</v>
      </c>
      <c r="M399" s="142">
        <f>B399*IBGE_2!M$399/100</f>
        <v>2.5</v>
      </c>
      <c r="N399" s="142">
        <f>B399*IBGE_2!N$399/100</f>
        <v>77</v>
      </c>
      <c r="O399" s="142">
        <f>B399*IBGE_2!O$399/100</f>
        <v>36</v>
      </c>
      <c r="P399" s="142">
        <f>B399*IBGE_2!P$399/100</f>
        <v>0.29399999999999998</v>
      </c>
      <c r="Q399" s="142">
        <f>B399*IBGE_2!Q$399/100</f>
        <v>32</v>
      </c>
      <c r="R399" s="142">
        <f>B399*IBGE_2!R$399/100</f>
        <v>0.28000000000000003</v>
      </c>
      <c r="S399" s="142">
        <f>B399*IBGE_2!S$399/100</f>
        <v>6</v>
      </c>
      <c r="T399" s="142">
        <f>B399*IBGE_2!T$399/100</f>
        <v>135</v>
      </c>
      <c r="U399" s="142">
        <f>B399*IBGE_2!U$399/100</f>
        <v>8.5000000000000006E-2</v>
      </c>
      <c r="V399" s="142">
        <f>B399*IBGE_2!V$399/100</f>
        <v>0.43</v>
      </c>
      <c r="W399" s="142" t="s">
        <v>3047</v>
      </c>
      <c r="X399" s="142">
        <f>B399*IBGE_2!X$399/100</f>
        <v>0.13200000000000001</v>
      </c>
      <c r="Y399" s="142">
        <f>B399*IBGE_2!Y$399/100</f>
        <v>5.5E-2</v>
      </c>
      <c r="Z399" s="142">
        <f>B399*IBGE_2!Z$399/100</f>
        <v>0.187</v>
      </c>
      <c r="AA399" s="142">
        <f>B399*IBGE_2!AA$399/100</f>
        <v>0.871</v>
      </c>
      <c r="AB399" s="142">
        <f>B399*IBGE_2!AB$399/100</f>
        <v>16.3</v>
      </c>
      <c r="AC399" s="142">
        <f>B399*IBGE_2!AC$399/100</f>
        <v>1.1379999999999999</v>
      </c>
      <c r="AD399" s="142" t="s">
        <v>3047</v>
      </c>
      <c r="AE399" s="142">
        <f>B399*IBGE_2!AE$399/100</f>
        <v>46</v>
      </c>
      <c r="AF399" s="142" t="s">
        <v>3047</v>
      </c>
      <c r="AG399" s="142">
        <f>B399*IBGE_2!AG$399/100</f>
        <v>0.27</v>
      </c>
      <c r="AH399" s="145" t="s">
        <v>3047</v>
      </c>
      <c r="AI399" s="142">
        <f>B399*IBGE_2!AI$399/100</f>
        <v>236</v>
      </c>
      <c r="AJ399" s="142">
        <f>B399*IBGE_2!AJ$399/100</f>
        <v>0.4</v>
      </c>
      <c r="AK399" s="142">
        <f>B399*IBGE_2!AK$399/100</f>
        <v>14.167</v>
      </c>
      <c r="AL399" s="142">
        <f>B399*IBGE_2!AL$399/100</f>
        <v>2.2549999999999999</v>
      </c>
      <c r="AM399" s="145" t="s">
        <v>3047</v>
      </c>
      <c r="AN399" s="161"/>
    </row>
    <row r="400" spans="1:40">
      <c r="A400" s="143" t="s">
        <v>1459</v>
      </c>
      <c r="B400" s="141">
        <v>100</v>
      </c>
      <c r="C400" s="142">
        <f>B400*IBGE_2!C$400/100</f>
        <v>18</v>
      </c>
      <c r="D400" s="142">
        <f>B400*IBGE_2!D$400/100</f>
        <v>0.88</v>
      </c>
      <c r="E400" s="142">
        <f>B400*IBGE_2!E$400/100</f>
        <v>0.2</v>
      </c>
      <c r="F400" s="142">
        <f>B400*IBGE_2!F$400/100</f>
        <v>0.03</v>
      </c>
      <c r="G400" s="142">
        <f>B400*IBGE_2!G$400/100</f>
        <v>0.03</v>
      </c>
      <c r="H400" s="142">
        <f>B400*IBGE_2!H$400/100</f>
        <v>0.08</v>
      </c>
      <c r="I400" s="142">
        <f>B400*IBGE_2!I$400/100</f>
        <v>0.08</v>
      </c>
      <c r="J400" s="142" t="s">
        <v>3047</v>
      </c>
      <c r="K400" s="142" t="s">
        <v>3047</v>
      </c>
      <c r="L400" s="142">
        <f>B400*IBGE_2!L$400/100</f>
        <v>3.92</v>
      </c>
      <c r="M400" s="142">
        <f>B400*IBGE_2!M$400/100</f>
        <v>1.2</v>
      </c>
      <c r="N400" s="142">
        <f>B400*IBGE_2!N$400/100</f>
        <v>10</v>
      </c>
      <c r="O400" s="142">
        <f>B400*IBGE_2!O$400/100</f>
        <v>11</v>
      </c>
      <c r="P400" s="142">
        <f>B400*IBGE_2!P$400/100</f>
        <v>0.11</v>
      </c>
      <c r="Q400" s="142">
        <f>B400*IBGE_2!Q$400/100</f>
        <v>24</v>
      </c>
      <c r="R400" s="142">
        <f>B400*IBGE_2!R$400/100</f>
        <v>0.27</v>
      </c>
      <c r="S400" s="142">
        <f>B400*IBGE_2!S$400/100</f>
        <v>5</v>
      </c>
      <c r="T400" s="142">
        <f>B400*IBGE_2!T$400/100</f>
        <v>237</v>
      </c>
      <c r="U400" s="142">
        <f>B400*IBGE_2!U$400/100</f>
        <v>0.06</v>
      </c>
      <c r="V400" s="142">
        <f>B400*IBGE_2!V$400/100</f>
        <v>0.17</v>
      </c>
      <c r="W400" s="142" t="s">
        <v>3047</v>
      </c>
      <c r="X400" s="142">
        <f>B400*IBGE_2!X$400/100</f>
        <v>0.04</v>
      </c>
      <c r="Y400" s="142">
        <f>B400*IBGE_2!Y$400/100</f>
        <v>0.02</v>
      </c>
      <c r="Z400" s="142">
        <f>B400*IBGE_2!Z$400/100</f>
        <v>0.08</v>
      </c>
      <c r="AA400" s="142">
        <f>B400*IBGE_2!AA$400/100</f>
        <v>0.59</v>
      </c>
      <c r="AB400" s="142">
        <f>B400*IBGE_2!AB$400/100</f>
        <v>12.7</v>
      </c>
      <c r="AC400" s="142">
        <f>B400*IBGE_2!AC$400/100</f>
        <v>0.69</v>
      </c>
      <c r="AD400" s="142" t="s">
        <v>3047</v>
      </c>
      <c r="AE400" s="142">
        <f>B400*IBGE_2!AE$400/100</f>
        <v>15</v>
      </c>
      <c r="AF400" s="142" t="s">
        <v>3047</v>
      </c>
      <c r="AG400" s="142">
        <f>B400*IBGE_2!AG$400/100</f>
        <v>0.54</v>
      </c>
      <c r="AH400" s="145" t="s">
        <v>3047</v>
      </c>
      <c r="AI400" s="145" t="s">
        <v>3047</v>
      </c>
      <c r="AJ400" s="145" t="s">
        <v>3047</v>
      </c>
      <c r="AK400" s="142">
        <f>B400*IBGE_2!AK$400/100</f>
        <v>41.63</v>
      </c>
      <c r="AL400" s="142">
        <f>B400*IBGE_2!AL$400/100</f>
        <v>2.62</v>
      </c>
      <c r="AM400" s="145" t="s">
        <v>3047</v>
      </c>
      <c r="AN400" s="161"/>
    </row>
    <row r="401" spans="1:40">
      <c r="A401" s="143" t="s">
        <v>1460</v>
      </c>
      <c r="B401" s="141">
        <v>100</v>
      </c>
      <c r="C401" s="142">
        <f>B401*IBGE_2!C$401/100</f>
        <v>35</v>
      </c>
      <c r="D401" s="142">
        <f>B401*IBGE_2!D$401/100</f>
        <v>1.89</v>
      </c>
      <c r="E401" s="142">
        <f>B401*IBGE_2!E$401/100</f>
        <v>0.28000000000000003</v>
      </c>
      <c r="F401" s="142">
        <f>B401*IBGE_2!F$401/100</f>
        <v>6.2E-2</v>
      </c>
      <c r="G401" s="142">
        <f>B401*IBGE_2!G$401/100</f>
        <v>1.2E-2</v>
      </c>
      <c r="H401" s="142">
        <f>B401*IBGE_2!H$401/100</f>
        <v>0.14499999999999999</v>
      </c>
      <c r="I401" s="142">
        <f>B401*IBGE_2!I$401/100</f>
        <v>5.6000000000000008E-2</v>
      </c>
      <c r="J401" s="142">
        <f>B401*IBGE_2!J$401/100</f>
        <v>8.900000000000001E-2</v>
      </c>
      <c r="K401" s="142" t="s">
        <v>3047</v>
      </c>
      <c r="L401" s="142">
        <f>B401*IBGE_2!L$401/100</f>
        <v>7.88</v>
      </c>
      <c r="M401" s="142">
        <f>B401*IBGE_2!M$401/100</f>
        <v>3.2</v>
      </c>
      <c r="N401" s="142">
        <f>B401*IBGE_2!N$401/100</f>
        <v>44</v>
      </c>
      <c r="O401" s="142">
        <f>B401*IBGE_2!O$401/100</f>
        <v>18</v>
      </c>
      <c r="P401" s="142">
        <f>B401*IBGE_2!P$401/100</f>
        <v>0.28499999999999998</v>
      </c>
      <c r="Q401" s="142">
        <f>B401*IBGE_2!Q$401/100</f>
        <v>29</v>
      </c>
      <c r="R401" s="142">
        <f>B401*IBGE_2!R$401/100</f>
        <v>0.65</v>
      </c>
      <c r="S401" s="142">
        <f>B401*IBGE_2!S$401/100</f>
        <v>1</v>
      </c>
      <c r="T401" s="142">
        <f>B401*IBGE_2!T$401/100</f>
        <v>146</v>
      </c>
      <c r="U401" s="142">
        <f>B401*IBGE_2!U$401/100</f>
        <v>5.7000000000000002E-2</v>
      </c>
      <c r="V401" s="142">
        <f>B401*IBGE_2!V$401/100</f>
        <v>0.25</v>
      </c>
      <c r="W401" s="142" t="s">
        <v>3047</v>
      </c>
      <c r="X401" s="142">
        <f>B401*IBGE_2!X$401/100</f>
        <v>7.3999999999999996E-2</v>
      </c>
      <c r="Y401" s="142">
        <f>B401*IBGE_2!Y$401/100</f>
        <v>9.7000000000000017E-2</v>
      </c>
      <c r="Z401" s="142">
        <f>B401*IBGE_2!Z$401/100</f>
        <v>5.6000000000000008E-2</v>
      </c>
      <c r="AA401" s="142">
        <f>B401*IBGE_2!AA$401/100</f>
        <v>0.61399999999999999</v>
      </c>
      <c r="AB401" s="142">
        <f>B401*IBGE_2!AB$401/100</f>
        <v>9.6999999999999993</v>
      </c>
      <c r="AC401" s="142">
        <f>B401*IBGE_2!AC$401/100</f>
        <v>0.94699999999999984</v>
      </c>
      <c r="AD401" s="142" t="s">
        <v>3047</v>
      </c>
      <c r="AE401" s="142">
        <f>B401*IBGE_2!AE$401/100</f>
        <v>33</v>
      </c>
      <c r="AF401" s="142" t="s">
        <v>3047</v>
      </c>
      <c r="AG401" s="142">
        <f>B401*IBGE_2!AG$401/100</f>
        <v>0.45</v>
      </c>
      <c r="AH401" s="145" t="s">
        <v>3047</v>
      </c>
      <c r="AI401" s="142">
        <f>B401*IBGE_2!AI$401/100</f>
        <v>302</v>
      </c>
      <c r="AJ401" s="142">
        <f>B401*IBGE_2!AJ$401/100</f>
        <v>0.2</v>
      </c>
      <c r="AK401" s="142">
        <f>B401*IBGE_2!AK$401/100</f>
        <v>35</v>
      </c>
      <c r="AL401" s="142">
        <f>B401*IBGE_2!AL$401/100</f>
        <v>2.2999999999999998</v>
      </c>
      <c r="AM401" s="145" t="s">
        <v>3047</v>
      </c>
      <c r="AN401" s="161"/>
    </row>
    <row r="402" spans="1:40">
      <c r="A402" s="143" t="s">
        <v>1461</v>
      </c>
      <c r="B402" s="141">
        <v>100</v>
      </c>
      <c r="C402" s="142">
        <f>B402*IBGE_2!C$402/100</f>
        <v>35</v>
      </c>
      <c r="D402" s="142">
        <f>B402*IBGE_2!D$402/100</f>
        <v>1.89</v>
      </c>
      <c r="E402" s="142">
        <f>B402*IBGE_2!E$402/100</f>
        <v>0.28000000000000003</v>
      </c>
      <c r="F402" s="142">
        <f>B402*IBGE_2!F$402/100</f>
        <v>6.2E-2</v>
      </c>
      <c r="G402" s="142">
        <f>B402*IBGE_2!G$402/100</f>
        <v>1.2E-2</v>
      </c>
      <c r="H402" s="142">
        <f>B402*IBGE_2!H$402/100</f>
        <v>0.14499999999999999</v>
      </c>
      <c r="I402" s="142">
        <f>B402*IBGE_2!I$402/100</f>
        <v>5.6000000000000008E-2</v>
      </c>
      <c r="J402" s="142">
        <f>B402*IBGE_2!J$402/100</f>
        <v>8.900000000000001E-2</v>
      </c>
      <c r="K402" s="142" t="s">
        <v>3047</v>
      </c>
      <c r="L402" s="142">
        <f>B402*IBGE_2!L$402/100</f>
        <v>7.88</v>
      </c>
      <c r="M402" s="142">
        <f>B402*IBGE_2!M$402/100</f>
        <v>3.2</v>
      </c>
      <c r="N402" s="142">
        <f>B402*IBGE_2!N$402/100</f>
        <v>44</v>
      </c>
      <c r="O402" s="142">
        <f>B402*IBGE_2!O$402/100</f>
        <v>18</v>
      </c>
      <c r="P402" s="142">
        <f>B402*IBGE_2!P$402/100</f>
        <v>0.28499999999999998</v>
      </c>
      <c r="Q402" s="142">
        <f>B402*IBGE_2!Q$402/100</f>
        <v>29</v>
      </c>
      <c r="R402" s="142">
        <f>B402*IBGE_2!R$402/100</f>
        <v>0.65</v>
      </c>
      <c r="S402" s="142">
        <f>B402*IBGE_2!S$402/100</f>
        <v>1</v>
      </c>
      <c r="T402" s="142">
        <f>B402*IBGE_2!T$402/100</f>
        <v>146</v>
      </c>
      <c r="U402" s="142">
        <f>B402*IBGE_2!U$402/100</f>
        <v>5.7000000000000002E-2</v>
      </c>
      <c r="V402" s="142">
        <f>B402*IBGE_2!V$402/100</f>
        <v>0.25</v>
      </c>
      <c r="W402" s="142" t="s">
        <v>3047</v>
      </c>
      <c r="X402" s="142">
        <f>B402*IBGE_2!X$402/100</f>
        <v>7.3999999999999996E-2</v>
      </c>
      <c r="Y402" s="142">
        <f>B402*IBGE_2!Y$402/100</f>
        <v>9.7000000000000017E-2</v>
      </c>
      <c r="Z402" s="142">
        <f>B402*IBGE_2!Z$402/100</f>
        <v>5.6000000000000008E-2</v>
      </c>
      <c r="AA402" s="142">
        <f>B402*IBGE_2!AA$402/100</f>
        <v>0.61399999999999999</v>
      </c>
      <c r="AB402" s="142">
        <f>B402*IBGE_2!AB$402/100</f>
        <v>9.6999999999999993</v>
      </c>
      <c r="AC402" s="142">
        <f>B402*IBGE_2!AC$402/100</f>
        <v>0.94699999999999984</v>
      </c>
      <c r="AD402" s="142" t="s">
        <v>3047</v>
      </c>
      <c r="AE402" s="142">
        <f>B402*IBGE_2!AE$402/100</f>
        <v>33</v>
      </c>
      <c r="AF402" s="142" t="s">
        <v>3047</v>
      </c>
      <c r="AG402" s="142">
        <f>B402*IBGE_2!AG$402/100</f>
        <v>0.45</v>
      </c>
      <c r="AH402" s="145" t="s">
        <v>3047</v>
      </c>
      <c r="AI402" s="142">
        <f>B402*IBGE_2!AI$402/100</f>
        <v>302</v>
      </c>
      <c r="AJ402" s="142">
        <f>B402*IBGE_2!AJ$402/100</f>
        <v>0.2</v>
      </c>
      <c r="AK402" s="142">
        <f>B402*IBGE_2!AK$402/100</f>
        <v>35</v>
      </c>
      <c r="AL402" s="142">
        <f>B402*IBGE_2!AL$402/100</f>
        <v>2.2999999999999998</v>
      </c>
      <c r="AM402" s="145" t="s">
        <v>3047</v>
      </c>
      <c r="AN402" s="161"/>
    </row>
    <row r="403" spans="1:40">
      <c r="A403" s="143" t="s">
        <v>1462</v>
      </c>
      <c r="B403" s="141">
        <v>100</v>
      </c>
      <c r="C403" s="142">
        <f>B403*IBGE_2!C$403/100</f>
        <v>67.119</v>
      </c>
      <c r="D403" s="142">
        <f>B403*IBGE_2!D$403/100</f>
        <v>1.89</v>
      </c>
      <c r="E403" s="142">
        <f>B403*IBGE_2!E$403/100</f>
        <v>3.9129999999999994</v>
      </c>
      <c r="F403" s="142">
        <f>B403*IBGE_2!F$403/100</f>
        <v>0.63100000000000001</v>
      </c>
      <c r="G403" s="142">
        <f>B403*IBGE_2!G$403/100</f>
        <v>0.84</v>
      </c>
      <c r="H403" s="142">
        <f>B403*IBGE_2!H$403/100</f>
        <v>2.2429999999999999</v>
      </c>
      <c r="I403" s="142">
        <f>B403*IBGE_2!I$403/100</f>
        <v>1.9069999999999998</v>
      </c>
      <c r="J403" s="142">
        <f>B403*IBGE_2!J$403/100</f>
        <v>0.33600000000000002</v>
      </c>
      <c r="K403" s="142" t="s">
        <v>3047</v>
      </c>
      <c r="L403" s="142">
        <f>B403*IBGE_2!L$403/100</f>
        <v>7.88</v>
      </c>
      <c r="M403" s="142">
        <f>B403*IBGE_2!M$403/100</f>
        <v>3.2</v>
      </c>
      <c r="N403" s="142">
        <f>B403*IBGE_2!N$403/100</f>
        <v>44</v>
      </c>
      <c r="O403" s="142">
        <f>B403*IBGE_2!O$403/100</f>
        <v>18</v>
      </c>
      <c r="P403" s="142">
        <f>B403*IBGE_2!P$403/100</f>
        <v>0.28499999999999998</v>
      </c>
      <c r="Q403" s="142">
        <f>B403*IBGE_2!Q$403/100</f>
        <v>29</v>
      </c>
      <c r="R403" s="142">
        <f>B403*IBGE_2!R$403/100</f>
        <v>0.65200000000000002</v>
      </c>
      <c r="S403" s="142">
        <f>B403*IBGE_2!S$403/100</f>
        <v>1</v>
      </c>
      <c r="T403" s="142">
        <f>B403*IBGE_2!T$403/100</f>
        <v>146</v>
      </c>
      <c r="U403" s="142">
        <f>B403*IBGE_2!U$403/100</f>
        <v>5.7000000000000002E-2</v>
      </c>
      <c r="V403" s="142">
        <f>B403*IBGE_2!V$403/100</f>
        <v>0.25</v>
      </c>
      <c r="W403" s="142" t="s">
        <v>3047</v>
      </c>
      <c r="X403" s="142">
        <f>B403*IBGE_2!X$403/100</f>
        <v>7.3999999999999996E-2</v>
      </c>
      <c r="Y403" s="142">
        <f>B403*IBGE_2!Y$403/100</f>
        <v>9.7000000000000017E-2</v>
      </c>
      <c r="Z403" s="142">
        <f>B403*IBGE_2!Z$403/100</f>
        <v>5.6000000000000008E-2</v>
      </c>
      <c r="AA403" s="142">
        <f>B403*IBGE_2!AA$403/100</f>
        <v>0.61399999999999999</v>
      </c>
      <c r="AB403" s="142">
        <f>B403*IBGE_2!AB$403/100</f>
        <v>9.6999999999999993</v>
      </c>
      <c r="AC403" s="142">
        <f>B403*IBGE_2!AC$403/100</f>
        <v>0.94699999999999984</v>
      </c>
      <c r="AD403" s="142" t="s">
        <v>3047</v>
      </c>
      <c r="AE403" s="142">
        <f>B403*IBGE_2!AE$403/100</f>
        <v>33</v>
      </c>
      <c r="AF403" s="142" t="s">
        <v>3047</v>
      </c>
      <c r="AG403" s="142">
        <f>B403*IBGE_2!AG$403/100</f>
        <v>0.747</v>
      </c>
      <c r="AH403" s="142">
        <f>B403*IBGE_2!AH$403/100</f>
        <v>1.9E-2</v>
      </c>
      <c r="AI403" s="142">
        <f>B403*IBGE_2!AI$403/100</f>
        <v>302</v>
      </c>
      <c r="AJ403" s="142">
        <f>B403*IBGE_2!AJ$403/100</f>
        <v>1.865</v>
      </c>
      <c r="AK403" s="142">
        <f>B403*IBGE_2!AK$403/100</f>
        <v>35</v>
      </c>
      <c r="AL403" s="142">
        <f>B403*IBGE_2!AL$403/100</f>
        <v>2.2999999999999998</v>
      </c>
      <c r="AM403" s="145" t="s">
        <v>3047</v>
      </c>
      <c r="AN403" s="161"/>
    </row>
    <row r="404" spans="1:40">
      <c r="A404" s="143" t="s">
        <v>1463</v>
      </c>
      <c r="B404" s="141">
        <v>100</v>
      </c>
      <c r="C404" s="142">
        <f>B404*IBGE_2!C$404/100</f>
        <v>67.119</v>
      </c>
      <c r="D404" s="142">
        <f>B404*IBGE_2!D$404/100</f>
        <v>1.89</v>
      </c>
      <c r="E404" s="142">
        <f>B404*IBGE_2!E$404/100</f>
        <v>3.9129999999999994</v>
      </c>
      <c r="F404" s="142">
        <f>B404*IBGE_2!F$404/100</f>
        <v>0.63100000000000001</v>
      </c>
      <c r="G404" s="142">
        <f>B404*IBGE_2!G$404/100</f>
        <v>0.84</v>
      </c>
      <c r="H404" s="142">
        <f>B404*IBGE_2!H$404/100</f>
        <v>2.2429999999999999</v>
      </c>
      <c r="I404" s="142">
        <f>B404*IBGE_2!I$404/100</f>
        <v>1.9069999999999998</v>
      </c>
      <c r="J404" s="142">
        <f>B404*IBGE_2!J$404/100</f>
        <v>0.33600000000000002</v>
      </c>
      <c r="K404" s="142" t="s">
        <v>3047</v>
      </c>
      <c r="L404" s="142">
        <f>B404*IBGE_2!L$404/100</f>
        <v>7.88</v>
      </c>
      <c r="M404" s="142">
        <f>B404*IBGE_2!M$404/100</f>
        <v>3.2</v>
      </c>
      <c r="N404" s="142">
        <f>B404*IBGE_2!N$404/100</f>
        <v>44</v>
      </c>
      <c r="O404" s="142">
        <f>B404*IBGE_2!O$404/100</f>
        <v>18</v>
      </c>
      <c r="P404" s="142">
        <f>B404*IBGE_2!P$404/100</f>
        <v>0.28499999999999998</v>
      </c>
      <c r="Q404" s="142">
        <f>B404*IBGE_2!Q$404/100</f>
        <v>29</v>
      </c>
      <c r="R404" s="142">
        <f>B404*IBGE_2!R$404/100</f>
        <v>0.65200000000000002</v>
      </c>
      <c r="S404" s="142">
        <f>B404*IBGE_2!S$404/100</f>
        <v>1</v>
      </c>
      <c r="T404" s="142">
        <f>B404*IBGE_2!T$404/100</f>
        <v>146</v>
      </c>
      <c r="U404" s="142">
        <f>B404*IBGE_2!U$404/100</f>
        <v>5.7000000000000002E-2</v>
      </c>
      <c r="V404" s="142">
        <f>B404*IBGE_2!V$404/100</f>
        <v>0.25</v>
      </c>
      <c r="W404" s="142" t="s">
        <v>3047</v>
      </c>
      <c r="X404" s="142">
        <f>B404*IBGE_2!X$404/100</f>
        <v>7.3999999999999996E-2</v>
      </c>
      <c r="Y404" s="142">
        <f>B404*IBGE_2!Y$404/100</f>
        <v>9.7000000000000017E-2</v>
      </c>
      <c r="Z404" s="142">
        <f>B404*IBGE_2!Z$404/100</f>
        <v>5.6000000000000008E-2</v>
      </c>
      <c r="AA404" s="142">
        <f>B404*IBGE_2!AA$404/100</f>
        <v>0.61399999999999999</v>
      </c>
      <c r="AB404" s="142">
        <f>B404*IBGE_2!AB$404/100</f>
        <v>9.6999999999999993</v>
      </c>
      <c r="AC404" s="142">
        <f>B404*IBGE_2!AC$404/100</f>
        <v>0.94699999999999984</v>
      </c>
      <c r="AD404" s="142" t="s">
        <v>3047</v>
      </c>
      <c r="AE404" s="142">
        <f>B404*IBGE_2!AE$404/100</f>
        <v>33</v>
      </c>
      <c r="AF404" s="142" t="s">
        <v>3047</v>
      </c>
      <c r="AG404" s="142">
        <f>B404*IBGE_2!AG$404/100</f>
        <v>0.747</v>
      </c>
      <c r="AH404" s="142">
        <f>B404*IBGE_2!AH$404/100</f>
        <v>1.9E-2</v>
      </c>
      <c r="AI404" s="142">
        <f>B404*IBGE_2!AI$404/100</f>
        <v>302</v>
      </c>
      <c r="AJ404" s="142">
        <f>B404*IBGE_2!AJ$404/100</f>
        <v>1.865</v>
      </c>
      <c r="AK404" s="142">
        <f>B404*IBGE_2!AK$404/100</f>
        <v>35</v>
      </c>
      <c r="AL404" s="142">
        <f>B404*IBGE_2!AL$404/100</f>
        <v>2.2999999999999998</v>
      </c>
      <c r="AM404" s="145" t="s">
        <v>3047</v>
      </c>
      <c r="AN404" s="161"/>
    </row>
    <row r="405" spans="1:40">
      <c r="A405" s="143" t="s">
        <v>1464</v>
      </c>
      <c r="B405" s="141">
        <v>100</v>
      </c>
      <c r="C405" s="142">
        <f>B405*IBGE_2!C$405/100</f>
        <v>67.119</v>
      </c>
      <c r="D405" s="142">
        <f>B405*IBGE_2!D$405/100</f>
        <v>1.89</v>
      </c>
      <c r="E405" s="142">
        <f>B405*IBGE_2!E$405/100</f>
        <v>3.9129999999999994</v>
      </c>
      <c r="F405" s="142">
        <f>B405*IBGE_2!F$405/100</f>
        <v>0.63100000000000001</v>
      </c>
      <c r="G405" s="142">
        <f>B405*IBGE_2!G$405/100</f>
        <v>0.84</v>
      </c>
      <c r="H405" s="142">
        <f>B405*IBGE_2!H$405/100</f>
        <v>2.2429999999999999</v>
      </c>
      <c r="I405" s="142">
        <f>B405*IBGE_2!I$405/100</f>
        <v>1.9069999999999998</v>
      </c>
      <c r="J405" s="142">
        <f>B405*IBGE_2!J$405/100</f>
        <v>0.33600000000000002</v>
      </c>
      <c r="K405" s="142" t="s">
        <v>3047</v>
      </c>
      <c r="L405" s="142">
        <f>B405*IBGE_2!L$405/100</f>
        <v>7.88</v>
      </c>
      <c r="M405" s="142">
        <f>B405*IBGE_2!M$405/100</f>
        <v>3.2</v>
      </c>
      <c r="N405" s="142">
        <f>B405*IBGE_2!N$405/100</f>
        <v>44</v>
      </c>
      <c r="O405" s="142">
        <f>B405*IBGE_2!O$405/100</f>
        <v>18</v>
      </c>
      <c r="P405" s="142">
        <f>B405*IBGE_2!P$405/100</f>
        <v>0.28499999999999998</v>
      </c>
      <c r="Q405" s="142">
        <f>B405*IBGE_2!Q$405/100</f>
        <v>29</v>
      </c>
      <c r="R405" s="142">
        <f>B405*IBGE_2!R$405/100</f>
        <v>0.65200000000000002</v>
      </c>
      <c r="S405" s="142">
        <f>B405*IBGE_2!S$405/100</f>
        <v>1</v>
      </c>
      <c r="T405" s="142">
        <f>B405*IBGE_2!T$405/100</f>
        <v>146</v>
      </c>
      <c r="U405" s="142">
        <f>B405*IBGE_2!U$405/100</f>
        <v>5.7000000000000002E-2</v>
      </c>
      <c r="V405" s="142">
        <f>B405*IBGE_2!V$405/100</f>
        <v>0.25</v>
      </c>
      <c r="W405" s="142" t="s">
        <v>3047</v>
      </c>
      <c r="X405" s="142">
        <f>B405*IBGE_2!X$405/100</f>
        <v>7.3999999999999996E-2</v>
      </c>
      <c r="Y405" s="142">
        <f>B405*IBGE_2!Y$405/100</f>
        <v>9.7000000000000017E-2</v>
      </c>
      <c r="Z405" s="142">
        <f>B405*IBGE_2!Z$405/100</f>
        <v>5.6000000000000008E-2</v>
      </c>
      <c r="AA405" s="142">
        <f>B405*IBGE_2!AA$405/100</f>
        <v>0.61399999999999999</v>
      </c>
      <c r="AB405" s="142">
        <f>B405*IBGE_2!AB$405/100</f>
        <v>9.6999999999999993</v>
      </c>
      <c r="AC405" s="142">
        <f>B405*IBGE_2!AC$405/100</f>
        <v>0.94699999999999984</v>
      </c>
      <c r="AD405" s="142" t="s">
        <v>3047</v>
      </c>
      <c r="AE405" s="142">
        <f>B405*IBGE_2!AE$405/100</f>
        <v>33</v>
      </c>
      <c r="AF405" s="142" t="s">
        <v>3047</v>
      </c>
      <c r="AG405" s="142">
        <f>B405*IBGE_2!AG$405/100</f>
        <v>0.747</v>
      </c>
      <c r="AH405" s="142">
        <f>B405*IBGE_2!AH$405/100</f>
        <v>1.9E-2</v>
      </c>
      <c r="AI405" s="142">
        <f>B405*IBGE_2!AI$405/100</f>
        <v>302</v>
      </c>
      <c r="AJ405" s="142">
        <f>B405*IBGE_2!AJ$405/100</f>
        <v>1.865</v>
      </c>
      <c r="AK405" s="142">
        <f>B405*IBGE_2!AK$405/100</f>
        <v>35</v>
      </c>
      <c r="AL405" s="142">
        <f>B405*IBGE_2!AL$405/100</f>
        <v>2.2999999999999998</v>
      </c>
      <c r="AM405" s="145" t="s">
        <v>3047</v>
      </c>
      <c r="AN405" s="161"/>
    </row>
    <row r="406" spans="1:40">
      <c r="A406" s="143" t="s">
        <v>1465</v>
      </c>
      <c r="B406" s="141">
        <v>100</v>
      </c>
      <c r="C406" s="142">
        <f>B406*IBGE_2!C$406/100</f>
        <v>35</v>
      </c>
      <c r="D406" s="142">
        <f>B406*IBGE_2!D$406/100</f>
        <v>1.89</v>
      </c>
      <c r="E406" s="142">
        <f>B406*IBGE_2!E$406/100</f>
        <v>0.28000000000000003</v>
      </c>
      <c r="F406" s="142">
        <f>B406*IBGE_2!F$406/100</f>
        <v>6.2E-2</v>
      </c>
      <c r="G406" s="142">
        <f>B406*IBGE_2!G$406/100</f>
        <v>1.2E-2</v>
      </c>
      <c r="H406" s="142">
        <f>B406*IBGE_2!H$406/100</f>
        <v>0.14499999999999999</v>
      </c>
      <c r="I406" s="142">
        <f>B406*IBGE_2!I$406/100</f>
        <v>5.6000000000000008E-2</v>
      </c>
      <c r="J406" s="142">
        <f>B406*IBGE_2!J$406/100</f>
        <v>8.900000000000001E-2</v>
      </c>
      <c r="K406" s="142" t="s">
        <v>3047</v>
      </c>
      <c r="L406" s="142">
        <f>B406*IBGE_2!L$406/100</f>
        <v>7.88</v>
      </c>
      <c r="M406" s="142">
        <f>B406*IBGE_2!M$406/100</f>
        <v>3.2</v>
      </c>
      <c r="N406" s="142">
        <f>B406*IBGE_2!N$406/100</f>
        <v>44</v>
      </c>
      <c r="O406" s="142">
        <f>B406*IBGE_2!O$406/100</f>
        <v>18</v>
      </c>
      <c r="P406" s="142">
        <f>B406*IBGE_2!P$406/100</f>
        <v>0.28499999999999998</v>
      </c>
      <c r="Q406" s="142">
        <f>B406*IBGE_2!Q$406/100</f>
        <v>29</v>
      </c>
      <c r="R406" s="142">
        <f>B406*IBGE_2!R$406/100</f>
        <v>0.65</v>
      </c>
      <c r="S406" s="142">
        <f>B406*IBGE_2!S$406/100</f>
        <v>1</v>
      </c>
      <c r="T406" s="142">
        <f>B406*IBGE_2!T$406/100</f>
        <v>146</v>
      </c>
      <c r="U406" s="142">
        <f>B406*IBGE_2!U$406/100</f>
        <v>5.7000000000000002E-2</v>
      </c>
      <c r="V406" s="142">
        <f>B406*IBGE_2!V$406/100</f>
        <v>0.25</v>
      </c>
      <c r="W406" s="142" t="s">
        <v>3047</v>
      </c>
      <c r="X406" s="142">
        <f>B406*IBGE_2!X$406/100</f>
        <v>7.3999999999999996E-2</v>
      </c>
      <c r="Y406" s="142">
        <f>B406*IBGE_2!Y$406/100</f>
        <v>9.7000000000000017E-2</v>
      </c>
      <c r="Z406" s="142">
        <f>B406*IBGE_2!Z$406/100</f>
        <v>5.6000000000000008E-2</v>
      </c>
      <c r="AA406" s="142">
        <f>B406*IBGE_2!AA$406/100</f>
        <v>0.61399999999999999</v>
      </c>
      <c r="AB406" s="142">
        <f>B406*IBGE_2!AB$406/100</f>
        <v>9.6999999999999993</v>
      </c>
      <c r="AC406" s="142">
        <f>B406*IBGE_2!AC$406/100</f>
        <v>0.94699999999999984</v>
      </c>
      <c r="AD406" s="142" t="s">
        <v>3047</v>
      </c>
      <c r="AE406" s="142">
        <f>B406*IBGE_2!AE$406/100</f>
        <v>33</v>
      </c>
      <c r="AF406" s="145" t="s">
        <v>3047</v>
      </c>
      <c r="AG406" s="142">
        <f>B406*IBGE_2!AG$406/100</f>
        <v>0.45</v>
      </c>
      <c r="AH406" s="142" t="s">
        <v>3047</v>
      </c>
      <c r="AI406" s="142">
        <f>B406*IBGE_2!AI$406/100</f>
        <v>302</v>
      </c>
      <c r="AJ406" s="142">
        <f>B406*IBGE_2!AJ$406/100</f>
        <v>0.2</v>
      </c>
      <c r="AK406" s="142">
        <f>B406*IBGE_2!AK$406/100</f>
        <v>35</v>
      </c>
      <c r="AL406" s="142">
        <f>B406*IBGE_2!AL$406/100</f>
        <v>2.2999999999999998</v>
      </c>
      <c r="AM406" s="145" t="s">
        <v>3047</v>
      </c>
      <c r="AN406" s="161"/>
    </row>
    <row r="407" spans="1:40">
      <c r="A407" s="143" t="s">
        <v>1466</v>
      </c>
      <c r="B407" s="141">
        <v>100</v>
      </c>
      <c r="C407" s="142">
        <f>B407*IBGE_2!C$407/100</f>
        <v>28</v>
      </c>
      <c r="D407" s="142">
        <f>B407*IBGE_2!D$407/100</f>
        <v>2.17</v>
      </c>
      <c r="E407" s="142">
        <f>B407*IBGE_2!E$407/100</f>
        <v>0.47</v>
      </c>
      <c r="F407" s="142">
        <f>B407*IBGE_2!F$407/100</f>
        <v>5.0999999999999997E-2</v>
      </c>
      <c r="G407" s="142">
        <f>B407*IBGE_2!G$407/100</f>
        <v>7.000000000000001E-3</v>
      </c>
      <c r="H407" s="142">
        <f>B407*IBGE_2!H$407/100</f>
        <v>0.191</v>
      </c>
      <c r="I407" s="142">
        <f>B407*IBGE_2!I$407/100</f>
        <v>0.19</v>
      </c>
      <c r="J407" s="142">
        <f>B407*IBGE_2!J$407/100</f>
        <v>1E-3</v>
      </c>
      <c r="K407" s="142" t="s">
        <v>3047</v>
      </c>
      <c r="L407" s="142">
        <f>B407*IBGE_2!L$407/100</f>
        <v>5.29</v>
      </c>
      <c r="M407" s="142">
        <f>B407*IBGE_2!M$407/100</f>
        <v>2.2000000000000002</v>
      </c>
      <c r="N407" s="142">
        <f>B407*IBGE_2!N$407/100</f>
        <v>6</v>
      </c>
      <c r="O407" s="142">
        <f>B407*IBGE_2!O$407/100</f>
        <v>12</v>
      </c>
      <c r="P407" s="142">
        <f>B407*IBGE_2!P$407/100</f>
        <v>0.115</v>
      </c>
      <c r="Q407" s="142">
        <f>B407*IBGE_2!Q$407/100</f>
        <v>87</v>
      </c>
      <c r="R407" s="142">
        <f>B407*IBGE_2!R$407/100</f>
        <v>1.74</v>
      </c>
      <c r="S407" s="142">
        <f>B407*IBGE_2!S$407/100</f>
        <v>2</v>
      </c>
      <c r="T407" s="142">
        <f>B407*IBGE_2!T$407/100</f>
        <v>356</v>
      </c>
      <c r="U407" s="142">
        <f>B407*IBGE_2!U$407/100</f>
        <v>0.504</v>
      </c>
      <c r="V407" s="142">
        <f>B407*IBGE_2!V$407/100</f>
        <v>0.87</v>
      </c>
      <c r="W407" s="142" t="s">
        <v>3047</v>
      </c>
      <c r="X407" s="142">
        <f>B407*IBGE_2!X$407/100</f>
        <v>7.2999999999999995E-2</v>
      </c>
      <c r="Y407" s="142">
        <f>B407*IBGE_2!Y$407/100</f>
        <v>0.3</v>
      </c>
      <c r="Z407" s="142">
        <f>B407*IBGE_2!Z$407/100</f>
        <v>9.5000000000000001E-2</v>
      </c>
      <c r="AA407" s="142">
        <f>B407*IBGE_2!AA$407/100</f>
        <v>4.46</v>
      </c>
      <c r="AB407" s="142">
        <f>B407*IBGE_2!AB$407/100</f>
        <v>4</v>
      </c>
      <c r="AC407" s="142">
        <f>B407*IBGE_2!AC$407/100</f>
        <v>4.8600000000000003</v>
      </c>
      <c r="AD407" s="142" t="s">
        <v>3047</v>
      </c>
      <c r="AE407" s="142">
        <f>B407*IBGE_2!AE$407/100</f>
        <v>18</v>
      </c>
      <c r="AF407" s="142">
        <f>B407*IBGE_2!AF$407/100</f>
        <v>0.52500000000000002</v>
      </c>
      <c r="AG407" s="142">
        <f>B407*IBGE_2!AG$407/100</f>
        <v>0.01</v>
      </c>
      <c r="AH407" s="142" t="s">
        <v>3047</v>
      </c>
      <c r="AI407" s="145" t="s">
        <v>3047</v>
      </c>
      <c r="AJ407" s="142">
        <f>B407*IBGE_2!AJ$407/100</f>
        <v>11.9</v>
      </c>
      <c r="AK407" s="145" t="s">
        <v>3047</v>
      </c>
      <c r="AL407" s="142">
        <f>B407*IBGE_2!AL$407/100</f>
        <v>0.3</v>
      </c>
      <c r="AM407" s="145" t="s">
        <v>3047</v>
      </c>
      <c r="AN407" s="161"/>
    </row>
    <row r="408" spans="1:40">
      <c r="A408" s="143" t="s">
        <v>1467</v>
      </c>
      <c r="B408" s="141">
        <v>100</v>
      </c>
      <c r="C408" s="142">
        <f>B408*IBGE_2!C$408/100</f>
        <v>32.9</v>
      </c>
      <c r="D408" s="142">
        <f>B408*IBGE_2!D$408/100</f>
        <v>0.78</v>
      </c>
      <c r="E408" s="142">
        <f>B408*IBGE_2!E$408/100</f>
        <v>0.22</v>
      </c>
      <c r="F408" s="142">
        <f>B408*IBGE_2!F$408/100</f>
        <v>0.04</v>
      </c>
      <c r="G408" s="142">
        <f>B408*IBGE_2!G$408/100</f>
        <v>0.02</v>
      </c>
      <c r="H408" s="142">
        <f>B408*IBGE_2!H$408/100</f>
        <v>0.09</v>
      </c>
      <c r="I408" s="142">
        <f>B408*IBGE_2!I$408/100</f>
        <v>7.0000000000000007E-2</v>
      </c>
      <c r="J408" s="142">
        <f>B408*IBGE_2!J$408/100</f>
        <v>0.01</v>
      </c>
      <c r="K408" s="142" t="s">
        <v>3047</v>
      </c>
      <c r="L408" s="142">
        <f>B408*IBGE_2!L$408/100</f>
        <v>8.2100000000000009</v>
      </c>
      <c r="M408" s="142">
        <f>B408*IBGE_2!M$408/100</f>
        <v>2.35</v>
      </c>
      <c r="N408" s="142">
        <f>B408*IBGE_2!N$408/100</f>
        <v>5.64</v>
      </c>
      <c r="O408" s="142">
        <f>B408*IBGE_2!O$408/100</f>
        <v>10.34</v>
      </c>
      <c r="P408" s="142">
        <f>B408*IBGE_2!P$408/100</f>
        <v>0.11</v>
      </c>
      <c r="Q408" s="142">
        <f>B408*IBGE_2!Q$408/100</f>
        <v>14.1</v>
      </c>
      <c r="R408" s="142">
        <f>B408*IBGE_2!R$408/100</f>
        <v>0.24</v>
      </c>
      <c r="S408" s="142">
        <f>B408*IBGE_2!S$408/100</f>
        <v>0.94</v>
      </c>
      <c r="T408" s="142">
        <f>B408*IBGE_2!T$408/100</f>
        <v>115.62</v>
      </c>
      <c r="U408" s="142">
        <f>B408*IBGE_2!U$408/100</f>
        <v>0.06</v>
      </c>
      <c r="V408" s="142">
        <f>B408*IBGE_2!V$408/100</f>
        <v>0.11</v>
      </c>
      <c r="W408" s="142" t="s">
        <v>3047</v>
      </c>
      <c r="X408" s="142">
        <f>B408*IBGE_2!X$408/100</f>
        <v>7.0000000000000007E-2</v>
      </c>
      <c r="Y408" s="142">
        <f>B408*IBGE_2!Y$408/100</f>
        <v>0.02</v>
      </c>
      <c r="Z408" s="142">
        <f>B408*IBGE_2!Z$408/100</f>
        <v>0.08</v>
      </c>
      <c r="AA408" s="142">
        <f>B408*IBGE_2!AA$408/100</f>
        <v>0.56000000000000005</v>
      </c>
      <c r="AB408" s="142">
        <f>B408*IBGE_2!AB$408/100</f>
        <v>1.22</v>
      </c>
      <c r="AC408" s="142">
        <f>B408*IBGE_2!AC$408/100</f>
        <v>0.69</v>
      </c>
      <c r="AD408" s="142" t="s">
        <v>3047</v>
      </c>
      <c r="AE408" s="142">
        <f>B408*IBGE_2!AE$408/100</f>
        <v>13.16</v>
      </c>
      <c r="AF408" s="145" t="s">
        <v>3047</v>
      </c>
      <c r="AG408" s="142">
        <f>B408*IBGE_2!AG$408/100</f>
        <v>0.39</v>
      </c>
      <c r="AH408" s="142" t="s">
        <v>3047</v>
      </c>
      <c r="AI408" s="142">
        <f>B408*IBGE_2!AI$408/100</f>
        <v>381</v>
      </c>
      <c r="AJ408" s="142">
        <f>B408*IBGE_2!AJ$408/100</f>
        <v>0.09</v>
      </c>
      <c r="AK408" s="142">
        <f>B408*IBGE_2!AK$408/100</f>
        <v>1.72</v>
      </c>
      <c r="AL408" s="142">
        <f>B408*IBGE_2!AL$408/100</f>
        <v>3.67</v>
      </c>
      <c r="AM408" s="145" t="s">
        <v>3047</v>
      </c>
      <c r="AN408" s="161"/>
    </row>
    <row r="409" spans="1:40">
      <c r="A409" s="143" t="s">
        <v>1468</v>
      </c>
      <c r="B409" s="141">
        <v>100</v>
      </c>
      <c r="C409" s="142">
        <f>B409*IBGE_2!C$409/100</f>
        <v>35</v>
      </c>
      <c r="D409" s="142">
        <f>B409*IBGE_2!D$409/100</f>
        <v>0.83</v>
      </c>
      <c r="E409" s="142">
        <f>B409*IBGE_2!E$409/100</f>
        <v>0.23</v>
      </c>
      <c r="F409" s="142">
        <f>B409*IBGE_2!F$409/100</f>
        <v>0.04</v>
      </c>
      <c r="G409" s="142">
        <f>B409*IBGE_2!G$409/100</f>
        <v>0.02</v>
      </c>
      <c r="H409" s="142">
        <f>B409*IBGE_2!H$409/100</f>
        <v>0.09</v>
      </c>
      <c r="I409" s="142">
        <f>B409*IBGE_2!I$409/100</f>
        <v>0.08</v>
      </c>
      <c r="J409" s="142">
        <f>B409*IBGE_2!J$409/100</f>
        <v>0.02</v>
      </c>
      <c r="K409" s="142" t="s">
        <v>3047</v>
      </c>
      <c r="L409" s="142">
        <f>B409*IBGE_2!L$409/100</f>
        <v>8.73</v>
      </c>
      <c r="M409" s="142">
        <f>B409*IBGE_2!M$409/100</f>
        <v>2.5</v>
      </c>
      <c r="N409" s="142">
        <f>B409*IBGE_2!N$409/100</f>
        <v>6</v>
      </c>
      <c r="O409" s="142">
        <f>B409*IBGE_2!O$409/100</f>
        <v>11</v>
      </c>
      <c r="P409" s="142">
        <f>B409*IBGE_2!P$409/100</f>
        <v>0.11</v>
      </c>
      <c r="Q409" s="142">
        <f>B409*IBGE_2!Q$409/100</f>
        <v>15</v>
      </c>
      <c r="R409" s="142">
        <f>B409*IBGE_2!R$409/100</f>
        <v>0.25</v>
      </c>
      <c r="S409" s="142">
        <f>B409*IBGE_2!S$409/100</f>
        <v>1</v>
      </c>
      <c r="T409" s="142">
        <f>B409*IBGE_2!T$409/100</f>
        <v>123</v>
      </c>
      <c r="U409" s="142">
        <f>B409*IBGE_2!U$409/100</f>
        <v>0.06</v>
      </c>
      <c r="V409" s="142">
        <f>B409*IBGE_2!V$409/100</f>
        <v>0.12</v>
      </c>
      <c r="W409" s="142" t="s">
        <v>3047</v>
      </c>
      <c r="X409" s="142">
        <f>B409*IBGE_2!X$409/100</f>
        <v>0.08</v>
      </c>
      <c r="Y409" s="142">
        <f>B409*IBGE_2!Y$409/100</f>
        <v>0.02</v>
      </c>
      <c r="Z409" s="142">
        <f>B409*IBGE_2!Z$409/100</f>
        <v>0.09</v>
      </c>
      <c r="AA409" s="142">
        <f>B409*IBGE_2!AA$409/100</f>
        <v>0.6</v>
      </c>
      <c r="AB409" s="142">
        <f>B409*IBGE_2!AB$409/100</f>
        <v>1.3</v>
      </c>
      <c r="AC409" s="142">
        <f>B409*IBGE_2!AC$409/100</f>
        <v>0.73</v>
      </c>
      <c r="AD409" s="142" t="s">
        <v>3047</v>
      </c>
      <c r="AE409" s="142">
        <f>B409*IBGE_2!AE$409/100</f>
        <v>14</v>
      </c>
      <c r="AF409" s="145" t="s">
        <v>3047</v>
      </c>
      <c r="AG409" s="142">
        <f>B409*IBGE_2!AG$409/100</f>
        <v>0.41</v>
      </c>
      <c r="AH409" s="142" t="s">
        <v>3047</v>
      </c>
      <c r="AI409" s="142">
        <f>B409*IBGE_2!AI$409/100</f>
        <v>381</v>
      </c>
      <c r="AJ409" s="142">
        <f>B409*IBGE_2!AJ$409/100</f>
        <v>0.1</v>
      </c>
      <c r="AK409" s="142">
        <f>B409*IBGE_2!AK$409/100</f>
        <v>1.83</v>
      </c>
      <c r="AL409" s="142">
        <f>B409*IBGE_2!AL$409/100</f>
        <v>3.9</v>
      </c>
      <c r="AM409" s="145" t="s">
        <v>3047</v>
      </c>
      <c r="AN409" s="161"/>
    </row>
    <row r="410" spans="1:40">
      <c r="A410" s="143" t="s">
        <v>1469</v>
      </c>
      <c r="B410" s="141">
        <v>100</v>
      </c>
      <c r="C410" s="142">
        <f>B410*IBGE_2!C$410/100</f>
        <v>35</v>
      </c>
      <c r="D410" s="142">
        <f>B410*IBGE_2!D$410/100</f>
        <v>0.83</v>
      </c>
      <c r="E410" s="142">
        <f>B410*IBGE_2!E$410/100</f>
        <v>0.23</v>
      </c>
      <c r="F410" s="142">
        <f>B410*IBGE_2!F$410/100</f>
        <v>0.04</v>
      </c>
      <c r="G410" s="142">
        <f>B410*IBGE_2!G$410/100</f>
        <v>0.02</v>
      </c>
      <c r="H410" s="142">
        <f>B410*IBGE_2!H$410/100</f>
        <v>0.09</v>
      </c>
      <c r="I410" s="142">
        <f>B410*IBGE_2!I$410/100</f>
        <v>0.08</v>
      </c>
      <c r="J410" s="142">
        <f>B410*IBGE_2!J$410/100</f>
        <v>0.02</v>
      </c>
      <c r="K410" s="142" t="s">
        <v>3047</v>
      </c>
      <c r="L410" s="142">
        <f>B410*IBGE_2!L$410/100</f>
        <v>8.73</v>
      </c>
      <c r="M410" s="142">
        <f>B410*IBGE_2!M$410/100</f>
        <v>2.5</v>
      </c>
      <c r="N410" s="142">
        <f>B410*IBGE_2!N$410/100</f>
        <v>6</v>
      </c>
      <c r="O410" s="142">
        <f>B410*IBGE_2!O$410/100</f>
        <v>11</v>
      </c>
      <c r="P410" s="142">
        <f>B410*IBGE_2!P$410/100</f>
        <v>0.11</v>
      </c>
      <c r="Q410" s="142">
        <f>B410*IBGE_2!Q$410/100</f>
        <v>15</v>
      </c>
      <c r="R410" s="142">
        <f>B410*IBGE_2!R$410/100</f>
        <v>0.25</v>
      </c>
      <c r="S410" s="142">
        <f>B410*IBGE_2!S$410/100</f>
        <v>1</v>
      </c>
      <c r="T410" s="142">
        <f>B410*IBGE_2!T$410/100</f>
        <v>123</v>
      </c>
      <c r="U410" s="142">
        <f>B410*IBGE_2!U$410/100</f>
        <v>0.06</v>
      </c>
      <c r="V410" s="142">
        <f>B410*IBGE_2!V$410/100</f>
        <v>0.12</v>
      </c>
      <c r="W410" s="142" t="s">
        <v>3047</v>
      </c>
      <c r="X410" s="142">
        <f>B410*IBGE_2!X$410/100</f>
        <v>0.08</v>
      </c>
      <c r="Y410" s="142">
        <f>B410*IBGE_2!Y$410/100</f>
        <v>0.02</v>
      </c>
      <c r="Z410" s="142">
        <f>B410*IBGE_2!Z$410/100</f>
        <v>0.09</v>
      </c>
      <c r="AA410" s="142">
        <f>B410*IBGE_2!AA$410/100</f>
        <v>0.6</v>
      </c>
      <c r="AB410" s="142">
        <f>B410*IBGE_2!AB$410/100</f>
        <v>1.3</v>
      </c>
      <c r="AC410" s="142">
        <f>B410*IBGE_2!AC$410/100</f>
        <v>0.73</v>
      </c>
      <c r="AD410" s="145" t="s">
        <v>3047</v>
      </c>
      <c r="AE410" s="142">
        <f>B410*IBGE_2!AE$410/100</f>
        <v>14</v>
      </c>
      <c r="AF410" s="145" t="s">
        <v>3047</v>
      </c>
      <c r="AG410" s="142">
        <f>B410*IBGE_2!AG$410/100</f>
        <v>0.41</v>
      </c>
      <c r="AH410" s="142" t="s">
        <v>3047</v>
      </c>
      <c r="AI410" s="142">
        <f>B410*IBGE_2!AI$410/100</f>
        <v>381</v>
      </c>
      <c r="AJ410" s="142">
        <f>B410*IBGE_2!AJ$410/100</f>
        <v>0.1</v>
      </c>
      <c r="AK410" s="142">
        <f>B410*IBGE_2!AK$410/100</f>
        <v>1.83</v>
      </c>
      <c r="AL410" s="142">
        <f>B410*IBGE_2!AL$410/100</f>
        <v>3.9</v>
      </c>
      <c r="AM410" s="145" t="s">
        <v>3047</v>
      </c>
      <c r="AN410" s="161"/>
    </row>
    <row r="411" spans="1:40">
      <c r="A411" s="143" t="s">
        <v>1470</v>
      </c>
      <c r="B411" s="141">
        <v>100</v>
      </c>
      <c r="C411" s="142">
        <f>B411*IBGE_2!C$411/100</f>
        <v>75.55</v>
      </c>
      <c r="D411" s="142">
        <f>B411*IBGE_2!D$411/100</f>
        <v>0.83</v>
      </c>
      <c r="E411" s="142">
        <f>B411*IBGE_2!E$411/100</f>
        <v>4.82</v>
      </c>
      <c r="F411" s="142">
        <f>B411*IBGE_2!F$411/100</f>
        <v>0.7</v>
      </c>
      <c r="G411" s="142">
        <f>B411*IBGE_2!G$411/100</f>
        <v>1.0900000000000001</v>
      </c>
      <c r="H411" s="142">
        <f>B411*IBGE_2!H$411/100</f>
        <v>2.75</v>
      </c>
      <c r="I411" s="142">
        <f>B411*IBGE_2!I$411/100</f>
        <v>2.42</v>
      </c>
      <c r="J411" s="142">
        <f>B411*IBGE_2!J$411/100</f>
        <v>0.33</v>
      </c>
      <c r="K411" s="142" t="s">
        <v>3047</v>
      </c>
      <c r="L411" s="142">
        <f>B411*IBGE_2!L$411/100</f>
        <v>8.73</v>
      </c>
      <c r="M411" s="142">
        <f>B411*IBGE_2!M$411/100</f>
        <v>2.5</v>
      </c>
      <c r="N411" s="142">
        <f>B411*IBGE_2!N$411/100</f>
        <v>6</v>
      </c>
      <c r="O411" s="142">
        <f>B411*IBGE_2!O$411/100</f>
        <v>11</v>
      </c>
      <c r="P411" s="142">
        <f>B411*IBGE_2!P$411/100</f>
        <v>0.11</v>
      </c>
      <c r="Q411" s="142">
        <f>B411*IBGE_2!Q$411/100</f>
        <v>15</v>
      </c>
      <c r="R411" s="142">
        <f>B411*IBGE_2!R$411/100</f>
        <v>0.25</v>
      </c>
      <c r="S411" s="142">
        <f>B411*IBGE_2!S$411/100</f>
        <v>1</v>
      </c>
      <c r="T411" s="142">
        <f>B411*IBGE_2!T$411/100</f>
        <v>123</v>
      </c>
      <c r="U411" s="142">
        <f>B411*IBGE_2!U$411/100</f>
        <v>0.06</v>
      </c>
      <c r="V411" s="142">
        <f>B411*IBGE_2!V$411/100</f>
        <v>0.12</v>
      </c>
      <c r="W411" s="142" t="s">
        <v>3047</v>
      </c>
      <c r="X411" s="142">
        <f>B411*IBGE_2!X$411/100</f>
        <v>0.08</v>
      </c>
      <c r="Y411" s="142">
        <f>B411*IBGE_2!Y$411/100</f>
        <v>0.02</v>
      </c>
      <c r="Z411" s="142">
        <f>B411*IBGE_2!Z$411/100</f>
        <v>0.09</v>
      </c>
      <c r="AA411" s="142">
        <f>B411*IBGE_2!AA$411/100</f>
        <v>0.6</v>
      </c>
      <c r="AB411" s="142">
        <f>B411*IBGE_2!AB$411/100</f>
        <v>1.3</v>
      </c>
      <c r="AC411" s="142">
        <f>B411*IBGE_2!AC$411/100</f>
        <v>0.73</v>
      </c>
      <c r="AD411" s="145" t="s">
        <v>3047</v>
      </c>
      <c r="AE411" s="142">
        <f>B411*IBGE_2!AE$411/100</f>
        <v>14</v>
      </c>
      <c r="AF411" s="145" t="s">
        <v>3047</v>
      </c>
      <c r="AG411" s="142">
        <f>B411*IBGE_2!AG$411/100</f>
        <v>0.83</v>
      </c>
      <c r="AH411" s="142" t="s">
        <v>3047</v>
      </c>
      <c r="AI411" s="142">
        <f>B411*IBGE_2!AI$411/100</f>
        <v>381</v>
      </c>
      <c r="AJ411" s="142">
        <f>B411*IBGE_2!AJ$411/100</f>
        <v>2.2000000000000002</v>
      </c>
      <c r="AK411" s="142">
        <f>B411*IBGE_2!AK$411/100</f>
        <v>1.83</v>
      </c>
      <c r="AL411" s="142">
        <f>B411*IBGE_2!AL$411/100</f>
        <v>3.9</v>
      </c>
      <c r="AM411" s="145" t="s">
        <v>3047</v>
      </c>
      <c r="AN411" s="161"/>
    </row>
    <row r="412" spans="1:40">
      <c r="A412" s="143" t="s">
        <v>1471</v>
      </c>
      <c r="B412" s="141">
        <v>100</v>
      </c>
      <c r="C412" s="142">
        <f>B412*IBGE_2!C$412/100</f>
        <v>164.87</v>
      </c>
      <c r="D412" s="142">
        <f>B412*IBGE_2!D$412/100</f>
        <v>3.69</v>
      </c>
      <c r="E412" s="142">
        <f>B412*IBGE_2!E$412/100</f>
        <v>10.18</v>
      </c>
      <c r="F412" s="142">
        <f>B412*IBGE_2!F$412/100</f>
        <v>1.74</v>
      </c>
      <c r="G412" s="142">
        <f>B412*IBGE_2!G$412/100</f>
        <v>2.57</v>
      </c>
      <c r="H412" s="142">
        <f>B412*IBGE_2!H$412/100</f>
        <v>5.12</v>
      </c>
      <c r="I412" s="142">
        <f>B412*IBGE_2!I$412/100</f>
        <v>4.5</v>
      </c>
      <c r="J412" s="142">
        <f>B412*IBGE_2!J$412/100</f>
        <v>0.57999999999999996</v>
      </c>
      <c r="K412" s="142">
        <f>B412*IBGE_2!K$412/100</f>
        <v>64.239999999999995</v>
      </c>
      <c r="L412" s="142">
        <f>B412*IBGE_2!L$412/100</f>
        <v>15.86</v>
      </c>
      <c r="M412" s="142">
        <f>B412*IBGE_2!M$412/100</f>
        <v>2.71</v>
      </c>
      <c r="N412" s="142">
        <f>B412*IBGE_2!N$412/100</f>
        <v>14.81</v>
      </c>
      <c r="O412" s="142">
        <f>B412*IBGE_2!O$412/100</f>
        <v>14.26</v>
      </c>
      <c r="P412" s="142">
        <f>B412*IBGE_2!P$412/100</f>
        <v>0.18</v>
      </c>
      <c r="Q412" s="142">
        <f>B412*IBGE_2!Q$412/100</f>
        <v>50.82</v>
      </c>
      <c r="R412" s="142">
        <f>B412*IBGE_2!R$412/100</f>
        <v>0.86</v>
      </c>
      <c r="S412" s="142">
        <f>B412*IBGE_2!S$412/100</f>
        <v>19.95</v>
      </c>
      <c r="T412" s="142">
        <f>B412*IBGE_2!T$412/100</f>
        <v>148.41999999999999</v>
      </c>
      <c r="U412" s="142">
        <f>B412*IBGE_2!U$412/100</f>
        <v>7.0000000000000007E-2</v>
      </c>
      <c r="V412" s="142">
        <f>B412*IBGE_2!V$412/100</f>
        <v>0.34</v>
      </c>
      <c r="W412" s="142">
        <f>B412*IBGE_2!W$412/100</f>
        <v>25.45</v>
      </c>
      <c r="X412" s="142">
        <f>B412*IBGE_2!X$412/100</f>
        <v>0.16</v>
      </c>
      <c r="Y412" s="142">
        <f>B412*IBGE_2!Y$412/100</f>
        <v>0.14000000000000001</v>
      </c>
      <c r="Z412" s="142">
        <f>B412*IBGE_2!Z$412/100</f>
        <v>0.11</v>
      </c>
      <c r="AA412" s="142">
        <f>B412*IBGE_2!AA$412/100</f>
        <v>1.1499999999999999</v>
      </c>
      <c r="AB412" s="142">
        <f>B412*IBGE_2!AB$412/100</f>
        <v>1.26</v>
      </c>
      <c r="AC412" s="142">
        <f>B412*IBGE_2!AC$412/100</f>
        <v>1.87</v>
      </c>
      <c r="AD412" s="142">
        <f>B412*IBGE_2!AD$412/100</f>
        <v>0.17</v>
      </c>
      <c r="AE412" s="142">
        <f>B412*IBGE_2!AE$412/100</f>
        <v>39.549999999999997</v>
      </c>
      <c r="AF412" s="142">
        <f>B412*IBGE_2!AF$412/100</f>
        <v>0.19</v>
      </c>
      <c r="AG412" s="142">
        <f>B412*IBGE_2!AG$412/100</f>
        <v>1.32</v>
      </c>
      <c r="AH412" s="142" t="s">
        <v>3047</v>
      </c>
      <c r="AI412" s="142">
        <f>B412*IBGE_2!AI$412/100</f>
        <v>381</v>
      </c>
      <c r="AJ412" s="142">
        <f>B412*IBGE_2!AJ$412/100</f>
        <v>11.76</v>
      </c>
      <c r="AK412" s="142">
        <f>B412*IBGE_2!AK$412/100</f>
        <v>27.43</v>
      </c>
      <c r="AL412" s="142">
        <f>B412*IBGE_2!AL$412/100</f>
        <v>3.99</v>
      </c>
      <c r="AM412" s="145" t="s">
        <v>3047</v>
      </c>
      <c r="AN412" s="161"/>
    </row>
    <row r="413" spans="1:40">
      <c r="A413" s="143" t="s">
        <v>1472</v>
      </c>
      <c r="B413" s="141">
        <v>100</v>
      </c>
      <c r="C413" s="142">
        <f>B413*IBGE_2!C$413/100</f>
        <v>75.55</v>
      </c>
      <c r="D413" s="142">
        <f>B413*IBGE_2!D$413/100</f>
        <v>0.83</v>
      </c>
      <c r="E413" s="142">
        <f>B413*IBGE_2!E$413/100</f>
        <v>4.82</v>
      </c>
      <c r="F413" s="142">
        <f>B413*IBGE_2!F$413/100</f>
        <v>0.7</v>
      </c>
      <c r="G413" s="142">
        <f>B413*IBGE_2!G$413/100</f>
        <v>1.0900000000000001</v>
      </c>
      <c r="H413" s="142">
        <f>B413*IBGE_2!H$413/100</f>
        <v>2.75</v>
      </c>
      <c r="I413" s="142">
        <f>B413*IBGE_2!I$413/100</f>
        <v>2.42</v>
      </c>
      <c r="J413" s="142">
        <f>B413*IBGE_2!J$413/100</f>
        <v>0.33</v>
      </c>
      <c r="K413" s="142" t="s">
        <v>3047</v>
      </c>
      <c r="L413" s="142">
        <f>B413*IBGE_2!L$413/100</f>
        <v>8.73</v>
      </c>
      <c r="M413" s="142">
        <f>B413*IBGE_2!M$413/100</f>
        <v>2.5</v>
      </c>
      <c r="N413" s="142">
        <f>B413*IBGE_2!N$413/100</f>
        <v>6</v>
      </c>
      <c r="O413" s="142">
        <f>B413*IBGE_2!O$413/100</f>
        <v>11</v>
      </c>
      <c r="P413" s="142">
        <f>B413*IBGE_2!P$413/100</f>
        <v>0.11</v>
      </c>
      <c r="Q413" s="142">
        <f>B413*IBGE_2!Q$413/100</f>
        <v>15</v>
      </c>
      <c r="R413" s="142">
        <f>B413*IBGE_2!R$413/100</f>
        <v>0.25</v>
      </c>
      <c r="S413" s="142">
        <f>B413*IBGE_2!S$413/100</f>
        <v>1</v>
      </c>
      <c r="T413" s="142">
        <f>B413*IBGE_2!T$413/100</f>
        <v>123</v>
      </c>
      <c r="U413" s="142">
        <f>B413*IBGE_2!U$413/100</f>
        <v>0.06</v>
      </c>
      <c r="V413" s="142">
        <f>B413*IBGE_2!V$413/100</f>
        <v>0.12</v>
      </c>
      <c r="W413" s="142" t="s">
        <v>3047</v>
      </c>
      <c r="X413" s="142">
        <f>B413*IBGE_2!X$413/100</f>
        <v>0.08</v>
      </c>
      <c r="Y413" s="142">
        <f>B413*IBGE_2!Y$413/100</f>
        <v>0.02</v>
      </c>
      <c r="Z413" s="142">
        <f>B413*IBGE_2!Z$413/100</f>
        <v>0.09</v>
      </c>
      <c r="AA413" s="142">
        <f>B413*IBGE_2!AA$413/100</f>
        <v>0.6</v>
      </c>
      <c r="AB413" s="142">
        <f>B413*IBGE_2!AB$413/100</f>
        <v>1.3</v>
      </c>
      <c r="AC413" s="142">
        <f>B413*IBGE_2!AC$413/100</f>
        <v>0.73</v>
      </c>
      <c r="AD413" s="142" t="s">
        <v>3047</v>
      </c>
      <c r="AE413" s="142">
        <f>B413*IBGE_2!AE$413/100</f>
        <v>14</v>
      </c>
      <c r="AF413" s="142" t="s">
        <v>3047</v>
      </c>
      <c r="AG413" s="142">
        <f>B413*IBGE_2!AG$413/100</f>
        <v>0.83</v>
      </c>
      <c r="AH413" s="142" t="s">
        <v>3047</v>
      </c>
      <c r="AI413" s="142">
        <f>B413*IBGE_2!AI$413/100</f>
        <v>381</v>
      </c>
      <c r="AJ413" s="142">
        <f>B413*IBGE_2!AJ$413/100</f>
        <v>2.2000000000000002</v>
      </c>
      <c r="AK413" s="142">
        <f>B413*IBGE_2!AK$413/100</f>
        <v>1.83</v>
      </c>
      <c r="AL413" s="142">
        <f>B413*IBGE_2!AL$413/100</f>
        <v>3.9</v>
      </c>
      <c r="AM413" s="145" t="s">
        <v>3047</v>
      </c>
      <c r="AN413" s="161"/>
    </row>
    <row r="414" spans="1:40">
      <c r="A414" s="143" t="s">
        <v>1473</v>
      </c>
      <c r="B414" s="141">
        <v>100</v>
      </c>
      <c r="C414" s="142">
        <f>B414*IBGE_2!C$414/100</f>
        <v>35</v>
      </c>
      <c r="D414" s="142">
        <f>B414*IBGE_2!D$414/100</f>
        <v>0.83</v>
      </c>
      <c r="E414" s="142">
        <f>B414*IBGE_2!E$414/100</f>
        <v>0.23</v>
      </c>
      <c r="F414" s="142">
        <f>B414*IBGE_2!F$414/100</f>
        <v>0.04</v>
      </c>
      <c r="G414" s="142">
        <f>B414*IBGE_2!G$414/100</f>
        <v>0.02</v>
      </c>
      <c r="H414" s="142">
        <f>B414*IBGE_2!H$414/100</f>
        <v>0.09</v>
      </c>
      <c r="I414" s="142">
        <f>B414*IBGE_2!I$414/100</f>
        <v>0.08</v>
      </c>
      <c r="J414" s="142">
        <f>B414*IBGE_2!J$414/100</f>
        <v>0.02</v>
      </c>
      <c r="K414" s="142" t="s">
        <v>3047</v>
      </c>
      <c r="L414" s="142">
        <f>B414*IBGE_2!L$414/100</f>
        <v>8.73</v>
      </c>
      <c r="M414" s="142">
        <f>B414*IBGE_2!M$414/100</f>
        <v>2.5</v>
      </c>
      <c r="N414" s="142">
        <f>B414*IBGE_2!N$414/100</f>
        <v>6</v>
      </c>
      <c r="O414" s="142">
        <f>B414*IBGE_2!O$414/100</f>
        <v>11</v>
      </c>
      <c r="P414" s="142">
        <f>B414*IBGE_2!P$414/100</f>
        <v>0.11</v>
      </c>
      <c r="Q414" s="142">
        <f>B414*IBGE_2!Q$414/100</f>
        <v>15</v>
      </c>
      <c r="R414" s="142">
        <f>B414*IBGE_2!R$414/100</f>
        <v>0.25</v>
      </c>
      <c r="S414" s="142">
        <f>B414*IBGE_2!S$414/100</f>
        <v>1</v>
      </c>
      <c r="T414" s="142">
        <f>B414*IBGE_2!T$414/100</f>
        <v>123</v>
      </c>
      <c r="U414" s="142">
        <f>B414*IBGE_2!U$414/100</f>
        <v>0.06</v>
      </c>
      <c r="V414" s="142">
        <f>B414*IBGE_2!V$414/100</f>
        <v>0.12</v>
      </c>
      <c r="W414" s="142" t="s">
        <v>3047</v>
      </c>
      <c r="X414" s="142">
        <f>B414*IBGE_2!X$414/100</f>
        <v>0.08</v>
      </c>
      <c r="Y414" s="142">
        <f>B414*IBGE_2!Y$414/100</f>
        <v>0.02</v>
      </c>
      <c r="Z414" s="142">
        <f>B414*IBGE_2!Z$414/100</f>
        <v>0.09</v>
      </c>
      <c r="AA414" s="142">
        <f>B414*IBGE_2!AA$414/100</f>
        <v>0.6</v>
      </c>
      <c r="AB414" s="142">
        <f>B414*IBGE_2!AB$414/100</f>
        <v>1.3</v>
      </c>
      <c r="AC414" s="142">
        <f>B414*IBGE_2!AC$414/100</f>
        <v>0.73</v>
      </c>
      <c r="AD414" s="142" t="s">
        <v>3047</v>
      </c>
      <c r="AE414" s="142">
        <f>B414*IBGE_2!AE$414/100</f>
        <v>14</v>
      </c>
      <c r="AF414" s="142" t="s">
        <v>3047</v>
      </c>
      <c r="AG414" s="142">
        <f>B414*IBGE_2!AG$414/100</f>
        <v>0.41</v>
      </c>
      <c r="AH414" s="142" t="s">
        <v>3047</v>
      </c>
      <c r="AI414" s="142">
        <f>B414*IBGE_2!AI$414/100</f>
        <v>381</v>
      </c>
      <c r="AJ414" s="142">
        <f>B414*IBGE_2!AJ$414/100</f>
        <v>0.1</v>
      </c>
      <c r="AK414" s="142">
        <f>B414*IBGE_2!AK$414/100</f>
        <v>1.83</v>
      </c>
      <c r="AL414" s="142">
        <f>B414*IBGE_2!AL$414/100</f>
        <v>3.9</v>
      </c>
      <c r="AM414" s="145" t="s">
        <v>3047</v>
      </c>
      <c r="AN414" s="161"/>
    </row>
    <row r="415" spans="1:40">
      <c r="A415" s="143" t="s">
        <v>1474</v>
      </c>
      <c r="B415" s="141">
        <v>100</v>
      </c>
      <c r="C415" s="142">
        <f>B415*IBGE_2!C$415/100</f>
        <v>75.55</v>
      </c>
      <c r="D415" s="142">
        <f>B415*IBGE_2!D$415/100</f>
        <v>0.83</v>
      </c>
      <c r="E415" s="142">
        <f>B415*IBGE_2!E$415/100</f>
        <v>4.82</v>
      </c>
      <c r="F415" s="142">
        <f>B415*IBGE_2!F$415/100</f>
        <v>0.7</v>
      </c>
      <c r="G415" s="142">
        <f>B415*IBGE_2!G$415/100</f>
        <v>1.0900000000000001</v>
      </c>
      <c r="H415" s="142">
        <f>B415*IBGE_2!H$415/100</f>
        <v>2.75</v>
      </c>
      <c r="I415" s="142">
        <f>B415*IBGE_2!I$415/100</f>
        <v>2.42</v>
      </c>
      <c r="J415" s="142">
        <f>B415*IBGE_2!J$415/100</f>
        <v>0.33</v>
      </c>
      <c r="K415" s="142" t="s">
        <v>3047</v>
      </c>
      <c r="L415" s="142">
        <f>B415*IBGE_2!L$415/100</f>
        <v>8.73</v>
      </c>
      <c r="M415" s="142">
        <f>B415*IBGE_2!M$415/100</f>
        <v>2.5</v>
      </c>
      <c r="N415" s="142">
        <f>B415*IBGE_2!N$415/100</f>
        <v>6</v>
      </c>
      <c r="O415" s="142">
        <f>B415*IBGE_2!O$415/100</f>
        <v>11</v>
      </c>
      <c r="P415" s="142">
        <f>B415*IBGE_2!P$415/100</f>
        <v>0.11</v>
      </c>
      <c r="Q415" s="142">
        <f>B415*IBGE_2!Q$415/100</f>
        <v>15</v>
      </c>
      <c r="R415" s="142">
        <f>B415*IBGE_2!R$415/100</f>
        <v>0.25</v>
      </c>
      <c r="S415" s="142">
        <f>B415*IBGE_2!S$415/100</f>
        <v>1</v>
      </c>
      <c r="T415" s="142">
        <f>B415*IBGE_2!T$415/100</f>
        <v>123</v>
      </c>
      <c r="U415" s="142">
        <f>B415*IBGE_2!U$415/100</f>
        <v>0.06</v>
      </c>
      <c r="V415" s="142">
        <f>B415*IBGE_2!V$415/100</f>
        <v>0.12</v>
      </c>
      <c r="W415" s="142" t="s">
        <v>3047</v>
      </c>
      <c r="X415" s="142">
        <f>B415*IBGE_2!X$415/100</f>
        <v>0.08</v>
      </c>
      <c r="Y415" s="142">
        <f>B415*IBGE_2!Y$415/100</f>
        <v>0.02</v>
      </c>
      <c r="Z415" s="142">
        <f>B415*IBGE_2!Z$415/100</f>
        <v>0.09</v>
      </c>
      <c r="AA415" s="142">
        <f>B415*IBGE_2!AA$415/100</f>
        <v>0.6</v>
      </c>
      <c r="AB415" s="142">
        <f>B415*IBGE_2!AB$415/100</f>
        <v>1.3</v>
      </c>
      <c r="AC415" s="142">
        <f>B415*IBGE_2!AC$415/100</f>
        <v>0.73</v>
      </c>
      <c r="AD415" s="142" t="s">
        <v>3047</v>
      </c>
      <c r="AE415" s="142">
        <f>B415*IBGE_2!AE$415/100</f>
        <v>14</v>
      </c>
      <c r="AF415" s="142" t="s">
        <v>3047</v>
      </c>
      <c r="AG415" s="142">
        <f>B415*IBGE_2!AG$415/100</f>
        <v>0.83</v>
      </c>
      <c r="AH415" s="142" t="s">
        <v>3047</v>
      </c>
      <c r="AI415" s="142">
        <f>B415*IBGE_2!AI$415/100</f>
        <v>381</v>
      </c>
      <c r="AJ415" s="142">
        <f>B415*IBGE_2!AJ$415/100</f>
        <v>2.2000000000000002</v>
      </c>
      <c r="AK415" s="142">
        <f>B415*IBGE_2!AK$415/100</f>
        <v>1.83</v>
      </c>
      <c r="AL415" s="142">
        <f>B415*IBGE_2!AL$415/100</f>
        <v>3.9</v>
      </c>
      <c r="AM415" s="145" t="s">
        <v>3047</v>
      </c>
      <c r="AN415" s="161"/>
    </row>
    <row r="416" spans="1:40">
      <c r="A416" s="143" t="s">
        <v>1475</v>
      </c>
      <c r="B416" s="141">
        <v>100</v>
      </c>
      <c r="C416" s="142">
        <f>B416*IBGE_2!C$416/100</f>
        <v>35</v>
      </c>
      <c r="D416" s="142">
        <f>B416*IBGE_2!D$416/100</f>
        <v>0.83</v>
      </c>
      <c r="E416" s="142">
        <f>B416*IBGE_2!E$416/100</f>
        <v>0.23</v>
      </c>
      <c r="F416" s="142">
        <f>B416*IBGE_2!F$416/100</f>
        <v>0.04</v>
      </c>
      <c r="G416" s="142">
        <f>B416*IBGE_2!G$416/100</f>
        <v>0.02</v>
      </c>
      <c r="H416" s="142">
        <f>B416*IBGE_2!H$416/100</f>
        <v>0.09</v>
      </c>
      <c r="I416" s="142">
        <f>B416*IBGE_2!I$416/100</f>
        <v>0.08</v>
      </c>
      <c r="J416" s="142">
        <f>B416*IBGE_2!J$416/100</f>
        <v>0.02</v>
      </c>
      <c r="K416" s="142" t="s">
        <v>3047</v>
      </c>
      <c r="L416" s="142">
        <f>B416*IBGE_2!L$416/100</f>
        <v>8.73</v>
      </c>
      <c r="M416" s="142">
        <f>B416*IBGE_2!M$416/100</f>
        <v>2.5</v>
      </c>
      <c r="N416" s="142">
        <f>B416*IBGE_2!N$416/100</f>
        <v>6</v>
      </c>
      <c r="O416" s="142">
        <f>B416*IBGE_2!O$416/100</f>
        <v>11</v>
      </c>
      <c r="P416" s="142">
        <f>B416*IBGE_2!P$416/100</f>
        <v>0.11</v>
      </c>
      <c r="Q416" s="142">
        <f>B416*IBGE_2!Q$416/100</f>
        <v>15</v>
      </c>
      <c r="R416" s="142">
        <f>B416*IBGE_2!R$416/100</f>
        <v>0.25</v>
      </c>
      <c r="S416" s="142">
        <f>B416*IBGE_2!S$416/100</f>
        <v>1</v>
      </c>
      <c r="T416" s="142">
        <f>B416*IBGE_2!T$416/100</f>
        <v>123</v>
      </c>
      <c r="U416" s="142">
        <f>B416*IBGE_2!U$416/100</f>
        <v>0.06</v>
      </c>
      <c r="V416" s="142">
        <f>B416*IBGE_2!V$416/100</f>
        <v>0.12</v>
      </c>
      <c r="W416" s="142" t="s">
        <v>3047</v>
      </c>
      <c r="X416" s="142">
        <f>B416*IBGE_2!X$416/100</f>
        <v>0.08</v>
      </c>
      <c r="Y416" s="142">
        <f>B416*IBGE_2!Y$416/100</f>
        <v>0.02</v>
      </c>
      <c r="Z416" s="142">
        <f>B416*IBGE_2!Z$416/100</f>
        <v>0.09</v>
      </c>
      <c r="AA416" s="142">
        <f>B416*IBGE_2!AA$416/100</f>
        <v>0.6</v>
      </c>
      <c r="AB416" s="142">
        <f>B416*IBGE_2!AB$416/100</f>
        <v>1.3</v>
      </c>
      <c r="AC416" s="142">
        <f>B416*IBGE_2!AC$416/100</f>
        <v>0.73</v>
      </c>
      <c r="AD416" s="142" t="s">
        <v>3047</v>
      </c>
      <c r="AE416" s="142">
        <f>B416*IBGE_2!AE$416/100</f>
        <v>14</v>
      </c>
      <c r="AF416" s="142" t="s">
        <v>3047</v>
      </c>
      <c r="AG416" s="142">
        <f>B416*IBGE_2!AG$416/100</f>
        <v>0.41</v>
      </c>
      <c r="AH416" s="142" t="s">
        <v>3047</v>
      </c>
      <c r="AI416" s="142">
        <f>B416*IBGE_2!AI$416/100</f>
        <v>381</v>
      </c>
      <c r="AJ416" s="142">
        <f>B416*IBGE_2!AJ$416/100</f>
        <v>0.1</v>
      </c>
      <c r="AK416" s="142">
        <f>B416*IBGE_2!AK$416/100</f>
        <v>1.83</v>
      </c>
      <c r="AL416" s="142">
        <f>B416*IBGE_2!AL$416/100</f>
        <v>3.9</v>
      </c>
      <c r="AM416" s="145" t="s">
        <v>3047</v>
      </c>
      <c r="AN416" s="161"/>
    </row>
    <row r="417" spans="1:40">
      <c r="A417" s="143" t="s">
        <v>1476</v>
      </c>
      <c r="B417" s="141">
        <v>100</v>
      </c>
      <c r="C417" s="142">
        <f>B417*IBGE_2!C$417/100</f>
        <v>67.093000000000004</v>
      </c>
      <c r="D417" s="142">
        <f>B417*IBGE_2!D$417/100</f>
        <v>3.27</v>
      </c>
      <c r="E417" s="142">
        <f>B417*IBGE_2!E$417/100</f>
        <v>3.069</v>
      </c>
      <c r="F417" s="142">
        <f>B417*IBGE_2!F$417/100</f>
        <v>0.48799999999999999</v>
      </c>
      <c r="G417" s="142">
        <f>B417*IBGE_2!G$417/100</f>
        <v>0.67</v>
      </c>
      <c r="H417" s="142">
        <f>B417*IBGE_2!H$417/100</f>
        <v>1.7390000000000001</v>
      </c>
      <c r="I417" s="142">
        <f>B417*IBGE_2!I$417/100</f>
        <v>1.5309999999999999</v>
      </c>
      <c r="J417" s="142">
        <f>B417*IBGE_2!J$417/100</f>
        <v>0.20800000000000002</v>
      </c>
      <c r="K417" s="142" t="s">
        <v>3047</v>
      </c>
      <c r="L417" s="142">
        <f>B417*IBGE_2!L$417/100</f>
        <v>7.05</v>
      </c>
      <c r="M417" s="142">
        <f>B417*IBGE_2!M$417/100</f>
        <v>2.8</v>
      </c>
      <c r="N417" s="142">
        <f>B417*IBGE_2!N$417/100</f>
        <v>42.146000000000001</v>
      </c>
      <c r="O417" s="142">
        <f>B417*IBGE_2!O$417/100</f>
        <v>26.006</v>
      </c>
      <c r="P417" s="142">
        <f>B417*IBGE_2!P$417/100</f>
        <v>0.16900000000000001</v>
      </c>
      <c r="Q417" s="142">
        <f>B417*IBGE_2!Q$417/100</f>
        <v>55</v>
      </c>
      <c r="R417" s="142">
        <f>B417*IBGE_2!R$417/100</f>
        <v>1.9730000000000001</v>
      </c>
      <c r="S417" s="142">
        <f>B417*IBGE_2!S$417/100</f>
        <v>239.77799999999999</v>
      </c>
      <c r="T417" s="142">
        <f>B417*IBGE_2!T$417/100</f>
        <v>240.04900000000001</v>
      </c>
      <c r="U417" s="142">
        <f>B417*IBGE_2!U$417/100</f>
        <v>7.6999999999999999E-2</v>
      </c>
      <c r="V417" s="142">
        <f>B417*IBGE_2!V$417/100</f>
        <v>0.371</v>
      </c>
      <c r="W417" s="142" t="s">
        <v>3047</v>
      </c>
      <c r="X417" s="142">
        <f>B417*IBGE_2!X$417/100</f>
        <v>0.128</v>
      </c>
      <c r="Y417" s="142">
        <f>B417*IBGE_2!Y$417/100</f>
        <v>7.5999999999999998E-2</v>
      </c>
      <c r="Z417" s="142">
        <f>B417*IBGE_2!Z$417/100</f>
        <v>0.14399999999999999</v>
      </c>
      <c r="AA417" s="142">
        <f>B417*IBGE_2!AA$417/100</f>
        <v>0.53900000000000003</v>
      </c>
      <c r="AB417" s="142">
        <f>B417*IBGE_2!AB$417/100</f>
        <v>47.9</v>
      </c>
      <c r="AC417" s="142">
        <f>B417*IBGE_2!AC$417/100</f>
        <v>1.0720000000000001</v>
      </c>
      <c r="AD417" s="142" t="s">
        <v>3047</v>
      </c>
      <c r="AE417" s="142">
        <f>B417*IBGE_2!AE$417/100</f>
        <v>29</v>
      </c>
      <c r="AF417" s="142" t="s">
        <v>3047</v>
      </c>
      <c r="AG417" s="142">
        <f>B417*IBGE_2!AG$417/100</f>
        <v>0.622</v>
      </c>
      <c r="AH417" s="142">
        <f>B417*IBGE_2!AH$417/100</f>
        <v>1.4999999999999999E-2</v>
      </c>
      <c r="AI417" s="142">
        <f>B417*IBGE_2!AI$417/100</f>
        <v>236</v>
      </c>
      <c r="AJ417" s="142">
        <f>B417*IBGE_2!AJ$417/100</f>
        <v>2.0019999999999998</v>
      </c>
      <c r="AK417" s="142">
        <f>B417*IBGE_2!AK$417/100</f>
        <v>51.5</v>
      </c>
      <c r="AL417" s="142">
        <f>B417*IBGE_2!AL$417/100</f>
        <v>3.4</v>
      </c>
      <c r="AM417" s="145" t="s">
        <v>3047</v>
      </c>
      <c r="AN417" s="161"/>
    </row>
    <row r="418" spans="1:40">
      <c r="A418" s="143" t="s">
        <v>1477</v>
      </c>
      <c r="B418" s="141">
        <v>100</v>
      </c>
      <c r="C418" s="142">
        <f>B418*IBGE_2!C$418/100</f>
        <v>67.093000000000004</v>
      </c>
      <c r="D418" s="142">
        <f>B418*IBGE_2!D$418/100</f>
        <v>3.27</v>
      </c>
      <c r="E418" s="142">
        <f>B418*IBGE_2!E$418/100</f>
        <v>3.069</v>
      </c>
      <c r="F418" s="142">
        <f>B418*IBGE_2!F$418/100</f>
        <v>0.48799999999999999</v>
      </c>
      <c r="G418" s="142">
        <f>B418*IBGE_2!G$418/100</f>
        <v>0.67</v>
      </c>
      <c r="H418" s="142">
        <f>B418*IBGE_2!H$418/100</f>
        <v>1.7390000000000001</v>
      </c>
      <c r="I418" s="142">
        <f>B418*IBGE_2!I$418/100</f>
        <v>1.5309999999999999</v>
      </c>
      <c r="J418" s="142">
        <f>B418*IBGE_2!J$418/100</f>
        <v>0.20800000000000002</v>
      </c>
      <c r="K418" s="142" t="s">
        <v>3047</v>
      </c>
      <c r="L418" s="142">
        <f>B418*IBGE_2!L$418/100</f>
        <v>7.05</v>
      </c>
      <c r="M418" s="142">
        <f>B418*IBGE_2!M$418/100</f>
        <v>2.8</v>
      </c>
      <c r="N418" s="142">
        <f>B418*IBGE_2!N$418/100</f>
        <v>42</v>
      </c>
      <c r="O418" s="142">
        <f>B418*IBGE_2!O$418/100</f>
        <v>26</v>
      </c>
      <c r="P418" s="142">
        <f>B418*IBGE_2!P$418/100</f>
        <v>0.16800000000000001</v>
      </c>
      <c r="Q418" s="142">
        <f>B418*IBGE_2!Q$418/100</f>
        <v>55</v>
      </c>
      <c r="R418" s="142">
        <f>B418*IBGE_2!R$418/100</f>
        <v>1.9710000000000003</v>
      </c>
      <c r="S418" s="142">
        <f>B418*IBGE_2!S$418/100</f>
        <v>4</v>
      </c>
      <c r="T418" s="142">
        <f>B418*IBGE_2!T$418/100</f>
        <v>240</v>
      </c>
      <c r="U418" s="142">
        <f>B418*IBGE_2!U$418/100</f>
        <v>7.6999999999999999E-2</v>
      </c>
      <c r="V418" s="142">
        <f>B418*IBGE_2!V$418/100</f>
        <v>0.37</v>
      </c>
      <c r="W418" s="142" t="s">
        <v>3047</v>
      </c>
      <c r="X418" s="142">
        <f>B418*IBGE_2!X$418/100</f>
        <v>0.128</v>
      </c>
      <c r="Y418" s="142">
        <f>B418*IBGE_2!Y$418/100</f>
        <v>7.5999999999999998E-2</v>
      </c>
      <c r="Z418" s="142">
        <f>B418*IBGE_2!Z$418/100</f>
        <v>0.14399999999999999</v>
      </c>
      <c r="AA418" s="142">
        <f>B418*IBGE_2!AA$418/100</f>
        <v>0.53900000000000003</v>
      </c>
      <c r="AB418" s="142">
        <f>B418*IBGE_2!AB$418/100</f>
        <v>47.9</v>
      </c>
      <c r="AC418" s="142">
        <f>B418*IBGE_2!AC$418/100</f>
        <v>1.0720000000000001</v>
      </c>
      <c r="AD418" s="142" t="s">
        <v>3047</v>
      </c>
      <c r="AE418" s="142">
        <f>B418*IBGE_2!AE$418/100</f>
        <v>29</v>
      </c>
      <c r="AF418" s="142" t="s">
        <v>3047</v>
      </c>
      <c r="AG418" s="142">
        <f>B418*IBGE_2!AG$418/100</f>
        <v>0.622</v>
      </c>
      <c r="AH418" s="142">
        <f>B418*IBGE_2!AH$418/100</f>
        <v>1.4999999999999999E-2</v>
      </c>
      <c r="AI418" s="142">
        <f>B418*IBGE_2!AI$418/100</f>
        <v>236</v>
      </c>
      <c r="AJ418" s="142">
        <f>B418*IBGE_2!AJ$418/100</f>
        <v>2.0009999999999999</v>
      </c>
      <c r="AK418" s="142">
        <f>B418*IBGE_2!AK$418/100</f>
        <v>51.5</v>
      </c>
      <c r="AL418" s="142">
        <f>B418*IBGE_2!AL$418/100</f>
        <v>3.4</v>
      </c>
      <c r="AM418" s="145" t="s">
        <v>3047</v>
      </c>
      <c r="AN418" s="161"/>
    </row>
    <row r="419" spans="1:40">
      <c r="A419" s="143" t="s">
        <v>1478</v>
      </c>
      <c r="B419" s="141">
        <v>100</v>
      </c>
      <c r="C419" s="142">
        <f>B419*IBGE_2!C$419/100</f>
        <v>40</v>
      </c>
      <c r="D419" s="142">
        <f>B419*IBGE_2!D$419/100</f>
        <v>1.1000000000000001</v>
      </c>
      <c r="E419" s="142">
        <f>B419*IBGE_2!E$419/100</f>
        <v>0.1</v>
      </c>
      <c r="F419" s="142">
        <f>B419*IBGE_2!F$419/100</f>
        <v>0.04</v>
      </c>
      <c r="G419" s="142">
        <f>B419*IBGE_2!G$419/100</f>
        <v>0.01</v>
      </c>
      <c r="H419" s="142">
        <f>B419*IBGE_2!H$419/100</f>
        <v>0.02</v>
      </c>
      <c r="I419" s="142">
        <f>B419*IBGE_2!I$419/100</f>
        <v>0.01</v>
      </c>
      <c r="J419" s="142" t="s">
        <v>3047</v>
      </c>
      <c r="K419" s="142" t="s">
        <v>3047</v>
      </c>
      <c r="L419" s="142">
        <f>B419*IBGE_2!L$419/100</f>
        <v>9.34</v>
      </c>
      <c r="M419" s="142">
        <f>B419*IBGE_2!M$419/100</f>
        <v>1.93</v>
      </c>
      <c r="N419" s="142">
        <f>B419*IBGE_2!N$419/100</f>
        <v>23</v>
      </c>
      <c r="O419" s="142">
        <f>B419*IBGE_2!O$419/100</f>
        <v>10</v>
      </c>
      <c r="P419" s="142">
        <f>B419*IBGE_2!P$419/100</f>
        <v>0.13</v>
      </c>
      <c r="Q419" s="142">
        <f>B419*IBGE_2!Q$419/100</f>
        <v>29</v>
      </c>
      <c r="R419" s="142">
        <f>B419*IBGE_2!R$419/100</f>
        <v>0.21</v>
      </c>
      <c r="S419" s="142">
        <f>B419*IBGE_2!S$419/100</f>
        <v>4</v>
      </c>
      <c r="T419" s="142">
        <f>B419*IBGE_2!T$419/100</f>
        <v>146</v>
      </c>
      <c r="U419" s="142">
        <f>B419*IBGE_2!U$419/100</f>
        <v>0.04</v>
      </c>
      <c r="V419" s="142">
        <f>B419*IBGE_2!V$419/100</f>
        <v>0.17</v>
      </c>
      <c r="W419" s="142" t="s">
        <v>3047</v>
      </c>
      <c r="X419" s="142">
        <f>B419*IBGE_2!X$419/100</f>
        <v>0.05</v>
      </c>
      <c r="Y419" s="142">
        <f>B419*IBGE_2!Y$419/100</f>
        <v>0.03</v>
      </c>
      <c r="Z419" s="142">
        <f>B419*IBGE_2!Z$419/100</f>
        <v>0.12</v>
      </c>
      <c r="AA419" s="142">
        <f>B419*IBGE_2!AA$419/100</f>
        <v>0.12</v>
      </c>
      <c r="AB419" s="142">
        <f>B419*IBGE_2!AB$419/100</f>
        <v>7.4</v>
      </c>
      <c r="AC419" s="142">
        <f>B419*IBGE_2!AC$419/100</f>
        <v>0.35</v>
      </c>
      <c r="AD419" s="142" t="s">
        <v>3047</v>
      </c>
      <c r="AE419" s="142">
        <f>B419*IBGE_2!AE$419/100</f>
        <v>19</v>
      </c>
      <c r="AF419" s="142" t="s">
        <v>3047</v>
      </c>
      <c r="AG419" s="142">
        <f>B419*IBGE_2!AG$419/100</f>
        <v>0.02</v>
      </c>
      <c r="AH419" s="145" t="s">
        <v>3047</v>
      </c>
      <c r="AI419" s="145" t="s">
        <v>3047</v>
      </c>
      <c r="AJ419" s="142">
        <f>B419*IBGE_2!AJ$419/100</f>
        <v>0.5</v>
      </c>
      <c r="AK419" s="142">
        <f>B419*IBGE_2!AK$419/100</f>
        <v>0.08</v>
      </c>
      <c r="AL419" s="142">
        <f>B419*IBGE_2!AL$419/100</f>
        <v>4.26</v>
      </c>
      <c r="AM419" s="145" t="s">
        <v>3047</v>
      </c>
      <c r="AN419" s="161"/>
    </row>
    <row r="420" spans="1:40">
      <c r="A420" s="143" t="s">
        <v>1479</v>
      </c>
      <c r="B420" s="141">
        <v>100</v>
      </c>
      <c r="C420" s="142">
        <f>B420*IBGE_2!C$420/100</f>
        <v>44</v>
      </c>
      <c r="D420" s="142">
        <f>B420*IBGE_2!D$420/100</f>
        <v>1.36</v>
      </c>
      <c r="E420" s="142">
        <f>B420*IBGE_2!E$420/100</f>
        <v>0.19</v>
      </c>
      <c r="F420" s="142">
        <f>B420*IBGE_2!F$420/100</f>
        <v>3.1E-2</v>
      </c>
      <c r="G420" s="142">
        <f>B420*IBGE_2!G$420/100</f>
        <v>2.7000000000000003E-2</v>
      </c>
      <c r="H420" s="142">
        <f>B420*IBGE_2!H$420/100</f>
        <v>7.2999999999999995E-2</v>
      </c>
      <c r="I420" s="142">
        <f>B420*IBGE_2!I$420/100</f>
        <v>7.0000000000000007E-2</v>
      </c>
      <c r="J420" s="142">
        <f>B420*IBGE_2!J$420/100</f>
        <v>4.0000000000000001E-3</v>
      </c>
      <c r="K420" s="142" t="s">
        <v>3047</v>
      </c>
      <c r="L420" s="142">
        <f>B420*IBGE_2!L$420/100</f>
        <v>10.15</v>
      </c>
      <c r="M420" s="142">
        <f>B420*IBGE_2!M$420/100</f>
        <v>1.4</v>
      </c>
      <c r="N420" s="142">
        <f>B420*IBGE_2!N$420/100</f>
        <v>22</v>
      </c>
      <c r="O420" s="142">
        <f>B420*IBGE_2!O$420/100</f>
        <v>11</v>
      </c>
      <c r="P420" s="142">
        <f>B420*IBGE_2!P$420/100</f>
        <v>0.153</v>
      </c>
      <c r="Q420" s="142">
        <f>B420*IBGE_2!Q$420/100</f>
        <v>35</v>
      </c>
      <c r="R420" s="142">
        <f>B420*IBGE_2!R$420/100</f>
        <v>0.24</v>
      </c>
      <c r="S420" s="142">
        <f>B420*IBGE_2!S$420/100</f>
        <v>3</v>
      </c>
      <c r="T420" s="142">
        <f>B420*IBGE_2!T$420/100</f>
        <v>166</v>
      </c>
      <c r="U420" s="142">
        <f>B420*IBGE_2!U$420/100</f>
        <v>6.7000000000000004E-2</v>
      </c>
      <c r="V420" s="142">
        <f>B420*IBGE_2!V$420/100</f>
        <v>0.21</v>
      </c>
      <c r="W420" s="142" t="s">
        <v>3047</v>
      </c>
      <c r="X420" s="142">
        <f>B420*IBGE_2!X$420/100</f>
        <v>4.2000000000000003E-2</v>
      </c>
      <c r="Y420" s="142">
        <f>B420*IBGE_2!Y$420/100</f>
        <v>2.3E-2</v>
      </c>
      <c r="Z420" s="142">
        <f>B420*IBGE_2!Z$420/100</f>
        <v>0.129</v>
      </c>
      <c r="AA420" s="142">
        <f>B420*IBGE_2!AA$420/100</f>
        <v>0.16500000000000001</v>
      </c>
      <c r="AB420" s="142">
        <f>B420*IBGE_2!AB$420/100</f>
        <v>5.2</v>
      </c>
      <c r="AC420" s="142">
        <f>B420*IBGE_2!AC$420/100</f>
        <v>0.498</v>
      </c>
      <c r="AD420" s="142" t="s">
        <v>3047</v>
      </c>
      <c r="AE420" s="142">
        <f>B420*IBGE_2!AE$420/100</f>
        <v>15</v>
      </c>
      <c r="AF420" s="142" t="s">
        <v>3047</v>
      </c>
      <c r="AG420" s="142">
        <f>B420*IBGE_2!AG$420/100</f>
        <v>0.01</v>
      </c>
      <c r="AH420" s="145" t="s">
        <v>3047</v>
      </c>
      <c r="AI420" s="142">
        <f>B420*IBGE_2!AI$420/100</f>
        <v>180</v>
      </c>
      <c r="AJ420" s="142">
        <f>B420*IBGE_2!AJ$420/100</f>
        <v>0.6</v>
      </c>
      <c r="AK420" s="142">
        <f>B420*IBGE_2!AK$420/100</f>
        <v>8.3000000000000004E-2</v>
      </c>
      <c r="AL420" s="142">
        <f>B420*IBGE_2!AL$420/100</f>
        <v>4.7300000000000004</v>
      </c>
      <c r="AM420" s="145" t="s">
        <v>3047</v>
      </c>
      <c r="AN420" s="161"/>
    </row>
    <row r="421" spans="1:40">
      <c r="A421" s="143" t="s">
        <v>1480</v>
      </c>
      <c r="B421" s="141">
        <v>100</v>
      </c>
      <c r="C421" s="142">
        <f>B421*IBGE_2!C$421/100</f>
        <v>44</v>
      </c>
      <c r="D421" s="142">
        <f>B421*IBGE_2!D$421/100</f>
        <v>1.36</v>
      </c>
      <c r="E421" s="142">
        <f>B421*IBGE_2!E$421/100</f>
        <v>0.19</v>
      </c>
      <c r="F421" s="142">
        <f>B421*IBGE_2!F$421/100</f>
        <v>3.1E-2</v>
      </c>
      <c r="G421" s="142">
        <f>B421*IBGE_2!G$421/100</f>
        <v>2.7000000000000003E-2</v>
      </c>
      <c r="H421" s="142">
        <f>B421*IBGE_2!H$421/100</f>
        <v>7.2999999999999995E-2</v>
      </c>
      <c r="I421" s="142">
        <f>B421*IBGE_2!I$421/100</f>
        <v>7.0000000000000007E-2</v>
      </c>
      <c r="J421" s="142">
        <f>B421*IBGE_2!J$421/100</f>
        <v>4.0000000000000001E-3</v>
      </c>
      <c r="K421" s="142" t="s">
        <v>3047</v>
      </c>
      <c r="L421" s="142">
        <f>B421*IBGE_2!L$421/100</f>
        <v>10.15</v>
      </c>
      <c r="M421" s="142">
        <f>B421*IBGE_2!M$421/100</f>
        <v>1.4</v>
      </c>
      <c r="N421" s="142">
        <f>B421*IBGE_2!N$421/100</f>
        <v>22</v>
      </c>
      <c r="O421" s="142">
        <f>B421*IBGE_2!O$421/100</f>
        <v>11</v>
      </c>
      <c r="P421" s="142">
        <f>B421*IBGE_2!P$421/100</f>
        <v>0.153</v>
      </c>
      <c r="Q421" s="142">
        <f>B421*IBGE_2!Q$421/100</f>
        <v>35</v>
      </c>
      <c r="R421" s="142">
        <f>B421*IBGE_2!R$421/100</f>
        <v>0.24</v>
      </c>
      <c r="S421" s="142">
        <f>B421*IBGE_2!S$421/100</f>
        <v>3</v>
      </c>
      <c r="T421" s="142">
        <f>B421*IBGE_2!T$421/100</f>
        <v>166</v>
      </c>
      <c r="U421" s="142">
        <f>B421*IBGE_2!U$421/100</f>
        <v>6.7000000000000004E-2</v>
      </c>
      <c r="V421" s="142">
        <f>B421*IBGE_2!V$421/100</f>
        <v>0.21</v>
      </c>
      <c r="W421" s="142" t="s">
        <v>3047</v>
      </c>
      <c r="X421" s="142">
        <f>B421*IBGE_2!X$421/100</f>
        <v>4.2000000000000003E-2</v>
      </c>
      <c r="Y421" s="142">
        <f>B421*IBGE_2!Y$421/100</f>
        <v>2.3E-2</v>
      </c>
      <c r="Z421" s="142">
        <f>B421*IBGE_2!Z$421/100</f>
        <v>0.129</v>
      </c>
      <c r="AA421" s="142">
        <f>B421*IBGE_2!AA$421/100</f>
        <v>0.16500000000000001</v>
      </c>
      <c r="AB421" s="142">
        <f>B421*IBGE_2!AB$421/100</f>
        <v>5.2</v>
      </c>
      <c r="AC421" s="142">
        <f>B421*IBGE_2!AC$421/100</f>
        <v>0.498</v>
      </c>
      <c r="AD421" s="142" t="s">
        <v>3047</v>
      </c>
      <c r="AE421" s="142">
        <f>B421*IBGE_2!AE$421/100</f>
        <v>15</v>
      </c>
      <c r="AF421" s="142" t="s">
        <v>3047</v>
      </c>
      <c r="AG421" s="142">
        <f>B421*IBGE_2!AG$421/100</f>
        <v>0.01</v>
      </c>
      <c r="AH421" s="145" t="s">
        <v>3047</v>
      </c>
      <c r="AI421" s="142">
        <f>B421*IBGE_2!AI$421/100</f>
        <v>180</v>
      </c>
      <c r="AJ421" s="142">
        <f>B421*IBGE_2!AJ$421/100</f>
        <v>0.6</v>
      </c>
      <c r="AK421" s="142">
        <f>B421*IBGE_2!AK$421/100</f>
        <v>8.3000000000000004E-2</v>
      </c>
      <c r="AL421" s="142">
        <f>B421*IBGE_2!AL$421/100</f>
        <v>4.7300000000000004</v>
      </c>
      <c r="AM421" s="145" t="s">
        <v>3047</v>
      </c>
      <c r="AN421" s="161"/>
    </row>
    <row r="422" spans="1:40">
      <c r="A422" s="143" t="s">
        <v>1481</v>
      </c>
      <c r="B422" s="141">
        <v>100</v>
      </c>
      <c r="C422" s="142">
        <f>B422*IBGE_2!C$422/100</f>
        <v>44</v>
      </c>
      <c r="D422" s="142">
        <f>B422*IBGE_2!D$422/100</f>
        <v>1.36</v>
      </c>
      <c r="E422" s="142">
        <f>B422*IBGE_2!E$422/100</f>
        <v>0.19</v>
      </c>
      <c r="F422" s="142">
        <f>B422*IBGE_2!F$422/100</f>
        <v>3.1E-2</v>
      </c>
      <c r="G422" s="142">
        <f>B422*IBGE_2!G$422/100</f>
        <v>2.7000000000000003E-2</v>
      </c>
      <c r="H422" s="142">
        <f>B422*IBGE_2!H$422/100</f>
        <v>7.2999999999999995E-2</v>
      </c>
      <c r="I422" s="142">
        <f>B422*IBGE_2!I$422/100</f>
        <v>7.0000000000000007E-2</v>
      </c>
      <c r="J422" s="142">
        <f>B422*IBGE_2!J$422/100</f>
        <v>4.0000000000000001E-3</v>
      </c>
      <c r="K422" s="142" t="s">
        <v>3047</v>
      </c>
      <c r="L422" s="142">
        <f>B422*IBGE_2!L$422/100</f>
        <v>10.15</v>
      </c>
      <c r="M422" s="142">
        <f>B422*IBGE_2!M$422/100</f>
        <v>1.4</v>
      </c>
      <c r="N422" s="142">
        <f>B422*IBGE_2!N$422/100</f>
        <v>22</v>
      </c>
      <c r="O422" s="142">
        <f>B422*IBGE_2!O$422/100</f>
        <v>11</v>
      </c>
      <c r="P422" s="142">
        <f>B422*IBGE_2!P$422/100</f>
        <v>0.153</v>
      </c>
      <c r="Q422" s="142">
        <f>B422*IBGE_2!Q$422/100</f>
        <v>35</v>
      </c>
      <c r="R422" s="142">
        <f>B422*IBGE_2!R$422/100</f>
        <v>0.24</v>
      </c>
      <c r="S422" s="142">
        <f>B422*IBGE_2!S$422/100</f>
        <v>3</v>
      </c>
      <c r="T422" s="142">
        <f>B422*IBGE_2!T$422/100</f>
        <v>166</v>
      </c>
      <c r="U422" s="142">
        <f>B422*IBGE_2!U$422/100</f>
        <v>6.7000000000000004E-2</v>
      </c>
      <c r="V422" s="142">
        <f>B422*IBGE_2!V$422/100</f>
        <v>0.21</v>
      </c>
      <c r="W422" s="142" t="s">
        <v>3047</v>
      </c>
      <c r="X422" s="142">
        <f>B422*IBGE_2!X$422/100</f>
        <v>4.2000000000000003E-2</v>
      </c>
      <c r="Y422" s="142">
        <f>B422*IBGE_2!Y$422/100</f>
        <v>2.3E-2</v>
      </c>
      <c r="Z422" s="142">
        <f>B422*IBGE_2!Z$422/100</f>
        <v>0.129</v>
      </c>
      <c r="AA422" s="142">
        <f>B422*IBGE_2!AA$422/100</f>
        <v>0.16500000000000001</v>
      </c>
      <c r="AB422" s="142">
        <f>B422*IBGE_2!AB$422/100</f>
        <v>5.2</v>
      </c>
      <c r="AC422" s="142">
        <f>B422*IBGE_2!AC$422/100</f>
        <v>0.498</v>
      </c>
      <c r="AD422" s="142" t="s">
        <v>3047</v>
      </c>
      <c r="AE422" s="142">
        <f>B422*IBGE_2!AE$422/100</f>
        <v>15</v>
      </c>
      <c r="AF422" s="142" t="s">
        <v>3047</v>
      </c>
      <c r="AG422" s="142">
        <f>B422*IBGE_2!AG$422/100</f>
        <v>0.01</v>
      </c>
      <c r="AH422" s="145" t="s">
        <v>3047</v>
      </c>
      <c r="AI422" s="142">
        <f>B422*IBGE_2!AI$422/100</f>
        <v>180</v>
      </c>
      <c r="AJ422" s="142">
        <f>B422*IBGE_2!AJ$422/100</f>
        <v>0.6</v>
      </c>
      <c r="AK422" s="142">
        <f>B422*IBGE_2!AK$422/100</f>
        <v>8.3000000000000004E-2</v>
      </c>
      <c r="AL422" s="142">
        <f>B422*IBGE_2!AL$422/100</f>
        <v>4.7300000000000004</v>
      </c>
      <c r="AM422" s="145" t="s">
        <v>3047</v>
      </c>
      <c r="AN422" s="161"/>
    </row>
    <row r="423" spans="1:40">
      <c r="A423" s="143" t="s">
        <v>1482</v>
      </c>
      <c r="B423" s="141">
        <v>100</v>
      </c>
      <c r="C423" s="142">
        <f>B423*IBGE_2!C$423/100</f>
        <v>63.118000000000002</v>
      </c>
      <c r="D423" s="142">
        <f>B423*IBGE_2!D$423/100</f>
        <v>1.36</v>
      </c>
      <c r="E423" s="142">
        <f>B423*IBGE_2!E$423/100</f>
        <v>2.3530000000000002</v>
      </c>
      <c r="F423" s="142">
        <f>B423*IBGE_2!F$423/100</f>
        <v>0.36899999999999999</v>
      </c>
      <c r="G423" s="142">
        <f>B423*IBGE_2!G$423/100</f>
        <v>0.52</v>
      </c>
      <c r="H423" s="142">
        <f>B423*IBGE_2!H$423/100</f>
        <v>1.3220000000000001</v>
      </c>
      <c r="I423" s="142">
        <f>B423*IBGE_2!I$423/100</f>
        <v>1.1719999999999999</v>
      </c>
      <c r="J423" s="142">
        <f>B423*IBGE_2!J$423/100</f>
        <v>0.151</v>
      </c>
      <c r="K423" s="142" t="s">
        <v>3047</v>
      </c>
      <c r="L423" s="142">
        <f>B423*IBGE_2!L$423/100</f>
        <v>10.15</v>
      </c>
      <c r="M423" s="142">
        <f>B423*IBGE_2!M$423/100</f>
        <v>1.4</v>
      </c>
      <c r="N423" s="142">
        <f>B423*IBGE_2!N$423/100</f>
        <v>22</v>
      </c>
      <c r="O423" s="142">
        <f>B423*IBGE_2!O$423/100</f>
        <v>11</v>
      </c>
      <c r="P423" s="142">
        <f>B423*IBGE_2!P$423/100</f>
        <v>0.153</v>
      </c>
      <c r="Q423" s="142">
        <f>B423*IBGE_2!Q$423/100</f>
        <v>35</v>
      </c>
      <c r="R423" s="142">
        <f>B423*IBGE_2!R$423/100</f>
        <v>0.24099999999999999</v>
      </c>
      <c r="S423" s="142">
        <f>B423*IBGE_2!S$423/100</f>
        <v>3</v>
      </c>
      <c r="T423" s="142">
        <f>B423*IBGE_2!T$423/100</f>
        <v>166</v>
      </c>
      <c r="U423" s="142">
        <f>B423*IBGE_2!U$423/100</f>
        <v>6.7000000000000004E-2</v>
      </c>
      <c r="V423" s="142">
        <f>B423*IBGE_2!V$423/100</f>
        <v>0.21</v>
      </c>
      <c r="W423" s="142" t="s">
        <v>3047</v>
      </c>
      <c r="X423" s="142">
        <f>B423*IBGE_2!X$423/100</f>
        <v>4.2000000000000003E-2</v>
      </c>
      <c r="Y423" s="142">
        <f>B423*IBGE_2!Y$423/100</f>
        <v>2.3E-2</v>
      </c>
      <c r="Z423" s="142">
        <f>B423*IBGE_2!Z$423/100</f>
        <v>0.129</v>
      </c>
      <c r="AA423" s="142">
        <f>B423*IBGE_2!AA$423/100</f>
        <v>0.16500000000000001</v>
      </c>
      <c r="AB423" s="142">
        <f>B423*IBGE_2!AB$423/100</f>
        <v>5.2</v>
      </c>
      <c r="AC423" s="142">
        <f>B423*IBGE_2!AC$423/100</f>
        <v>0.498</v>
      </c>
      <c r="AD423" s="142" t="s">
        <v>3047</v>
      </c>
      <c r="AE423" s="142">
        <f>B423*IBGE_2!AE$423/100</f>
        <v>15</v>
      </c>
      <c r="AF423" s="142" t="s">
        <v>3047</v>
      </c>
      <c r="AG423" s="142">
        <f>B423*IBGE_2!AG$423/100</f>
        <v>0.187</v>
      </c>
      <c r="AH423" s="142">
        <f>B423*IBGE_2!AH$423/100</f>
        <v>1.2E-2</v>
      </c>
      <c r="AI423" s="142">
        <f>B423*IBGE_2!AI$423/100</f>
        <v>180</v>
      </c>
      <c r="AJ423" s="142">
        <f>B423*IBGE_2!AJ$423/100</f>
        <v>1.591</v>
      </c>
      <c r="AK423" s="142">
        <f>B423*IBGE_2!AK$423/100</f>
        <v>8.3000000000000004E-2</v>
      </c>
      <c r="AL423" s="142">
        <f>B423*IBGE_2!AL$423/100</f>
        <v>4.7300000000000004</v>
      </c>
      <c r="AM423" s="145" t="s">
        <v>3047</v>
      </c>
      <c r="AN423" s="161"/>
    </row>
    <row r="424" spans="1:40">
      <c r="A424" s="143" t="s">
        <v>1483</v>
      </c>
      <c r="B424" s="141">
        <v>100</v>
      </c>
      <c r="C424" s="142">
        <f>B424*IBGE_2!C$424/100</f>
        <v>63.118000000000002</v>
      </c>
      <c r="D424" s="142">
        <f>B424*IBGE_2!D$424/100</f>
        <v>1.36</v>
      </c>
      <c r="E424" s="142">
        <f>B424*IBGE_2!E$424/100</f>
        <v>2.3530000000000002</v>
      </c>
      <c r="F424" s="142">
        <f>B424*IBGE_2!F$424/100</f>
        <v>0.36899999999999999</v>
      </c>
      <c r="G424" s="142">
        <f>B424*IBGE_2!G$424/100</f>
        <v>0.52</v>
      </c>
      <c r="H424" s="142">
        <f>B424*IBGE_2!H$424/100</f>
        <v>1.3220000000000001</v>
      </c>
      <c r="I424" s="142">
        <f>B424*IBGE_2!I$424/100</f>
        <v>1.1719999999999999</v>
      </c>
      <c r="J424" s="142">
        <f>B424*IBGE_2!J$424/100</f>
        <v>0.151</v>
      </c>
      <c r="K424" s="142" t="s">
        <v>3047</v>
      </c>
      <c r="L424" s="142">
        <f>B424*IBGE_2!L$424/100</f>
        <v>10.15</v>
      </c>
      <c r="M424" s="142">
        <f>B424*IBGE_2!M$424/100</f>
        <v>1.4</v>
      </c>
      <c r="N424" s="142">
        <f>B424*IBGE_2!N$424/100</f>
        <v>22</v>
      </c>
      <c r="O424" s="142">
        <f>B424*IBGE_2!O$424/100</f>
        <v>11</v>
      </c>
      <c r="P424" s="142">
        <f>B424*IBGE_2!P$424/100</f>
        <v>0.153</v>
      </c>
      <c r="Q424" s="142">
        <f>B424*IBGE_2!Q$424/100</f>
        <v>35</v>
      </c>
      <c r="R424" s="142">
        <f>B424*IBGE_2!R$424/100</f>
        <v>0.24099999999999999</v>
      </c>
      <c r="S424" s="142">
        <f>B424*IBGE_2!S$424/100</f>
        <v>3</v>
      </c>
      <c r="T424" s="142">
        <f>B424*IBGE_2!T$424/100</f>
        <v>166</v>
      </c>
      <c r="U424" s="142">
        <f>B424*IBGE_2!U$424/100</f>
        <v>6.7000000000000004E-2</v>
      </c>
      <c r="V424" s="142">
        <f>B424*IBGE_2!V$424/100</f>
        <v>0.21</v>
      </c>
      <c r="W424" s="142" t="s">
        <v>3047</v>
      </c>
      <c r="X424" s="142">
        <f>B424*IBGE_2!X$424/100</f>
        <v>4.2000000000000003E-2</v>
      </c>
      <c r="Y424" s="142">
        <f>B424*IBGE_2!Y$424/100</f>
        <v>2.3E-2</v>
      </c>
      <c r="Z424" s="142">
        <f>B424*IBGE_2!Z$424/100</f>
        <v>0.129</v>
      </c>
      <c r="AA424" s="142">
        <f>B424*IBGE_2!AA$424/100</f>
        <v>0.16500000000000001</v>
      </c>
      <c r="AB424" s="142">
        <f>B424*IBGE_2!AB$424/100</f>
        <v>5.2</v>
      </c>
      <c r="AC424" s="142">
        <f>B424*IBGE_2!AC$424/100</f>
        <v>0.498</v>
      </c>
      <c r="AD424" s="142" t="s">
        <v>3047</v>
      </c>
      <c r="AE424" s="142">
        <f>B424*IBGE_2!AE$424/100</f>
        <v>15</v>
      </c>
      <c r="AF424" s="142" t="s">
        <v>3047</v>
      </c>
      <c r="AG424" s="142">
        <f>B424*IBGE_2!AG$424/100</f>
        <v>0.187</v>
      </c>
      <c r="AH424" s="142">
        <f>B424*IBGE_2!AH$424/100</f>
        <v>1.2E-2</v>
      </c>
      <c r="AI424" s="142">
        <f>B424*IBGE_2!AI$424/100</f>
        <v>180</v>
      </c>
      <c r="AJ424" s="142">
        <f>B424*IBGE_2!AJ$424/100</f>
        <v>1.591</v>
      </c>
      <c r="AK424" s="142">
        <f>B424*IBGE_2!AK$424/100</f>
        <v>8.3000000000000004E-2</v>
      </c>
      <c r="AL424" s="142">
        <f>B424*IBGE_2!AL$424/100</f>
        <v>4.7300000000000004</v>
      </c>
      <c r="AM424" s="145" t="s">
        <v>3047</v>
      </c>
      <c r="AN424" s="161"/>
    </row>
    <row r="425" spans="1:40">
      <c r="A425" s="143" t="s">
        <v>1484</v>
      </c>
      <c r="B425" s="141">
        <v>100</v>
      </c>
      <c r="C425" s="142">
        <f>B425*IBGE_2!C$425/100</f>
        <v>40</v>
      </c>
      <c r="D425" s="142">
        <f>B425*IBGE_2!D$425/100</f>
        <v>1.3520000000000001</v>
      </c>
      <c r="E425" s="142">
        <f>B425*IBGE_2!E$425/100</f>
        <v>0.188</v>
      </c>
      <c r="F425" s="142">
        <f>B425*IBGE_2!F$425/100</f>
        <v>0.03</v>
      </c>
      <c r="G425" s="142">
        <f>B425*IBGE_2!G$425/100</f>
        <v>2.7000000000000003E-2</v>
      </c>
      <c r="H425" s="142">
        <f>B425*IBGE_2!H$425/100</f>
        <v>7.2999999999999995E-2</v>
      </c>
      <c r="I425" s="142">
        <f>B425*IBGE_2!I$425/100</f>
        <v>7.0000000000000007E-2</v>
      </c>
      <c r="J425" s="142">
        <f>B425*IBGE_2!J$425/100</f>
        <v>4.0000000000000001E-3</v>
      </c>
      <c r="K425" s="142" t="s">
        <v>3047</v>
      </c>
      <c r="L425" s="142">
        <f>B425*IBGE_2!L$425/100</f>
        <v>9.1959999999999997</v>
      </c>
      <c r="M425" s="142">
        <f>B425*IBGE_2!M$425/100</f>
        <v>1.42</v>
      </c>
      <c r="N425" s="142">
        <f>B425*IBGE_2!N$425/100</f>
        <v>20.2</v>
      </c>
      <c r="O425" s="142">
        <f>B425*IBGE_2!O$425/100</f>
        <v>12</v>
      </c>
      <c r="P425" s="142">
        <f>B425*IBGE_2!P$425/100</f>
        <v>0.14399999999999999</v>
      </c>
      <c r="Q425" s="142">
        <f>B425*IBGE_2!Q$425/100</f>
        <v>33.200000000000003</v>
      </c>
      <c r="R425" s="142">
        <f>B425*IBGE_2!R$425/100</f>
        <v>0.39600000000000002</v>
      </c>
      <c r="S425" s="142">
        <f>B425*IBGE_2!S$425/100</f>
        <v>107.2</v>
      </c>
      <c r="T425" s="142">
        <f>B425*IBGE_2!T$425/100</f>
        <v>199</v>
      </c>
      <c r="U425" s="142">
        <f>B425*IBGE_2!U$425/100</f>
        <v>7.6999999999999999E-2</v>
      </c>
      <c r="V425" s="142">
        <f>B425*IBGE_2!V$425/100</f>
        <v>0.20800000000000002</v>
      </c>
      <c r="W425" s="142" t="s">
        <v>3047</v>
      </c>
      <c r="X425" s="142">
        <f>B425*IBGE_2!X$425/100</f>
        <v>3.7999999999999999E-2</v>
      </c>
      <c r="Y425" s="142">
        <f>B425*IBGE_2!Y$425/100</f>
        <v>3.2000000000000001E-2</v>
      </c>
      <c r="Z425" s="142">
        <f>B425*IBGE_2!Z$425/100</f>
        <v>0.12300000000000001</v>
      </c>
      <c r="AA425" s="142">
        <f>B425*IBGE_2!AA$425/100</f>
        <v>0.32700000000000001</v>
      </c>
      <c r="AB425" s="142">
        <f>B425*IBGE_2!AB$425/100</f>
        <v>5.56</v>
      </c>
      <c r="AC425" s="142">
        <f>B425*IBGE_2!AC$425/100</f>
        <v>0.627</v>
      </c>
      <c r="AD425" s="142" t="s">
        <v>3047</v>
      </c>
      <c r="AE425" s="142">
        <f>B425*IBGE_2!AE$425/100</f>
        <v>14.2</v>
      </c>
      <c r="AF425" s="142" t="s">
        <v>3047</v>
      </c>
      <c r="AG425" s="142">
        <f>B425*IBGE_2!AG$425/100</f>
        <v>0.29199999999999998</v>
      </c>
      <c r="AH425" s="145" t="s">
        <v>3047</v>
      </c>
      <c r="AI425" s="142">
        <f>B425*IBGE_2!AI$425/100</f>
        <v>180</v>
      </c>
      <c r="AJ425" s="142">
        <f>B425*IBGE_2!AJ$425/100</f>
        <v>0.52</v>
      </c>
      <c r="AK425" s="142">
        <f>B425*IBGE_2!AK$425/100</f>
        <v>3.55</v>
      </c>
      <c r="AL425" s="142">
        <f>B425*IBGE_2!AL$425/100</f>
        <v>4.6340000000000003</v>
      </c>
      <c r="AM425" s="145" t="s">
        <v>3047</v>
      </c>
      <c r="AN425" s="161"/>
    </row>
    <row r="426" spans="1:40">
      <c r="A426" s="143" t="s">
        <v>1485</v>
      </c>
      <c r="B426" s="141">
        <v>100</v>
      </c>
      <c r="C426" s="142">
        <f>B426*IBGE_2!C$426/100</f>
        <v>60.146999999999998</v>
      </c>
      <c r="D426" s="142">
        <f>B426*IBGE_2!D$426/100</f>
        <v>1.379</v>
      </c>
      <c r="E426" s="142">
        <f>B426*IBGE_2!E$426/100</f>
        <v>2.0169999999999999</v>
      </c>
      <c r="F426" s="142">
        <f>B426*IBGE_2!F$426/100</f>
        <v>1.1879999999999999</v>
      </c>
      <c r="G426" s="142">
        <f>B426*IBGE_2!G$426/100</f>
        <v>0.5</v>
      </c>
      <c r="H426" s="142">
        <f>B426*IBGE_2!H$426/100</f>
        <v>0.14199999999999999</v>
      </c>
      <c r="I426" s="142">
        <f>B426*IBGE_2!I$426/100</f>
        <v>0.13100000000000001</v>
      </c>
      <c r="J426" s="142">
        <f>B426*IBGE_2!J$426/100</f>
        <v>1.0999999999999999E-2</v>
      </c>
      <c r="K426" s="142">
        <f>B426*IBGE_2!K$426/100</f>
        <v>4.8419999999999996</v>
      </c>
      <c r="L426" s="142">
        <f>B426*IBGE_2!L$426/100</f>
        <v>10.151</v>
      </c>
      <c r="M426" s="142">
        <f>B426*IBGE_2!M$426/100</f>
        <v>1.4</v>
      </c>
      <c r="N426" s="142">
        <f>B426*IBGE_2!N$426/100</f>
        <v>22.54</v>
      </c>
      <c r="O426" s="142">
        <f>B426*IBGE_2!O$426/100</f>
        <v>11.045</v>
      </c>
      <c r="P426" s="142">
        <f>B426*IBGE_2!P$426/100</f>
        <v>0.153</v>
      </c>
      <c r="Q426" s="142">
        <f>B426*IBGE_2!Q$426/100</f>
        <v>35.54</v>
      </c>
      <c r="R426" s="142">
        <f>B426*IBGE_2!R$426/100</f>
        <v>0.24</v>
      </c>
      <c r="S426" s="142">
        <f>B426*IBGE_2!S$426/100</f>
        <v>15.970999999999998</v>
      </c>
      <c r="T426" s="142">
        <f>B426*IBGE_2!T$426/100</f>
        <v>166.54</v>
      </c>
      <c r="U426" s="142">
        <f>B426*IBGE_2!U$426/100</f>
        <v>6.7000000000000004E-2</v>
      </c>
      <c r="V426" s="142">
        <f>B426*IBGE_2!V$426/100</f>
        <v>0.21199999999999999</v>
      </c>
      <c r="W426" s="142">
        <f>B426*IBGE_2!W$426/100</f>
        <v>15.111000000000001</v>
      </c>
      <c r="X426" s="142">
        <f>B426*IBGE_2!X$426/100</f>
        <v>4.2000000000000003E-2</v>
      </c>
      <c r="Y426" s="142">
        <f>B426*IBGE_2!Y$426/100</f>
        <v>2.4E-2</v>
      </c>
      <c r="Z426" s="142">
        <f>B426*IBGE_2!Z$426/100</f>
        <v>0.129</v>
      </c>
      <c r="AA426" s="142">
        <f>B426*IBGE_2!AA$426/100</f>
        <v>0.16600000000000001</v>
      </c>
      <c r="AB426" s="142">
        <f>B426*IBGE_2!AB$426/100</f>
        <v>5.2</v>
      </c>
      <c r="AC426" s="142">
        <f>B426*IBGE_2!AC$426/100</f>
        <v>0.504</v>
      </c>
      <c r="AD426" s="142">
        <f>B426*IBGE_2!AD$426/100</f>
        <v>4.0000000000000001E-3</v>
      </c>
      <c r="AE426" s="142">
        <f>B426*IBGE_2!AE$426/100</f>
        <v>15.068</v>
      </c>
      <c r="AF426" s="142">
        <f>B426*IBGE_2!AF$426/100</f>
        <v>3.2000000000000001E-2</v>
      </c>
      <c r="AG426" s="142">
        <f>B426*IBGE_2!AG$426/100</f>
        <v>6.2E-2</v>
      </c>
      <c r="AH426" s="142">
        <f>B426*IBGE_2!AH$426/100</f>
        <v>7.3999999999999996E-2</v>
      </c>
      <c r="AI426" s="142">
        <f>B426*IBGE_2!AI$426/100</f>
        <v>180</v>
      </c>
      <c r="AJ426" s="142">
        <f>B426*IBGE_2!AJ$426/100</f>
        <v>0.623</v>
      </c>
      <c r="AK426" s="142">
        <f>B426*IBGE_2!AK$426/100</f>
        <v>15.491</v>
      </c>
      <c r="AL426" s="142">
        <f>B426*IBGE_2!AL$426/100</f>
        <v>4.7320000000000002</v>
      </c>
      <c r="AM426" s="145" t="s">
        <v>3047</v>
      </c>
      <c r="AN426" s="161"/>
    </row>
    <row r="427" spans="1:40">
      <c r="A427" s="143" t="s">
        <v>1486</v>
      </c>
      <c r="B427" s="141">
        <v>100</v>
      </c>
      <c r="C427" s="142">
        <f>B427*IBGE_2!C$427/100</f>
        <v>40</v>
      </c>
      <c r="D427" s="142">
        <f>B427*IBGE_2!D$427/100</f>
        <v>1.1000000000000001</v>
      </c>
      <c r="E427" s="142">
        <f>B427*IBGE_2!E$427/100</f>
        <v>0.1</v>
      </c>
      <c r="F427" s="142">
        <f>B427*IBGE_2!F$427/100</f>
        <v>0.04</v>
      </c>
      <c r="G427" s="142">
        <f>B427*IBGE_2!G$427/100</f>
        <v>0.01</v>
      </c>
      <c r="H427" s="142">
        <f>B427*IBGE_2!H$427/100</f>
        <v>0.02</v>
      </c>
      <c r="I427" s="142">
        <f>B427*IBGE_2!I$427/100</f>
        <v>0.01</v>
      </c>
      <c r="J427" s="142" t="s">
        <v>3047</v>
      </c>
      <c r="K427" s="142" t="s">
        <v>3047</v>
      </c>
      <c r="L427" s="142">
        <f>B427*IBGE_2!L$427/100</f>
        <v>9.34</v>
      </c>
      <c r="M427" s="142">
        <f>B427*IBGE_2!M$427/100</f>
        <v>1.93</v>
      </c>
      <c r="N427" s="142">
        <f>B427*IBGE_2!N$427/100</f>
        <v>23</v>
      </c>
      <c r="O427" s="142">
        <f>B427*IBGE_2!O$427/100</f>
        <v>10</v>
      </c>
      <c r="P427" s="142">
        <f>B427*IBGE_2!P$427/100</f>
        <v>0.13</v>
      </c>
      <c r="Q427" s="142">
        <f>B427*IBGE_2!Q$427/100</f>
        <v>29</v>
      </c>
      <c r="R427" s="142">
        <f>B427*IBGE_2!R$427/100</f>
        <v>0.21</v>
      </c>
      <c r="S427" s="142">
        <f>B427*IBGE_2!S$427/100</f>
        <v>4</v>
      </c>
      <c r="T427" s="142">
        <f>B427*IBGE_2!T$427/100</f>
        <v>146</v>
      </c>
      <c r="U427" s="142">
        <f>B427*IBGE_2!U$427/100</f>
        <v>0.04</v>
      </c>
      <c r="V427" s="142">
        <f>B427*IBGE_2!V$427/100</f>
        <v>0.17</v>
      </c>
      <c r="W427" s="142" t="s">
        <v>3047</v>
      </c>
      <c r="X427" s="142">
        <f>B427*IBGE_2!X$427/100</f>
        <v>0.05</v>
      </c>
      <c r="Y427" s="142">
        <f>B427*IBGE_2!Y$427/100</f>
        <v>0.03</v>
      </c>
      <c r="Z427" s="142">
        <f>B427*IBGE_2!Z$427/100</f>
        <v>0.12</v>
      </c>
      <c r="AA427" s="142">
        <f>B427*IBGE_2!AA$427/100</f>
        <v>0.12</v>
      </c>
      <c r="AB427" s="142">
        <f>B427*IBGE_2!AB$427/100</f>
        <v>7.4</v>
      </c>
      <c r="AC427" s="142">
        <f>B427*IBGE_2!AC$427/100</f>
        <v>0.35</v>
      </c>
      <c r="AD427" s="142" t="s">
        <v>3047</v>
      </c>
      <c r="AE427" s="142">
        <f>B427*IBGE_2!AE$427/100</f>
        <v>19</v>
      </c>
      <c r="AF427" s="142" t="s">
        <v>3047</v>
      </c>
      <c r="AG427" s="142">
        <f>B427*IBGE_2!AG$427/100</f>
        <v>0.02</v>
      </c>
      <c r="AH427" s="145" t="s">
        <v>3047</v>
      </c>
      <c r="AI427" s="145" t="s">
        <v>3047</v>
      </c>
      <c r="AJ427" s="142">
        <f>B427*IBGE_2!AJ$427/100</f>
        <v>0.5</v>
      </c>
      <c r="AK427" s="142">
        <f>B427*IBGE_2!AK$427/100</f>
        <v>0.08</v>
      </c>
      <c r="AL427" s="142">
        <f>B427*IBGE_2!AL$427/100</f>
        <v>4.26</v>
      </c>
      <c r="AM427" s="145" t="s">
        <v>3047</v>
      </c>
      <c r="AN427" s="161"/>
    </row>
    <row r="428" spans="1:40">
      <c r="A428" s="143" t="s">
        <v>1487</v>
      </c>
      <c r="B428" s="141">
        <v>100</v>
      </c>
      <c r="C428" s="142">
        <f>B428*IBGE_2!C$428/100</f>
        <v>40</v>
      </c>
      <c r="D428" s="142">
        <f>B428*IBGE_2!D$428/100</f>
        <v>1.1000000000000001</v>
      </c>
      <c r="E428" s="142">
        <f>B428*IBGE_2!E$428/100</f>
        <v>0.1</v>
      </c>
      <c r="F428" s="142">
        <f>B428*IBGE_2!F$428/100</f>
        <v>0.04</v>
      </c>
      <c r="G428" s="142">
        <f>B428*IBGE_2!G$428/100</f>
        <v>0.01</v>
      </c>
      <c r="H428" s="142">
        <f>B428*IBGE_2!H$428/100</f>
        <v>0.02</v>
      </c>
      <c r="I428" s="142">
        <f>B428*IBGE_2!I$428/100</f>
        <v>0.01</v>
      </c>
      <c r="J428" s="142" t="s">
        <v>3047</v>
      </c>
      <c r="K428" s="142" t="s">
        <v>3047</v>
      </c>
      <c r="L428" s="142">
        <f>B428*IBGE_2!L$428/100</f>
        <v>9.34</v>
      </c>
      <c r="M428" s="142">
        <f>B428*IBGE_2!M$428/100</f>
        <v>1.93</v>
      </c>
      <c r="N428" s="142">
        <f>B428*IBGE_2!N$428/100</f>
        <v>23</v>
      </c>
      <c r="O428" s="142">
        <f>B428*IBGE_2!O$428/100</f>
        <v>10</v>
      </c>
      <c r="P428" s="142">
        <f>B428*IBGE_2!P$428/100</f>
        <v>0.13</v>
      </c>
      <c r="Q428" s="142">
        <f>B428*IBGE_2!Q$428/100</f>
        <v>29</v>
      </c>
      <c r="R428" s="142">
        <f>B428*IBGE_2!R$428/100</f>
        <v>0.21</v>
      </c>
      <c r="S428" s="142">
        <f>B428*IBGE_2!S$428/100</f>
        <v>4</v>
      </c>
      <c r="T428" s="142">
        <f>B428*IBGE_2!T$428/100</f>
        <v>146</v>
      </c>
      <c r="U428" s="142">
        <f>B428*IBGE_2!U$428/100</f>
        <v>0.04</v>
      </c>
      <c r="V428" s="142">
        <f>B428*IBGE_2!V$428/100</f>
        <v>0.17</v>
      </c>
      <c r="W428" s="142" t="s">
        <v>3047</v>
      </c>
      <c r="X428" s="142">
        <f>B428*IBGE_2!X$428/100</f>
        <v>0.05</v>
      </c>
      <c r="Y428" s="142">
        <f>B428*IBGE_2!Y$428/100</f>
        <v>0.03</v>
      </c>
      <c r="Z428" s="142">
        <f>B428*IBGE_2!Z$428/100</f>
        <v>0.12</v>
      </c>
      <c r="AA428" s="142">
        <f>B428*IBGE_2!AA$428/100</f>
        <v>0.12</v>
      </c>
      <c r="AB428" s="142">
        <f>B428*IBGE_2!AB$428/100</f>
        <v>7.4</v>
      </c>
      <c r="AC428" s="142">
        <f>B428*IBGE_2!AC$428/100</f>
        <v>0.35</v>
      </c>
      <c r="AD428" s="142" t="s">
        <v>3047</v>
      </c>
      <c r="AE428" s="142">
        <f>B428*IBGE_2!AE$428/100</f>
        <v>19</v>
      </c>
      <c r="AF428" s="142" t="s">
        <v>3047</v>
      </c>
      <c r="AG428" s="142">
        <f>B428*IBGE_2!AG$428/100</f>
        <v>0.02</v>
      </c>
      <c r="AH428" s="145" t="s">
        <v>3047</v>
      </c>
      <c r="AI428" s="145" t="s">
        <v>3047</v>
      </c>
      <c r="AJ428" s="142">
        <f>B428*IBGE_2!AJ$428/100</f>
        <v>0.5</v>
      </c>
      <c r="AK428" s="142">
        <f>B428*IBGE_2!AK$428/100</f>
        <v>0.08</v>
      </c>
      <c r="AL428" s="142">
        <f>B428*IBGE_2!AL$428/100</f>
        <v>4.26</v>
      </c>
      <c r="AM428" s="145" t="s">
        <v>3047</v>
      </c>
      <c r="AN428" s="161"/>
    </row>
    <row r="429" spans="1:40">
      <c r="A429" s="143" t="s">
        <v>1488</v>
      </c>
      <c r="B429" s="141">
        <v>100</v>
      </c>
      <c r="C429" s="142">
        <f>B429*IBGE_2!C$429/100</f>
        <v>42.94</v>
      </c>
      <c r="D429" s="142">
        <f>B429*IBGE_2!D$429/100</f>
        <v>1.88</v>
      </c>
      <c r="E429" s="142">
        <f>B429*IBGE_2!E$429/100</f>
        <v>2.68</v>
      </c>
      <c r="F429" s="142">
        <f>B429*IBGE_2!F$429/100</f>
        <v>0.39</v>
      </c>
      <c r="G429" s="142">
        <f>B429*IBGE_2!G$429/100</f>
        <v>0.62</v>
      </c>
      <c r="H429" s="142">
        <f>B429*IBGE_2!H$429/100</f>
        <v>1.53</v>
      </c>
      <c r="I429" s="142">
        <f>B429*IBGE_2!I$429/100</f>
        <v>1.35</v>
      </c>
      <c r="J429" s="142">
        <f>B429*IBGE_2!J$429/100</f>
        <v>0.18</v>
      </c>
      <c r="K429" s="142" t="s">
        <v>3047</v>
      </c>
      <c r="L429" s="142">
        <f>B429*IBGE_2!L$429/100</f>
        <v>4.13</v>
      </c>
      <c r="M429" s="142">
        <f>B429*IBGE_2!M$429/100</f>
        <v>2.1</v>
      </c>
      <c r="N429" s="142">
        <f>B429*IBGE_2!N$429/100</f>
        <v>58</v>
      </c>
      <c r="O429" s="142">
        <f>B429*IBGE_2!O$429/100</f>
        <v>86</v>
      </c>
      <c r="P429" s="142">
        <f>B429*IBGE_2!P$429/100</f>
        <v>0.33</v>
      </c>
      <c r="Q429" s="142">
        <f>B429*IBGE_2!Q$429/100</f>
        <v>33</v>
      </c>
      <c r="R429" s="142">
        <f>B429*IBGE_2!R$429/100</f>
        <v>2.2599999999999998</v>
      </c>
      <c r="S429" s="142">
        <f>B429*IBGE_2!S$429/100</f>
        <v>179</v>
      </c>
      <c r="T429" s="142">
        <f>B429*IBGE_2!T$429/100</f>
        <v>549</v>
      </c>
      <c r="U429" s="142">
        <f>B429*IBGE_2!U$429/100</f>
        <v>0.16</v>
      </c>
      <c r="V429" s="142">
        <f>B429*IBGE_2!V$429/100</f>
        <v>0.33</v>
      </c>
      <c r="W429" s="142" t="s">
        <v>3047</v>
      </c>
      <c r="X429" s="142">
        <f>B429*IBGE_2!X$429/100</f>
        <v>0.03</v>
      </c>
      <c r="Y429" s="142">
        <f>B429*IBGE_2!Y$429/100</f>
        <v>0.09</v>
      </c>
      <c r="Z429" s="142">
        <f>B429*IBGE_2!Z$429/100</f>
        <v>0.09</v>
      </c>
      <c r="AA429" s="142">
        <f>B429*IBGE_2!AA$429/100</f>
        <v>0.36</v>
      </c>
      <c r="AB429" s="142">
        <f>B429*IBGE_2!AB$429/100</f>
        <v>18</v>
      </c>
      <c r="AC429" s="142">
        <f>B429*IBGE_2!AC$429/100</f>
        <v>0.66</v>
      </c>
      <c r="AD429" s="142" t="s">
        <v>3047</v>
      </c>
      <c r="AE429" s="142">
        <f>B429*IBGE_2!AE$429/100</f>
        <v>9</v>
      </c>
      <c r="AF429" s="142" t="s">
        <v>3047</v>
      </c>
      <c r="AG429" s="142">
        <f>B429*IBGE_2!AG$429/100</f>
        <v>2.13</v>
      </c>
      <c r="AH429" s="145" t="s">
        <v>3047</v>
      </c>
      <c r="AI429" s="145" t="s">
        <v>3047</v>
      </c>
      <c r="AJ429" s="142">
        <f>B429*IBGE_2!AJ$429/100</f>
        <v>2.09</v>
      </c>
      <c r="AK429" s="142">
        <f>B429*IBGE_2!AK$429/100</f>
        <v>306.20999999999998</v>
      </c>
      <c r="AL429" s="142">
        <f>B429*IBGE_2!AL$429/100</f>
        <v>0.4</v>
      </c>
      <c r="AM429" s="145" t="s">
        <v>3047</v>
      </c>
      <c r="AN429" s="161"/>
    </row>
    <row r="430" spans="1:40">
      <c r="A430" s="143" t="s">
        <v>1489</v>
      </c>
      <c r="B430" s="141">
        <v>100</v>
      </c>
      <c r="C430" s="142">
        <f>B430*IBGE_2!C$430/100</f>
        <v>47</v>
      </c>
      <c r="D430" s="142">
        <f>B430*IBGE_2!D$430/100</f>
        <v>2.5299999999999998</v>
      </c>
      <c r="E430" s="142">
        <f>B430*IBGE_2!E$430/100</f>
        <v>0.26</v>
      </c>
      <c r="F430" s="142">
        <f>B430*IBGE_2!F$430/100</f>
        <v>0.05</v>
      </c>
      <c r="G430" s="142">
        <f>B430*IBGE_2!G$430/100</f>
        <v>0.01</v>
      </c>
      <c r="H430" s="142">
        <f>B430*IBGE_2!H$430/100</f>
        <v>0.12</v>
      </c>
      <c r="I430" s="142">
        <f>B430*IBGE_2!I$430/100</f>
        <v>0.1</v>
      </c>
      <c r="J430" s="142">
        <f>B430*IBGE_2!J$430/100</f>
        <v>0.01</v>
      </c>
      <c r="K430" s="142" t="s">
        <v>3047</v>
      </c>
      <c r="L430" s="142">
        <f>B430*IBGE_2!L$430/100</f>
        <v>9.06</v>
      </c>
      <c r="M430" s="142">
        <f>B430*IBGE_2!M$430/100</f>
        <v>2.8</v>
      </c>
      <c r="N430" s="142">
        <f>B430*IBGE_2!N$430/100</f>
        <v>22.646000000000001</v>
      </c>
      <c r="O430" s="142">
        <f>B430*IBGE_2!O$430/100</f>
        <v>12.505999999999998</v>
      </c>
      <c r="P430" s="142">
        <f>B430*IBGE_2!P$430/100</f>
        <v>0.371</v>
      </c>
      <c r="Q430" s="142">
        <f>B430*IBGE_2!Q$430/100</f>
        <v>45.5</v>
      </c>
      <c r="R430" s="142">
        <f>B430*IBGE_2!R$430/100</f>
        <v>0.79200000000000004</v>
      </c>
      <c r="S430" s="142">
        <f>B430*IBGE_2!S$430/100</f>
        <v>482.77800000000002</v>
      </c>
      <c r="T430" s="142">
        <f>B430*IBGE_2!T$430/100</f>
        <v>176.04900000000001</v>
      </c>
      <c r="U430" s="142">
        <f>B430*IBGE_2!U$430/100</f>
        <v>0.09</v>
      </c>
      <c r="V430" s="142">
        <f>B430*IBGE_2!V$430/100</f>
        <v>0.48100000000000004</v>
      </c>
      <c r="W430" s="142" t="s">
        <v>3047</v>
      </c>
      <c r="X430" s="142">
        <f>B430*IBGE_2!X$430/100</f>
        <v>7.0000000000000007E-2</v>
      </c>
      <c r="Y430" s="142">
        <f>B430*IBGE_2!Y$430/100</f>
        <v>0.05</v>
      </c>
      <c r="Z430" s="142">
        <f>B430*IBGE_2!Z$430/100</f>
        <v>0.08</v>
      </c>
      <c r="AA430" s="142">
        <f>B430*IBGE_2!AA$430/100</f>
        <v>0.63</v>
      </c>
      <c r="AB430" s="142">
        <f>B430*IBGE_2!AB$430/100</f>
        <v>6.15</v>
      </c>
      <c r="AC430" s="142">
        <f>B430*IBGE_2!AC$430/100</f>
        <v>0.79700000000000004</v>
      </c>
      <c r="AD430" s="142" t="s">
        <v>3047</v>
      </c>
      <c r="AE430" s="142">
        <f>B430*IBGE_2!AE$430/100</f>
        <v>26.75</v>
      </c>
      <c r="AF430" s="142" t="s">
        <v>3047</v>
      </c>
      <c r="AG430" s="142">
        <f>B430*IBGE_2!AG$430/100</f>
        <v>0.38500000000000001</v>
      </c>
      <c r="AH430" s="145" t="s">
        <v>3047</v>
      </c>
      <c r="AI430" s="145" t="s">
        <v>3047</v>
      </c>
      <c r="AJ430" s="142">
        <f>B430*IBGE_2!AJ$430/100</f>
        <v>1.0509999999999999</v>
      </c>
      <c r="AK430" s="142">
        <f>B430*IBGE_2!AK$430/100</f>
        <v>292.66699999999997</v>
      </c>
      <c r="AL430" s="142">
        <f>B430*IBGE_2!AL$430/100</f>
        <v>3.2</v>
      </c>
      <c r="AM430" s="145" t="s">
        <v>3047</v>
      </c>
      <c r="AN430" s="161"/>
    </row>
    <row r="431" spans="1:40">
      <c r="A431" s="143" t="s">
        <v>1490</v>
      </c>
      <c r="B431" s="141">
        <v>100</v>
      </c>
      <c r="C431" s="142">
        <f>B431*IBGE_2!C$431/100</f>
        <v>47</v>
      </c>
      <c r="D431" s="142">
        <f>B431*IBGE_2!D$431/100</f>
        <v>2.5299999999999998</v>
      </c>
      <c r="E431" s="142">
        <f>B431*IBGE_2!E$431/100</f>
        <v>0.26</v>
      </c>
      <c r="F431" s="142">
        <f>B431*IBGE_2!F$431/100</f>
        <v>0.05</v>
      </c>
      <c r="G431" s="142">
        <f>B431*IBGE_2!G$431/100</f>
        <v>0.01</v>
      </c>
      <c r="H431" s="142">
        <f>B431*IBGE_2!H$431/100</f>
        <v>0.12</v>
      </c>
      <c r="I431" s="142">
        <f>B431*IBGE_2!I$431/100</f>
        <v>0.1</v>
      </c>
      <c r="J431" s="142">
        <f>B431*IBGE_2!J$431/100</f>
        <v>0.01</v>
      </c>
      <c r="K431" s="142" t="s">
        <v>3047</v>
      </c>
      <c r="L431" s="142">
        <f>B431*IBGE_2!L$431/100</f>
        <v>9.06</v>
      </c>
      <c r="M431" s="142">
        <f>B431*IBGE_2!M$431/100</f>
        <v>2.8</v>
      </c>
      <c r="N431" s="142">
        <f>B431*IBGE_2!N$431/100</f>
        <v>22.646000000000001</v>
      </c>
      <c r="O431" s="142">
        <f>B431*IBGE_2!O$431/100</f>
        <v>12.505999999999998</v>
      </c>
      <c r="P431" s="142">
        <f>B431*IBGE_2!P$431/100</f>
        <v>0.371</v>
      </c>
      <c r="Q431" s="142">
        <f>B431*IBGE_2!Q$431/100</f>
        <v>45.5</v>
      </c>
      <c r="R431" s="142">
        <f>B431*IBGE_2!R$431/100</f>
        <v>0.79200000000000004</v>
      </c>
      <c r="S431" s="142">
        <f>B431*IBGE_2!S$431/100</f>
        <v>482.77800000000002</v>
      </c>
      <c r="T431" s="142">
        <f>B431*IBGE_2!T$431/100</f>
        <v>176.04900000000001</v>
      </c>
      <c r="U431" s="142">
        <f>B431*IBGE_2!U$431/100</f>
        <v>0.09</v>
      </c>
      <c r="V431" s="142">
        <f>B431*IBGE_2!V$431/100</f>
        <v>0.48100000000000004</v>
      </c>
      <c r="W431" s="142" t="s">
        <v>3047</v>
      </c>
      <c r="X431" s="142">
        <f>B431*IBGE_2!X$431/100</f>
        <v>7.0000000000000007E-2</v>
      </c>
      <c r="Y431" s="142">
        <f>B431*IBGE_2!Y$431/100</f>
        <v>0.05</v>
      </c>
      <c r="Z431" s="142">
        <f>B431*IBGE_2!Z$431/100</f>
        <v>0.08</v>
      </c>
      <c r="AA431" s="142">
        <f>B431*IBGE_2!AA$431/100</f>
        <v>0.63</v>
      </c>
      <c r="AB431" s="142">
        <f>B431*IBGE_2!AB$431/100</f>
        <v>6.15</v>
      </c>
      <c r="AC431" s="142">
        <f>B431*IBGE_2!AC$431/100</f>
        <v>0.79700000000000004</v>
      </c>
      <c r="AD431" s="142" t="s">
        <v>3047</v>
      </c>
      <c r="AE431" s="142">
        <f>B431*IBGE_2!AE$431/100</f>
        <v>26.75</v>
      </c>
      <c r="AF431" s="142" t="s">
        <v>3047</v>
      </c>
      <c r="AG431" s="142">
        <f>B431*IBGE_2!AG$431/100</f>
        <v>0.38500000000000001</v>
      </c>
      <c r="AH431" s="145" t="s">
        <v>3047</v>
      </c>
      <c r="AI431" s="145" t="s">
        <v>3047</v>
      </c>
      <c r="AJ431" s="142">
        <f>B431*IBGE_2!AJ$431/100</f>
        <v>1.0509999999999999</v>
      </c>
      <c r="AK431" s="142">
        <f>B431*IBGE_2!AK$431/100</f>
        <v>292.66699999999997</v>
      </c>
      <c r="AL431" s="142">
        <f>B431*IBGE_2!AL$431/100</f>
        <v>3.2</v>
      </c>
      <c r="AM431" s="145" t="s">
        <v>3047</v>
      </c>
      <c r="AN431" s="161"/>
    </row>
    <row r="432" spans="1:40">
      <c r="A432" s="143" t="s">
        <v>1491</v>
      </c>
      <c r="B432" s="141">
        <v>100</v>
      </c>
      <c r="C432" s="142">
        <f>B432*IBGE_2!C$432/100</f>
        <v>149</v>
      </c>
      <c r="D432" s="142">
        <f>B432*IBGE_2!D$432/100</f>
        <v>6.36</v>
      </c>
      <c r="E432" s="142">
        <f>B432*IBGE_2!E$432/100</f>
        <v>0.5</v>
      </c>
      <c r="F432" s="142">
        <f>B432*IBGE_2!F$432/100</f>
        <v>0.09</v>
      </c>
      <c r="G432" s="142">
        <f>B432*IBGE_2!G$432/100</f>
        <v>0.01</v>
      </c>
      <c r="H432" s="142">
        <f>B432*IBGE_2!H$432/100</f>
        <v>0.25</v>
      </c>
      <c r="I432" s="142">
        <f>B432*IBGE_2!I$432/100</f>
        <v>0.23</v>
      </c>
      <c r="J432" s="142">
        <f>B432*IBGE_2!J$432/100</f>
        <v>0.02</v>
      </c>
      <c r="K432" s="142" t="s">
        <v>3047</v>
      </c>
      <c r="L432" s="142">
        <f>B432*IBGE_2!L$432/100</f>
        <v>33.06</v>
      </c>
      <c r="M432" s="142">
        <f>B432*IBGE_2!M$432/100</f>
        <v>2.1</v>
      </c>
      <c r="N432" s="142">
        <f>B432*IBGE_2!N$432/100</f>
        <v>181</v>
      </c>
      <c r="O432" s="142">
        <f>B432*IBGE_2!O$432/100</f>
        <v>25</v>
      </c>
      <c r="P432" s="142">
        <f>B432*IBGE_2!P$432/100</f>
        <v>1.67</v>
      </c>
      <c r="Q432" s="142">
        <f>B432*IBGE_2!Q$432/100</f>
        <v>153</v>
      </c>
      <c r="R432" s="142">
        <f>B432*IBGE_2!R$432/100</f>
        <v>1.7</v>
      </c>
      <c r="S432" s="142">
        <f>B432*IBGE_2!S$432/100</f>
        <v>17</v>
      </c>
      <c r="T432" s="142">
        <f>B432*IBGE_2!T$432/100</f>
        <v>401</v>
      </c>
      <c r="U432" s="142">
        <f>B432*IBGE_2!U$432/100</f>
        <v>0.3</v>
      </c>
      <c r="V432" s="142">
        <f>B432*IBGE_2!V$432/100</f>
        <v>1.1599999999999999</v>
      </c>
      <c r="W432" s="142" t="s">
        <v>3047</v>
      </c>
      <c r="X432" s="142">
        <f>B432*IBGE_2!X$432/100</f>
        <v>0.2</v>
      </c>
      <c r="Y432" s="142">
        <f>B432*IBGE_2!Y$432/100</f>
        <v>0.11</v>
      </c>
      <c r="Z432" s="142">
        <f>B432*IBGE_2!Z$432/100</f>
        <v>1.24</v>
      </c>
      <c r="AA432" s="142">
        <f>B432*IBGE_2!AA$432/100</f>
        <v>0.7</v>
      </c>
      <c r="AB432" s="142">
        <f>B432*IBGE_2!AB$432/100</f>
        <v>31.2</v>
      </c>
      <c r="AC432" s="142">
        <f>B432*IBGE_2!AC$432/100</f>
        <v>1.8</v>
      </c>
      <c r="AD432" s="142" t="s">
        <v>3047</v>
      </c>
      <c r="AE432" s="142">
        <f>B432*IBGE_2!AE$432/100</f>
        <v>3</v>
      </c>
      <c r="AF432" s="142" t="s">
        <v>3047</v>
      </c>
      <c r="AG432" s="142">
        <f>B432*IBGE_2!AG$432/100</f>
        <v>0.01</v>
      </c>
      <c r="AH432" s="145" t="s">
        <v>3047</v>
      </c>
      <c r="AI432" s="145" t="s">
        <v>3047</v>
      </c>
      <c r="AJ432" s="142">
        <f>B432*IBGE_2!AJ$432/100</f>
        <v>14.2</v>
      </c>
      <c r="AK432" s="145" t="s">
        <v>3047</v>
      </c>
      <c r="AL432" s="142">
        <f>B432*IBGE_2!AL$432/100</f>
        <v>1.6</v>
      </c>
      <c r="AM432" s="145" t="s">
        <v>3047</v>
      </c>
      <c r="AN432" s="161"/>
    </row>
    <row r="433" spans="1:40">
      <c r="A433" s="143" t="s">
        <v>1492</v>
      </c>
      <c r="B433" s="141">
        <v>100</v>
      </c>
      <c r="C433" s="142">
        <f>B433*IBGE_2!C$433/100</f>
        <v>54.478999999999999</v>
      </c>
      <c r="D433" s="142">
        <f>B433*IBGE_2!D$433/100</f>
        <v>0.81</v>
      </c>
      <c r="E433" s="142">
        <f>B433*IBGE_2!E$433/100</f>
        <v>2.8559999999999999</v>
      </c>
      <c r="F433" s="142">
        <f>B433*IBGE_2!F$433/100</f>
        <v>0.44299999999999995</v>
      </c>
      <c r="G433" s="142">
        <f>B433*IBGE_2!G$433/100</f>
        <v>0.60799999999999998</v>
      </c>
      <c r="H433" s="142">
        <f>B433*IBGE_2!H$433/100</f>
        <v>1.645</v>
      </c>
      <c r="I433" s="142">
        <f>B433*IBGE_2!I$433/100</f>
        <v>1.3979999999999999</v>
      </c>
      <c r="J433" s="142">
        <f>B433*IBGE_2!J$433/100</f>
        <v>0.24600000000000002</v>
      </c>
      <c r="K433" s="142" t="s">
        <v>3047</v>
      </c>
      <c r="L433" s="142">
        <f>B433*IBGE_2!L$433/100</f>
        <v>7.62</v>
      </c>
      <c r="M433" s="142">
        <f>B433*IBGE_2!M$433/100</f>
        <v>1</v>
      </c>
      <c r="N433" s="142">
        <f>B433*IBGE_2!N$433/100</f>
        <v>30</v>
      </c>
      <c r="O433" s="142">
        <f>B433*IBGE_2!O$433/100</f>
        <v>14</v>
      </c>
      <c r="P433" s="142">
        <f>B433*IBGE_2!P$433/100</f>
        <v>0.247</v>
      </c>
      <c r="Q433" s="142">
        <f>B433*IBGE_2!Q$433/100</f>
        <v>17</v>
      </c>
      <c r="R433" s="142">
        <f>B433*IBGE_2!R$433/100</f>
        <v>1.101</v>
      </c>
      <c r="S433" s="142">
        <f>B433*IBGE_2!S$433/100</f>
        <v>10</v>
      </c>
      <c r="T433" s="142">
        <f>B433*IBGE_2!T$433/100</f>
        <v>87</v>
      </c>
      <c r="U433" s="142">
        <f>B433*IBGE_2!U$433/100</f>
        <v>6.2E-2</v>
      </c>
      <c r="V433" s="142">
        <f>B433*IBGE_2!V$433/100</f>
        <v>0.06</v>
      </c>
      <c r="W433" s="142" t="s">
        <v>3047</v>
      </c>
      <c r="X433" s="142">
        <f>B433*IBGE_2!X$433/100</f>
        <v>2.6000000000000002E-2</v>
      </c>
      <c r="Y433" s="142">
        <f>B433*IBGE_2!Y$433/100</f>
        <v>0.02</v>
      </c>
      <c r="Z433" s="142">
        <f>B433*IBGE_2!Z$433/100</f>
        <v>0.113</v>
      </c>
      <c r="AA433" s="142">
        <f>B433*IBGE_2!AA$433/100</f>
        <v>0.2</v>
      </c>
      <c r="AB433" s="142">
        <f>B433*IBGE_2!AB$433/100</f>
        <v>4.2</v>
      </c>
      <c r="AC433" s="142">
        <f>B433*IBGE_2!AC$433/100</f>
        <v>0.3</v>
      </c>
      <c r="AD433" s="142" t="s">
        <v>3047</v>
      </c>
      <c r="AE433" s="142">
        <f>B433*IBGE_2!AE$433/100</f>
        <v>24</v>
      </c>
      <c r="AF433" s="142" t="s">
        <v>3047</v>
      </c>
      <c r="AG433" s="142">
        <f>B433*IBGE_2!AG$433/100</f>
        <v>0.71399999999999997</v>
      </c>
      <c r="AH433" s="142">
        <f>B433*IBGE_2!AH$433/100</f>
        <v>1.4000000000000002E-2</v>
      </c>
      <c r="AI433" s="142">
        <f>B433*IBGE_2!AI$433/100</f>
        <v>221</v>
      </c>
      <c r="AJ433" s="142">
        <f>B433*IBGE_2!AJ$433/100</f>
        <v>1.7170000000000001</v>
      </c>
      <c r="AK433" s="142">
        <f>B433*IBGE_2!AK$433/100</f>
        <v>2.3330000000000002</v>
      </c>
      <c r="AL433" s="142">
        <f>B433*IBGE_2!AL$433/100</f>
        <v>1.9750000000000001</v>
      </c>
      <c r="AM433" s="145" t="s">
        <v>3047</v>
      </c>
      <c r="AN433" s="161"/>
    </row>
    <row r="434" spans="1:40">
      <c r="A434" s="143" t="s">
        <v>1493</v>
      </c>
      <c r="B434" s="141">
        <v>100</v>
      </c>
      <c r="C434" s="142">
        <f>B434*IBGE_2!C$434/100</f>
        <v>23</v>
      </c>
      <c r="D434" s="142">
        <f>B434*IBGE_2!D$434/100</f>
        <v>3.99</v>
      </c>
      <c r="E434" s="142">
        <f>B434*IBGE_2!E$434/100</f>
        <v>0.69</v>
      </c>
      <c r="F434" s="142">
        <f>B434*IBGE_2!F$434/100</f>
        <v>6.9000000000000006E-2</v>
      </c>
      <c r="G434" s="142">
        <f>B434*IBGE_2!G$434/100</f>
        <v>5.6000000000000008E-2</v>
      </c>
      <c r="H434" s="142">
        <f>B434*IBGE_2!H$434/100</f>
        <v>0.40899999999999997</v>
      </c>
      <c r="I434" s="142">
        <f>B434*IBGE_2!I$434/100</f>
        <v>0.23400000000000001</v>
      </c>
      <c r="J434" s="142">
        <f>B434*IBGE_2!J$434/100</f>
        <v>0.17499999999999999</v>
      </c>
      <c r="K434" s="142" t="s">
        <v>3047</v>
      </c>
      <c r="L434" s="142">
        <f>B434*IBGE_2!L$434/100</f>
        <v>2.1</v>
      </c>
      <c r="M434" s="142">
        <f>B434*IBGE_2!M$434/100</f>
        <v>1.9</v>
      </c>
      <c r="N434" s="142">
        <f>B434*IBGE_2!N$434/100</f>
        <v>32</v>
      </c>
      <c r="O434" s="142">
        <f>B434*IBGE_2!O$434/100</f>
        <v>27</v>
      </c>
      <c r="P434" s="142">
        <f>B434*IBGE_2!P$434/100</f>
        <v>0.188</v>
      </c>
      <c r="Q434" s="142">
        <f>B434*IBGE_2!Q$434/100</f>
        <v>70</v>
      </c>
      <c r="R434" s="142">
        <f>B434*IBGE_2!R$434/100</f>
        <v>0.96</v>
      </c>
      <c r="S434" s="142">
        <f>B434*IBGE_2!S$434/100</f>
        <v>6</v>
      </c>
      <c r="T434" s="142">
        <f>B434*IBGE_2!T$434/100</f>
        <v>79</v>
      </c>
      <c r="U434" s="142">
        <f>B434*IBGE_2!U$434/100</f>
        <v>0.157</v>
      </c>
      <c r="V434" s="142">
        <f>B434*IBGE_2!V$434/100</f>
        <v>0.92</v>
      </c>
      <c r="W434" s="142" t="s">
        <v>3047</v>
      </c>
      <c r="X434" s="142">
        <f>B434*IBGE_2!X$434/100</f>
        <v>7.5999999999999998E-2</v>
      </c>
      <c r="Y434" s="142">
        <f>B434*IBGE_2!Y$434/100</f>
        <v>0.126</v>
      </c>
      <c r="Z434" s="142">
        <f>B434*IBGE_2!Z$434/100</f>
        <v>3.4000000000000002E-2</v>
      </c>
      <c r="AA434" s="142">
        <f>B434*IBGE_2!AA$434/100</f>
        <v>0.48100000000000004</v>
      </c>
      <c r="AB434" s="142">
        <f>B434*IBGE_2!AB$434/100</f>
        <v>8.1999999999999993</v>
      </c>
      <c r="AC434" s="142">
        <f>B434*IBGE_2!AC$434/100</f>
        <v>0.48100000000000004</v>
      </c>
      <c r="AD434" s="142" t="s">
        <v>3047</v>
      </c>
      <c r="AE434" s="142">
        <f>B434*IBGE_2!AE$434/100</f>
        <v>36</v>
      </c>
      <c r="AF434" s="142" t="s">
        <v>3047</v>
      </c>
      <c r="AG434" s="142">
        <f>B434*IBGE_2!AG$434/100</f>
        <v>0.02</v>
      </c>
      <c r="AH434" s="145" t="s">
        <v>3047</v>
      </c>
      <c r="AI434" s="142" t="s">
        <v>3047</v>
      </c>
      <c r="AJ434" s="142">
        <f>B434*IBGE_2!AJ$434/100</f>
        <v>0.6</v>
      </c>
      <c r="AK434" s="142">
        <f>B434*IBGE_2!AK$434/100</f>
        <v>7.75</v>
      </c>
      <c r="AL434" s="142">
        <f>B434*IBGE_2!AL$434/100</f>
        <v>0.2</v>
      </c>
      <c r="AM434" s="145" t="s">
        <v>3047</v>
      </c>
      <c r="AN434" s="161"/>
    </row>
    <row r="435" spans="1:40">
      <c r="A435" s="143" t="s">
        <v>1494</v>
      </c>
      <c r="B435" s="141">
        <v>100</v>
      </c>
      <c r="C435" s="142">
        <f>B435*IBGE_2!C$435/100</f>
        <v>15</v>
      </c>
      <c r="D435" s="142">
        <f>B435*IBGE_2!D$435/100</f>
        <v>1.36</v>
      </c>
      <c r="E435" s="142">
        <f>B435*IBGE_2!E$435/100</f>
        <v>0.15</v>
      </c>
      <c r="F435" s="142">
        <f>B435*IBGE_2!F$435/100</f>
        <v>0.02</v>
      </c>
      <c r="G435" s="142">
        <f>B435*IBGE_2!G$435/100</f>
        <v>0.01</v>
      </c>
      <c r="H435" s="142">
        <f>B435*IBGE_2!H$435/100</f>
        <v>0.08</v>
      </c>
      <c r="I435" s="142">
        <f>B435*IBGE_2!I$435/100</f>
        <v>0.02</v>
      </c>
      <c r="J435" s="142">
        <f>B435*IBGE_2!J$435/100</f>
        <v>0.06</v>
      </c>
      <c r="K435" s="142" t="s">
        <v>3047</v>
      </c>
      <c r="L435" s="142">
        <f>B435*IBGE_2!L$435/100</f>
        <v>2.79</v>
      </c>
      <c r="M435" s="142">
        <f>B435*IBGE_2!M$435/100</f>
        <v>1.3</v>
      </c>
      <c r="N435" s="142">
        <f>B435*IBGE_2!N$435/100</f>
        <v>36</v>
      </c>
      <c r="O435" s="142">
        <f>B435*IBGE_2!O$435/100</f>
        <v>13</v>
      </c>
      <c r="P435" s="142">
        <f>B435*IBGE_2!P$435/100</f>
        <v>0.25</v>
      </c>
      <c r="Q435" s="142">
        <f>B435*IBGE_2!Q$435/100</f>
        <v>29</v>
      </c>
      <c r="R435" s="142">
        <f>B435*IBGE_2!R$435/100</f>
        <v>0.86</v>
      </c>
      <c r="S435" s="142">
        <f>B435*IBGE_2!S$435/100</f>
        <v>28</v>
      </c>
      <c r="T435" s="142">
        <f>B435*IBGE_2!T$435/100</f>
        <v>194</v>
      </c>
      <c r="U435" s="142">
        <f>B435*IBGE_2!U$435/100</f>
        <v>0.03</v>
      </c>
      <c r="V435" s="142">
        <f>B435*IBGE_2!V$435/100</f>
        <v>0.18</v>
      </c>
      <c r="W435" s="142" t="s">
        <v>3047</v>
      </c>
      <c r="X435" s="142">
        <f>B435*IBGE_2!X$435/100</f>
        <v>7.0000000000000007E-2</v>
      </c>
      <c r="Y435" s="142">
        <f>B435*IBGE_2!Y$435/100</f>
        <v>0.08</v>
      </c>
      <c r="Z435" s="142">
        <f>B435*IBGE_2!Z$435/100</f>
        <v>0.09</v>
      </c>
      <c r="AA435" s="142">
        <f>B435*IBGE_2!AA$435/100</f>
        <v>0.38</v>
      </c>
      <c r="AB435" s="142">
        <f>B435*IBGE_2!AB$435/100</f>
        <v>18</v>
      </c>
      <c r="AC435" s="142">
        <f>B435*IBGE_2!AC$435/100</f>
        <v>0.53</v>
      </c>
      <c r="AD435" s="142" t="s">
        <v>3047</v>
      </c>
      <c r="AE435" s="142">
        <f>B435*IBGE_2!AE$435/100</f>
        <v>38</v>
      </c>
      <c r="AF435" s="142" t="s">
        <v>3047</v>
      </c>
      <c r="AG435" s="142">
        <f>B435*IBGE_2!AG$435/100</f>
        <v>0.31</v>
      </c>
      <c r="AH435" s="145" t="s">
        <v>3047</v>
      </c>
      <c r="AI435" s="142" t="s">
        <v>3047</v>
      </c>
      <c r="AJ435" s="142">
        <f>B435*IBGE_2!AJ$435/100</f>
        <v>0.6</v>
      </c>
      <c r="AK435" s="142">
        <f>B435*IBGE_2!AK$435/100</f>
        <v>370.25</v>
      </c>
      <c r="AL435" s="142">
        <f>B435*IBGE_2!AL$435/100</f>
        <v>0.79</v>
      </c>
      <c r="AM435" s="145" t="s">
        <v>3047</v>
      </c>
      <c r="AN435" s="161"/>
    </row>
    <row r="436" spans="1:40">
      <c r="A436" s="143" t="s">
        <v>1495</v>
      </c>
      <c r="B436" s="141">
        <v>100</v>
      </c>
      <c r="C436" s="142">
        <f>B436*IBGE_2!C$436/100</f>
        <v>18</v>
      </c>
      <c r="D436" s="142">
        <f>B436*IBGE_2!D$436/100</f>
        <v>0.88</v>
      </c>
      <c r="E436" s="142">
        <f>B436*IBGE_2!E$436/100</f>
        <v>0.2</v>
      </c>
      <c r="F436" s="142">
        <f>B436*IBGE_2!F$436/100</f>
        <v>0.03</v>
      </c>
      <c r="G436" s="142">
        <f>B436*IBGE_2!G$436/100</f>
        <v>0.03</v>
      </c>
      <c r="H436" s="142">
        <f>B436*IBGE_2!H$436/100</f>
        <v>0.08</v>
      </c>
      <c r="I436" s="142">
        <f>B436*IBGE_2!I$436/100</f>
        <v>0.08</v>
      </c>
      <c r="J436" s="142" t="s">
        <v>3047</v>
      </c>
      <c r="K436" s="142" t="s">
        <v>3047</v>
      </c>
      <c r="L436" s="142">
        <f>B436*IBGE_2!L$436/100</f>
        <v>3.92</v>
      </c>
      <c r="M436" s="142">
        <f>B436*IBGE_2!M$436/100</f>
        <v>1.2</v>
      </c>
      <c r="N436" s="142">
        <f>B436*IBGE_2!N$436/100</f>
        <v>10</v>
      </c>
      <c r="O436" s="142">
        <f>B436*IBGE_2!O$436/100</f>
        <v>11</v>
      </c>
      <c r="P436" s="142">
        <f>B436*IBGE_2!P$436/100</f>
        <v>0.11</v>
      </c>
      <c r="Q436" s="142">
        <f>B436*IBGE_2!Q$436/100</f>
        <v>24</v>
      </c>
      <c r="R436" s="142">
        <f>B436*IBGE_2!R$436/100</f>
        <v>0.27</v>
      </c>
      <c r="S436" s="142">
        <f>B436*IBGE_2!S$436/100</f>
        <v>5</v>
      </c>
      <c r="T436" s="142">
        <f>B436*IBGE_2!T$436/100</f>
        <v>237</v>
      </c>
      <c r="U436" s="142">
        <f>B436*IBGE_2!U$436/100</f>
        <v>0.06</v>
      </c>
      <c r="V436" s="142">
        <f>B436*IBGE_2!V$436/100</f>
        <v>0.17</v>
      </c>
      <c r="W436" s="142" t="s">
        <v>3047</v>
      </c>
      <c r="X436" s="142">
        <f>B436*IBGE_2!X$436/100</f>
        <v>0.04</v>
      </c>
      <c r="Y436" s="142">
        <f>B436*IBGE_2!Y$436/100</f>
        <v>0.02</v>
      </c>
      <c r="Z436" s="142">
        <f>B436*IBGE_2!Z$436/100</f>
        <v>0.08</v>
      </c>
      <c r="AA436" s="142">
        <f>B436*IBGE_2!AA$436/100</f>
        <v>0.59</v>
      </c>
      <c r="AB436" s="142">
        <f>B436*IBGE_2!AB$436/100</f>
        <v>12.7</v>
      </c>
      <c r="AC436" s="142">
        <f>B436*IBGE_2!AC$436/100</f>
        <v>0.69</v>
      </c>
      <c r="AD436" s="142" t="s">
        <v>3047</v>
      </c>
      <c r="AE436" s="142">
        <f>B436*IBGE_2!AE$436/100</f>
        <v>15</v>
      </c>
      <c r="AF436" s="142" t="s">
        <v>3047</v>
      </c>
      <c r="AG436" s="142">
        <f>B436*IBGE_2!AG$436/100</f>
        <v>0.54</v>
      </c>
      <c r="AH436" s="145" t="s">
        <v>3047</v>
      </c>
      <c r="AI436" s="142" t="s">
        <v>3047</v>
      </c>
      <c r="AJ436" s="145" t="s">
        <v>3047</v>
      </c>
      <c r="AK436" s="142">
        <f>B436*IBGE_2!AK$436/100</f>
        <v>41.63</v>
      </c>
      <c r="AL436" s="142">
        <f>B436*IBGE_2!AL$436/100</f>
        <v>2.62</v>
      </c>
      <c r="AM436" s="145" t="s">
        <v>3047</v>
      </c>
      <c r="AN436" s="161"/>
    </row>
    <row r="437" spans="1:40">
      <c r="A437" s="143" t="s">
        <v>1496</v>
      </c>
      <c r="B437" s="141">
        <v>100</v>
      </c>
      <c r="C437" s="142">
        <f>B437*IBGE_2!C$437/100</f>
        <v>20</v>
      </c>
      <c r="D437" s="142">
        <f>B437*IBGE_2!D$437/100</f>
        <v>0.86</v>
      </c>
      <c r="E437" s="142">
        <f>B437*IBGE_2!E$437/100</f>
        <v>0.17</v>
      </c>
      <c r="F437" s="142">
        <f>B437*IBGE_2!F$437/100</f>
        <v>0.06</v>
      </c>
      <c r="G437" s="142">
        <f>B437*IBGE_2!G$437/100</f>
        <v>0.01</v>
      </c>
      <c r="H437" s="142">
        <f>B437*IBGE_2!H$437/100</f>
        <v>0.06</v>
      </c>
      <c r="I437" s="142">
        <f>B437*IBGE_2!I$437/100</f>
        <v>0.05</v>
      </c>
      <c r="J437" s="142">
        <f>B437*IBGE_2!J$437/100</f>
        <v>0.01</v>
      </c>
      <c r="K437" s="142" t="s">
        <v>3047</v>
      </c>
      <c r="L437" s="142">
        <f>B437*IBGE_2!L$437/100</f>
        <v>4.6399999999999997</v>
      </c>
      <c r="M437" s="142">
        <f>B437*IBGE_2!M$437/100</f>
        <v>1.7</v>
      </c>
      <c r="N437" s="142">
        <f>B437*IBGE_2!N$437/100</f>
        <v>10</v>
      </c>
      <c r="O437" s="142">
        <f>B437*IBGE_2!O$437/100</f>
        <v>10</v>
      </c>
      <c r="P437" s="142">
        <f>B437*IBGE_2!P$437/100</f>
        <v>0.12</v>
      </c>
      <c r="Q437" s="142">
        <f>B437*IBGE_2!Q$437/100</f>
        <v>20</v>
      </c>
      <c r="R437" s="142">
        <f>B437*IBGE_2!R$437/100</f>
        <v>0.34</v>
      </c>
      <c r="S437" s="142">
        <f>B437*IBGE_2!S$437/100</f>
        <v>3</v>
      </c>
      <c r="T437" s="142">
        <f>B437*IBGE_2!T$437/100</f>
        <v>175</v>
      </c>
      <c r="U437" s="142">
        <f>B437*IBGE_2!U$437/100</f>
        <v>7.0000000000000007E-2</v>
      </c>
      <c r="V437" s="142">
        <f>B437*IBGE_2!V$437/100</f>
        <v>0.13</v>
      </c>
      <c r="W437" s="142" t="s">
        <v>3047</v>
      </c>
      <c r="X437" s="142">
        <f>B437*IBGE_2!X$437/100</f>
        <v>0.06</v>
      </c>
      <c r="Y437" s="142">
        <f>B437*IBGE_2!Y$437/100</f>
        <v>0.03</v>
      </c>
      <c r="Z437" s="142">
        <f>B437*IBGE_2!Z$437/100</f>
        <v>0.22</v>
      </c>
      <c r="AA437" s="142">
        <f>B437*IBGE_2!AA$437/100</f>
        <v>0.48</v>
      </c>
      <c r="AB437" s="142">
        <f>B437*IBGE_2!AB$437/100</f>
        <v>80.400000000000006</v>
      </c>
      <c r="AC437" s="142">
        <f>B437*IBGE_2!AC$437/100</f>
        <v>0.68</v>
      </c>
      <c r="AD437" s="142" t="s">
        <v>3047</v>
      </c>
      <c r="AE437" s="142">
        <f>B437*IBGE_2!AE$437/100</f>
        <v>10</v>
      </c>
      <c r="AF437" s="142" t="s">
        <v>3047</v>
      </c>
      <c r="AG437" s="142">
        <f>B437*IBGE_2!AG$437/100</f>
        <v>0.08</v>
      </c>
      <c r="AH437" s="145" t="s">
        <v>3047</v>
      </c>
      <c r="AI437" s="142" t="s">
        <v>3047</v>
      </c>
      <c r="AJ437" s="145" t="s">
        <v>3047</v>
      </c>
      <c r="AK437" s="142">
        <f>B437*IBGE_2!AK$437/100</f>
        <v>18.5</v>
      </c>
      <c r="AL437" s="142">
        <f>B437*IBGE_2!AL$437/100</f>
        <v>2.39</v>
      </c>
      <c r="AM437" s="145" t="s">
        <v>3047</v>
      </c>
      <c r="AN437" s="161"/>
    </row>
    <row r="438" spans="1:40">
      <c r="A438" s="143" t="s">
        <v>1497</v>
      </c>
      <c r="B438" s="141">
        <v>100</v>
      </c>
      <c r="C438" s="142">
        <f>B438*IBGE_2!C$438/100</f>
        <v>306</v>
      </c>
      <c r="D438" s="142">
        <f>B438*IBGE_2!D$438/100</f>
        <v>11</v>
      </c>
      <c r="E438" s="142">
        <f>B438*IBGE_2!E$438/100</f>
        <v>10.25</v>
      </c>
      <c r="F438" s="142">
        <f>B438*IBGE_2!F$438/100</f>
        <v>2.66</v>
      </c>
      <c r="G438" s="142">
        <f>B438*IBGE_2!G$438/100</f>
        <v>0.67</v>
      </c>
      <c r="H438" s="142">
        <f>B438*IBGE_2!H$438/100</f>
        <v>5.23</v>
      </c>
      <c r="I438" s="142">
        <f>B438*IBGE_2!I$438/100</f>
        <v>1.05</v>
      </c>
      <c r="J438" s="142">
        <f>B438*IBGE_2!J$438/100</f>
        <v>4.18</v>
      </c>
      <c r="K438" s="142" t="s">
        <v>3047</v>
      </c>
      <c r="L438" s="142">
        <f>B438*IBGE_2!L$438/100</f>
        <v>64.430000000000007</v>
      </c>
      <c r="M438" s="142">
        <f>B438*IBGE_2!M$438/100</f>
        <v>42.8</v>
      </c>
      <c r="N438" s="142">
        <f>B438*IBGE_2!N$438/100</f>
        <v>1576</v>
      </c>
      <c r="O438" s="142">
        <f>B438*IBGE_2!O$438/100</f>
        <v>270</v>
      </c>
      <c r="P438" s="142">
        <f>B438*IBGE_2!P$438/100</f>
        <v>4.6669999999999998</v>
      </c>
      <c r="Q438" s="142">
        <f>B438*IBGE_2!Q$438/100</f>
        <v>200</v>
      </c>
      <c r="R438" s="142">
        <f>B438*IBGE_2!R$438/100</f>
        <v>44</v>
      </c>
      <c r="S438" s="142">
        <f>B438*IBGE_2!S$438/100</f>
        <v>15</v>
      </c>
      <c r="T438" s="142">
        <f>B438*IBGE_2!T$438/100</f>
        <v>1669</v>
      </c>
      <c r="U438" s="142">
        <f>B438*IBGE_2!U$438/100</f>
        <v>0.94299999999999995</v>
      </c>
      <c r="V438" s="142">
        <f>B438*IBGE_2!V$438/100</f>
        <v>4.43</v>
      </c>
      <c r="W438" s="142" t="s">
        <v>3047</v>
      </c>
      <c r="X438" s="142">
        <f>B438*IBGE_2!X$438/100</f>
        <v>0.34100000000000003</v>
      </c>
      <c r="Y438" s="142">
        <f>B438*IBGE_2!Y$438/100</f>
        <v>0.32</v>
      </c>
      <c r="Z438" s="142">
        <f>B438*IBGE_2!Z$438/100</f>
        <v>2.3199999999999998</v>
      </c>
      <c r="AA438" s="142">
        <f>B438*IBGE_2!AA$438/100</f>
        <v>6.22</v>
      </c>
      <c r="AB438" s="142">
        <f>B438*IBGE_2!AB$438/100</f>
        <v>50</v>
      </c>
      <c r="AC438" s="142">
        <f>B438*IBGE_2!AC$438/100</f>
        <v>6.22</v>
      </c>
      <c r="AD438" s="142" t="s">
        <v>3047</v>
      </c>
      <c r="AE438" s="142">
        <f>B438*IBGE_2!AE$438/100</f>
        <v>274</v>
      </c>
      <c r="AF438" s="142" t="s">
        <v>3047</v>
      </c>
      <c r="AG438" s="142">
        <f>B438*IBGE_2!AG$438/100</f>
        <v>18.86</v>
      </c>
      <c r="AH438" s="145" t="s">
        <v>3047</v>
      </c>
      <c r="AI438" s="142" t="s">
        <v>3047</v>
      </c>
      <c r="AJ438" s="142">
        <f>B438*IBGE_2!AJ$438/100</f>
        <v>5.9</v>
      </c>
      <c r="AK438" s="142">
        <f>B438*IBGE_2!AK$438/100</f>
        <v>345.16699999999997</v>
      </c>
      <c r="AL438" s="142">
        <f>B438*IBGE_2!AL$438/100</f>
        <v>4.09</v>
      </c>
      <c r="AM438" s="145" t="s">
        <v>3047</v>
      </c>
      <c r="AN438" s="161"/>
    </row>
    <row r="439" spans="1:40">
      <c r="A439" s="143" t="s">
        <v>1498</v>
      </c>
      <c r="B439" s="141">
        <v>100</v>
      </c>
      <c r="C439" s="142">
        <f>B439*IBGE_2!C$439/100</f>
        <v>78</v>
      </c>
      <c r="D439" s="142">
        <f>B439*IBGE_2!D$439/100</f>
        <v>1.2</v>
      </c>
      <c r="E439" s="142">
        <f>B439*IBGE_2!E$439/100</f>
        <v>0.1</v>
      </c>
      <c r="F439" s="142" t="s">
        <v>3047</v>
      </c>
      <c r="G439" s="142" t="s">
        <v>3047</v>
      </c>
      <c r="H439" s="142" t="s">
        <v>3047</v>
      </c>
      <c r="I439" s="142" t="s">
        <v>3047</v>
      </c>
      <c r="J439" s="142" t="s">
        <v>3047</v>
      </c>
      <c r="K439" s="142" t="s">
        <v>3047</v>
      </c>
      <c r="L439" s="142">
        <f>B439*IBGE_2!L$439/100</f>
        <v>20.3</v>
      </c>
      <c r="M439" s="142">
        <f>B439*IBGE_2!M$439/100</f>
        <v>2</v>
      </c>
      <c r="N439" s="142">
        <f>B439*IBGE_2!N$439/100</f>
        <v>5</v>
      </c>
      <c r="O439" s="142">
        <f>B439*IBGE_2!O$439/100</f>
        <v>30</v>
      </c>
      <c r="P439" s="142">
        <f>B439*IBGE_2!P$439/100</f>
        <v>0.41</v>
      </c>
      <c r="Q439" s="142">
        <f>B439*IBGE_2!Q$439/100</f>
        <v>20</v>
      </c>
      <c r="R439" s="142">
        <f>B439*IBGE_2!R$439/100</f>
        <v>0.4</v>
      </c>
      <c r="S439" s="142">
        <f>B439*IBGE_2!S$439/100</f>
        <v>1</v>
      </c>
      <c r="T439" s="142">
        <f>B439*IBGE_2!T$439/100</f>
        <v>267</v>
      </c>
      <c r="U439" s="142">
        <f>B439*IBGE_2!U$439/100</f>
        <v>0.06</v>
      </c>
      <c r="V439" s="142">
        <f>B439*IBGE_2!V$439/100</f>
        <v>0.1</v>
      </c>
      <c r="W439" s="142" t="s">
        <v>3047</v>
      </c>
      <c r="X439" s="142">
        <f>B439*IBGE_2!X$439/100</f>
        <v>0.05</v>
      </c>
      <c r="Y439" s="142">
        <f>B439*IBGE_2!Y$439/100</f>
        <v>0.03</v>
      </c>
      <c r="Z439" s="142">
        <f>B439*IBGE_2!Z$439/100</f>
        <v>0.17</v>
      </c>
      <c r="AA439" s="142" t="s">
        <v>3047</v>
      </c>
      <c r="AB439" s="142" t="s">
        <v>3047</v>
      </c>
      <c r="AC439" s="142" t="s">
        <v>3047</v>
      </c>
      <c r="AD439" s="142" t="s">
        <v>3047</v>
      </c>
      <c r="AE439" s="145" t="s">
        <v>3047</v>
      </c>
      <c r="AF439" s="142" t="s">
        <v>3047</v>
      </c>
      <c r="AG439" s="145" t="s">
        <v>3047</v>
      </c>
      <c r="AH439" s="145" t="s">
        <v>3047</v>
      </c>
      <c r="AI439" s="145" t="s">
        <v>3047</v>
      </c>
      <c r="AJ439" s="145" t="s">
        <v>3047</v>
      </c>
      <c r="AK439" s="145" t="s">
        <v>3047</v>
      </c>
      <c r="AL439" s="145" t="s">
        <v>3047</v>
      </c>
      <c r="AM439" s="145" t="s">
        <v>3047</v>
      </c>
      <c r="AN439" s="161"/>
    </row>
    <row r="440" spans="1:40">
      <c r="A440" s="143" t="s">
        <v>1499</v>
      </c>
      <c r="B440" s="141">
        <v>100</v>
      </c>
      <c r="C440" s="142">
        <f>B440*IBGE_2!C$440/100</f>
        <v>89</v>
      </c>
      <c r="D440" s="142">
        <f>B440*IBGE_2!D$440/100</f>
        <v>1.0900000000000001</v>
      </c>
      <c r="E440" s="142">
        <f>B440*IBGE_2!E$440/100</f>
        <v>0.33</v>
      </c>
      <c r="F440" s="142">
        <f>B440*IBGE_2!F$440/100</f>
        <v>0.11</v>
      </c>
      <c r="G440" s="142">
        <f>B440*IBGE_2!G$440/100</f>
        <v>0.03</v>
      </c>
      <c r="H440" s="142">
        <f>B440*IBGE_2!H$440/100</f>
        <v>7.0000000000000007E-2</v>
      </c>
      <c r="I440" s="142">
        <f>B440*IBGE_2!I$440/100</f>
        <v>0.05</v>
      </c>
      <c r="J440" s="142">
        <f>B440*IBGE_2!J$440/100</f>
        <v>0.03</v>
      </c>
      <c r="K440" s="142" t="s">
        <v>3047</v>
      </c>
      <c r="L440" s="142">
        <f>B440*IBGE_2!L$440/100</f>
        <v>22.84</v>
      </c>
      <c r="M440" s="142">
        <f>B440*IBGE_2!M$440/100</f>
        <v>2.6</v>
      </c>
      <c r="N440" s="142">
        <f>B440*IBGE_2!N$440/100</f>
        <v>5</v>
      </c>
      <c r="O440" s="142">
        <f>B440*IBGE_2!O$440/100</f>
        <v>27</v>
      </c>
      <c r="P440" s="142">
        <f>B440*IBGE_2!P$440/100</f>
        <v>0.27</v>
      </c>
      <c r="Q440" s="142">
        <f>B440*IBGE_2!Q$440/100</f>
        <v>22</v>
      </c>
      <c r="R440" s="142">
        <f>B440*IBGE_2!R$440/100</f>
        <v>0.26</v>
      </c>
      <c r="S440" s="142">
        <f>B440*IBGE_2!S$440/100</f>
        <v>1</v>
      </c>
      <c r="T440" s="142">
        <f>B440*IBGE_2!T$440/100</f>
        <v>358</v>
      </c>
      <c r="U440" s="142">
        <f>B440*IBGE_2!U$440/100</f>
        <v>0.08</v>
      </c>
      <c r="V440" s="142">
        <f>B440*IBGE_2!V$440/100</f>
        <v>0.15</v>
      </c>
      <c r="W440" s="142" t="s">
        <v>3047</v>
      </c>
      <c r="X440" s="142">
        <f>B440*IBGE_2!X$440/100</f>
        <v>0.03</v>
      </c>
      <c r="Y440" s="142">
        <f>B440*IBGE_2!Y$440/100</f>
        <v>7.0000000000000007E-2</v>
      </c>
      <c r="Z440" s="142">
        <f>B440*IBGE_2!Z$440/100</f>
        <v>0.37</v>
      </c>
      <c r="AA440" s="142">
        <f>B440*IBGE_2!AA$440/100</f>
        <v>0.67</v>
      </c>
      <c r="AB440" s="142">
        <f>B440*IBGE_2!AB$440/100</f>
        <v>8.6999999999999993</v>
      </c>
      <c r="AC440" s="142">
        <f>B440*IBGE_2!AC$440/100</f>
        <v>0.82</v>
      </c>
      <c r="AD440" s="142" t="s">
        <v>3047</v>
      </c>
      <c r="AE440" s="142">
        <f>B440*IBGE_2!AE$440/100</f>
        <v>20</v>
      </c>
      <c r="AF440" s="142" t="s">
        <v>3047</v>
      </c>
      <c r="AG440" s="142">
        <f>B440*IBGE_2!AG$440/100</f>
        <v>0.13</v>
      </c>
      <c r="AH440" s="145" t="s">
        <v>3047</v>
      </c>
      <c r="AI440" s="142" t="s">
        <v>3047</v>
      </c>
      <c r="AJ440" s="142">
        <f>B440*IBGE_2!AJ$440/100</f>
        <v>1</v>
      </c>
      <c r="AK440" s="142">
        <f>B440*IBGE_2!AK$440/100</f>
        <v>3.21</v>
      </c>
      <c r="AL440" s="142">
        <f>B440*IBGE_2!AL$440/100</f>
        <v>12.23</v>
      </c>
      <c r="AM440" s="145" t="s">
        <v>3047</v>
      </c>
      <c r="AN440" s="161"/>
    </row>
    <row r="441" spans="1:40">
      <c r="A441" s="143" t="s">
        <v>1500</v>
      </c>
      <c r="B441" s="141">
        <v>100</v>
      </c>
      <c r="C441" s="142">
        <f>B441*IBGE_2!C$441/100</f>
        <v>89</v>
      </c>
      <c r="D441" s="142">
        <f>B441*IBGE_2!D$441/100</f>
        <v>1.0900000000000001</v>
      </c>
      <c r="E441" s="142">
        <f>B441*IBGE_2!E$441/100</f>
        <v>0.33</v>
      </c>
      <c r="F441" s="142">
        <f>B441*IBGE_2!F$441/100</f>
        <v>0.11</v>
      </c>
      <c r="G441" s="142">
        <f>B441*IBGE_2!G$441/100</f>
        <v>0.03</v>
      </c>
      <c r="H441" s="142">
        <f>B441*IBGE_2!H$441/100</f>
        <v>7.0000000000000007E-2</v>
      </c>
      <c r="I441" s="142">
        <f>B441*IBGE_2!I$441/100</f>
        <v>0.05</v>
      </c>
      <c r="J441" s="142">
        <f>B441*IBGE_2!J$441/100</f>
        <v>0.03</v>
      </c>
      <c r="K441" s="142" t="s">
        <v>3047</v>
      </c>
      <c r="L441" s="142">
        <f>B441*IBGE_2!L$441/100</f>
        <v>22.84</v>
      </c>
      <c r="M441" s="142">
        <f>B441*IBGE_2!M$441/100</f>
        <v>2.6</v>
      </c>
      <c r="N441" s="142">
        <f>B441*IBGE_2!N$441/100</f>
        <v>5</v>
      </c>
      <c r="O441" s="142">
        <f>B441*IBGE_2!O$441/100</f>
        <v>27</v>
      </c>
      <c r="P441" s="142">
        <f>B441*IBGE_2!P$441/100</f>
        <v>0.27</v>
      </c>
      <c r="Q441" s="142">
        <f>B441*IBGE_2!Q$441/100</f>
        <v>22</v>
      </c>
      <c r="R441" s="142">
        <f>B441*IBGE_2!R$441/100</f>
        <v>0.26</v>
      </c>
      <c r="S441" s="142">
        <f>B441*IBGE_2!S$441/100</f>
        <v>1</v>
      </c>
      <c r="T441" s="142">
        <f>B441*IBGE_2!T$441/100</f>
        <v>358</v>
      </c>
      <c r="U441" s="142">
        <f>B441*IBGE_2!U$441/100</f>
        <v>0.08</v>
      </c>
      <c r="V441" s="142">
        <f>B441*IBGE_2!V$441/100</f>
        <v>0.15</v>
      </c>
      <c r="W441" s="142" t="s">
        <v>3047</v>
      </c>
      <c r="X441" s="142">
        <f>B441*IBGE_2!X$441/100</f>
        <v>0.03</v>
      </c>
      <c r="Y441" s="142">
        <f>B441*IBGE_2!Y$441/100</f>
        <v>7.0000000000000007E-2</v>
      </c>
      <c r="Z441" s="142">
        <f>B441*IBGE_2!Z$441/100</f>
        <v>0.37</v>
      </c>
      <c r="AA441" s="142">
        <f>B441*IBGE_2!AA$441/100</f>
        <v>0.67</v>
      </c>
      <c r="AB441" s="142">
        <f>B441*IBGE_2!AB$441/100</f>
        <v>8.6999999999999993</v>
      </c>
      <c r="AC441" s="142">
        <f>B441*IBGE_2!AC$441/100</f>
        <v>0.82</v>
      </c>
      <c r="AD441" s="142" t="s">
        <v>3047</v>
      </c>
      <c r="AE441" s="142">
        <f>B441*IBGE_2!AE$441/100</f>
        <v>20</v>
      </c>
      <c r="AF441" s="142" t="s">
        <v>3047</v>
      </c>
      <c r="AG441" s="142">
        <f>B441*IBGE_2!AG$441/100</f>
        <v>0.13</v>
      </c>
      <c r="AH441" s="145" t="s">
        <v>3047</v>
      </c>
      <c r="AI441" s="142" t="s">
        <v>3047</v>
      </c>
      <c r="AJ441" s="142">
        <f>B441*IBGE_2!AJ$441/100</f>
        <v>1</v>
      </c>
      <c r="AK441" s="142">
        <f>B441*IBGE_2!AK$441/100</f>
        <v>3.21</v>
      </c>
      <c r="AL441" s="142">
        <f>B441*IBGE_2!AL$441/100</f>
        <v>12.23</v>
      </c>
      <c r="AM441" s="145" t="s">
        <v>3047</v>
      </c>
      <c r="AN441" s="161"/>
    </row>
    <row r="442" spans="1:40">
      <c r="A442" s="143" t="s">
        <v>1501</v>
      </c>
      <c r="B442" s="141">
        <v>100</v>
      </c>
      <c r="C442" s="142">
        <f>B442*IBGE_2!C$442/100</f>
        <v>89</v>
      </c>
      <c r="D442" s="142">
        <f>B442*IBGE_2!D$442/100</f>
        <v>1.0900000000000001</v>
      </c>
      <c r="E442" s="142">
        <f>B442*IBGE_2!E$442/100</f>
        <v>0.33</v>
      </c>
      <c r="F442" s="142">
        <f>B442*IBGE_2!F$442/100</f>
        <v>0.11</v>
      </c>
      <c r="G442" s="142">
        <f>B442*IBGE_2!G$442/100</f>
        <v>0.03</v>
      </c>
      <c r="H442" s="142">
        <f>B442*IBGE_2!H$442/100</f>
        <v>7.0000000000000007E-2</v>
      </c>
      <c r="I442" s="142">
        <f>B442*IBGE_2!I$442/100</f>
        <v>0.05</v>
      </c>
      <c r="J442" s="142">
        <f>B442*IBGE_2!J$442/100</f>
        <v>0.03</v>
      </c>
      <c r="K442" s="142" t="s">
        <v>3047</v>
      </c>
      <c r="L442" s="142">
        <f>B442*IBGE_2!L$442/100</f>
        <v>22.84</v>
      </c>
      <c r="M442" s="142">
        <f>B442*IBGE_2!M$442/100</f>
        <v>2.6</v>
      </c>
      <c r="N442" s="142">
        <f>B442*IBGE_2!N$442/100</f>
        <v>5</v>
      </c>
      <c r="O442" s="142">
        <f>B442*IBGE_2!O$442/100</f>
        <v>27</v>
      </c>
      <c r="P442" s="142">
        <f>B442*IBGE_2!P$442/100</f>
        <v>0.27</v>
      </c>
      <c r="Q442" s="142">
        <f>B442*IBGE_2!Q$442/100</f>
        <v>22</v>
      </c>
      <c r="R442" s="142">
        <f>B442*IBGE_2!R$442/100</f>
        <v>0.26</v>
      </c>
      <c r="S442" s="142">
        <f>B442*IBGE_2!S$442/100</f>
        <v>1</v>
      </c>
      <c r="T442" s="142">
        <f>B442*IBGE_2!T$442/100</f>
        <v>358</v>
      </c>
      <c r="U442" s="142">
        <f>B442*IBGE_2!U$442/100</f>
        <v>0.08</v>
      </c>
      <c r="V442" s="142">
        <f>B442*IBGE_2!V$442/100</f>
        <v>0.15</v>
      </c>
      <c r="W442" s="142" t="s">
        <v>3047</v>
      </c>
      <c r="X442" s="142">
        <f>B442*IBGE_2!X$442/100</f>
        <v>0.03</v>
      </c>
      <c r="Y442" s="142">
        <f>B442*IBGE_2!Y$442/100</f>
        <v>7.0000000000000007E-2</v>
      </c>
      <c r="Z442" s="142">
        <f>B442*IBGE_2!Z$442/100</f>
        <v>0.37</v>
      </c>
      <c r="AA442" s="142">
        <f>B442*IBGE_2!AA$442/100</f>
        <v>0.67</v>
      </c>
      <c r="AB442" s="142">
        <f>B442*IBGE_2!AB$442/100</f>
        <v>8.6999999999999993</v>
      </c>
      <c r="AC442" s="142">
        <f>B442*IBGE_2!AC$442/100</f>
        <v>0.82</v>
      </c>
      <c r="AD442" s="142" t="s">
        <v>3047</v>
      </c>
      <c r="AE442" s="142">
        <f>B442*IBGE_2!AE$442/100</f>
        <v>20</v>
      </c>
      <c r="AF442" s="142" t="s">
        <v>3047</v>
      </c>
      <c r="AG442" s="142">
        <f>B442*IBGE_2!AG$442/100</f>
        <v>0.13</v>
      </c>
      <c r="AH442" s="145" t="s">
        <v>3047</v>
      </c>
      <c r="AI442" s="142" t="s">
        <v>3047</v>
      </c>
      <c r="AJ442" s="142">
        <f>B442*IBGE_2!AJ$442/100</f>
        <v>1</v>
      </c>
      <c r="AK442" s="142">
        <f>B442*IBGE_2!AK$442/100</f>
        <v>3.21</v>
      </c>
      <c r="AL442" s="142">
        <f>B442*IBGE_2!AL$442/100</f>
        <v>12.23</v>
      </c>
      <c r="AM442" s="145" t="s">
        <v>3047</v>
      </c>
      <c r="AN442" s="161"/>
    </row>
    <row r="443" spans="1:40">
      <c r="A443" s="143" t="s">
        <v>1502</v>
      </c>
      <c r="B443" s="141">
        <v>100</v>
      </c>
      <c r="C443" s="142">
        <f>B443*IBGE_2!C$443/100</f>
        <v>213.10499999999999</v>
      </c>
      <c r="D443" s="142">
        <f>B443*IBGE_2!D$443/100</f>
        <v>1.216</v>
      </c>
      <c r="E443" s="142">
        <f>B443*IBGE_2!E$443/100</f>
        <v>13.246000000000002</v>
      </c>
      <c r="F443" s="142">
        <f>B443*IBGE_2!F$443/100</f>
        <v>2.14</v>
      </c>
      <c r="G443" s="142">
        <f>B443*IBGE_2!G$443/100</f>
        <v>2.97</v>
      </c>
      <c r="H443" s="142">
        <f>B443*IBGE_2!H$443/100</f>
        <v>7.5170000000000003</v>
      </c>
      <c r="I443" s="142">
        <f>B443*IBGE_2!I$443/100</f>
        <v>6.6130000000000004</v>
      </c>
      <c r="J443" s="142">
        <f>B443*IBGE_2!J$443/100</f>
        <v>0.90400000000000003</v>
      </c>
      <c r="K443" s="142" t="s">
        <v>3047</v>
      </c>
      <c r="L443" s="142">
        <f>B443*IBGE_2!L$443/100</f>
        <v>25.474</v>
      </c>
      <c r="M443" s="142">
        <f>B443*IBGE_2!M$443/100</f>
        <v>2.9</v>
      </c>
      <c r="N443" s="142">
        <f>B443*IBGE_2!N$443/100</f>
        <v>5.5770000000000008</v>
      </c>
      <c r="O443" s="142">
        <f>B443*IBGE_2!O$443/100</f>
        <v>30.113000000000003</v>
      </c>
      <c r="P443" s="142">
        <f>B443*IBGE_2!P$443/100</f>
        <v>0.30099999999999999</v>
      </c>
      <c r="Q443" s="142">
        <f>B443*IBGE_2!Q$443/100</f>
        <v>24.536999999999999</v>
      </c>
      <c r="R443" s="142">
        <f>B443*IBGE_2!R$443/100</f>
        <v>0.29599999999999999</v>
      </c>
      <c r="S443" s="142">
        <f>B443*IBGE_2!S$443/100</f>
        <v>1.115</v>
      </c>
      <c r="T443" s="142">
        <f>B443*IBGE_2!T$443/100</f>
        <v>399.28199999999998</v>
      </c>
      <c r="U443" s="142">
        <f>B443*IBGE_2!U$443/100</f>
        <v>8.6999999999999994E-2</v>
      </c>
      <c r="V443" s="142">
        <f>B443*IBGE_2!V$443/100</f>
        <v>0.16900000000000001</v>
      </c>
      <c r="W443" s="142" t="s">
        <v>3047</v>
      </c>
      <c r="X443" s="142">
        <f>B443*IBGE_2!X$443/100</f>
        <v>3.5000000000000003E-2</v>
      </c>
      <c r="Y443" s="142">
        <f>B443*IBGE_2!Y$443/100</f>
        <v>8.1000000000000003E-2</v>
      </c>
      <c r="Z443" s="142">
        <f>B443*IBGE_2!Z$443/100</f>
        <v>0.40899999999999997</v>
      </c>
      <c r="AA443" s="142">
        <f>B443*IBGE_2!AA$443/100</f>
        <v>0.74199999999999999</v>
      </c>
      <c r="AB443" s="142">
        <f>B443*IBGE_2!AB$443/100</f>
        <v>9.7029999999999994</v>
      </c>
      <c r="AC443" s="142">
        <f>B443*IBGE_2!AC$443/100</f>
        <v>0.90900000000000003</v>
      </c>
      <c r="AD443" s="142" t="s">
        <v>3047</v>
      </c>
      <c r="AE443" s="142">
        <f>B443*IBGE_2!AE$443/100</f>
        <v>22.305999999999997</v>
      </c>
      <c r="AF443" s="145" t="s">
        <v>3047</v>
      </c>
      <c r="AG443" s="142">
        <f>B443*IBGE_2!AG$443/100</f>
        <v>1.198</v>
      </c>
      <c r="AH443" s="142">
        <f>B443*IBGE_2!AH$443/100</f>
        <v>6.9000000000000006E-2</v>
      </c>
      <c r="AI443" s="142" t="s">
        <v>3047</v>
      </c>
      <c r="AJ443" s="142">
        <f>B443*IBGE_2!AJ$443/100</f>
        <v>7.0170000000000003</v>
      </c>
      <c r="AK443" s="142">
        <f>B443*IBGE_2!AK$443/100</f>
        <v>3.5780000000000003</v>
      </c>
      <c r="AL443" s="142">
        <f>B443*IBGE_2!AL$443/100</f>
        <v>13.64</v>
      </c>
      <c r="AM443" s="145" t="s">
        <v>3047</v>
      </c>
      <c r="AN443" s="161"/>
    </row>
    <row r="444" spans="1:40">
      <c r="A444" s="143" t="s">
        <v>1503</v>
      </c>
      <c r="B444" s="141">
        <v>100</v>
      </c>
      <c r="C444" s="142">
        <f>B444*IBGE_2!C$444/100</f>
        <v>213.10499999999999</v>
      </c>
      <c r="D444" s="142">
        <f>B444*IBGE_2!D$444/100</f>
        <v>1.216</v>
      </c>
      <c r="E444" s="142">
        <f>B444*IBGE_2!E$444/100</f>
        <v>13.246000000000002</v>
      </c>
      <c r="F444" s="142">
        <f>B444*IBGE_2!F$444/100</f>
        <v>2.14</v>
      </c>
      <c r="G444" s="142">
        <f>B444*IBGE_2!G$444/100</f>
        <v>2.97</v>
      </c>
      <c r="H444" s="142">
        <f>B444*IBGE_2!H$444/100</f>
        <v>7.5170000000000003</v>
      </c>
      <c r="I444" s="142">
        <f>B444*IBGE_2!I$444/100</f>
        <v>6.6130000000000004</v>
      </c>
      <c r="J444" s="142">
        <f>B444*IBGE_2!J$444/100</f>
        <v>0.90400000000000003</v>
      </c>
      <c r="K444" s="142" t="s">
        <v>3047</v>
      </c>
      <c r="L444" s="142">
        <f>B444*IBGE_2!L$444/100</f>
        <v>25.474</v>
      </c>
      <c r="M444" s="142">
        <f>B444*IBGE_2!M$444/100</f>
        <v>2.9</v>
      </c>
      <c r="N444" s="142">
        <f>B444*IBGE_2!N$444/100</f>
        <v>5.5770000000000008</v>
      </c>
      <c r="O444" s="142">
        <f>B444*IBGE_2!O$444/100</f>
        <v>30.113000000000003</v>
      </c>
      <c r="P444" s="142">
        <f>B444*IBGE_2!P$444/100</f>
        <v>0.30099999999999999</v>
      </c>
      <c r="Q444" s="142">
        <f>B444*IBGE_2!Q$444/100</f>
        <v>24.536999999999999</v>
      </c>
      <c r="R444" s="142">
        <f>B444*IBGE_2!R$444/100</f>
        <v>0.29599999999999999</v>
      </c>
      <c r="S444" s="142">
        <f>B444*IBGE_2!S$444/100</f>
        <v>1.115</v>
      </c>
      <c r="T444" s="142">
        <f>B444*IBGE_2!T$444/100</f>
        <v>399.28199999999998</v>
      </c>
      <c r="U444" s="142">
        <f>B444*IBGE_2!U$444/100</f>
        <v>8.6999999999999994E-2</v>
      </c>
      <c r="V444" s="142">
        <f>B444*IBGE_2!V$444/100</f>
        <v>0.16900000000000001</v>
      </c>
      <c r="W444" s="142" t="s">
        <v>3047</v>
      </c>
      <c r="X444" s="142">
        <f>B444*IBGE_2!X$444/100</f>
        <v>3.5000000000000003E-2</v>
      </c>
      <c r="Y444" s="142">
        <f>B444*IBGE_2!Y$444/100</f>
        <v>8.1000000000000003E-2</v>
      </c>
      <c r="Z444" s="142">
        <f>B444*IBGE_2!Z$444/100</f>
        <v>0.40899999999999997</v>
      </c>
      <c r="AA444" s="142">
        <f>B444*IBGE_2!AA$444/100</f>
        <v>0.74199999999999999</v>
      </c>
      <c r="AB444" s="142">
        <f>B444*IBGE_2!AB$444/100</f>
        <v>9.7029999999999994</v>
      </c>
      <c r="AC444" s="142">
        <f>B444*IBGE_2!AC$444/100</f>
        <v>0.90900000000000003</v>
      </c>
      <c r="AD444" s="142" t="s">
        <v>3047</v>
      </c>
      <c r="AE444" s="142">
        <f>B444*IBGE_2!AE$444/100</f>
        <v>22.305999999999997</v>
      </c>
      <c r="AF444" s="145" t="s">
        <v>3047</v>
      </c>
      <c r="AG444" s="142">
        <f>B444*IBGE_2!AG$444/100</f>
        <v>1.198</v>
      </c>
      <c r="AH444" s="142">
        <f>B444*IBGE_2!AH$444/100</f>
        <v>6.9000000000000006E-2</v>
      </c>
      <c r="AI444" s="142" t="s">
        <v>3047</v>
      </c>
      <c r="AJ444" s="142">
        <f>B444*IBGE_2!AJ$444/100</f>
        <v>7.0170000000000003</v>
      </c>
      <c r="AK444" s="142">
        <f>B444*IBGE_2!AK$444/100</f>
        <v>3.5780000000000003</v>
      </c>
      <c r="AL444" s="142">
        <f>B444*IBGE_2!AL$444/100</f>
        <v>13.64</v>
      </c>
      <c r="AM444" s="145" t="s">
        <v>3047</v>
      </c>
      <c r="AN444" s="161"/>
    </row>
    <row r="445" spans="1:40">
      <c r="A445" s="143" t="s">
        <v>1504</v>
      </c>
      <c r="B445" s="141">
        <v>100</v>
      </c>
      <c r="C445" s="142">
        <f>B445*IBGE_2!C$445/100</f>
        <v>195.41099999999997</v>
      </c>
      <c r="D445" s="142">
        <f>B445*IBGE_2!D$445/100</f>
        <v>1.33</v>
      </c>
      <c r="E445" s="142">
        <f>B445*IBGE_2!E$445/100</f>
        <v>11.244999999999999</v>
      </c>
      <c r="F445" s="142">
        <f>B445*IBGE_2!F$445/100</f>
        <v>7.0129999999999999</v>
      </c>
      <c r="G445" s="142">
        <f>B445*IBGE_2!G$445/100</f>
        <v>2.855</v>
      </c>
      <c r="H445" s="142">
        <f>B445*IBGE_2!H$445/100</f>
        <v>0.48899999999999999</v>
      </c>
      <c r="I445" s="142">
        <f>B445*IBGE_2!I$445/100</f>
        <v>0.41699999999999998</v>
      </c>
      <c r="J445" s="142">
        <f>B445*IBGE_2!J$445/100</f>
        <v>7.1999999999999995E-2</v>
      </c>
      <c r="K445" s="142">
        <f>B445*IBGE_2!K$445/100</f>
        <v>28.831</v>
      </c>
      <c r="L445" s="142">
        <f>B445*IBGE_2!L$445/100</f>
        <v>25.481999999999999</v>
      </c>
      <c r="M445" s="142">
        <f>B445*IBGE_2!M$445/100</f>
        <v>2.9</v>
      </c>
      <c r="N445" s="142">
        <f>B445*IBGE_2!N$445/100</f>
        <v>8.7949999999999999</v>
      </c>
      <c r="O445" s="142">
        <f>B445*IBGE_2!O$445/100</f>
        <v>30.382000000000001</v>
      </c>
      <c r="P445" s="142">
        <f>B445*IBGE_2!P$445/100</f>
        <v>0.30099999999999999</v>
      </c>
      <c r="Q445" s="142">
        <f>B445*IBGE_2!Q$445/100</f>
        <v>27.754999999999999</v>
      </c>
      <c r="R445" s="142">
        <f>B445*IBGE_2!R$445/100</f>
        <v>0.29299999999999998</v>
      </c>
      <c r="S445" s="142">
        <f>B445*IBGE_2!S$445/100</f>
        <v>78.355000000000004</v>
      </c>
      <c r="T445" s="142">
        <f>B445*IBGE_2!T$445/100</f>
        <v>402.5</v>
      </c>
      <c r="U445" s="142">
        <f>B445*IBGE_2!U$445/100</f>
        <v>8.6999999999999994E-2</v>
      </c>
      <c r="V445" s="142">
        <f>B445*IBGE_2!V$445/100</f>
        <v>0.17899999999999999</v>
      </c>
      <c r="W445" s="142">
        <f>B445*IBGE_2!W$445/100</f>
        <v>89.978999999999999</v>
      </c>
      <c r="X445" s="142">
        <f>B445*IBGE_2!X$445/100</f>
        <v>3.5000000000000003E-2</v>
      </c>
      <c r="Y445" s="142">
        <f>B445*IBGE_2!Y$445/100</f>
        <v>8.5999999999999993E-2</v>
      </c>
      <c r="Z445" s="142">
        <f>B445*IBGE_2!Z$445/100</f>
        <v>0.41</v>
      </c>
      <c r="AA445" s="142">
        <f>B445*IBGE_2!AA$445/100</f>
        <v>0.747</v>
      </c>
      <c r="AB445" s="142">
        <f>B445*IBGE_2!AB$445/100</f>
        <v>9.7029999999999994</v>
      </c>
      <c r="AC445" s="142">
        <f>B445*IBGE_2!AC$445/100</f>
        <v>0.94099999999999995</v>
      </c>
      <c r="AD445" s="142">
        <f>B445*IBGE_2!AD$445/100</f>
        <v>2.3E-2</v>
      </c>
      <c r="AE445" s="142">
        <f>B445*IBGE_2!AE$445/100</f>
        <v>22.709</v>
      </c>
      <c r="AF445" s="142">
        <f>B445*IBGE_2!AF$445/100</f>
        <v>0.188</v>
      </c>
      <c r="AG445" s="142">
        <f>B445*IBGE_2!AG$445/100</f>
        <v>0.45600000000000002</v>
      </c>
      <c r="AH445" s="142">
        <f>B445*IBGE_2!AH$445/100</f>
        <v>0.44</v>
      </c>
      <c r="AI445" s="142" t="s">
        <v>3047</v>
      </c>
      <c r="AJ445" s="142">
        <f>B445*IBGE_2!AJ$445/100</f>
        <v>1.2490000000000001</v>
      </c>
      <c r="AK445" s="142">
        <f>B445*IBGE_2!AK$445/100</f>
        <v>95.322999999999993</v>
      </c>
      <c r="AL445" s="142">
        <f>B445*IBGE_2!AL$445/100</f>
        <v>13.654000000000002</v>
      </c>
      <c r="AM445" s="145" t="s">
        <v>3047</v>
      </c>
      <c r="AN445" s="161"/>
    </row>
    <row r="446" spans="1:40">
      <c r="A446" s="143" t="s">
        <v>1505</v>
      </c>
      <c r="B446" s="141">
        <v>100</v>
      </c>
      <c r="C446" s="142">
        <f>B446*IBGE_2!C$446/100</f>
        <v>89</v>
      </c>
      <c r="D446" s="142">
        <f>B446*IBGE_2!D$446/100</f>
        <v>1.0900000000000001</v>
      </c>
      <c r="E446" s="142">
        <f>B446*IBGE_2!E$446/100</f>
        <v>0.33</v>
      </c>
      <c r="F446" s="142">
        <f>B446*IBGE_2!F$446/100</f>
        <v>0.11</v>
      </c>
      <c r="G446" s="142">
        <f>B446*IBGE_2!G$446/100</f>
        <v>0.03</v>
      </c>
      <c r="H446" s="142">
        <f>B446*IBGE_2!H$446/100</f>
        <v>7.0000000000000007E-2</v>
      </c>
      <c r="I446" s="142">
        <f>B446*IBGE_2!I$446/100</f>
        <v>0.05</v>
      </c>
      <c r="J446" s="142">
        <f>B446*IBGE_2!J$446/100</f>
        <v>0.03</v>
      </c>
      <c r="K446" s="142" t="s">
        <v>3047</v>
      </c>
      <c r="L446" s="142">
        <f>B446*IBGE_2!L$446/100</f>
        <v>22.84</v>
      </c>
      <c r="M446" s="142">
        <f>B446*IBGE_2!M$446/100</f>
        <v>2.6</v>
      </c>
      <c r="N446" s="142">
        <f>B446*IBGE_2!N$446/100</f>
        <v>5</v>
      </c>
      <c r="O446" s="142">
        <f>B446*IBGE_2!O$446/100</f>
        <v>27</v>
      </c>
      <c r="P446" s="142">
        <f>B446*IBGE_2!P$446/100</f>
        <v>0.27</v>
      </c>
      <c r="Q446" s="142">
        <f>B446*IBGE_2!Q$446/100</f>
        <v>22</v>
      </c>
      <c r="R446" s="142">
        <f>B446*IBGE_2!R$446/100</f>
        <v>0.26</v>
      </c>
      <c r="S446" s="142">
        <f>B446*IBGE_2!S$446/100</f>
        <v>1</v>
      </c>
      <c r="T446" s="142">
        <f>B446*IBGE_2!T$446/100</f>
        <v>358</v>
      </c>
      <c r="U446" s="142">
        <f>B446*IBGE_2!U$446/100</f>
        <v>0.08</v>
      </c>
      <c r="V446" s="142">
        <f>B446*IBGE_2!V$446/100</f>
        <v>0.15</v>
      </c>
      <c r="W446" s="142" t="s">
        <v>3047</v>
      </c>
      <c r="X446" s="142">
        <f>B446*IBGE_2!X$446/100</f>
        <v>0.03</v>
      </c>
      <c r="Y446" s="142">
        <f>B446*IBGE_2!Y$446/100</f>
        <v>7.0000000000000007E-2</v>
      </c>
      <c r="Z446" s="142">
        <f>B446*IBGE_2!Z$446/100</f>
        <v>0.37</v>
      </c>
      <c r="AA446" s="142">
        <f>B446*IBGE_2!AA$446/100</f>
        <v>0.67</v>
      </c>
      <c r="AB446" s="142">
        <f>B446*IBGE_2!AB$446/100</f>
        <v>8.6999999999999993</v>
      </c>
      <c r="AC446" s="142">
        <f>B446*IBGE_2!AC$446/100</f>
        <v>0.82</v>
      </c>
      <c r="AD446" s="145" t="s">
        <v>3047</v>
      </c>
      <c r="AE446" s="142">
        <f>B446*IBGE_2!AE$446/100</f>
        <v>20</v>
      </c>
      <c r="AF446" s="145" t="s">
        <v>3047</v>
      </c>
      <c r="AG446" s="142">
        <f>B446*IBGE_2!AG$446/100</f>
        <v>0.13</v>
      </c>
      <c r="AH446" s="145" t="s">
        <v>3047</v>
      </c>
      <c r="AI446" s="142" t="s">
        <v>3047</v>
      </c>
      <c r="AJ446" s="142">
        <f>B446*IBGE_2!AJ$446/100</f>
        <v>1</v>
      </c>
      <c r="AK446" s="142">
        <f>B446*IBGE_2!AK$446/100</f>
        <v>3.21</v>
      </c>
      <c r="AL446" s="142">
        <f>B446*IBGE_2!AL$446/100</f>
        <v>12.23</v>
      </c>
      <c r="AM446" s="145" t="s">
        <v>3047</v>
      </c>
      <c r="AN446" s="161"/>
    </row>
    <row r="447" spans="1:40">
      <c r="A447" s="143" t="s">
        <v>1506</v>
      </c>
      <c r="B447" s="141">
        <v>100</v>
      </c>
      <c r="C447" s="142">
        <f>B447*IBGE_2!C$447/100</f>
        <v>112.036</v>
      </c>
      <c r="D447" s="142">
        <f>B447*IBGE_2!D$447/100</f>
        <v>2.2869999999999999</v>
      </c>
      <c r="E447" s="142">
        <f>B447*IBGE_2!E$447/100</f>
        <v>1.7210000000000003</v>
      </c>
      <c r="F447" s="142">
        <f>B447*IBGE_2!F$447/100</f>
        <v>0.94699999999999984</v>
      </c>
      <c r="G447" s="142">
        <f>B447*IBGE_2!G$447/100</f>
        <v>0.48399999999999999</v>
      </c>
      <c r="H447" s="142">
        <f>B447*IBGE_2!H$447/100</f>
        <v>0.128</v>
      </c>
      <c r="I447" s="142">
        <f>B447*IBGE_2!I$447/100</f>
        <v>9.8000000000000004E-2</v>
      </c>
      <c r="J447" s="142">
        <f>B447*IBGE_2!J$447/100</f>
        <v>0.03</v>
      </c>
      <c r="K447" s="142">
        <f>B447*IBGE_2!K$447/100</f>
        <v>5.5529999999999999</v>
      </c>
      <c r="L447" s="142">
        <f>B447*IBGE_2!L$447/100</f>
        <v>23.184000000000001</v>
      </c>
      <c r="M447" s="142">
        <f>B447*IBGE_2!M$447/100</f>
        <v>1.538</v>
      </c>
      <c r="N447" s="142">
        <f>B447*IBGE_2!N$447/100</f>
        <v>53.819000000000003</v>
      </c>
      <c r="O447" s="142">
        <f>B447*IBGE_2!O$447/100</f>
        <v>20.571000000000005</v>
      </c>
      <c r="P447" s="142">
        <f>B447*IBGE_2!P$447/100</f>
        <v>0.14699999999999999</v>
      </c>
      <c r="Q447" s="142">
        <f>B447*IBGE_2!Q$447/100</f>
        <v>56.215000000000003</v>
      </c>
      <c r="R447" s="142">
        <f>B447*IBGE_2!R$447/100</f>
        <v>0.42799999999999999</v>
      </c>
      <c r="S447" s="142">
        <f>B447*IBGE_2!S$447/100</f>
        <v>67.451999999999998</v>
      </c>
      <c r="T447" s="142">
        <f>B447*IBGE_2!T$447/100</f>
        <v>246.31399999999996</v>
      </c>
      <c r="U447" s="142">
        <f>B447*IBGE_2!U$447/100</f>
        <v>0.05</v>
      </c>
      <c r="V447" s="142">
        <f>B447*IBGE_2!V$447/100</f>
        <v>0.26900000000000002</v>
      </c>
      <c r="W447" s="142">
        <f>B447*IBGE_2!W$447/100</f>
        <v>12.255000000000001</v>
      </c>
      <c r="X447" s="142">
        <f>B447*IBGE_2!X$447/100</f>
        <v>6.2E-2</v>
      </c>
      <c r="Y447" s="142">
        <f>B447*IBGE_2!Y$447/100</f>
        <v>0.12300000000000001</v>
      </c>
      <c r="Z447" s="142">
        <f>B447*IBGE_2!Z$447/100</f>
        <v>0.20499999999999999</v>
      </c>
      <c r="AA447" s="142">
        <f>B447*IBGE_2!AA$447/100</f>
        <v>0.69</v>
      </c>
      <c r="AB447" s="142">
        <f>B447*IBGE_2!AB$447/100</f>
        <v>4.7140000000000004</v>
      </c>
      <c r="AC447" s="142">
        <f>B447*IBGE_2!AC$447/100</f>
        <v>1.111</v>
      </c>
      <c r="AD447" s="142">
        <f>B447*IBGE_2!AD$447/100</f>
        <v>3.1E-2</v>
      </c>
      <c r="AE447" s="142">
        <f>B447*IBGE_2!AE$447/100</f>
        <v>18.902000000000001</v>
      </c>
      <c r="AF447" s="142">
        <f>B447*IBGE_2!AF$447/100</f>
        <v>0.379</v>
      </c>
      <c r="AG447" s="142">
        <f>B447*IBGE_2!AG$447/100</f>
        <v>0.10100000000000002</v>
      </c>
      <c r="AH447" s="142">
        <f>B447*IBGE_2!AH$447/100</f>
        <v>5.2000000000000005E-2</v>
      </c>
      <c r="AI447" s="142" t="s">
        <v>3047</v>
      </c>
      <c r="AJ447" s="142">
        <f>B447*IBGE_2!AJ$447/100</f>
        <v>1.6719999999999999</v>
      </c>
      <c r="AK447" s="142">
        <f>B447*IBGE_2!AK$447/100</f>
        <v>14.698</v>
      </c>
      <c r="AL447" s="142">
        <f>B447*IBGE_2!AL$447/100</f>
        <v>13.195</v>
      </c>
      <c r="AM447" s="142">
        <f>B447*IBGE_2!AM$447/100</f>
        <v>5.0599999999999996</v>
      </c>
      <c r="AN447" s="161"/>
    </row>
    <row r="448" spans="1:40">
      <c r="A448" s="143" t="s">
        <v>1507</v>
      </c>
      <c r="B448" s="141">
        <v>100</v>
      </c>
      <c r="C448" s="142">
        <f>B448*IBGE_2!C$448/100</f>
        <v>112.036</v>
      </c>
      <c r="D448" s="142">
        <f>B448*IBGE_2!D$448/100</f>
        <v>2.2869999999999999</v>
      </c>
      <c r="E448" s="142">
        <f>B448*IBGE_2!E$448/100</f>
        <v>1.7210000000000003</v>
      </c>
      <c r="F448" s="142">
        <f>B448*IBGE_2!F$448/100</f>
        <v>0.94699999999999984</v>
      </c>
      <c r="G448" s="142">
        <f>B448*IBGE_2!G$448/100</f>
        <v>0.48399999999999999</v>
      </c>
      <c r="H448" s="142">
        <f>B448*IBGE_2!H$448/100</f>
        <v>0.128</v>
      </c>
      <c r="I448" s="142">
        <f>B448*IBGE_2!I$448/100</f>
        <v>9.8000000000000004E-2</v>
      </c>
      <c r="J448" s="142">
        <f>B448*IBGE_2!J$448/100</f>
        <v>0.03</v>
      </c>
      <c r="K448" s="142">
        <f>B448*IBGE_2!K$448/100</f>
        <v>5.5529999999999999</v>
      </c>
      <c r="L448" s="142">
        <f>B448*IBGE_2!L$448/100</f>
        <v>23.184000000000001</v>
      </c>
      <c r="M448" s="142">
        <f>B448*IBGE_2!M$448/100</f>
        <v>1.538</v>
      </c>
      <c r="N448" s="142">
        <f>B448*IBGE_2!N$448/100</f>
        <v>53.819000000000003</v>
      </c>
      <c r="O448" s="142">
        <f>B448*IBGE_2!O$448/100</f>
        <v>20.571000000000005</v>
      </c>
      <c r="P448" s="142">
        <f>B448*IBGE_2!P$448/100</f>
        <v>0.14699999999999999</v>
      </c>
      <c r="Q448" s="142">
        <f>B448*IBGE_2!Q$448/100</f>
        <v>56.215000000000003</v>
      </c>
      <c r="R448" s="142">
        <f>B448*IBGE_2!R$448/100</f>
        <v>0.42799999999999999</v>
      </c>
      <c r="S448" s="142">
        <f>B448*IBGE_2!S$448/100</f>
        <v>67.451999999999998</v>
      </c>
      <c r="T448" s="142">
        <f>B448*IBGE_2!T$448/100</f>
        <v>246.31399999999996</v>
      </c>
      <c r="U448" s="142">
        <f>B448*IBGE_2!U$448/100</f>
        <v>0.05</v>
      </c>
      <c r="V448" s="142">
        <f>B448*IBGE_2!V$448/100</f>
        <v>0.26900000000000002</v>
      </c>
      <c r="W448" s="142">
        <f>B448*IBGE_2!W$448/100</f>
        <v>12.255000000000001</v>
      </c>
      <c r="X448" s="142">
        <f>B448*IBGE_2!X$448/100</f>
        <v>6.2E-2</v>
      </c>
      <c r="Y448" s="142">
        <f>B448*IBGE_2!Y$448/100</f>
        <v>0.12300000000000001</v>
      </c>
      <c r="Z448" s="142">
        <f>B448*IBGE_2!Z$448/100</f>
        <v>0.20499999999999999</v>
      </c>
      <c r="AA448" s="142">
        <f>B448*IBGE_2!AA$448/100</f>
        <v>0.69</v>
      </c>
      <c r="AB448" s="142">
        <f>B448*IBGE_2!AB$448/100</f>
        <v>4.7140000000000004</v>
      </c>
      <c r="AC448" s="142">
        <f>B448*IBGE_2!AC$448/100</f>
        <v>1.111</v>
      </c>
      <c r="AD448" s="142">
        <f>B448*IBGE_2!AD$448/100</f>
        <v>3.1E-2</v>
      </c>
      <c r="AE448" s="142">
        <f>B448*IBGE_2!AE$448/100</f>
        <v>18.902000000000001</v>
      </c>
      <c r="AF448" s="142">
        <f>B448*IBGE_2!AF$448/100</f>
        <v>0.379</v>
      </c>
      <c r="AG448" s="142">
        <f>B448*IBGE_2!AG$448/100</f>
        <v>0.10100000000000002</v>
      </c>
      <c r="AH448" s="142">
        <f>B448*IBGE_2!AH$448/100</f>
        <v>5.2000000000000005E-2</v>
      </c>
      <c r="AI448" s="142" t="s">
        <v>3047</v>
      </c>
      <c r="AJ448" s="142">
        <f>B448*IBGE_2!AJ$448/100</f>
        <v>1.6719999999999999</v>
      </c>
      <c r="AK448" s="142">
        <f>B448*IBGE_2!AK$448/100</f>
        <v>14.698</v>
      </c>
      <c r="AL448" s="142">
        <f>B448*IBGE_2!AL$448/100</f>
        <v>13.195</v>
      </c>
      <c r="AM448" s="142">
        <f>B448*IBGE_2!AM$448/100</f>
        <v>5.0599999999999996</v>
      </c>
      <c r="AN448" s="161"/>
    </row>
    <row r="449" spans="1:40">
      <c r="A449" s="143" t="s">
        <v>1508</v>
      </c>
      <c r="B449" s="141">
        <v>100</v>
      </c>
      <c r="C449" s="142">
        <f>B449*IBGE_2!C$449/100</f>
        <v>89</v>
      </c>
      <c r="D449" s="142">
        <f>B449*IBGE_2!D$449/100</f>
        <v>1.0900000000000001</v>
      </c>
      <c r="E449" s="142">
        <f>B449*IBGE_2!E$449/100</f>
        <v>0.33</v>
      </c>
      <c r="F449" s="142">
        <f>B449*IBGE_2!F$449/100</f>
        <v>0.11</v>
      </c>
      <c r="G449" s="142">
        <f>B449*IBGE_2!G$449/100</f>
        <v>0.03</v>
      </c>
      <c r="H449" s="142">
        <f>B449*IBGE_2!H$449/100</f>
        <v>7.0000000000000007E-2</v>
      </c>
      <c r="I449" s="142">
        <f>B449*IBGE_2!I$449/100</f>
        <v>0.05</v>
      </c>
      <c r="J449" s="142">
        <f>B449*IBGE_2!J$449/100</f>
        <v>0.03</v>
      </c>
      <c r="K449" s="142" t="s">
        <v>3047</v>
      </c>
      <c r="L449" s="142">
        <f>B449*IBGE_2!L$449/100</f>
        <v>22.84</v>
      </c>
      <c r="M449" s="142">
        <f>B449*IBGE_2!M$449/100</f>
        <v>2.6</v>
      </c>
      <c r="N449" s="142">
        <f>B449*IBGE_2!N$449/100</f>
        <v>5</v>
      </c>
      <c r="O449" s="142">
        <f>B449*IBGE_2!O$449/100</f>
        <v>27</v>
      </c>
      <c r="P449" s="142">
        <f>B449*IBGE_2!P$449/100</f>
        <v>0.27</v>
      </c>
      <c r="Q449" s="142">
        <f>B449*IBGE_2!Q$449/100</f>
        <v>22</v>
      </c>
      <c r="R449" s="142">
        <f>B449*IBGE_2!R$449/100</f>
        <v>0.26</v>
      </c>
      <c r="S449" s="142">
        <f>B449*IBGE_2!S$449/100</f>
        <v>1</v>
      </c>
      <c r="T449" s="142">
        <f>B449*IBGE_2!T$449/100</f>
        <v>358</v>
      </c>
      <c r="U449" s="142">
        <f>B449*IBGE_2!U$449/100</f>
        <v>0.08</v>
      </c>
      <c r="V449" s="142">
        <f>B449*IBGE_2!V$449/100</f>
        <v>0.15</v>
      </c>
      <c r="W449" s="142" t="s">
        <v>3047</v>
      </c>
      <c r="X449" s="142">
        <f>B449*IBGE_2!X$449/100</f>
        <v>0.03</v>
      </c>
      <c r="Y449" s="142">
        <f>B449*IBGE_2!Y$449/100</f>
        <v>7.0000000000000007E-2</v>
      </c>
      <c r="Z449" s="142">
        <f>B449*IBGE_2!Z$449/100</f>
        <v>0.37</v>
      </c>
      <c r="AA449" s="142">
        <f>B449*IBGE_2!AA$449/100</f>
        <v>0.67</v>
      </c>
      <c r="AB449" s="142">
        <f>B449*IBGE_2!AB$449/100</f>
        <v>8.6999999999999993</v>
      </c>
      <c r="AC449" s="142">
        <f>B449*IBGE_2!AC$449/100</f>
        <v>0.82</v>
      </c>
      <c r="AD449" s="142" t="s">
        <v>3047</v>
      </c>
      <c r="AE449" s="142">
        <f>B449*IBGE_2!AE$449/100</f>
        <v>20</v>
      </c>
      <c r="AF449" s="142" t="s">
        <v>3047</v>
      </c>
      <c r="AG449" s="142">
        <f>B449*IBGE_2!AG$449/100</f>
        <v>0.13</v>
      </c>
      <c r="AH449" s="142" t="s">
        <v>3047</v>
      </c>
      <c r="AI449" s="142" t="s">
        <v>3047</v>
      </c>
      <c r="AJ449" s="142">
        <f>B449*IBGE_2!AJ$449/100</f>
        <v>1</v>
      </c>
      <c r="AK449" s="142">
        <f>B449*IBGE_2!AK$449/100</f>
        <v>3.21</v>
      </c>
      <c r="AL449" s="142">
        <f>B449*IBGE_2!AL$449/100</f>
        <v>12.23</v>
      </c>
      <c r="AM449" s="145" t="s">
        <v>3047</v>
      </c>
      <c r="AN449" s="161"/>
    </row>
    <row r="450" spans="1:40">
      <c r="A450" s="143" t="s">
        <v>1509</v>
      </c>
      <c r="B450" s="141">
        <v>100</v>
      </c>
      <c r="C450" s="142">
        <f>B450*IBGE_2!C$450/100</f>
        <v>47</v>
      </c>
      <c r="D450" s="142">
        <f>B450*IBGE_2!D$450/100</f>
        <v>0.94</v>
      </c>
      <c r="E450" s="142">
        <f>B450*IBGE_2!E$450/100</f>
        <v>0.12</v>
      </c>
      <c r="F450" s="142">
        <f>B450*IBGE_2!F$450/100</f>
        <v>0.02</v>
      </c>
      <c r="G450" s="142">
        <f>B450*IBGE_2!G$450/100</f>
        <v>0.02</v>
      </c>
      <c r="H450" s="142">
        <f>B450*IBGE_2!H$450/100</f>
        <v>0.03</v>
      </c>
      <c r="I450" s="142">
        <f>B450*IBGE_2!I$450/100</f>
        <v>0.02</v>
      </c>
      <c r="J450" s="142">
        <f>B450*IBGE_2!J$450/100</f>
        <v>0.01</v>
      </c>
      <c r="K450" s="142" t="s">
        <v>3047</v>
      </c>
      <c r="L450" s="142">
        <f>B450*IBGE_2!L$450/100</f>
        <v>11.75</v>
      </c>
      <c r="M450" s="142">
        <f>B450*IBGE_2!M$450/100</f>
        <v>2.35</v>
      </c>
      <c r="N450" s="142">
        <f>B450*IBGE_2!N$450/100</f>
        <v>40</v>
      </c>
      <c r="O450" s="142">
        <f>B450*IBGE_2!O$450/100</f>
        <v>10</v>
      </c>
      <c r="P450" s="142">
        <f>B450*IBGE_2!P$450/100</f>
        <v>0.03</v>
      </c>
      <c r="Q450" s="142">
        <f>B450*IBGE_2!Q$450/100</f>
        <v>14</v>
      </c>
      <c r="R450" s="142">
        <f>B450*IBGE_2!R$450/100</f>
        <v>0.1</v>
      </c>
      <c r="S450" s="142" t="s">
        <v>3047</v>
      </c>
      <c r="T450" s="142">
        <f>B450*IBGE_2!T$450/100</f>
        <v>181</v>
      </c>
      <c r="U450" s="142">
        <f>B450*IBGE_2!U$450/100</f>
        <v>0.05</v>
      </c>
      <c r="V450" s="142">
        <f>B450*IBGE_2!V$450/100</f>
        <v>7.0000000000000007E-2</v>
      </c>
      <c r="W450" s="142" t="s">
        <v>3047</v>
      </c>
      <c r="X450" s="142">
        <f>B450*IBGE_2!X$450/100</f>
        <v>0.09</v>
      </c>
      <c r="Y450" s="142">
        <f>B450*IBGE_2!Y$450/100</f>
        <v>0.04</v>
      </c>
      <c r="Z450" s="142">
        <f>B450*IBGE_2!Z$450/100</f>
        <v>0.06</v>
      </c>
      <c r="AA450" s="142">
        <f>B450*IBGE_2!AA$450/100</f>
        <v>0.28000000000000003</v>
      </c>
      <c r="AB450" s="142">
        <f>B450*IBGE_2!AB$450/100</f>
        <v>53.2</v>
      </c>
      <c r="AC450" s="142">
        <f>B450*IBGE_2!AC$450/100</f>
        <v>0.43</v>
      </c>
      <c r="AD450" s="142" t="s">
        <v>3047</v>
      </c>
      <c r="AE450" s="142">
        <f>B450*IBGE_2!AE$450/100</f>
        <v>30</v>
      </c>
      <c r="AF450" s="142" t="s">
        <v>3047</v>
      </c>
      <c r="AG450" s="142">
        <f>B450*IBGE_2!AG$450/100</f>
        <v>0.25</v>
      </c>
      <c r="AH450" s="142" t="s">
        <v>3047</v>
      </c>
      <c r="AI450" s="142" t="s">
        <v>3047</v>
      </c>
      <c r="AJ450" s="142">
        <f>B450*IBGE_2!AJ$450/100</f>
        <v>0.5</v>
      </c>
      <c r="AK450" s="142">
        <f>B450*IBGE_2!AK$450/100</f>
        <v>11.21</v>
      </c>
      <c r="AL450" s="142">
        <f>B450*IBGE_2!AL$450/100</f>
        <v>8.3699999999999992</v>
      </c>
      <c r="AM450" s="145" t="s">
        <v>3047</v>
      </c>
      <c r="AN450" s="161"/>
    </row>
    <row r="451" spans="1:40">
      <c r="A451" s="143" t="s">
        <v>1510</v>
      </c>
      <c r="B451" s="141">
        <v>100</v>
      </c>
      <c r="C451" s="142">
        <f>B451*IBGE_2!C$451/100</f>
        <v>47</v>
      </c>
      <c r="D451" s="142">
        <f>B451*IBGE_2!D$451/100</f>
        <v>0.94</v>
      </c>
      <c r="E451" s="142">
        <f>B451*IBGE_2!E$451/100</f>
        <v>0.12</v>
      </c>
      <c r="F451" s="142">
        <f>B451*IBGE_2!F$451/100</f>
        <v>0.02</v>
      </c>
      <c r="G451" s="142">
        <f>B451*IBGE_2!G$451/100</f>
        <v>0.02</v>
      </c>
      <c r="H451" s="142">
        <f>B451*IBGE_2!H$451/100</f>
        <v>0.03</v>
      </c>
      <c r="I451" s="142">
        <f>B451*IBGE_2!I$451/100</f>
        <v>0.02</v>
      </c>
      <c r="J451" s="142">
        <f>B451*IBGE_2!J$451/100</f>
        <v>0.01</v>
      </c>
      <c r="K451" s="142" t="s">
        <v>3047</v>
      </c>
      <c r="L451" s="142">
        <f>B451*IBGE_2!L$451/100</f>
        <v>11.75</v>
      </c>
      <c r="M451" s="142">
        <f>B451*IBGE_2!M$451/100</f>
        <v>2.35</v>
      </c>
      <c r="N451" s="142">
        <f>B451*IBGE_2!N$451/100</f>
        <v>40</v>
      </c>
      <c r="O451" s="142">
        <f>B451*IBGE_2!O$451/100</f>
        <v>10</v>
      </c>
      <c r="P451" s="142">
        <f>B451*IBGE_2!P$451/100</f>
        <v>0.03</v>
      </c>
      <c r="Q451" s="142">
        <f>B451*IBGE_2!Q$451/100</f>
        <v>14</v>
      </c>
      <c r="R451" s="142">
        <f>B451*IBGE_2!R$451/100</f>
        <v>0.1</v>
      </c>
      <c r="S451" s="142" t="s">
        <v>3047</v>
      </c>
      <c r="T451" s="142">
        <f>B451*IBGE_2!T$451/100</f>
        <v>181</v>
      </c>
      <c r="U451" s="142">
        <f>B451*IBGE_2!U$451/100</f>
        <v>0.05</v>
      </c>
      <c r="V451" s="142">
        <f>B451*IBGE_2!V$451/100</f>
        <v>7.0000000000000007E-2</v>
      </c>
      <c r="W451" s="142" t="s">
        <v>3047</v>
      </c>
      <c r="X451" s="142">
        <f>B451*IBGE_2!X$451/100</f>
        <v>0.09</v>
      </c>
      <c r="Y451" s="142">
        <f>B451*IBGE_2!Y$451/100</f>
        <v>0.04</v>
      </c>
      <c r="Z451" s="142">
        <f>B451*IBGE_2!Z$451/100</f>
        <v>0.06</v>
      </c>
      <c r="AA451" s="142">
        <f>B451*IBGE_2!AA$451/100</f>
        <v>0.28000000000000003</v>
      </c>
      <c r="AB451" s="142">
        <f>B451*IBGE_2!AB$451/100</f>
        <v>53.2</v>
      </c>
      <c r="AC451" s="142">
        <f>B451*IBGE_2!AC$451/100</f>
        <v>0.43</v>
      </c>
      <c r="AD451" s="142" t="s">
        <v>3047</v>
      </c>
      <c r="AE451" s="142">
        <f>B451*IBGE_2!AE$451/100</f>
        <v>30</v>
      </c>
      <c r="AF451" s="142" t="s">
        <v>3047</v>
      </c>
      <c r="AG451" s="142">
        <f>B451*IBGE_2!AG$451/100</f>
        <v>0.25</v>
      </c>
      <c r="AH451" s="142" t="s">
        <v>3047</v>
      </c>
      <c r="AI451" s="142" t="s">
        <v>3047</v>
      </c>
      <c r="AJ451" s="142">
        <f>B451*IBGE_2!AJ$451/100</f>
        <v>0.5</v>
      </c>
      <c r="AK451" s="142">
        <f>B451*IBGE_2!AK$451/100</f>
        <v>11.21</v>
      </c>
      <c r="AL451" s="142">
        <f>B451*IBGE_2!AL$451/100</f>
        <v>8.3699999999999992</v>
      </c>
      <c r="AM451" s="145" t="s">
        <v>3047</v>
      </c>
      <c r="AN451" s="161"/>
    </row>
    <row r="452" spans="1:40">
      <c r="A452" s="143" t="s">
        <v>1511</v>
      </c>
      <c r="B452" s="141">
        <v>100</v>
      </c>
      <c r="C452" s="142">
        <f>B452*IBGE_2!C$452/100</f>
        <v>30</v>
      </c>
      <c r="D452" s="142">
        <f>B452*IBGE_2!D$452/100</f>
        <v>0.7</v>
      </c>
      <c r="E452" s="142">
        <f>B452*IBGE_2!E$452/100</f>
        <v>0.2</v>
      </c>
      <c r="F452" s="142">
        <f>B452*IBGE_2!F$452/100</f>
        <v>0.02</v>
      </c>
      <c r="G452" s="142">
        <f>B452*IBGE_2!G$452/100</f>
        <v>0.02</v>
      </c>
      <c r="H452" s="142">
        <f>B452*IBGE_2!H$452/100</f>
        <v>0.06</v>
      </c>
      <c r="I452" s="142">
        <f>B452*IBGE_2!I$452/100</f>
        <v>0.04</v>
      </c>
      <c r="J452" s="142">
        <f>B452*IBGE_2!J$452/100</f>
        <v>0.02</v>
      </c>
      <c r="K452" s="142" t="s">
        <v>3047</v>
      </c>
      <c r="L452" s="142">
        <f>B452*IBGE_2!L$452/100</f>
        <v>10.54</v>
      </c>
      <c r="M452" s="142">
        <f>B452*IBGE_2!M$452/100</f>
        <v>2.8</v>
      </c>
      <c r="N452" s="142">
        <f>B452*IBGE_2!N$452/100</f>
        <v>33</v>
      </c>
      <c r="O452" s="142">
        <f>B452*IBGE_2!O$452/100</f>
        <v>6</v>
      </c>
      <c r="P452" s="142">
        <f>B452*IBGE_2!P$452/100</f>
        <v>0.01</v>
      </c>
      <c r="Q452" s="142">
        <f>B452*IBGE_2!Q$452/100</f>
        <v>18</v>
      </c>
      <c r="R452" s="142">
        <f>B452*IBGE_2!R$452/100</f>
        <v>0.6</v>
      </c>
      <c r="S452" s="142">
        <f>B452*IBGE_2!S$452/100</f>
        <v>2</v>
      </c>
      <c r="T452" s="142">
        <f>B452*IBGE_2!T$452/100</f>
        <v>102</v>
      </c>
      <c r="U452" s="142">
        <f>B452*IBGE_2!U$452/100</f>
        <v>7.0000000000000007E-2</v>
      </c>
      <c r="V452" s="142">
        <f>B452*IBGE_2!V$452/100</f>
        <v>0.11</v>
      </c>
      <c r="W452" s="142" t="s">
        <v>3047</v>
      </c>
      <c r="X452" s="142">
        <f>B452*IBGE_2!X$452/100</f>
        <v>0.03</v>
      </c>
      <c r="Y452" s="142">
        <f>B452*IBGE_2!Y$452/100</f>
        <v>0.02</v>
      </c>
      <c r="Z452" s="142">
        <f>B452*IBGE_2!Z$452/100</f>
        <v>0.04</v>
      </c>
      <c r="AA452" s="142">
        <f>B452*IBGE_2!AA$452/100</f>
        <v>0.2</v>
      </c>
      <c r="AB452" s="142">
        <f>B452*IBGE_2!AB$452/100</f>
        <v>29.1</v>
      </c>
      <c r="AC452" s="142">
        <f>B452*IBGE_2!AC$452/100</f>
        <v>0.25</v>
      </c>
      <c r="AD452" s="142" t="s">
        <v>3047</v>
      </c>
      <c r="AE452" s="142">
        <f>B452*IBGE_2!AE$452/100</f>
        <v>8</v>
      </c>
      <c r="AF452" s="142" t="s">
        <v>3047</v>
      </c>
      <c r="AG452" s="142">
        <f>B452*IBGE_2!AG$452/100</f>
        <v>0.22</v>
      </c>
      <c r="AH452" s="142" t="s">
        <v>3047</v>
      </c>
      <c r="AI452" s="142" t="s">
        <v>3047</v>
      </c>
      <c r="AJ452" s="142">
        <f>B452*IBGE_2!AJ$452/100</f>
        <v>0.4</v>
      </c>
      <c r="AK452" s="142">
        <f>B452*IBGE_2!AK$452/100</f>
        <v>2.5</v>
      </c>
      <c r="AL452" s="142">
        <f>B452*IBGE_2!AL$452/100</f>
        <v>0.7</v>
      </c>
      <c r="AM452" s="145" t="s">
        <v>3047</v>
      </c>
      <c r="AN452" s="161"/>
    </row>
    <row r="453" spans="1:40">
      <c r="A453" s="143" t="s">
        <v>1512</v>
      </c>
      <c r="B453" s="141">
        <v>100</v>
      </c>
      <c r="C453" s="142">
        <f>B453*IBGE_2!C$453/100</f>
        <v>53</v>
      </c>
      <c r="D453" s="142">
        <f>B453*IBGE_2!D$453/100</f>
        <v>0.81</v>
      </c>
      <c r="E453" s="142">
        <f>B453*IBGE_2!E$453/100</f>
        <v>0.31</v>
      </c>
      <c r="F453" s="142">
        <f>B453*IBGE_2!F$453/100</f>
        <v>0.04</v>
      </c>
      <c r="G453" s="142">
        <f>B453*IBGE_2!G$453/100</f>
        <v>0.06</v>
      </c>
      <c r="H453" s="142">
        <f>B453*IBGE_2!H$453/100</f>
        <v>7.0000000000000007E-2</v>
      </c>
      <c r="I453" s="142">
        <f>B453*IBGE_2!I$453/100</f>
        <v>0.05</v>
      </c>
      <c r="J453" s="142">
        <f>B453*IBGE_2!J$453/100</f>
        <v>0.02</v>
      </c>
      <c r="K453" s="142" t="s">
        <v>3047</v>
      </c>
      <c r="L453" s="142">
        <f>B453*IBGE_2!L$453/100</f>
        <v>13.34</v>
      </c>
      <c r="M453" s="142">
        <f>B453*IBGE_2!M$453/100</f>
        <v>1.8</v>
      </c>
      <c r="N453" s="142">
        <f>B453*IBGE_2!N$453/100</f>
        <v>37</v>
      </c>
      <c r="O453" s="142">
        <f>B453*IBGE_2!O$453/100</f>
        <v>12</v>
      </c>
      <c r="P453" s="142">
        <f>B453*IBGE_2!P$453/100</f>
        <v>0.04</v>
      </c>
      <c r="Q453" s="142">
        <f>B453*IBGE_2!Q$453/100</f>
        <v>20</v>
      </c>
      <c r="R453" s="142">
        <f>B453*IBGE_2!R$453/100</f>
        <v>0.15</v>
      </c>
      <c r="S453" s="142">
        <f>B453*IBGE_2!S$453/100</f>
        <v>2</v>
      </c>
      <c r="T453" s="142">
        <f>B453*IBGE_2!T$453/100</f>
        <v>166</v>
      </c>
      <c r="U453" s="142">
        <f>B453*IBGE_2!U$453/100</f>
        <v>0.04</v>
      </c>
      <c r="V453" s="142">
        <f>B453*IBGE_2!V$453/100</f>
        <v>7.0000000000000007E-2</v>
      </c>
      <c r="W453" s="142" t="s">
        <v>3047</v>
      </c>
      <c r="X453" s="142">
        <f>B453*IBGE_2!X$453/100</f>
        <v>0.06</v>
      </c>
      <c r="Y453" s="142">
        <f>B453*IBGE_2!Y$453/100</f>
        <v>0.04</v>
      </c>
      <c r="Z453" s="142">
        <f>B453*IBGE_2!Z$453/100</f>
        <v>0.08</v>
      </c>
      <c r="AA453" s="142">
        <f>B453*IBGE_2!AA$453/100</f>
        <v>0.38</v>
      </c>
      <c r="AB453" s="142">
        <f>B453*IBGE_2!AB$453/100</f>
        <v>26.7</v>
      </c>
      <c r="AC453" s="142">
        <f>B453*IBGE_2!AC$453/100</f>
        <v>0.41</v>
      </c>
      <c r="AD453" s="142" t="s">
        <v>3047</v>
      </c>
      <c r="AE453" s="142">
        <f>B453*IBGE_2!AE$453/100</f>
        <v>16</v>
      </c>
      <c r="AF453" s="142" t="s">
        <v>3047</v>
      </c>
      <c r="AG453" s="142">
        <f>B453*IBGE_2!AG$453/100</f>
        <v>0.2</v>
      </c>
      <c r="AH453" s="142" t="s">
        <v>3047</v>
      </c>
      <c r="AI453" s="142" t="s">
        <v>3047</v>
      </c>
      <c r="AJ453" s="142">
        <f>B453*IBGE_2!AJ$453/100</f>
        <v>0.1</v>
      </c>
      <c r="AK453" s="142">
        <f>B453*IBGE_2!AK$453/100</f>
        <v>34.08</v>
      </c>
      <c r="AL453" s="142">
        <f>B453*IBGE_2!AL$453/100</f>
        <v>10.58</v>
      </c>
      <c r="AM453" s="145" t="s">
        <v>3047</v>
      </c>
      <c r="AN453" s="161"/>
    </row>
    <row r="454" spans="1:40">
      <c r="A454" s="143" t="s">
        <v>1513</v>
      </c>
      <c r="B454" s="141">
        <v>100</v>
      </c>
      <c r="C454" s="142">
        <f>B454*IBGE_2!C$454/100</f>
        <v>53</v>
      </c>
      <c r="D454" s="142">
        <f>B454*IBGE_2!D$454/100</f>
        <v>0.81</v>
      </c>
      <c r="E454" s="142">
        <f>B454*IBGE_2!E$454/100</f>
        <v>0.31</v>
      </c>
      <c r="F454" s="142">
        <f>B454*IBGE_2!F$454/100</f>
        <v>0.04</v>
      </c>
      <c r="G454" s="142">
        <f>B454*IBGE_2!G$454/100</f>
        <v>0.06</v>
      </c>
      <c r="H454" s="142">
        <f>B454*IBGE_2!H$454/100</f>
        <v>7.0000000000000007E-2</v>
      </c>
      <c r="I454" s="142">
        <f>B454*IBGE_2!I$454/100</f>
        <v>0.05</v>
      </c>
      <c r="J454" s="142">
        <f>B454*IBGE_2!J$454/100</f>
        <v>0.02</v>
      </c>
      <c r="K454" s="142" t="s">
        <v>3047</v>
      </c>
      <c r="L454" s="142">
        <f>B454*IBGE_2!L$454/100</f>
        <v>13.34</v>
      </c>
      <c r="M454" s="142">
        <f>B454*IBGE_2!M$454/100</f>
        <v>1.8</v>
      </c>
      <c r="N454" s="142">
        <f>B454*IBGE_2!N$454/100</f>
        <v>37</v>
      </c>
      <c r="O454" s="142">
        <f>B454*IBGE_2!O$454/100</f>
        <v>12</v>
      </c>
      <c r="P454" s="142">
        <f>B454*IBGE_2!P$454/100</f>
        <v>0.04</v>
      </c>
      <c r="Q454" s="142">
        <f>B454*IBGE_2!Q$454/100</f>
        <v>20</v>
      </c>
      <c r="R454" s="142">
        <f>B454*IBGE_2!R$454/100</f>
        <v>0.15</v>
      </c>
      <c r="S454" s="142">
        <f>B454*IBGE_2!S$454/100</f>
        <v>2</v>
      </c>
      <c r="T454" s="142">
        <f>B454*IBGE_2!T$454/100</f>
        <v>166</v>
      </c>
      <c r="U454" s="142">
        <f>B454*IBGE_2!U$454/100</f>
        <v>0.04</v>
      </c>
      <c r="V454" s="142">
        <f>B454*IBGE_2!V$454/100</f>
        <v>7.0000000000000007E-2</v>
      </c>
      <c r="W454" s="142" t="s">
        <v>3047</v>
      </c>
      <c r="X454" s="142">
        <f>B454*IBGE_2!X$454/100</f>
        <v>0.06</v>
      </c>
      <c r="Y454" s="142">
        <f>B454*IBGE_2!Y$454/100</f>
        <v>0.04</v>
      </c>
      <c r="Z454" s="142">
        <f>B454*IBGE_2!Z$454/100</f>
        <v>0.08</v>
      </c>
      <c r="AA454" s="142">
        <f>B454*IBGE_2!AA$454/100</f>
        <v>0.38</v>
      </c>
      <c r="AB454" s="142">
        <f>B454*IBGE_2!AB$454/100</f>
        <v>26.7</v>
      </c>
      <c r="AC454" s="142">
        <f>B454*IBGE_2!AC$454/100</f>
        <v>0.41</v>
      </c>
      <c r="AD454" s="142" t="s">
        <v>3047</v>
      </c>
      <c r="AE454" s="142">
        <f>B454*IBGE_2!AE$454/100</f>
        <v>16</v>
      </c>
      <c r="AF454" s="142" t="s">
        <v>3047</v>
      </c>
      <c r="AG454" s="142">
        <f>B454*IBGE_2!AG$454/100</f>
        <v>0.2</v>
      </c>
      <c r="AH454" s="142" t="s">
        <v>3047</v>
      </c>
      <c r="AI454" s="142" t="s">
        <v>3047</v>
      </c>
      <c r="AJ454" s="142">
        <f>B454*IBGE_2!AJ$454/100</f>
        <v>0.1</v>
      </c>
      <c r="AK454" s="142">
        <f>B454*IBGE_2!AK$454/100</f>
        <v>34.08</v>
      </c>
      <c r="AL454" s="142">
        <f>B454*IBGE_2!AL$454/100</f>
        <v>10.58</v>
      </c>
      <c r="AM454" s="145" t="s">
        <v>3047</v>
      </c>
      <c r="AN454" s="161"/>
    </row>
    <row r="455" spans="1:40">
      <c r="A455" s="143" t="s">
        <v>1514</v>
      </c>
      <c r="B455" s="141">
        <v>100</v>
      </c>
      <c r="C455" s="142">
        <f>B455*IBGE_2!C$455/100</f>
        <v>53</v>
      </c>
      <c r="D455" s="142">
        <f>B455*IBGE_2!D$455/100</f>
        <v>0.81</v>
      </c>
      <c r="E455" s="142">
        <f>B455*IBGE_2!E$455/100</f>
        <v>0.31</v>
      </c>
      <c r="F455" s="142">
        <f>B455*IBGE_2!F$455/100</f>
        <v>0.04</v>
      </c>
      <c r="G455" s="142">
        <f>B455*IBGE_2!G$455/100</f>
        <v>0.06</v>
      </c>
      <c r="H455" s="142">
        <f>B455*IBGE_2!H$455/100</f>
        <v>7.0000000000000007E-2</v>
      </c>
      <c r="I455" s="142">
        <f>B455*IBGE_2!I$455/100</f>
        <v>0.05</v>
      </c>
      <c r="J455" s="142">
        <f>B455*IBGE_2!J$455/100</f>
        <v>0.02</v>
      </c>
      <c r="K455" s="142" t="s">
        <v>3047</v>
      </c>
      <c r="L455" s="142">
        <f>B455*IBGE_2!L$455/100</f>
        <v>13.34</v>
      </c>
      <c r="M455" s="142">
        <f>B455*IBGE_2!M$455/100</f>
        <v>1.8</v>
      </c>
      <c r="N455" s="142">
        <f>B455*IBGE_2!N$455/100</f>
        <v>37</v>
      </c>
      <c r="O455" s="142">
        <f>B455*IBGE_2!O$455/100</f>
        <v>12</v>
      </c>
      <c r="P455" s="142">
        <f>B455*IBGE_2!P$455/100</f>
        <v>0.04</v>
      </c>
      <c r="Q455" s="142">
        <f>B455*IBGE_2!Q$455/100</f>
        <v>20</v>
      </c>
      <c r="R455" s="142">
        <f>B455*IBGE_2!R$455/100</f>
        <v>0.15</v>
      </c>
      <c r="S455" s="142">
        <f>B455*IBGE_2!S$455/100</f>
        <v>2</v>
      </c>
      <c r="T455" s="142">
        <f>B455*IBGE_2!T$455/100</f>
        <v>166</v>
      </c>
      <c r="U455" s="142">
        <f>B455*IBGE_2!U$455/100</f>
        <v>0.04</v>
      </c>
      <c r="V455" s="142">
        <f>B455*IBGE_2!V$455/100</f>
        <v>7.0000000000000007E-2</v>
      </c>
      <c r="W455" s="142" t="s">
        <v>3047</v>
      </c>
      <c r="X455" s="142">
        <f>B455*IBGE_2!X$455/100</f>
        <v>0.06</v>
      </c>
      <c r="Y455" s="142">
        <f>B455*IBGE_2!Y$455/100</f>
        <v>0.04</v>
      </c>
      <c r="Z455" s="142">
        <f>B455*IBGE_2!Z$455/100</f>
        <v>0.08</v>
      </c>
      <c r="AA455" s="142">
        <f>B455*IBGE_2!AA$455/100</f>
        <v>0.38</v>
      </c>
      <c r="AB455" s="142">
        <f>B455*IBGE_2!AB$455/100</f>
        <v>26.7</v>
      </c>
      <c r="AC455" s="142">
        <f>B455*IBGE_2!AC$455/100</f>
        <v>0.41</v>
      </c>
      <c r="AD455" s="142" t="s">
        <v>3047</v>
      </c>
      <c r="AE455" s="142">
        <f>B455*IBGE_2!AE$455/100</f>
        <v>16</v>
      </c>
      <c r="AF455" s="142" t="s">
        <v>3047</v>
      </c>
      <c r="AG455" s="142">
        <f>B455*IBGE_2!AG$455/100</f>
        <v>0.2</v>
      </c>
      <c r="AH455" s="142" t="s">
        <v>3047</v>
      </c>
      <c r="AI455" s="142" t="s">
        <v>3047</v>
      </c>
      <c r="AJ455" s="142">
        <f>B455*IBGE_2!AJ$455/100</f>
        <v>0.1</v>
      </c>
      <c r="AK455" s="142">
        <f>B455*IBGE_2!AK$455/100</f>
        <v>34.08</v>
      </c>
      <c r="AL455" s="142">
        <f>B455*IBGE_2!AL$455/100</f>
        <v>10.58</v>
      </c>
      <c r="AM455" s="145" t="s">
        <v>3047</v>
      </c>
      <c r="AN455" s="161"/>
    </row>
    <row r="456" spans="1:40">
      <c r="A456" s="143" t="s">
        <v>1515</v>
      </c>
      <c r="B456" s="141">
        <v>100</v>
      </c>
      <c r="C456" s="142">
        <f>B456*IBGE_2!C$456/100</f>
        <v>53</v>
      </c>
      <c r="D456" s="142">
        <f>B456*IBGE_2!D$456/100</f>
        <v>0.81</v>
      </c>
      <c r="E456" s="142">
        <f>B456*IBGE_2!E$456/100</f>
        <v>0.31</v>
      </c>
      <c r="F456" s="142">
        <f>B456*IBGE_2!F$456/100</f>
        <v>0.04</v>
      </c>
      <c r="G456" s="142">
        <f>B456*IBGE_2!G$456/100</f>
        <v>0.06</v>
      </c>
      <c r="H456" s="142">
        <f>B456*IBGE_2!H$456/100</f>
        <v>7.0000000000000007E-2</v>
      </c>
      <c r="I456" s="142">
        <f>B456*IBGE_2!I$456/100</f>
        <v>0.05</v>
      </c>
      <c r="J456" s="142">
        <f>B456*IBGE_2!J$456/100</f>
        <v>0.02</v>
      </c>
      <c r="K456" s="142" t="s">
        <v>3047</v>
      </c>
      <c r="L456" s="142">
        <f>B456*IBGE_2!L$456/100</f>
        <v>13.34</v>
      </c>
      <c r="M456" s="142">
        <f>B456*IBGE_2!M$456/100</f>
        <v>1.8</v>
      </c>
      <c r="N456" s="142">
        <f>B456*IBGE_2!N$456/100</f>
        <v>37</v>
      </c>
      <c r="O456" s="142">
        <f>B456*IBGE_2!O$456/100</f>
        <v>12</v>
      </c>
      <c r="P456" s="142">
        <f>B456*IBGE_2!P$456/100</f>
        <v>0.04</v>
      </c>
      <c r="Q456" s="142">
        <f>B456*IBGE_2!Q$456/100</f>
        <v>20</v>
      </c>
      <c r="R456" s="142">
        <f>B456*IBGE_2!R$456/100</f>
        <v>0.15</v>
      </c>
      <c r="S456" s="142">
        <f>B456*IBGE_2!S$456/100</f>
        <v>2</v>
      </c>
      <c r="T456" s="142">
        <f>B456*IBGE_2!T$456/100</f>
        <v>166</v>
      </c>
      <c r="U456" s="142">
        <f>B456*IBGE_2!U$456/100</f>
        <v>0.04</v>
      </c>
      <c r="V456" s="142">
        <f>B456*IBGE_2!V$456/100</f>
        <v>7.0000000000000007E-2</v>
      </c>
      <c r="W456" s="142" t="s">
        <v>3047</v>
      </c>
      <c r="X456" s="142">
        <f>B456*IBGE_2!X$456/100</f>
        <v>0.06</v>
      </c>
      <c r="Y456" s="142">
        <f>B456*IBGE_2!Y$456/100</f>
        <v>0.04</v>
      </c>
      <c r="Z456" s="142">
        <f>B456*IBGE_2!Z$456/100</f>
        <v>0.08</v>
      </c>
      <c r="AA456" s="142">
        <f>B456*IBGE_2!AA$456/100</f>
        <v>0.38</v>
      </c>
      <c r="AB456" s="142">
        <f>B456*IBGE_2!AB$456/100</f>
        <v>26.7</v>
      </c>
      <c r="AC456" s="142">
        <f>B456*IBGE_2!AC$456/100</f>
        <v>0.41</v>
      </c>
      <c r="AD456" s="142" t="s">
        <v>3047</v>
      </c>
      <c r="AE456" s="142">
        <f>B456*IBGE_2!AE$456/100</f>
        <v>16</v>
      </c>
      <c r="AF456" s="142" t="s">
        <v>3047</v>
      </c>
      <c r="AG456" s="142">
        <f>B456*IBGE_2!AG$456/100</f>
        <v>0.2</v>
      </c>
      <c r="AH456" s="142" t="s">
        <v>3047</v>
      </c>
      <c r="AI456" s="142" t="s">
        <v>3047</v>
      </c>
      <c r="AJ456" s="142">
        <f>B456*IBGE_2!AJ$456/100</f>
        <v>0.1</v>
      </c>
      <c r="AK456" s="142">
        <f>B456*IBGE_2!AK$456/100</f>
        <v>34.08</v>
      </c>
      <c r="AL456" s="142">
        <f>B456*IBGE_2!AL$456/100</f>
        <v>10.58</v>
      </c>
      <c r="AM456" s="145" t="s">
        <v>3047</v>
      </c>
      <c r="AN456" s="161"/>
    </row>
    <row r="457" spans="1:40">
      <c r="A457" s="143" t="s">
        <v>1516</v>
      </c>
      <c r="B457" s="141">
        <v>100</v>
      </c>
      <c r="C457" s="142">
        <f>B457*IBGE_2!C$457/100</f>
        <v>53</v>
      </c>
      <c r="D457" s="142">
        <f>B457*IBGE_2!D$457/100</f>
        <v>0.81</v>
      </c>
      <c r="E457" s="142">
        <f>B457*IBGE_2!E$457/100</f>
        <v>0.31</v>
      </c>
      <c r="F457" s="142">
        <f>B457*IBGE_2!F$457/100</f>
        <v>0.04</v>
      </c>
      <c r="G457" s="142">
        <f>B457*IBGE_2!G$457/100</f>
        <v>0.06</v>
      </c>
      <c r="H457" s="142">
        <f>B457*IBGE_2!H$457/100</f>
        <v>7.0000000000000007E-2</v>
      </c>
      <c r="I457" s="142">
        <f>B457*IBGE_2!I$457/100</f>
        <v>0.05</v>
      </c>
      <c r="J457" s="142">
        <f>B457*IBGE_2!J$457/100</f>
        <v>0.02</v>
      </c>
      <c r="K457" s="142" t="s">
        <v>3047</v>
      </c>
      <c r="L457" s="142">
        <f>B457*IBGE_2!L$457/100</f>
        <v>13.34</v>
      </c>
      <c r="M457" s="142">
        <f>B457*IBGE_2!M$457/100</f>
        <v>1.8</v>
      </c>
      <c r="N457" s="142">
        <f>B457*IBGE_2!N$457/100</f>
        <v>37</v>
      </c>
      <c r="O457" s="142">
        <f>B457*IBGE_2!O$457/100</f>
        <v>12</v>
      </c>
      <c r="P457" s="142">
        <f>B457*IBGE_2!P$457/100</f>
        <v>0.04</v>
      </c>
      <c r="Q457" s="142">
        <f>B457*IBGE_2!Q$457/100</f>
        <v>20</v>
      </c>
      <c r="R457" s="142">
        <f>B457*IBGE_2!R$457/100</f>
        <v>0.15</v>
      </c>
      <c r="S457" s="142">
        <f>B457*IBGE_2!S$457/100</f>
        <v>2</v>
      </c>
      <c r="T457" s="142">
        <f>B457*IBGE_2!T$457/100</f>
        <v>166</v>
      </c>
      <c r="U457" s="142">
        <f>B457*IBGE_2!U$457/100</f>
        <v>0.04</v>
      </c>
      <c r="V457" s="142">
        <f>B457*IBGE_2!V$457/100</f>
        <v>7.0000000000000007E-2</v>
      </c>
      <c r="W457" s="142" t="s">
        <v>3047</v>
      </c>
      <c r="X457" s="142">
        <f>B457*IBGE_2!X$457/100</f>
        <v>0.06</v>
      </c>
      <c r="Y457" s="142">
        <f>B457*IBGE_2!Y$457/100</f>
        <v>0.04</v>
      </c>
      <c r="Z457" s="142">
        <f>B457*IBGE_2!Z$457/100</f>
        <v>0.08</v>
      </c>
      <c r="AA457" s="142">
        <f>B457*IBGE_2!AA$457/100</f>
        <v>0.38</v>
      </c>
      <c r="AB457" s="142">
        <f>B457*IBGE_2!AB$457/100</f>
        <v>26.7</v>
      </c>
      <c r="AC457" s="142">
        <f>B457*IBGE_2!AC$457/100</f>
        <v>0.41</v>
      </c>
      <c r="AD457" s="142" t="s">
        <v>3047</v>
      </c>
      <c r="AE457" s="142">
        <f>B457*IBGE_2!AE$457/100</f>
        <v>16</v>
      </c>
      <c r="AF457" s="142" t="s">
        <v>3047</v>
      </c>
      <c r="AG457" s="142">
        <f>B457*IBGE_2!AG$457/100</f>
        <v>0.2</v>
      </c>
      <c r="AH457" s="142" t="s">
        <v>3047</v>
      </c>
      <c r="AI457" s="142" t="s">
        <v>3047</v>
      </c>
      <c r="AJ457" s="142">
        <f>B457*IBGE_2!AJ$457/100</f>
        <v>0.1</v>
      </c>
      <c r="AK457" s="142">
        <f>B457*IBGE_2!AK$457/100</f>
        <v>34.08</v>
      </c>
      <c r="AL457" s="142">
        <f>B457*IBGE_2!AL$457/100</f>
        <v>10.58</v>
      </c>
      <c r="AM457" s="145" t="s">
        <v>3047</v>
      </c>
      <c r="AN457" s="161"/>
    </row>
    <row r="458" spans="1:40">
      <c r="A458" s="143" t="s">
        <v>1517</v>
      </c>
      <c r="B458" s="141">
        <v>100</v>
      </c>
      <c r="C458" s="142">
        <f>B458*IBGE_2!C$458/100</f>
        <v>53</v>
      </c>
      <c r="D458" s="142">
        <f>B458*IBGE_2!D$458/100</f>
        <v>0.81</v>
      </c>
      <c r="E458" s="142">
        <f>B458*IBGE_2!E$458/100</f>
        <v>0.31</v>
      </c>
      <c r="F458" s="142">
        <f>B458*IBGE_2!F$458/100</f>
        <v>0.04</v>
      </c>
      <c r="G458" s="142">
        <f>B458*IBGE_2!G$458/100</f>
        <v>0.06</v>
      </c>
      <c r="H458" s="142">
        <f>B458*IBGE_2!H$458/100</f>
        <v>7.0000000000000007E-2</v>
      </c>
      <c r="I458" s="142">
        <f>B458*IBGE_2!I$458/100</f>
        <v>0.05</v>
      </c>
      <c r="J458" s="142">
        <f>B458*IBGE_2!J$458/100</f>
        <v>0.02</v>
      </c>
      <c r="K458" s="142" t="s">
        <v>3047</v>
      </c>
      <c r="L458" s="142">
        <f>B458*IBGE_2!L$458/100</f>
        <v>13.34</v>
      </c>
      <c r="M458" s="142">
        <f>B458*IBGE_2!M$458/100</f>
        <v>1.8</v>
      </c>
      <c r="N458" s="142">
        <f>B458*IBGE_2!N$458/100</f>
        <v>37</v>
      </c>
      <c r="O458" s="142">
        <f>B458*IBGE_2!O$458/100</f>
        <v>12</v>
      </c>
      <c r="P458" s="142">
        <f>B458*IBGE_2!P$458/100</f>
        <v>0.04</v>
      </c>
      <c r="Q458" s="142">
        <f>B458*IBGE_2!Q$458/100</f>
        <v>20</v>
      </c>
      <c r="R458" s="142">
        <f>B458*IBGE_2!R$458/100</f>
        <v>0.15</v>
      </c>
      <c r="S458" s="142">
        <f>B458*IBGE_2!S$458/100</f>
        <v>2</v>
      </c>
      <c r="T458" s="142">
        <f>B458*IBGE_2!T$458/100</f>
        <v>166</v>
      </c>
      <c r="U458" s="142">
        <f>B458*IBGE_2!U$458/100</f>
        <v>0.04</v>
      </c>
      <c r="V458" s="142">
        <f>B458*IBGE_2!V$458/100</f>
        <v>7.0000000000000007E-2</v>
      </c>
      <c r="W458" s="142" t="s">
        <v>3047</v>
      </c>
      <c r="X458" s="142">
        <f>B458*IBGE_2!X$458/100</f>
        <v>0.06</v>
      </c>
      <c r="Y458" s="142">
        <f>B458*IBGE_2!Y$458/100</f>
        <v>0.04</v>
      </c>
      <c r="Z458" s="142">
        <f>B458*IBGE_2!Z$458/100</f>
        <v>0.08</v>
      </c>
      <c r="AA458" s="142">
        <f>B458*IBGE_2!AA$458/100</f>
        <v>0.38</v>
      </c>
      <c r="AB458" s="142">
        <f>B458*IBGE_2!AB$458/100</f>
        <v>26.7</v>
      </c>
      <c r="AC458" s="142">
        <f>B458*IBGE_2!AC$458/100</f>
        <v>0.41</v>
      </c>
      <c r="AD458" s="142" t="s">
        <v>3047</v>
      </c>
      <c r="AE458" s="142">
        <f>B458*IBGE_2!AE$458/100</f>
        <v>16</v>
      </c>
      <c r="AF458" s="142" t="s">
        <v>3047</v>
      </c>
      <c r="AG458" s="142">
        <f>B458*IBGE_2!AG$458/100</f>
        <v>0.2</v>
      </c>
      <c r="AH458" s="142" t="s">
        <v>3047</v>
      </c>
      <c r="AI458" s="142" t="s">
        <v>3047</v>
      </c>
      <c r="AJ458" s="142">
        <f>B458*IBGE_2!AJ$458/100</f>
        <v>0.1</v>
      </c>
      <c r="AK458" s="142">
        <f>B458*IBGE_2!AK$458/100</f>
        <v>34.08</v>
      </c>
      <c r="AL458" s="142">
        <f>B458*IBGE_2!AL$458/100</f>
        <v>10.58</v>
      </c>
      <c r="AM458" s="145" t="s">
        <v>3047</v>
      </c>
      <c r="AN458" s="161"/>
    </row>
    <row r="459" spans="1:40">
      <c r="A459" s="143" t="s">
        <v>1518</v>
      </c>
      <c r="B459" s="141">
        <v>100</v>
      </c>
      <c r="C459" s="142">
        <f>B459*IBGE_2!C$459/100</f>
        <v>47</v>
      </c>
      <c r="D459" s="142">
        <f>B459*IBGE_2!D$459/100</f>
        <v>0.94</v>
      </c>
      <c r="E459" s="142">
        <f>B459*IBGE_2!E$459/100</f>
        <v>0.12</v>
      </c>
      <c r="F459" s="142">
        <f>B459*IBGE_2!F$459/100</f>
        <v>0.02</v>
      </c>
      <c r="G459" s="142">
        <f>B459*IBGE_2!G$459/100</f>
        <v>0.02</v>
      </c>
      <c r="H459" s="142">
        <f>B459*IBGE_2!H$459/100</f>
        <v>0.03</v>
      </c>
      <c r="I459" s="142">
        <f>B459*IBGE_2!I$459/100</f>
        <v>0.02</v>
      </c>
      <c r="J459" s="142">
        <f>B459*IBGE_2!J$459/100</f>
        <v>0.01</v>
      </c>
      <c r="K459" s="142" t="s">
        <v>3047</v>
      </c>
      <c r="L459" s="142">
        <f>B459*IBGE_2!L$459/100</f>
        <v>11.75</v>
      </c>
      <c r="M459" s="142">
        <f>B459*IBGE_2!M$459/100</f>
        <v>2.35</v>
      </c>
      <c r="N459" s="142">
        <f>B459*IBGE_2!N$459/100</f>
        <v>40</v>
      </c>
      <c r="O459" s="142">
        <f>B459*IBGE_2!O$459/100</f>
        <v>10</v>
      </c>
      <c r="P459" s="142">
        <f>B459*IBGE_2!P$459/100</f>
        <v>0.03</v>
      </c>
      <c r="Q459" s="142">
        <f>B459*IBGE_2!Q$459/100</f>
        <v>14</v>
      </c>
      <c r="R459" s="142">
        <f>B459*IBGE_2!R$459/100</f>
        <v>0.1</v>
      </c>
      <c r="S459" s="142" t="s">
        <v>3047</v>
      </c>
      <c r="T459" s="142">
        <f>B459*IBGE_2!T$459/100</f>
        <v>181</v>
      </c>
      <c r="U459" s="142">
        <f>B459*IBGE_2!U$459/100</f>
        <v>0.05</v>
      </c>
      <c r="V459" s="142">
        <f>B459*IBGE_2!V$459/100</f>
        <v>7.0000000000000007E-2</v>
      </c>
      <c r="W459" s="142" t="s">
        <v>3047</v>
      </c>
      <c r="X459" s="142">
        <f>B459*IBGE_2!X$459/100</f>
        <v>0.09</v>
      </c>
      <c r="Y459" s="142">
        <f>B459*IBGE_2!Y$459/100</f>
        <v>0.04</v>
      </c>
      <c r="Z459" s="142">
        <f>B459*IBGE_2!Z$459/100</f>
        <v>0.06</v>
      </c>
      <c r="AA459" s="142">
        <f>B459*IBGE_2!AA$459/100</f>
        <v>0.28000000000000003</v>
      </c>
      <c r="AB459" s="142">
        <f>B459*IBGE_2!AB$459/100</f>
        <v>53.2</v>
      </c>
      <c r="AC459" s="142">
        <f>B459*IBGE_2!AC$459/100</f>
        <v>0.43</v>
      </c>
      <c r="AD459" s="142" t="s">
        <v>3047</v>
      </c>
      <c r="AE459" s="142">
        <f>B459*IBGE_2!AE$459/100</f>
        <v>30</v>
      </c>
      <c r="AF459" s="142" t="s">
        <v>3047</v>
      </c>
      <c r="AG459" s="142">
        <f>B459*IBGE_2!AG$459/100</f>
        <v>0.25</v>
      </c>
      <c r="AH459" s="142" t="s">
        <v>3047</v>
      </c>
      <c r="AI459" s="142" t="s">
        <v>3047</v>
      </c>
      <c r="AJ459" s="142">
        <f>B459*IBGE_2!AJ$459/100</f>
        <v>0.5</v>
      </c>
      <c r="AK459" s="142">
        <f>B459*IBGE_2!AK$459/100</f>
        <v>11.21</v>
      </c>
      <c r="AL459" s="142">
        <f>B459*IBGE_2!AL$459/100</f>
        <v>8.3699999999999992</v>
      </c>
      <c r="AM459" s="145" t="s">
        <v>3047</v>
      </c>
      <c r="AN459" s="161"/>
    </row>
    <row r="460" spans="1:40">
      <c r="A460" s="143" t="s">
        <v>1519</v>
      </c>
      <c r="B460" s="141">
        <v>100</v>
      </c>
      <c r="C460" s="142">
        <f>B460*IBGE_2!C$460/100</f>
        <v>73.58</v>
      </c>
      <c r="D460" s="142" t="s">
        <v>3047</v>
      </c>
      <c r="E460" s="142">
        <f>B460*IBGE_2!E$460/100</f>
        <v>0.05</v>
      </c>
      <c r="F460" s="142" t="s">
        <v>3047</v>
      </c>
      <c r="G460" s="142" t="s">
        <v>3047</v>
      </c>
      <c r="H460" s="142" t="s">
        <v>3047</v>
      </c>
      <c r="I460" s="142" t="s">
        <v>3047</v>
      </c>
      <c r="J460" s="142" t="s">
        <v>3047</v>
      </c>
      <c r="K460" s="142" t="s">
        <v>3047</v>
      </c>
      <c r="L460" s="142">
        <f>B460*IBGE_2!L$460/100</f>
        <v>19.97</v>
      </c>
      <c r="M460" s="142" t="s">
        <v>3047</v>
      </c>
      <c r="N460" s="142">
        <f>B460*IBGE_2!N$460/100</f>
        <v>5.6</v>
      </c>
      <c r="O460" s="142">
        <f>B460*IBGE_2!O$460/100</f>
        <v>1</v>
      </c>
      <c r="P460" s="142" t="s">
        <v>3047</v>
      </c>
      <c r="Q460" s="142" t="s">
        <v>3047</v>
      </c>
      <c r="R460" s="142" t="s">
        <v>3047</v>
      </c>
      <c r="S460" s="142">
        <f>B460*IBGE_2!S$460/100</f>
        <v>18.34</v>
      </c>
      <c r="T460" s="142">
        <f>B460*IBGE_2!T$460/100</f>
        <v>1</v>
      </c>
      <c r="U460" s="142">
        <f>B460*IBGE_2!U$460/100</f>
        <v>0.01</v>
      </c>
      <c r="V460" s="142">
        <f>B460*IBGE_2!V$460/100</f>
        <v>0.11</v>
      </c>
      <c r="W460" s="142" t="s">
        <v>3047</v>
      </c>
      <c r="X460" s="142">
        <f>B460*IBGE_2!X$460/100</f>
        <v>0.02</v>
      </c>
      <c r="Y460" s="142" t="s">
        <v>3047</v>
      </c>
      <c r="Z460" s="142" t="s">
        <v>3047</v>
      </c>
      <c r="AA460" s="142" t="s">
        <v>3047</v>
      </c>
      <c r="AB460" s="142" t="s">
        <v>3047</v>
      </c>
      <c r="AC460" s="142" t="s">
        <v>3047</v>
      </c>
      <c r="AD460" s="142" t="s">
        <v>3047</v>
      </c>
      <c r="AE460" s="145" t="s">
        <v>3047</v>
      </c>
      <c r="AF460" s="142" t="s">
        <v>3047</v>
      </c>
      <c r="AG460" s="145" t="s">
        <v>3047</v>
      </c>
      <c r="AH460" s="142" t="s">
        <v>3047</v>
      </c>
      <c r="AI460" s="142" t="s">
        <v>3047</v>
      </c>
      <c r="AJ460" s="142">
        <f>B460*IBGE_2!AJ$460/100</f>
        <v>0.18</v>
      </c>
      <c r="AK460" s="145" t="s">
        <v>3047</v>
      </c>
      <c r="AL460" s="142">
        <f>B460*IBGE_2!AL$460/100</f>
        <v>9.83</v>
      </c>
      <c r="AM460" s="142">
        <f>B460*IBGE_2!AM$460/100</f>
        <v>19.97</v>
      </c>
      <c r="AN460" s="161"/>
    </row>
    <row r="461" spans="1:40">
      <c r="A461" s="143" t="s">
        <v>1520</v>
      </c>
      <c r="B461" s="141">
        <v>100</v>
      </c>
      <c r="C461" s="142">
        <f>B461*IBGE_2!C$461/100</f>
        <v>48</v>
      </c>
      <c r="D461" s="142">
        <f>B461*IBGE_2!D$461/100</f>
        <v>0.54</v>
      </c>
      <c r="E461" s="142">
        <f>B461*IBGE_2!E$461/100</f>
        <v>0.12</v>
      </c>
      <c r="F461" s="142">
        <f>B461*IBGE_2!F$461/100</f>
        <v>0.01</v>
      </c>
      <c r="G461" s="142">
        <f>B461*IBGE_2!G$461/100</f>
        <v>0.01</v>
      </c>
      <c r="H461" s="142">
        <f>B461*IBGE_2!H$461/100</f>
        <v>0.04</v>
      </c>
      <c r="I461" s="142">
        <f>B461*IBGE_2!I$461/100</f>
        <v>0.02</v>
      </c>
      <c r="J461" s="142">
        <f>B461*IBGE_2!J$461/100</f>
        <v>0.02</v>
      </c>
      <c r="K461" s="142" t="s">
        <v>3047</v>
      </c>
      <c r="L461" s="142">
        <f>B461*IBGE_2!L$461/100</f>
        <v>12.63</v>
      </c>
      <c r="M461" s="142">
        <f>B461*IBGE_2!M$461/100</f>
        <v>1.4</v>
      </c>
      <c r="N461" s="142">
        <f>B461*IBGE_2!N$461/100</f>
        <v>13</v>
      </c>
      <c r="O461" s="142">
        <f>B461*IBGE_2!O$461/100</f>
        <v>12</v>
      </c>
      <c r="P461" s="142">
        <f>B461*IBGE_2!P$461/100</f>
        <v>1.18</v>
      </c>
      <c r="Q461" s="142">
        <f>B461*IBGE_2!Q$461/100</f>
        <v>8</v>
      </c>
      <c r="R461" s="142">
        <f>B461*IBGE_2!R$461/100</f>
        <v>0.28000000000000003</v>
      </c>
      <c r="S461" s="142">
        <f>B461*IBGE_2!S$461/100</f>
        <v>1</v>
      </c>
      <c r="T461" s="142">
        <f>B461*IBGE_2!T$461/100</f>
        <v>115</v>
      </c>
      <c r="U461" s="142">
        <f>B461*IBGE_2!U$461/100</f>
        <v>0.1</v>
      </c>
      <c r="V461" s="142">
        <f>B461*IBGE_2!V$461/100</f>
        <v>0.1</v>
      </c>
      <c r="W461" s="142">
        <f>B461*IBGE_2!W$461/100</f>
        <v>5.67</v>
      </c>
      <c r="X461" s="142">
        <f>B461*IBGE_2!X$461/100</f>
        <v>0.08</v>
      </c>
      <c r="Y461" s="142">
        <f>B461*IBGE_2!Y$461/100</f>
        <v>0.03</v>
      </c>
      <c r="Z461" s="142">
        <f>B461*IBGE_2!Z$461/100</f>
        <v>0.11</v>
      </c>
      <c r="AA461" s="142">
        <f>B461*IBGE_2!AA$461/100</f>
        <v>0.49</v>
      </c>
      <c r="AB461" s="142">
        <f>B461*IBGE_2!AB$461/100</f>
        <v>36.200000000000003</v>
      </c>
      <c r="AC461" s="142">
        <f>B461*IBGE_2!AC$461/100</f>
        <v>0.56999999999999995</v>
      </c>
      <c r="AD461" s="142" t="s">
        <v>3047</v>
      </c>
      <c r="AE461" s="142">
        <f>B461*IBGE_2!AE$461/100</f>
        <v>15</v>
      </c>
      <c r="AF461" s="142" t="s">
        <v>3047</v>
      </c>
      <c r="AG461" s="142">
        <f>B461*IBGE_2!AG$461/100</f>
        <v>0.02</v>
      </c>
      <c r="AH461" s="142" t="s">
        <v>3047</v>
      </c>
      <c r="AI461" s="142" t="s">
        <v>3047</v>
      </c>
      <c r="AJ461" s="142">
        <f>B461*IBGE_2!AJ$461/100</f>
        <v>0.1</v>
      </c>
      <c r="AK461" s="142">
        <f>B461*IBGE_2!AK$461/100</f>
        <v>2.83</v>
      </c>
      <c r="AL461" s="142">
        <f>B461*IBGE_2!AL$461/100</f>
        <v>9.26</v>
      </c>
      <c r="AM461" s="145" t="s">
        <v>3047</v>
      </c>
      <c r="AN461" s="161"/>
    </row>
    <row r="462" spans="1:40">
      <c r="A462" s="143" t="s">
        <v>1522</v>
      </c>
      <c r="B462" s="141">
        <v>100</v>
      </c>
      <c r="C462" s="142">
        <f>B462*IBGE_2!C$462/100</f>
        <v>48</v>
      </c>
      <c r="D462" s="142">
        <f>B462*IBGE_2!D$462/100</f>
        <v>0.54</v>
      </c>
      <c r="E462" s="142">
        <f>B462*IBGE_2!E$462/100</f>
        <v>0.12</v>
      </c>
      <c r="F462" s="142">
        <f>B462*IBGE_2!F$462/100</f>
        <v>0.01</v>
      </c>
      <c r="G462" s="142">
        <f>B462*IBGE_2!G$462/100</f>
        <v>0.01</v>
      </c>
      <c r="H462" s="142">
        <f>B462*IBGE_2!H$462/100</f>
        <v>0.04</v>
      </c>
      <c r="I462" s="142">
        <f>B462*IBGE_2!I$462/100</f>
        <v>0.02</v>
      </c>
      <c r="J462" s="142">
        <f>B462*IBGE_2!J$462/100</f>
        <v>0.02</v>
      </c>
      <c r="K462" s="142" t="s">
        <v>3047</v>
      </c>
      <c r="L462" s="142">
        <f>B462*IBGE_2!L$462/100</f>
        <v>12.63</v>
      </c>
      <c r="M462" s="142">
        <f>B462*IBGE_2!M$462/100</f>
        <v>1.4</v>
      </c>
      <c r="N462" s="142">
        <f>B462*IBGE_2!N$462/100</f>
        <v>13</v>
      </c>
      <c r="O462" s="142">
        <f>B462*IBGE_2!O$462/100</f>
        <v>12</v>
      </c>
      <c r="P462" s="142">
        <f>B462*IBGE_2!P$462/100</f>
        <v>1.18</v>
      </c>
      <c r="Q462" s="142">
        <f>B462*IBGE_2!Q$462/100</f>
        <v>8</v>
      </c>
      <c r="R462" s="142">
        <f>B462*IBGE_2!R$462/100</f>
        <v>0.28000000000000003</v>
      </c>
      <c r="S462" s="142">
        <f>B462*IBGE_2!S$462/100</f>
        <v>1</v>
      </c>
      <c r="T462" s="142">
        <f>B462*IBGE_2!T$462/100</f>
        <v>115</v>
      </c>
      <c r="U462" s="142">
        <f>B462*IBGE_2!U$462/100</f>
        <v>0.1</v>
      </c>
      <c r="V462" s="142">
        <f>B462*IBGE_2!V$462/100</f>
        <v>0.1</v>
      </c>
      <c r="W462" s="142">
        <f>B462*IBGE_2!W$462/100</f>
        <v>5.67</v>
      </c>
      <c r="X462" s="142">
        <f>B462*IBGE_2!X$462/100</f>
        <v>0.08</v>
      </c>
      <c r="Y462" s="142">
        <f>B462*IBGE_2!Y$462/100</f>
        <v>0.03</v>
      </c>
      <c r="Z462" s="142">
        <f>B462*IBGE_2!Z$462/100</f>
        <v>0.11</v>
      </c>
      <c r="AA462" s="142">
        <f>B462*IBGE_2!AA$462/100</f>
        <v>0.49</v>
      </c>
      <c r="AB462" s="142">
        <f>B462*IBGE_2!AB$462/100</f>
        <v>36.200000000000003</v>
      </c>
      <c r="AC462" s="142">
        <f>B462*IBGE_2!AC$462/100</f>
        <v>0.56999999999999995</v>
      </c>
      <c r="AD462" s="142" t="s">
        <v>3047</v>
      </c>
      <c r="AE462" s="142">
        <f>B462*IBGE_2!AE$462/100</f>
        <v>15</v>
      </c>
      <c r="AF462" s="142" t="s">
        <v>3047</v>
      </c>
      <c r="AG462" s="142">
        <f>B462*IBGE_2!AG$462/100</f>
        <v>0.02</v>
      </c>
      <c r="AH462" s="142" t="s">
        <v>3047</v>
      </c>
      <c r="AI462" s="142" t="s">
        <v>3047</v>
      </c>
      <c r="AJ462" s="142">
        <f>B462*IBGE_2!AJ$462/100</f>
        <v>0.1</v>
      </c>
      <c r="AK462" s="142">
        <f>B462*IBGE_2!AK$462/100</f>
        <v>2.83</v>
      </c>
      <c r="AL462" s="142">
        <f>B462*IBGE_2!AL$462/100</f>
        <v>9.26</v>
      </c>
      <c r="AM462" s="145" t="s">
        <v>3047</v>
      </c>
      <c r="AN462" s="161"/>
    </row>
    <row r="463" spans="1:40">
      <c r="A463" s="143" t="s">
        <v>1523</v>
      </c>
      <c r="B463" s="141">
        <v>100</v>
      </c>
      <c r="C463" s="142">
        <f>B463*IBGE_2!C$463/100</f>
        <v>120</v>
      </c>
      <c r="D463" s="142">
        <f>B463*IBGE_2!D$463/100</f>
        <v>2.23</v>
      </c>
      <c r="E463" s="142">
        <f>B463*IBGE_2!E$463/100</f>
        <v>10.06</v>
      </c>
      <c r="F463" s="142">
        <f>B463*IBGE_2!F$463/100</f>
        <v>1.96</v>
      </c>
      <c r="G463" s="142">
        <f>B463*IBGE_2!G$463/100</f>
        <v>5.51</v>
      </c>
      <c r="H463" s="142">
        <f>B463*IBGE_2!H$463/100</f>
        <v>1.68</v>
      </c>
      <c r="I463" s="142">
        <f>B463*IBGE_2!I$463/100</f>
        <v>1.58</v>
      </c>
      <c r="J463" s="142">
        <f>B463*IBGE_2!J$463/100</f>
        <v>0.1</v>
      </c>
      <c r="K463" s="142" t="s">
        <v>3047</v>
      </c>
      <c r="L463" s="142">
        <f>B463*IBGE_2!L$463/100</f>
        <v>7.82</v>
      </c>
      <c r="M463" s="142">
        <f>B463*IBGE_2!M$463/100</f>
        <v>5.6</v>
      </c>
      <c r="N463" s="142">
        <f>B463*IBGE_2!N$463/100</f>
        <v>10</v>
      </c>
      <c r="O463" s="142">
        <f>B463*IBGE_2!O$463/100</f>
        <v>24</v>
      </c>
      <c r="P463" s="142">
        <f>B463*IBGE_2!P$463/100</f>
        <v>0.1</v>
      </c>
      <c r="Q463" s="142">
        <f>B463*IBGE_2!Q$463/100</f>
        <v>40</v>
      </c>
      <c r="R463" s="142">
        <f>B463*IBGE_2!R$463/100</f>
        <v>0.17</v>
      </c>
      <c r="S463" s="142">
        <f>B463*IBGE_2!S$463/100</f>
        <v>2</v>
      </c>
      <c r="T463" s="142">
        <f>B463*IBGE_2!T$463/100</f>
        <v>351</v>
      </c>
      <c r="U463" s="142">
        <f>B463*IBGE_2!U$463/100</f>
        <v>0.31</v>
      </c>
      <c r="V463" s="142">
        <f>B463*IBGE_2!V$463/100</f>
        <v>0.4</v>
      </c>
      <c r="W463" s="142" t="s">
        <v>3047</v>
      </c>
      <c r="X463" s="142">
        <f>B463*IBGE_2!X$463/100</f>
        <v>0.02</v>
      </c>
      <c r="Y463" s="142">
        <f>B463*IBGE_2!Y$463/100</f>
        <v>0.05</v>
      </c>
      <c r="Z463" s="142">
        <f>B463*IBGE_2!Z$463/100</f>
        <v>0.08</v>
      </c>
      <c r="AA463" s="142">
        <f>B463*IBGE_2!AA$463/100</f>
        <v>0.67</v>
      </c>
      <c r="AB463" s="142">
        <f>B463*IBGE_2!AB$463/100</f>
        <v>17.399999999999999</v>
      </c>
      <c r="AC463" s="142">
        <f>B463*IBGE_2!AC$463/100</f>
        <v>1.1399999999999999</v>
      </c>
      <c r="AD463" s="142" t="s">
        <v>3047</v>
      </c>
      <c r="AE463" s="142">
        <f>B463*IBGE_2!AE$463/100</f>
        <v>35</v>
      </c>
      <c r="AF463" s="142" t="s">
        <v>3047</v>
      </c>
      <c r="AG463" s="142">
        <f>B463*IBGE_2!AG$463/100</f>
        <v>2.66</v>
      </c>
      <c r="AH463" s="142" t="s">
        <v>3047</v>
      </c>
      <c r="AI463" s="142" t="s">
        <v>3047</v>
      </c>
      <c r="AJ463" s="142">
        <f>B463*IBGE_2!AJ$463/100</f>
        <v>0.4</v>
      </c>
      <c r="AK463" s="142">
        <f>B463*IBGE_2!AK$463/100</f>
        <v>7.04</v>
      </c>
      <c r="AL463" s="142">
        <f>B463*IBGE_2!AL$463/100</f>
        <v>2.42</v>
      </c>
      <c r="AM463" s="145" t="s">
        <v>3047</v>
      </c>
      <c r="AN463" s="161"/>
    </row>
    <row r="464" spans="1:40">
      <c r="A464" s="143" t="s">
        <v>1524</v>
      </c>
      <c r="B464" s="141">
        <v>100</v>
      </c>
      <c r="C464" s="142">
        <f>B464*IBGE_2!C$464/100</f>
        <v>70</v>
      </c>
      <c r="D464" s="142">
        <f>B464*IBGE_2!D$464/100</f>
        <v>0.57999999999999996</v>
      </c>
      <c r="E464" s="142">
        <f>B464*IBGE_2!E$464/100</f>
        <v>0.19</v>
      </c>
      <c r="F464" s="142">
        <f>B464*IBGE_2!F$464/100</f>
        <v>0.02</v>
      </c>
      <c r="G464" s="142">
        <f>B464*IBGE_2!G$464/100</f>
        <v>0.04</v>
      </c>
      <c r="H464" s="142">
        <f>B464*IBGE_2!H$464/100</f>
        <v>0.04</v>
      </c>
      <c r="I464" s="142">
        <f>B464*IBGE_2!I$464/100</f>
        <v>0.04</v>
      </c>
      <c r="J464" s="142" t="s">
        <v>3047</v>
      </c>
      <c r="K464" s="142" t="s">
        <v>3047</v>
      </c>
      <c r="L464" s="142">
        <f>B464*IBGE_2!L$464/100</f>
        <v>18.59</v>
      </c>
      <c r="M464" s="142">
        <f>B464*IBGE_2!M$464/100</f>
        <v>3.6</v>
      </c>
      <c r="N464" s="142">
        <f>B464*IBGE_2!N$464/100</f>
        <v>8</v>
      </c>
      <c r="O464" s="142">
        <f>B464*IBGE_2!O$464/100</f>
        <v>9</v>
      </c>
      <c r="P464" s="142">
        <f>B464*IBGE_2!P$464/100</f>
        <v>0.36</v>
      </c>
      <c r="Q464" s="142">
        <f>B464*IBGE_2!Q$464/100</f>
        <v>17</v>
      </c>
      <c r="R464" s="142">
        <f>B464*IBGE_2!R$464/100</f>
        <v>0.15</v>
      </c>
      <c r="S464" s="142">
        <f>B464*IBGE_2!S$464/100</f>
        <v>1</v>
      </c>
      <c r="T464" s="142">
        <f>B464*IBGE_2!T$464/100</f>
        <v>161</v>
      </c>
      <c r="U464" s="142">
        <f>B464*IBGE_2!U$464/100</f>
        <v>0.11</v>
      </c>
      <c r="V464" s="142">
        <f>B464*IBGE_2!V$464/100</f>
        <v>0.11</v>
      </c>
      <c r="W464" s="142" t="s">
        <v>3047</v>
      </c>
      <c r="X464" s="142">
        <f>B464*IBGE_2!X$464/100</f>
        <v>0.03</v>
      </c>
      <c r="Y464" s="142">
        <f>B464*IBGE_2!Y$464/100</f>
        <v>0.02</v>
      </c>
      <c r="Z464" s="142">
        <f>B464*IBGE_2!Z$464/100</f>
        <v>0.1</v>
      </c>
      <c r="AA464" s="142">
        <f>B464*IBGE_2!AA$464/100</f>
        <v>0.1</v>
      </c>
      <c r="AB464" s="142">
        <f>B464*IBGE_2!AB$464/100</f>
        <v>7.5</v>
      </c>
      <c r="AC464" s="142">
        <f>B464*IBGE_2!AC$464/100</f>
        <v>0.27</v>
      </c>
      <c r="AD464" s="142" t="s">
        <v>3047</v>
      </c>
      <c r="AE464" s="142">
        <f>B464*IBGE_2!AE$464/100</f>
        <v>8</v>
      </c>
      <c r="AF464" s="142" t="s">
        <v>3047</v>
      </c>
      <c r="AG464" s="142">
        <f>B464*IBGE_2!AG$464/100</f>
        <v>0.73</v>
      </c>
      <c r="AH464" s="142" t="s">
        <v>3047</v>
      </c>
      <c r="AI464" s="142" t="s">
        <v>3047</v>
      </c>
      <c r="AJ464" s="142">
        <f>B464*IBGE_2!AJ$464/100</f>
        <v>0.6</v>
      </c>
      <c r="AK464" s="142">
        <f>B464*IBGE_2!AK$464/100</f>
        <v>81.38</v>
      </c>
      <c r="AL464" s="142">
        <f>B464*IBGE_2!AL$464/100</f>
        <v>12.54</v>
      </c>
      <c r="AM464" s="145" t="s">
        <v>3047</v>
      </c>
      <c r="AN464" s="161"/>
    </row>
    <row r="465" spans="1:40">
      <c r="A465" s="143" t="s">
        <v>1525</v>
      </c>
      <c r="B465" s="141">
        <v>100</v>
      </c>
      <c r="C465" s="142">
        <f>B465*IBGE_2!C$465/100</f>
        <v>74</v>
      </c>
      <c r="D465" s="142">
        <f>B465*IBGE_2!D$465/100</f>
        <v>0.75</v>
      </c>
      <c r="E465" s="142">
        <f>B465*IBGE_2!E$465/100</f>
        <v>0.3</v>
      </c>
      <c r="F465" s="142">
        <f>B465*IBGE_2!F$465/100</f>
        <v>0.06</v>
      </c>
      <c r="G465" s="142">
        <f>B465*IBGE_2!G$465/100</f>
        <v>7.0000000000000007E-2</v>
      </c>
      <c r="H465" s="142">
        <f>B465*IBGE_2!H$465/100</f>
        <v>0.14000000000000001</v>
      </c>
      <c r="I465" s="142">
        <f>B465*IBGE_2!I$465/100</f>
        <v>0.14000000000000001</v>
      </c>
      <c r="J465" s="142" t="s">
        <v>3047</v>
      </c>
      <c r="K465" s="142" t="s">
        <v>3047</v>
      </c>
      <c r="L465" s="142">
        <f>B465*IBGE_2!L$465/100</f>
        <v>19.18</v>
      </c>
      <c r="M465" s="142">
        <f>B465*IBGE_2!M$465/100</f>
        <v>2.9</v>
      </c>
      <c r="N465" s="142">
        <f>B465*IBGE_2!N$465/100</f>
        <v>35</v>
      </c>
      <c r="O465" s="142">
        <f>B465*IBGE_2!O$465/100</f>
        <v>17</v>
      </c>
      <c r="P465" s="142">
        <f>B465*IBGE_2!P$465/100</f>
        <v>0.13</v>
      </c>
      <c r="Q465" s="142">
        <f>B465*IBGE_2!Q$465/100</f>
        <v>14</v>
      </c>
      <c r="R465" s="142">
        <f>B465*IBGE_2!R$465/100</f>
        <v>0.37</v>
      </c>
      <c r="S465" s="142">
        <f>B465*IBGE_2!S$465/100</f>
        <v>1</v>
      </c>
      <c r="T465" s="142">
        <f>B465*IBGE_2!T$465/100</f>
        <v>232</v>
      </c>
      <c r="U465" s="142">
        <f>B465*IBGE_2!U$465/100</f>
        <v>7.0000000000000007E-2</v>
      </c>
      <c r="V465" s="142">
        <f>B465*IBGE_2!V$465/100</f>
        <v>0.15</v>
      </c>
      <c r="W465" s="142" t="s">
        <v>3047</v>
      </c>
      <c r="X465" s="142">
        <f>B465*IBGE_2!X$465/100</f>
        <v>0.06</v>
      </c>
      <c r="Y465" s="142">
        <f>B465*IBGE_2!Y$465/100</f>
        <v>0.05</v>
      </c>
      <c r="Z465" s="142">
        <f>B465*IBGE_2!Z$465/100</f>
        <v>0.11</v>
      </c>
      <c r="AA465" s="142">
        <f>B465*IBGE_2!AA$465/100</f>
        <v>0.4</v>
      </c>
      <c r="AB465" s="142">
        <f>B465*IBGE_2!AB$465/100</f>
        <v>2</v>
      </c>
      <c r="AC465" s="142">
        <f>B465*IBGE_2!AC$465/100</f>
        <v>0.5</v>
      </c>
      <c r="AD465" s="142" t="s">
        <v>3047</v>
      </c>
      <c r="AE465" s="142">
        <f>B465*IBGE_2!AE$465/100</f>
        <v>6</v>
      </c>
      <c r="AF465" s="142" t="s">
        <v>3047</v>
      </c>
      <c r="AG465" s="142">
        <f>B465*IBGE_2!AG$465/100</f>
        <v>0.11</v>
      </c>
      <c r="AH465" s="142" t="s">
        <v>3047</v>
      </c>
      <c r="AI465" s="142" t="s">
        <v>3047</v>
      </c>
      <c r="AJ465" s="142">
        <f>B465*IBGE_2!AJ$465/100</f>
        <v>0.2</v>
      </c>
      <c r="AK465" s="142">
        <f>B465*IBGE_2!AK$465/100</f>
        <v>7.08</v>
      </c>
      <c r="AL465" s="142">
        <f>B465*IBGE_2!AL$465/100</f>
        <v>6.9</v>
      </c>
      <c r="AM465" s="145" t="s">
        <v>3047</v>
      </c>
      <c r="AN465" s="161"/>
    </row>
    <row r="466" spans="1:40">
      <c r="A466" s="143" t="s">
        <v>1526</v>
      </c>
      <c r="B466" s="141">
        <v>100</v>
      </c>
      <c r="C466" s="142">
        <f>B466*IBGE_2!C$466/100</f>
        <v>52</v>
      </c>
      <c r="D466" s="142">
        <f>B466*IBGE_2!D$466/100</f>
        <v>0.26</v>
      </c>
      <c r="E466" s="142">
        <f>B466*IBGE_2!E$466/100</f>
        <v>0.17</v>
      </c>
      <c r="F466" s="142">
        <f>B466*IBGE_2!F$466/100</f>
        <v>0.03</v>
      </c>
      <c r="G466" s="142">
        <f>B466*IBGE_2!G$466/100</f>
        <v>0.01</v>
      </c>
      <c r="H466" s="142">
        <f>B466*IBGE_2!H$466/100</f>
        <v>0.05</v>
      </c>
      <c r="I466" s="142">
        <f>B466*IBGE_2!I$466/100</f>
        <v>0.04</v>
      </c>
      <c r="J466" s="142">
        <f>B466*IBGE_2!J$466/100</f>
        <v>0.01</v>
      </c>
      <c r="K466" s="142" t="s">
        <v>3047</v>
      </c>
      <c r="L466" s="142">
        <f>B466*IBGE_2!L$466/100</f>
        <v>13.81</v>
      </c>
      <c r="M466" s="142">
        <f>B466*IBGE_2!M$466/100</f>
        <v>2.4</v>
      </c>
      <c r="N466" s="142">
        <f>B466*IBGE_2!N$466/100</f>
        <v>6</v>
      </c>
      <c r="O466" s="142">
        <f>B466*IBGE_2!O$466/100</f>
        <v>5</v>
      </c>
      <c r="P466" s="142">
        <f>B466*IBGE_2!P$466/100</f>
        <v>0.04</v>
      </c>
      <c r="Q466" s="142">
        <f>B466*IBGE_2!Q$466/100</f>
        <v>11</v>
      </c>
      <c r="R466" s="142">
        <f>B466*IBGE_2!R$466/100</f>
        <v>0.12</v>
      </c>
      <c r="S466" s="142">
        <f>B466*IBGE_2!S$466/100</f>
        <v>1</v>
      </c>
      <c r="T466" s="142">
        <f>B466*IBGE_2!T$466/100</f>
        <v>107</v>
      </c>
      <c r="U466" s="142">
        <f>B466*IBGE_2!U$466/100</f>
        <v>0.03</v>
      </c>
      <c r="V466" s="142">
        <f>B466*IBGE_2!V$466/100</f>
        <v>0.04</v>
      </c>
      <c r="W466" s="142" t="s">
        <v>3047</v>
      </c>
      <c r="X466" s="142">
        <f>B466*IBGE_2!X$466/100</f>
        <v>0.02</v>
      </c>
      <c r="Y466" s="142">
        <f>B466*IBGE_2!Y$466/100</f>
        <v>0.03</v>
      </c>
      <c r="Z466" s="142">
        <f>B466*IBGE_2!Z$466/100</f>
        <v>0.04</v>
      </c>
      <c r="AA466" s="142">
        <f>B466*IBGE_2!AA$466/100</f>
        <v>0.09</v>
      </c>
      <c r="AB466" s="142">
        <f>B466*IBGE_2!AB$466/100</f>
        <v>4.5999999999999996</v>
      </c>
      <c r="AC466" s="142">
        <f>B466*IBGE_2!AC$466/100</f>
        <v>0.11</v>
      </c>
      <c r="AD466" s="142" t="s">
        <v>3047</v>
      </c>
      <c r="AE466" s="142">
        <f>B466*IBGE_2!AE$466/100</f>
        <v>3</v>
      </c>
      <c r="AF466" s="142" t="s">
        <v>3047</v>
      </c>
      <c r="AG466" s="142">
        <f>B466*IBGE_2!AG$466/100</f>
        <v>0.21</v>
      </c>
      <c r="AH466" s="142" t="s">
        <v>3047</v>
      </c>
      <c r="AI466" s="142" t="s">
        <v>3047</v>
      </c>
      <c r="AJ466" s="145" t="s">
        <v>3047</v>
      </c>
      <c r="AK466" s="142">
        <f>B466*IBGE_2!AK$466/100</f>
        <v>2.71</v>
      </c>
      <c r="AL466" s="142">
        <f>B466*IBGE_2!AL$466/100</f>
        <v>10.4</v>
      </c>
      <c r="AM466" s="145" t="s">
        <v>3047</v>
      </c>
      <c r="AN466" s="161"/>
    </row>
    <row r="467" spans="1:40">
      <c r="A467" s="143" t="s">
        <v>1527</v>
      </c>
      <c r="B467" s="141">
        <v>100</v>
      </c>
      <c r="C467" s="142">
        <f>B467*IBGE_2!C$467/100</f>
        <v>39</v>
      </c>
      <c r="D467" s="142">
        <f>B467*IBGE_2!D$467/100</f>
        <v>0.61</v>
      </c>
      <c r="E467" s="142">
        <f>B467*IBGE_2!E$467/100</f>
        <v>0.14000000000000001</v>
      </c>
      <c r="F467" s="142">
        <f>B467*IBGE_2!F$467/100</f>
        <v>0.04</v>
      </c>
      <c r="G467" s="142">
        <f>B467*IBGE_2!G$467/100</f>
        <v>0.04</v>
      </c>
      <c r="H467" s="142">
        <f>B467*IBGE_2!H$467/100</f>
        <v>0.03</v>
      </c>
      <c r="I467" s="142">
        <f>B467*IBGE_2!I$467/100</f>
        <v>0.01</v>
      </c>
      <c r="J467" s="142">
        <f>B467*IBGE_2!J$467/100</f>
        <v>0.03</v>
      </c>
      <c r="K467" s="142" t="s">
        <v>3047</v>
      </c>
      <c r="L467" s="142">
        <f>B467*IBGE_2!L$467/100</f>
        <v>9.81</v>
      </c>
      <c r="M467" s="142">
        <f>B467*IBGE_2!M$467/100</f>
        <v>1.8</v>
      </c>
      <c r="N467" s="142">
        <f>B467*IBGE_2!N$467/100</f>
        <v>24</v>
      </c>
      <c r="O467" s="142">
        <f>B467*IBGE_2!O$467/100</f>
        <v>10</v>
      </c>
      <c r="P467" s="142">
        <f>B467*IBGE_2!P$467/100</f>
        <v>0.01</v>
      </c>
      <c r="Q467" s="142">
        <f>B467*IBGE_2!Q$467/100</f>
        <v>5</v>
      </c>
      <c r="R467" s="142">
        <f>B467*IBGE_2!R$467/100</f>
        <v>0.1</v>
      </c>
      <c r="S467" s="142">
        <f>B467*IBGE_2!S$467/100</f>
        <v>3</v>
      </c>
      <c r="T467" s="142">
        <f>B467*IBGE_2!T$467/100</f>
        <v>257</v>
      </c>
      <c r="U467" s="142">
        <f>B467*IBGE_2!U$467/100</f>
        <v>0.02</v>
      </c>
      <c r="V467" s="142">
        <f>B467*IBGE_2!V$467/100</f>
        <v>7.0000000000000007E-2</v>
      </c>
      <c r="W467" s="142" t="s">
        <v>3047</v>
      </c>
      <c r="X467" s="142">
        <f>B467*IBGE_2!X$467/100</f>
        <v>0.03</v>
      </c>
      <c r="Y467" s="142">
        <f>B467*IBGE_2!Y$467/100</f>
        <v>0.03</v>
      </c>
      <c r="Z467" s="142">
        <f>B467*IBGE_2!Z$467/100</f>
        <v>0.02</v>
      </c>
      <c r="AA467" s="142">
        <f>B467*IBGE_2!AA$467/100</f>
        <v>0.34</v>
      </c>
      <c r="AB467" s="142">
        <f>B467*IBGE_2!AB$467/100</f>
        <v>61.8</v>
      </c>
      <c r="AC467" s="142">
        <f>B467*IBGE_2!AC$467/100</f>
        <v>0.47</v>
      </c>
      <c r="AD467" s="142" t="s">
        <v>3047</v>
      </c>
      <c r="AE467" s="142">
        <f>B467*IBGE_2!AE$467/100</f>
        <v>38</v>
      </c>
      <c r="AF467" s="142" t="s">
        <v>3047</v>
      </c>
      <c r="AG467" s="142">
        <f>B467*IBGE_2!AG$467/100</f>
        <v>0.73</v>
      </c>
      <c r="AH467" s="142" t="s">
        <v>3047</v>
      </c>
      <c r="AI467" s="142" t="s">
        <v>3047</v>
      </c>
      <c r="AJ467" s="142">
        <f>B467*IBGE_2!AJ$467/100</f>
        <v>0.6</v>
      </c>
      <c r="AK467" s="142">
        <f>B467*IBGE_2!AK$467/100</f>
        <v>54.71</v>
      </c>
      <c r="AL467" s="142">
        <f>B467*IBGE_2!AL$467/100</f>
        <v>4.8600000000000003</v>
      </c>
      <c r="AM467" s="145" t="s">
        <v>3047</v>
      </c>
      <c r="AN467" s="161"/>
    </row>
    <row r="468" spans="1:40">
      <c r="A468" s="143" t="s">
        <v>1528</v>
      </c>
      <c r="B468" s="141">
        <v>100</v>
      </c>
      <c r="C468" s="142">
        <f>B468*IBGE_2!C$468/100</f>
        <v>39</v>
      </c>
      <c r="D468" s="142">
        <f>B468*IBGE_2!D$468/100</f>
        <v>0.61</v>
      </c>
      <c r="E468" s="142">
        <f>B468*IBGE_2!E$468/100</f>
        <v>0.14000000000000001</v>
      </c>
      <c r="F468" s="142">
        <f>B468*IBGE_2!F$468/100</f>
        <v>0.04</v>
      </c>
      <c r="G468" s="142">
        <f>B468*IBGE_2!G$468/100</f>
        <v>0.04</v>
      </c>
      <c r="H468" s="142">
        <f>B468*IBGE_2!H$468/100</f>
        <v>0.03</v>
      </c>
      <c r="I468" s="142">
        <f>B468*IBGE_2!I$468/100</f>
        <v>0.01</v>
      </c>
      <c r="J468" s="142">
        <f>B468*IBGE_2!J$468/100</f>
        <v>0.03</v>
      </c>
      <c r="K468" s="142" t="s">
        <v>3047</v>
      </c>
      <c r="L468" s="142">
        <f>B468*IBGE_2!L$468/100</f>
        <v>9.81</v>
      </c>
      <c r="M468" s="142">
        <f>B468*IBGE_2!M$468/100</f>
        <v>1.8</v>
      </c>
      <c r="N468" s="142">
        <f>B468*IBGE_2!N$468/100</f>
        <v>24</v>
      </c>
      <c r="O468" s="142">
        <f>B468*IBGE_2!O$468/100</f>
        <v>10</v>
      </c>
      <c r="P468" s="142">
        <f>B468*IBGE_2!P$468/100</f>
        <v>0.01</v>
      </c>
      <c r="Q468" s="142">
        <f>B468*IBGE_2!Q$468/100</f>
        <v>5</v>
      </c>
      <c r="R468" s="142">
        <f>B468*IBGE_2!R$468/100</f>
        <v>0.1</v>
      </c>
      <c r="S468" s="142">
        <f>B468*IBGE_2!S$468/100</f>
        <v>3</v>
      </c>
      <c r="T468" s="142">
        <f>B468*IBGE_2!T$468/100</f>
        <v>257</v>
      </c>
      <c r="U468" s="142">
        <f>B468*IBGE_2!U$468/100</f>
        <v>0.02</v>
      </c>
      <c r="V468" s="142">
        <f>B468*IBGE_2!V$468/100</f>
        <v>7.0000000000000007E-2</v>
      </c>
      <c r="W468" s="142" t="s">
        <v>3047</v>
      </c>
      <c r="X468" s="142">
        <f>B468*IBGE_2!X$468/100</f>
        <v>0.03</v>
      </c>
      <c r="Y468" s="142">
        <f>B468*IBGE_2!Y$468/100</f>
        <v>0.03</v>
      </c>
      <c r="Z468" s="142">
        <f>B468*IBGE_2!Z$468/100</f>
        <v>0.02</v>
      </c>
      <c r="AA468" s="142">
        <f>B468*IBGE_2!AA$468/100</f>
        <v>0.34</v>
      </c>
      <c r="AB468" s="142">
        <f>B468*IBGE_2!AB$468/100</f>
        <v>61.8</v>
      </c>
      <c r="AC468" s="142">
        <f>B468*IBGE_2!AC$468/100</f>
        <v>0.47</v>
      </c>
      <c r="AD468" s="142" t="s">
        <v>3047</v>
      </c>
      <c r="AE468" s="142">
        <f>B468*IBGE_2!AE$468/100</f>
        <v>38</v>
      </c>
      <c r="AF468" s="142" t="s">
        <v>3047</v>
      </c>
      <c r="AG468" s="142">
        <f>B468*IBGE_2!AG$468/100</f>
        <v>0.73</v>
      </c>
      <c r="AH468" s="142" t="s">
        <v>3047</v>
      </c>
      <c r="AI468" s="142" t="s">
        <v>3047</v>
      </c>
      <c r="AJ468" s="142">
        <f>B468*IBGE_2!AJ$468/100</f>
        <v>0.6</v>
      </c>
      <c r="AK468" s="142">
        <f>B468*IBGE_2!AK$468/100</f>
        <v>54.71</v>
      </c>
      <c r="AL468" s="142">
        <f>B468*IBGE_2!AL$468/100</f>
        <v>4.8600000000000003</v>
      </c>
      <c r="AM468" s="145" t="s">
        <v>3047</v>
      </c>
      <c r="AN468" s="161"/>
    </row>
    <row r="469" spans="1:40">
      <c r="A469" s="143" t="s">
        <v>1529</v>
      </c>
      <c r="B469" s="141">
        <v>100</v>
      </c>
      <c r="C469" s="142">
        <f>B469*IBGE_2!C$469/100</f>
        <v>65</v>
      </c>
      <c r="D469" s="142">
        <f>B469*IBGE_2!D$469/100</f>
        <v>0.51</v>
      </c>
      <c r="E469" s="142">
        <f>B469*IBGE_2!E$469/100</f>
        <v>0.27</v>
      </c>
      <c r="F469" s="142">
        <f>B469*IBGE_2!F$469/100</f>
        <v>7.0000000000000007E-2</v>
      </c>
      <c r="G469" s="142">
        <f>B469*IBGE_2!G$469/100</f>
        <v>0.1</v>
      </c>
      <c r="H469" s="142">
        <f>B469*IBGE_2!H$469/100</f>
        <v>0.05</v>
      </c>
      <c r="I469" s="142">
        <f>B469*IBGE_2!I$469/100</f>
        <v>0.01</v>
      </c>
      <c r="J469" s="142">
        <f>B469*IBGE_2!J$469/100</f>
        <v>0.04</v>
      </c>
      <c r="K469" s="142" t="s">
        <v>3047</v>
      </c>
      <c r="L469" s="142">
        <f>B469*IBGE_2!L$469/100</f>
        <v>17</v>
      </c>
      <c r="M469" s="142">
        <f>B469*IBGE_2!M$469/100</f>
        <v>1.76</v>
      </c>
      <c r="N469" s="142">
        <f>B469*IBGE_2!N$469/100</f>
        <v>10</v>
      </c>
      <c r="O469" s="142">
        <f>B469*IBGE_2!O$469/100</f>
        <v>9</v>
      </c>
      <c r="P469" s="142">
        <f>B469*IBGE_2!P$469/100</f>
        <v>0.03</v>
      </c>
      <c r="Q469" s="142">
        <f>B469*IBGE_2!Q$469/100</f>
        <v>11</v>
      </c>
      <c r="R469" s="142">
        <f>B469*IBGE_2!R$469/100</f>
        <v>0.13</v>
      </c>
      <c r="S469" s="142">
        <f>B469*IBGE_2!S$469/100</f>
        <v>2</v>
      </c>
      <c r="T469" s="142">
        <f>B469*IBGE_2!T$469/100</f>
        <v>156</v>
      </c>
      <c r="U469" s="142">
        <f>B469*IBGE_2!U$469/100</f>
        <v>0.11</v>
      </c>
      <c r="V469" s="142">
        <f>B469*IBGE_2!V$469/100</f>
        <v>0.04</v>
      </c>
      <c r="W469" s="142" t="s">
        <v>3047</v>
      </c>
      <c r="X469" s="142">
        <f>B469*IBGE_2!X$469/100</f>
        <v>0.06</v>
      </c>
      <c r="Y469" s="142">
        <f>B469*IBGE_2!Y$469/100</f>
        <v>0.06</v>
      </c>
      <c r="Z469" s="142">
        <f>B469*IBGE_2!Z$469/100</f>
        <v>0.13</v>
      </c>
      <c r="AA469" s="142">
        <f>B469*IBGE_2!AA$469/100</f>
        <v>0.57999999999999996</v>
      </c>
      <c r="AB469" s="142">
        <f>B469*IBGE_2!AB$469/100</f>
        <v>27.7</v>
      </c>
      <c r="AC469" s="142">
        <f>B469*IBGE_2!AC$469/100</f>
        <v>0.72</v>
      </c>
      <c r="AD469" s="142" t="s">
        <v>3047</v>
      </c>
      <c r="AE469" s="142">
        <f>B469*IBGE_2!AE$469/100</f>
        <v>14</v>
      </c>
      <c r="AF469" s="142" t="s">
        <v>3047</v>
      </c>
      <c r="AG469" s="142">
        <f>B469*IBGE_2!AG$469/100</f>
        <v>1.1200000000000001</v>
      </c>
      <c r="AH469" s="142" t="s">
        <v>3047</v>
      </c>
      <c r="AI469" s="142" t="s">
        <v>3047</v>
      </c>
      <c r="AJ469" s="142">
        <f>B469*IBGE_2!AJ$469/100</f>
        <v>0.6</v>
      </c>
      <c r="AK469" s="142">
        <f>B469*IBGE_2!AK$469/100</f>
        <v>38.25</v>
      </c>
      <c r="AL469" s="142">
        <f>B469*IBGE_2!AL$469/100</f>
        <v>12.73</v>
      </c>
      <c r="AM469" s="145" t="s">
        <v>3047</v>
      </c>
      <c r="AN469" s="161"/>
    </row>
    <row r="470" spans="1:40">
      <c r="A470" s="143" t="s">
        <v>1530</v>
      </c>
      <c r="B470" s="141">
        <v>100</v>
      </c>
      <c r="C470" s="142">
        <f>B470*IBGE_2!C$470/100</f>
        <v>65</v>
      </c>
      <c r="D470" s="142">
        <f>B470*IBGE_2!D$470/100</f>
        <v>0.51</v>
      </c>
      <c r="E470" s="142">
        <f>B470*IBGE_2!E$470/100</f>
        <v>0.27</v>
      </c>
      <c r="F470" s="142">
        <f>B470*IBGE_2!F$470/100</f>
        <v>7.0000000000000007E-2</v>
      </c>
      <c r="G470" s="142">
        <f>B470*IBGE_2!G$470/100</f>
        <v>0.1</v>
      </c>
      <c r="H470" s="142">
        <f>B470*IBGE_2!H$470/100</f>
        <v>0.05</v>
      </c>
      <c r="I470" s="142">
        <f>B470*IBGE_2!I$470/100</f>
        <v>0.01</v>
      </c>
      <c r="J470" s="142">
        <f>B470*IBGE_2!J$470/100</f>
        <v>0.04</v>
      </c>
      <c r="K470" s="142" t="s">
        <v>3047</v>
      </c>
      <c r="L470" s="142">
        <f>B470*IBGE_2!L$470/100</f>
        <v>17</v>
      </c>
      <c r="M470" s="142">
        <f>B470*IBGE_2!M$470/100</f>
        <v>1.76</v>
      </c>
      <c r="N470" s="142">
        <f>B470*IBGE_2!N$470/100</f>
        <v>10</v>
      </c>
      <c r="O470" s="142">
        <f>B470*IBGE_2!O$470/100</f>
        <v>9</v>
      </c>
      <c r="P470" s="142">
        <f>B470*IBGE_2!P$470/100</f>
        <v>0.03</v>
      </c>
      <c r="Q470" s="142">
        <f>B470*IBGE_2!Q$470/100</f>
        <v>11</v>
      </c>
      <c r="R470" s="142">
        <f>B470*IBGE_2!R$470/100</f>
        <v>0.13</v>
      </c>
      <c r="S470" s="142">
        <f>B470*IBGE_2!S$470/100</f>
        <v>2</v>
      </c>
      <c r="T470" s="142">
        <f>B470*IBGE_2!T$470/100</f>
        <v>156</v>
      </c>
      <c r="U470" s="142">
        <f>B470*IBGE_2!U$470/100</f>
        <v>0.11</v>
      </c>
      <c r="V470" s="142">
        <f>B470*IBGE_2!V$470/100</f>
        <v>0.04</v>
      </c>
      <c r="W470" s="142" t="s">
        <v>3047</v>
      </c>
      <c r="X470" s="142">
        <f>B470*IBGE_2!X$470/100</f>
        <v>0.06</v>
      </c>
      <c r="Y470" s="142">
        <f>B470*IBGE_2!Y$470/100</f>
        <v>0.06</v>
      </c>
      <c r="Z470" s="142">
        <f>B470*IBGE_2!Z$470/100</f>
        <v>0.13</v>
      </c>
      <c r="AA470" s="142">
        <f>B470*IBGE_2!AA$470/100</f>
        <v>0.57999999999999996</v>
      </c>
      <c r="AB470" s="142">
        <f>B470*IBGE_2!AB$470/100</f>
        <v>27.7</v>
      </c>
      <c r="AC470" s="142">
        <f>B470*IBGE_2!AC$470/100</f>
        <v>0.72</v>
      </c>
      <c r="AD470" s="142" t="s">
        <v>3047</v>
      </c>
      <c r="AE470" s="142">
        <f>B470*IBGE_2!AE$470/100</f>
        <v>14</v>
      </c>
      <c r="AF470" s="142" t="s">
        <v>3047</v>
      </c>
      <c r="AG470" s="142">
        <f>B470*IBGE_2!AG$470/100</f>
        <v>1.1200000000000001</v>
      </c>
      <c r="AH470" s="142" t="s">
        <v>3047</v>
      </c>
      <c r="AI470" s="142" t="s">
        <v>3047</v>
      </c>
      <c r="AJ470" s="142">
        <f>B470*IBGE_2!AJ$470/100</f>
        <v>0.6</v>
      </c>
      <c r="AK470" s="142">
        <f>B470*IBGE_2!AK$470/100</f>
        <v>38.25</v>
      </c>
      <c r="AL470" s="142">
        <f>B470*IBGE_2!AL$470/100</f>
        <v>12.73</v>
      </c>
      <c r="AM470" s="145" t="s">
        <v>3047</v>
      </c>
      <c r="AN470" s="161"/>
    </row>
    <row r="471" spans="1:40">
      <c r="A471" s="143" t="s">
        <v>1531</v>
      </c>
      <c r="B471" s="141">
        <v>100</v>
      </c>
      <c r="C471" s="142">
        <f>B471*IBGE_2!C$471/100</f>
        <v>97</v>
      </c>
      <c r="D471" s="142">
        <f>B471*IBGE_2!D$471/100</f>
        <v>2.2000000000000002</v>
      </c>
      <c r="E471" s="142">
        <f>B471*IBGE_2!E$471/100</f>
        <v>0.7</v>
      </c>
      <c r="F471" s="142">
        <f>B471*IBGE_2!F$471/100</f>
        <v>0.06</v>
      </c>
      <c r="G471" s="142">
        <f>B471*IBGE_2!G$471/100</f>
        <v>0.09</v>
      </c>
      <c r="H471" s="142">
        <f>B471*IBGE_2!H$471/100</f>
        <v>0.41</v>
      </c>
      <c r="I471" s="142">
        <f>B471*IBGE_2!I$471/100</f>
        <v>0.41</v>
      </c>
      <c r="J471" s="142" t="s">
        <v>3047</v>
      </c>
      <c r="K471" s="142" t="s">
        <v>3047</v>
      </c>
      <c r="L471" s="142">
        <f>B471*IBGE_2!L$471/100</f>
        <v>23.38</v>
      </c>
      <c r="M471" s="142">
        <f>B471*IBGE_2!M$471/100</f>
        <v>10.4</v>
      </c>
      <c r="N471" s="142">
        <f>B471*IBGE_2!N$471/100</f>
        <v>12</v>
      </c>
      <c r="O471" s="142">
        <f>B471*IBGE_2!O$471/100</f>
        <v>29</v>
      </c>
      <c r="P471" s="142">
        <f>B471*IBGE_2!P$471/100</f>
        <v>0.2</v>
      </c>
      <c r="Q471" s="142">
        <f>B471*IBGE_2!Q$471/100</f>
        <v>68</v>
      </c>
      <c r="R471" s="142">
        <f>B471*IBGE_2!R$471/100</f>
        <v>1.6</v>
      </c>
      <c r="S471" s="142">
        <f>B471*IBGE_2!S$471/100</f>
        <v>28</v>
      </c>
      <c r="T471" s="142">
        <f>B471*IBGE_2!T$471/100</f>
        <v>348</v>
      </c>
      <c r="U471" s="142">
        <f>B471*IBGE_2!U$471/100</f>
        <v>0.09</v>
      </c>
      <c r="V471" s="142">
        <f>B471*IBGE_2!V$471/100</f>
        <v>0.1</v>
      </c>
      <c r="W471" s="142" t="s">
        <v>3047</v>
      </c>
      <c r="X471" s="142" t="s">
        <v>3047</v>
      </c>
      <c r="Y471" s="142">
        <f>B471*IBGE_2!Y$471/100</f>
        <v>0.13</v>
      </c>
      <c r="Z471" s="142">
        <f>B471*IBGE_2!Z$471/100</f>
        <v>0.1</v>
      </c>
      <c r="AA471" s="142">
        <f>B471*IBGE_2!AA$471/100</f>
        <v>1.5</v>
      </c>
      <c r="AB471" s="142">
        <f>B471*IBGE_2!AB$471/100</f>
        <v>30</v>
      </c>
      <c r="AC471" s="142">
        <f>B471*IBGE_2!AC$471/100</f>
        <v>1.5</v>
      </c>
      <c r="AD471" s="142" t="s">
        <v>3047</v>
      </c>
      <c r="AE471" s="142">
        <f>B471*IBGE_2!AE$471/100</f>
        <v>14</v>
      </c>
      <c r="AF471" s="142" t="s">
        <v>3047</v>
      </c>
      <c r="AG471" s="142">
        <f>B471*IBGE_2!AG$471/100</f>
        <v>0.02</v>
      </c>
      <c r="AH471" s="142" t="s">
        <v>3047</v>
      </c>
      <c r="AI471" s="142" t="s">
        <v>3047</v>
      </c>
      <c r="AJ471" s="142">
        <f>B471*IBGE_2!AJ$471/100</f>
        <v>0.6</v>
      </c>
      <c r="AK471" s="142">
        <f>B471*IBGE_2!AK$471/100</f>
        <v>63.63</v>
      </c>
      <c r="AL471" s="142">
        <f>B471*IBGE_2!AL$471/100</f>
        <v>10.4</v>
      </c>
      <c r="AM471" s="145" t="s">
        <v>3047</v>
      </c>
      <c r="AN471" s="161"/>
    </row>
    <row r="472" spans="1:40">
      <c r="A472" s="143" t="s">
        <v>1532</v>
      </c>
      <c r="B472" s="141">
        <v>100</v>
      </c>
      <c r="C472" s="142">
        <f>B472*IBGE_2!C$472/100</f>
        <v>30</v>
      </c>
      <c r="D472" s="142">
        <f>B472*IBGE_2!D$472/100</f>
        <v>0.61</v>
      </c>
      <c r="E472" s="142">
        <f>B472*IBGE_2!E$472/100</f>
        <v>0.15</v>
      </c>
      <c r="F472" s="142">
        <f>B472*IBGE_2!F$472/100</f>
        <v>0.02</v>
      </c>
      <c r="G472" s="142">
        <f>B472*IBGE_2!G$472/100</f>
        <v>0.04</v>
      </c>
      <c r="H472" s="142">
        <f>B472*IBGE_2!H$472/100</f>
        <v>0.05</v>
      </c>
      <c r="I472" s="142">
        <f>B472*IBGE_2!I$472/100</f>
        <v>0.05</v>
      </c>
      <c r="J472" s="142" t="s">
        <v>3047</v>
      </c>
      <c r="K472" s="142" t="s">
        <v>3047</v>
      </c>
      <c r="L472" s="142">
        <f>B472*IBGE_2!L$472/100</f>
        <v>7.55</v>
      </c>
      <c r="M472" s="142">
        <f>B472*IBGE_2!M$472/100</f>
        <v>0.4</v>
      </c>
      <c r="N472" s="142">
        <f>B472*IBGE_2!N$472/100</f>
        <v>7</v>
      </c>
      <c r="O472" s="142">
        <f>B472*IBGE_2!O$472/100</f>
        <v>10</v>
      </c>
      <c r="P472" s="142">
        <f>B472*IBGE_2!P$472/100</f>
        <v>0.04</v>
      </c>
      <c r="Q472" s="142">
        <f>B472*IBGE_2!Q$472/100</f>
        <v>11</v>
      </c>
      <c r="R472" s="142">
        <f>B472*IBGE_2!R$472/100</f>
        <v>0.24</v>
      </c>
      <c r="S472" s="142">
        <f>B472*IBGE_2!S$472/100</f>
        <v>1</v>
      </c>
      <c r="T472" s="142">
        <f>B472*IBGE_2!T$472/100</f>
        <v>112</v>
      </c>
      <c r="U472" s="142">
        <f>B472*IBGE_2!U$472/100</f>
        <v>0.04</v>
      </c>
      <c r="V472" s="142">
        <f>B472*IBGE_2!V$472/100</f>
        <v>0.1</v>
      </c>
      <c r="W472" s="142" t="s">
        <v>3047</v>
      </c>
      <c r="X472" s="142">
        <f>B472*IBGE_2!X$472/100</f>
        <v>0.03</v>
      </c>
      <c r="Y472" s="142">
        <f>B472*IBGE_2!Y$472/100</f>
        <v>0.02</v>
      </c>
      <c r="Z472" s="142">
        <f>B472*IBGE_2!Z$472/100</f>
        <v>0.05</v>
      </c>
      <c r="AA472" s="142">
        <f>B472*IBGE_2!AA$472/100</f>
        <v>0.18</v>
      </c>
      <c r="AB472" s="142">
        <f>B472*IBGE_2!AB$472/100</f>
        <v>8.1</v>
      </c>
      <c r="AC472" s="142">
        <f>B472*IBGE_2!AC$472/100</f>
        <v>0.28999999999999998</v>
      </c>
      <c r="AD472" s="142" t="s">
        <v>3047</v>
      </c>
      <c r="AE472" s="142">
        <f>B472*IBGE_2!AE$472/100</f>
        <v>3</v>
      </c>
      <c r="AF472" s="142" t="s">
        <v>3047</v>
      </c>
      <c r="AG472" s="142">
        <f>B472*IBGE_2!AG$472/100</f>
        <v>0.05</v>
      </c>
      <c r="AH472" s="142" t="s">
        <v>3047</v>
      </c>
      <c r="AI472" s="142" t="s">
        <v>3047</v>
      </c>
      <c r="AJ472" s="142">
        <f>B472*IBGE_2!AJ$472/100</f>
        <v>0.4</v>
      </c>
      <c r="AK472" s="142">
        <f>B472*IBGE_2!AK$472/100</f>
        <v>28.5</v>
      </c>
      <c r="AL472" s="142">
        <f>B472*IBGE_2!AL$472/100</f>
        <v>6.21</v>
      </c>
      <c r="AM472" s="145" t="s">
        <v>3047</v>
      </c>
      <c r="AN472" s="161"/>
    </row>
    <row r="473" spans="1:40">
      <c r="A473" s="143" t="s">
        <v>1533</v>
      </c>
      <c r="B473" s="141">
        <v>100</v>
      </c>
      <c r="C473" s="142">
        <f>B473*IBGE_2!C$473/100</f>
        <v>36</v>
      </c>
      <c r="D473" s="142">
        <f>B473*IBGE_2!D$473/100</f>
        <v>0.54</v>
      </c>
      <c r="E473" s="142">
        <f>B473*IBGE_2!E$473/100</f>
        <v>0.14000000000000001</v>
      </c>
      <c r="F473" s="142">
        <f>B473*IBGE_2!F$473/100</f>
        <v>0.04</v>
      </c>
      <c r="G473" s="142" t="s">
        <v>3047</v>
      </c>
      <c r="H473" s="142">
        <f>B473*IBGE_2!H$473/100</f>
        <v>0.06</v>
      </c>
      <c r="I473" s="142">
        <f>B473*IBGE_2!I$473/100</f>
        <v>0.03</v>
      </c>
      <c r="J473" s="142">
        <f>B473*IBGE_2!J$473/100</f>
        <v>0.03</v>
      </c>
      <c r="K473" s="142" t="s">
        <v>3047</v>
      </c>
      <c r="L473" s="142">
        <f>B473*IBGE_2!L$473/100</f>
        <v>9.09</v>
      </c>
      <c r="M473" s="142">
        <f>B473*IBGE_2!M$473/100</f>
        <v>0.8</v>
      </c>
      <c r="N473" s="142">
        <f>B473*IBGE_2!N$473/100</f>
        <v>6</v>
      </c>
      <c r="O473" s="142">
        <f>B473*IBGE_2!O$473/100</f>
        <v>10</v>
      </c>
      <c r="P473" s="142">
        <f>B473*IBGE_2!P$473/100</f>
        <v>0.03</v>
      </c>
      <c r="Q473" s="142">
        <f>B473*IBGE_2!Q$473/100</f>
        <v>11</v>
      </c>
      <c r="R473" s="142">
        <f>B473*IBGE_2!R$473/100</f>
        <v>0.17</v>
      </c>
      <c r="S473" s="142">
        <f>B473*IBGE_2!S$473/100</f>
        <v>18</v>
      </c>
      <c r="T473" s="142">
        <f>B473*IBGE_2!T$473/100</f>
        <v>228</v>
      </c>
      <c r="U473" s="142">
        <f>B473*IBGE_2!U$473/100</f>
        <v>0.02</v>
      </c>
      <c r="V473" s="142">
        <f>B473*IBGE_2!V$473/100</f>
        <v>0.09</v>
      </c>
      <c r="W473" s="142" t="s">
        <v>3047</v>
      </c>
      <c r="X473" s="142">
        <f>B473*IBGE_2!X$473/100</f>
        <v>0.04</v>
      </c>
      <c r="Y473" s="142">
        <f>B473*IBGE_2!Y$473/100</f>
        <v>0.01</v>
      </c>
      <c r="Z473" s="142">
        <f>B473*IBGE_2!Z$473/100</f>
        <v>0.09</v>
      </c>
      <c r="AA473" s="142">
        <f>B473*IBGE_2!AA$473/100</f>
        <v>0.42</v>
      </c>
      <c r="AB473" s="142">
        <f>B473*IBGE_2!AB$473/100</f>
        <v>18</v>
      </c>
      <c r="AC473" s="142">
        <f>B473*IBGE_2!AC$473/100</f>
        <v>0.5</v>
      </c>
      <c r="AD473" s="142" t="s">
        <v>3047</v>
      </c>
      <c r="AE473" s="142">
        <f>B473*IBGE_2!AE$473/100</f>
        <v>19</v>
      </c>
      <c r="AF473" s="142" t="s">
        <v>3047</v>
      </c>
      <c r="AG473" s="142">
        <f>B473*IBGE_2!AG$473/100</f>
        <v>0.03</v>
      </c>
      <c r="AH473" s="142" t="s">
        <v>3047</v>
      </c>
      <c r="AI473" s="142" t="s">
        <v>3047</v>
      </c>
      <c r="AJ473" s="142">
        <f>B473*IBGE_2!AJ$473/100</f>
        <v>0.7</v>
      </c>
      <c r="AK473" s="142">
        <f>B473*IBGE_2!AK$473/100</f>
        <v>2.5</v>
      </c>
      <c r="AL473" s="142">
        <f>B473*IBGE_2!AL$473/100</f>
        <v>8.1199999999999992</v>
      </c>
      <c r="AM473" s="145" t="s">
        <v>3047</v>
      </c>
      <c r="AN473" s="161"/>
    </row>
    <row r="474" spans="1:40">
      <c r="A474" s="143" t="s">
        <v>1534</v>
      </c>
      <c r="B474" s="141">
        <v>100</v>
      </c>
      <c r="C474" s="142">
        <f>B474*IBGE_2!C$474/100</f>
        <v>58</v>
      </c>
      <c r="D474" s="142">
        <f>B474*IBGE_2!D$474/100</f>
        <v>0.38</v>
      </c>
      <c r="E474" s="142">
        <f>B474*IBGE_2!E$474/100</f>
        <v>0.12</v>
      </c>
      <c r="F474" s="142">
        <f>B474*IBGE_2!F$474/100</f>
        <v>0.01</v>
      </c>
      <c r="G474" s="142">
        <f>B474*IBGE_2!G$474/100</f>
        <v>0.03</v>
      </c>
      <c r="H474" s="142">
        <f>B474*IBGE_2!H$474/100</f>
        <v>0.03</v>
      </c>
      <c r="I474" s="142">
        <f>B474*IBGE_2!I$474/100</f>
        <v>0.03</v>
      </c>
      <c r="J474" s="142" t="s">
        <v>3047</v>
      </c>
      <c r="K474" s="142" t="s">
        <v>3047</v>
      </c>
      <c r="L474" s="142">
        <f>B474*IBGE_2!L$474/100</f>
        <v>15.46</v>
      </c>
      <c r="M474" s="142">
        <f>B474*IBGE_2!M$474/100</f>
        <v>3.16</v>
      </c>
      <c r="N474" s="142">
        <f>B474*IBGE_2!N$474/100</f>
        <v>9</v>
      </c>
      <c r="O474" s="142">
        <f>B474*IBGE_2!O$474/100</f>
        <v>7</v>
      </c>
      <c r="P474" s="142">
        <f>B474*IBGE_2!P$474/100</f>
        <v>0.05</v>
      </c>
      <c r="Q474" s="142">
        <f>B474*IBGE_2!Q$474/100</f>
        <v>11</v>
      </c>
      <c r="R474" s="142">
        <f>B474*IBGE_2!R$474/100</f>
        <v>0.17</v>
      </c>
      <c r="S474" s="142">
        <f>B474*IBGE_2!S$474/100</f>
        <v>1</v>
      </c>
      <c r="T474" s="142">
        <f>B474*IBGE_2!T$474/100</f>
        <v>119</v>
      </c>
      <c r="U474" s="142">
        <f>B474*IBGE_2!U$474/100</f>
        <v>0.08</v>
      </c>
      <c r="V474" s="142">
        <f>B474*IBGE_2!V$474/100</f>
        <v>0.1</v>
      </c>
      <c r="W474" s="142" t="s">
        <v>3047</v>
      </c>
      <c r="X474" s="142">
        <f>B474*IBGE_2!X$474/100</f>
        <v>0.01</v>
      </c>
      <c r="Y474" s="142">
        <f>B474*IBGE_2!Y$474/100</f>
        <v>0.03</v>
      </c>
      <c r="Z474" s="142">
        <f>B474*IBGE_2!Z$474/100</f>
        <v>0.03</v>
      </c>
      <c r="AA474" s="142">
        <f>B474*IBGE_2!AA$474/100</f>
        <v>0.16</v>
      </c>
      <c r="AB474" s="142">
        <f>B474*IBGE_2!AB$474/100</f>
        <v>4.2</v>
      </c>
      <c r="AC474" s="142">
        <f>B474*IBGE_2!AC$474/100</f>
        <v>0.19</v>
      </c>
      <c r="AD474" s="142" t="s">
        <v>3047</v>
      </c>
      <c r="AE474" s="142">
        <f>B474*IBGE_2!AE$474/100</f>
        <v>7</v>
      </c>
      <c r="AF474" s="142" t="s">
        <v>3047</v>
      </c>
      <c r="AG474" s="142">
        <f>B474*IBGE_2!AG$474/100</f>
        <v>0.21</v>
      </c>
      <c r="AH474" s="142" t="s">
        <v>3047</v>
      </c>
      <c r="AI474" s="142" t="s">
        <v>3047</v>
      </c>
      <c r="AJ474" s="142">
        <f>B474*IBGE_2!AJ$474/100</f>
        <v>0.1</v>
      </c>
      <c r="AK474" s="142">
        <f>B474*IBGE_2!AK$474/100</f>
        <v>1.17</v>
      </c>
      <c r="AL474" s="142">
        <f>B474*IBGE_2!AL$474/100</f>
        <v>9.7899999999999991</v>
      </c>
      <c r="AM474" s="145" t="s">
        <v>3047</v>
      </c>
      <c r="AN474" s="161"/>
    </row>
    <row r="475" spans="1:40">
      <c r="A475" s="143" t="s">
        <v>1535</v>
      </c>
      <c r="B475" s="141">
        <v>100</v>
      </c>
      <c r="C475" s="142">
        <f>B475*IBGE_2!C$475/100</f>
        <v>39</v>
      </c>
      <c r="D475" s="142">
        <f>B475*IBGE_2!D$475/100</f>
        <v>0.91</v>
      </c>
      <c r="E475" s="142">
        <f>B475*IBGE_2!E$475/100</f>
        <v>0.25</v>
      </c>
      <c r="F475" s="142">
        <f>B475*IBGE_2!F$475/100</f>
        <v>0.02</v>
      </c>
      <c r="G475" s="142">
        <f>B475*IBGE_2!G$475/100</f>
        <v>7.0000000000000007E-2</v>
      </c>
      <c r="H475" s="142">
        <f>B475*IBGE_2!H$475/100</f>
        <v>0.09</v>
      </c>
      <c r="I475" s="142">
        <f>B475*IBGE_2!I$475/100</f>
        <v>0.08</v>
      </c>
      <c r="J475" s="142" t="s">
        <v>3047</v>
      </c>
      <c r="K475" s="142" t="s">
        <v>3047</v>
      </c>
      <c r="L475" s="142">
        <f>B475*IBGE_2!L$475/100</f>
        <v>9.5399999999999991</v>
      </c>
      <c r="M475" s="142">
        <f>B475*IBGE_2!M$475/100</f>
        <v>1.5</v>
      </c>
      <c r="N475" s="142">
        <f>B475*IBGE_2!N$475/100</f>
        <v>6</v>
      </c>
      <c r="O475" s="142">
        <f>B475*IBGE_2!O$475/100</f>
        <v>9</v>
      </c>
      <c r="P475" s="142">
        <f>B475*IBGE_2!P$475/100</f>
        <v>0.06</v>
      </c>
      <c r="Q475" s="142">
        <f>B475*IBGE_2!Q$475/100</f>
        <v>20</v>
      </c>
      <c r="R475" s="142">
        <f>B475*IBGE_2!R$475/100</f>
        <v>0.25</v>
      </c>
      <c r="S475" s="142" t="s">
        <v>3047</v>
      </c>
      <c r="T475" s="142">
        <f>B475*IBGE_2!T$475/100</f>
        <v>190</v>
      </c>
      <c r="U475" s="142">
        <f>B475*IBGE_2!U$475/100</f>
        <v>7.0000000000000007E-2</v>
      </c>
      <c r="V475" s="142">
        <f>B475*IBGE_2!V$475/100</f>
        <v>0.17</v>
      </c>
      <c r="W475" s="142" t="s">
        <v>3047</v>
      </c>
      <c r="X475" s="142">
        <f>B475*IBGE_2!X$475/100</f>
        <v>0.02</v>
      </c>
      <c r="Y475" s="142">
        <f>B475*IBGE_2!Y$475/100</f>
        <v>0.03</v>
      </c>
      <c r="Z475" s="142">
        <f>B475*IBGE_2!Z$475/100</f>
        <v>0.03</v>
      </c>
      <c r="AA475" s="142">
        <f>B475*IBGE_2!AA$475/100</f>
        <v>0.81</v>
      </c>
      <c r="AB475" s="142">
        <f>B475*IBGE_2!AB$475/100</f>
        <v>6.6</v>
      </c>
      <c r="AC475" s="142">
        <f>B475*IBGE_2!AC$475/100</f>
        <v>0.97</v>
      </c>
      <c r="AD475" s="142" t="s">
        <v>3047</v>
      </c>
      <c r="AE475" s="142">
        <f>B475*IBGE_2!AE$475/100</f>
        <v>4</v>
      </c>
      <c r="AF475" s="142" t="s">
        <v>3047</v>
      </c>
      <c r="AG475" s="142">
        <f>B475*IBGE_2!AG$475/100</f>
        <v>0.71</v>
      </c>
      <c r="AH475" s="142" t="s">
        <v>3047</v>
      </c>
      <c r="AI475" s="142" t="s">
        <v>3047</v>
      </c>
      <c r="AJ475" s="142">
        <f>B475*IBGE_2!AJ$475/100</f>
        <v>0.1</v>
      </c>
      <c r="AK475" s="142">
        <f>B475*IBGE_2!AK$475/100</f>
        <v>16.29</v>
      </c>
      <c r="AL475" s="142">
        <f>B475*IBGE_2!AL$475/100</f>
        <v>8.3800000000000008</v>
      </c>
      <c r="AM475" s="145" t="s">
        <v>3047</v>
      </c>
      <c r="AN475" s="161"/>
    </row>
    <row r="476" spans="1:40">
      <c r="A476" s="143" t="s">
        <v>1536</v>
      </c>
      <c r="B476" s="141">
        <v>100</v>
      </c>
      <c r="C476" s="142">
        <f>B476*IBGE_2!C$476/100</f>
        <v>74</v>
      </c>
      <c r="D476" s="142">
        <f>B476*IBGE_2!D$476/100</f>
        <v>1.65</v>
      </c>
      <c r="E476" s="142">
        <f>B476*IBGE_2!E$476/100</f>
        <v>0.62</v>
      </c>
      <c r="F476" s="142">
        <f>B476*IBGE_2!F$476/100</f>
        <v>7.0000000000000007E-2</v>
      </c>
      <c r="G476" s="142">
        <f>B476*IBGE_2!G$476/100</f>
        <v>0.01</v>
      </c>
      <c r="H476" s="142">
        <f>B476*IBGE_2!H$476/100</f>
        <v>0.09</v>
      </c>
      <c r="I476" s="142">
        <f>B476*IBGE_2!I$476/100</f>
        <v>0.05</v>
      </c>
      <c r="J476" s="142">
        <f>B476*IBGE_2!J$476/100</f>
        <v>0.04</v>
      </c>
      <c r="K476" s="142" t="s">
        <v>3047</v>
      </c>
      <c r="L476" s="142">
        <f>B476*IBGE_2!L$476/100</f>
        <v>17.7</v>
      </c>
      <c r="M476" s="142">
        <f>B476*IBGE_2!M$476/100</f>
        <v>2.2999999999999998</v>
      </c>
      <c r="N476" s="142">
        <f>B476*IBGE_2!N$476/100</f>
        <v>8</v>
      </c>
      <c r="O476" s="142">
        <f>B476*IBGE_2!O$476/100</f>
        <v>16</v>
      </c>
      <c r="P476" s="142">
        <f>B476*IBGE_2!P$476/100</f>
        <v>0.08</v>
      </c>
      <c r="Q476" s="142">
        <f>B476*IBGE_2!Q$476/100</f>
        <v>26</v>
      </c>
      <c r="R476" s="142">
        <f>B476*IBGE_2!R$476/100</f>
        <v>0.3</v>
      </c>
      <c r="S476" s="142">
        <f>B476*IBGE_2!S$476/100</f>
        <v>4</v>
      </c>
      <c r="T476" s="142">
        <f>B476*IBGE_2!T$476/100</f>
        <v>269</v>
      </c>
      <c r="U476" s="142">
        <f>B476*IBGE_2!U$476/100</f>
        <v>7.0000000000000007E-2</v>
      </c>
      <c r="V476" s="142">
        <f>B476*IBGE_2!V$476/100</f>
        <v>0.18</v>
      </c>
      <c r="W476" s="142" t="s">
        <v>3047</v>
      </c>
      <c r="X476" s="142">
        <f>B476*IBGE_2!X$476/100</f>
        <v>0.09</v>
      </c>
      <c r="Y476" s="142">
        <f>B476*IBGE_2!Y$476/100</f>
        <v>0.12</v>
      </c>
      <c r="Z476" s="142">
        <f>B476*IBGE_2!Z$476/100</f>
        <v>0.21</v>
      </c>
      <c r="AA476" s="142">
        <f>B476*IBGE_2!AA$476/100</f>
        <v>0.56999999999999995</v>
      </c>
      <c r="AB476" s="142">
        <f>B476*IBGE_2!AB$476/100</f>
        <v>11.5</v>
      </c>
      <c r="AC476" s="142">
        <f>B476*IBGE_2!AC$476/100</f>
        <v>0.56999999999999995</v>
      </c>
      <c r="AD476" s="142" t="s">
        <v>3047</v>
      </c>
      <c r="AE476" s="142">
        <f>B476*IBGE_2!AE$476/100</f>
        <v>18</v>
      </c>
      <c r="AF476" s="142" t="s">
        <v>3047</v>
      </c>
      <c r="AG476" s="145" t="s">
        <v>3047</v>
      </c>
      <c r="AH476" s="142" t="s">
        <v>3047</v>
      </c>
      <c r="AI476" s="142" t="s">
        <v>3047</v>
      </c>
      <c r="AJ476" s="142">
        <f>B476*IBGE_2!AJ$476/100</f>
        <v>20</v>
      </c>
      <c r="AK476" s="145" t="s">
        <v>3047</v>
      </c>
      <c r="AL476" s="142">
        <f>B476*IBGE_2!AL$476/100</f>
        <v>3.39</v>
      </c>
      <c r="AM476" s="145" t="s">
        <v>3047</v>
      </c>
      <c r="AN476" s="161"/>
    </row>
    <row r="477" spans="1:40">
      <c r="A477" s="143" t="s">
        <v>1537</v>
      </c>
      <c r="B477" s="141">
        <v>100</v>
      </c>
      <c r="C477" s="142">
        <f>B477*IBGE_2!C$477/100</f>
        <v>74</v>
      </c>
      <c r="D477" s="142">
        <f>B477*IBGE_2!D$477/100</f>
        <v>1.65</v>
      </c>
      <c r="E477" s="142">
        <f>B477*IBGE_2!E$477/100</f>
        <v>0.62</v>
      </c>
      <c r="F477" s="142">
        <f>B477*IBGE_2!F$477/100</f>
        <v>7.0000000000000007E-2</v>
      </c>
      <c r="G477" s="142">
        <f>B477*IBGE_2!G$477/100</f>
        <v>0.01</v>
      </c>
      <c r="H477" s="142">
        <f>B477*IBGE_2!H$477/100</f>
        <v>0.09</v>
      </c>
      <c r="I477" s="142">
        <f>B477*IBGE_2!I$477/100</f>
        <v>0.05</v>
      </c>
      <c r="J477" s="142">
        <f>B477*IBGE_2!J$477/100</f>
        <v>0.04</v>
      </c>
      <c r="K477" s="142" t="s">
        <v>3047</v>
      </c>
      <c r="L477" s="142">
        <f>B477*IBGE_2!L$477/100</f>
        <v>17.7</v>
      </c>
      <c r="M477" s="142">
        <f>B477*IBGE_2!M$477/100</f>
        <v>2.2999999999999998</v>
      </c>
      <c r="N477" s="142">
        <f>B477*IBGE_2!N$477/100</f>
        <v>8</v>
      </c>
      <c r="O477" s="142">
        <f>B477*IBGE_2!O$477/100</f>
        <v>16</v>
      </c>
      <c r="P477" s="142">
        <f>B477*IBGE_2!P$477/100</f>
        <v>0.08</v>
      </c>
      <c r="Q477" s="142">
        <f>B477*IBGE_2!Q$477/100</f>
        <v>26</v>
      </c>
      <c r="R477" s="142">
        <f>B477*IBGE_2!R$477/100</f>
        <v>0.3</v>
      </c>
      <c r="S477" s="142">
        <f>B477*IBGE_2!S$477/100</f>
        <v>4</v>
      </c>
      <c r="T477" s="142">
        <f>B477*IBGE_2!T$477/100</f>
        <v>269</v>
      </c>
      <c r="U477" s="142">
        <f>B477*IBGE_2!U$477/100</f>
        <v>7.0000000000000007E-2</v>
      </c>
      <c r="V477" s="142">
        <f>B477*IBGE_2!V$477/100</f>
        <v>0.18</v>
      </c>
      <c r="W477" s="142" t="s">
        <v>3047</v>
      </c>
      <c r="X477" s="142">
        <f>B477*IBGE_2!X$477/100</f>
        <v>0.09</v>
      </c>
      <c r="Y477" s="142">
        <f>B477*IBGE_2!Y$477/100</f>
        <v>0.12</v>
      </c>
      <c r="Z477" s="142">
        <f>B477*IBGE_2!Z$477/100</f>
        <v>0.21</v>
      </c>
      <c r="AA477" s="142">
        <f>B477*IBGE_2!AA$477/100</f>
        <v>0.56999999999999995</v>
      </c>
      <c r="AB477" s="142">
        <f>B477*IBGE_2!AB$477/100</f>
        <v>11.5</v>
      </c>
      <c r="AC477" s="142">
        <f>B477*IBGE_2!AC$477/100</f>
        <v>0.56999999999999995</v>
      </c>
      <c r="AD477" s="142" t="s">
        <v>3047</v>
      </c>
      <c r="AE477" s="142">
        <f>B477*IBGE_2!AE$477/100</f>
        <v>18</v>
      </c>
      <c r="AF477" s="142" t="s">
        <v>3047</v>
      </c>
      <c r="AG477" s="145" t="s">
        <v>3047</v>
      </c>
      <c r="AH477" s="142" t="s">
        <v>3047</v>
      </c>
      <c r="AI477" s="142" t="s">
        <v>3047</v>
      </c>
      <c r="AJ477" s="142">
        <f>B477*IBGE_2!AJ$477/100</f>
        <v>20</v>
      </c>
      <c r="AK477" s="145" t="s">
        <v>3047</v>
      </c>
      <c r="AL477" s="142">
        <f>B477*IBGE_2!AL$477/100</f>
        <v>3.39</v>
      </c>
      <c r="AM477" s="145" t="s">
        <v>3047</v>
      </c>
      <c r="AN477" s="161"/>
    </row>
    <row r="478" spans="1:40">
      <c r="A478" s="143" t="s">
        <v>1538</v>
      </c>
      <c r="B478" s="141">
        <v>100</v>
      </c>
      <c r="C478" s="142">
        <f>B478*IBGE_2!C$478/100</f>
        <v>74</v>
      </c>
      <c r="D478" s="142">
        <f>B478*IBGE_2!D$478/100</f>
        <v>1.65</v>
      </c>
      <c r="E478" s="142">
        <f>B478*IBGE_2!E$478/100</f>
        <v>0.62</v>
      </c>
      <c r="F478" s="142">
        <f>B478*IBGE_2!F$478/100</f>
        <v>7.0000000000000007E-2</v>
      </c>
      <c r="G478" s="142">
        <f>B478*IBGE_2!G$478/100</f>
        <v>0.01</v>
      </c>
      <c r="H478" s="142">
        <f>B478*IBGE_2!H$478/100</f>
        <v>0.09</v>
      </c>
      <c r="I478" s="142">
        <f>B478*IBGE_2!I$478/100</f>
        <v>0.05</v>
      </c>
      <c r="J478" s="142">
        <f>B478*IBGE_2!J$478/100</f>
        <v>0.04</v>
      </c>
      <c r="K478" s="142" t="s">
        <v>3047</v>
      </c>
      <c r="L478" s="142">
        <f>B478*IBGE_2!L$478/100</f>
        <v>17.7</v>
      </c>
      <c r="M478" s="142">
        <f>B478*IBGE_2!M$478/100</f>
        <v>2.2999999999999998</v>
      </c>
      <c r="N478" s="142">
        <f>B478*IBGE_2!N$478/100</f>
        <v>8</v>
      </c>
      <c r="O478" s="142">
        <f>B478*IBGE_2!O$478/100</f>
        <v>16</v>
      </c>
      <c r="P478" s="142">
        <f>B478*IBGE_2!P$478/100</f>
        <v>0.08</v>
      </c>
      <c r="Q478" s="142">
        <f>B478*IBGE_2!Q$478/100</f>
        <v>26</v>
      </c>
      <c r="R478" s="142">
        <f>B478*IBGE_2!R$478/100</f>
        <v>0.3</v>
      </c>
      <c r="S478" s="142">
        <f>B478*IBGE_2!S$478/100</f>
        <v>4</v>
      </c>
      <c r="T478" s="142">
        <f>B478*IBGE_2!T$478/100</f>
        <v>269</v>
      </c>
      <c r="U478" s="142">
        <f>B478*IBGE_2!U$478/100</f>
        <v>7.0000000000000007E-2</v>
      </c>
      <c r="V478" s="142">
        <f>B478*IBGE_2!V$478/100</f>
        <v>0.18</v>
      </c>
      <c r="W478" s="142" t="s">
        <v>3047</v>
      </c>
      <c r="X478" s="142">
        <f>B478*IBGE_2!X$478/100</f>
        <v>0.09</v>
      </c>
      <c r="Y478" s="142">
        <f>B478*IBGE_2!Y$478/100</f>
        <v>0.12</v>
      </c>
      <c r="Z478" s="142">
        <f>B478*IBGE_2!Z$478/100</f>
        <v>0.21</v>
      </c>
      <c r="AA478" s="142">
        <f>B478*IBGE_2!AA$478/100</f>
        <v>0.56999999999999995</v>
      </c>
      <c r="AB478" s="142">
        <f>B478*IBGE_2!AB$478/100</f>
        <v>11.5</v>
      </c>
      <c r="AC478" s="142">
        <f>B478*IBGE_2!AC$478/100</f>
        <v>0.56999999999999995</v>
      </c>
      <c r="AD478" s="142" t="s">
        <v>3047</v>
      </c>
      <c r="AE478" s="142">
        <f>B478*IBGE_2!AE$478/100</f>
        <v>18</v>
      </c>
      <c r="AF478" s="142" t="s">
        <v>3047</v>
      </c>
      <c r="AG478" s="145" t="s">
        <v>3047</v>
      </c>
      <c r="AH478" s="142" t="s">
        <v>3047</v>
      </c>
      <c r="AI478" s="142" t="s">
        <v>3047</v>
      </c>
      <c r="AJ478" s="142">
        <f>B478*IBGE_2!AJ$478/100</f>
        <v>20</v>
      </c>
      <c r="AK478" s="145" t="s">
        <v>3047</v>
      </c>
      <c r="AL478" s="142">
        <f>B478*IBGE_2!AL$478/100</f>
        <v>3.39</v>
      </c>
      <c r="AM478" s="145" t="s">
        <v>3047</v>
      </c>
      <c r="AN478" s="161"/>
    </row>
    <row r="479" spans="1:40">
      <c r="A479" s="143" t="s">
        <v>1539</v>
      </c>
      <c r="B479" s="141">
        <v>100</v>
      </c>
      <c r="C479" s="142">
        <f>B479*IBGE_2!C$479/100</f>
        <v>69</v>
      </c>
      <c r="D479" s="142">
        <f>B479*IBGE_2!D$479/100</f>
        <v>0.72</v>
      </c>
      <c r="E479" s="142">
        <f>B479*IBGE_2!E$479/100</f>
        <v>0.16</v>
      </c>
      <c r="F479" s="142">
        <f>B479*IBGE_2!F$479/100</f>
        <v>0.05</v>
      </c>
      <c r="G479" s="142">
        <f>B479*IBGE_2!G$479/100</f>
        <v>0.01</v>
      </c>
      <c r="H479" s="142">
        <f>B479*IBGE_2!H$479/100</f>
        <v>0.05</v>
      </c>
      <c r="I479" s="142">
        <f>B479*IBGE_2!I$479/100</f>
        <v>0.04</v>
      </c>
      <c r="J479" s="142">
        <f>B479*IBGE_2!J$479/100</f>
        <v>0.01</v>
      </c>
      <c r="K479" s="142" t="s">
        <v>3047</v>
      </c>
      <c r="L479" s="142">
        <f>B479*IBGE_2!L$479/100</f>
        <v>18.100000000000001</v>
      </c>
      <c r="M479" s="142">
        <f>B479*IBGE_2!M$479/100</f>
        <v>0.9</v>
      </c>
      <c r="N479" s="142">
        <f>B479*IBGE_2!N$479/100</f>
        <v>10</v>
      </c>
      <c r="O479" s="142">
        <f>B479*IBGE_2!O$479/100</f>
        <v>7</v>
      </c>
      <c r="P479" s="142">
        <f>B479*IBGE_2!P$479/100</f>
        <v>7.0000000000000007E-2</v>
      </c>
      <c r="Q479" s="142">
        <f>B479*IBGE_2!Q$479/100</f>
        <v>20</v>
      </c>
      <c r="R479" s="142">
        <f>B479*IBGE_2!R$479/100</f>
        <v>0.36</v>
      </c>
      <c r="S479" s="142">
        <f>B479*IBGE_2!S$479/100</f>
        <v>2</v>
      </c>
      <c r="T479" s="142">
        <f>B479*IBGE_2!T$479/100</f>
        <v>191</v>
      </c>
      <c r="U479" s="142">
        <f>B479*IBGE_2!U$479/100</f>
        <v>0.13</v>
      </c>
      <c r="V479" s="142">
        <f>B479*IBGE_2!V$479/100</f>
        <v>7.0000000000000007E-2</v>
      </c>
      <c r="W479" s="142" t="s">
        <v>3047</v>
      </c>
      <c r="X479" s="142">
        <f>B479*IBGE_2!X$479/100</f>
        <v>7.0000000000000007E-2</v>
      </c>
      <c r="Y479" s="142">
        <f>B479*IBGE_2!Y$479/100</f>
        <v>7.0000000000000007E-2</v>
      </c>
      <c r="Z479" s="142">
        <f>B479*IBGE_2!Z$479/100</f>
        <v>0.09</v>
      </c>
      <c r="AA479" s="142">
        <f>B479*IBGE_2!AA$479/100</f>
        <v>0.19</v>
      </c>
      <c r="AB479" s="142">
        <f>B479*IBGE_2!AB$479/100</f>
        <v>10.8</v>
      </c>
      <c r="AC479" s="142">
        <f>B479*IBGE_2!AC$479/100</f>
        <v>0.37</v>
      </c>
      <c r="AD479" s="142" t="s">
        <v>3047</v>
      </c>
      <c r="AE479" s="142">
        <f>B479*IBGE_2!AE$479/100</f>
        <v>2</v>
      </c>
      <c r="AF479" s="142" t="s">
        <v>3047</v>
      </c>
      <c r="AG479" s="142">
        <f>B479*IBGE_2!AG$479/100</f>
        <v>0.38</v>
      </c>
      <c r="AH479" s="142" t="s">
        <v>3047</v>
      </c>
      <c r="AI479" s="142" t="s">
        <v>3047</v>
      </c>
      <c r="AJ479" s="142">
        <f>B479*IBGE_2!AJ$479/100</f>
        <v>0.1</v>
      </c>
      <c r="AK479" s="142">
        <f>B479*IBGE_2!AK$479/100</f>
        <v>3.29</v>
      </c>
      <c r="AL479" s="142">
        <f>B479*IBGE_2!AL$479/100</f>
        <v>15.48</v>
      </c>
      <c r="AM479" s="145" t="s">
        <v>3047</v>
      </c>
      <c r="AN479" s="161"/>
    </row>
    <row r="480" spans="1:40">
      <c r="A480" s="143" t="s">
        <v>1540</v>
      </c>
      <c r="B480" s="141">
        <v>100</v>
      </c>
      <c r="C480" s="142">
        <f>B480*IBGE_2!C$480/100</f>
        <v>299</v>
      </c>
      <c r="D480" s="142">
        <f>B480*IBGE_2!D$480/100</f>
        <v>3.07</v>
      </c>
      <c r="E480" s="142">
        <f>B480*IBGE_2!E$480/100</f>
        <v>0.46</v>
      </c>
      <c r="F480" s="142">
        <f>B480*IBGE_2!F$480/100</f>
        <v>5.800000000000001E-2</v>
      </c>
      <c r="G480" s="142">
        <f>B480*IBGE_2!G$480/100</f>
        <v>5.0999999999999997E-2</v>
      </c>
      <c r="H480" s="142">
        <f>B480*IBGE_2!H$480/100</f>
        <v>3.6999999999999998E-2</v>
      </c>
      <c r="I480" s="142">
        <f>B480*IBGE_2!I$480/100</f>
        <v>2.8000000000000004E-2</v>
      </c>
      <c r="J480" s="142">
        <f>B480*IBGE_2!J$480/100</f>
        <v>8.0000000000000002E-3</v>
      </c>
      <c r="K480" s="142" t="s">
        <v>3047</v>
      </c>
      <c r="L480" s="142">
        <f>B480*IBGE_2!L$480/100</f>
        <v>79.180000000000007</v>
      </c>
      <c r="M480" s="142">
        <f>B480*IBGE_2!M$480/100</f>
        <v>3.7</v>
      </c>
      <c r="N480" s="142">
        <f>B480*IBGE_2!N$480/100</f>
        <v>50</v>
      </c>
      <c r="O480" s="142">
        <f>B480*IBGE_2!O$480/100</f>
        <v>32</v>
      </c>
      <c r="P480" s="142">
        <f>B480*IBGE_2!P$480/100</f>
        <v>0.29899999999999999</v>
      </c>
      <c r="Q480" s="142">
        <f>B480*IBGE_2!Q$480/100</f>
        <v>101</v>
      </c>
      <c r="R480" s="142">
        <f>B480*IBGE_2!R$480/100</f>
        <v>1.88</v>
      </c>
      <c r="S480" s="142">
        <f>B480*IBGE_2!S$480/100</f>
        <v>11</v>
      </c>
      <c r="T480" s="142">
        <f>B480*IBGE_2!T$480/100</f>
        <v>749</v>
      </c>
      <c r="U480" s="142">
        <f>B480*IBGE_2!U$480/100</f>
        <v>0.318</v>
      </c>
      <c r="V480" s="142">
        <f>B480*IBGE_2!V$480/100</f>
        <v>0.22</v>
      </c>
      <c r="W480" s="142" t="s">
        <v>3047</v>
      </c>
      <c r="X480" s="142">
        <f>B480*IBGE_2!X$480/100</f>
        <v>0.106</v>
      </c>
      <c r="Y480" s="142">
        <f>B480*IBGE_2!Y$480/100</f>
        <v>0.125</v>
      </c>
      <c r="Z480" s="142">
        <f>B480*IBGE_2!Z$480/100</f>
        <v>0.17399999999999999</v>
      </c>
      <c r="AA480" s="142">
        <f>B480*IBGE_2!AA$480/100</f>
        <v>0.7659999999999999</v>
      </c>
      <c r="AB480" s="142">
        <f>B480*IBGE_2!AB$480/100</f>
        <v>2.2999999999999998</v>
      </c>
      <c r="AC480" s="142">
        <f>B480*IBGE_2!AC$480/100</f>
        <v>1.599</v>
      </c>
      <c r="AD480" s="142" t="s">
        <v>3047</v>
      </c>
      <c r="AE480" s="142">
        <f>B480*IBGE_2!AE$480/100</f>
        <v>5</v>
      </c>
      <c r="AF480" s="142" t="s">
        <v>3047</v>
      </c>
      <c r="AG480" s="142">
        <f>B480*IBGE_2!AG$480/100</f>
        <v>0.11</v>
      </c>
      <c r="AH480" s="142" t="s">
        <v>3047</v>
      </c>
      <c r="AI480" s="142" t="s">
        <v>3047</v>
      </c>
      <c r="AJ480" s="142">
        <f>B480*IBGE_2!AJ$480/100</f>
        <v>0.6</v>
      </c>
      <c r="AK480" s="145" t="s">
        <v>3047</v>
      </c>
      <c r="AL480" s="142">
        <f>B480*IBGE_2!AL$480/100</f>
        <v>57.88</v>
      </c>
      <c r="AM480" s="145" t="s">
        <v>3047</v>
      </c>
      <c r="AN480" s="161"/>
    </row>
    <row r="481" spans="1:40">
      <c r="A481" s="143" t="s">
        <v>1541</v>
      </c>
      <c r="B481" s="141">
        <v>100</v>
      </c>
      <c r="C481" s="142">
        <f>B481*IBGE_2!C$481/100</f>
        <v>113</v>
      </c>
      <c r="D481" s="142">
        <f>B481*IBGE_2!D$481/100</f>
        <v>5.2</v>
      </c>
      <c r="E481" s="142">
        <f>B481*IBGE_2!E$481/100</f>
        <v>0.3</v>
      </c>
      <c r="F481" s="142" t="s">
        <v>3047</v>
      </c>
      <c r="G481" s="142" t="s">
        <v>3047</v>
      </c>
      <c r="H481" s="142" t="s">
        <v>3047</v>
      </c>
      <c r="I481" s="142" t="s">
        <v>3047</v>
      </c>
      <c r="J481" s="142" t="s">
        <v>3047</v>
      </c>
      <c r="K481" s="142" t="s">
        <v>3047</v>
      </c>
      <c r="L481" s="142">
        <f>B481*IBGE_2!L$481/100</f>
        <v>25.7</v>
      </c>
      <c r="M481" s="142">
        <f>B481*IBGE_2!M$481/100</f>
        <v>9.4</v>
      </c>
      <c r="N481" s="142">
        <f>B481*IBGE_2!N$481/100</f>
        <v>40</v>
      </c>
      <c r="O481" s="142" t="s">
        <v>3047</v>
      </c>
      <c r="P481" s="142" t="s">
        <v>3047</v>
      </c>
      <c r="Q481" s="142">
        <f>B481*IBGE_2!Q$481/100</f>
        <v>58</v>
      </c>
      <c r="R481" s="142">
        <f>B481*IBGE_2!R$481/100</f>
        <v>3.6</v>
      </c>
      <c r="S481" s="142" t="s">
        <v>3047</v>
      </c>
      <c r="T481" s="142" t="s">
        <v>3047</v>
      </c>
      <c r="U481" s="142" t="s">
        <v>3047</v>
      </c>
      <c r="V481" s="142" t="s">
        <v>3047</v>
      </c>
      <c r="W481" s="142">
        <f>B481*IBGE_2!W$481/100</f>
        <v>30</v>
      </c>
      <c r="X481" s="142">
        <f>B481*IBGE_2!X$481/100</f>
        <v>0.04</v>
      </c>
      <c r="Y481" s="142">
        <f>B481*IBGE_2!Y$481/100</f>
        <v>0.04</v>
      </c>
      <c r="Z481" s="142" t="s">
        <v>3047</v>
      </c>
      <c r="AA481" s="142">
        <f>B481*IBGE_2!AA$481/100</f>
        <v>0.5</v>
      </c>
      <c r="AB481" s="142">
        <f>B481*IBGE_2!AB$481/100</f>
        <v>33</v>
      </c>
      <c r="AC481" s="142" t="s">
        <v>3047</v>
      </c>
      <c r="AD481" s="142" t="s">
        <v>3047</v>
      </c>
      <c r="AE481" s="145" t="s">
        <v>3047</v>
      </c>
      <c r="AF481" s="142" t="s">
        <v>3047</v>
      </c>
      <c r="AG481" s="145" t="s">
        <v>3047</v>
      </c>
      <c r="AH481" s="142" t="s">
        <v>3047</v>
      </c>
      <c r="AI481" s="142" t="s">
        <v>3047</v>
      </c>
      <c r="AJ481" s="145" t="s">
        <v>3047</v>
      </c>
      <c r="AK481" s="145" t="s">
        <v>3047</v>
      </c>
      <c r="AL481" s="145" t="s">
        <v>3047</v>
      </c>
      <c r="AM481" s="145" t="s">
        <v>3047</v>
      </c>
      <c r="AN481" s="161"/>
    </row>
    <row r="482" spans="1:40">
      <c r="A482" s="143" t="s">
        <v>1542</v>
      </c>
      <c r="B482" s="141">
        <v>100</v>
      </c>
      <c r="C482" s="142">
        <f>B482*IBGE_2!C$482/100</f>
        <v>94</v>
      </c>
      <c r="D482" s="142">
        <f>B482*IBGE_2!D$482/100</f>
        <v>1.47</v>
      </c>
      <c r="E482" s="142">
        <f>B482*IBGE_2!E$482/100</f>
        <v>0.3</v>
      </c>
      <c r="F482" s="142">
        <f>B482*IBGE_2!F$482/100</f>
        <v>0.06</v>
      </c>
      <c r="G482" s="142">
        <f>B482*IBGE_2!G$482/100</f>
        <v>0.04</v>
      </c>
      <c r="H482" s="142">
        <f>B482*IBGE_2!H$482/100</f>
        <v>0.09</v>
      </c>
      <c r="I482" s="142">
        <f>B482*IBGE_2!I$482/100</f>
        <v>0.06</v>
      </c>
      <c r="J482" s="142">
        <f>B482*IBGE_2!J$482/100</f>
        <v>0.02</v>
      </c>
      <c r="K482" s="142" t="s">
        <v>3047</v>
      </c>
      <c r="L482" s="142">
        <f>B482*IBGE_2!L$482/100</f>
        <v>24.01</v>
      </c>
      <c r="M482" s="142">
        <f>B482*IBGE_2!M$482/100</f>
        <v>1.6</v>
      </c>
      <c r="N482" s="142">
        <f>B482*IBGE_2!N$482/100</f>
        <v>34</v>
      </c>
      <c r="O482" s="142">
        <f>B482*IBGE_2!O$482/100</f>
        <v>37</v>
      </c>
      <c r="P482" s="142">
        <f>B482*IBGE_2!P$482/100</f>
        <v>0.2</v>
      </c>
      <c r="Q482" s="142">
        <f>B482*IBGE_2!Q$482/100</f>
        <v>36</v>
      </c>
      <c r="R482" s="142">
        <f>B482*IBGE_2!R$482/100</f>
        <v>0.6</v>
      </c>
      <c r="S482" s="142">
        <f>B482*IBGE_2!S$482/100</f>
        <v>3</v>
      </c>
      <c r="T482" s="142">
        <f>B482*IBGE_2!T$482/100</f>
        <v>303</v>
      </c>
      <c r="U482" s="142">
        <f>B482*IBGE_2!U$482/100</f>
        <v>0.19</v>
      </c>
      <c r="V482" s="142">
        <f>B482*IBGE_2!V$482/100</f>
        <v>0.42</v>
      </c>
      <c r="W482" s="142" t="s">
        <v>3047</v>
      </c>
      <c r="X482" s="142">
        <f>B482*IBGE_2!X$482/100</f>
        <v>0.03</v>
      </c>
      <c r="Y482" s="142">
        <f>B482*IBGE_2!Y$482/100</f>
        <v>0.11</v>
      </c>
      <c r="Z482" s="142">
        <f>B482*IBGE_2!Z$482/100</f>
        <v>0.11</v>
      </c>
      <c r="AA482" s="142">
        <f>B482*IBGE_2!AA$482/100</f>
        <v>0.4</v>
      </c>
      <c r="AB482" s="142">
        <f>B482*IBGE_2!AB$482/100</f>
        <v>6.7</v>
      </c>
      <c r="AC482" s="142">
        <f>B482*IBGE_2!AC$482/100</f>
        <v>0.4</v>
      </c>
      <c r="AD482" s="142" t="s">
        <v>3047</v>
      </c>
      <c r="AE482" s="142">
        <f>B482*IBGE_2!AE$482/100</f>
        <v>14</v>
      </c>
      <c r="AF482" s="142" t="s">
        <v>3047</v>
      </c>
      <c r="AG482" s="142">
        <f>B482*IBGE_2!AG$482/100</f>
        <v>0.1</v>
      </c>
      <c r="AH482" s="142" t="s">
        <v>3047</v>
      </c>
      <c r="AI482" s="142" t="s">
        <v>3047</v>
      </c>
      <c r="AJ482" s="142">
        <f>B482*IBGE_2!AJ$482/100</f>
        <v>0.6</v>
      </c>
      <c r="AK482" s="142">
        <f>B482*IBGE_2!AK$482/100</f>
        <v>14.85</v>
      </c>
      <c r="AL482" s="142">
        <f>B482*IBGE_2!AL$482/100</f>
        <v>8.08</v>
      </c>
      <c r="AM482" s="145" t="s">
        <v>3047</v>
      </c>
      <c r="AN482" s="161"/>
    </row>
    <row r="483" spans="1:40">
      <c r="A483" s="143" t="s">
        <v>1543</v>
      </c>
      <c r="B483" s="141">
        <v>100</v>
      </c>
      <c r="C483" s="142">
        <f>B483*IBGE_2!C$483/100</f>
        <v>68</v>
      </c>
      <c r="D483" s="142">
        <f>B483*IBGE_2!D$483/100</f>
        <v>2.5499999999999998</v>
      </c>
      <c r="E483" s="142">
        <f>B483*IBGE_2!E$483/100</f>
        <v>0.95</v>
      </c>
      <c r="F483" s="142">
        <f>B483*IBGE_2!F$483/100</f>
        <v>0.27</v>
      </c>
      <c r="G483" s="142">
        <f>B483*IBGE_2!G$483/100</f>
        <v>0.09</v>
      </c>
      <c r="H483" s="142">
        <f>B483*IBGE_2!H$483/100</f>
        <v>0.4</v>
      </c>
      <c r="I483" s="142">
        <f>B483*IBGE_2!I$483/100</f>
        <v>0.28999999999999998</v>
      </c>
      <c r="J483" s="142">
        <f>B483*IBGE_2!J$483/100</f>
        <v>0.11</v>
      </c>
      <c r="K483" s="142" t="s">
        <v>3047</v>
      </c>
      <c r="L483" s="142">
        <f>B483*IBGE_2!L$483/100</f>
        <v>14.32</v>
      </c>
      <c r="M483" s="142">
        <f>B483*IBGE_2!M$483/100</f>
        <v>5.4</v>
      </c>
      <c r="N483" s="142">
        <f>B483*IBGE_2!N$483/100</f>
        <v>18</v>
      </c>
      <c r="O483" s="142">
        <f>B483*IBGE_2!O$483/100</f>
        <v>22</v>
      </c>
      <c r="P483" s="142">
        <f>B483*IBGE_2!P$483/100</f>
        <v>0.15</v>
      </c>
      <c r="Q483" s="142">
        <f>B483*IBGE_2!Q$483/100</f>
        <v>40</v>
      </c>
      <c r="R483" s="142">
        <f>B483*IBGE_2!R$483/100</f>
        <v>0.26</v>
      </c>
      <c r="S483" s="142">
        <f>B483*IBGE_2!S$483/100</f>
        <v>2</v>
      </c>
      <c r="T483" s="142">
        <f>B483*IBGE_2!T$483/100</f>
        <v>417</v>
      </c>
      <c r="U483" s="142">
        <f>B483*IBGE_2!U$483/100</f>
        <v>0.23</v>
      </c>
      <c r="V483" s="142">
        <f>B483*IBGE_2!V$483/100</f>
        <v>0.23</v>
      </c>
      <c r="W483" s="142" t="s">
        <v>3047</v>
      </c>
      <c r="X483" s="142">
        <f>B483*IBGE_2!X$483/100</f>
        <v>7.0000000000000007E-2</v>
      </c>
      <c r="Y483" s="142">
        <f>B483*IBGE_2!Y$483/100</f>
        <v>0.04</v>
      </c>
      <c r="Z483" s="142">
        <f>B483*IBGE_2!Z$483/100</f>
        <v>0.11</v>
      </c>
      <c r="AA483" s="142">
        <f>B483*IBGE_2!AA$483/100</f>
        <v>1.08</v>
      </c>
      <c r="AB483" s="142">
        <f>B483*IBGE_2!AB$483/100</f>
        <v>228.3</v>
      </c>
      <c r="AC483" s="142">
        <f>B483*IBGE_2!AC$483/100</f>
        <v>1.45</v>
      </c>
      <c r="AD483" s="142" t="s">
        <v>3047</v>
      </c>
      <c r="AE483" s="142">
        <f>B483*IBGE_2!AE$483/100</f>
        <v>49</v>
      </c>
      <c r="AF483" s="142" t="s">
        <v>3047</v>
      </c>
      <c r="AG483" s="142">
        <f>B483*IBGE_2!AG$483/100</f>
        <v>0.73</v>
      </c>
      <c r="AH483" s="142" t="s">
        <v>3047</v>
      </c>
      <c r="AI483" s="142" t="s">
        <v>3047</v>
      </c>
      <c r="AJ483" s="142">
        <f>B483*IBGE_2!AJ$483/100</f>
        <v>0.6</v>
      </c>
      <c r="AK483" s="142">
        <f>B483*IBGE_2!AK$483/100</f>
        <v>31.17</v>
      </c>
      <c r="AL483" s="142">
        <f>B483*IBGE_2!AL$483/100</f>
        <v>8.82</v>
      </c>
      <c r="AM483" s="145" t="s">
        <v>3047</v>
      </c>
      <c r="AN483" s="161"/>
    </row>
    <row r="484" spans="1:40">
      <c r="A484" s="143" t="s">
        <v>1544</v>
      </c>
      <c r="B484" s="141">
        <v>100</v>
      </c>
      <c r="C484" s="142">
        <f>B484*IBGE_2!C$484/100</f>
        <v>68</v>
      </c>
      <c r="D484" s="142">
        <f>B484*IBGE_2!D$484/100</f>
        <v>2.5499999999999998</v>
      </c>
      <c r="E484" s="142">
        <f>B484*IBGE_2!E$484/100</f>
        <v>0.95</v>
      </c>
      <c r="F484" s="142">
        <f>B484*IBGE_2!F$484/100</f>
        <v>0.27</v>
      </c>
      <c r="G484" s="142">
        <f>B484*IBGE_2!G$484/100</f>
        <v>0.09</v>
      </c>
      <c r="H484" s="142">
        <f>B484*IBGE_2!H$484/100</f>
        <v>0.4</v>
      </c>
      <c r="I484" s="142">
        <f>B484*IBGE_2!I$484/100</f>
        <v>0.28999999999999998</v>
      </c>
      <c r="J484" s="142">
        <f>B484*IBGE_2!J$484/100</f>
        <v>0.11</v>
      </c>
      <c r="K484" s="142" t="s">
        <v>3047</v>
      </c>
      <c r="L484" s="142">
        <f>B484*IBGE_2!L$484/100</f>
        <v>14.32</v>
      </c>
      <c r="M484" s="142">
        <f>B484*IBGE_2!M$484/100</f>
        <v>5.4</v>
      </c>
      <c r="N484" s="142">
        <f>B484*IBGE_2!N$484/100</f>
        <v>18</v>
      </c>
      <c r="O484" s="142">
        <f>B484*IBGE_2!O$484/100</f>
        <v>22</v>
      </c>
      <c r="P484" s="142">
        <f>B484*IBGE_2!P$484/100</f>
        <v>0.15</v>
      </c>
      <c r="Q484" s="142">
        <f>B484*IBGE_2!Q$484/100</f>
        <v>40</v>
      </c>
      <c r="R484" s="142">
        <f>B484*IBGE_2!R$484/100</f>
        <v>0.26</v>
      </c>
      <c r="S484" s="142">
        <f>B484*IBGE_2!S$484/100</f>
        <v>2</v>
      </c>
      <c r="T484" s="142">
        <f>B484*IBGE_2!T$484/100</f>
        <v>417</v>
      </c>
      <c r="U484" s="142">
        <f>B484*IBGE_2!U$484/100</f>
        <v>0.23</v>
      </c>
      <c r="V484" s="142">
        <f>B484*IBGE_2!V$484/100</f>
        <v>0.23</v>
      </c>
      <c r="W484" s="142" t="s">
        <v>3047</v>
      </c>
      <c r="X484" s="142">
        <f>B484*IBGE_2!X$484/100</f>
        <v>7.0000000000000007E-2</v>
      </c>
      <c r="Y484" s="142">
        <f>B484*IBGE_2!Y$484/100</f>
        <v>0.04</v>
      </c>
      <c r="Z484" s="142">
        <f>B484*IBGE_2!Z$484/100</f>
        <v>0.11</v>
      </c>
      <c r="AA484" s="142">
        <f>B484*IBGE_2!AA$484/100</f>
        <v>1.08</v>
      </c>
      <c r="AB484" s="142">
        <f>B484*IBGE_2!AB$484/100</f>
        <v>228.3</v>
      </c>
      <c r="AC484" s="142">
        <f>B484*IBGE_2!AC$484/100</f>
        <v>1.45</v>
      </c>
      <c r="AD484" s="142" t="s">
        <v>3047</v>
      </c>
      <c r="AE484" s="142">
        <f>B484*IBGE_2!AE$484/100</f>
        <v>49</v>
      </c>
      <c r="AF484" s="142" t="s">
        <v>3047</v>
      </c>
      <c r="AG484" s="142">
        <f>B484*IBGE_2!AG$484/100</f>
        <v>0.73</v>
      </c>
      <c r="AH484" s="142" t="s">
        <v>3047</v>
      </c>
      <c r="AI484" s="142" t="s">
        <v>3047</v>
      </c>
      <c r="AJ484" s="142">
        <f>B484*IBGE_2!AJ$484/100</f>
        <v>0.6</v>
      </c>
      <c r="AK484" s="142">
        <f>B484*IBGE_2!AK$484/100</f>
        <v>31.17</v>
      </c>
      <c r="AL484" s="142">
        <f>B484*IBGE_2!AL$484/100</f>
        <v>8.82</v>
      </c>
      <c r="AM484" s="145" t="s">
        <v>3047</v>
      </c>
      <c r="AN484" s="161"/>
    </row>
    <row r="485" spans="1:40">
      <c r="A485" s="143" t="s">
        <v>1545</v>
      </c>
      <c r="B485" s="141">
        <v>100</v>
      </c>
      <c r="C485" s="142">
        <f>B485*IBGE_2!C$485/100</f>
        <v>46</v>
      </c>
      <c r="D485" s="142">
        <f>B485*IBGE_2!D$485/100</f>
        <v>0.7</v>
      </c>
      <c r="E485" s="142">
        <f>B485*IBGE_2!E$485/100</f>
        <v>0.28000000000000003</v>
      </c>
      <c r="F485" s="142">
        <f>B485*IBGE_2!F$485/100</f>
        <v>0.02</v>
      </c>
      <c r="G485" s="142">
        <f>B485*IBGE_2!G$485/100</f>
        <v>0.13</v>
      </c>
      <c r="H485" s="142">
        <f>B485*IBGE_2!H$485/100</f>
        <v>0.04</v>
      </c>
      <c r="I485" s="142">
        <f>B485*IBGE_2!I$485/100</f>
        <v>0.04</v>
      </c>
      <c r="J485" s="142" t="s">
        <v>3047</v>
      </c>
      <c r="K485" s="142" t="s">
        <v>3047</v>
      </c>
      <c r="L485" s="142">
        <f>B485*IBGE_2!L$485/100</f>
        <v>11.42</v>
      </c>
      <c r="M485" s="142">
        <f>B485*IBGE_2!M$485/100</f>
        <v>1.4</v>
      </c>
      <c r="N485" s="142">
        <f>B485*IBGE_2!N$485/100</f>
        <v>6</v>
      </c>
      <c r="O485" s="142">
        <f>B485*IBGE_2!O$485/100</f>
        <v>7</v>
      </c>
      <c r="P485" s="142">
        <f>B485*IBGE_2!P$485/100</f>
        <v>0.05</v>
      </c>
      <c r="Q485" s="142">
        <f>B485*IBGE_2!Q$485/100</f>
        <v>16</v>
      </c>
      <c r="R485" s="142">
        <f>B485*IBGE_2!R$485/100</f>
        <v>0.17</v>
      </c>
      <c r="S485" s="142" t="s">
        <v>3047</v>
      </c>
      <c r="T485" s="142">
        <f>B485*IBGE_2!T$485/100</f>
        <v>157</v>
      </c>
      <c r="U485" s="142">
        <f>B485*IBGE_2!U$485/100</f>
        <v>0.06</v>
      </c>
      <c r="V485" s="142">
        <f>B485*IBGE_2!V$485/100</f>
        <v>0.1</v>
      </c>
      <c r="W485" s="142" t="s">
        <v>3047</v>
      </c>
      <c r="X485" s="142">
        <f>B485*IBGE_2!X$485/100</f>
        <v>0.03</v>
      </c>
      <c r="Y485" s="142">
        <f>B485*IBGE_2!Y$485/100</f>
        <v>0.03</v>
      </c>
      <c r="Z485" s="142">
        <f>B485*IBGE_2!Z$485/100</f>
        <v>0.03</v>
      </c>
      <c r="AA485" s="142">
        <f>B485*IBGE_2!AA$485/100</f>
        <v>0.42</v>
      </c>
      <c r="AB485" s="142">
        <f>B485*IBGE_2!AB$485/100</f>
        <v>9.5</v>
      </c>
      <c r="AC485" s="142">
        <f>B485*IBGE_2!AC$485/100</f>
        <v>0.56999999999999995</v>
      </c>
      <c r="AD485" s="142" t="s">
        <v>3047</v>
      </c>
      <c r="AE485" s="142">
        <f>B485*IBGE_2!AE$485/100</f>
        <v>5</v>
      </c>
      <c r="AF485" s="142" t="s">
        <v>3047</v>
      </c>
      <c r="AG485" s="142">
        <f>B485*IBGE_2!AG$485/100</f>
        <v>0.28000000000000003</v>
      </c>
      <c r="AH485" s="142" t="s">
        <v>3047</v>
      </c>
      <c r="AI485" s="142" t="s">
        <v>3047</v>
      </c>
      <c r="AJ485" s="145" t="s">
        <v>3047</v>
      </c>
      <c r="AK485" s="142">
        <f>B485*IBGE_2!AK$485/100</f>
        <v>17.29</v>
      </c>
      <c r="AL485" s="142">
        <f>B485*IBGE_2!AL$485/100</f>
        <v>9.93</v>
      </c>
      <c r="AM485" s="145" t="s">
        <v>3047</v>
      </c>
      <c r="AN485" s="161"/>
    </row>
    <row r="486" spans="1:40">
      <c r="A486" s="143" t="s">
        <v>1546</v>
      </c>
      <c r="B486" s="141">
        <v>100</v>
      </c>
      <c r="C486" s="142">
        <f>B486*IBGE_2!C$486/100</f>
        <v>43</v>
      </c>
      <c r="D486" s="142">
        <f>B486*IBGE_2!D$486/100</f>
        <v>1</v>
      </c>
      <c r="E486" s="142">
        <f>B486*IBGE_2!E$486/100</f>
        <v>0.3</v>
      </c>
      <c r="F486" s="142" t="s">
        <v>3047</v>
      </c>
      <c r="G486" s="142" t="s">
        <v>3047</v>
      </c>
      <c r="H486" s="142" t="s">
        <v>3047</v>
      </c>
      <c r="I486" s="142" t="s">
        <v>3047</v>
      </c>
      <c r="J486" s="142" t="s">
        <v>3047</v>
      </c>
      <c r="K486" s="142" t="s">
        <v>3047</v>
      </c>
      <c r="L486" s="142">
        <f>B486*IBGE_2!L$486/100</f>
        <v>10.3</v>
      </c>
      <c r="M486" s="142">
        <f>B486*IBGE_2!M$486/100</f>
        <v>1.7</v>
      </c>
      <c r="N486" s="142">
        <f>B486*IBGE_2!N$486/100</f>
        <v>1</v>
      </c>
      <c r="O486" s="142">
        <f>B486*IBGE_2!O$486/100</f>
        <v>10</v>
      </c>
      <c r="P486" s="142">
        <f>B486*IBGE_2!P$486/100</f>
        <v>0.12</v>
      </c>
      <c r="Q486" s="142">
        <f>B486*IBGE_2!Q$486/100</f>
        <v>16</v>
      </c>
      <c r="R486" s="142">
        <f>B486*IBGE_2!R$486/100</f>
        <v>0.2</v>
      </c>
      <c r="S486" s="142">
        <f>B486*IBGE_2!S$486/100</f>
        <v>3</v>
      </c>
      <c r="T486" s="142">
        <f>B486*IBGE_2!T$486/100</f>
        <v>124</v>
      </c>
      <c r="U486" s="142">
        <f>B486*IBGE_2!U$486/100</f>
        <v>7.0000000000000007E-2</v>
      </c>
      <c r="V486" s="142">
        <f>B486*IBGE_2!V$486/100</f>
        <v>0.1</v>
      </c>
      <c r="W486" s="142" t="s">
        <v>3047</v>
      </c>
      <c r="X486" s="142" t="s">
        <v>3047</v>
      </c>
      <c r="Y486" s="142" t="s">
        <v>3047</v>
      </c>
      <c r="Z486" s="142" t="s">
        <v>3047</v>
      </c>
      <c r="AA486" s="142" t="s">
        <v>3047</v>
      </c>
      <c r="AB486" s="142" t="s">
        <v>3047</v>
      </c>
      <c r="AC486" s="142" t="s">
        <v>3047</v>
      </c>
      <c r="AD486" s="142" t="s">
        <v>3047</v>
      </c>
      <c r="AE486" s="145" t="s">
        <v>3047</v>
      </c>
      <c r="AF486" s="142" t="s">
        <v>3047</v>
      </c>
      <c r="AG486" s="145" t="s">
        <v>3047</v>
      </c>
      <c r="AH486" s="142" t="s">
        <v>3047</v>
      </c>
      <c r="AI486" s="142" t="s">
        <v>3047</v>
      </c>
      <c r="AJ486" s="145" t="s">
        <v>3047</v>
      </c>
      <c r="AK486" s="142">
        <f>B486*IBGE_2!AK$486/100</f>
        <v>7</v>
      </c>
      <c r="AL486" s="145" t="s">
        <v>3047</v>
      </c>
      <c r="AM486" s="145" t="s">
        <v>3047</v>
      </c>
      <c r="AN486" s="161"/>
    </row>
    <row r="487" spans="1:40">
      <c r="A487" s="143" t="s">
        <v>1547</v>
      </c>
      <c r="B487" s="141">
        <v>100</v>
      </c>
      <c r="C487" s="142">
        <f>B487*IBGE_2!C$487/100</f>
        <v>63</v>
      </c>
      <c r="D487" s="142">
        <f>B487*IBGE_2!D$487/100</f>
        <v>1.06</v>
      </c>
      <c r="E487" s="142">
        <f>B487*IBGE_2!E$487/100</f>
        <v>0.2</v>
      </c>
      <c r="F487" s="142">
        <f>B487*IBGE_2!F$487/100</f>
        <v>3.7999999999999999E-2</v>
      </c>
      <c r="G487" s="142">
        <f>B487*IBGE_2!G$487/100</f>
        <v>4.7E-2</v>
      </c>
      <c r="H487" s="142">
        <f>B487*IBGE_2!H$487/100</f>
        <v>5.2000000000000005E-2</v>
      </c>
      <c r="I487" s="142">
        <f>B487*IBGE_2!I$487/100</f>
        <v>2.7000000000000003E-2</v>
      </c>
      <c r="J487" s="142">
        <f>B487*IBGE_2!J$487/100</f>
        <v>2.6000000000000002E-2</v>
      </c>
      <c r="K487" s="142" t="s">
        <v>3047</v>
      </c>
      <c r="L487" s="142">
        <f>B487*IBGE_2!L$487/100</f>
        <v>16.010000000000002</v>
      </c>
      <c r="M487" s="142">
        <f>B487*IBGE_2!M$487/100</f>
        <v>2.1</v>
      </c>
      <c r="N487" s="142">
        <f>B487*IBGE_2!N$487/100</f>
        <v>13</v>
      </c>
      <c r="O487" s="142">
        <f>B487*IBGE_2!O$487/100</f>
        <v>11</v>
      </c>
      <c r="P487" s="142">
        <f>B487*IBGE_2!P$487/100</f>
        <v>7.0000000000000007E-2</v>
      </c>
      <c r="Q487" s="142">
        <f>B487*IBGE_2!Q$487/100</f>
        <v>21</v>
      </c>
      <c r="R487" s="142">
        <f>B487*IBGE_2!R$487/100</f>
        <v>0.36</v>
      </c>
      <c r="S487" s="142" t="s">
        <v>3047</v>
      </c>
      <c r="T487" s="142">
        <f>B487*IBGE_2!T$487/100</f>
        <v>222</v>
      </c>
      <c r="U487" s="142">
        <f>B487*IBGE_2!U$487/100</f>
        <v>0.06</v>
      </c>
      <c r="V487" s="142">
        <f>B487*IBGE_2!V$487/100</f>
        <v>7.0000000000000007E-2</v>
      </c>
      <c r="W487" s="142" t="s">
        <v>3047</v>
      </c>
      <c r="X487" s="142">
        <f>B487*IBGE_2!X$487/100</f>
        <v>2.7000000000000003E-2</v>
      </c>
      <c r="Y487" s="142">
        <f>B487*IBGE_2!Y$487/100</f>
        <v>3.3000000000000002E-2</v>
      </c>
      <c r="Z487" s="142">
        <f>B487*IBGE_2!Z$487/100</f>
        <v>4.9000000000000002E-2</v>
      </c>
      <c r="AA487" s="142">
        <f>B487*IBGE_2!AA$487/100</f>
        <v>0.154</v>
      </c>
      <c r="AB487" s="142">
        <f>B487*IBGE_2!AB$487/100</f>
        <v>7</v>
      </c>
      <c r="AC487" s="142">
        <f>B487*IBGE_2!AC$487/100</f>
        <v>0.30399999999999999</v>
      </c>
      <c r="AD487" s="142" t="s">
        <v>3047</v>
      </c>
      <c r="AE487" s="142">
        <f>B487*IBGE_2!AE$487/100</f>
        <v>4</v>
      </c>
      <c r="AF487" s="142" t="s">
        <v>3047</v>
      </c>
      <c r="AG487" s="142">
        <f>B487*IBGE_2!AG$487/100</f>
        <v>0.06</v>
      </c>
      <c r="AH487" s="142" t="s">
        <v>3047</v>
      </c>
      <c r="AI487" s="142" t="s">
        <v>3047</v>
      </c>
      <c r="AJ487" s="145" t="s">
        <v>3047</v>
      </c>
      <c r="AK487" s="142">
        <f>B487*IBGE_2!AK$487/100</f>
        <v>3.1669999999999998</v>
      </c>
      <c r="AL487" s="142">
        <f>B487*IBGE_2!AL$487/100</f>
        <v>12.82</v>
      </c>
      <c r="AM487" s="145" t="s">
        <v>3047</v>
      </c>
      <c r="AN487" s="161"/>
    </row>
    <row r="488" spans="1:40">
      <c r="A488" s="143" t="s">
        <v>1548</v>
      </c>
      <c r="B488" s="141">
        <v>100</v>
      </c>
      <c r="C488" s="142">
        <f>B488*IBGE_2!C$488/100</f>
        <v>46</v>
      </c>
      <c r="D488" s="142">
        <f>B488*IBGE_2!D$488/100</f>
        <v>1.3</v>
      </c>
      <c r="E488" s="142" t="s">
        <v>3047</v>
      </c>
      <c r="F488" s="142" t="s">
        <v>3047</v>
      </c>
      <c r="G488" s="142" t="s">
        <v>3047</v>
      </c>
      <c r="H488" s="142" t="s">
        <v>3047</v>
      </c>
      <c r="I488" s="142" t="s">
        <v>3047</v>
      </c>
      <c r="J488" s="142" t="s">
        <v>3047</v>
      </c>
      <c r="K488" s="142" t="s">
        <v>3047</v>
      </c>
      <c r="L488" s="142">
        <f>B488*IBGE_2!L$488/100</f>
        <v>11.4</v>
      </c>
      <c r="M488" s="142">
        <f>B488*IBGE_2!M$488/100</f>
        <v>2.6</v>
      </c>
      <c r="N488" s="142">
        <f>B488*IBGE_2!N$488/100</f>
        <v>13</v>
      </c>
      <c r="O488" s="142">
        <f>B488*IBGE_2!O$488/100</f>
        <v>11</v>
      </c>
      <c r="P488" s="142">
        <f>B488*IBGE_2!P$488/100</f>
        <v>0.05</v>
      </c>
      <c r="Q488" s="142">
        <f>B488*IBGE_2!Q$488/100</f>
        <v>24</v>
      </c>
      <c r="R488" s="142">
        <f>B488*IBGE_2!R$488/100</f>
        <v>0.2</v>
      </c>
      <c r="S488" s="142">
        <f>B488*IBGE_2!S$488/100</f>
        <v>1</v>
      </c>
      <c r="T488" s="142">
        <f>B488*IBGE_2!T$488/100</f>
        <v>119</v>
      </c>
      <c r="U488" s="142">
        <f>B488*IBGE_2!U$488/100</f>
        <v>0.02</v>
      </c>
      <c r="V488" s="142">
        <f>B488*IBGE_2!V$488/100</f>
        <v>0.2</v>
      </c>
      <c r="W488" s="142" t="s">
        <v>3047</v>
      </c>
      <c r="X488" s="142">
        <f>B488*IBGE_2!X$488/100</f>
        <v>0.11</v>
      </c>
      <c r="Y488" s="142" t="s">
        <v>3047</v>
      </c>
      <c r="Z488" s="142">
        <f>B488*IBGE_2!Z$488/100</f>
        <v>0.05</v>
      </c>
      <c r="AA488" s="142" t="s">
        <v>3047</v>
      </c>
      <c r="AB488" s="142">
        <f>B488*IBGE_2!AB$488/100</f>
        <v>26.7</v>
      </c>
      <c r="AC488" s="142" t="s">
        <v>3047</v>
      </c>
      <c r="AD488" s="142" t="s">
        <v>3047</v>
      </c>
      <c r="AE488" s="145" t="s">
        <v>3047</v>
      </c>
      <c r="AF488" s="142" t="s">
        <v>3047</v>
      </c>
      <c r="AG488" s="145" t="s">
        <v>3047</v>
      </c>
      <c r="AH488" s="142" t="s">
        <v>3047</v>
      </c>
      <c r="AI488" s="142" t="s">
        <v>3047</v>
      </c>
      <c r="AJ488" s="145" t="s">
        <v>3047</v>
      </c>
      <c r="AK488" s="145" t="s">
        <v>3047</v>
      </c>
      <c r="AL488" s="145" t="s">
        <v>3047</v>
      </c>
      <c r="AM488" s="145" t="s">
        <v>3047</v>
      </c>
      <c r="AN488" s="161"/>
    </row>
    <row r="489" spans="1:40">
      <c r="A489" s="143" t="s">
        <v>1549</v>
      </c>
      <c r="B489" s="141">
        <v>100</v>
      </c>
      <c r="C489" s="142">
        <f>B489*IBGE_2!C$489/100</f>
        <v>46</v>
      </c>
      <c r="D489" s="142">
        <f>B489*IBGE_2!D$489/100</f>
        <v>0.2</v>
      </c>
      <c r="E489" s="142">
        <f>B489*IBGE_2!E$489/100</f>
        <v>0.1</v>
      </c>
      <c r="F489" s="142" t="s">
        <v>3047</v>
      </c>
      <c r="G489" s="142" t="s">
        <v>3047</v>
      </c>
      <c r="H489" s="142" t="s">
        <v>3047</v>
      </c>
      <c r="I489" s="142" t="s">
        <v>3047</v>
      </c>
      <c r="J489" s="142" t="s">
        <v>3047</v>
      </c>
      <c r="K489" s="142" t="s">
        <v>3047</v>
      </c>
      <c r="L489" s="142">
        <f>B489*IBGE_2!L$489/100</f>
        <v>12.4</v>
      </c>
      <c r="M489" s="142">
        <f>B489*IBGE_2!M$489/100</f>
        <v>1.1000000000000001</v>
      </c>
      <c r="N489" s="142">
        <f>B489*IBGE_2!N$489/100</f>
        <v>56</v>
      </c>
      <c r="O489" s="142" t="s">
        <v>3047</v>
      </c>
      <c r="P489" s="142" t="s">
        <v>3047</v>
      </c>
      <c r="Q489" s="142">
        <f>B489*IBGE_2!Q$489/100</f>
        <v>67</v>
      </c>
      <c r="R489" s="142">
        <f>B489*IBGE_2!R$489/100</f>
        <v>0.3</v>
      </c>
      <c r="S489" s="142" t="s">
        <v>3047</v>
      </c>
      <c r="T489" s="142" t="s">
        <v>3047</v>
      </c>
      <c r="U489" s="142" t="s">
        <v>3047</v>
      </c>
      <c r="V489" s="142" t="s">
        <v>3047</v>
      </c>
      <c r="W489" s="142">
        <f>B489*IBGE_2!W$489/100</f>
        <v>34</v>
      </c>
      <c r="X489" s="142">
        <f>B489*IBGE_2!X$489/100</f>
        <v>0.05</v>
      </c>
      <c r="Y489" s="142">
        <f>B489*IBGE_2!Y$489/100</f>
        <v>0.02</v>
      </c>
      <c r="Z489" s="142" t="s">
        <v>3047</v>
      </c>
      <c r="AA489" s="142">
        <f>B489*IBGE_2!AA$489/100</f>
        <v>1.4</v>
      </c>
      <c r="AB489" s="142">
        <f>B489*IBGE_2!AB$489/100</f>
        <v>36</v>
      </c>
      <c r="AC489" s="142" t="s">
        <v>3047</v>
      </c>
      <c r="AD489" s="142" t="s">
        <v>3047</v>
      </c>
      <c r="AE489" s="145" t="s">
        <v>3047</v>
      </c>
      <c r="AF489" s="142" t="s">
        <v>3047</v>
      </c>
      <c r="AG489" s="145" t="s">
        <v>3047</v>
      </c>
      <c r="AH489" s="142" t="s">
        <v>3047</v>
      </c>
      <c r="AI489" s="142" t="s">
        <v>3047</v>
      </c>
      <c r="AJ489" s="145" t="s">
        <v>3047</v>
      </c>
      <c r="AK489" s="145" t="s">
        <v>3047</v>
      </c>
      <c r="AL489" s="145" t="s">
        <v>3047</v>
      </c>
      <c r="AM489" s="145" t="s">
        <v>3047</v>
      </c>
      <c r="AN489" s="161"/>
    </row>
    <row r="490" spans="1:40">
      <c r="A490" s="143" t="s">
        <v>1550</v>
      </c>
      <c r="B490" s="141">
        <v>100</v>
      </c>
      <c r="C490" s="142">
        <f>B490*IBGE_2!C$490/100</f>
        <v>70</v>
      </c>
      <c r="D490" s="142">
        <f>B490*IBGE_2!D$490/100</f>
        <v>0.8</v>
      </c>
      <c r="E490" s="142">
        <f>B490*IBGE_2!E$490/100</f>
        <v>2.1</v>
      </c>
      <c r="F490" s="142" t="s">
        <v>3047</v>
      </c>
      <c r="G490" s="142" t="s">
        <v>3047</v>
      </c>
      <c r="H490" s="142" t="s">
        <v>3047</v>
      </c>
      <c r="I490" s="142" t="s">
        <v>3047</v>
      </c>
      <c r="J490" s="142" t="s">
        <v>3047</v>
      </c>
      <c r="K490" s="142" t="s">
        <v>3047</v>
      </c>
      <c r="L490" s="142">
        <f>B490*IBGE_2!L$490/100</f>
        <v>13.8</v>
      </c>
      <c r="M490" s="142">
        <f>B490*IBGE_2!M$490/100</f>
        <v>1</v>
      </c>
      <c r="N490" s="142">
        <f>B490*IBGE_2!N$490/100</f>
        <v>26</v>
      </c>
      <c r="O490" s="142" t="s">
        <v>3047</v>
      </c>
      <c r="P490" s="142" t="s">
        <v>3047</v>
      </c>
      <c r="Q490" s="142">
        <f>B490*IBGE_2!Q$490/100</f>
        <v>31</v>
      </c>
      <c r="R490" s="142">
        <f>B490*IBGE_2!R$490/100</f>
        <v>2.2000000000000002</v>
      </c>
      <c r="S490" s="142" t="s">
        <v>3047</v>
      </c>
      <c r="T490" s="142" t="s">
        <v>3047</v>
      </c>
      <c r="U490" s="142" t="s">
        <v>3047</v>
      </c>
      <c r="V490" s="142" t="s">
        <v>3047</v>
      </c>
      <c r="W490" s="142">
        <f>B490*IBGE_2!W$490/100</f>
        <v>23</v>
      </c>
      <c r="X490" s="142">
        <f>B490*IBGE_2!X$490/100</f>
        <v>0.08</v>
      </c>
      <c r="Y490" s="142">
        <f>B490*IBGE_2!Y$490/100</f>
        <v>0.06</v>
      </c>
      <c r="Z490" s="142" t="s">
        <v>3047</v>
      </c>
      <c r="AA490" s="142">
        <f>B490*IBGE_2!AA$490/100</f>
        <v>0.5</v>
      </c>
      <c r="AB490" s="142">
        <f>B490*IBGE_2!AB$490/100</f>
        <v>28</v>
      </c>
      <c r="AC490" s="142" t="s">
        <v>3047</v>
      </c>
      <c r="AD490" s="142" t="s">
        <v>3047</v>
      </c>
      <c r="AE490" s="145" t="s">
        <v>3047</v>
      </c>
      <c r="AF490" s="142" t="s">
        <v>3047</v>
      </c>
      <c r="AG490" s="145" t="s">
        <v>3047</v>
      </c>
      <c r="AH490" s="142" t="s">
        <v>3047</v>
      </c>
      <c r="AI490" s="142" t="s">
        <v>3047</v>
      </c>
      <c r="AJ490" s="145" t="s">
        <v>3047</v>
      </c>
      <c r="AK490" s="145" t="s">
        <v>3047</v>
      </c>
      <c r="AL490" s="145" t="s">
        <v>3047</v>
      </c>
      <c r="AM490" s="145" t="s">
        <v>3047</v>
      </c>
      <c r="AN490" s="161"/>
    </row>
    <row r="491" spans="1:40">
      <c r="A491" s="143" t="s">
        <v>1551</v>
      </c>
      <c r="B491" s="141">
        <v>100</v>
      </c>
      <c r="C491" s="142">
        <f>B491*IBGE_2!C$491/100</f>
        <v>46</v>
      </c>
      <c r="D491" s="142">
        <f>B491*IBGE_2!D$491/100</f>
        <v>1.3</v>
      </c>
      <c r="E491" s="142" t="s">
        <v>3047</v>
      </c>
      <c r="F491" s="142" t="s">
        <v>3047</v>
      </c>
      <c r="G491" s="142" t="s">
        <v>3047</v>
      </c>
      <c r="H491" s="142" t="s">
        <v>3047</v>
      </c>
      <c r="I491" s="142" t="s">
        <v>3047</v>
      </c>
      <c r="J491" s="142" t="s">
        <v>3047</v>
      </c>
      <c r="K491" s="142" t="s">
        <v>3047</v>
      </c>
      <c r="L491" s="142">
        <f>B491*IBGE_2!L$491/100</f>
        <v>11.4</v>
      </c>
      <c r="M491" s="142">
        <f>B491*IBGE_2!M$491/100</f>
        <v>2.6</v>
      </c>
      <c r="N491" s="142">
        <f>B491*IBGE_2!N$491/100</f>
        <v>13</v>
      </c>
      <c r="O491" s="142">
        <f>B491*IBGE_2!O$491/100</f>
        <v>11</v>
      </c>
      <c r="P491" s="142">
        <f>B491*IBGE_2!P$491/100</f>
        <v>0.05</v>
      </c>
      <c r="Q491" s="142">
        <f>B491*IBGE_2!Q$491/100</f>
        <v>24</v>
      </c>
      <c r="R491" s="142">
        <f>B491*IBGE_2!R$491/100</f>
        <v>0.2</v>
      </c>
      <c r="S491" s="142">
        <f>B491*IBGE_2!S$491/100</f>
        <v>1</v>
      </c>
      <c r="T491" s="142">
        <f>B491*IBGE_2!T$491/100</f>
        <v>119</v>
      </c>
      <c r="U491" s="142">
        <f>B491*IBGE_2!U$491/100</f>
        <v>0.02</v>
      </c>
      <c r="V491" s="142">
        <f>B491*IBGE_2!V$491/100</f>
        <v>0.2</v>
      </c>
      <c r="W491" s="142" t="s">
        <v>3047</v>
      </c>
      <c r="X491" s="142">
        <f>B491*IBGE_2!X$491/100</f>
        <v>0.11</v>
      </c>
      <c r="Y491" s="142" t="s">
        <v>3047</v>
      </c>
      <c r="Z491" s="142">
        <f>B491*IBGE_2!Z$491/100</f>
        <v>0.05</v>
      </c>
      <c r="AA491" s="142" t="s">
        <v>3047</v>
      </c>
      <c r="AB491" s="142">
        <f>B491*IBGE_2!AB$491/100</f>
        <v>26.7</v>
      </c>
      <c r="AC491" s="142" t="s">
        <v>3047</v>
      </c>
      <c r="AD491" s="142" t="s">
        <v>3047</v>
      </c>
      <c r="AE491" s="145" t="s">
        <v>3047</v>
      </c>
      <c r="AF491" s="142" t="s">
        <v>3047</v>
      </c>
      <c r="AG491" s="145" t="s">
        <v>3047</v>
      </c>
      <c r="AH491" s="142" t="s">
        <v>3047</v>
      </c>
      <c r="AI491" s="142" t="s">
        <v>3047</v>
      </c>
      <c r="AJ491" s="145" t="s">
        <v>3047</v>
      </c>
      <c r="AK491" s="145" t="s">
        <v>3047</v>
      </c>
      <c r="AL491" s="145" t="s">
        <v>3047</v>
      </c>
      <c r="AM491" s="145" t="s">
        <v>3047</v>
      </c>
      <c r="AN491" s="161"/>
    </row>
    <row r="492" spans="1:40">
      <c r="A492" s="143" t="s">
        <v>1552</v>
      </c>
      <c r="B492" s="141">
        <v>100</v>
      </c>
      <c r="C492" s="142">
        <f>B492*IBGE_2!C$492/100</f>
        <v>31</v>
      </c>
      <c r="D492" s="142">
        <f>B492*IBGE_2!D$492/100</f>
        <v>1.04</v>
      </c>
      <c r="E492" s="142">
        <f>B492*IBGE_2!E$492/100</f>
        <v>0.33</v>
      </c>
      <c r="F492" s="142">
        <f>B492*IBGE_2!F$492/100</f>
        <v>0.02</v>
      </c>
      <c r="G492" s="142">
        <f>B492*IBGE_2!G$492/100</f>
        <v>0.03</v>
      </c>
      <c r="H492" s="142">
        <f>B492*IBGE_2!H$492/100</f>
        <v>0.18</v>
      </c>
      <c r="I492" s="142">
        <f>B492*IBGE_2!I$492/100</f>
        <v>0.16</v>
      </c>
      <c r="J492" s="142">
        <f>B492*IBGE_2!J$492/100</f>
        <v>0.03</v>
      </c>
      <c r="K492" s="142" t="s">
        <v>3047</v>
      </c>
      <c r="L492" s="142">
        <f>B492*IBGE_2!L$492/100</f>
        <v>6.73</v>
      </c>
      <c r="M492" s="142">
        <f>B492*IBGE_2!M$492/100</f>
        <v>2.8</v>
      </c>
      <c r="N492" s="142">
        <f>B492*IBGE_2!N$492/100</f>
        <v>3</v>
      </c>
      <c r="O492" s="142">
        <f>B492*IBGE_2!O$492/100</f>
        <v>10</v>
      </c>
      <c r="P492" s="142">
        <f>B492*IBGE_2!P$492/100</f>
        <v>0.04</v>
      </c>
      <c r="Q492" s="142">
        <f>B492*IBGE_2!Q$492/100</f>
        <v>12</v>
      </c>
      <c r="R492" s="142">
        <f>B492*IBGE_2!R$492/100</f>
        <v>0.08</v>
      </c>
      <c r="S492" s="142">
        <f>B492*IBGE_2!S$492/100</f>
        <v>2</v>
      </c>
      <c r="T492" s="142">
        <f>B492*IBGE_2!T$492/100</f>
        <v>133</v>
      </c>
      <c r="U492" s="142">
        <f>B492*IBGE_2!U$492/100</f>
        <v>0.14000000000000001</v>
      </c>
      <c r="V492" s="142">
        <f>B492*IBGE_2!V$492/100</f>
        <v>0.12</v>
      </c>
      <c r="W492" s="142" t="s">
        <v>3047</v>
      </c>
      <c r="X492" s="142">
        <f>B492*IBGE_2!X$492/100</f>
        <v>0.01</v>
      </c>
      <c r="Y492" s="142">
        <f>B492*IBGE_2!Y$492/100</f>
        <v>0.02</v>
      </c>
      <c r="Z492" s="142">
        <f>B492*IBGE_2!Z$492/100</f>
        <v>0.02</v>
      </c>
      <c r="AA492" s="142">
        <f>B492*IBGE_2!AA$492/100</f>
        <v>0.37</v>
      </c>
      <c r="AB492" s="142">
        <f>B492*IBGE_2!AB$492/100</f>
        <v>34.4</v>
      </c>
      <c r="AC492" s="142">
        <f>B492*IBGE_2!AC$492/100</f>
        <v>0.5</v>
      </c>
      <c r="AD492" s="142" t="s">
        <v>3047</v>
      </c>
      <c r="AE492" s="142">
        <f>B492*IBGE_2!AE$492/100</f>
        <v>12</v>
      </c>
      <c r="AF492" s="142" t="s">
        <v>3047</v>
      </c>
      <c r="AG492" s="142">
        <f>B492*IBGE_2!AG$492/100</f>
        <v>0.15</v>
      </c>
      <c r="AH492" s="142" t="s">
        <v>3047</v>
      </c>
      <c r="AI492" s="142" t="s">
        <v>3047</v>
      </c>
      <c r="AJ492" s="142">
        <f>B492*IBGE_2!AJ$492/100</f>
        <v>0.6</v>
      </c>
      <c r="AK492" s="142">
        <f>B492*IBGE_2!AK$492/100</f>
        <v>3.08</v>
      </c>
      <c r="AL492" s="142">
        <f>B492*IBGE_2!AL$492/100</f>
        <v>3.75</v>
      </c>
      <c r="AM492" s="145" t="s">
        <v>3047</v>
      </c>
      <c r="AN492" s="161"/>
    </row>
    <row r="493" spans="1:40">
      <c r="A493" s="143" t="s">
        <v>1553</v>
      </c>
      <c r="B493" s="141">
        <v>100</v>
      </c>
      <c r="C493" s="142">
        <f>B493*IBGE_2!C$493/100</f>
        <v>73</v>
      </c>
      <c r="D493" s="142">
        <f>B493*IBGE_2!D$493/100</f>
        <v>0.66</v>
      </c>
      <c r="E493" s="142">
        <f>B493*IBGE_2!E$493/100</f>
        <v>0.5</v>
      </c>
      <c r="F493" s="142">
        <f>B493*IBGE_2!F$493/100</f>
        <v>0.02</v>
      </c>
      <c r="G493" s="142">
        <f>B493*IBGE_2!G$493/100</f>
        <v>0.08</v>
      </c>
      <c r="H493" s="142">
        <f>B493*IBGE_2!H$493/100</f>
        <v>0.25</v>
      </c>
      <c r="I493" s="142">
        <f>B493*IBGE_2!I$493/100</f>
        <v>0.16</v>
      </c>
      <c r="J493" s="142">
        <f>B493*IBGE_2!J$493/100</f>
        <v>0.09</v>
      </c>
      <c r="K493" s="142" t="s">
        <v>3047</v>
      </c>
      <c r="L493" s="142">
        <f>B493*IBGE_2!L$493/100</f>
        <v>18.399999999999999</v>
      </c>
      <c r="M493" s="142">
        <f>B493*IBGE_2!M$493/100</f>
        <v>7</v>
      </c>
      <c r="N493" s="142">
        <f>B493*IBGE_2!N$493/100</f>
        <v>38</v>
      </c>
      <c r="O493" s="142">
        <f>B493*IBGE_2!O$493/100</f>
        <v>5</v>
      </c>
      <c r="P493" s="142">
        <f>B493*IBGE_2!P$493/100</f>
        <v>1</v>
      </c>
      <c r="Q493" s="142">
        <f>B493*IBGE_2!Q$493/100</f>
        <v>39</v>
      </c>
      <c r="R493" s="142">
        <f>B493*IBGE_2!R$493/100</f>
        <v>1.6</v>
      </c>
      <c r="S493" s="142">
        <f>B493*IBGE_2!S$493/100</f>
        <v>6</v>
      </c>
      <c r="T493" s="142">
        <f>B493*IBGE_2!T$493/100</f>
        <v>280</v>
      </c>
      <c r="U493" s="142">
        <f>B493*IBGE_2!U$493/100</f>
        <v>0.06</v>
      </c>
      <c r="V493" s="142">
        <f>B493*IBGE_2!V$493/100</f>
        <v>0.11</v>
      </c>
      <c r="W493" s="142" t="s">
        <v>3047</v>
      </c>
      <c r="X493" s="142">
        <f>B493*IBGE_2!X$493/100</f>
        <v>7.0000000000000007E-2</v>
      </c>
      <c r="Y493" s="142">
        <f>B493*IBGE_2!Y$493/100</f>
        <v>0.06</v>
      </c>
      <c r="Z493" s="142">
        <f>B493*IBGE_2!Z$493/100</f>
        <v>0.23</v>
      </c>
      <c r="AA493" s="142">
        <f>B493*IBGE_2!AA$493/100</f>
        <v>0.5</v>
      </c>
      <c r="AB493" s="142">
        <f>B493*IBGE_2!AB$493/100</f>
        <v>36</v>
      </c>
      <c r="AC493" s="142">
        <f>B493*IBGE_2!AC$493/100</f>
        <v>0.72</v>
      </c>
      <c r="AD493" s="142" t="s">
        <v>3047</v>
      </c>
      <c r="AE493" s="142">
        <f>B493*IBGE_2!AE$493/100</f>
        <v>6</v>
      </c>
      <c r="AF493" s="142" t="s">
        <v>3047</v>
      </c>
      <c r="AG493" s="142">
        <f>B493*IBGE_2!AG$493/100</f>
        <v>1</v>
      </c>
      <c r="AH493" s="142" t="s">
        <v>3047</v>
      </c>
      <c r="AI493" s="142" t="s">
        <v>3047</v>
      </c>
      <c r="AJ493" s="142">
        <f>B493*IBGE_2!AJ$493/100</f>
        <v>0.6</v>
      </c>
      <c r="AK493" s="142">
        <f>B493*IBGE_2!AK$493/100</f>
        <v>29.92</v>
      </c>
      <c r="AL493" s="142">
        <f>B493*IBGE_2!AL$493/100</f>
        <v>7.48</v>
      </c>
      <c r="AM493" s="145" t="s">
        <v>3047</v>
      </c>
      <c r="AN493" s="161"/>
    </row>
    <row r="494" spans="1:40">
      <c r="A494" s="143" t="s">
        <v>1554</v>
      </c>
      <c r="B494" s="141">
        <v>100</v>
      </c>
      <c r="C494" s="142">
        <f>B494*IBGE_2!C$494/100</f>
        <v>62</v>
      </c>
      <c r="D494" s="142">
        <f>B494*IBGE_2!D$494/100</f>
        <v>0.8</v>
      </c>
      <c r="E494" s="142">
        <f>B494*IBGE_2!E$494/100</f>
        <v>0.2</v>
      </c>
      <c r="F494" s="142" t="s">
        <v>3047</v>
      </c>
      <c r="G494" s="142">
        <f>B494*IBGE_2!G$494/100</f>
        <v>0.1</v>
      </c>
      <c r="H494" s="142" t="s">
        <v>3047</v>
      </c>
      <c r="I494" s="142">
        <f>B494*IBGE_2!I$494/100</f>
        <v>0.01</v>
      </c>
      <c r="J494" s="142">
        <f>B494*IBGE_2!J$494/100</f>
        <v>0.02</v>
      </c>
      <c r="K494" s="142" t="s">
        <v>3047</v>
      </c>
      <c r="L494" s="142">
        <f>B494*IBGE_2!L$494/100</f>
        <v>15.8</v>
      </c>
      <c r="M494" s="142">
        <f>B494*IBGE_2!M$494/100</f>
        <v>1.9</v>
      </c>
      <c r="N494" s="142">
        <f>B494*IBGE_2!N$494/100</f>
        <v>40</v>
      </c>
      <c r="O494" s="142">
        <f>B494*IBGE_2!O$494/100</f>
        <v>23</v>
      </c>
      <c r="P494" s="142">
        <f>B494*IBGE_2!P$494/100</f>
        <v>0.08</v>
      </c>
      <c r="Q494" s="142">
        <f>B494*IBGE_2!Q$494/100</f>
        <v>19</v>
      </c>
      <c r="R494" s="142">
        <f>B494*IBGE_2!R$494/100</f>
        <v>0.2</v>
      </c>
      <c r="S494" s="142">
        <f>B494*IBGE_2!S$494/100</f>
        <v>4</v>
      </c>
      <c r="T494" s="142">
        <f>B494*IBGE_2!T$494/100</f>
        <v>250</v>
      </c>
      <c r="U494" s="142">
        <f>B494*IBGE_2!U$494/100</f>
        <v>0.04</v>
      </c>
      <c r="V494" s="142">
        <f>B494*IBGE_2!V$494/100</f>
        <v>0.1</v>
      </c>
      <c r="W494" s="142" t="s">
        <v>3047</v>
      </c>
      <c r="X494" s="142">
        <f>B494*IBGE_2!X$494/100</f>
        <v>0.17</v>
      </c>
      <c r="Y494" s="142">
        <f>B494*IBGE_2!Y$494/100</f>
        <v>0.12</v>
      </c>
      <c r="Z494" s="142">
        <f>B494*IBGE_2!Z$494/100</f>
        <v>0.03</v>
      </c>
      <c r="AA494" s="142" t="s">
        <v>3047</v>
      </c>
      <c r="AB494" s="142">
        <f>B494*IBGE_2!AB$494/100</f>
        <v>19.100000000000001</v>
      </c>
      <c r="AC494" s="142" t="s">
        <v>3047</v>
      </c>
      <c r="AD494" s="142" t="s">
        <v>3047</v>
      </c>
      <c r="AE494" s="145" t="s">
        <v>3047</v>
      </c>
      <c r="AF494" s="142" t="s">
        <v>3047</v>
      </c>
      <c r="AG494" s="145" t="s">
        <v>3047</v>
      </c>
      <c r="AH494" s="142" t="s">
        <v>3047</v>
      </c>
      <c r="AI494" s="142" t="s">
        <v>3047</v>
      </c>
      <c r="AJ494" s="145" t="s">
        <v>3047</v>
      </c>
      <c r="AK494" s="145" t="s">
        <v>3047</v>
      </c>
      <c r="AL494" s="145" t="s">
        <v>3047</v>
      </c>
      <c r="AM494" s="145" t="s">
        <v>3047</v>
      </c>
      <c r="AN494" s="161"/>
    </row>
    <row r="495" spans="1:40">
      <c r="A495" s="143" t="s">
        <v>1555</v>
      </c>
      <c r="B495" s="141">
        <v>100</v>
      </c>
      <c r="C495" s="142">
        <f>B495*IBGE_2!C$495/100</f>
        <v>32</v>
      </c>
      <c r="D495" s="142">
        <f>B495*IBGE_2!D$495/100</f>
        <v>0.67</v>
      </c>
      <c r="E495" s="142">
        <f>B495*IBGE_2!E$495/100</f>
        <v>0.3</v>
      </c>
      <c r="F495" s="142">
        <f>B495*IBGE_2!F$495/100</f>
        <v>0.02</v>
      </c>
      <c r="G495" s="142">
        <f>B495*IBGE_2!G$495/100</f>
        <v>0.04</v>
      </c>
      <c r="H495" s="142">
        <f>B495*IBGE_2!H$495/100</f>
        <v>0.16</v>
      </c>
      <c r="I495" s="142">
        <f>B495*IBGE_2!I$495/100</f>
        <v>0.09</v>
      </c>
      <c r="J495" s="142">
        <f>B495*IBGE_2!J$495/100</f>
        <v>7.0000000000000007E-2</v>
      </c>
      <c r="K495" s="142" t="s">
        <v>3047</v>
      </c>
      <c r="L495" s="142">
        <f>B495*IBGE_2!L$495/100</f>
        <v>7.68</v>
      </c>
      <c r="M495" s="142">
        <f>B495*IBGE_2!M$495/100</f>
        <v>2</v>
      </c>
      <c r="N495" s="142">
        <f>B495*IBGE_2!N$495/100</f>
        <v>16</v>
      </c>
      <c r="O495" s="142">
        <f>B495*IBGE_2!O$495/100</f>
        <v>13</v>
      </c>
      <c r="P495" s="142">
        <f>B495*IBGE_2!P$495/100</f>
        <v>0.39</v>
      </c>
      <c r="Q495" s="142">
        <f>B495*IBGE_2!Q$495/100</f>
        <v>24</v>
      </c>
      <c r="R495" s="142">
        <f>B495*IBGE_2!R$495/100</f>
        <v>0.41</v>
      </c>
      <c r="S495" s="142">
        <f>B495*IBGE_2!S$495/100</f>
        <v>1</v>
      </c>
      <c r="T495" s="142">
        <f>B495*IBGE_2!T$495/100</f>
        <v>153</v>
      </c>
      <c r="U495" s="142">
        <f>B495*IBGE_2!U$495/100</f>
        <v>0.05</v>
      </c>
      <c r="V495" s="142">
        <f>B495*IBGE_2!V$495/100</f>
        <v>0.14000000000000001</v>
      </c>
      <c r="W495" s="142" t="s">
        <v>3047</v>
      </c>
      <c r="X495" s="142">
        <f>B495*IBGE_2!X$495/100</f>
        <v>0.02</v>
      </c>
      <c r="Y495" s="142">
        <f>B495*IBGE_2!Y$495/100</f>
        <v>0.02</v>
      </c>
      <c r="Z495" s="142">
        <f>B495*IBGE_2!Z$495/100</f>
        <v>0.05</v>
      </c>
      <c r="AA495" s="142">
        <f>B495*IBGE_2!AA$495/100</f>
        <v>0.39</v>
      </c>
      <c r="AB495" s="142">
        <f>B495*IBGE_2!AB$495/100</f>
        <v>58.8</v>
      </c>
      <c r="AC495" s="142">
        <f>B495*IBGE_2!AC$495/100</f>
        <v>0.52</v>
      </c>
      <c r="AD495" s="142" t="s">
        <v>3047</v>
      </c>
      <c r="AE495" s="142">
        <f>B495*IBGE_2!AE$495/100</f>
        <v>24</v>
      </c>
      <c r="AF495" s="142" t="s">
        <v>3047</v>
      </c>
      <c r="AG495" s="142">
        <f>B495*IBGE_2!AG$495/100</f>
        <v>0.28000000000000003</v>
      </c>
      <c r="AH495" s="142" t="s">
        <v>3047</v>
      </c>
      <c r="AI495" s="142" t="s">
        <v>3047</v>
      </c>
      <c r="AJ495" s="142">
        <f>B495*IBGE_2!AJ$495/100</f>
        <v>0.4</v>
      </c>
      <c r="AK495" s="142">
        <f>B495*IBGE_2!AK$495/100</f>
        <v>0.57999999999999996</v>
      </c>
      <c r="AL495" s="142">
        <f>B495*IBGE_2!AL$495/100</f>
        <v>4.9000000000000004</v>
      </c>
      <c r="AM495" s="145" t="s">
        <v>3047</v>
      </c>
      <c r="AN495" s="161"/>
    </row>
    <row r="496" spans="1:40">
      <c r="A496" s="143" t="s">
        <v>1556</v>
      </c>
      <c r="B496" s="141">
        <v>100</v>
      </c>
      <c r="C496" s="142">
        <f>B496*IBGE_2!C$496/100</f>
        <v>27</v>
      </c>
      <c r="D496" s="142">
        <f>B496*IBGE_2!D$496/100</f>
        <v>0.9</v>
      </c>
      <c r="E496" s="142">
        <f>B496*IBGE_2!E$496/100</f>
        <v>0.1</v>
      </c>
      <c r="F496" s="142" t="s">
        <v>3047</v>
      </c>
      <c r="G496" s="142" t="s">
        <v>3047</v>
      </c>
      <c r="H496" s="142" t="s">
        <v>3047</v>
      </c>
      <c r="I496" s="142" t="s">
        <v>3047</v>
      </c>
      <c r="J496" s="142" t="s">
        <v>3047</v>
      </c>
      <c r="K496" s="142" t="s">
        <v>3047</v>
      </c>
      <c r="L496" s="142">
        <f>B496*IBGE_2!L$496/100</f>
        <v>6.5</v>
      </c>
      <c r="M496" s="142">
        <f>B496*IBGE_2!M$496/100</f>
        <v>5.0999999999999996</v>
      </c>
      <c r="N496" s="142">
        <f>B496*IBGE_2!N$496/100</f>
        <v>14</v>
      </c>
      <c r="O496" s="142">
        <f>B496*IBGE_2!O$496/100</f>
        <v>14</v>
      </c>
      <c r="P496" s="142">
        <f>B496*IBGE_2!P$496/100</f>
        <v>0.05</v>
      </c>
      <c r="Q496" s="142">
        <f>B496*IBGE_2!Q$496/100</f>
        <v>18</v>
      </c>
      <c r="R496" s="142">
        <f>B496*IBGE_2!R$496/100</f>
        <v>0.1</v>
      </c>
      <c r="S496" s="142">
        <f>B496*IBGE_2!S$496/100</f>
        <v>22</v>
      </c>
      <c r="T496" s="142">
        <f>B496*IBGE_2!T$496/100</f>
        <v>135</v>
      </c>
      <c r="U496" s="142">
        <f>B496*IBGE_2!U$496/100</f>
        <v>0.02</v>
      </c>
      <c r="V496" s="142">
        <f>B496*IBGE_2!V$496/100</f>
        <v>0.1</v>
      </c>
      <c r="W496" s="142" t="s">
        <v>3047</v>
      </c>
      <c r="X496" s="142">
        <f>B496*IBGE_2!X$496/100</f>
        <v>0.08</v>
      </c>
      <c r="Y496" s="142" t="s">
        <v>3047</v>
      </c>
      <c r="Z496" s="142" t="s">
        <v>3047</v>
      </c>
      <c r="AA496" s="142">
        <f>B496*IBGE_2!AA$496/100</f>
        <v>1.18</v>
      </c>
      <c r="AB496" s="142">
        <f>B496*IBGE_2!AB$496/100</f>
        <v>3.8</v>
      </c>
      <c r="AC496" s="142" t="s">
        <v>3047</v>
      </c>
      <c r="AD496" s="142" t="s">
        <v>3047</v>
      </c>
      <c r="AE496" s="145" t="s">
        <v>3047</v>
      </c>
      <c r="AF496" s="142" t="s">
        <v>3047</v>
      </c>
      <c r="AG496" s="145" t="s">
        <v>3047</v>
      </c>
      <c r="AH496" s="142" t="s">
        <v>3047</v>
      </c>
      <c r="AI496" s="142" t="s">
        <v>3047</v>
      </c>
      <c r="AJ496" s="145" t="s">
        <v>3047</v>
      </c>
      <c r="AK496" s="145" t="s">
        <v>3047</v>
      </c>
      <c r="AL496" s="145" t="s">
        <v>3047</v>
      </c>
      <c r="AM496" s="145" t="s">
        <v>3047</v>
      </c>
      <c r="AN496" s="161"/>
    </row>
    <row r="497" spans="1:40">
      <c r="A497" s="143" t="s">
        <v>1557</v>
      </c>
      <c r="B497" s="141">
        <v>100</v>
      </c>
      <c r="C497" s="142">
        <f>B497*IBGE_2!C$497/100</f>
        <v>74</v>
      </c>
      <c r="D497" s="142">
        <f>B497*IBGE_2!D$497/100</f>
        <v>1.65</v>
      </c>
      <c r="E497" s="142">
        <f>B497*IBGE_2!E$497/100</f>
        <v>0.62</v>
      </c>
      <c r="F497" s="142">
        <f>B497*IBGE_2!F$497/100</f>
        <v>7.0000000000000007E-2</v>
      </c>
      <c r="G497" s="142">
        <f>B497*IBGE_2!G$497/100</f>
        <v>0.01</v>
      </c>
      <c r="H497" s="142">
        <f>B497*IBGE_2!H$497/100</f>
        <v>0.09</v>
      </c>
      <c r="I497" s="142">
        <f>B497*IBGE_2!I$497/100</f>
        <v>0.05</v>
      </c>
      <c r="J497" s="142">
        <f>B497*IBGE_2!J$497/100</f>
        <v>0.04</v>
      </c>
      <c r="K497" s="142" t="s">
        <v>3047</v>
      </c>
      <c r="L497" s="142">
        <f>B497*IBGE_2!L$497/100</f>
        <v>17.7</v>
      </c>
      <c r="M497" s="142">
        <f>B497*IBGE_2!M$497/100</f>
        <v>2.2999999999999998</v>
      </c>
      <c r="N497" s="142">
        <f>B497*IBGE_2!N$497/100</f>
        <v>8</v>
      </c>
      <c r="O497" s="142">
        <f>B497*IBGE_2!O$497/100</f>
        <v>16</v>
      </c>
      <c r="P497" s="142">
        <f>B497*IBGE_2!P$497/100</f>
        <v>0.08</v>
      </c>
      <c r="Q497" s="142">
        <f>B497*IBGE_2!Q$497/100</f>
        <v>26</v>
      </c>
      <c r="R497" s="142">
        <f>B497*IBGE_2!R$497/100</f>
        <v>0.3</v>
      </c>
      <c r="S497" s="142">
        <f>B497*IBGE_2!S$497/100</f>
        <v>4</v>
      </c>
      <c r="T497" s="142">
        <f>B497*IBGE_2!T$497/100</f>
        <v>269</v>
      </c>
      <c r="U497" s="142">
        <f>B497*IBGE_2!U$497/100</f>
        <v>7.0000000000000007E-2</v>
      </c>
      <c r="V497" s="142">
        <f>B497*IBGE_2!V$497/100</f>
        <v>0.18</v>
      </c>
      <c r="W497" s="142" t="s">
        <v>3047</v>
      </c>
      <c r="X497" s="142">
        <f>B497*IBGE_2!X$497/100</f>
        <v>0.09</v>
      </c>
      <c r="Y497" s="142">
        <f>B497*IBGE_2!Y$497/100</f>
        <v>0.12</v>
      </c>
      <c r="Z497" s="142">
        <f>B497*IBGE_2!Z$497/100</f>
        <v>0.21</v>
      </c>
      <c r="AA497" s="142">
        <f>B497*IBGE_2!AA$497/100</f>
        <v>0.56999999999999995</v>
      </c>
      <c r="AB497" s="142">
        <f>B497*IBGE_2!AB$497/100</f>
        <v>11.5</v>
      </c>
      <c r="AC497" s="142">
        <f>B497*IBGE_2!AC$497/100</f>
        <v>0.56999999999999995</v>
      </c>
      <c r="AD497" s="142" t="s">
        <v>3047</v>
      </c>
      <c r="AE497" s="142">
        <f>B497*IBGE_2!AE$497/100</f>
        <v>18</v>
      </c>
      <c r="AF497" s="142" t="s">
        <v>3047</v>
      </c>
      <c r="AG497" s="145" t="s">
        <v>3047</v>
      </c>
      <c r="AH497" s="142" t="s">
        <v>3047</v>
      </c>
      <c r="AI497" s="142" t="s">
        <v>3047</v>
      </c>
      <c r="AJ497" s="142">
        <f>B497*IBGE_2!AJ$497/100</f>
        <v>20</v>
      </c>
      <c r="AK497" s="145" t="s">
        <v>3047</v>
      </c>
      <c r="AL497" s="142">
        <f>B497*IBGE_2!AL$497/100</f>
        <v>3.39</v>
      </c>
      <c r="AM497" s="145" t="s">
        <v>3047</v>
      </c>
      <c r="AN497" s="161"/>
    </row>
    <row r="498" spans="1:40">
      <c r="A498" s="143" t="s">
        <v>1558</v>
      </c>
      <c r="B498" s="141">
        <v>100</v>
      </c>
      <c r="C498" s="142">
        <f>B498*IBGE_2!C$498/100</f>
        <v>43</v>
      </c>
      <c r="D498" s="142">
        <f>B498*IBGE_2!D$498/100</f>
        <v>0.7</v>
      </c>
      <c r="E498" s="142">
        <f>B498*IBGE_2!E$498/100</f>
        <v>0.3</v>
      </c>
      <c r="F498" s="142" t="s">
        <v>3047</v>
      </c>
      <c r="G498" s="142" t="s">
        <v>3047</v>
      </c>
      <c r="H498" s="142" t="s">
        <v>3047</v>
      </c>
      <c r="I498" s="142" t="s">
        <v>3047</v>
      </c>
      <c r="J498" s="142" t="s">
        <v>3047</v>
      </c>
      <c r="K498" s="142" t="s">
        <v>3047</v>
      </c>
      <c r="L498" s="142">
        <f>B498*IBGE_2!L$498/100</f>
        <v>10.5</v>
      </c>
      <c r="M498" s="142">
        <f>B498*IBGE_2!M$498/100</f>
        <v>0.8</v>
      </c>
      <c r="N498" s="142">
        <f>B498*IBGE_2!N$498/100</f>
        <v>41</v>
      </c>
      <c r="O498" s="142" t="s">
        <v>3047</v>
      </c>
      <c r="P498" s="142" t="s">
        <v>3047</v>
      </c>
      <c r="Q498" s="142">
        <f>B498*IBGE_2!Q$498/100</f>
        <v>18</v>
      </c>
      <c r="R498" s="142">
        <f>B498*IBGE_2!R$498/100</f>
        <v>2.8</v>
      </c>
      <c r="S498" s="142" t="s">
        <v>3047</v>
      </c>
      <c r="T498" s="142" t="s">
        <v>3047</v>
      </c>
      <c r="U498" s="142" t="s">
        <v>3047</v>
      </c>
      <c r="V498" s="142" t="s">
        <v>3047</v>
      </c>
      <c r="W498" s="142">
        <f>B498*IBGE_2!W$498/100</f>
        <v>30</v>
      </c>
      <c r="X498" s="142">
        <f>B498*IBGE_2!X$498/100</f>
        <v>0.04</v>
      </c>
      <c r="Y498" s="142">
        <f>B498*IBGE_2!Y$498/100</f>
        <v>0.04</v>
      </c>
      <c r="Z498" s="142" t="s">
        <v>3047</v>
      </c>
      <c r="AA498" s="142">
        <f>B498*IBGE_2!AA$498/100</f>
        <v>0.5</v>
      </c>
      <c r="AB498" s="142">
        <f>B498*IBGE_2!AB$498/100</f>
        <v>33</v>
      </c>
      <c r="AC498" s="142" t="s">
        <v>3047</v>
      </c>
      <c r="AD498" s="142" t="s">
        <v>3047</v>
      </c>
      <c r="AE498" s="145" t="s">
        <v>3047</v>
      </c>
      <c r="AF498" s="142" t="s">
        <v>3047</v>
      </c>
      <c r="AG498" s="145" t="s">
        <v>3047</v>
      </c>
      <c r="AH498" s="142" t="s">
        <v>3047</v>
      </c>
      <c r="AI498" s="142" t="s">
        <v>3047</v>
      </c>
      <c r="AJ498" s="145" t="s">
        <v>3047</v>
      </c>
      <c r="AK498" s="145" t="s">
        <v>3047</v>
      </c>
      <c r="AL498" s="145" t="s">
        <v>3047</v>
      </c>
      <c r="AM498" s="145" t="s">
        <v>3047</v>
      </c>
      <c r="AN498" s="161"/>
    </row>
    <row r="499" spans="1:40">
      <c r="A499" s="143" t="s">
        <v>1559</v>
      </c>
      <c r="B499" s="141">
        <v>100</v>
      </c>
      <c r="C499" s="142">
        <f>B499*IBGE_2!C$499/100</f>
        <v>68</v>
      </c>
      <c r="D499" s="142">
        <f>B499*IBGE_2!D$499/100</f>
        <v>2.5499999999999998</v>
      </c>
      <c r="E499" s="142">
        <f>B499*IBGE_2!E$499/100</f>
        <v>0.95</v>
      </c>
      <c r="F499" s="142">
        <f>B499*IBGE_2!F$499/100</f>
        <v>0.27</v>
      </c>
      <c r="G499" s="142">
        <f>B499*IBGE_2!G$499/100</f>
        <v>0.09</v>
      </c>
      <c r="H499" s="142">
        <f>B499*IBGE_2!H$499/100</f>
        <v>0.4</v>
      </c>
      <c r="I499" s="142">
        <f>B499*IBGE_2!I$499/100</f>
        <v>0.28999999999999998</v>
      </c>
      <c r="J499" s="142">
        <f>B499*IBGE_2!J$499/100</f>
        <v>0.11</v>
      </c>
      <c r="K499" s="142" t="s">
        <v>3047</v>
      </c>
      <c r="L499" s="142">
        <f>B499*IBGE_2!L$499/100</f>
        <v>14.32</v>
      </c>
      <c r="M499" s="142">
        <f>B499*IBGE_2!M$499/100</f>
        <v>5.4</v>
      </c>
      <c r="N499" s="142">
        <f>B499*IBGE_2!N$499/100</f>
        <v>18</v>
      </c>
      <c r="O499" s="142">
        <f>B499*IBGE_2!O$499/100</f>
        <v>22</v>
      </c>
      <c r="P499" s="142">
        <f>B499*IBGE_2!P$499/100</f>
        <v>0.15</v>
      </c>
      <c r="Q499" s="142">
        <f>B499*IBGE_2!Q$499/100</f>
        <v>40</v>
      </c>
      <c r="R499" s="142">
        <f>B499*IBGE_2!R$499/100</f>
        <v>0.26</v>
      </c>
      <c r="S499" s="142">
        <f>B499*IBGE_2!S$499/100</f>
        <v>2</v>
      </c>
      <c r="T499" s="142">
        <f>B499*IBGE_2!T$499/100</f>
        <v>417</v>
      </c>
      <c r="U499" s="142">
        <f>B499*IBGE_2!U$499/100</f>
        <v>0.23</v>
      </c>
      <c r="V499" s="142">
        <f>B499*IBGE_2!V$499/100</f>
        <v>0.23</v>
      </c>
      <c r="W499" s="142" t="s">
        <v>3047</v>
      </c>
      <c r="X499" s="142">
        <f>B499*IBGE_2!X$499/100</f>
        <v>7.0000000000000007E-2</v>
      </c>
      <c r="Y499" s="142">
        <f>B499*IBGE_2!Y$499/100</f>
        <v>0.04</v>
      </c>
      <c r="Z499" s="142">
        <f>B499*IBGE_2!Z$499/100</f>
        <v>0.11</v>
      </c>
      <c r="AA499" s="142">
        <f>B499*IBGE_2!AA$499/100</f>
        <v>1.08</v>
      </c>
      <c r="AB499" s="142">
        <f>B499*IBGE_2!AB$499/100</f>
        <v>228.3</v>
      </c>
      <c r="AC499" s="142">
        <f>B499*IBGE_2!AC$499/100</f>
        <v>1.45</v>
      </c>
      <c r="AD499" s="142" t="s">
        <v>3047</v>
      </c>
      <c r="AE499" s="142">
        <f>B499*IBGE_2!AE$499/100</f>
        <v>49</v>
      </c>
      <c r="AF499" s="142" t="s">
        <v>3047</v>
      </c>
      <c r="AG499" s="142">
        <f>B499*IBGE_2!AG$499/100</f>
        <v>0.73</v>
      </c>
      <c r="AH499" s="142" t="s">
        <v>3047</v>
      </c>
      <c r="AI499" s="142" t="s">
        <v>3047</v>
      </c>
      <c r="AJ499" s="142">
        <f>B499*IBGE_2!AJ$499/100</f>
        <v>0.6</v>
      </c>
      <c r="AK499" s="142">
        <f>B499*IBGE_2!AK$499/100</f>
        <v>31.17</v>
      </c>
      <c r="AL499" s="142">
        <f>B499*IBGE_2!AL$499/100</f>
        <v>8.82</v>
      </c>
      <c r="AM499" s="145" t="s">
        <v>3047</v>
      </c>
      <c r="AN499" s="161"/>
    </row>
    <row r="500" spans="1:40">
      <c r="A500" s="143" t="s">
        <v>1560</v>
      </c>
      <c r="B500" s="141">
        <v>100</v>
      </c>
      <c r="C500" s="142">
        <f>B500*IBGE_2!C$500/100</f>
        <v>47</v>
      </c>
      <c r="D500" s="142">
        <f>B500*IBGE_2!D$500/100</f>
        <v>0.43</v>
      </c>
      <c r="E500" s="142">
        <f>B500*IBGE_2!E$500/100</f>
        <v>0.2</v>
      </c>
      <c r="F500" s="142">
        <f>B500*IBGE_2!F$500/100</f>
        <v>0.04</v>
      </c>
      <c r="G500" s="142">
        <f>B500*IBGE_2!G$500/100</f>
        <v>0.01</v>
      </c>
      <c r="H500" s="142">
        <f>B500*IBGE_2!H$500/100</f>
        <v>0.09</v>
      </c>
      <c r="I500" s="142">
        <f>B500*IBGE_2!I$500/100</f>
        <v>0.08</v>
      </c>
      <c r="J500" s="142">
        <f>B500*IBGE_2!J$500/100</f>
        <v>0.01</v>
      </c>
      <c r="K500" s="142" t="s">
        <v>3047</v>
      </c>
      <c r="L500" s="142">
        <f>B500*IBGE_2!L$500/100</f>
        <v>12.14</v>
      </c>
      <c r="M500" s="142">
        <f>B500*IBGE_2!M$500/100</f>
        <v>1.7</v>
      </c>
      <c r="N500" s="142">
        <f>B500*IBGE_2!N$500/100</f>
        <v>16</v>
      </c>
      <c r="O500" s="142">
        <f>B500*IBGE_2!O$500/100</f>
        <v>13</v>
      </c>
      <c r="P500" s="142">
        <f>B500*IBGE_2!P$500/100</f>
        <v>0.15</v>
      </c>
      <c r="Q500" s="142">
        <f>B500*IBGE_2!Q$500/100</f>
        <v>27</v>
      </c>
      <c r="R500" s="142">
        <f>B500*IBGE_2!R$500/100</f>
        <v>0.28000000000000003</v>
      </c>
      <c r="S500" s="142">
        <f>B500*IBGE_2!S$500/100</f>
        <v>1</v>
      </c>
      <c r="T500" s="142">
        <f>B500*IBGE_2!T$500/100</f>
        <v>266</v>
      </c>
      <c r="U500" s="142">
        <f>B500*IBGE_2!U$500/100</f>
        <v>0.04</v>
      </c>
      <c r="V500" s="142">
        <f>B500*IBGE_2!V$500/100</f>
        <v>0.05</v>
      </c>
      <c r="W500" s="142" t="s">
        <v>3047</v>
      </c>
      <c r="X500" s="142">
        <f>B500*IBGE_2!X$500/100</f>
        <v>0.02</v>
      </c>
      <c r="Y500" s="142">
        <f>B500*IBGE_2!Y$500/100</f>
        <v>0.02</v>
      </c>
      <c r="Z500" s="142">
        <f>B500*IBGE_2!Z$500/100</f>
        <v>0.1</v>
      </c>
      <c r="AA500" s="142">
        <f>B500*IBGE_2!AA$500/100</f>
        <v>0.18</v>
      </c>
      <c r="AB500" s="142">
        <f>B500*IBGE_2!AB$500/100</f>
        <v>1</v>
      </c>
      <c r="AC500" s="142">
        <f>B500*IBGE_2!AC$500/100</f>
        <v>0.26</v>
      </c>
      <c r="AD500" s="142" t="s">
        <v>3047</v>
      </c>
      <c r="AE500" s="142">
        <f>B500*IBGE_2!AE$500/100</f>
        <v>14</v>
      </c>
      <c r="AF500" s="142" t="s">
        <v>3047</v>
      </c>
      <c r="AG500" s="142">
        <f>B500*IBGE_2!AG$500/100</f>
        <v>0.89</v>
      </c>
      <c r="AH500" s="142" t="s">
        <v>3047</v>
      </c>
      <c r="AI500" s="142" t="s">
        <v>3047</v>
      </c>
      <c r="AJ500" s="142">
        <f>B500*IBGE_2!AJ$500/100</f>
        <v>0.6</v>
      </c>
      <c r="AK500" s="142">
        <f>B500*IBGE_2!AK$500/100</f>
        <v>85.92</v>
      </c>
      <c r="AL500" s="142">
        <f>B500*IBGE_2!AL$500/100</f>
        <v>6.3</v>
      </c>
      <c r="AM500" s="145" t="s">
        <v>3047</v>
      </c>
      <c r="AN500" s="161"/>
    </row>
    <row r="501" spans="1:40">
      <c r="A501" s="143" t="s">
        <v>1561</v>
      </c>
      <c r="B501" s="141">
        <v>100</v>
      </c>
      <c r="C501" s="142">
        <f>B501*IBGE_2!C$501/100</f>
        <v>103</v>
      </c>
      <c r="D501" s="142">
        <f>B501*IBGE_2!D$501/100</f>
        <v>1.07</v>
      </c>
      <c r="E501" s="142">
        <f>B501*IBGE_2!E$501/100</f>
        <v>0.23</v>
      </c>
      <c r="F501" s="142">
        <f>B501*IBGE_2!F$501/100</f>
        <v>0.05</v>
      </c>
      <c r="G501" s="142">
        <f>B501*IBGE_2!G$501/100</f>
        <v>0.03</v>
      </c>
      <c r="H501" s="142">
        <f>B501*IBGE_2!H$501/100</f>
        <v>7.0000000000000007E-2</v>
      </c>
      <c r="I501" s="142">
        <f>B501*IBGE_2!I$501/100</f>
        <v>0.05</v>
      </c>
      <c r="J501" s="142">
        <f>B501*IBGE_2!J$501/100</f>
        <v>0.02</v>
      </c>
      <c r="K501" s="142" t="s">
        <v>3047</v>
      </c>
      <c r="L501" s="142">
        <f>B501*IBGE_2!L$501/100</f>
        <v>27.12</v>
      </c>
      <c r="M501" s="142">
        <f>B501*IBGE_2!M$501/100</f>
        <v>4.9000000000000004</v>
      </c>
      <c r="N501" s="142">
        <f>B501*IBGE_2!N$501/100</f>
        <v>17</v>
      </c>
      <c r="O501" s="142">
        <f>B501*IBGE_2!O$501/100</f>
        <v>25</v>
      </c>
      <c r="P501" s="142">
        <f>B501*IBGE_2!P$501/100</f>
        <v>0.06</v>
      </c>
      <c r="Q501" s="142">
        <f>B501*IBGE_2!Q$501/100</f>
        <v>30</v>
      </c>
      <c r="R501" s="142">
        <f>B501*IBGE_2!R$501/100</f>
        <v>0.54</v>
      </c>
      <c r="S501" s="142">
        <f>B501*IBGE_2!S$501/100</f>
        <v>2</v>
      </c>
      <c r="T501" s="142">
        <f>B501*IBGE_2!T$501/100</f>
        <v>490</v>
      </c>
      <c r="U501" s="142">
        <f>B501*IBGE_2!U$501/100</f>
        <v>0.08</v>
      </c>
      <c r="V501" s="142">
        <f>B501*IBGE_2!V$501/100</f>
        <v>0.12</v>
      </c>
      <c r="W501" s="142" t="s">
        <v>3047</v>
      </c>
      <c r="X501" s="142">
        <f>B501*IBGE_2!X$501/100</f>
        <v>0.11</v>
      </c>
      <c r="Y501" s="142">
        <f>B501*IBGE_2!Y$501/100</f>
        <v>0.03</v>
      </c>
      <c r="Z501" s="142">
        <f>B501*IBGE_2!Z$501/100</f>
        <v>0.1</v>
      </c>
      <c r="AA501" s="142">
        <f>B501*IBGE_2!AA$501/100</f>
        <v>0.9</v>
      </c>
      <c r="AB501" s="142">
        <f>B501*IBGE_2!AB$501/100</f>
        <v>29</v>
      </c>
      <c r="AC501" s="142">
        <f>B501*IBGE_2!AC$501/100</f>
        <v>0.9</v>
      </c>
      <c r="AD501" s="142" t="s">
        <v>3047</v>
      </c>
      <c r="AE501" s="142">
        <f>B501*IBGE_2!AE$501/100</f>
        <v>14</v>
      </c>
      <c r="AF501" s="142" t="s">
        <v>3047</v>
      </c>
      <c r="AG501" s="142">
        <f>B501*IBGE_2!AG$501/100</f>
        <v>0.1</v>
      </c>
      <c r="AH501" s="142" t="s">
        <v>3047</v>
      </c>
      <c r="AI501" s="142" t="s">
        <v>3047</v>
      </c>
      <c r="AJ501" s="142">
        <f>B501*IBGE_2!AJ$501/100</f>
        <v>0.6</v>
      </c>
      <c r="AK501" s="145" t="s">
        <v>3047</v>
      </c>
      <c r="AL501" s="142">
        <f>B501*IBGE_2!AL$501/100</f>
        <v>2.9</v>
      </c>
      <c r="AM501" s="145" t="s">
        <v>3047</v>
      </c>
      <c r="AN501" s="161"/>
    </row>
    <row r="502" spans="1:40">
      <c r="A502" s="143" t="s">
        <v>1562</v>
      </c>
      <c r="B502" s="141">
        <v>100</v>
      </c>
      <c r="C502" s="142">
        <f>B502*IBGE_2!C$502/100</f>
        <v>96</v>
      </c>
      <c r="D502" s="142">
        <f>B502*IBGE_2!D$502/100</f>
        <v>0.7</v>
      </c>
      <c r="E502" s="142">
        <f>B502*IBGE_2!E$502/100</f>
        <v>0.1</v>
      </c>
      <c r="F502" s="142" t="s">
        <v>3047</v>
      </c>
      <c r="G502" s="142" t="s">
        <v>3047</v>
      </c>
      <c r="H502" s="142" t="s">
        <v>3047</v>
      </c>
      <c r="I502" s="142" t="s">
        <v>3047</v>
      </c>
      <c r="J502" s="142" t="s">
        <v>3047</v>
      </c>
      <c r="K502" s="142" t="s">
        <v>3047</v>
      </c>
      <c r="L502" s="142">
        <f>B502*IBGE_2!L$502/100</f>
        <v>25.9</v>
      </c>
      <c r="M502" s="142">
        <f>B502*IBGE_2!M$502/100</f>
        <v>9.9</v>
      </c>
      <c r="N502" s="142">
        <f>B502*IBGE_2!N$502/100</f>
        <v>29</v>
      </c>
      <c r="O502" s="142" t="s">
        <v>3047</v>
      </c>
      <c r="P502" s="142" t="s">
        <v>3047</v>
      </c>
      <c r="Q502" s="142">
        <f>B502*IBGE_2!Q$502/100</f>
        <v>6</v>
      </c>
      <c r="R502" s="142">
        <f>B502*IBGE_2!R$502/100</f>
        <v>1.2</v>
      </c>
      <c r="S502" s="142" t="s">
        <v>3047</v>
      </c>
      <c r="T502" s="142" t="s">
        <v>3047</v>
      </c>
      <c r="U502" s="142" t="s">
        <v>3047</v>
      </c>
      <c r="V502" s="142" t="s">
        <v>3047</v>
      </c>
      <c r="W502" s="142">
        <f>B502*IBGE_2!W$502/100</f>
        <v>4</v>
      </c>
      <c r="X502" s="142">
        <f>B502*IBGE_2!X$502/100</f>
        <v>0.01</v>
      </c>
      <c r="Y502" s="142">
        <f>B502*IBGE_2!Y$502/100</f>
        <v>0.01</v>
      </c>
      <c r="Z502" s="142" t="s">
        <v>3047</v>
      </c>
      <c r="AA502" s="142">
        <f>B502*IBGE_2!AA$502/100</f>
        <v>0.2</v>
      </c>
      <c r="AB502" s="142">
        <f>B502*IBGE_2!AB$502/100</f>
        <v>13</v>
      </c>
      <c r="AC502" s="142" t="s">
        <v>3047</v>
      </c>
      <c r="AD502" s="142" t="s">
        <v>3047</v>
      </c>
      <c r="AE502" s="145" t="s">
        <v>3047</v>
      </c>
      <c r="AF502" s="142" t="s">
        <v>3047</v>
      </c>
      <c r="AG502" s="145" t="s">
        <v>3047</v>
      </c>
      <c r="AH502" s="142" t="s">
        <v>3047</v>
      </c>
      <c r="AI502" s="142" t="s">
        <v>3047</v>
      </c>
      <c r="AJ502" s="145" t="s">
        <v>3047</v>
      </c>
      <c r="AK502" s="145" t="s">
        <v>3047</v>
      </c>
      <c r="AL502" s="145" t="s">
        <v>3047</v>
      </c>
      <c r="AM502" s="145" t="s">
        <v>3047</v>
      </c>
      <c r="AN502" s="161"/>
    </row>
    <row r="503" spans="1:40">
      <c r="A503" s="143" t="s">
        <v>1563</v>
      </c>
      <c r="B503" s="141">
        <v>100</v>
      </c>
      <c r="C503" s="142">
        <f>B503*IBGE_2!C$503/100</f>
        <v>252</v>
      </c>
      <c r="D503" s="142">
        <f>B503*IBGE_2!D$503/100</f>
        <v>2.2000000000000002</v>
      </c>
      <c r="E503" s="142">
        <f>B503*IBGE_2!E$503/100</f>
        <v>10.1</v>
      </c>
      <c r="F503" s="142" t="s">
        <v>3047</v>
      </c>
      <c r="G503" s="142" t="s">
        <v>3047</v>
      </c>
      <c r="H503" s="142" t="s">
        <v>3047</v>
      </c>
      <c r="I503" s="142" t="s">
        <v>3047</v>
      </c>
      <c r="J503" s="142" t="s">
        <v>3047</v>
      </c>
      <c r="K503" s="142" t="s">
        <v>3047</v>
      </c>
      <c r="L503" s="142">
        <f>B503*IBGE_2!L$503/100</f>
        <v>38.200000000000003</v>
      </c>
      <c r="M503" s="142">
        <f>B503*IBGE_2!M$503/100</f>
        <v>20.5</v>
      </c>
      <c r="N503" s="142" t="s">
        <v>3047</v>
      </c>
      <c r="O503" s="142" t="s">
        <v>3047</v>
      </c>
      <c r="P503" s="142" t="s">
        <v>3047</v>
      </c>
      <c r="Q503" s="142" t="s">
        <v>3047</v>
      </c>
      <c r="R503" s="142" t="s">
        <v>3047</v>
      </c>
      <c r="S503" s="142" t="s">
        <v>3047</v>
      </c>
      <c r="T503" s="142" t="s">
        <v>3047</v>
      </c>
      <c r="U503" s="142" t="s">
        <v>3047</v>
      </c>
      <c r="V503" s="142" t="s">
        <v>3047</v>
      </c>
      <c r="W503" s="142" t="s">
        <v>3047</v>
      </c>
      <c r="X503" s="142" t="s">
        <v>3047</v>
      </c>
      <c r="Y503" s="142" t="s">
        <v>3047</v>
      </c>
      <c r="Z503" s="142" t="s">
        <v>3047</v>
      </c>
      <c r="AA503" s="142" t="s">
        <v>3047</v>
      </c>
      <c r="AB503" s="142" t="s">
        <v>3047</v>
      </c>
      <c r="AC503" s="142" t="s">
        <v>3047</v>
      </c>
      <c r="AD503" s="142" t="s">
        <v>3047</v>
      </c>
      <c r="AE503" s="145" t="s">
        <v>3047</v>
      </c>
      <c r="AF503" s="142" t="s">
        <v>3047</v>
      </c>
      <c r="AG503" s="145" t="s">
        <v>3047</v>
      </c>
      <c r="AH503" s="142" t="s">
        <v>3047</v>
      </c>
      <c r="AI503" s="142" t="s">
        <v>3047</v>
      </c>
      <c r="AJ503" s="145" t="s">
        <v>3047</v>
      </c>
      <c r="AK503" s="145" t="s">
        <v>3047</v>
      </c>
      <c r="AL503" s="145" t="s">
        <v>3047</v>
      </c>
      <c r="AM503" s="145" t="s">
        <v>3047</v>
      </c>
      <c r="AN503" s="161"/>
    </row>
    <row r="504" spans="1:40">
      <c r="A504" s="143" t="s">
        <v>1564</v>
      </c>
      <c r="B504" s="141">
        <v>100</v>
      </c>
      <c r="C504" s="142">
        <f>B504*IBGE_2!C$504/100</f>
        <v>239</v>
      </c>
      <c r="D504" s="142">
        <f>B504*IBGE_2!D$504/100</f>
        <v>2.8</v>
      </c>
      <c r="E504" s="142">
        <f>B504*IBGE_2!E$504/100</f>
        <v>0.6</v>
      </c>
      <c r="F504" s="142">
        <f>B504*IBGE_2!F$504/100</f>
        <v>0.27</v>
      </c>
      <c r="G504" s="142">
        <f>B504*IBGE_2!G$504/100</f>
        <v>0.18</v>
      </c>
      <c r="H504" s="142">
        <f>B504*IBGE_2!H$504/100</f>
        <v>0.06</v>
      </c>
      <c r="I504" s="142">
        <f>B504*IBGE_2!I$504/100</f>
        <v>0.06</v>
      </c>
      <c r="J504" s="142" t="s">
        <v>3047</v>
      </c>
      <c r="K504" s="142" t="s">
        <v>3047</v>
      </c>
      <c r="L504" s="142">
        <f>B504*IBGE_2!L$504/100</f>
        <v>62.5</v>
      </c>
      <c r="M504" s="142">
        <f>B504*IBGE_2!M$504/100</f>
        <v>5.0999999999999996</v>
      </c>
      <c r="N504" s="142">
        <f>B504*IBGE_2!N$504/100</f>
        <v>74</v>
      </c>
      <c r="O504" s="142">
        <f>B504*IBGE_2!O$504/100</f>
        <v>92</v>
      </c>
      <c r="P504" s="142">
        <f>B504*IBGE_2!P$504/100</f>
        <v>0.15</v>
      </c>
      <c r="Q504" s="142">
        <f>B504*IBGE_2!Q$504/100</f>
        <v>113</v>
      </c>
      <c r="R504" s="142">
        <f>B504*IBGE_2!R$504/100</f>
        <v>2.8</v>
      </c>
      <c r="S504" s="142">
        <f>B504*IBGE_2!S$504/100</f>
        <v>28</v>
      </c>
      <c r="T504" s="142">
        <f>B504*IBGE_2!T$504/100</f>
        <v>628</v>
      </c>
      <c r="U504" s="142">
        <f>B504*IBGE_2!U$504/100</f>
        <v>0.09</v>
      </c>
      <c r="V504" s="142">
        <f>B504*IBGE_2!V$504/100</f>
        <v>0.1</v>
      </c>
      <c r="W504" s="142" t="s">
        <v>3047</v>
      </c>
      <c r="X504" s="142">
        <f>B504*IBGE_2!X$504/100</f>
        <v>0.43</v>
      </c>
      <c r="Y504" s="142">
        <f>B504*IBGE_2!Y$504/100</f>
        <v>0.15</v>
      </c>
      <c r="Z504" s="142">
        <f>B504*IBGE_2!Z$504/100</f>
        <v>7.0000000000000007E-2</v>
      </c>
      <c r="AA504" s="142">
        <f>B504*IBGE_2!AA$504/100</f>
        <v>1.94</v>
      </c>
      <c r="AB504" s="142">
        <f>B504*IBGE_2!AB$504/100</f>
        <v>3.5</v>
      </c>
      <c r="AC504" s="142">
        <f>B504*IBGE_2!AC$504/100</f>
        <v>2.2400000000000002</v>
      </c>
      <c r="AD504" s="142" t="s">
        <v>3047</v>
      </c>
      <c r="AE504" s="142">
        <f>B504*IBGE_2!AE$504/100</f>
        <v>14</v>
      </c>
      <c r="AF504" s="142" t="s">
        <v>3047</v>
      </c>
      <c r="AG504" s="142">
        <f>B504*IBGE_2!AG$504/100</f>
        <v>0.1</v>
      </c>
      <c r="AH504" s="142" t="s">
        <v>3047</v>
      </c>
      <c r="AI504" s="142" t="s">
        <v>3047</v>
      </c>
      <c r="AJ504" s="142">
        <f>B504*IBGE_2!AJ$504/100</f>
        <v>1.3</v>
      </c>
      <c r="AK504" s="142">
        <f>B504*IBGE_2!AK$504/100</f>
        <v>1.5</v>
      </c>
      <c r="AL504" s="145" t="s">
        <v>3047</v>
      </c>
      <c r="AM504" s="145" t="s">
        <v>3047</v>
      </c>
      <c r="AN504" s="161"/>
    </row>
    <row r="505" spans="1:40">
      <c r="A505" s="143" t="s">
        <v>1565</v>
      </c>
      <c r="B505" s="141">
        <v>100</v>
      </c>
      <c r="C505" s="142">
        <f>B505*IBGE_2!C$505/100</f>
        <v>74</v>
      </c>
      <c r="D505" s="142">
        <f>B505*IBGE_2!D$505/100</f>
        <v>1</v>
      </c>
      <c r="E505" s="142">
        <f>B505*IBGE_2!E$505/100</f>
        <v>0.1</v>
      </c>
      <c r="F505" s="142" t="s">
        <v>3047</v>
      </c>
      <c r="G505" s="142" t="s">
        <v>3047</v>
      </c>
      <c r="H505" s="142" t="s">
        <v>3047</v>
      </c>
      <c r="I505" s="142" t="s">
        <v>3047</v>
      </c>
      <c r="J505" s="142" t="s">
        <v>3047</v>
      </c>
      <c r="K505" s="142" t="s">
        <v>3047</v>
      </c>
      <c r="L505" s="142">
        <f>B505*IBGE_2!L$505/100</f>
        <v>19.399999999999999</v>
      </c>
      <c r="M505" s="142">
        <f>B505*IBGE_2!M$505/100</f>
        <v>2.2000000000000002</v>
      </c>
      <c r="N505" s="142">
        <f>B505*IBGE_2!N$505/100</f>
        <v>12</v>
      </c>
      <c r="O505" s="142">
        <f>B505*IBGE_2!O$505/100</f>
        <v>25</v>
      </c>
      <c r="P505" s="142">
        <f>B505*IBGE_2!P$505/100</f>
        <v>0.04</v>
      </c>
      <c r="Q505" s="142">
        <f>B505*IBGE_2!Q$505/100</f>
        <v>9</v>
      </c>
      <c r="R505" s="142">
        <f>B505*IBGE_2!R$505/100</f>
        <v>0.3</v>
      </c>
      <c r="S505" s="142">
        <f>B505*IBGE_2!S$505/100</f>
        <v>1</v>
      </c>
      <c r="T505" s="142">
        <f>B505*IBGE_2!T$505/100</f>
        <v>72</v>
      </c>
      <c r="U505" s="142">
        <f>B505*IBGE_2!U$505/100</f>
        <v>0.15</v>
      </c>
      <c r="V505" s="142">
        <f>B505*IBGE_2!V$505/100</f>
        <v>0.6</v>
      </c>
      <c r="W505" s="142" t="s">
        <v>3047</v>
      </c>
      <c r="X505" s="142">
        <f>B505*IBGE_2!X$505/100</f>
        <v>0.25</v>
      </c>
      <c r="Y505" s="142" t="s">
        <v>3047</v>
      </c>
      <c r="Z505" s="142">
        <f>B505*IBGE_2!Z$505/100</f>
        <v>0.04</v>
      </c>
      <c r="AA505" s="142" t="s">
        <v>3047</v>
      </c>
      <c r="AB505" s="142">
        <f>B505*IBGE_2!AB$505/100</f>
        <v>13.6</v>
      </c>
      <c r="AC505" s="142" t="s">
        <v>3047</v>
      </c>
      <c r="AD505" s="142" t="s">
        <v>3047</v>
      </c>
      <c r="AE505" s="145" t="s">
        <v>3047</v>
      </c>
      <c r="AF505" s="142" t="s">
        <v>3047</v>
      </c>
      <c r="AG505" s="145" t="s">
        <v>3047</v>
      </c>
      <c r="AH505" s="142" t="s">
        <v>3047</v>
      </c>
      <c r="AI505" s="142" t="s">
        <v>3047</v>
      </c>
      <c r="AJ505" s="145" t="s">
        <v>3047</v>
      </c>
      <c r="AK505" s="145" t="s">
        <v>3047</v>
      </c>
      <c r="AL505" s="145" t="s">
        <v>3047</v>
      </c>
      <c r="AM505" s="145" t="s">
        <v>3047</v>
      </c>
      <c r="AN505" s="161"/>
    </row>
    <row r="506" spans="1:40">
      <c r="A506" s="143" t="s">
        <v>1566</v>
      </c>
      <c r="B506" s="141">
        <v>100</v>
      </c>
      <c r="C506" s="142">
        <f>B506*IBGE_2!C$506/100</f>
        <v>66</v>
      </c>
      <c r="D506" s="142">
        <f>B506*IBGE_2!D$506/100</f>
        <v>0.83</v>
      </c>
      <c r="E506" s="142">
        <f>B506*IBGE_2!E$506/100</f>
        <v>0.44</v>
      </c>
      <c r="F506" s="142">
        <f>B506*IBGE_2!F$506/100</f>
        <v>9.9000000000000005E-2</v>
      </c>
      <c r="G506" s="142">
        <f>B506*IBGE_2!G$506/100</f>
        <v>0.12</v>
      </c>
      <c r="H506" s="142">
        <f>B506*IBGE_2!H$506/100</f>
        <v>0.13200000000000001</v>
      </c>
      <c r="I506" s="142">
        <f>B506*IBGE_2!I$506/100</f>
        <v>6.7000000000000004E-2</v>
      </c>
      <c r="J506" s="142">
        <f>B506*IBGE_2!J$506/100</f>
        <v>6.5000000000000002E-2</v>
      </c>
      <c r="K506" s="142" t="s">
        <v>3047</v>
      </c>
      <c r="L506" s="142">
        <f>B506*IBGE_2!L$506/100</f>
        <v>16.53</v>
      </c>
      <c r="M506" s="142">
        <f>B506*IBGE_2!M$506/100</f>
        <v>1.3</v>
      </c>
      <c r="N506" s="142">
        <f>B506*IBGE_2!N$506/100</f>
        <v>5</v>
      </c>
      <c r="O506" s="142">
        <f>B506*IBGE_2!O$506/100</f>
        <v>10</v>
      </c>
      <c r="P506" s="142">
        <f>B506*IBGE_2!P$506/100</f>
        <v>5.5E-2</v>
      </c>
      <c r="Q506" s="142">
        <f>B506*IBGE_2!Q$506/100</f>
        <v>31</v>
      </c>
      <c r="R506" s="142">
        <f>B506*IBGE_2!R$506/100</f>
        <v>0.31</v>
      </c>
      <c r="S506" s="142">
        <f>B506*IBGE_2!S$506/100</f>
        <v>1</v>
      </c>
      <c r="T506" s="142">
        <f>B506*IBGE_2!T$506/100</f>
        <v>171</v>
      </c>
      <c r="U506" s="142">
        <f>B506*IBGE_2!U$506/100</f>
        <v>0.14799999999999999</v>
      </c>
      <c r="V506" s="142">
        <f>B506*IBGE_2!V$506/100</f>
        <v>7.0000000000000007E-2</v>
      </c>
      <c r="W506" s="142" t="s">
        <v>3047</v>
      </c>
      <c r="X506" s="142">
        <f>B506*IBGE_2!X$506/100</f>
        <v>1.0999999999999999E-2</v>
      </c>
      <c r="Y506" s="142">
        <f>B506*IBGE_2!Y$506/100</f>
        <v>6.5000000000000002E-2</v>
      </c>
      <c r="Z506" s="142">
        <f>B506*IBGE_2!Z$506/100</f>
        <v>0.1</v>
      </c>
      <c r="AA506" s="142">
        <f>B506*IBGE_2!AA$506/100</f>
        <v>0.60299999999999998</v>
      </c>
      <c r="AB506" s="142">
        <f>B506*IBGE_2!AB$506/100</f>
        <v>71.5</v>
      </c>
      <c r="AC506" s="142">
        <f>B506*IBGE_2!AC$506/100</f>
        <v>0.78600000000000003</v>
      </c>
      <c r="AD506" s="142" t="s">
        <v>3047</v>
      </c>
      <c r="AE506" s="142">
        <f>B506*IBGE_2!AE$506/100</f>
        <v>14</v>
      </c>
      <c r="AF506" s="142" t="s">
        <v>3047</v>
      </c>
      <c r="AG506" s="145" t="s">
        <v>3047</v>
      </c>
      <c r="AH506" s="142" t="s">
        <v>3047</v>
      </c>
      <c r="AI506" s="142" t="s">
        <v>3047</v>
      </c>
      <c r="AJ506" s="142">
        <f>B506*IBGE_2!AJ$506/100</f>
        <v>0.6</v>
      </c>
      <c r="AK506" s="145" t="s">
        <v>3047</v>
      </c>
      <c r="AL506" s="142">
        <f>B506*IBGE_2!AL$506/100</f>
        <v>15</v>
      </c>
      <c r="AM506" s="145" t="s">
        <v>3047</v>
      </c>
      <c r="AN506" s="161"/>
    </row>
    <row r="507" spans="1:40">
      <c r="A507" s="143" t="s">
        <v>1567</v>
      </c>
      <c r="B507" s="141">
        <v>100</v>
      </c>
      <c r="C507" s="142">
        <f>B507*IBGE_2!C$507/100</f>
        <v>105</v>
      </c>
      <c r="D507" s="142">
        <f>B507*IBGE_2!D$507/100</f>
        <v>1.9</v>
      </c>
      <c r="E507" s="142">
        <f>B507*IBGE_2!E$507/100</f>
        <v>2</v>
      </c>
      <c r="F507" s="142" t="s">
        <v>3047</v>
      </c>
      <c r="G507" s="142" t="s">
        <v>3047</v>
      </c>
      <c r="H507" s="142" t="s">
        <v>3047</v>
      </c>
      <c r="I507" s="142" t="s">
        <v>3047</v>
      </c>
      <c r="J507" s="142" t="s">
        <v>3047</v>
      </c>
      <c r="K507" s="142" t="s">
        <v>3047</v>
      </c>
      <c r="L507" s="142">
        <f>B507*IBGE_2!L$507/100</f>
        <v>22.8</v>
      </c>
      <c r="M507" s="142">
        <f>B507*IBGE_2!M$507/100</f>
        <v>7.4</v>
      </c>
      <c r="N507" s="142">
        <f>B507*IBGE_2!N$507/100</f>
        <v>20</v>
      </c>
      <c r="O507" s="142" t="s">
        <v>3047</v>
      </c>
      <c r="P507" s="142" t="s">
        <v>3047</v>
      </c>
      <c r="Q507" s="142">
        <f>B507*IBGE_2!Q$507/100</f>
        <v>36</v>
      </c>
      <c r="R507" s="142">
        <f>B507*IBGE_2!R$507/100</f>
        <v>2.2000000000000002</v>
      </c>
      <c r="S507" s="142" t="s">
        <v>3047</v>
      </c>
      <c r="T507" s="142" t="s">
        <v>3047</v>
      </c>
      <c r="U507" s="142" t="s">
        <v>3047</v>
      </c>
      <c r="V507" s="142" t="s">
        <v>3047</v>
      </c>
      <c r="W507" s="142">
        <f>B507*IBGE_2!W$507/100</f>
        <v>30</v>
      </c>
      <c r="X507" s="142">
        <f>B507*IBGE_2!X$507/100</f>
        <v>0.04</v>
      </c>
      <c r="Y507" s="142">
        <f>B507*IBGE_2!Y$507/100</f>
        <v>0.04</v>
      </c>
      <c r="Z507" s="142" t="s">
        <v>3047</v>
      </c>
      <c r="AA507" s="142">
        <f>B507*IBGE_2!AA$507/100</f>
        <v>0.5</v>
      </c>
      <c r="AB507" s="142">
        <f>B507*IBGE_2!AB$507/100</f>
        <v>33</v>
      </c>
      <c r="AC507" s="142" t="s">
        <v>3047</v>
      </c>
      <c r="AD507" s="142" t="s">
        <v>3047</v>
      </c>
      <c r="AE507" s="142" t="s">
        <v>3047</v>
      </c>
      <c r="AF507" s="142" t="s">
        <v>3047</v>
      </c>
      <c r="AG507" s="142" t="s">
        <v>3047</v>
      </c>
      <c r="AH507" s="142" t="s">
        <v>3047</v>
      </c>
      <c r="AI507" s="142" t="s">
        <v>3047</v>
      </c>
      <c r="AJ507" s="142" t="s">
        <v>3047</v>
      </c>
      <c r="AK507" s="145" t="s">
        <v>3047</v>
      </c>
      <c r="AL507" s="142" t="s">
        <v>3047</v>
      </c>
      <c r="AM507" s="145" t="s">
        <v>3047</v>
      </c>
      <c r="AN507" s="161"/>
    </row>
    <row r="508" spans="1:40">
      <c r="A508" s="143" t="s">
        <v>1568</v>
      </c>
      <c r="B508" s="141">
        <v>100</v>
      </c>
      <c r="C508" s="142">
        <f>B508*IBGE_2!C$508/100</f>
        <v>60</v>
      </c>
      <c r="D508" s="142">
        <f>B508*IBGE_2!D$508/100</f>
        <v>1</v>
      </c>
      <c r="E508" s="142">
        <f>B508*IBGE_2!E$508/100</f>
        <v>0.1</v>
      </c>
      <c r="F508" s="142" t="s">
        <v>3047</v>
      </c>
      <c r="G508" s="142" t="s">
        <v>3047</v>
      </c>
      <c r="H508" s="142" t="s">
        <v>3047</v>
      </c>
      <c r="I508" s="142" t="s">
        <v>3047</v>
      </c>
      <c r="J508" s="142" t="s">
        <v>3047</v>
      </c>
      <c r="K508" s="142" t="s">
        <v>3047</v>
      </c>
      <c r="L508" s="142">
        <f>B508*IBGE_2!L$508/100</f>
        <v>15.5</v>
      </c>
      <c r="M508" s="142">
        <f>B508*IBGE_2!M$508/100</f>
        <v>1.2</v>
      </c>
      <c r="N508" s="142">
        <f>B508*IBGE_2!N$508/100</f>
        <v>21</v>
      </c>
      <c r="O508" s="142" t="s">
        <v>3047</v>
      </c>
      <c r="P508" s="142" t="s">
        <v>3047</v>
      </c>
      <c r="Q508" s="142">
        <f>B508*IBGE_2!Q$508/100</f>
        <v>20</v>
      </c>
      <c r="R508" s="142">
        <f>B508*IBGE_2!R$508/100</f>
        <v>0.9</v>
      </c>
      <c r="S508" s="142" t="s">
        <v>3047</v>
      </c>
      <c r="T508" s="142" t="s">
        <v>3047</v>
      </c>
      <c r="U508" s="142" t="s">
        <v>3047</v>
      </c>
      <c r="V508" s="142" t="s">
        <v>3047</v>
      </c>
      <c r="W508" s="142" t="s">
        <v>3047</v>
      </c>
      <c r="X508" s="142">
        <f>B508*IBGE_2!X$508/100</f>
        <v>0.04</v>
      </c>
      <c r="Y508" s="142">
        <f>B508*IBGE_2!Y$508/100</f>
        <v>0.06</v>
      </c>
      <c r="Z508" s="142" t="s">
        <v>3047</v>
      </c>
      <c r="AA508" s="142">
        <f>B508*IBGE_2!AA$508/100</f>
        <v>0.4</v>
      </c>
      <c r="AB508" s="142">
        <f>B508*IBGE_2!AB$508/100</f>
        <v>9</v>
      </c>
      <c r="AC508" s="142" t="s">
        <v>3047</v>
      </c>
      <c r="AD508" s="142" t="s">
        <v>3047</v>
      </c>
      <c r="AE508" s="142" t="s">
        <v>3047</v>
      </c>
      <c r="AF508" s="142" t="s">
        <v>3047</v>
      </c>
      <c r="AG508" s="142" t="s">
        <v>3047</v>
      </c>
      <c r="AH508" s="142" t="s">
        <v>3047</v>
      </c>
      <c r="AI508" s="142" t="s">
        <v>3047</v>
      </c>
      <c r="AJ508" s="142" t="s">
        <v>3047</v>
      </c>
      <c r="AK508" s="145" t="s">
        <v>3047</v>
      </c>
      <c r="AL508" s="142" t="s">
        <v>3047</v>
      </c>
      <c r="AM508" s="145" t="s">
        <v>3047</v>
      </c>
      <c r="AN508" s="161"/>
    </row>
    <row r="509" spans="1:40">
      <c r="A509" s="143" t="s">
        <v>1569</v>
      </c>
      <c r="B509" s="141">
        <v>100</v>
      </c>
      <c r="C509" s="142">
        <f>B509*IBGE_2!C$509/100</f>
        <v>152</v>
      </c>
      <c r="D509" s="142">
        <f>B509*IBGE_2!D$509/100</f>
        <v>1.5</v>
      </c>
      <c r="E509" s="142">
        <f>B509*IBGE_2!E$509/100</f>
        <v>13.4</v>
      </c>
      <c r="F509" s="142" t="s">
        <v>3047</v>
      </c>
      <c r="G509" s="142" t="s">
        <v>3047</v>
      </c>
      <c r="H509" s="142" t="s">
        <v>3047</v>
      </c>
      <c r="I509" s="142" t="s">
        <v>3047</v>
      </c>
      <c r="J509" s="142" t="s">
        <v>3047</v>
      </c>
      <c r="K509" s="142" t="s">
        <v>3047</v>
      </c>
      <c r="L509" s="142">
        <f>B509*IBGE_2!L$509/100</f>
        <v>6.3</v>
      </c>
      <c r="M509" s="142">
        <f>B509*IBGE_2!M$509/100</f>
        <v>4.7</v>
      </c>
      <c r="N509" s="142" t="s">
        <v>3047</v>
      </c>
      <c r="O509" s="142" t="s">
        <v>3047</v>
      </c>
      <c r="P509" s="142" t="s">
        <v>3047</v>
      </c>
      <c r="Q509" s="142" t="s">
        <v>3047</v>
      </c>
      <c r="R509" s="142" t="s">
        <v>3047</v>
      </c>
      <c r="S509" s="142" t="s">
        <v>3047</v>
      </c>
      <c r="T509" s="142" t="s">
        <v>3047</v>
      </c>
      <c r="U509" s="142" t="s">
        <v>3047</v>
      </c>
      <c r="V509" s="142" t="s">
        <v>3047</v>
      </c>
      <c r="W509" s="142" t="s">
        <v>3047</v>
      </c>
      <c r="X509" s="142" t="s">
        <v>3047</v>
      </c>
      <c r="Y509" s="142" t="s">
        <v>3047</v>
      </c>
      <c r="Z509" s="142" t="s">
        <v>3047</v>
      </c>
      <c r="AA509" s="142" t="s">
        <v>3047</v>
      </c>
      <c r="AB509" s="142" t="s">
        <v>3047</v>
      </c>
      <c r="AC509" s="142" t="s">
        <v>3047</v>
      </c>
      <c r="AD509" s="142" t="s">
        <v>3047</v>
      </c>
      <c r="AE509" s="142" t="s">
        <v>3047</v>
      </c>
      <c r="AF509" s="142" t="s">
        <v>3047</v>
      </c>
      <c r="AG509" s="142" t="s">
        <v>3047</v>
      </c>
      <c r="AH509" s="142" t="s">
        <v>3047</v>
      </c>
      <c r="AI509" s="142" t="s">
        <v>3047</v>
      </c>
      <c r="AJ509" s="142" t="s">
        <v>3047</v>
      </c>
      <c r="AK509" s="145" t="s">
        <v>3047</v>
      </c>
      <c r="AL509" s="142" t="s">
        <v>3047</v>
      </c>
      <c r="AM509" s="145" t="s">
        <v>3047</v>
      </c>
      <c r="AN509" s="161"/>
    </row>
    <row r="510" spans="1:40">
      <c r="A510" s="143" t="s">
        <v>1570</v>
      </c>
      <c r="B510" s="141">
        <v>100</v>
      </c>
      <c r="C510" s="142">
        <f>B510*IBGE_2!C$510/100</f>
        <v>41</v>
      </c>
      <c r="D510" s="142">
        <f>B510*IBGE_2!D$510/100</f>
        <v>0.9</v>
      </c>
      <c r="E510" s="142">
        <f>B510*IBGE_2!E$510/100</f>
        <v>0.2</v>
      </c>
      <c r="F510" s="142" t="s">
        <v>3047</v>
      </c>
      <c r="G510" s="142" t="s">
        <v>3047</v>
      </c>
      <c r="H510" s="142" t="s">
        <v>3047</v>
      </c>
      <c r="I510" s="142" t="s">
        <v>3047</v>
      </c>
      <c r="J510" s="142" t="s">
        <v>3047</v>
      </c>
      <c r="K510" s="142" t="s">
        <v>3047</v>
      </c>
      <c r="L510" s="142">
        <f>B510*IBGE_2!L$510/100</f>
        <v>10.199999999999999</v>
      </c>
      <c r="M510" s="142">
        <f>B510*IBGE_2!M$510/100</f>
        <v>3.2</v>
      </c>
      <c r="N510" s="142">
        <f>B510*IBGE_2!N$510/100</f>
        <v>18</v>
      </c>
      <c r="O510" s="142">
        <f>B510*IBGE_2!O$510/100</f>
        <v>12</v>
      </c>
      <c r="P510" s="142">
        <f>B510*IBGE_2!P$510/100</f>
        <v>0.36</v>
      </c>
      <c r="Q510" s="142">
        <f>B510*IBGE_2!Q$510/100</f>
        <v>13</v>
      </c>
      <c r="R510" s="142">
        <f>B510*IBGE_2!R$510/100</f>
        <v>0.4</v>
      </c>
      <c r="S510" s="142">
        <f>B510*IBGE_2!S$510/100</f>
        <v>2</v>
      </c>
      <c r="T510" s="142">
        <f>B510*IBGE_2!T$510/100</f>
        <v>113</v>
      </c>
      <c r="U510" s="142">
        <f>B510*IBGE_2!U$510/100</f>
        <v>0.08</v>
      </c>
      <c r="V510" s="142">
        <f>B510*IBGE_2!V$510/100</f>
        <v>0.4</v>
      </c>
      <c r="W510" s="142" t="s">
        <v>3047</v>
      </c>
      <c r="X510" s="142">
        <f>B510*IBGE_2!X$510/100</f>
        <v>0.03</v>
      </c>
      <c r="Y510" s="142">
        <f>B510*IBGE_2!Y$510/100</f>
        <v>0.1</v>
      </c>
      <c r="Z510" s="142" t="s">
        <v>3047</v>
      </c>
      <c r="AA510" s="142" t="s">
        <v>3047</v>
      </c>
      <c r="AB510" s="142">
        <f>B510*IBGE_2!AB$510/100</f>
        <v>24.9</v>
      </c>
      <c r="AC510" s="142" t="s">
        <v>3047</v>
      </c>
      <c r="AD510" s="142" t="s">
        <v>3047</v>
      </c>
      <c r="AE510" s="142" t="s">
        <v>3047</v>
      </c>
      <c r="AF510" s="142" t="s">
        <v>3047</v>
      </c>
      <c r="AG510" s="142" t="s">
        <v>3047</v>
      </c>
      <c r="AH510" s="142" t="s">
        <v>3047</v>
      </c>
      <c r="AI510" s="142" t="s">
        <v>3047</v>
      </c>
      <c r="AJ510" s="142" t="s">
        <v>3047</v>
      </c>
      <c r="AK510" s="142">
        <f>B510*IBGE_2!AK$510/100</f>
        <v>77</v>
      </c>
      <c r="AL510" s="142" t="s">
        <v>3047</v>
      </c>
      <c r="AM510" s="145" t="s">
        <v>3047</v>
      </c>
      <c r="AN510" s="161"/>
    </row>
    <row r="511" spans="1:40">
      <c r="A511" s="143" t="s">
        <v>1571</v>
      </c>
      <c r="B511" s="141">
        <v>100</v>
      </c>
      <c r="C511" s="142">
        <f>B511*IBGE_2!C$511/100</f>
        <v>76</v>
      </c>
      <c r="D511" s="142">
        <f>B511*IBGE_2!D$511/100</f>
        <v>1.4</v>
      </c>
      <c r="E511" s="142">
        <f>B511*IBGE_2!E$511/100</f>
        <v>0.4</v>
      </c>
      <c r="F511" s="142">
        <f>B511*IBGE_2!F$511/100</f>
        <v>0.2</v>
      </c>
      <c r="G511" s="142" t="s">
        <v>3047</v>
      </c>
      <c r="H511" s="142">
        <f>B511*IBGE_2!H$511/100</f>
        <v>0.1</v>
      </c>
      <c r="I511" s="142">
        <f>B511*IBGE_2!I$511/100</f>
        <v>7.0000000000000007E-2</v>
      </c>
      <c r="J511" s="142">
        <f>B511*IBGE_2!J$511/100</f>
        <v>0.03</v>
      </c>
      <c r="K511" s="142" t="s">
        <v>3047</v>
      </c>
      <c r="L511" s="142">
        <f>B511*IBGE_2!L$511/100</f>
        <v>18.899999999999999</v>
      </c>
      <c r="M511" s="142">
        <f>B511*IBGE_2!M$511/100</f>
        <v>3.9</v>
      </c>
      <c r="N511" s="142">
        <f>B511*IBGE_2!N$511/100</f>
        <v>27</v>
      </c>
      <c r="O511" s="142">
        <f>B511*IBGE_2!O$511/100</f>
        <v>18</v>
      </c>
      <c r="P511" s="142">
        <f>B511*IBGE_2!P$511/100</f>
        <v>0.06</v>
      </c>
      <c r="Q511" s="142">
        <f>B511*IBGE_2!Q$511/100</f>
        <v>49</v>
      </c>
      <c r="R511" s="142">
        <f>B511*IBGE_2!R$511/100</f>
        <v>0.4</v>
      </c>
      <c r="S511" s="142">
        <f>B511*IBGE_2!S$511/100</f>
        <v>2</v>
      </c>
      <c r="T511" s="142">
        <f>B511*IBGE_2!T$511/100</f>
        <v>248</v>
      </c>
      <c r="U511" s="142">
        <f>B511*IBGE_2!U$511/100</f>
        <v>0.12</v>
      </c>
      <c r="V511" s="142">
        <f>B511*IBGE_2!V$511/100</f>
        <v>0.5</v>
      </c>
      <c r="W511" s="142" t="s">
        <v>3047</v>
      </c>
      <c r="X511" s="142">
        <f>B511*IBGE_2!X$511/100</f>
        <v>0.14000000000000001</v>
      </c>
      <c r="Y511" s="142" t="s">
        <v>3047</v>
      </c>
      <c r="Z511" s="142" t="s">
        <v>3047</v>
      </c>
      <c r="AA511" s="142" t="s">
        <v>3047</v>
      </c>
      <c r="AB511" s="142">
        <f>B511*IBGE_2!AB$511/100</f>
        <v>27</v>
      </c>
      <c r="AC511" s="142" t="s">
        <v>3047</v>
      </c>
      <c r="AD511" s="142" t="s">
        <v>3047</v>
      </c>
      <c r="AE511" s="142" t="s">
        <v>3047</v>
      </c>
      <c r="AF511" s="142" t="s">
        <v>3047</v>
      </c>
      <c r="AG511" s="142" t="s">
        <v>3047</v>
      </c>
      <c r="AH511" s="142" t="s">
        <v>3047</v>
      </c>
      <c r="AI511" s="142" t="s">
        <v>3047</v>
      </c>
      <c r="AJ511" s="142" t="s">
        <v>3047</v>
      </c>
      <c r="AK511" s="145" t="s">
        <v>3047</v>
      </c>
      <c r="AL511" s="142" t="s">
        <v>3047</v>
      </c>
      <c r="AM511" s="145" t="s">
        <v>3047</v>
      </c>
      <c r="AN511" s="161"/>
    </row>
    <row r="512" spans="1:40">
      <c r="A512" s="143" t="s">
        <v>1572</v>
      </c>
      <c r="B512" s="141">
        <v>100</v>
      </c>
      <c r="C512" s="142">
        <f>B512*IBGE_2!C$512/100</f>
        <v>66</v>
      </c>
      <c r="D512" s="142">
        <f>B512*IBGE_2!D$512/100</f>
        <v>0.9</v>
      </c>
      <c r="E512" s="142">
        <f>B512*IBGE_2!E$512/100</f>
        <v>1.3</v>
      </c>
      <c r="F512" s="142" t="s">
        <v>3047</v>
      </c>
      <c r="G512" s="142" t="s">
        <v>3047</v>
      </c>
      <c r="H512" s="142" t="s">
        <v>3047</v>
      </c>
      <c r="I512" s="142" t="s">
        <v>3047</v>
      </c>
      <c r="J512" s="142" t="s">
        <v>3047</v>
      </c>
      <c r="K512" s="142" t="s">
        <v>3047</v>
      </c>
      <c r="L512" s="142">
        <f>B512*IBGE_2!L$512/100</f>
        <v>14.4</v>
      </c>
      <c r="M512" s="142">
        <f>B512*IBGE_2!M$512/100</f>
        <v>2.2000000000000002</v>
      </c>
      <c r="N512" s="142">
        <f>B512*IBGE_2!N$512/100</f>
        <v>33</v>
      </c>
      <c r="O512" s="142" t="s">
        <v>3047</v>
      </c>
      <c r="P512" s="142" t="s">
        <v>3047</v>
      </c>
      <c r="Q512" s="142">
        <f>B512*IBGE_2!Q$512/100</f>
        <v>17</v>
      </c>
      <c r="R512" s="142">
        <f>B512*IBGE_2!R$512/100</f>
        <v>2</v>
      </c>
      <c r="S512" s="142" t="s">
        <v>3047</v>
      </c>
      <c r="T512" s="142" t="s">
        <v>3047</v>
      </c>
      <c r="U512" s="142" t="s">
        <v>3047</v>
      </c>
      <c r="V512" s="142" t="s">
        <v>3047</v>
      </c>
      <c r="W512" s="142">
        <f>B512*IBGE_2!W$512/100</f>
        <v>7</v>
      </c>
      <c r="X512" s="142">
        <f>B512*IBGE_2!X$512/100</f>
        <v>0.02</v>
      </c>
      <c r="Y512" s="142" t="s">
        <v>3047</v>
      </c>
      <c r="Z512" s="142">
        <f>B512*IBGE_2!Z$512/100</f>
        <v>0.04</v>
      </c>
      <c r="AA512" s="142">
        <f>B512*IBGE_2!AA$512/100</f>
        <v>0.4</v>
      </c>
      <c r="AB512" s="142">
        <f>B512*IBGE_2!AB$512/100</f>
        <v>84</v>
      </c>
      <c r="AC512" s="142" t="s">
        <v>3047</v>
      </c>
      <c r="AD512" s="142" t="s">
        <v>3047</v>
      </c>
      <c r="AE512" s="142" t="s">
        <v>3047</v>
      </c>
      <c r="AF512" s="142" t="s">
        <v>3047</v>
      </c>
      <c r="AG512" s="142" t="s">
        <v>3047</v>
      </c>
      <c r="AH512" s="142" t="s">
        <v>3047</v>
      </c>
      <c r="AI512" s="142" t="s">
        <v>3047</v>
      </c>
      <c r="AJ512" s="142" t="s">
        <v>3047</v>
      </c>
      <c r="AK512" s="145" t="s">
        <v>3047</v>
      </c>
      <c r="AL512" s="142" t="s">
        <v>3047</v>
      </c>
      <c r="AM512" s="145" t="s">
        <v>3047</v>
      </c>
      <c r="AN512" s="161"/>
    </row>
    <row r="513" spans="1:40">
      <c r="A513" s="143" t="s">
        <v>1573</v>
      </c>
      <c r="B513" s="141">
        <v>100</v>
      </c>
      <c r="C513" s="142">
        <f>B513*IBGE_2!C$513/100</f>
        <v>37</v>
      </c>
      <c r="D513" s="142">
        <f>B513*IBGE_2!D$513/100</f>
        <v>0.8</v>
      </c>
      <c r="E513" s="142" t="s">
        <v>3047</v>
      </c>
      <c r="F513" s="142" t="s">
        <v>3047</v>
      </c>
      <c r="G513" s="142" t="s">
        <v>3047</v>
      </c>
      <c r="H513" s="142" t="s">
        <v>3047</v>
      </c>
      <c r="I513" s="142" t="s">
        <v>3047</v>
      </c>
      <c r="J513" s="142" t="s">
        <v>3047</v>
      </c>
      <c r="K513" s="142" t="s">
        <v>3047</v>
      </c>
      <c r="L513" s="142">
        <f>B513*IBGE_2!L$513/100</f>
        <v>9.4</v>
      </c>
      <c r="M513" s="142">
        <f>B513*IBGE_2!M$513/100</f>
        <v>2</v>
      </c>
      <c r="N513" s="142">
        <f>B513*IBGE_2!N$513/100</f>
        <v>12</v>
      </c>
      <c r="O513" s="142">
        <f>B513*IBGE_2!O$513/100</f>
        <v>11</v>
      </c>
      <c r="P513" s="142">
        <f>B513*IBGE_2!P$513/100</f>
        <v>0.03</v>
      </c>
      <c r="Q513" s="142">
        <f>B513*IBGE_2!Q$513/100</f>
        <v>13</v>
      </c>
      <c r="R513" s="142">
        <f>B513*IBGE_2!R$513/100</f>
        <v>0.1</v>
      </c>
      <c r="S513" s="142" t="s">
        <v>3047</v>
      </c>
      <c r="T513" s="142">
        <f>B513*IBGE_2!T$513/100</f>
        <v>152</v>
      </c>
      <c r="U513" s="142">
        <f>B513*IBGE_2!U$513/100</f>
        <v>0.04</v>
      </c>
      <c r="V513" s="142">
        <f>B513*IBGE_2!V$513/100</f>
        <v>0.4</v>
      </c>
      <c r="W513" s="142" t="s">
        <v>3047</v>
      </c>
      <c r="X513" s="142">
        <f>B513*IBGE_2!X$513/100</f>
        <v>0.05</v>
      </c>
      <c r="Y513" s="142">
        <f>B513*IBGE_2!Y$513/100</f>
        <v>0.06</v>
      </c>
      <c r="Z513" s="142">
        <f>B513*IBGE_2!Z$513/100</f>
        <v>0.03</v>
      </c>
      <c r="AA513" s="142" t="s">
        <v>3047</v>
      </c>
      <c r="AB513" s="142">
        <f>B513*IBGE_2!AB$513/100</f>
        <v>24.1</v>
      </c>
      <c r="AC513" s="142" t="s">
        <v>3047</v>
      </c>
      <c r="AD513" s="142" t="s">
        <v>3047</v>
      </c>
      <c r="AE513" s="142" t="s">
        <v>3047</v>
      </c>
      <c r="AF513" s="142" t="s">
        <v>3047</v>
      </c>
      <c r="AG513" s="142" t="s">
        <v>3047</v>
      </c>
      <c r="AH513" s="142" t="s">
        <v>3047</v>
      </c>
      <c r="AI513" s="142" t="s">
        <v>3047</v>
      </c>
      <c r="AJ513" s="142" t="s">
        <v>3047</v>
      </c>
      <c r="AK513" s="145" t="s">
        <v>3047</v>
      </c>
      <c r="AL513" s="142" t="s">
        <v>3047</v>
      </c>
      <c r="AM513" s="145" t="s">
        <v>3047</v>
      </c>
      <c r="AN513" s="161"/>
    </row>
    <row r="514" spans="1:40">
      <c r="A514" s="143" t="s">
        <v>1574</v>
      </c>
      <c r="B514" s="141">
        <v>100</v>
      </c>
      <c r="C514" s="142">
        <f>B514*IBGE_2!C$514/100</f>
        <v>37</v>
      </c>
      <c r="D514" s="142">
        <f>B514*IBGE_2!D$514/100</f>
        <v>0.8</v>
      </c>
      <c r="E514" s="142" t="s">
        <v>3047</v>
      </c>
      <c r="F514" s="142" t="s">
        <v>3047</v>
      </c>
      <c r="G514" s="142" t="s">
        <v>3047</v>
      </c>
      <c r="H514" s="142" t="s">
        <v>3047</v>
      </c>
      <c r="I514" s="142" t="s">
        <v>3047</v>
      </c>
      <c r="J514" s="142" t="s">
        <v>3047</v>
      </c>
      <c r="K514" s="142" t="s">
        <v>3047</v>
      </c>
      <c r="L514" s="142">
        <f>B514*IBGE_2!L$514/100</f>
        <v>9.4</v>
      </c>
      <c r="M514" s="142">
        <f>B514*IBGE_2!M$514/100</f>
        <v>2</v>
      </c>
      <c r="N514" s="142">
        <f>B514*IBGE_2!N$514/100</f>
        <v>12</v>
      </c>
      <c r="O514" s="142">
        <f>B514*IBGE_2!O$514/100</f>
        <v>11</v>
      </c>
      <c r="P514" s="142">
        <f>B514*IBGE_2!P$514/100</f>
        <v>0.03</v>
      </c>
      <c r="Q514" s="142">
        <f>B514*IBGE_2!Q$514/100</f>
        <v>13</v>
      </c>
      <c r="R514" s="142">
        <f>B514*IBGE_2!R$514/100</f>
        <v>0.1</v>
      </c>
      <c r="S514" s="142" t="s">
        <v>3047</v>
      </c>
      <c r="T514" s="142">
        <f>B514*IBGE_2!T$514/100</f>
        <v>152</v>
      </c>
      <c r="U514" s="142">
        <f>B514*IBGE_2!U$514/100</f>
        <v>0.04</v>
      </c>
      <c r="V514" s="142">
        <f>B514*IBGE_2!V$514/100</f>
        <v>0.4</v>
      </c>
      <c r="W514" s="142" t="s">
        <v>3047</v>
      </c>
      <c r="X514" s="142">
        <f>B514*IBGE_2!X$514/100</f>
        <v>0.05</v>
      </c>
      <c r="Y514" s="142">
        <f>B514*IBGE_2!Y$514/100</f>
        <v>0.06</v>
      </c>
      <c r="Z514" s="142">
        <f>B514*IBGE_2!Z$514/100</f>
        <v>0.03</v>
      </c>
      <c r="AA514" s="142" t="s">
        <v>3047</v>
      </c>
      <c r="AB514" s="142">
        <f>B514*IBGE_2!AB$514/100</f>
        <v>24.1</v>
      </c>
      <c r="AC514" s="142" t="s">
        <v>3047</v>
      </c>
      <c r="AD514" s="142" t="s">
        <v>3047</v>
      </c>
      <c r="AE514" s="142" t="s">
        <v>3047</v>
      </c>
      <c r="AF514" s="142" t="s">
        <v>3047</v>
      </c>
      <c r="AG514" s="142" t="s">
        <v>3047</v>
      </c>
      <c r="AH514" s="142" t="s">
        <v>3047</v>
      </c>
      <c r="AI514" s="142" t="s">
        <v>3047</v>
      </c>
      <c r="AJ514" s="142" t="s">
        <v>3047</v>
      </c>
      <c r="AK514" s="145" t="s">
        <v>3047</v>
      </c>
      <c r="AL514" s="142" t="s">
        <v>3047</v>
      </c>
      <c r="AM514" s="145" t="s">
        <v>3047</v>
      </c>
      <c r="AN514" s="161"/>
    </row>
    <row r="515" spans="1:40">
      <c r="A515" s="143" t="s">
        <v>1575</v>
      </c>
      <c r="B515" s="141">
        <v>100</v>
      </c>
      <c r="C515" s="142">
        <f>B515*IBGE_2!C$515/100</f>
        <v>74</v>
      </c>
      <c r="D515" s="142">
        <f>B515*IBGE_2!D$515/100</f>
        <v>1.65</v>
      </c>
      <c r="E515" s="142">
        <f>B515*IBGE_2!E$515/100</f>
        <v>0.62</v>
      </c>
      <c r="F515" s="142">
        <f>B515*IBGE_2!F$515/100</f>
        <v>7.0000000000000007E-2</v>
      </c>
      <c r="G515" s="142">
        <f>B515*IBGE_2!G$515/100</f>
        <v>0.01</v>
      </c>
      <c r="H515" s="142">
        <f>B515*IBGE_2!H$515/100</f>
        <v>0.09</v>
      </c>
      <c r="I515" s="142">
        <f>B515*IBGE_2!I$515/100</f>
        <v>0.05</v>
      </c>
      <c r="J515" s="142">
        <f>B515*IBGE_2!J$515/100</f>
        <v>0.04</v>
      </c>
      <c r="K515" s="142" t="s">
        <v>3047</v>
      </c>
      <c r="L515" s="142">
        <f>B515*IBGE_2!L$515/100</f>
        <v>17.7</v>
      </c>
      <c r="M515" s="142">
        <f>B515*IBGE_2!M$515/100</f>
        <v>2.2999999999999998</v>
      </c>
      <c r="N515" s="142">
        <f>B515*IBGE_2!N$515/100</f>
        <v>8</v>
      </c>
      <c r="O515" s="142">
        <f>B515*IBGE_2!O$515/100</f>
        <v>16</v>
      </c>
      <c r="P515" s="142">
        <f>B515*IBGE_2!P$515/100</f>
        <v>0.08</v>
      </c>
      <c r="Q515" s="142">
        <f>B515*IBGE_2!Q$515/100</f>
        <v>26</v>
      </c>
      <c r="R515" s="142">
        <f>B515*IBGE_2!R$515/100</f>
        <v>0.3</v>
      </c>
      <c r="S515" s="142">
        <f>B515*IBGE_2!S$515/100</f>
        <v>4</v>
      </c>
      <c r="T515" s="142">
        <f>B515*IBGE_2!T$515/100</f>
        <v>269</v>
      </c>
      <c r="U515" s="142">
        <f>B515*IBGE_2!U$515/100</f>
        <v>7.0000000000000007E-2</v>
      </c>
      <c r="V515" s="142">
        <f>B515*IBGE_2!V$515/100</f>
        <v>0.18</v>
      </c>
      <c r="W515" s="142" t="s">
        <v>3047</v>
      </c>
      <c r="X515" s="142">
        <f>B515*IBGE_2!X$515/100</f>
        <v>0.09</v>
      </c>
      <c r="Y515" s="142">
        <f>B515*IBGE_2!Y$515/100</f>
        <v>0.12</v>
      </c>
      <c r="Z515" s="142">
        <f>B515*IBGE_2!Z$515/100</f>
        <v>0.21</v>
      </c>
      <c r="AA515" s="142">
        <f>B515*IBGE_2!AA$515/100</f>
        <v>0.56999999999999995</v>
      </c>
      <c r="AB515" s="142">
        <f>B515*IBGE_2!AB$515/100</f>
        <v>11.5</v>
      </c>
      <c r="AC515" s="142">
        <f>B515*IBGE_2!AC$515/100</f>
        <v>0.56999999999999995</v>
      </c>
      <c r="AD515" s="142" t="s">
        <v>3047</v>
      </c>
      <c r="AE515" s="142">
        <f>B515*IBGE_2!AE$515/100</f>
        <v>18</v>
      </c>
      <c r="AF515" s="142" t="s">
        <v>3047</v>
      </c>
      <c r="AG515" s="145" t="s">
        <v>3047</v>
      </c>
      <c r="AH515" s="142" t="s">
        <v>3047</v>
      </c>
      <c r="AI515" s="142" t="s">
        <v>3047</v>
      </c>
      <c r="AJ515" s="142">
        <f>B515*IBGE_2!AJ$515/100</f>
        <v>20</v>
      </c>
      <c r="AK515" s="145" t="s">
        <v>3047</v>
      </c>
      <c r="AL515" s="142">
        <f>B515*IBGE_2!AL$515/100</f>
        <v>3.39</v>
      </c>
      <c r="AM515" s="145" t="s">
        <v>3047</v>
      </c>
      <c r="AN515" s="161"/>
    </row>
    <row r="516" spans="1:40">
      <c r="A516" s="143" t="s">
        <v>1576</v>
      </c>
      <c r="B516" s="141">
        <v>100</v>
      </c>
      <c r="C516" s="142">
        <f>B516*IBGE_2!C$516/100</f>
        <v>49</v>
      </c>
      <c r="D516" s="142">
        <f>B516*IBGE_2!D$516/100</f>
        <v>1.2</v>
      </c>
      <c r="E516" s="142">
        <f>B516*IBGE_2!E$516/100</f>
        <v>1</v>
      </c>
      <c r="F516" s="142">
        <f>B516*IBGE_2!F$516/100</f>
        <v>0.4</v>
      </c>
      <c r="G516" s="142">
        <f>B516*IBGE_2!G$516/100</f>
        <v>0.2</v>
      </c>
      <c r="H516" s="142">
        <f>B516*IBGE_2!H$516/100</f>
        <v>0.1</v>
      </c>
      <c r="I516" s="142">
        <f>B516*IBGE_2!I$516/100</f>
        <v>0.03</v>
      </c>
      <c r="J516" s="142">
        <f>B516*IBGE_2!J$516/100</f>
        <v>0.09</v>
      </c>
      <c r="K516" s="142" t="s">
        <v>3047</v>
      </c>
      <c r="L516" s="142">
        <f>B516*IBGE_2!L$516/100</f>
        <v>10.4</v>
      </c>
      <c r="M516" s="142">
        <f>B516*IBGE_2!M$516/100</f>
        <v>3.1</v>
      </c>
      <c r="N516" s="142">
        <f>B516*IBGE_2!N$516/100</f>
        <v>13</v>
      </c>
      <c r="O516" s="142">
        <f>B516*IBGE_2!O$516/100</f>
        <v>18</v>
      </c>
      <c r="P516" s="142">
        <f>B516*IBGE_2!P$516/100</f>
        <v>7.0000000000000007E-2</v>
      </c>
      <c r="Q516" s="142">
        <f>B516*IBGE_2!Q$516/100</f>
        <v>21</v>
      </c>
      <c r="R516" s="142">
        <f>B516*IBGE_2!R$516/100</f>
        <v>0.5</v>
      </c>
      <c r="S516" s="142">
        <f>B516*IBGE_2!S$516/100</f>
        <v>3</v>
      </c>
      <c r="T516" s="142">
        <f>B516*IBGE_2!T$516/100</f>
        <v>331</v>
      </c>
      <c r="U516" s="142">
        <f>B516*IBGE_2!U$516/100</f>
        <v>7.0000000000000007E-2</v>
      </c>
      <c r="V516" s="142">
        <f>B516*IBGE_2!V$516/100</f>
        <v>0.3</v>
      </c>
      <c r="W516" s="142" t="s">
        <v>3047</v>
      </c>
      <c r="X516" s="142">
        <f>B516*IBGE_2!X$516/100</f>
        <v>0.37</v>
      </c>
      <c r="Y516" s="142">
        <f>B516*IBGE_2!Y$516/100</f>
        <v>0.04</v>
      </c>
      <c r="Z516" s="142">
        <f>B516*IBGE_2!Z$516/100</f>
        <v>7.0000000000000007E-2</v>
      </c>
      <c r="AA516" s="142">
        <f>B516*IBGE_2!AA$516/100</f>
        <v>4.34</v>
      </c>
      <c r="AB516" s="142">
        <f>B516*IBGE_2!AB$516/100</f>
        <v>24.5</v>
      </c>
      <c r="AC516" s="142" t="s">
        <v>3047</v>
      </c>
      <c r="AD516" s="142" t="s">
        <v>3047</v>
      </c>
      <c r="AE516" s="145" t="s">
        <v>3047</v>
      </c>
      <c r="AF516" s="142" t="s">
        <v>3047</v>
      </c>
      <c r="AG516" s="145" t="s">
        <v>3047</v>
      </c>
      <c r="AH516" s="142" t="s">
        <v>3047</v>
      </c>
      <c r="AI516" s="142" t="s">
        <v>3047</v>
      </c>
      <c r="AJ516" s="145" t="s">
        <v>3047</v>
      </c>
      <c r="AK516" s="145" t="s">
        <v>3047</v>
      </c>
      <c r="AL516" s="145" t="s">
        <v>3047</v>
      </c>
      <c r="AM516" s="145" t="s">
        <v>3047</v>
      </c>
      <c r="AN516" s="161"/>
    </row>
    <row r="517" spans="1:40">
      <c r="A517" s="143" t="s">
        <v>1577</v>
      </c>
      <c r="B517" s="141">
        <v>100</v>
      </c>
      <c r="C517" s="142">
        <f>B517*IBGE_2!C$517/100</f>
        <v>44</v>
      </c>
      <c r="D517" s="142">
        <f>B517*IBGE_2!D$517/100</f>
        <v>1.06</v>
      </c>
      <c r="E517" s="142">
        <f>B517*IBGE_2!E$517/100</f>
        <v>0.32</v>
      </c>
      <c r="F517" s="142">
        <f>B517*IBGE_2!F$517/100</f>
        <v>2.5000000000000001E-2</v>
      </c>
      <c r="G517" s="142">
        <f>B517*IBGE_2!G$517/100</f>
        <v>8.7999999999999995E-2</v>
      </c>
      <c r="H517" s="142">
        <f>B517*IBGE_2!H$517/100</f>
        <v>0.113</v>
      </c>
      <c r="I517" s="142">
        <f>B517*IBGE_2!I$517/100</f>
        <v>0.111</v>
      </c>
      <c r="J517" s="142">
        <f>B517*IBGE_2!J$517/100</f>
        <v>2E-3</v>
      </c>
      <c r="K517" s="142" t="s">
        <v>3047</v>
      </c>
      <c r="L517" s="142">
        <f>B517*IBGE_2!L$517/100</f>
        <v>10.55</v>
      </c>
      <c r="M517" s="142">
        <f>B517*IBGE_2!M$517/100</f>
        <v>1.7</v>
      </c>
      <c r="N517" s="142">
        <f>B517*IBGE_2!N$517/100</f>
        <v>6</v>
      </c>
      <c r="O517" s="142">
        <f>B517*IBGE_2!O$517/100</f>
        <v>9</v>
      </c>
      <c r="P517" s="142">
        <f>B517*IBGE_2!P$517/100</f>
        <v>5.4000000000000006E-2</v>
      </c>
      <c r="Q517" s="142">
        <f>B517*IBGE_2!Q$517/100</f>
        <v>26</v>
      </c>
      <c r="R517" s="142">
        <f>B517*IBGE_2!R$517/100</f>
        <v>0.28000000000000003</v>
      </c>
      <c r="S517" s="142" t="s">
        <v>3047</v>
      </c>
      <c r="T517" s="142">
        <f>B517*IBGE_2!T$517/100</f>
        <v>201</v>
      </c>
      <c r="U517" s="142">
        <f>B517*IBGE_2!U$517/100</f>
        <v>8.5999999999999993E-2</v>
      </c>
      <c r="V517" s="142">
        <f>B517*IBGE_2!V$517/100</f>
        <v>0.17</v>
      </c>
      <c r="W517" s="142" t="s">
        <v>3047</v>
      </c>
      <c r="X517" s="142">
        <f>B517*IBGE_2!X$517/100</f>
        <v>3.4000000000000002E-2</v>
      </c>
      <c r="Y517" s="142">
        <f>B517*IBGE_2!Y$517/100</f>
        <v>2.7000000000000003E-2</v>
      </c>
      <c r="Z517" s="142">
        <f>B517*IBGE_2!Z$517/100</f>
        <v>2.5000000000000001E-2</v>
      </c>
      <c r="AA517" s="142">
        <f>B517*IBGE_2!AA$517/100</f>
        <v>1.125</v>
      </c>
      <c r="AB517" s="142">
        <f>B517*IBGE_2!AB$517/100</f>
        <v>5.4</v>
      </c>
      <c r="AC517" s="142">
        <f>B517*IBGE_2!AC$517/100</f>
        <v>1.208</v>
      </c>
      <c r="AD517" s="142" t="s">
        <v>3047</v>
      </c>
      <c r="AE517" s="142">
        <f>B517*IBGE_2!AE$517/100</f>
        <v>5</v>
      </c>
      <c r="AF517" s="142" t="s">
        <v>3047</v>
      </c>
      <c r="AG517" s="142">
        <f>B517*IBGE_2!AG$517/100</f>
        <v>0.7</v>
      </c>
      <c r="AH517" s="142" t="s">
        <v>3047</v>
      </c>
      <c r="AI517" s="142" t="s">
        <v>3047</v>
      </c>
      <c r="AJ517" s="145" t="s">
        <v>3047</v>
      </c>
      <c r="AK517" s="142">
        <f>B517*IBGE_2!AK$517/100</f>
        <v>16.582999999999998</v>
      </c>
      <c r="AL517" s="142">
        <f>B517*IBGE_2!AL$517/100</f>
        <v>7.81</v>
      </c>
      <c r="AM517" s="145" t="s">
        <v>3047</v>
      </c>
      <c r="AN517" s="161"/>
    </row>
    <row r="518" spans="1:40">
      <c r="A518" s="143" t="s">
        <v>1578</v>
      </c>
      <c r="B518" s="141">
        <v>100</v>
      </c>
      <c r="C518" s="142">
        <f>B518*IBGE_2!C$518/100</f>
        <v>281.10000000000002</v>
      </c>
      <c r="D518" s="142">
        <f>B518*IBGE_2!D$518/100</f>
        <v>2.7</v>
      </c>
      <c r="E518" s="142">
        <f>B518*IBGE_2!E$518/100</f>
        <v>21.1</v>
      </c>
      <c r="F518" s="142" t="s">
        <v>3047</v>
      </c>
      <c r="G518" s="142" t="s">
        <v>3047</v>
      </c>
      <c r="H518" s="142" t="s">
        <v>3047</v>
      </c>
      <c r="I518" s="142" t="s">
        <v>3047</v>
      </c>
      <c r="J518" s="142" t="s">
        <v>3047</v>
      </c>
      <c r="K518" s="142" t="s">
        <v>3047</v>
      </c>
      <c r="L518" s="142">
        <f>B518*IBGE_2!L$518/100</f>
        <v>20.100000000000001</v>
      </c>
      <c r="M518" s="142" t="s">
        <v>3048</v>
      </c>
      <c r="N518" s="142" t="s">
        <v>3047</v>
      </c>
      <c r="O518" s="142" t="s">
        <v>3047</v>
      </c>
      <c r="P518" s="142" t="s">
        <v>3047</v>
      </c>
      <c r="Q518" s="142" t="s">
        <v>3047</v>
      </c>
      <c r="R518" s="142" t="s">
        <v>3047</v>
      </c>
      <c r="S518" s="142" t="s">
        <v>3047</v>
      </c>
      <c r="T518" s="142" t="s">
        <v>3047</v>
      </c>
      <c r="U518" s="142" t="s">
        <v>3047</v>
      </c>
      <c r="V518" s="142" t="s">
        <v>3047</v>
      </c>
      <c r="W518" s="142" t="s">
        <v>3047</v>
      </c>
      <c r="X518" s="142" t="s">
        <v>3047</v>
      </c>
      <c r="Y518" s="142" t="s">
        <v>3047</v>
      </c>
      <c r="Z518" s="142" t="s">
        <v>3047</v>
      </c>
      <c r="AA518" s="142" t="s">
        <v>3047</v>
      </c>
      <c r="AB518" s="142" t="s">
        <v>3047</v>
      </c>
      <c r="AC518" s="142" t="s">
        <v>3047</v>
      </c>
      <c r="AD518" s="142" t="s">
        <v>3047</v>
      </c>
      <c r="AE518" s="145" t="s">
        <v>3047</v>
      </c>
      <c r="AF518" s="142" t="s">
        <v>3047</v>
      </c>
      <c r="AG518" s="145" t="s">
        <v>3047</v>
      </c>
      <c r="AH518" s="142" t="s">
        <v>3047</v>
      </c>
      <c r="AI518" s="142" t="s">
        <v>3047</v>
      </c>
      <c r="AJ518" s="145" t="s">
        <v>3047</v>
      </c>
      <c r="AK518" s="145" t="s">
        <v>3047</v>
      </c>
      <c r="AL518" s="145" t="s">
        <v>3047</v>
      </c>
      <c r="AM518" s="145" t="s">
        <v>3047</v>
      </c>
      <c r="AN518" s="161"/>
    </row>
    <row r="519" spans="1:40">
      <c r="A519" s="143" t="s">
        <v>1579</v>
      </c>
      <c r="B519" s="141">
        <v>100</v>
      </c>
      <c r="C519" s="142">
        <f>B519*IBGE_2!C$519/100</f>
        <v>56</v>
      </c>
      <c r="D519" s="142">
        <f>B519*IBGE_2!D$519/100</f>
        <v>0.4</v>
      </c>
      <c r="E519" s="142" t="s">
        <v>3047</v>
      </c>
      <c r="F519" s="142" t="s">
        <v>3047</v>
      </c>
      <c r="G519" s="142" t="s">
        <v>3047</v>
      </c>
      <c r="H519" s="142" t="s">
        <v>3047</v>
      </c>
      <c r="I519" s="142" t="s">
        <v>3047</v>
      </c>
      <c r="J519" s="142" t="s">
        <v>3047</v>
      </c>
      <c r="K519" s="142" t="s">
        <v>3047</v>
      </c>
      <c r="L519" s="142">
        <f>B519*IBGE_2!L$519/100</f>
        <v>15.1</v>
      </c>
      <c r="M519" s="142">
        <f>B519*IBGE_2!M$519/100</f>
        <v>0.4</v>
      </c>
      <c r="N519" s="142">
        <f>B519*IBGE_2!N$519/100</f>
        <v>5</v>
      </c>
      <c r="O519" s="142">
        <f>B519*IBGE_2!O$519/100</f>
        <v>13</v>
      </c>
      <c r="P519" s="142">
        <f>B519*IBGE_2!P$519/100</f>
        <v>0.13</v>
      </c>
      <c r="Q519" s="142">
        <f>B519*IBGE_2!Q$519/100</f>
        <v>40</v>
      </c>
      <c r="R519" s="142">
        <f>B519*IBGE_2!R$519/100</f>
        <v>0.3</v>
      </c>
      <c r="S519" s="142">
        <f>B519*IBGE_2!S$519/100</f>
        <v>1</v>
      </c>
      <c r="T519" s="142">
        <f>B519*IBGE_2!T$519/100</f>
        <v>485</v>
      </c>
      <c r="U519" s="142">
        <f>B519*IBGE_2!U$519/100</f>
        <v>0.19</v>
      </c>
      <c r="V519" s="142">
        <f>B519*IBGE_2!V$519/100</f>
        <v>0.7</v>
      </c>
      <c r="W519" s="142" t="s">
        <v>3047</v>
      </c>
      <c r="X519" s="142">
        <f>B519*IBGE_2!X$519/100</f>
        <v>0.12</v>
      </c>
      <c r="Y519" s="142">
        <f>B519*IBGE_2!Y$519/100</f>
        <v>0.17</v>
      </c>
      <c r="Z519" s="142">
        <f>B519*IBGE_2!Z$519/100</f>
        <v>0.05</v>
      </c>
      <c r="AA519" s="142" t="s">
        <v>3047</v>
      </c>
      <c r="AB519" s="142">
        <f>B519*IBGE_2!AB$519/100</f>
        <v>8.1</v>
      </c>
      <c r="AC519" s="142" t="s">
        <v>3047</v>
      </c>
      <c r="AD519" s="142" t="s">
        <v>3047</v>
      </c>
      <c r="AE519" s="145" t="s">
        <v>3047</v>
      </c>
      <c r="AF519" s="142" t="s">
        <v>3047</v>
      </c>
      <c r="AG519" s="145" t="s">
        <v>3047</v>
      </c>
      <c r="AH519" s="142" t="s">
        <v>3047</v>
      </c>
      <c r="AI519" s="142" t="s">
        <v>3047</v>
      </c>
      <c r="AJ519" s="145" t="s">
        <v>3047</v>
      </c>
      <c r="AK519" s="145" t="s">
        <v>3047</v>
      </c>
      <c r="AL519" s="145" t="s">
        <v>3047</v>
      </c>
      <c r="AM519" s="145" t="s">
        <v>3047</v>
      </c>
      <c r="AN519" s="161"/>
    </row>
    <row r="520" spans="1:40">
      <c r="A520" s="143" t="s">
        <v>1580</v>
      </c>
      <c r="B520" s="141">
        <v>100</v>
      </c>
      <c r="C520" s="142">
        <f>B520*IBGE_2!C$520/100</f>
        <v>32</v>
      </c>
      <c r="D520" s="142">
        <f>B520*IBGE_2!D$520/100</f>
        <v>0.4</v>
      </c>
      <c r="E520" s="142">
        <f>B520*IBGE_2!E$520/100</f>
        <v>0.3</v>
      </c>
      <c r="F520" s="142">
        <f>B520*IBGE_2!F$520/100</f>
        <v>7.0000000000000007E-2</v>
      </c>
      <c r="G520" s="142">
        <f>B520*IBGE_2!G$520/100</f>
        <v>0.08</v>
      </c>
      <c r="H520" s="142">
        <f>B520*IBGE_2!H$520/100</f>
        <v>0.09</v>
      </c>
      <c r="I520" s="142">
        <f>B520*IBGE_2!I$520/100</f>
        <v>0.05</v>
      </c>
      <c r="J520" s="142">
        <f>B520*IBGE_2!J$520/100</f>
        <v>0.04</v>
      </c>
      <c r="K520" s="142" t="s">
        <v>3047</v>
      </c>
      <c r="L520" s="142">
        <f>B520*IBGE_2!L$520/100</f>
        <v>7.69</v>
      </c>
      <c r="M520" s="142">
        <f>B520*IBGE_2!M$520/100</f>
        <v>1.1000000000000001</v>
      </c>
      <c r="N520" s="142">
        <f>B520*IBGE_2!N$520/100</f>
        <v>12</v>
      </c>
      <c r="O520" s="142">
        <f>B520*IBGE_2!O$520/100</f>
        <v>18</v>
      </c>
      <c r="P520" s="142">
        <f>B520*IBGE_2!P$520/100</f>
        <v>0.09</v>
      </c>
      <c r="Q520" s="142">
        <f>B520*IBGE_2!Q$520/100</f>
        <v>11</v>
      </c>
      <c r="R520" s="142">
        <f>B520*IBGE_2!R$520/100</f>
        <v>0.2</v>
      </c>
      <c r="S520" s="142">
        <f>B520*IBGE_2!S$520/100</f>
        <v>7</v>
      </c>
      <c r="T520" s="142">
        <f>B520*IBGE_2!T$520/100</f>
        <v>146</v>
      </c>
      <c r="U520" s="142">
        <f>B520*IBGE_2!U$520/100</f>
        <v>0.09</v>
      </c>
      <c r="V520" s="142">
        <f>B520*IBGE_2!V$520/100</f>
        <v>0.1</v>
      </c>
      <c r="W520" s="142" t="s">
        <v>3047</v>
      </c>
      <c r="X520" s="142">
        <f>B520*IBGE_2!X$520/100</f>
        <v>0.02</v>
      </c>
      <c r="Y520" s="142">
        <f>B520*IBGE_2!Y$520/100</f>
        <v>0.06</v>
      </c>
      <c r="Z520" s="142">
        <f>B520*IBGE_2!Z$520/100</f>
        <v>0.01</v>
      </c>
      <c r="AA520" s="142">
        <f>B520*IBGE_2!AA$520/100</f>
        <v>0.4</v>
      </c>
      <c r="AB520" s="142">
        <f>B520*IBGE_2!AB$520/100</f>
        <v>1677.6</v>
      </c>
      <c r="AC520" s="142">
        <f>B520*IBGE_2!AC$520/100</f>
        <v>0.4</v>
      </c>
      <c r="AD520" s="142" t="s">
        <v>3047</v>
      </c>
      <c r="AE520" s="142">
        <f>B520*IBGE_2!AE$520/100</f>
        <v>14</v>
      </c>
      <c r="AF520" s="142" t="s">
        <v>3047</v>
      </c>
      <c r="AG520" s="142">
        <f>B520*IBGE_2!AG$520/100</f>
        <v>0.13</v>
      </c>
      <c r="AH520" s="142" t="s">
        <v>3047</v>
      </c>
      <c r="AI520" s="142" t="s">
        <v>3047</v>
      </c>
      <c r="AJ520" s="142">
        <f>B520*IBGE_2!AJ$520/100</f>
        <v>0.6</v>
      </c>
      <c r="AK520" s="142">
        <f>B520*IBGE_2!AK$520/100</f>
        <v>121</v>
      </c>
      <c r="AL520" s="145" t="s">
        <v>3047</v>
      </c>
      <c r="AM520" s="145" t="s">
        <v>3047</v>
      </c>
      <c r="AN520" s="161"/>
    </row>
    <row r="521" spans="1:40">
      <c r="A521" s="143" t="s">
        <v>1581</v>
      </c>
      <c r="B521" s="141">
        <v>100</v>
      </c>
      <c r="C521" s="142">
        <f>B521*IBGE_2!C$521/100</f>
        <v>61</v>
      </c>
      <c r="D521" s="142">
        <f>B521*IBGE_2!D$521/100</f>
        <v>1.1399999999999999</v>
      </c>
      <c r="E521" s="142">
        <f>B521*IBGE_2!E$521/100</f>
        <v>0.52</v>
      </c>
      <c r="F521" s="142">
        <f>B521*IBGE_2!F$521/100</f>
        <v>0.03</v>
      </c>
      <c r="G521" s="142">
        <f>B521*IBGE_2!G$521/100</f>
        <v>0.05</v>
      </c>
      <c r="H521" s="142">
        <f>B521*IBGE_2!H$521/100</f>
        <v>0.28999999999999998</v>
      </c>
      <c r="I521" s="142">
        <f>B521*IBGE_2!I$521/100</f>
        <v>0.25</v>
      </c>
      <c r="J521" s="142">
        <f>B521*IBGE_2!J$521/100</f>
        <v>0.04</v>
      </c>
      <c r="K521" s="142" t="s">
        <v>3047</v>
      </c>
      <c r="L521" s="142">
        <f>B521*IBGE_2!L$521/100</f>
        <v>14.66</v>
      </c>
      <c r="M521" s="142">
        <f>B521*IBGE_2!M$521/100</f>
        <v>3</v>
      </c>
      <c r="N521" s="142">
        <f>B521*IBGE_2!N$521/100</f>
        <v>34</v>
      </c>
      <c r="O521" s="142">
        <f>B521*IBGE_2!O$521/100</f>
        <v>17</v>
      </c>
      <c r="P521" s="142">
        <f>B521*IBGE_2!P$521/100</f>
        <v>0.1</v>
      </c>
      <c r="Q521" s="142">
        <f>B521*IBGE_2!Q$521/100</f>
        <v>34</v>
      </c>
      <c r="R521" s="142">
        <f>B521*IBGE_2!R$521/100</f>
        <v>0.31</v>
      </c>
      <c r="S521" s="142">
        <f>B521*IBGE_2!S$521/100</f>
        <v>3</v>
      </c>
      <c r="T521" s="142">
        <f>B521*IBGE_2!T$521/100</f>
        <v>312</v>
      </c>
      <c r="U521" s="142">
        <f>B521*IBGE_2!U$521/100</f>
        <v>0.13</v>
      </c>
      <c r="V521" s="142">
        <f>B521*IBGE_2!V$521/100</f>
        <v>0.14000000000000001</v>
      </c>
      <c r="W521" s="142" t="s">
        <v>3047</v>
      </c>
      <c r="X521" s="142">
        <f>B521*IBGE_2!X$521/100</f>
        <v>0.03</v>
      </c>
      <c r="Y521" s="142">
        <f>B521*IBGE_2!Y$521/100</f>
        <v>0.03</v>
      </c>
      <c r="Z521" s="142">
        <f>B521*IBGE_2!Z$521/100</f>
        <v>0.06</v>
      </c>
      <c r="AA521" s="142">
        <f>B521*IBGE_2!AA$521/100</f>
        <v>0.34</v>
      </c>
      <c r="AB521" s="142">
        <f>B521*IBGE_2!AB$521/100</f>
        <v>92.7</v>
      </c>
      <c r="AC521" s="142">
        <f>B521*IBGE_2!AC$521/100</f>
        <v>0.59</v>
      </c>
      <c r="AD521" s="142" t="s">
        <v>3047</v>
      </c>
      <c r="AE521" s="142">
        <f>B521*IBGE_2!AE$521/100</f>
        <v>25</v>
      </c>
      <c r="AF521" s="142" t="s">
        <v>3047</v>
      </c>
      <c r="AG521" s="142">
        <f>B521*IBGE_2!AG$521/100</f>
        <v>1.31</v>
      </c>
      <c r="AH521" s="142" t="s">
        <v>3047</v>
      </c>
      <c r="AI521" s="142" t="s">
        <v>3047</v>
      </c>
      <c r="AJ521" s="142">
        <f>B521*IBGE_2!AJ$521/100</f>
        <v>0.2</v>
      </c>
      <c r="AK521" s="142">
        <f>B521*IBGE_2!AK$521/100</f>
        <v>4.33</v>
      </c>
      <c r="AL521" s="142">
        <f>B521*IBGE_2!AL$521/100</f>
        <v>8.9700000000000006</v>
      </c>
      <c r="AM521" s="145" t="s">
        <v>3047</v>
      </c>
      <c r="AN521" s="161"/>
    </row>
    <row r="522" spans="1:40">
      <c r="A522" s="143" t="s">
        <v>1582</v>
      </c>
      <c r="B522" s="141">
        <v>100</v>
      </c>
      <c r="C522" s="142">
        <f>B522*IBGE_2!C$522/100</f>
        <v>62</v>
      </c>
      <c r="D522" s="142">
        <f>B522*IBGE_2!D$522/100</f>
        <v>0.8</v>
      </c>
      <c r="E522" s="142">
        <f>B522*IBGE_2!E$522/100</f>
        <v>0.7</v>
      </c>
      <c r="F522" s="142">
        <f>B522*IBGE_2!F$522/100</f>
        <v>0.3</v>
      </c>
      <c r="G522" s="142">
        <f>B522*IBGE_2!G$522/100</f>
        <v>0.1</v>
      </c>
      <c r="H522" s="142">
        <f>B522*IBGE_2!H$522/100</f>
        <v>0.1</v>
      </c>
      <c r="I522" s="142">
        <f>B522*IBGE_2!I$522/100</f>
        <v>0.1</v>
      </c>
      <c r="J522" s="142">
        <f>B522*IBGE_2!J$522/100</f>
        <v>0.02</v>
      </c>
      <c r="K522" s="142" t="s">
        <v>3047</v>
      </c>
      <c r="L522" s="142">
        <f>B522*IBGE_2!L$522/100</f>
        <v>14.9</v>
      </c>
      <c r="M522" s="142">
        <f>B522*IBGE_2!M$522/100</f>
        <v>1.7</v>
      </c>
      <c r="N522" s="142">
        <f>B522*IBGE_2!N$522/100</f>
        <v>6</v>
      </c>
      <c r="O522" s="142">
        <f>B522*IBGE_2!O$522/100</f>
        <v>9</v>
      </c>
      <c r="P522" s="142">
        <f>B522*IBGE_2!P$522/100</f>
        <v>0.08</v>
      </c>
      <c r="Q522" s="142">
        <f>B522*IBGE_2!Q$522/100</f>
        <v>20</v>
      </c>
      <c r="R522" s="142">
        <f>B522*IBGE_2!R$522/100</f>
        <v>0.2</v>
      </c>
      <c r="S522" s="142" t="s">
        <v>3047</v>
      </c>
      <c r="T522" s="142">
        <f>B522*IBGE_2!T$522/100</f>
        <v>128</v>
      </c>
      <c r="U522" s="142">
        <f>B522*IBGE_2!U$522/100</f>
        <v>0.09</v>
      </c>
      <c r="V522" s="142">
        <f>B522*IBGE_2!V$522/100</f>
        <v>0.1</v>
      </c>
      <c r="W522" s="142" t="s">
        <v>3047</v>
      </c>
      <c r="X522" s="142" t="s">
        <v>3047</v>
      </c>
      <c r="Y522" s="142">
        <f>B522*IBGE_2!Y$522/100</f>
        <v>0.04</v>
      </c>
      <c r="Z522" s="142">
        <f>B522*IBGE_2!Z$522/100</f>
        <v>0.05</v>
      </c>
      <c r="AA522" s="142" t="s">
        <v>3047</v>
      </c>
      <c r="AB522" s="142">
        <f>B522*IBGE_2!AB$522/100</f>
        <v>10.3</v>
      </c>
      <c r="AC522" s="142" t="s">
        <v>3047</v>
      </c>
      <c r="AD522" s="142" t="s">
        <v>3047</v>
      </c>
      <c r="AE522" s="145" t="s">
        <v>3047</v>
      </c>
      <c r="AF522" s="142" t="s">
        <v>3047</v>
      </c>
      <c r="AG522" s="145" t="s">
        <v>3047</v>
      </c>
      <c r="AH522" s="142" t="s">
        <v>3047</v>
      </c>
      <c r="AI522" s="142" t="s">
        <v>3047</v>
      </c>
      <c r="AJ522" s="145" t="s">
        <v>3047</v>
      </c>
      <c r="AK522" s="145" t="s">
        <v>3047</v>
      </c>
      <c r="AL522" s="145" t="s">
        <v>3047</v>
      </c>
      <c r="AM522" s="145" t="s">
        <v>3047</v>
      </c>
      <c r="AN522" s="161"/>
    </row>
    <row r="523" spans="1:40">
      <c r="A523" s="143" t="s">
        <v>1583</v>
      </c>
      <c r="B523" s="141">
        <v>100</v>
      </c>
      <c r="C523" s="142">
        <f>B523*IBGE_2!C$523/100</f>
        <v>126</v>
      </c>
      <c r="D523" s="142">
        <f>B523*IBGE_2!D$523/100</f>
        <v>4.4000000000000004</v>
      </c>
      <c r="E523" s="142">
        <f>B523*IBGE_2!E$523/100</f>
        <v>3.9</v>
      </c>
      <c r="F523" s="142">
        <f>B523*IBGE_2!F$523/100</f>
        <v>0.5</v>
      </c>
      <c r="G523" s="142">
        <f>B523*IBGE_2!G$523/100</f>
        <v>0.5</v>
      </c>
      <c r="H523" s="142">
        <f>B523*IBGE_2!H$523/100</f>
        <v>2.1</v>
      </c>
      <c r="I523" s="142">
        <f>B523*IBGE_2!I$523/100</f>
        <v>2.09</v>
      </c>
      <c r="J523" s="142">
        <f>B523*IBGE_2!J$523/100</f>
        <v>0.03</v>
      </c>
      <c r="K523" s="142" t="s">
        <v>3047</v>
      </c>
      <c r="L523" s="142">
        <f>B523*IBGE_2!L$523/100</f>
        <v>23.1</v>
      </c>
      <c r="M523" s="142">
        <f>B523*IBGE_2!M$523/100</f>
        <v>1.2</v>
      </c>
      <c r="N523" s="142">
        <f>B523*IBGE_2!N$523/100</f>
        <v>151</v>
      </c>
      <c r="O523" s="142">
        <f>B523*IBGE_2!O$523/100</f>
        <v>65</v>
      </c>
      <c r="P523" s="142">
        <f>B523*IBGE_2!P$523/100</f>
        <v>0.52</v>
      </c>
      <c r="Q523" s="142">
        <f>B523*IBGE_2!Q$523/100</f>
        <v>155</v>
      </c>
      <c r="R523" s="142">
        <f>B523*IBGE_2!R$523/100</f>
        <v>0.9</v>
      </c>
      <c r="S523" s="142">
        <f>B523*IBGE_2!S$523/100</f>
        <v>1</v>
      </c>
      <c r="T523" s="142">
        <f>B523*IBGE_2!T$523/100</f>
        <v>619</v>
      </c>
      <c r="U523" s="142">
        <f>B523*IBGE_2!U$523/100</f>
        <v>1.1599999999999999</v>
      </c>
      <c r="V523" s="142">
        <f>B523*IBGE_2!V$523/100</f>
        <v>0.6</v>
      </c>
      <c r="W523" s="142" t="s">
        <v>3047</v>
      </c>
      <c r="X523" s="142">
        <f>B523*IBGE_2!X$523/100</f>
        <v>0.13</v>
      </c>
      <c r="Y523" s="142">
        <f>B523*IBGE_2!Y$523/100</f>
        <v>0.02</v>
      </c>
      <c r="Z523" s="142">
        <f>B523*IBGE_2!Z$523/100</f>
        <v>0.2</v>
      </c>
      <c r="AA523" s="142" t="s">
        <v>3047</v>
      </c>
      <c r="AB523" s="142">
        <f>B523*IBGE_2!AB$523/100</f>
        <v>13.8</v>
      </c>
      <c r="AC523" s="142" t="s">
        <v>3047</v>
      </c>
      <c r="AD523" s="142" t="s">
        <v>3047</v>
      </c>
      <c r="AE523" s="145" t="s">
        <v>3047</v>
      </c>
      <c r="AF523" s="142" t="s">
        <v>3047</v>
      </c>
      <c r="AG523" s="145" t="s">
        <v>3047</v>
      </c>
      <c r="AH523" s="142" t="s">
        <v>3047</v>
      </c>
      <c r="AI523" s="142" t="s">
        <v>3047</v>
      </c>
      <c r="AJ523" s="145" t="s">
        <v>3047</v>
      </c>
      <c r="AK523" s="145" t="s">
        <v>3047</v>
      </c>
      <c r="AL523" s="145" t="s">
        <v>3047</v>
      </c>
      <c r="AM523" s="145" t="s">
        <v>3047</v>
      </c>
      <c r="AN523" s="161"/>
    </row>
    <row r="524" spans="1:40">
      <c r="A524" s="143" t="s">
        <v>1584</v>
      </c>
      <c r="B524" s="141">
        <v>100</v>
      </c>
      <c r="C524" s="142">
        <f>B524*IBGE_2!C$524/100</f>
        <v>89</v>
      </c>
      <c r="D524" s="142">
        <f>B524*IBGE_2!D$524/100</f>
        <v>1.0900000000000001</v>
      </c>
      <c r="E524" s="142">
        <f>B524*IBGE_2!E$524/100</f>
        <v>0.33</v>
      </c>
      <c r="F524" s="142">
        <f>B524*IBGE_2!F$524/100</f>
        <v>0.11</v>
      </c>
      <c r="G524" s="142">
        <f>B524*IBGE_2!G$524/100</f>
        <v>0.03</v>
      </c>
      <c r="H524" s="142">
        <f>B524*IBGE_2!H$524/100</f>
        <v>7.0000000000000007E-2</v>
      </c>
      <c r="I524" s="142">
        <f>B524*IBGE_2!I$524/100</f>
        <v>0.05</v>
      </c>
      <c r="J524" s="142">
        <f>B524*IBGE_2!J$524/100</f>
        <v>0.03</v>
      </c>
      <c r="K524" s="142" t="s">
        <v>3047</v>
      </c>
      <c r="L524" s="142">
        <f>B524*IBGE_2!L$524/100</f>
        <v>22.84</v>
      </c>
      <c r="M524" s="142">
        <f>B524*IBGE_2!M$524/100</f>
        <v>2.6</v>
      </c>
      <c r="N524" s="142">
        <f>B524*IBGE_2!N$524/100</f>
        <v>5</v>
      </c>
      <c r="O524" s="142">
        <f>B524*IBGE_2!O$524/100</f>
        <v>27</v>
      </c>
      <c r="P524" s="142">
        <f>B524*IBGE_2!P$524/100</f>
        <v>0.27</v>
      </c>
      <c r="Q524" s="142">
        <f>B524*IBGE_2!Q$524/100</f>
        <v>22</v>
      </c>
      <c r="R524" s="142">
        <f>B524*IBGE_2!R$524/100</f>
        <v>0.26</v>
      </c>
      <c r="S524" s="142">
        <f>B524*IBGE_2!S$524/100</f>
        <v>1</v>
      </c>
      <c r="T524" s="142">
        <f>B524*IBGE_2!T$524/100</f>
        <v>358</v>
      </c>
      <c r="U524" s="142">
        <f>B524*IBGE_2!U$524/100</f>
        <v>0.08</v>
      </c>
      <c r="V524" s="142">
        <f>B524*IBGE_2!V$524/100</f>
        <v>0.15</v>
      </c>
      <c r="W524" s="142" t="s">
        <v>3047</v>
      </c>
      <c r="X524" s="142">
        <f>B524*IBGE_2!X$524/100</f>
        <v>0.03</v>
      </c>
      <c r="Y524" s="142">
        <f>B524*IBGE_2!Y$524/100</f>
        <v>7.0000000000000007E-2</v>
      </c>
      <c r="Z524" s="142">
        <f>B524*IBGE_2!Z$524/100</f>
        <v>0.37</v>
      </c>
      <c r="AA524" s="142">
        <f>B524*IBGE_2!AA$524/100</f>
        <v>0.67</v>
      </c>
      <c r="AB524" s="142">
        <f>B524*IBGE_2!AB$524/100</f>
        <v>8.6999999999999993</v>
      </c>
      <c r="AC524" s="142">
        <f>B524*IBGE_2!AC$524/100</f>
        <v>0.82</v>
      </c>
      <c r="AD524" s="142" t="s">
        <v>3047</v>
      </c>
      <c r="AE524" s="142">
        <f>B524*IBGE_2!AE$524/100</f>
        <v>20</v>
      </c>
      <c r="AF524" s="142" t="s">
        <v>3047</v>
      </c>
      <c r="AG524" s="142">
        <f>B524*IBGE_2!AG$524/100</f>
        <v>0.13</v>
      </c>
      <c r="AH524" s="142" t="s">
        <v>3047</v>
      </c>
      <c r="AI524" s="142" t="s">
        <v>3047</v>
      </c>
      <c r="AJ524" s="142">
        <f>B524*IBGE_2!AJ$524/100</f>
        <v>1</v>
      </c>
      <c r="AK524" s="142">
        <f>B524*IBGE_2!AK$524/100</f>
        <v>3.21</v>
      </c>
      <c r="AL524" s="142">
        <f>B524*IBGE_2!AL$524/100</f>
        <v>12.23</v>
      </c>
      <c r="AM524" s="145" t="s">
        <v>3047</v>
      </c>
      <c r="AN524" s="161"/>
    </row>
    <row r="525" spans="1:40">
      <c r="A525" s="143" t="s">
        <v>1585</v>
      </c>
      <c r="B525" s="141">
        <v>100</v>
      </c>
      <c r="C525" s="142">
        <f>B525*IBGE_2!C$525/100</f>
        <v>52</v>
      </c>
      <c r="D525" s="142">
        <f>B525*IBGE_2!D$525/100</f>
        <v>0.26</v>
      </c>
      <c r="E525" s="142">
        <f>B525*IBGE_2!E$525/100</f>
        <v>0.17</v>
      </c>
      <c r="F525" s="142">
        <f>B525*IBGE_2!F$525/100</f>
        <v>0.03</v>
      </c>
      <c r="G525" s="142">
        <f>B525*IBGE_2!G$525/100</f>
        <v>0.01</v>
      </c>
      <c r="H525" s="142">
        <f>B525*IBGE_2!H$525/100</f>
        <v>0.05</v>
      </c>
      <c r="I525" s="142">
        <f>B525*IBGE_2!I$525/100</f>
        <v>0.04</v>
      </c>
      <c r="J525" s="142">
        <f>B525*IBGE_2!J$525/100</f>
        <v>0.01</v>
      </c>
      <c r="K525" s="142" t="s">
        <v>3047</v>
      </c>
      <c r="L525" s="142">
        <f>B525*IBGE_2!L$525/100</f>
        <v>13.81</v>
      </c>
      <c r="M525" s="142">
        <f>B525*IBGE_2!M$525/100</f>
        <v>2.4</v>
      </c>
      <c r="N525" s="142">
        <f>B525*IBGE_2!N$525/100</f>
        <v>6</v>
      </c>
      <c r="O525" s="142">
        <f>B525*IBGE_2!O$525/100</f>
        <v>5</v>
      </c>
      <c r="P525" s="142">
        <f>B525*IBGE_2!P$525/100</f>
        <v>0.04</v>
      </c>
      <c r="Q525" s="142">
        <f>B525*IBGE_2!Q$525/100</f>
        <v>11</v>
      </c>
      <c r="R525" s="142">
        <f>B525*IBGE_2!R$525/100</f>
        <v>0.12</v>
      </c>
      <c r="S525" s="142">
        <f>B525*IBGE_2!S$525/100</f>
        <v>1</v>
      </c>
      <c r="T525" s="142">
        <f>B525*IBGE_2!T$525/100</f>
        <v>107</v>
      </c>
      <c r="U525" s="142">
        <f>B525*IBGE_2!U$525/100</f>
        <v>0.03</v>
      </c>
      <c r="V525" s="142">
        <f>B525*IBGE_2!V$525/100</f>
        <v>0.04</v>
      </c>
      <c r="W525" s="142" t="s">
        <v>3047</v>
      </c>
      <c r="X525" s="142">
        <f>B525*IBGE_2!X$525/100</f>
        <v>0.02</v>
      </c>
      <c r="Y525" s="142">
        <f>B525*IBGE_2!Y$525/100</f>
        <v>0.03</v>
      </c>
      <c r="Z525" s="142">
        <f>B525*IBGE_2!Z$525/100</f>
        <v>0.04</v>
      </c>
      <c r="AA525" s="142">
        <f>B525*IBGE_2!AA$525/100</f>
        <v>0.09</v>
      </c>
      <c r="AB525" s="142">
        <f>B525*IBGE_2!AB$525/100</f>
        <v>4.5999999999999996</v>
      </c>
      <c r="AC525" s="142">
        <f>B525*IBGE_2!AC$525/100</f>
        <v>0.11</v>
      </c>
      <c r="AD525" s="142" t="s">
        <v>3047</v>
      </c>
      <c r="AE525" s="142">
        <f>B525*IBGE_2!AE$525/100</f>
        <v>3</v>
      </c>
      <c r="AF525" s="142" t="s">
        <v>3047</v>
      </c>
      <c r="AG525" s="142">
        <f>B525*IBGE_2!AG$525/100</f>
        <v>0.21</v>
      </c>
      <c r="AH525" s="142" t="s">
        <v>3047</v>
      </c>
      <c r="AI525" s="142" t="s">
        <v>3047</v>
      </c>
      <c r="AJ525" s="145" t="s">
        <v>3047</v>
      </c>
      <c r="AK525" s="142">
        <f>B525*IBGE_2!AK$525/100</f>
        <v>2.71</v>
      </c>
      <c r="AL525" s="142">
        <f>B525*IBGE_2!AL$525/100</f>
        <v>10.4</v>
      </c>
      <c r="AM525" s="145" t="s">
        <v>3047</v>
      </c>
      <c r="AN525" s="161"/>
    </row>
    <row r="526" spans="1:40">
      <c r="A526" s="143" t="s">
        <v>1586</v>
      </c>
      <c r="B526" s="141">
        <v>100</v>
      </c>
      <c r="C526" s="142">
        <f>B526*IBGE_2!C$526/100</f>
        <v>32</v>
      </c>
      <c r="D526" s="142">
        <f>B526*IBGE_2!D$526/100</f>
        <v>0.4</v>
      </c>
      <c r="E526" s="142">
        <f>B526*IBGE_2!E$526/100</f>
        <v>0.3</v>
      </c>
      <c r="F526" s="142">
        <f>B526*IBGE_2!F$526/100</f>
        <v>7.0000000000000007E-2</v>
      </c>
      <c r="G526" s="142">
        <f>B526*IBGE_2!G$526/100</f>
        <v>0.08</v>
      </c>
      <c r="H526" s="142">
        <f>B526*IBGE_2!H$526/100</f>
        <v>0.09</v>
      </c>
      <c r="I526" s="142">
        <f>B526*IBGE_2!I$526/100</f>
        <v>0.05</v>
      </c>
      <c r="J526" s="142">
        <f>B526*IBGE_2!J$526/100</f>
        <v>0.04</v>
      </c>
      <c r="K526" s="142" t="s">
        <v>3047</v>
      </c>
      <c r="L526" s="142">
        <f>B526*IBGE_2!L$526/100</f>
        <v>7.69</v>
      </c>
      <c r="M526" s="142">
        <f>B526*IBGE_2!M$526/100</f>
        <v>1.1000000000000001</v>
      </c>
      <c r="N526" s="142">
        <f>B526*IBGE_2!N$526/100</f>
        <v>12</v>
      </c>
      <c r="O526" s="142">
        <f>B526*IBGE_2!O$526/100</f>
        <v>18</v>
      </c>
      <c r="P526" s="142">
        <f>B526*IBGE_2!P$526/100</f>
        <v>0.09</v>
      </c>
      <c r="Q526" s="142">
        <f>B526*IBGE_2!Q$526/100</f>
        <v>11</v>
      </c>
      <c r="R526" s="142">
        <f>B526*IBGE_2!R$526/100</f>
        <v>0.2</v>
      </c>
      <c r="S526" s="142">
        <f>B526*IBGE_2!S$526/100</f>
        <v>7</v>
      </c>
      <c r="T526" s="142">
        <f>B526*IBGE_2!T$526/100</f>
        <v>146</v>
      </c>
      <c r="U526" s="142">
        <f>B526*IBGE_2!U$526/100</f>
        <v>0.09</v>
      </c>
      <c r="V526" s="142">
        <f>B526*IBGE_2!V$526/100</f>
        <v>0.1</v>
      </c>
      <c r="W526" s="142" t="s">
        <v>3047</v>
      </c>
      <c r="X526" s="142">
        <f>B526*IBGE_2!X$526/100</f>
        <v>0.02</v>
      </c>
      <c r="Y526" s="142">
        <f>B526*IBGE_2!Y$526/100</f>
        <v>0.06</v>
      </c>
      <c r="Z526" s="142">
        <f>B526*IBGE_2!Z$526/100</f>
        <v>0.01</v>
      </c>
      <c r="AA526" s="142">
        <f>B526*IBGE_2!AA$526/100</f>
        <v>0.4</v>
      </c>
      <c r="AB526" s="142">
        <f>B526*IBGE_2!AB$526/100</f>
        <v>1677.6</v>
      </c>
      <c r="AC526" s="142">
        <f>B526*IBGE_2!AC$526/100</f>
        <v>0.4</v>
      </c>
      <c r="AD526" s="142" t="s">
        <v>3047</v>
      </c>
      <c r="AE526" s="142">
        <f>B526*IBGE_2!AE$526/100</f>
        <v>14</v>
      </c>
      <c r="AF526" s="142" t="s">
        <v>3047</v>
      </c>
      <c r="AG526" s="142">
        <f>B526*IBGE_2!AG$526/100</f>
        <v>0.13</v>
      </c>
      <c r="AH526" s="142" t="s">
        <v>3047</v>
      </c>
      <c r="AI526" s="142" t="s">
        <v>3047</v>
      </c>
      <c r="AJ526" s="142">
        <f>B526*IBGE_2!AJ$526/100</f>
        <v>0.6</v>
      </c>
      <c r="AK526" s="142">
        <f>B526*IBGE_2!AK$526/100</f>
        <v>121</v>
      </c>
      <c r="AL526" s="145" t="s">
        <v>3047</v>
      </c>
      <c r="AM526" s="145" t="s">
        <v>3047</v>
      </c>
      <c r="AN526" s="161"/>
    </row>
    <row r="527" spans="1:40">
      <c r="A527" s="143" t="s">
        <v>1587</v>
      </c>
      <c r="B527" s="141">
        <v>100</v>
      </c>
      <c r="C527" s="142">
        <f>B527*IBGE_2!C$527/100</f>
        <v>43</v>
      </c>
      <c r="D527" s="142">
        <f>B527*IBGE_2!D$527/100</f>
        <v>1.39</v>
      </c>
      <c r="E527" s="142">
        <f>B527*IBGE_2!E$527/100</f>
        <v>0.49</v>
      </c>
      <c r="F527" s="142">
        <f>B527*IBGE_2!F$527/100</f>
        <v>1.4000000000000002E-2</v>
      </c>
      <c r="G527" s="142">
        <f>B527*IBGE_2!G$527/100</f>
        <v>4.7E-2</v>
      </c>
      <c r="H527" s="142">
        <f>B527*IBGE_2!H$527/100</f>
        <v>0.28000000000000003</v>
      </c>
      <c r="I527" s="142">
        <f>B527*IBGE_2!I$527/100</f>
        <v>0.18600000000000003</v>
      </c>
      <c r="J527" s="142">
        <f>B527*IBGE_2!J$527/100</f>
        <v>9.4E-2</v>
      </c>
      <c r="K527" s="142" t="s">
        <v>3047</v>
      </c>
      <c r="L527" s="142">
        <f>B527*IBGE_2!L$527/100</f>
        <v>9.61</v>
      </c>
      <c r="M527" s="142">
        <f>B527*IBGE_2!M$527/100</f>
        <v>5.3</v>
      </c>
      <c r="N527" s="142">
        <f>B527*IBGE_2!N$527/100</f>
        <v>29</v>
      </c>
      <c r="O527" s="142">
        <f>B527*IBGE_2!O$527/100</f>
        <v>20</v>
      </c>
      <c r="P527" s="142">
        <f>B527*IBGE_2!P$527/100</f>
        <v>0.64600000000000013</v>
      </c>
      <c r="Q527" s="142">
        <f>B527*IBGE_2!Q$527/100</f>
        <v>22</v>
      </c>
      <c r="R527" s="142">
        <f>B527*IBGE_2!R$527/100</f>
        <v>0.62</v>
      </c>
      <c r="S527" s="142">
        <f>B527*IBGE_2!S$527/100</f>
        <v>1</v>
      </c>
      <c r="T527" s="142">
        <f>B527*IBGE_2!T$527/100</f>
        <v>162</v>
      </c>
      <c r="U527" s="142">
        <f>B527*IBGE_2!U$527/100</f>
        <v>0.16500000000000001</v>
      </c>
      <c r="V527" s="142">
        <f>B527*IBGE_2!V$527/100</f>
        <v>0.53</v>
      </c>
      <c r="W527" s="142">
        <f>B527*IBGE_2!W$527/100</f>
        <v>21.332999999999998</v>
      </c>
      <c r="X527" s="142">
        <f>B527*IBGE_2!X$527/100</f>
        <v>0.02</v>
      </c>
      <c r="Y527" s="142">
        <f>B527*IBGE_2!Y$527/100</f>
        <v>2.6000000000000002E-2</v>
      </c>
      <c r="Z527" s="142">
        <f>B527*IBGE_2!Z$527/100</f>
        <v>0.03</v>
      </c>
      <c r="AA527" s="142">
        <f>B527*IBGE_2!AA$527/100</f>
        <v>0.64600000000000013</v>
      </c>
      <c r="AB527" s="142">
        <f>B527*IBGE_2!AB$527/100</f>
        <v>21</v>
      </c>
      <c r="AC527" s="142">
        <f>B527*IBGE_2!AC$527/100</f>
        <v>0.64600000000000013</v>
      </c>
      <c r="AD527" s="142" t="s">
        <v>3047</v>
      </c>
      <c r="AE527" s="142">
        <f>B527*IBGE_2!AE$527/100</f>
        <v>25</v>
      </c>
      <c r="AF527" s="142" t="s">
        <v>3047</v>
      </c>
      <c r="AG527" s="142">
        <f>B527*IBGE_2!AG$527/100</f>
        <v>1.43</v>
      </c>
      <c r="AH527" s="142" t="s">
        <v>3047</v>
      </c>
      <c r="AI527" s="142" t="s">
        <v>3047</v>
      </c>
      <c r="AJ527" s="142">
        <f>B527*IBGE_2!AJ$527/100</f>
        <v>0.4</v>
      </c>
      <c r="AK527" s="142">
        <f>B527*IBGE_2!AK$527/100</f>
        <v>10.667</v>
      </c>
      <c r="AL527" s="142">
        <f>B527*IBGE_2!AL$527/100</f>
        <v>4.88</v>
      </c>
      <c r="AM527" s="145" t="s">
        <v>3047</v>
      </c>
      <c r="AN527" s="161"/>
    </row>
    <row r="528" spans="1:40">
      <c r="A528" s="143" t="s">
        <v>1588</v>
      </c>
      <c r="B528" s="141">
        <v>100</v>
      </c>
      <c r="C528" s="142">
        <f>B528*IBGE_2!C$528/100</f>
        <v>73</v>
      </c>
      <c r="D528" s="142">
        <f>B528*IBGE_2!D$528/100</f>
        <v>0.66</v>
      </c>
      <c r="E528" s="142">
        <f>B528*IBGE_2!E$528/100</f>
        <v>0.5</v>
      </c>
      <c r="F528" s="142">
        <f>B528*IBGE_2!F$528/100</f>
        <v>0.02</v>
      </c>
      <c r="G528" s="142">
        <f>B528*IBGE_2!G$528/100</f>
        <v>0.08</v>
      </c>
      <c r="H528" s="142">
        <f>B528*IBGE_2!H$528/100</f>
        <v>0.25</v>
      </c>
      <c r="I528" s="142">
        <f>B528*IBGE_2!I$528/100</f>
        <v>0.16</v>
      </c>
      <c r="J528" s="142">
        <f>B528*IBGE_2!J$528/100</f>
        <v>0.09</v>
      </c>
      <c r="K528" s="142" t="s">
        <v>3047</v>
      </c>
      <c r="L528" s="142">
        <f>B528*IBGE_2!L$528/100</f>
        <v>18.399999999999999</v>
      </c>
      <c r="M528" s="142">
        <f>B528*IBGE_2!M$528/100</f>
        <v>7</v>
      </c>
      <c r="N528" s="142">
        <f>B528*IBGE_2!N$528/100</f>
        <v>38</v>
      </c>
      <c r="O528" s="142">
        <f>B528*IBGE_2!O$528/100</f>
        <v>5</v>
      </c>
      <c r="P528" s="142">
        <f>B528*IBGE_2!P$528/100</f>
        <v>1</v>
      </c>
      <c r="Q528" s="142">
        <f>B528*IBGE_2!Q$528/100</f>
        <v>39</v>
      </c>
      <c r="R528" s="142">
        <f>B528*IBGE_2!R$528/100</f>
        <v>1.6</v>
      </c>
      <c r="S528" s="142">
        <f>B528*IBGE_2!S$528/100</f>
        <v>6</v>
      </c>
      <c r="T528" s="142">
        <f>B528*IBGE_2!T$528/100</f>
        <v>280</v>
      </c>
      <c r="U528" s="142">
        <f>B528*IBGE_2!U$528/100</f>
        <v>0.06</v>
      </c>
      <c r="V528" s="142">
        <f>B528*IBGE_2!V$528/100</f>
        <v>0.11</v>
      </c>
      <c r="W528" s="142" t="s">
        <v>3047</v>
      </c>
      <c r="X528" s="142">
        <f>B528*IBGE_2!X$528/100</f>
        <v>7.0000000000000007E-2</v>
      </c>
      <c r="Y528" s="142">
        <f>B528*IBGE_2!Y$528/100</f>
        <v>0.06</v>
      </c>
      <c r="Z528" s="142">
        <f>B528*IBGE_2!Z$528/100</f>
        <v>0.23</v>
      </c>
      <c r="AA528" s="142">
        <f>B528*IBGE_2!AA$528/100</f>
        <v>0.5</v>
      </c>
      <c r="AB528" s="142">
        <f>B528*IBGE_2!AB$528/100</f>
        <v>36</v>
      </c>
      <c r="AC528" s="142">
        <f>B528*IBGE_2!AC$528/100</f>
        <v>0.72</v>
      </c>
      <c r="AD528" s="142" t="s">
        <v>3047</v>
      </c>
      <c r="AE528" s="142">
        <f>B528*IBGE_2!AE$528/100</f>
        <v>6</v>
      </c>
      <c r="AF528" s="142" t="s">
        <v>3047</v>
      </c>
      <c r="AG528" s="142">
        <f>B528*IBGE_2!AG$528/100</f>
        <v>1</v>
      </c>
      <c r="AH528" s="142" t="s">
        <v>3047</v>
      </c>
      <c r="AI528" s="142" t="s">
        <v>3047</v>
      </c>
      <c r="AJ528" s="142">
        <f>B528*IBGE_2!AJ$528/100</f>
        <v>0.6</v>
      </c>
      <c r="AK528" s="142">
        <f>B528*IBGE_2!AK$528/100</f>
        <v>29.92</v>
      </c>
      <c r="AL528" s="142">
        <f>B528*IBGE_2!AL$528/100</f>
        <v>7.48</v>
      </c>
      <c r="AM528" s="145" t="s">
        <v>3047</v>
      </c>
      <c r="AN528" s="161"/>
    </row>
    <row r="529" spans="1:40">
      <c r="A529" s="143" t="s">
        <v>1589</v>
      </c>
      <c r="B529" s="141">
        <v>100</v>
      </c>
      <c r="C529" s="142">
        <f>B529*IBGE_2!C$529/100</f>
        <v>387</v>
      </c>
      <c r="D529" s="142" t="s">
        <v>3047</v>
      </c>
      <c r="E529" s="142" t="s">
        <v>3047</v>
      </c>
      <c r="F529" s="142" t="s">
        <v>3047</v>
      </c>
      <c r="G529" s="142" t="s">
        <v>3047</v>
      </c>
      <c r="H529" s="142" t="s">
        <v>3047</v>
      </c>
      <c r="I529" s="142" t="s">
        <v>3047</v>
      </c>
      <c r="J529" s="142" t="s">
        <v>3047</v>
      </c>
      <c r="K529" s="142" t="s">
        <v>3047</v>
      </c>
      <c r="L529" s="142">
        <f>B529*IBGE_2!L$529/100</f>
        <v>99.98</v>
      </c>
      <c r="M529" s="142" t="s">
        <v>3047</v>
      </c>
      <c r="N529" s="142">
        <f>B529*IBGE_2!N$529/100</f>
        <v>1</v>
      </c>
      <c r="O529" s="142" t="s">
        <v>3047</v>
      </c>
      <c r="P529" s="142" t="s">
        <v>3047</v>
      </c>
      <c r="Q529" s="142" t="s">
        <v>3047</v>
      </c>
      <c r="R529" s="142">
        <f>B529*IBGE_2!R$529/100</f>
        <v>0.01</v>
      </c>
      <c r="S529" s="142" t="s">
        <v>3047</v>
      </c>
      <c r="T529" s="142">
        <f>B529*IBGE_2!T$529/100</f>
        <v>2</v>
      </c>
      <c r="U529" s="142" t="s">
        <v>3047</v>
      </c>
      <c r="V529" s="142" t="s">
        <v>3047</v>
      </c>
      <c r="W529" s="142" t="s">
        <v>3047</v>
      </c>
      <c r="X529" s="142" t="s">
        <v>3047</v>
      </c>
      <c r="Y529" s="142">
        <f>B529*IBGE_2!Y$529/100</f>
        <v>0.02</v>
      </c>
      <c r="Z529" s="142" t="s">
        <v>3047</v>
      </c>
      <c r="AA529" s="142" t="s">
        <v>3047</v>
      </c>
      <c r="AB529" s="142" t="s">
        <v>3047</v>
      </c>
      <c r="AC529" s="142" t="s">
        <v>3047</v>
      </c>
      <c r="AD529" s="142" t="s">
        <v>3047</v>
      </c>
      <c r="AE529" s="145" t="s">
        <v>3047</v>
      </c>
      <c r="AF529" s="142" t="s">
        <v>3047</v>
      </c>
      <c r="AG529" s="142" t="s">
        <v>3047</v>
      </c>
      <c r="AH529" s="142" t="s">
        <v>3047</v>
      </c>
      <c r="AI529" s="142" t="s">
        <v>3047</v>
      </c>
      <c r="AJ529" s="142">
        <f>B529*IBGE_2!AJ$529/100</f>
        <v>0.6</v>
      </c>
      <c r="AK529" s="142" t="s">
        <v>3047</v>
      </c>
      <c r="AL529" s="142">
        <f>B529*IBGE_2!AL$529/100</f>
        <v>99.91</v>
      </c>
      <c r="AM529" s="142">
        <f>B529*IBGE_2!AM$529/100</f>
        <v>99.98</v>
      </c>
      <c r="AN529" s="161"/>
    </row>
    <row r="530" spans="1:40">
      <c r="A530" s="143" t="s">
        <v>1590</v>
      </c>
      <c r="B530" s="141">
        <v>100</v>
      </c>
      <c r="C530" s="142">
        <f>B530*IBGE_2!C$530/100</f>
        <v>380</v>
      </c>
      <c r="D530" s="142">
        <f>B530*IBGE_2!D$530/100</f>
        <v>0.12</v>
      </c>
      <c r="E530" s="142" t="s">
        <v>3047</v>
      </c>
      <c r="F530" s="142" t="s">
        <v>3047</v>
      </c>
      <c r="G530" s="142" t="s">
        <v>3047</v>
      </c>
      <c r="H530" s="142" t="s">
        <v>3047</v>
      </c>
      <c r="I530" s="142" t="s">
        <v>3047</v>
      </c>
      <c r="J530" s="142" t="s">
        <v>3047</v>
      </c>
      <c r="K530" s="142" t="s">
        <v>3047</v>
      </c>
      <c r="L530" s="142">
        <f>B530*IBGE_2!L$530/100</f>
        <v>98.09</v>
      </c>
      <c r="M530" s="142" t="s">
        <v>3047</v>
      </c>
      <c r="N530" s="142">
        <f>B530*IBGE_2!N$530/100</f>
        <v>83</v>
      </c>
      <c r="O530" s="142">
        <f>B530*IBGE_2!O$530/100</f>
        <v>9</v>
      </c>
      <c r="P530" s="142">
        <f>B530*IBGE_2!P$530/100</f>
        <v>6.4000000000000001E-2</v>
      </c>
      <c r="Q530" s="142">
        <f>B530*IBGE_2!Q$530/100</f>
        <v>4</v>
      </c>
      <c r="R530" s="142">
        <f>B530*IBGE_2!R$530/100</f>
        <v>0.71</v>
      </c>
      <c r="S530" s="142">
        <f>B530*IBGE_2!S$530/100</f>
        <v>28</v>
      </c>
      <c r="T530" s="142">
        <f>B530*IBGE_2!T$530/100</f>
        <v>133</v>
      </c>
      <c r="U530" s="142">
        <f>B530*IBGE_2!U$530/100</f>
        <v>4.7E-2</v>
      </c>
      <c r="V530" s="142">
        <f>B530*IBGE_2!V$530/100</f>
        <v>0.03</v>
      </c>
      <c r="W530" s="142" t="s">
        <v>3047</v>
      </c>
      <c r="X530" s="142" t="s">
        <v>3047</v>
      </c>
      <c r="Y530" s="142" t="s">
        <v>3047</v>
      </c>
      <c r="Z530" s="142">
        <f>B530*IBGE_2!Z$530/100</f>
        <v>4.1000000000000009E-2</v>
      </c>
      <c r="AA530" s="142">
        <f>B530*IBGE_2!AA$530/100</f>
        <v>0.11</v>
      </c>
      <c r="AB530" s="142" t="s">
        <v>3047</v>
      </c>
      <c r="AC530" s="142">
        <f>B530*IBGE_2!AC$530/100</f>
        <v>0.11</v>
      </c>
      <c r="AD530" s="142" t="s">
        <v>3047</v>
      </c>
      <c r="AE530" s="142">
        <f>B530*IBGE_2!AE$530/100</f>
        <v>1</v>
      </c>
      <c r="AF530" s="142" t="s">
        <v>3047</v>
      </c>
      <c r="AG530" s="142" t="s">
        <v>3047</v>
      </c>
      <c r="AH530" s="142" t="s">
        <v>3047</v>
      </c>
      <c r="AI530" s="142" t="s">
        <v>3047</v>
      </c>
      <c r="AJ530" s="142">
        <f>B530*IBGE_2!AJ$530/100</f>
        <v>1.2</v>
      </c>
      <c r="AK530" s="142" t="s">
        <v>3047</v>
      </c>
      <c r="AL530" s="142">
        <f>B530*IBGE_2!AL$530/100</f>
        <v>97.02</v>
      </c>
      <c r="AM530" s="142">
        <f>B530*IBGE_2!AM$530/100</f>
        <v>98.09</v>
      </c>
      <c r="AN530" s="161"/>
    </row>
    <row r="531" spans="1:40">
      <c r="A531" s="143" t="s">
        <v>1591</v>
      </c>
      <c r="B531" s="141">
        <v>100</v>
      </c>
      <c r="C531" s="142">
        <f>B531*IBGE_2!C$531/100</f>
        <v>296</v>
      </c>
      <c r="D531" s="142" t="s">
        <v>3047</v>
      </c>
      <c r="E531" s="142" t="s">
        <v>3047</v>
      </c>
      <c r="F531" s="142" t="s">
        <v>3047</v>
      </c>
      <c r="G531" s="142" t="s">
        <v>3047</v>
      </c>
      <c r="H531" s="142" t="s">
        <v>3047</v>
      </c>
      <c r="I531" s="142" t="s">
        <v>3047</v>
      </c>
      <c r="J531" s="142" t="s">
        <v>3047</v>
      </c>
      <c r="K531" s="142" t="s">
        <v>3047</v>
      </c>
      <c r="L531" s="142">
        <f>B531*IBGE_2!L$531/100</f>
        <v>76.599999999999994</v>
      </c>
      <c r="M531" s="142" t="s">
        <v>3047</v>
      </c>
      <c r="N531" s="142">
        <f>B531*IBGE_2!N$531/100</f>
        <v>102</v>
      </c>
      <c r="O531" s="142">
        <f>B531*IBGE_2!O$531/100</f>
        <v>115</v>
      </c>
      <c r="P531" s="142">
        <f>B531*IBGE_2!P$531/100</f>
        <v>2.62</v>
      </c>
      <c r="Q531" s="142">
        <f>B531*IBGE_2!Q$531/100</f>
        <v>74</v>
      </c>
      <c r="R531" s="142">
        <f>B531*IBGE_2!R$531/100</f>
        <v>5.4</v>
      </c>
      <c r="S531" s="142">
        <f>B531*IBGE_2!S$531/100</f>
        <v>4</v>
      </c>
      <c r="T531" s="142">
        <f>B531*IBGE_2!T$531/100</f>
        <v>395</v>
      </c>
      <c r="U531" s="142">
        <f>B531*IBGE_2!U$531/100</f>
        <v>0.84</v>
      </c>
      <c r="V531" s="142">
        <f>B531*IBGE_2!V$531/100</f>
        <v>0.3</v>
      </c>
      <c r="W531" s="142" t="s">
        <v>3047</v>
      </c>
      <c r="X531" s="142" t="s">
        <v>3047</v>
      </c>
      <c r="Y531" s="142">
        <f>B531*IBGE_2!Y$531/100</f>
        <v>0.05</v>
      </c>
      <c r="Z531" s="142">
        <f>B531*IBGE_2!Z$531/100</f>
        <v>0.2</v>
      </c>
      <c r="AA531" s="142" t="s">
        <v>3047</v>
      </c>
      <c r="AB531" s="142" t="s">
        <v>3047</v>
      </c>
      <c r="AC531" s="142" t="s">
        <v>3047</v>
      </c>
      <c r="AD531" s="142" t="s">
        <v>3047</v>
      </c>
      <c r="AE531" s="145" t="s">
        <v>3047</v>
      </c>
      <c r="AF531" s="142" t="s">
        <v>3047</v>
      </c>
      <c r="AG531" s="142" t="s">
        <v>3047</v>
      </c>
      <c r="AH531" s="142" t="s">
        <v>3047</v>
      </c>
      <c r="AI531" s="142" t="s">
        <v>3047</v>
      </c>
      <c r="AJ531" s="145" t="s">
        <v>3047</v>
      </c>
      <c r="AK531" s="142" t="s">
        <v>3047</v>
      </c>
      <c r="AL531" s="142">
        <f>B531*IBGE_2!AL$531/100</f>
        <v>42.2</v>
      </c>
      <c r="AM531" s="142">
        <f>B531*IBGE_2!AM$531/100</f>
        <v>60.8</v>
      </c>
      <c r="AN531" s="161"/>
    </row>
    <row r="532" spans="1:40">
      <c r="A532" s="143" t="s">
        <v>1592</v>
      </c>
      <c r="B532" s="141">
        <v>100</v>
      </c>
      <c r="C532" s="142">
        <f>B532*IBGE_2!C$532/100</f>
        <v>296</v>
      </c>
      <c r="D532" s="142" t="s">
        <v>3047</v>
      </c>
      <c r="E532" s="142" t="s">
        <v>3047</v>
      </c>
      <c r="F532" s="142" t="s">
        <v>3047</v>
      </c>
      <c r="G532" s="142" t="s">
        <v>3047</v>
      </c>
      <c r="H532" s="142" t="s">
        <v>3047</v>
      </c>
      <c r="I532" s="142" t="s">
        <v>3047</v>
      </c>
      <c r="J532" s="142" t="s">
        <v>3047</v>
      </c>
      <c r="K532" s="142" t="s">
        <v>3047</v>
      </c>
      <c r="L532" s="142">
        <f>B532*IBGE_2!L$532/100</f>
        <v>76.599999999999994</v>
      </c>
      <c r="M532" s="142" t="s">
        <v>3047</v>
      </c>
      <c r="N532" s="142">
        <f>B532*IBGE_2!N$532/100</f>
        <v>102</v>
      </c>
      <c r="O532" s="142">
        <f>B532*IBGE_2!O$532/100</f>
        <v>115</v>
      </c>
      <c r="P532" s="142">
        <f>B532*IBGE_2!P$532/100</f>
        <v>2.62</v>
      </c>
      <c r="Q532" s="142">
        <f>B532*IBGE_2!Q$532/100</f>
        <v>74</v>
      </c>
      <c r="R532" s="142">
        <f>B532*IBGE_2!R$532/100</f>
        <v>5.4</v>
      </c>
      <c r="S532" s="142">
        <f>B532*IBGE_2!S$532/100</f>
        <v>4</v>
      </c>
      <c r="T532" s="142">
        <f>B532*IBGE_2!T$532/100</f>
        <v>395</v>
      </c>
      <c r="U532" s="142">
        <f>B532*IBGE_2!U$532/100</f>
        <v>0.84</v>
      </c>
      <c r="V532" s="142">
        <f>B532*IBGE_2!V$532/100</f>
        <v>0.3</v>
      </c>
      <c r="W532" s="142" t="s">
        <v>3047</v>
      </c>
      <c r="X532" s="142" t="s">
        <v>3047</v>
      </c>
      <c r="Y532" s="142">
        <f>B532*IBGE_2!Y$532/100</f>
        <v>0.05</v>
      </c>
      <c r="Z532" s="142">
        <f>B532*IBGE_2!Z$532/100</f>
        <v>0.2</v>
      </c>
      <c r="AA532" s="142" t="s">
        <v>3047</v>
      </c>
      <c r="AB532" s="142" t="s">
        <v>3047</v>
      </c>
      <c r="AC532" s="142" t="s">
        <v>3047</v>
      </c>
      <c r="AD532" s="142" t="s">
        <v>3047</v>
      </c>
      <c r="AE532" s="145" t="s">
        <v>3047</v>
      </c>
      <c r="AF532" s="142" t="s">
        <v>3047</v>
      </c>
      <c r="AG532" s="142" t="s">
        <v>3047</v>
      </c>
      <c r="AH532" s="142" t="s">
        <v>3047</v>
      </c>
      <c r="AI532" s="142" t="s">
        <v>3047</v>
      </c>
      <c r="AJ532" s="145" t="s">
        <v>3047</v>
      </c>
      <c r="AK532" s="142" t="s">
        <v>3047</v>
      </c>
      <c r="AL532" s="142">
        <f>B532*IBGE_2!AL$532/100</f>
        <v>42.2</v>
      </c>
      <c r="AM532" s="142">
        <f>B532*IBGE_2!AM$532/100</f>
        <v>60.8</v>
      </c>
      <c r="AN532" s="161"/>
    </row>
    <row r="533" spans="1:40">
      <c r="A533" s="143" t="s">
        <v>1593</v>
      </c>
      <c r="B533" s="141">
        <v>100</v>
      </c>
      <c r="C533" s="142">
        <f>B533*IBGE_2!C$533/100</f>
        <v>380</v>
      </c>
      <c r="D533" s="142">
        <f>B533*IBGE_2!D$533/100</f>
        <v>0.12</v>
      </c>
      <c r="E533" s="142" t="s">
        <v>3047</v>
      </c>
      <c r="F533" s="142" t="s">
        <v>3047</v>
      </c>
      <c r="G533" s="142" t="s">
        <v>3047</v>
      </c>
      <c r="H533" s="142" t="s">
        <v>3047</v>
      </c>
      <c r="I533" s="142" t="s">
        <v>3047</v>
      </c>
      <c r="J533" s="142" t="s">
        <v>3047</v>
      </c>
      <c r="K533" s="142" t="s">
        <v>3047</v>
      </c>
      <c r="L533" s="142">
        <f>B533*IBGE_2!L$533/100</f>
        <v>98.09</v>
      </c>
      <c r="M533" s="142" t="s">
        <v>3047</v>
      </c>
      <c r="N533" s="142">
        <f>B533*IBGE_2!N$533/100</f>
        <v>83</v>
      </c>
      <c r="O533" s="142">
        <f>B533*IBGE_2!O$533/100</f>
        <v>9</v>
      </c>
      <c r="P533" s="142">
        <f>B533*IBGE_2!P$533/100</f>
        <v>6.4000000000000001E-2</v>
      </c>
      <c r="Q533" s="142">
        <f>B533*IBGE_2!Q$533/100</f>
        <v>4</v>
      </c>
      <c r="R533" s="142">
        <f>B533*IBGE_2!R$533/100</f>
        <v>0.71</v>
      </c>
      <c r="S533" s="142">
        <f>B533*IBGE_2!S$533/100</f>
        <v>28</v>
      </c>
      <c r="T533" s="142">
        <f>B533*IBGE_2!T$533/100</f>
        <v>133</v>
      </c>
      <c r="U533" s="142">
        <f>B533*IBGE_2!U$533/100</f>
        <v>4.7E-2</v>
      </c>
      <c r="V533" s="142">
        <f>B533*IBGE_2!V$533/100</f>
        <v>0.03</v>
      </c>
      <c r="W533" s="142" t="s">
        <v>3047</v>
      </c>
      <c r="X533" s="142" t="s">
        <v>3047</v>
      </c>
      <c r="Y533" s="142" t="s">
        <v>3047</v>
      </c>
      <c r="Z533" s="142">
        <f>B533*IBGE_2!Z$533/100</f>
        <v>4.1000000000000009E-2</v>
      </c>
      <c r="AA533" s="142">
        <f>B533*IBGE_2!AA$533/100</f>
        <v>0.11</v>
      </c>
      <c r="AB533" s="142" t="s">
        <v>3047</v>
      </c>
      <c r="AC533" s="142">
        <f>B533*IBGE_2!AC$533/100</f>
        <v>0.11</v>
      </c>
      <c r="AD533" s="142" t="s">
        <v>3047</v>
      </c>
      <c r="AE533" s="142">
        <f>B533*IBGE_2!AE$533/100</f>
        <v>1</v>
      </c>
      <c r="AF533" s="142" t="s">
        <v>3047</v>
      </c>
      <c r="AG533" s="142" t="s">
        <v>3047</v>
      </c>
      <c r="AH533" s="142" t="s">
        <v>3047</v>
      </c>
      <c r="AI533" s="142" t="s">
        <v>3047</v>
      </c>
      <c r="AJ533" s="142">
        <f>B533*IBGE_2!AJ$533/100</f>
        <v>1.2</v>
      </c>
      <c r="AK533" s="142" t="s">
        <v>3047</v>
      </c>
      <c r="AL533" s="142">
        <f>B533*IBGE_2!AL$533/100</f>
        <v>97.02</v>
      </c>
      <c r="AM533" s="142">
        <f>B533*IBGE_2!AM$533/100</f>
        <v>98.09</v>
      </c>
      <c r="AN533" s="161"/>
    </row>
    <row r="534" spans="1:40">
      <c r="A534" s="143" t="s">
        <v>1594</v>
      </c>
      <c r="B534" s="141">
        <v>100</v>
      </c>
      <c r="C534" s="142">
        <f>B534*IBGE_2!C$534/100</f>
        <v>205.995</v>
      </c>
      <c r="D534" s="142">
        <f>B534*IBGE_2!D$534/100</f>
        <v>3.6</v>
      </c>
      <c r="E534" s="142">
        <f>B534*IBGE_2!E$534/100</f>
        <v>11</v>
      </c>
      <c r="F534" s="142">
        <f>B534*IBGE_2!F$534/100</f>
        <v>6.793000000000001</v>
      </c>
      <c r="G534" s="142">
        <f>B534*IBGE_2!G$534/100</f>
        <v>3.0489999999999999</v>
      </c>
      <c r="H534" s="142">
        <f>B534*IBGE_2!H$534/100</f>
        <v>0.43799999999999994</v>
      </c>
      <c r="I534" s="142">
        <f>B534*IBGE_2!I$534/100</f>
        <v>0.26700000000000002</v>
      </c>
      <c r="J534" s="142">
        <f>B534*IBGE_2!J$534/100</f>
        <v>0.16699999999999998</v>
      </c>
      <c r="K534" s="142">
        <f>B534*IBGE_2!K$534/100</f>
        <v>40.67</v>
      </c>
      <c r="L534" s="142">
        <f>B534*IBGE_2!L$534/100</f>
        <v>25.132000000000001</v>
      </c>
      <c r="M534" s="142">
        <f>B534*IBGE_2!M$534/100</f>
        <v>0.86699999999999999</v>
      </c>
      <c r="N534" s="142">
        <f>B534*IBGE_2!N$534/100</f>
        <v>121.67299999999999</v>
      </c>
      <c r="O534" s="142">
        <f>B534*IBGE_2!O$534/100</f>
        <v>18.995000000000001</v>
      </c>
      <c r="P534" s="142">
        <f>B534*IBGE_2!P$534/100</f>
        <v>5.2000000000000005E-2</v>
      </c>
      <c r="Q534" s="142">
        <f>B534*IBGE_2!Q$534/100</f>
        <v>105.666</v>
      </c>
      <c r="R534" s="142">
        <f>B534*IBGE_2!R$534/100</f>
        <v>0.37</v>
      </c>
      <c r="S534" s="142">
        <f>B534*IBGE_2!S$534/100</f>
        <v>78.668000000000006</v>
      </c>
      <c r="T534" s="142">
        <f>B534*IBGE_2!T$534/100</f>
        <v>215.65</v>
      </c>
      <c r="U534" s="142">
        <f>B534*IBGE_2!U$534/100</f>
        <v>0.06</v>
      </c>
      <c r="V534" s="142">
        <f>B534*IBGE_2!V$534/100</f>
        <v>0.65300000000000002</v>
      </c>
      <c r="W534" s="142">
        <f>B534*IBGE_2!W$534/100</f>
        <v>116</v>
      </c>
      <c r="X534" s="142">
        <f>B534*IBGE_2!X$534/100</f>
        <v>4.1000000000000009E-2</v>
      </c>
      <c r="Y534" s="142">
        <f>B534*IBGE_2!Y$534/100</f>
        <v>0.22500000000000001</v>
      </c>
      <c r="Z534" s="142">
        <f>B534*IBGE_2!Z$534/100</f>
        <v>0.05</v>
      </c>
      <c r="AA534" s="142">
        <f>B534*IBGE_2!AA$534/100</f>
        <v>0.153</v>
      </c>
      <c r="AB534" s="142">
        <f>B534*IBGE_2!AB$534/100</f>
        <v>0.63300000000000001</v>
      </c>
      <c r="AC534" s="142">
        <f>B534*IBGE_2!AC$534/100</f>
        <v>0.93</v>
      </c>
      <c r="AD534" s="142">
        <f>B534*IBGE_2!AD$534/100</f>
        <v>0.35699999999999998</v>
      </c>
      <c r="AE534" s="142">
        <f>B534*IBGE_2!AE$534/100</f>
        <v>8.6630000000000003</v>
      </c>
      <c r="AF534" s="142" t="s">
        <v>3047</v>
      </c>
      <c r="AG534" s="142">
        <f>B534*IBGE_2!AG$534/100</f>
        <v>0.3</v>
      </c>
      <c r="AH534" s="142">
        <f>B534*IBGE_2!AH$534/100</f>
        <v>0.37200000000000005</v>
      </c>
      <c r="AI534" s="142" t="s">
        <v>3047</v>
      </c>
      <c r="AJ534" s="142">
        <f>B534*IBGE_2!AJ$534/100</f>
        <v>2.0329999999999999</v>
      </c>
      <c r="AK534" s="142">
        <f>B534*IBGE_2!AK$534/100</f>
        <v>117.583</v>
      </c>
      <c r="AL534" s="142">
        <f>B534*IBGE_2!AL$534/100</f>
        <v>18.888999999999999</v>
      </c>
      <c r="AM534" s="142">
        <f>B534*IBGE_2!AM$534/100</f>
        <v>20.033999999999999</v>
      </c>
      <c r="AN534" s="161"/>
    </row>
    <row r="535" spans="1:40">
      <c r="A535" s="143" t="s">
        <v>1595</v>
      </c>
      <c r="B535" s="141">
        <v>100</v>
      </c>
      <c r="C535" s="142">
        <f>B535*IBGE_2!C$535/100</f>
        <v>79</v>
      </c>
      <c r="D535" s="142" t="s">
        <v>3047</v>
      </c>
      <c r="E535" s="142">
        <f>B535*IBGE_2!E$535/100</f>
        <v>0.24</v>
      </c>
      <c r="F535" s="142">
        <f>B535*IBGE_2!F$535/100</f>
        <v>1.3000000000000001E-2</v>
      </c>
      <c r="G535" s="142">
        <f>B535*IBGE_2!G$535/100</f>
        <v>5.0999999999999997E-2</v>
      </c>
      <c r="H535" s="142">
        <f>B535*IBGE_2!H$535/100</f>
        <v>1.6E-2</v>
      </c>
      <c r="I535" s="142">
        <f>B535*IBGE_2!I$535/100</f>
        <v>1.4999999999999999E-2</v>
      </c>
      <c r="J535" s="142" t="s">
        <v>3047</v>
      </c>
      <c r="K535" s="142" t="s">
        <v>3047</v>
      </c>
      <c r="L535" s="142">
        <f>B535*IBGE_2!L$535/100</f>
        <v>19.23</v>
      </c>
      <c r="M535" s="142" t="s">
        <v>3047</v>
      </c>
      <c r="N535" s="142" t="s">
        <v>3047</v>
      </c>
      <c r="O535" s="142">
        <f>B535*IBGE_2!O$535/100</f>
        <v>1</v>
      </c>
      <c r="P535" s="142" t="s">
        <v>3047</v>
      </c>
      <c r="Q535" s="142" t="s">
        <v>3047</v>
      </c>
      <c r="R535" s="142">
        <f>B535*IBGE_2!R$535/100</f>
        <v>0.54</v>
      </c>
      <c r="S535" s="142">
        <f>B535*IBGE_2!S$535/100</f>
        <v>7</v>
      </c>
      <c r="T535" s="142">
        <f>B535*IBGE_2!T$535/100</f>
        <v>15</v>
      </c>
      <c r="U535" s="142" t="s">
        <v>3047</v>
      </c>
      <c r="V535" s="142">
        <f>B535*IBGE_2!V$535/100</f>
        <v>0.15</v>
      </c>
      <c r="W535" s="142" t="s">
        <v>3047</v>
      </c>
      <c r="X535" s="142" t="s">
        <v>3047</v>
      </c>
      <c r="Y535" s="142" t="s">
        <v>3047</v>
      </c>
      <c r="Z535" s="142" t="s">
        <v>3047</v>
      </c>
      <c r="AA535" s="142" t="s">
        <v>3047</v>
      </c>
      <c r="AB535" s="142">
        <f>B535*IBGE_2!AB$535/100</f>
        <v>0.7</v>
      </c>
      <c r="AC535" s="142" t="s">
        <v>3047</v>
      </c>
      <c r="AD535" s="142" t="s">
        <v>3047</v>
      </c>
      <c r="AE535" s="142" t="s">
        <v>3047</v>
      </c>
      <c r="AF535" s="142" t="s">
        <v>3047</v>
      </c>
      <c r="AG535" s="142" t="s">
        <v>3047</v>
      </c>
      <c r="AH535" s="142" t="s">
        <v>3047</v>
      </c>
      <c r="AI535" s="142" t="s">
        <v>3047</v>
      </c>
      <c r="AJ535" s="142">
        <f>B535*IBGE_2!AJ$535/100</f>
        <v>0.2</v>
      </c>
      <c r="AK535" s="142" t="s">
        <v>3047</v>
      </c>
      <c r="AL535" s="142">
        <f>B535*IBGE_2!AL$535/100</f>
        <v>13.67</v>
      </c>
      <c r="AM535" s="142">
        <f>B535*IBGE_2!AM$535/100</f>
        <v>19.23</v>
      </c>
      <c r="AN535" s="161"/>
    </row>
    <row r="536" spans="1:40">
      <c r="A536" s="143" t="s">
        <v>1596</v>
      </c>
      <c r="B536" s="141">
        <v>100</v>
      </c>
      <c r="C536" s="142">
        <f>B536*IBGE_2!C$536/100</f>
        <v>396</v>
      </c>
      <c r="D536" s="142" t="s">
        <v>3047</v>
      </c>
      <c r="E536" s="142" t="s">
        <v>3047</v>
      </c>
      <c r="F536" s="142" t="s">
        <v>3047</v>
      </c>
      <c r="G536" s="142" t="s">
        <v>3047</v>
      </c>
      <c r="H536" s="142" t="s">
        <v>3047</v>
      </c>
      <c r="I536" s="142" t="s">
        <v>3047</v>
      </c>
      <c r="J536" s="142" t="s">
        <v>3047</v>
      </c>
      <c r="K536" s="142" t="s">
        <v>3047</v>
      </c>
      <c r="L536" s="142">
        <f>B536*IBGE_2!L$536/100</f>
        <v>98.9</v>
      </c>
      <c r="M536" s="142">
        <f>B536*IBGE_2!M$536/100</f>
        <v>0.1</v>
      </c>
      <c r="N536" s="142">
        <f>B536*IBGE_2!N$536/100</f>
        <v>3</v>
      </c>
      <c r="O536" s="142">
        <f>B536*IBGE_2!O$536/100</f>
        <v>1</v>
      </c>
      <c r="P536" s="142">
        <f>B536*IBGE_2!P$536/100</f>
        <v>0.01</v>
      </c>
      <c r="Q536" s="142">
        <f>B536*IBGE_2!Q$536/100</f>
        <v>1</v>
      </c>
      <c r="R536" s="142">
        <f>B536*IBGE_2!R$536/100</f>
        <v>0.4</v>
      </c>
      <c r="S536" s="142">
        <f>B536*IBGE_2!S$536/100</f>
        <v>44</v>
      </c>
      <c r="T536" s="142">
        <f>B536*IBGE_2!T$536/100</f>
        <v>5</v>
      </c>
      <c r="U536" s="142">
        <f>B536*IBGE_2!U$536/100</f>
        <v>1.2E-2</v>
      </c>
      <c r="V536" s="142" t="s">
        <v>3047</v>
      </c>
      <c r="W536" s="142" t="s">
        <v>3047</v>
      </c>
      <c r="X536" s="142">
        <f>B536*IBGE_2!X$536/100</f>
        <v>6.0000000000000001E-3</v>
      </c>
      <c r="Y536" s="142">
        <f>B536*IBGE_2!Y$536/100</f>
        <v>1.3000000000000001E-2</v>
      </c>
      <c r="Z536" s="142">
        <f>B536*IBGE_2!Z$536/100</f>
        <v>5.0000000000000001E-3</v>
      </c>
      <c r="AA536" s="142">
        <f>B536*IBGE_2!AA$536/100</f>
        <v>0.01</v>
      </c>
      <c r="AB536" s="142" t="s">
        <v>3047</v>
      </c>
      <c r="AC536" s="142">
        <f>B536*IBGE_2!AC$536/100</f>
        <v>0.01</v>
      </c>
      <c r="AD536" s="142" t="s">
        <v>3047</v>
      </c>
      <c r="AE536" s="142" t="s">
        <v>3047</v>
      </c>
      <c r="AF536" s="142" t="s">
        <v>3047</v>
      </c>
      <c r="AG536" s="142" t="s">
        <v>3047</v>
      </c>
      <c r="AH536" s="142" t="s">
        <v>3047</v>
      </c>
      <c r="AI536" s="142" t="s">
        <v>3047</v>
      </c>
      <c r="AJ536" s="142">
        <f>B536*IBGE_2!AJ$536/100</f>
        <v>0.8</v>
      </c>
      <c r="AK536" s="142" t="s">
        <v>3047</v>
      </c>
      <c r="AL536" s="142">
        <f>B536*IBGE_2!AL$536/100</f>
        <v>58.97</v>
      </c>
      <c r="AM536" s="142">
        <f>B536*IBGE_2!AM$536/100</f>
        <v>60.056999999999995</v>
      </c>
      <c r="AN536" s="161"/>
    </row>
    <row r="537" spans="1:40">
      <c r="A537" s="143" t="s">
        <v>1597</v>
      </c>
      <c r="B537" s="141">
        <v>100</v>
      </c>
      <c r="C537" s="142">
        <f>B537*IBGE_2!C$537/100</f>
        <v>394</v>
      </c>
      <c r="D537" s="142" t="s">
        <v>3047</v>
      </c>
      <c r="E537" s="142">
        <f>B537*IBGE_2!E$537/100</f>
        <v>0.2</v>
      </c>
      <c r="F537" s="142" t="s">
        <v>3047</v>
      </c>
      <c r="G537" s="142" t="s">
        <v>3047</v>
      </c>
      <c r="H537" s="142" t="s">
        <v>3047</v>
      </c>
      <c r="I537" s="142" t="s">
        <v>3047</v>
      </c>
      <c r="J537" s="142" t="s">
        <v>3047</v>
      </c>
      <c r="K537" s="142" t="s">
        <v>3047</v>
      </c>
      <c r="L537" s="142">
        <f>B537*IBGE_2!L$537/100</f>
        <v>98</v>
      </c>
      <c r="M537" s="142" t="s">
        <v>3047</v>
      </c>
      <c r="N537" s="142">
        <f>B537*IBGE_2!N$537/100</f>
        <v>3</v>
      </c>
      <c r="O537" s="142">
        <f>B537*IBGE_2!O$537/100</f>
        <v>3</v>
      </c>
      <c r="P537" s="142">
        <f>B537*IBGE_2!P$537/100</f>
        <v>0.01</v>
      </c>
      <c r="Q537" s="142">
        <f>B537*IBGE_2!Q$537/100</f>
        <v>3</v>
      </c>
      <c r="R537" s="142">
        <f>B537*IBGE_2!R$537/100</f>
        <v>0.3</v>
      </c>
      <c r="S537" s="142">
        <f>B537*IBGE_2!S$537/100</f>
        <v>38</v>
      </c>
      <c r="T537" s="142">
        <f>B537*IBGE_2!T$537/100</f>
        <v>5</v>
      </c>
      <c r="U537" s="142">
        <f>B537*IBGE_2!U$537/100</f>
        <v>2.9000000000000005E-2</v>
      </c>
      <c r="V537" s="142">
        <f>B537*IBGE_2!V$537/100</f>
        <v>0.01</v>
      </c>
      <c r="W537" s="142" t="s">
        <v>3047</v>
      </c>
      <c r="X537" s="142">
        <f>B537*IBGE_2!X$537/100</f>
        <v>4.0000000000000001E-3</v>
      </c>
      <c r="Y537" s="142">
        <f>B537*IBGE_2!Y$537/100</f>
        <v>3.0000000000000001E-3</v>
      </c>
      <c r="Z537" s="142">
        <f>B537*IBGE_2!Z$537/100</f>
        <v>3.0000000000000001E-3</v>
      </c>
      <c r="AA537" s="142">
        <f>B537*IBGE_2!AA$537/100</f>
        <v>7.000000000000001E-3</v>
      </c>
      <c r="AB537" s="142" t="s">
        <v>3047</v>
      </c>
      <c r="AC537" s="142">
        <f>B537*IBGE_2!AC$537/100</f>
        <v>7.000000000000001E-3</v>
      </c>
      <c r="AD537" s="142" t="s">
        <v>3047</v>
      </c>
      <c r="AE537" s="142" t="s">
        <v>3047</v>
      </c>
      <c r="AF537" s="142" t="s">
        <v>3047</v>
      </c>
      <c r="AG537" s="142" t="s">
        <v>3047</v>
      </c>
      <c r="AH537" s="142" t="s">
        <v>3047</v>
      </c>
      <c r="AI537" s="142" t="s">
        <v>3047</v>
      </c>
      <c r="AJ537" s="142">
        <f>B537*IBGE_2!AJ$537/100</f>
        <v>0.6</v>
      </c>
      <c r="AK537" s="142" t="s">
        <v>3047</v>
      </c>
      <c r="AL537" s="142">
        <f>B537*IBGE_2!AL$537/100</f>
        <v>98.2</v>
      </c>
      <c r="AM537" s="142">
        <f>B537*IBGE_2!AM$537/100</f>
        <v>98</v>
      </c>
      <c r="AN537" s="161"/>
    </row>
    <row r="538" spans="1:40">
      <c r="A538" s="143" t="s">
        <v>1598</v>
      </c>
      <c r="B538" s="141">
        <v>100</v>
      </c>
      <c r="C538" s="142">
        <f>B538*IBGE_2!C$538/100</f>
        <v>382</v>
      </c>
      <c r="D538" s="142">
        <f>B538*IBGE_2!D$538/100</f>
        <v>4.5999999999999996</v>
      </c>
      <c r="E538" s="142">
        <f>B538*IBGE_2!E$538/100</f>
        <v>8.1</v>
      </c>
      <c r="F538" s="142">
        <f>B538*IBGE_2!F$538/100</f>
        <v>2.476</v>
      </c>
      <c r="G538" s="142">
        <f>B538*IBGE_2!G$538/100</f>
        <v>1.5420000000000003</v>
      </c>
      <c r="H538" s="142">
        <f>B538*IBGE_2!H$538/100</f>
        <v>3.4780000000000002</v>
      </c>
      <c r="I538" s="142">
        <f>B538*IBGE_2!I$538/100</f>
        <v>3.4470000000000001</v>
      </c>
      <c r="J538" s="142">
        <f>B538*IBGE_2!J$538/100</f>
        <v>2.5000000000000001E-2</v>
      </c>
      <c r="K538" s="142">
        <f>B538*IBGE_2!K$538/100</f>
        <v>7</v>
      </c>
      <c r="L538" s="142">
        <f>B538*IBGE_2!L$538/100</f>
        <v>77</v>
      </c>
      <c r="M538" s="142" t="s">
        <v>3047</v>
      </c>
      <c r="N538" s="142">
        <f>B538*IBGE_2!N$538/100</f>
        <v>138</v>
      </c>
      <c r="O538" s="142">
        <f>B538*IBGE_2!O$538/100</f>
        <v>17</v>
      </c>
      <c r="P538" s="142">
        <f>B538*IBGE_2!P$538/100</f>
        <v>1.0999999999999999E-2</v>
      </c>
      <c r="Q538" s="142">
        <f>B538*IBGE_2!Q$538/100</f>
        <v>114</v>
      </c>
      <c r="R538" s="142">
        <f>B538*IBGE_2!R$538/100</f>
        <v>0.14000000000000001</v>
      </c>
      <c r="S538" s="142">
        <f>B538*IBGE_2!S$538/100</f>
        <v>245</v>
      </c>
      <c r="T538" s="142">
        <f>B538*IBGE_2!T$538/100</f>
        <v>214</v>
      </c>
      <c r="U538" s="142">
        <f>B538*IBGE_2!U$538/100</f>
        <v>1.7999999999999999E-2</v>
      </c>
      <c r="V538" s="142">
        <f>B538*IBGE_2!V$538/100</f>
        <v>0.44</v>
      </c>
      <c r="W538" s="142">
        <f>B538*IBGE_2!W$538/100</f>
        <v>11</v>
      </c>
      <c r="X538" s="142">
        <f>B538*IBGE_2!X$538/100</f>
        <v>0.10299999999999999</v>
      </c>
      <c r="Y538" s="142">
        <f>B538*IBGE_2!Y$538/100</f>
        <v>0.25600000000000001</v>
      </c>
      <c r="Z538" s="142">
        <f>B538*IBGE_2!Z$538/100</f>
        <v>5.6000000000000008E-2</v>
      </c>
      <c r="AA538" s="142">
        <f>B538*IBGE_2!AA$538/100</f>
        <v>0.14799999999999999</v>
      </c>
      <c r="AB538" s="142">
        <f>B538*IBGE_2!AB$538/100</f>
        <v>0.4</v>
      </c>
      <c r="AC538" s="142">
        <f>B538*IBGE_2!AC$538/100</f>
        <v>1.1479999999999999</v>
      </c>
      <c r="AD538" s="142">
        <f>B538*IBGE_2!AD$538/100</f>
        <v>0.3</v>
      </c>
      <c r="AE538" s="142">
        <f>B538*IBGE_2!AE$538/100</f>
        <v>4</v>
      </c>
      <c r="AF538" s="142">
        <f>B538*IBGE_2!AF$538/100</f>
        <v>0.02</v>
      </c>
      <c r="AG538" s="142">
        <f>B538*IBGE_2!AG$538/100</f>
        <v>0.46</v>
      </c>
      <c r="AH538" s="142">
        <f>B538*IBGE_2!AH$538/100</f>
        <v>4.3999999999999997E-2</v>
      </c>
      <c r="AI538" s="142" t="s">
        <v>3047</v>
      </c>
      <c r="AJ538" s="142">
        <f>B538*IBGE_2!AJ$538/100</f>
        <v>1.8</v>
      </c>
      <c r="AK538" s="142">
        <f>B538*IBGE_2!AK$538/100</f>
        <v>11.167</v>
      </c>
      <c r="AL538" s="142">
        <f>B538*IBGE_2!AL$538/100</f>
        <v>46.746000000000002</v>
      </c>
      <c r="AM538" s="142">
        <f>B538*IBGE_2!AM$538/100</f>
        <v>68.195999999999998</v>
      </c>
      <c r="AN538" s="161"/>
    </row>
    <row r="539" spans="1:40">
      <c r="A539" s="143" t="s">
        <v>1599</v>
      </c>
      <c r="B539" s="141">
        <v>100</v>
      </c>
      <c r="C539" s="142">
        <f>B539*IBGE_2!C$539/100</f>
        <v>394</v>
      </c>
      <c r="D539" s="142" t="s">
        <v>3047</v>
      </c>
      <c r="E539" s="142">
        <f>B539*IBGE_2!E$539/100</f>
        <v>0.2</v>
      </c>
      <c r="F539" s="142" t="s">
        <v>3047</v>
      </c>
      <c r="G539" s="142" t="s">
        <v>3047</v>
      </c>
      <c r="H539" s="142" t="s">
        <v>3047</v>
      </c>
      <c r="I539" s="142" t="s">
        <v>3047</v>
      </c>
      <c r="J539" s="142" t="s">
        <v>3047</v>
      </c>
      <c r="K539" s="142" t="s">
        <v>3047</v>
      </c>
      <c r="L539" s="142">
        <f>B539*IBGE_2!L$539/100</f>
        <v>98</v>
      </c>
      <c r="M539" s="142" t="s">
        <v>3047</v>
      </c>
      <c r="N539" s="142">
        <f>B539*IBGE_2!N$539/100</f>
        <v>3</v>
      </c>
      <c r="O539" s="142">
        <f>B539*IBGE_2!O$539/100</f>
        <v>3</v>
      </c>
      <c r="P539" s="142">
        <f>B539*IBGE_2!P$539/100</f>
        <v>0.01</v>
      </c>
      <c r="Q539" s="142">
        <f>B539*IBGE_2!Q$539/100</f>
        <v>3</v>
      </c>
      <c r="R539" s="142">
        <f>B539*IBGE_2!R$539/100</f>
        <v>0.3</v>
      </c>
      <c r="S539" s="142">
        <f>B539*IBGE_2!S$539/100</f>
        <v>38</v>
      </c>
      <c r="T539" s="142">
        <f>B539*IBGE_2!T$539/100</f>
        <v>5</v>
      </c>
      <c r="U539" s="142">
        <f>B539*IBGE_2!U$539/100</f>
        <v>2.9000000000000005E-2</v>
      </c>
      <c r="V539" s="142">
        <f>B539*IBGE_2!V$539/100</f>
        <v>0.01</v>
      </c>
      <c r="W539" s="142" t="s">
        <v>3047</v>
      </c>
      <c r="X539" s="142">
        <f>B539*IBGE_2!X$539/100</f>
        <v>4.0000000000000001E-3</v>
      </c>
      <c r="Y539" s="142">
        <f>B539*IBGE_2!Y$539/100</f>
        <v>3.0000000000000001E-3</v>
      </c>
      <c r="Z539" s="142">
        <f>B539*IBGE_2!Z$539/100</f>
        <v>3.0000000000000001E-3</v>
      </c>
      <c r="AA539" s="142">
        <f>B539*IBGE_2!AA$539/100</f>
        <v>7.000000000000001E-3</v>
      </c>
      <c r="AB539" s="142" t="s">
        <v>3047</v>
      </c>
      <c r="AC539" s="142">
        <f>B539*IBGE_2!AC$539/100</f>
        <v>7.000000000000001E-3</v>
      </c>
      <c r="AD539" s="142" t="s">
        <v>3047</v>
      </c>
      <c r="AE539" s="142" t="s">
        <v>3047</v>
      </c>
      <c r="AF539" s="142" t="s">
        <v>3047</v>
      </c>
      <c r="AG539" s="142" t="s">
        <v>3047</v>
      </c>
      <c r="AH539" s="142" t="s">
        <v>3047</v>
      </c>
      <c r="AI539" s="142" t="s">
        <v>3047</v>
      </c>
      <c r="AJ539" s="142">
        <f>B539*IBGE_2!AJ$539/100</f>
        <v>0.6</v>
      </c>
      <c r="AK539" s="142" t="s">
        <v>3047</v>
      </c>
      <c r="AL539" s="142">
        <f>B539*IBGE_2!AL$539/100</f>
        <v>98.2</v>
      </c>
      <c r="AM539" s="142">
        <f>B539*IBGE_2!AM$539/100</f>
        <v>98</v>
      </c>
      <c r="AN539" s="161"/>
    </row>
    <row r="540" spans="1:40">
      <c r="A540" s="143" t="s">
        <v>1600</v>
      </c>
      <c r="B540" s="141">
        <v>100</v>
      </c>
      <c r="C540" s="142">
        <f>B540*IBGE_2!C$540/100</f>
        <v>396</v>
      </c>
      <c r="D540" s="142" t="s">
        <v>3047</v>
      </c>
      <c r="E540" s="142" t="s">
        <v>3047</v>
      </c>
      <c r="F540" s="142" t="s">
        <v>3047</v>
      </c>
      <c r="G540" s="142" t="s">
        <v>3047</v>
      </c>
      <c r="H540" s="142" t="s">
        <v>3047</v>
      </c>
      <c r="I540" s="142" t="s">
        <v>3047</v>
      </c>
      <c r="J540" s="142" t="s">
        <v>3047</v>
      </c>
      <c r="K540" s="142" t="s">
        <v>3047</v>
      </c>
      <c r="L540" s="142">
        <f>B540*IBGE_2!L$540/100</f>
        <v>98.9</v>
      </c>
      <c r="M540" s="142">
        <f>B540*IBGE_2!M$540/100</f>
        <v>0.1</v>
      </c>
      <c r="N540" s="142">
        <f>B540*IBGE_2!N$540/100</f>
        <v>3</v>
      </c>
      <c r="O540" s="142">
        <f>B540*IBGE_2!O$540/100</f>
        <v>1</v>
      </c>
      <c r="P540" s="142">
        <f>B540*IBGE_2!P$540/100</f>
        <v>0.01</v>
      </c>
      <c r="Q540" s="142">
        <f>B540*IBGE_2!Q$540/100</f>
        <v>1</v>
      </c>
      <c r="R540" s="142">
        <f>B540*IBGE_2!R$540/100</f>
        <v>0.4</v>
      </c>
      <c r="S540" s="142">
        <f>B540*IBGE_2!S$540/100</f>
        <v>44</v>
      </c>
      <c r="T540" s="142">
        <f>B540*IBGE_2!T$540/100</f>
        <v>5</v>
      </c>
      <c r="U540" s="142">
        <f>B540*IBGE_2!U$540/100</f>
        <v>1.2E-2</v>
      </c>
      <c r="V540" s="142" t="s">
        <v>3047</v>
      </c>
      <c r="W540" s="142" t="s">
        <v>3047</v>
      </c>
      <c r="X540" s="142">
        <f>B540*IBGE_2!X$540/100</f>
        <v>6.0000000000000001E-3</v>
      </c>
      <c r="Y540" s="142">
        <f>B540*IBGE_2!Y$540/100</f>
        <v>1.3000000000000001E-2</v>
      </c>
      <c r="Z540" s="142">
        <f>B540*IBGE_2!Z$540/100</f>
        <v>5.0000000000000001E-3</v>
      </c>
      <c r="AA540" s="142">
        <f>B540*IBGE_2!AA$540/100</f>
        <v>0.01</v>
      </c>
      <c r="AB540" s="142" t="s">
        <v>3047</v>
      </c>
      <c r="AC540" s="142">
        <f>B540*IBGE_2!AC$540/100</f>
        <v>0.01</v>
      </c>
      <c r="AD540" s="142" t="s">
        <v>3047</v>
      </c>
      <c r="AE540" s="142" t="s">
        <v>3047</v>
      </c>
      <c r="AF540" s="142" t="s">
        <v>3047</v>
      </c>
      <c r="AG540" s="142" t="s">
        <v>3047</v>
      </c>
      <c r="AH540" s="142" t="s">
        <v>3047</v>
      </c>
      <c r="AI540" s="142" t="s">
        <v>3047</v>
      </c>
      <c r="AJ540" s="142">
        <f>B540*IBGE_2!AJ$540/100</f>
        <v>0.8</v>
      </c>
      <c r="AK540" s="142" t="s">
        <v>3047</v>
      </c>
      <c r="AL540" s="142">
        <f>B540*IBGE_2!AL$540/100</f>
        <v>58.97</v>
      </c>
      <c r="AM540" s="142">
        <f>B540*IBGE_2!AM$540/100</f>
        <v>60.056999999999995</v>
      </c>
      <c r="AN540" s="161"/>
    </row>
    <row r="541" spans="1:40">
      <c r="A541" s="143" t="s">
        <v>1601</v>
      </c>
      <c r="B541" s="141">
        <v>100</v>
      </c>
      <c r="C541" s="142">
        <f>B541*IBGE_2!C$541/100</f>
        <v>394</v>
      </c>
      <c r="D541" s="142" t="s">
        <v>3047</v>
      </c>
      <c r="E541" s="142">
        <f>B541*IBGE_2!E$541/100</f>
        <v>0.2</v>
      </c>
      <c r="F541" s="142" t="s">
        <v>3047</v>
      </c>
      <c r="G541" s="142" t="s">
        <v>3047</v>
      </c>
      <c r="H541" s="142" t="s">
        <v>3047</v>
      </c>
      <c r="I541" s="142" t="s">
        <v>3047</v>
      </c>
      <c r="J541" s="142" t="s">
        <v>3047</v>
      </c>
      <c r="K541" s="142" t="s">
        <v>3047</v>
      </c>
      <c r="L541" s="142">
        <f>B541*IBGE_2!L$541/100</f>
        <v>98</v>
      </c>
      <c r="M541" s="142" t="s">
        <v>3047</v>
      </c>
      <c r="N541" s="142">
        <f>B541*IBGE_2!N$541/100</f>
        <v>3</v>
      </c>
      <c r="O541" s="142">
        <f>B541*IBGE_2!O$541/100</f>
        <v>3</v>
      </c>
      <c r="P541" s="142">
        <f>B541*IBGE_2!P$541/100</f>
        <v>0.01</v>
      </c>
      <c r="Q541" s="142">
        <f>B541*IBGE_2!Q$541/100</f>
        <v>3</v>
      </c>
      <c r="R541" s="142">
        <f>B541*IBGE_2!R$541/100</f>
        <v>0.3</v>
      </c>
      <c r="S541" s="142">
        <f>B541*IBGE_2!S$541/100</f>
        <v>38</v>
      </c>
      <c r="T541" s="142">
        <f>B541*IBGE_2!T$541/100</f>
        <v>5</v>
      </c>
      <c r="U541" s="142">
        <f>B541*IBGE_2!U$541/100</f>
        <v>2.9000000000000005E-2</v>
      </c>
      <c r="V541" s="142">
        <f>B541*IBGE_2!V$541/100</f>
        <v>0.01</v>
      </c>
      <c r="W541" s="142" t="s">
        <v>3047</v>
      </c>
      <c r="X541" s="142">
        <f>B541*IBGE_2!X$541/100</f>
        <v>4.0000000000000001E-3</v>
      </c>
      <c r="Y541" s="142">
        <f>B541*IBGE_2!Y$541/100</f>
        <v>3.0000000000000001E-3</v>
      </c>
      <c r="Z541" s="142">
        <f>B541*IBGE_2!Z$541/100</f>
        <v>3.0000000000000001E-3</v>
      </c>
      <c r="AA541" s="142">
        <f>B541*IBGE_2!AA$541/100</f>
        <v>7.000000000000001E-3</v>
      </c>
      <c r="AB541" s="142" t="s">
        <v>3047</v>
      </c>
      <c r="AC541" s="142">
        <f>B541*IBGE_2!AC$541/100</f>
        <v>7.000000000000001E-3</v>
      </c>
      <c r="AD541" s="142" t="s">
        <v>3047</v>
      </c>
      <c r="AE541" s="142" t="s">
        <v>3047</v>
      </c>
      <c r="AF541" s="142" t="s">
        <v>3047</v>
      </c>
      <c r="AG541" s="142" t="s">
        <v>3047</v>
      </c>
      <c r="AH541" s="142" t="s">
        <v>3047</v>
      </c>
      <c r="AI541" s="142" t="s">
        <v>3047</v>
      </c>
      <c r="AJ541" s="142">
        <f>B541*IBGE_2!AJ$541/100</f>
        <v>0.6</v>
      </c>
      <c r="AK541" s="142" t="s">
        <v>3047</v>
      </c>
      <c r="AL541" s="142">
        <f>B541*IBGE_2!AL$541/100</f>
        <v>98.2</v>
      </c>
      <c r="AM541" s="142">
        <f>B541*IBGE_2!AM$541/100</f>
        <v>98</v>
      </c>
      <c r="AN541" s="161"/>
    </row>
    <row r="542" spans="1:40">
      <c r="A542" s="143" t="s">
        <v>1602</v>
      </c>
      <c r="B542" s="141">
        <v>100</v>
      </c>
      <c r="C542" s="142">
        <f>B542*IBGE_2!C$542/100</f>
        <v>396</v>
      </c>
      <c r="D542" s="142" t="s">
        <v>3047</v>
      </c>
      <c r="E542" s="142" t="s">
        <v>3047</v>
      </c>
      <c r="F542" s="142" t="s">
        <v>3047</v>
      </c>
      <c r="G542" s="142" t="s">
        <v>3047</v>
      </c>
      <c r="H542" s="142" t="s">
        <v>3047</v>
      </c>
      <c r="I542" s="142" t="s">
        <v>3047</v>
      </c>
      <c r="J542" s="142" t="s">
        <v>3047</v>
      </c>
      <c r="K542" s="142" t="s">
        <v>3047</v>
      </c>
      <c r="L542" s="142">
        <f>B542*IBGE_2!L$542/100</f>
        <v>98.9</v>
      </c>
      <c r="M542" s="142">
        <f>B542*IBGE_2!M$542/100</f>
        <v>0.1</v>
      </c>
      <c r="N542" s="142">
        <f>B542*IBGE_2!N$542/100</f>
        <v>3</v>
      </c>
      <c r="O542" s="142">
        <f>B542*IBGE_2!O$542/100</f>
        <v>1</v>
      </c>
      <c r="P542" s="142">
        <f>B542*IBGE_2!P$542/100</f>
        <v>0.01</v>
      </c>
      <c r="Q542" s="142">
        <f>B542*IBGE_2!Q$542/100</f>
        <v>1</v>
      </c>
      <c r="R542" s="142">
        <f>B542*IBGE_2!R$542/100</f>
        <v>0.4</v>
      </c>
      <c r="S542" s="142">
        <f>B542*IBGE_2!S$542/100</f>
        <v>44</v>
      </c>
      <c r="T542" s="142">
        <f>B542*IBGE_2!T$542/100</f>
        <v>5</v>
      </c>
      <c r="U542" s="142">
        <f>B542*IBGE_2!U$542/100</f>
        <v>1.2E-2</v>
      </c>
      <c r="V542" s="142" t="s">
        <v>3047</v>
      </c>
      <c r="W542" s="142" t="s">
        <v>3047</v>
      </c>
      <c r="X542" s="142">
        <f>B542*IBGE_2!X$542/100</f>
        <v>6.0000000000000001E-3</v>
      </c>
      <c r="Y542" s="142">
        <f>B542*IBGE_2!Y$542/100</f>
        <v>1.3000000000000001E-2</v>
      </c>
      <c r="Z542" s="142">
        <f>B542*IBGE_2!Z$542/100</f>
        <v>5.0000000000000001E-3</v>
      </c>
      <c r="AA542" s="142">
        <f>B542*IBGE_2!AA$542/100</f>
        <v>0.01</v>
      </c>
      <c r="AB542" s="142" t="s">
        <v>3047</v>
      </c>
      <c r="AC542" s="142">
        <f>B542*IBGE_2!AC$542/100</f>
        <v>0.01</v>
      </c>
      <c r="AD542" s="142" t="s">
        <v>3047</v>
      </c>
      <c r="AE542" s="142" t="s">
        <v>3047</v>
      </c>
      <c r="AF542" s="142" t="s">
        <v>3047</v>
      </c>
      <c r="AG542" s="142" t="s">
        <v>3047</v>
      </c>
      <c r="AH542" s="142" t="s">
        <v>3047</v>
      </c>
      <c r="AI542" s="142" t="s">
        <v>3047</v>
      </c>
      <c r="AJ542" s="142">
        <f>B542*IBGE_2!AJ$542/100</f>
        <v>0.8</v>
      </c>
      <c r="AK542" s="142" t="s">
        <v>3047</v>
      </c>
      <c r="AL542" s="142">
        <f>B542*IBGE_2!AL$542/100</f>
        <v>58.97</v>
      </c>
      <c r="AM542" s="142">
        <f>B542*IBGE_2!AM$542/100</f>
        <v>60.056999999999995</v>
      </c>
      <c r="AN542" s="161"/>
    </row>
    <row r="543" spans="1:40">
      <c r="A543" s="143" t="s">
        <v>1603</v>
      </c>
      <c r="B543" s="141">
        <v>100</v>
      </c>
      <c r="C543" s="142">
        <f>B543*IBGE_2!C$543/100</f>
        <v>375</v>
      </c>
      <c r="D543" s="142" t="s">
        <v>3047</v>
      </c>
      <c r="E543" s="142">
        <f>B543*IBGE_2!E$543/100</f>
        <v>0.05</v>
      </c>
      <c r="F543" s="142" t="s">
        <v>3047</v>
      </c>
      <c r="G543" s="142" t="s">
        <v>3047</v>
      </c>
      <c r="H543" s="142" t="s">
        <v>3047</v>
      </c>
      <c r="I543" s="142" t="s">
        <v>3047</v>
      </c>
      <c r="J543" s="142" t="s">
        <v>3047</v>
      </c>
      <c r="K543" s="142" t="s">
        <v>3047</v>
      </c>
      <c r="L543" s="142">
        <f>B543*IBGE_2!L$543/100</f>
        <v>93.55</v>
      </c>
      <c r="M543" s="142">
        <f>B543*IBGE_2!M$543/100</f>
        <v>0.2</v>
      </c>
      <c r="N543" s="142">
        <f>B543*IBGE_2!N$543/100</f>
        <v>3</v>
      </c>
      <c r="O543" s="142">
        <f>B543*IBGE_2!O$543/100</f>
        <v>2</v>
      </c>
      <c r="P543" s="142">
        <f>B543*IBGE_2!P$543/100</f>
        <v>3.5000000000000003E-2</v>
      </c>
      <c r="Q543" s="142">
        <f>B543*IBGE_2!Q$543/100</f>
        <v>4</v>
      </c>
      <c r="R543" s="142">
        <f>B543*IBGE_2!R$543/100</f>
        <v>0.13</v>
      </c>
      <c r="S543" s="142">
        <f>B543*IBGE_2!S$543/100</f>
        <v>50</v>
      </c>
      <c r="T543" s="142">
        <f>B543*IBGE_2!T$543/100</f>
        <v>37</v>
      </c>
      <c r="U543" s="142">
        <f>B543*IBGE_2!U$543/100</f>
        <v>2.8000000000000004E-2</v>
      </c>
      <c r="V543" s="142">
        <f>B543*IBGE_2!V$543/100</f>
        <v>0.05</v>
      </c>
      <c r="W543" s="142" t="s">
        <v>3047</v>
      </c>
      <c r="X543" s="142">
        <f>B543*IBGE_2!X$543/100</f>
        <v>4.0000000000000001E-3</v>
      </c>
      <c r="Y543" s="142">
        <f>B543*IBGE_2!Y$543/100</f>
        <v>1.0999999999999999E-2</v>
      </c>
      <c r="Z543" s="142">
        <f>B543*IBGE_2!Z$543/100</f>
        <v>4.0000000000000001E-3</v>
      </c>
      <c r="AA543" s="142">
        <f>B543*IBGE_2!AA$543/100</f>
        <v>8.0000000000000002E-3</v>
      </c>
      <c r="AB543" s="142" t="s">
        <v>3047</v>
      </c>
      <c r="AC543" s="142">
        <f>B543*IBGE_2!AC$543/100</f>
        <v>8.0000000000000002E-3</v>
      </c>
      <c r="AD543" s="142" t="s">
        <v>3047</v>
      </c>
      <c r="AE543" s="142" t="s">
        <v>3047</v>
      </c>
      <c r="AF543" s="142" t="s">
        <v>3047</v>
      </c>
      <c r="AG543" s="142" t="s">
        <v>3047</v>
      </c>
      <c r="AH543" s="142" t="s">
        <v>3047</v>
      </c>
      <c r="AI543" s="142" t="s">
        <v>3047</v>
      </c>
      <c r="AJ543" s="142">
        <f>B543*IBGE_2!AJ$543/100</f>
        <v>1.1000000000000001</v>
      </c>
      <c r="AK543" s="142" t="s">
        <v>3047</v>
      </c>
      <c r="AL543" s="142">
        <f>B543*IBGE_2!AL$543/100</f>
        <v>46.555999999999997</v>
      </c>
      <c r="AM543" s="142">
        <f>B543*IBGE_2!AM$543/100</f>
        <v>84.421999999999983</v>
      </c>
      <c r="AN543" s="161"/>
    </row>
    <row r="544" spans="1:40">
      <c r="A544" s="143" t="s">
        <v>1604</v>
      </c>
      <c r="B544" s="141">
        <v>100</v>
      </c>
      <c r="C544" s="142">
        <f>B544*IBGE_2!C$544/100</f>
        <v>535</v>
      </c>
      <c r="D544" s="142">
        <f>B544*IBGE_2!D$544/100</f>
        <v>7.65</v>
      </c>
      <c r="E544" s="142">
        <f>B544*IBGE_2!E$544/100</f>
        <v>29.66</v>
      </c>
      <c r="F544" s="142">
        <f>B544*IBGE_2!F$544/100</f>
        <v>20.78</v>
      </c>
      <c r="G544" s="142">
        <f>B544*IBGE_2!G$544/100</f>
        <v>15.869000000000002</v>
      </c>
      <c r="H544" s="142">
        <f>B544*IBGE_2!H$544/100</f>
        <v>1.256</v>
      </c>
      <c r="I544" s="142">
        <f>B544*IBGE_2!I$544/100</f>
        <v>1.0629999999999999</v>
      </c>
      <c r="J544" s="142">
        <f>B544*IBGE_2!J$544/100</f>
        <v>0.122</v>
      </c>
      <c r="K544" s="142">
        <f>B544*IBGE_2!K$544/100</f>
        <v>23</v>
      </c>
      <c r="L544" s="142">
        <f>B544*IBGE_2!L$544/100</f>
        <v>59.4</v>
      </c>
      <c r="M544" s="142">
        <f>B544*IBGE_2!M$544/100</f>
        <v>3.4</v>
      </c>
      <c r="N544" s="142">
        <f>B544*IBGE_2!N$544/100</f>
        <v>189</v>
      </c>
      <c r="O544" s="142">
        <f>B544*IBGE_2!O$544/100</f>
        <v>63</v>
      </c>
      <c r="P544" s="142">
        <f>B544*IBGE_2!P$544/100</f>
        <v>0.47099999999999992</v>
      </c>
      <c r="Q544" s="142">
        <f>B544*IBGE_2!Q$544/100</f>
        <v>208</v>
      </c>
      <c r="R544" s="142">
        <f>B544*IBGE_2!R$544/100</f>
        <v>2.35</v>
      </c>
      <c r="S544" s="142">
        <f>B544*IBGE_2!S$544/100</f>
        <v>79</v>
      </c>
      <c r="T544" s="142">
        <f>B544*IBGE_2!T$544/100</f>
        <v>372</v>
      </c>
      <c r="U544" s="142">
        <f>B544*IBGE_2!U$544/100</f>
        <v>0.49099999999999999</v>
      </c>
      <c r="V544" s="142">
        <f>B544*IBGE_2!V$544/100</f>
        <v>2.2999999999999998</v>
      </c>
      <c r="W544" s="142">
        <f>B544*IBGE_2!W$544/100</f>
        <v>56</v>
      </c>
      <c r="X544" s="142">
        <f>B544*IBGE_2!X$544/100</f>
        <v>0.11200000000000002</v>
      </c>
      <c r="Y544" s="142">
        <f>B544*IBGE_2!Y$544/100</f>
        <v>0.29799999999999999</v>
      </c>
      <c r="Z544" s="142">
        <f>B544*IBGE_2!Z$544/100</f>
        <v>3.5999999999999997E-2</v>
      </c>
      <c r="AA544" s="142">
        <f>B544*IBGE_2!AA$544/100</f>
        <v>0.38600000000000001</v>
      </c>
      <c r="AB544" s="142" t="s">
        <v>3047</v>
      </c>
      <c r="AC544" s="142">
        <f>B544*IBGE_2!AC$544/100</f>
        <v>1.869</v>
      </c>
      <c r="AD544" s="142">
        <f>B544*IBGE_2!AD$544/100</f>
        <v>0.75</v>
      </c>
      <c r="AE544" s="142">
        <f>B544*IBGE_2!AE$544/100</f>
        <v>11</v>
      </c>
      <c r="AF544" s="142" t="s">
        <v>3047</v>
      </c>
      <c r="AG544" s="142">
        <f>B544*IBGE_2!AG$544/100</f>
        <v>0.51</v>
      </c>
      <c r="AH544" s="142">
        <f>B544*IBGE_2!AH$544/100</f>
        <v>0.09</v>
      </c>
      <c r="AI544" s="142" t="s">
        <v>3047</v>
      </c>
      <c r="AJ544" s="142">
        <f>B544*IBGE_2!AJ$544/100</f>
        <v>4.5</v>
      </c>
      <c r="AK544" s="142">
        <f>B544*IBGE_2!AK$544/100</f>
        <v>56.667000000000002</v>
      </c>
      <c r="AL544" s="142">
        <f>B544*IBGE_2!AL$544/100</f>
        <v>54.8</v>
      </c>
      <c r="AM544" s="142">
        <f>B544*IBGE_2!AM$544/100</f>
        <v>46.991000000000007</v>
      </c>
      <c r="AN544" s="161"/>
    </row>
    <row r="545" spans="1:40">
      <c r="A545" s="143" t="s">
        <v>1605</v>
      </c>
      <c r="B545" s="141">
        <v>100</v>
      </c>
      <c r="C545" s="142">
        <f>B545*IBGE_2!C$545/100</f>
        <v>535</v>
      </c>
      <c r="D545" s="142">
        <f>B545*IBGE_2!D$545/100</f>
        <v>7.65</v>
      </c>
      <c r="E545" s="142">
        <f>B545*IBGE_2!E$545/100</f>
        <v>29.66</v>
      </c>
      <c r="F545" s="142">
        <f>B545*IBGE_2!F$545/100</f>
        <v>20.78</v>
      </c>
      <c r="G545" s="142">
        <f>B545*IBGE_2!G$545/100</f>
        <v>15.869000000000002</v>
      </c>
      <c r="H545" s="142">
        <f>B545*IBGE_2!H$545/100</f>
        <v>1.256</v>
      </c>
      <c r="I545" s="142">
        <f>B545*IBGE_2!I$545/100</f>
        <v>1.0629999999999999</v>
      </c>
      <c r="J545" s="142">
        <f>B545*IBGE_2!J$545/100</f>
        <v>0.122</v>
      </c>
      <c r="K545" s="142">
        <f>B545*IBGE_2!K$545/100</f>
        <v>23</v>
      </c>
      <c r="L545" s="142">
        <f>B545*IBGE_2!L$545/100</f>
        <v>59.4</v>
      </c>
      <c r="M545" s="142">
        <f>B545*IBGE_2!M$545/100</f>
        <v>3.4</v>
      </c>
      <c r="N545" s="142">
        <f>B545*IBGE_2!N$545/100</f>
        <v>189</v>
      </c>
      <c r="O545" s="142">
        <f>B545*IBGE_2!O$545/100</f>
        <v>63</v>
      </c>
      <c r="P545" s="142">
        <f>B545*IBGE_2!P$545/100</f>
        <v>0.47099999999999992</v>
      </c>
      <c r="Q545" s="142">
        <f>B545*IBGE_2!Q$545/100</f>
        <v>208</v>
      </c>
      <c r="R545" s="142">
        <f>B545*IBGE_2!R$545/100</f>
        <v>2.35</v>
      </c>
      <c r="S545" s="142">
        <f>B545*IBGE_2!S$545/100</f>
        <v>79</v>
      </c>
      <c r="T545" s="142">
        <f>B545*IBGE_2!T$545/100</f>
        <v>372</v>
      </c>
      <c r="U545" s="142">
        <f>B545*IBGE_2!U$545/100</f>
        <v>0.49099999999999999</v>
      </c>
      <c r="V545" s="142">
        <f>B545*IBGE_2!V$545/100</f>
        <v>2.2999999999999998</v>
      </c>
      <c r="W545" s="142">
        <f>B545*IBGE_2!W$545/100</f>
        <v>56</v>
      </c>
      <c r="X545" s="142">
        <f>B545*IBGE_2!X$545/100</f>
        <v>0.11200000000000002</v>
      </c>
      <c r="Y545" s="142">
        <f>B545*IBGE_2!Y$545/100</f>
        <v>0.29799999999999999</v>
      </c>
      <c r="Z545" s="142">
        <f>B545*IBGE_2!Z$545/100</f>
        <v>3.5999999999999997E-2</v>
      </c>
      <c r="AA545" s="142">
        <f>B545*IBGE_2!AA$545/100</f>
        <v>0.38600000000000001</v>
      </c>
      <c r="AB545" s="142" t="s">
        <v>3047</v>
      </c>
      <c r="AC545" s="142">
        <f>B545*IBGE_2!AC$545/100</f>
        <v>1.869</v>
      </c>
      <c r="AD545" s="142">
        <f>B545*IBGE_2!AD$545/100</f>
        <v>0.75</v>
      </c>
      <c r="AE545" s="142">
        <f>B545*IBGE_2!AE$545/100</f>
        <v>11</v>
      </c>
      <c r="AF545" s="142" t="s">
        <v>3047</v>
      </c>
      <c r="AG545" s="142">
        <f>B545*IBGE_2!AG$545/100</f>
        <v>0.51</v>
      </c>
      <c r="AH545" s="142">
        <f>B545*IBGE_2!AH$545/100</f>
        <v>0.09</v>
      </c>
      <c r="AI545" s="142" t="s">
        <v>3047</v>
      </c>
      <c r="AJ545" s="142">
        <f>B545*IBGE_2!AJ$545/100</f>
        <v>4.5</v>
      </c>
      <c r="AK545" s="142">
        <f>B545*IBGE_2!AK$545/100</f>
        <v>56.667000000000002</v>
      </c>
      <c r="AL545" s="142">
        <f>B545*IBGE_2!AL$545/100</f>
        <v>54.8</v>
      </c>
      <c r="AM545" s="142">
        <f>B545*IBGE_2!AM$545/100</f>
        <v>46.991000000000007</v>
      </c>
      <c r="AN545" s="161"/>
    </row>
    <row r="546" spans="1:40">
      <c r="A546" s="143" t="s">
        <v>1606</v>
      </c>
      <c r="B546" s="141">
        <v>100</v>
      </c>
      <c r="C546" s="142">
        <f>B546*IBGE_2!C$546/100</f>
        <v>492</v>
      </c>
      <c r="D546" s="142">
        <f>B546*IBGE_2!D$546/100</f>
        <v>4.33</v>
      </c>
      <c r="E546" s="142">
        <f>B546*IBGE_2!E$546/100</f>
        <v>21.13</v>
      </c>
      <c r="F546" s="142">
        <f>B546*IBGE_2!F$546/100</f>
        <v>13.08</v>
      </c>
      <c r="G546" s="142">
        <f>B546*IBGE_2!G$546/100</f>
        <v>5.1829999999999998</v>
      </c>
      <c r="H546" s="142">
        <f>B546*IBGE_2!H$546/100</f>
        <v>0.92100000000000004</v>
      </c>
      <c r="I546" s="142">
        <f>B546*IBGE_2!I$546/100</f>
        <v>0.8640000000000001</v>
      </c>
      <c r="J546" s="142">
        <f>B546*IBGE_2!J$546/100</f>
        <v>5.7000000000000002E-2</v>
      </c>
      <c r="K546" s="142">
        <f>B546*IBGE_2!K$546/100</f>
        <v>14</v>
      </c>
      <c r="L546" s="142">
        <f>B546*IBGE_2!L$546/100</f>
        <v>71.19</v>
      </c>
      <c r="M546" s="142">
        <f>B546*IBGE_2!M$546/100</f>
        <v>2.8</v>
      </c>
      <c r="N546" s="142">
        <f>B546*IBGE_2!N$546/100</f>
        <v>105</v>
      </c>
      <c r="O546" s="142">
        <f>B546*IBGE_2!O$546/100</f>
        <v>44</v>
      </c>
      <c r="P546" s="142">
        <f>B546*IBGE_2!P$546/100</f>
        <v>0.32899999999999996</v>
      </c>
      <c r="Q546" s="142">
        <f>B546*IBGE_2!Q$546/100</f>
        <v>146</v>
      </c>
      <c r="R546" s="142">
        <f>B546*IBGE_2!R$546/100</f>
        <v>1.1100000000000001</v>
      </c>
      <c r="S546" s="142">
        <f>B546*IBGE_2!S$546/100</f>
        <v>61</v>
      </c>
      <c r="T546" s="142">
        <f>B546*IBGE_2!T$546/100</f>
        <v>261</v>
      </c>
      <c r="U546" s="142">
        <f>B546*IBGE_2!U$546/100</f>
        <v>0.34399999999999997</v>
      </c>
      <c r="V546" s="142">
        <f>B546*IBGE_2!V$546/100</f>
        <v>1.61</v>
      </c>
      <c r="W546" s="142">
        <f>B546*IBGE_2!W$546/100</f>
        <v>61</v>
      </c>
      <c r="X546" s="142">
        <f>B546*IBGE_2!X$546/100</f>
        <v>7.9000000000000001E-2</v>
      </c>
      <c r="Y546" s="142">
        <f>B546*IBGE_2!Y$546/100</f>
        <v>0.21299999999999999</v>
      </c>
      <c r="Z546" s="142">
        <f>B546*IBGE_2!Z$546/100</f>
        <v>2.5000000000000001E-2</v>
      </c>
      <c r="AA546" s="142">
        <f>B546*IBGE_2!AA$546/100</f>
        <v>0.27</v>
      </c>
      <c r="AB546" s="142">
        <f>B546*IBGE_2!AB$546/100</f>
        <v>0.5</v>
      </c>
      <c r="AC546" s="142">
        <f>B546*IBGE_2!AC$546/100</f>
        <v>1.103</v>
      </c>
      <c r="AD546" s="142">
        <f>B546*IBGE_2!AD$546/100</f>
        <v>0.53</v>
      </c>
      <c r="AE546" s="142">
        <f>B546*IBGE_2!AE$546/100</f>
        <v>8</v>
      </c>
      <c r="AF546" s="142" t="s">
        <v>3047</v>
      </c>
      <c r="AG546" s="142">
        <f>B546*IBGE_2!AG$546/100</f>
        <v>0.36</v>
      </c>
      <c r="AH546" s="142">
        <f>B546*IBGE_2!AH$546/100</f>
        <v>0.16699999999999998</v>
      </c>
      <c r="AI546" s="142" t="s">
        <v>3047</v>
      </c>
      <c r="AJ546" s="142">
        <f>B546*IBGE_2!AJ$546/100</f>
        <v>3.3</v>
      </c>
      <c r="AK546" s="142">
        <f>B546*IBGE_2!AK$546/100</f>
        <v>61</v>
      </c>
      <c r="AL546" s="142">
        <f>B546*IBGE_2!AL$546/100</f>
        <v>63.295000000000002</v>
      </c>
      <c r="AM546" s="142">
        <f>B546*IBGE_2!AM$546/100</f>
        <v>57.753</v>
      </c>
      <c r="AN546" s="161"/>
    </row>
    <row r="547" spans="1:40">
      <c r="A547" s="143" t="s">
        <v>1607</v>
      </c>
      <c r="B547" s="141">
        <v>100</v>
      </c>
      <c r="C547" s="142">
        <f>B547*IBGE_2!C$547/100</f>
        <v>364.23700000000002</v>
      </c>
      <c r="D547" s="142">
        <f>B547*IBGE_2!D$547/100</f>
        <v>2.8260000000000001</v>
      </c>
      <c r="E547" s="142">
        <f>B547*IBGE_2!E$547/100</f>
        <v>3.5510000000000002</v>
      </c>
      <c r="F547" s="142">
        <f>B547*IBGE_2!F$547/100</f>
        <v>0.80200000000000005</v>
      </c>
      <c r="G547" s="142">
        <f>B547*IBGE_2!G$547/100</f>
        <v>1.5369999999999999</v>
      </c>
      <c r="H547" s="142">
        <f>B547*IBGE_2!H$547/100</f>
        <v>1.0429999999999999</v>
      </c>
      <c r="I547" s="142">
        <f>B547*IBGE_2!I$547/100</f>
        <v>1.012</v>
      </c>
      <c r="J547" s="142">
        <f>B547*IBGE_2!J$547/100</f>
        <v>2.6000000000000002E-2</v>
      </c>
      <c r="K547" s="142">
        <f>B547*IBGE_2!K$547/100</f>
        <v>0.45</v>
      </c>
      <c r="L547" s="142">
        <f>B547*IBGE_2!L$547/100</f>
        <v>85.52600000000001</v>
      </c>
      <c r="M547" s="142">
        <f>B547*IBGE_2!M$547/100</f>
        <v>1.66</v>
      </c>
      <c r="N547" s="142">
        <f>B547*IBGE_2!N$547/100</f>
        <v>149.78800000000001</v>
      </c>
      <c r="O547" s="142">
        <f>B547*IBGE_2!O$547/100</f>
        <v>38.712000000000003</v>
      </c>
      <c r="P547" s="142">
        <f>B547*IBGE_2!P$547/100</f>
        <v>0.19400000000000003</v>
      </c>
      <c r="Q547" s="142">
        <f>B547*IBGE_2!Q$547/100</f>
        <v>132.41499999999999</v>
      </c>
      <c r="R547" s="142">
        <f>B547*IBGE_2!R$547/100</f>
        <v>0.78200000000000003</v>
      </c>
      <c r="S547" s="142">
        <f>B547*IBGE_2!S$547/100</f>
        <v>350.14299999999997</v>
      </c>
      <c r="T547" s="142">
        <f>B547*IBGE_2!T$547/100</f>
        <v>840.69299999999998</v>
      </c>
      <c r="U547" s="142">
        <f>B547*IBGE_2!U$547/100</f>
        <v>0.193</v>
      </c>
      <c r="V547" s="142">
        <f>B547*IBGE_2!V$547/100</f>
        <v>0.81200000000000006</v>
      </c>
      <c r="W547" s="142">
        <f>B547*IBGE_2!W$547/100</f>
        <v>1.08</v>
      </c>
      <c r="X547" s="142">
        <f>B547*IBGE_2!X$547/100</f>
        <v>5.0999999999999997E-2</v>
      </c>
      <c r="Y547" s="142">
        <f>B547*IBGE_2!Y$547/100</f>
        <v>0.17599999999999999</v>
      </c>
      <c r="Z547" s="142">
        <f>B547*IBGE_2!Z$547/100</f>
        <v>4.8000000000000001E-2</v>
      </c>
      <c r="AA547" s="142">
        <f>B547*IBGE_2!AA$547/100</f>
        <v>0.192</v>
      </c>
      <c r="AB547" s="142">
        <f>B547*IBGE_2!AB$547/100</f>
        <v>0.13800000000000001</v>
      </c>
      <c r="AC547" s="142">
        <f>B547*IBGE_2!AC$547/100</f>
        <v>0.92600000000000005</v>
      </c>
      <c r="AD547" s="142">
        <f>B547*IBGE_2!AD$547/100</f>
        <v>0.21</v>
      </c>
      <c r="AE547" s="142">
        <f>B547*IBGE_2!AE$547/100</f>
        <v>4.33</v>
      </c>
      <c r="AF547" s="142" t="s">
        <v>3047</v>
      </c>
      <c r="AG547" s="142">
        <f>B547*IBGE_2!AG$547/100</f>
        <v>1.155</v>
      </c>
      <c r="AH547" s="142">
        <f>B547*IBGE_2!AH$547/100</f>
        <v>0.36700000000000005</v>
      </c>
      <c r="AI547" s="142" t="s">
        <v>3047</v>
      </c>
      <c r="AJ547" s="142">
        <f>B547*IBGE_2!AJ$547/100</f>
        <v>3.8719999999999999</v>
      </c>
      <c r="AK547" s="142">
        <f>B547*IBGE_2!AK$547/100</f>
        <v>1.0860000000000001</v>
      </c>
      <c r="AL547" s="142">
        <f>B547*IBGE_2!AL$547/100</f>
        <v>80.441000000000003</v>
      </c>
      <c r="AM547" s="142">
        <f>B547*IBGE_2!AM$547/100</f>
        <v>77.593000000000004</v>
      </c>
      <c r="AN547" s="161"/>
    </row>
    <row r="548" spans="1:40">
      <c r="A548" s="143" t="s">
        <v>1608</v>
      </c>
      <c r="B548" s="141">
        <v>100</v>
      </c>
      <c r="C548" s="142">
        <f>B548*IBGE_2!C$548/100</f>
        <v>388</v>
      </c>
      <c r="D548" s="142">
        <f>B548*IBGE_2!D$548/100</f>
        <v>9.17</v>
      </c>
      <c r="E548" s="142">
        <f>B548*IBGE_2!E$548/100</f>
        <v>5.19</v>
      </c>
      <c r="F548" s="142">
        <f>B548*IBGE_2!F$548/100</f>
        <v>1.62</v>
      </c>
      <c r="G548" s="142">
        <f>B548*IBGE_2!G$548/100</f>
        <v>2.68</v>
      </c>
      <c r="H548" s="142">
        <f>B548*IBGE_2!H$548/100</f>
        <v>0.74</v>
      </c>
      <c r="I548" s="142">
        <f>B548*IBGE_2!I$548/100</f>
        <v>0.69</v>
      </c>
      <c r="J548" s="142">
        <f>B548*IBGE_2!J$548/100</f>
        <v>0.04</v>
      </c>
      <c r="K548" s="142">
        <f>B548*IBGE_2!K$548/100</f>
        <v>5.82</v>
      </c>
      <c r="L548" s="142">
        <f>B548*IBGE_2!L$548/100</f>
        <v>75.13</v>
      </c>
      <c r="M548" s="142">
        <f>B548*IBGE_2!M$548/100</f>
        <v>1.98</v>
      </c>
      <c r="N548" s="142">
        <f>B548*IBGE_2!N$548/100</f>
        <v>1235</v>
      </c>
      <c r="O548" s="142">
        <f>B548*IBGE_2!O$548/100</f>
        <v>71</v>
      </c>
      <c r="P548" s="142">
        <f>B548*IBGE_2!P$548/100</f>
        <v>0.27</v>
      </c>
      <c r="Q548" s="142">
        <f>B548*IBGE_2!Q$548/100</f>
        <v>847</v>
      </c>
      <c r="R548" s="142">
        <f>B548*IBGE_2!R$548/100</f>
        <v>9.52</v>
      </c>
      <c r="S548" s="142">
        <f>B548*IBGE_2!S$548/100</f>
        <v>353</v>
      </c>
      <c r="T548" s="142">
        <f>B548*IBGE_2!T$548/100</f>
        <v>1235</v>
      </c>
      <c r="U548" s="142">
        <f>B548*IBGE_2!U$548/100</f>
        <v>0.32</v>
      </c>
      <c r="V548" s="142">
        <f>B548*IBGE_2!V$548/100</f>
        <v>0.71</v>
      </c>
      <c r="W548" s="142">
        <f>B548*IBGE_2!W$548/100</f>
        <v>529</v>
      </c>
      <c r="X548" s="142">
        <f>B548*IBGE_2!X$548/100</f>
        <v>0.53</v>
      </c>
      <c r="Y548" s="142">
        <f>B548*IBGE_2!Y$548/100</f>
        <v>0.6</v>
      </c>
      <c r="Z548" s="142">
        <f>B548*IBGE_2!Z$548/100</f>
        <v>0.11</v>
      </c>
      <c r="AA548" s="142">
        <f>B548*IBGE_2!AA$548/100</f>
        <v>7.05</v>
      </c>
      <c r="AB548" s="142">
        <f>B548*IBGE_2!AB$548/100</f>
        <v>105.82</v>
      </c>
      <c r="AC548" s="142">
        <f>B548*IBGE_2!AC$548/100</f>
        <v>9.3800000000000008</v>
      </c>
      <c r="AD548" s="142">
        <f>B548*IBGE_2!AD$548/100</f>
        <v>1.32</v>
      </c>
      <c r="AE548" s="145" t="s">
        <v>3047</v>
      </c>
      <c r="AF548" s="142">
        <f>B548*IBGE_2!AF$548/100</f>
        <v>1.92</v>
      </c>
      <c r="AG548" s="142">
        <f>B548*IBGE_2!AG$548/100</f>
        <v>0.04</v>
      </c>
      <c r="AH548" s="142">
        <f>B548*IBGE_2!AH$548/100</f>
        <v>0.99</v>
      </c>
      <c r="AI548" s="142" t="s">
        <v>3047</v>
      </c>
      <c r="AJ548" s="142">
        <f>B548*IBGE_2!AJ$548/100</f>
        <v>1.6</v>
      </c>
      <c r="AK548" s="142">
        <f>B548*IBGE_2!AK$548/100</f>
        <v>529</v>
      </c>
      <c r="AL548" s="142">
        <f>B548*IBGE_2!AL$548/100</f>
        <v>70.81</v>
      </c>
      <c r="AM548" s="142">
        <f>B548*IBGE_2!AM$548/100</f>
        <v>51.34</v>
      </c>
      <c r="AN548" s="161"/>
    </row>
    <row r="549" spans="1:40">
      <c r="A549" s="143" t="s">
        <v>1609</v>
      </c>
      <c r="B549" s="141">
        <v>100</v>
      </c>
      <c r="C549" s="142">
        <f>B549*IBGE_2!C$549/100</f>
        <v>400</v>
      </c>
      <c r="D549" s="142">
        <f>B549*IBGE_2!D$549/100</f>
        <v>4.55</v>
      </c>
      <c r="E549" s="142">
        <f>B549*IBGE_2!E$549/100</f>
        <v>2.27</v>
      </c>
      <c r="F549" s="142">
        <f>B549*IBGE_2!F$549/100</f>
        <v>2.27</v>
      </c>
      <c r="G549" s="142" t="s">
        <v>3047</v>
      </c>
      <c r="H549" s="142" t="s">
        <v>3047</v>
      </c>
      <c r="I549" s="142" t="s">
        <v>3047</v>
      </c>
      <c r="J549" s="142" t="s">
        <v>3047</v>
      </c>
      <c r="K549" s="142" t="s">
        <v>3047</v>
      </c>
      <c r="L549" s="142">
        <f>B549*IBGE_2!L$549/100</f>
        <v>90.28</v>
      </c>
      <c r="M549" s="142">
        <f>B549*IBGE_2!M$549/100</f>
        <v>4.5</v>
      </c>
      <c r="N549" s="142">
        <f>B549*IBGE_2!N$549/100</f>
        <v>455</v>
      </c>
      <c r="O549" s="142">
        <f>B549*IBGE_2!O$549/100</f>
        <v>53</v>
      </c>
      <c r="P549" s="142">
        <f>B549*IBGE_2!P$549/100</f>
        <v>0.71</v>
      </c>
      <c r="Q549" s="142">
        <f>B549*IBGE_2!Q$549/100</f>
        <v>86</v>
      </c>
      <c r="R549" s="142" t="s">
        <v>3047</v>
      </c>
      <c r="S549" s="142">
        <f>B549*IBGE_2!S$549/100</f>
        <v>136</v>
      </c>
      <c r="T549" s="142">
        <f>B549*IBGE_2!T$549/100</f>
        <v>280</v>
      </c>
      <c r="U549" s="142">
        <f>B549*IBGE_2!U$549/100</f>
        <v>0.91</v>
      </c>
      <c r="V549" s="142">
        <f>B549*IBGE_2!V$549/100</f>
        <v>6.82</v>
      </c>
      <c r="W549" s="142" t="s">
        <v>3047</v>
      </c>
      <c r="X549" s="142">
        <f>B549*IBGE_2!X$549/100</f>
        <v>0.01</v>
      </c>
      <c r="Y549" s="142">
        <f>B549*IBGE_2!Y$549/100</f>
        <v>0.06</v>
      </c>
      <c r="Z549" s="142">
        <f>B549*IBGE_2!Z$549/100</f>
        <v>0.91</v>
      </c>
      <c r="AA549" s="142">
        <f>B549*IBGE_2!AA$549/100</f>
        <v>0.2</v>
      </c>
      <c r="AB549" s="142">
        <f>B549*IBGE_2!AB$549/100</f>
        <v>27.3</v>
      </c>
      <c r="AC549" s="142">
        <f>B549*IBGE_2!AC$549/100</f>
        <v>1.33</v>
      </c>
      <c r="AD549" s="145" t="s">
        <v>3047</v>
      </c>
      <c r="AE549" s="142">
        <f>B549*IBGE_2!AE$549/100</f>
        <v>4</v>
      </c>
      <c r="AF549" s="145" t="s">
        <v>3047</v>
      </c>
      <c r="AG549" s="142">
        <f>B549*IBGE_2!AG$549/100</f>
        <v>0.04</v>
      </c>
      <c r="AH549" s="145" t="s">
        <v>3047</v>
      </c>
      <c r="AI549" s="142" t="s">
        <v>3047</v>
      </c>
      <c r="AJ549" s="142">
        <f>B549*IBGE_2!AJ$549/100</f>
        <v>1.9</v>
      </c>
      <c r="AK549" s="145" t="s">
        <v>3047</v>
      </c>
      <c r="AL549" s="142">
        <f>B549*IBGE_2!AL$549/100</f>
        <v>77.39</v>
      </c>
      <c r="AM549" s="142">
        <f>B549*IBGE_2!AM$549/100</f>
        <v>77.239999999999995</v>
      </c>
      <c r="AN549" s="161"/>
    </row>
    <row r="550" spans="1:40">
      <c r="A550" s="143" t="s">
        <v>1610</v>
      </c>
      <c r="B550" s="141">
        <v>100</v>
      </c>
      <c r="C550" s="142">
        <f>B550*IBGE_2!C$550/100</f>
        <v>83.322000000000003</v>
      </c>
      <c r="D550" s="142">
        <f>B550*IBGE_2!D$550/100</f>
        <v>3.1819999999999999</v>
      </c>
      <c r="E550" s="142">
        <f>B550*IBGE_2!E$550/100</f>
        <v>3.403</v>
      </c>
      <c r="F550" s="142">
        <f>B550*IBGE_2!F$550/100</f>
        <v>2.1120000000000001</v>
      </c>
      <c r="G550" s="142">
        <f>B550*IBGE_2!G$550/100</f>
        <v>0.99400000000000011</v>
      </c>
      <c r="H550" s="142">
        <f>B550*IBGE_2!H$550/100</f>
        <v>0.124</v>
      </c>
      <c r="I550" s="142">
        <f>B550*IBGE_2!I$550/100</f>
        <v>7.8E-2</v>
      </c>
      <c r="J550" s="142">
        <f>B550*IBGE_2!J$550/100</f>
        <v>4.5999999999999999E-2</v>
      </c>
      <c r="K550" s="142">
        <f>B550*IBGE_2!K$550/100</f>
        <v>12.047000000000001</v>
      </c>
      <c r="L550" s="142">
        <f>B550*IBGE_2!L$550/100</f>
        <v>10.38</v>
      </c>
      <c r="M550" s="142">
        <f>B550*IBGE_2!M$550/100</f>
        <v>0.80300000000000016</v>
      </c>
      <c r="N550" s="142">
        <f>B550*IBGE_2!N$550/100</f>
        <v>112.435</v>
      </c>
      <c r="O550" s="142">
        <f>B550*IBGE_2!O$550/100</f>
        <v>13.05</v>
      </c>
      <c r="P550" s="142">
        <f>B550*IBGE_2!P$550/100</f>
        <v>7.6999999999999999E-2</v>
      </c>
      <c r="Q550" s="142">
        <f>B550*IBGE_2!Q$550/100</f>
        <v>101.392</v>
      </c>
      <c r="R550" s="142">
        <f>B550*IBGE_2!R$550/100</f>
        <v>0.24099999999999999</v>
      </c>
      <c r="S550" s="142">
        <f>B550*IBGE_2!S$550/100</f>
        <v>60.23299999999999</v>
      </c>
      <c r="T550" s="142">
        <f>B550*IBGE_2!T$550/100</f>
        <v>167.648</v>
      </c>
      <c r="U550" s="142">
        <f>B550*IBGE_2!U$550/100</f>
        <v>6.5000000000000002E-2</v>
      </c>
      <c r="V550" s="142">
        <f>B550*IBGE_2!V$550/100</f>
        <v>0.41199999999999998</v>
      </c>
      <c r="W550" s="142">
        <f>B550*IBGE_2!W$550/100</f>
        <v>26.100999999999999</v>
      </c>
      <c r="X550" s="142">
        <f>B550*IBGE_2!X$550/100</f>
        <v>3.6999999999999998E-2</v>
      </c>
      <c r="Y550" s="142">
        <f>B550*IBGE_2!Y$550/100</f>
        <v>0.16300000000000001</v>
      </c>
      <c r="Z550" s="142">
        <f>B550*IBGE_2!Z$550/100</f>
        <v>0.04</v>
      </c>
      <c r="AA550" s="142">
        <f>B550*IBGE_2!AA$550/100</f>
        <v>0.125</v>
      </c>
      <c r="AB550" s="142">
        <f>B550*IBGE_2!AB$550/100</f>
        <v>0.90300000000000002</v>
      </c>
      <c r="AC550" s="142">
        <f>B550*IBGE_2!AC$550/100</f>
        <v>0.878</v>
      </c>
      <c r="AD550" s="142">
        <f>B550*IBGE_2!AD$550/100</f>
        <v>0.33100000000000002</v>
      </c>
      <c r="AE550" s="142">
        <f>B550*IBGE_2!AE$550/100</f>
        <v>5.0190000000000001</v>
      </c>
      <c r="AF550" s="142">
        <f>B550*IBGE_2!AF$550/100</f>
        <v>1.004</v>
      </c>
      <c r="AG550" s="142">
        <f>B550*IBGE_2!AG$550/100</f>
        <v>0.06</v>
      </c>
      <c r="AH550" s="142">
        <f>B550*IBGE_2!AH$550/100</f>
        <v>0.121</v>
      </c>
      <c r="AI550" s="142" t="s">
        <v>3047</v>
      </c>
      <c r="AJ550" s="142">
        <f>B550*IBGE_2!AJ$550/100</f>
        <v>1.9069999999999998</v>
      </c>
      <c r="AK550" s="142">
        <f>B550*IBGE_2!AK$550/100</f>
        <v>26.518999999999995</v>
      </c>
      <c r="AL550" s="142">
        <f>B550*IBGE_2!AL$550/100</f>
        <v>10.135999999999999</v>
      </c>
      <c r="AM550" s="142">
        <f>B550*IBGE_2!AM$550/100</f>
        <v>5.0890000000000004</v>
      </c>
      <c r="AN550" s="161"/>
    </row>
    <row r="551" spans="1:40">
      <c r="A551" s="143" t="s">
        <v>1611</v>
      </c>
      <c r="B551" s="141">
        <v>100</v>
      </c>
      <c r="C551" s="142">
        <f>B551*IBGE_2!C$551/100</f>
        <v>373</v>
      </c>
      <c r="D551" s="142" t="s">
        <v>3047</v>
      </c>
      <c r="E551" s="142">
        <f>B551*IBGE_2!E$551/100</f>
        <v>0.02</v>
      </c>
      <c r="F551" s="142" t="s">
        <v>3047</v>
      </c>
      <c r="G551" s="142" t="s">
        <v>3047</v>
      </c>
      <c r="H551" s="142" t="s">
        <v>3047</v>
      </c>
      <c r="I551" s="142" t="s">
        <v>3047</v>
      </c>
      <c r="J551" s="142" t="s">
        <v>3047</v>
      </c>
      <c r="K551" s="142" t="s">
        <v>3047</v>
      </c>
      <c r="L551" s="142">
        <f>B551*IBGE_2!L$551/100</f>
        <v>93.18</v>
      </c>
      <c r="M551" s="142" t="s">
        <v>3047</v>
      </c>
      <c r="N551" s="142">
        <f>B551*IBGE_2!N$551/100</f>
        <v>3</v>
      </c>
      <c r="O551" s="142" t="s">
        <v>3047</v>
      </c>
      <c r="P551" s="142" t="s">
        <v>3047</v>
      </c>
      <c r="Q551" s="142" t="s">
        <v>3047</v>
      </c>
      <c r="R551" s="142">
        <f>B551*IBGE_2!R$551/100</f>
        <v>0.01</v>
      </c>
      <c r="S551" s="142">
        <f>B551*IBGE_2!S$551/100</f>
        <v>11</v>
      </c>
      <c r="T551" s="142">
        <f>B551*IBGE_2!T$551/100</f>
        <v>4</v>
      </c>
      <c r="U551" s="142">
        <f>B551*IBGE_2!U$551/100</f>
        <v>3.0000000000000001E-3</v>
      </c>
      <c r="V551" s="142">
        <f>B551*IBGE_2!V$551/100</f>
        <v>0.04</v>
      </c>
      <c r="W551" s="142" t="s">
        <v>3047</v>
      </c>
      <c r="X551" s="142">
        <f>B551*IBGE_2!X$551/100</f>
        <v>5.0000000000000001E-3</v>
      </c>
      <c r="Y551" s="142">
        <f>B551*IBGE_2!Y$551/100</f>
        <v>1.6E-2</v>
      </c>
      <c r="Z551" s="142" t="s">
        <v>3047</v>
      </c>
      <c r="AA551" s="142" t="s">
        <v>3047</v>
      </c>
      <c r="AB551" s="142" t="s">
        <v>3047</v>
      </c>
      <c r="AC551" s="142" t="s">
        <v>3047</v>
      </c>
      <c r="AD551" s="145" t="s">
        <v>3047</v>
      </c>
      <c r="AE551" s="145" t="s">
        <v>3047</v>
      </c>
      <c r="AF551" s="145" t="s">
        <v>3047</v>
      </c>
      <c r="AG551" s="145" t="s">
        <v>3047</v>
      </c>
      <c r="AH551" s="145" t="s">
        <v>3047</v>
      </c>
      <c r="AI551" s="142" t="s">
        <v>3047</v>
      </c>
      <c r="AJ551" s="142">
        <f>B551*IBGE_2!AJ$551/100</f>
        <v>0.6</v>
      </c>
      <c r="AK551" s="145" t="s">
        <v>3047</v>
      </c>
      <c r="AL551" s="142">
        <f>B551*IBGE_2!AL$551/100</f>
        <v>84.442999999999998</v>
      </c>
      <c r="AM551" s="142">
        <f>B551*IBGE_2!AM$551/100</f>
        <v>93.18</v>
      </c>
      <c r="AN551" s="161"/>
    </row>
    <row r="552" spans="1:40">
      <c r="A552" s="143" t="s">
        <v>1612</v>
      </c>
      <c r="B552" s="141">
        <v>100</v>
      </c>
      <c r="C552" s="142">
        <f>B552*IBGE_2!C$552/100</f>
        <v>487.87200000000007</v>
      </c>
      <c r="D552" s="142">
        <f>B552*IBGE_2!D$552/100</f>
        <v>3.5710000000000002</v>
      </c>
      <c r="E552" s="142">
        <f>B552*IBGE_2!E$552/100</f>
        <v>36.259</v>
      </c>
      <c r="F552" s="142">
        <f>B552*IBGE_2!F$552/100</f>
        <v>20.832000000000004</v>
      </c>
      <c r="G552" s="142">
        <f>B552*IBGE_2!G$552/100</f>
        <v>11.775</v>
      </c>
      <c r="H552" s="142">
        <f>B552*IBGE_2!H$552/100</f>
        <v>1.885</v>
      </c>
      <c r="I552" s="142">
        <f>B552*IBGE_2!I$552/100</f>
        <v>1.6930000000000001</v>
      </c>
      <c r="J552" s="142">
        <f>B552*IBGE_2!J$552/100</f>
        <v>0.192</v>
      </c>
      <c r="K552" s="142">
        <f>B552*IBGE_2!K$552/100</f>
        <v>32.317999999999998</v>
      </c>
      <c r="L552" s="142">
        <f>B552*IBGE_2!L$552/100</f>
        <v>49.056999999999995</v>
      </c>
      <c r="M552" s="142">
        <f>B552*IBGE_2!M$552/100</f>
        <v>4.5510000000000002</v>
      </c>
      <c r="N552" s="142">
        <f>B552*IBGE_2!N$552/100</f>
        <v>34.999000000000002</v>
      </c>
      <c r="O552" s="142">
        <f>B552*IBGE_2!O$552/100</f>
        <v>89.786000000000001</v>
      </c>
      <c r="P552" s="142">
        <f>B552*IBGE_2!P$552/100</f>
        <v>0.61799999999999999</v>
      </c>
      <c r="Q552" s="142">
        <f>B552*IBGE_2!Q$552/100</f>
        <v>111.736</v>
      </c>
      <c r="R552" s="142">
        <f>B552*IBGE_2!R$552/100</f>
        <v>2.42</v>
      </c>
      <c r="S552" s="142">
        <f>B552*IBGE_2!S$552/100</f>
        <v>14.32</v>
      </c>
      <c r="T552" s="142">
        <f>B552*IBGE_2!T$552/100</f>
        <v>293.23</v>
      </c>
      <c r="U552" s="142">
        <f>B552*IBGE_2!U$552/100</f>
        <v>0.54200000000000004</v>
      </c>
      <c r="V552" s="142">
        <f>B552*IBGE_2!V$552/100</f>
        <v>1.2869999999999999</v>
      </c>
      <c r="W552" s="142">
        <f>B552*IBGE_2!W$552/100</f>
        <v>97.816999999999993</v>
      </c>
      <c r="X552" s="142">
        <f>B552*IBGE_2!X$552/100</f>
        <v>4.5999999999999999E-2</v>
      </c>
      <c r="Y552" s="142">
        <f>B552*IBGE_2!Y$552/100</f>
        <v>8.5999999999999993E-2</v>
      </c>
      <c r="Z552" s="142">
        <f>B552*IBGE_2!Z$552/100</f>
        <v>3.1E-2</v>
      </c>
      <c r="AA552" s="142">
        <f>B552*IBGE_2!AA$552/100</f>
        <v>0.33700000000000002</v>
      </c>
      <c r="AB552" s="142">
        <f>B552*IBGE_2!AB$552/100</f>
        <v>8.1000000000000003E-2</v>
      </c>
      <c r="AC552" s="142">
        <f>B552*IBGE_2!AC$552/100</f>
        <v>1.2250000000000001</v>
      </c>
      <c r="AD552" s="142">
        <f>B552*IBGE_2!AD$552/100</f>
        <v>3.5000000000000003E-2</v>
      </c>
      <c r="AE552" s="142">
        <f>B552*IBGE_2!AE$552/100</f>
        <v>10.760999999999999</v>
      </c>
      <c r="AF552" s="142">
        <f>B552*IBGE_2!AF$552/100</f>
        <v>0.94399999999999995</v>
      </c>
      <c r="AG552" s="142">
        <f>B552*IBGE_2!AG$552/100</f>
        <v>0.51600000000000001</v>
      </c>
      <c r="AH552" s="142">
        <f>B552*IBGE_2!AH$552/100</f>
        <v>0.88200000000000001</v>
      </c>
      <c r="AI552" s="142" t="s">
        <v>3047</v>
      </c>
      <c r="AJ552" s="142">
        <f>B552*IBGE_2!AJ$552/100</f>
        <v>3.3719999999999999</v>
      </c>
      <c r="AK552" s="142">
        <f>B552*IBGE_2!AK$552/100</f>
        <v>99.472999999999999</v>
      </c>
      <c r="AL552" s="142">
        <f>B552*IBGE_2!AL$552/100</f>
        <v>41.345999999999997</v>
      </c>
      <c r="AM552" s="142">
        <f>B552*IBGE_2!AM$552/100</f>
        <v>40.337000000000003</v>
      </c>
      <c r="AN552" s="161"/>
    </row>
    <row r="553" spans="1:40">
      <c r="A553" s="143" t="s">
        <v>1613</v>
      </c>
      <c r="B553" s="141">
        <v>100</v>
      </c>
      <c r="C553" s="142">
        <f>B553*IBGE_2!C$553/100</f>
        <v>278</v>
      </c>
      <c r="D553" s="142">
        <f>B553*IBGE_2!D$553/100</f>
        <v>0.37</v>
      </c>
      <c r="E553" s="142">
        <f>B553*IBGE_2!E$553/100</f>
        <v>7.0000000000000007E-2</v>
      </c>
      <c r="F553" s="142">
        <f>B553*IBGE_2!F$553/100</f>
        <v>0.01</v>
      </c>
      <c r="G553" s="142">
        <f>B553*IBGE_2!G$553/100</f>
        <v>3.7999999999999999E-2</v>
      </c>
      <c r="H553" s="142" t="s">
        <v>3047</v>
      </c>
      <c r="I553" s="142" t="s">
        <v>3047</v>
      </c>
      <c r="J553" s="142" t="s">
        <v>3047</v>
      </c>
      <c r="K553" s="142" t="s">
        <v>3047</v>
      </c>
      <c r="L553" s="142">
        <f>B553*IBGE_2!L$553/100</f>
        <v>68.86</v>
      </c>
      <c r="M553" s="142">
        <f>B553*IBGE_2!M$553/100</f>
        <v>1.1000000000000001</v>
      </c>
      <c r="N553" s="142">
        <f>B553*IBGE_2!N$553/100</f>
        <v>20</v>
      </c>
      <c r="O553" s="142">
        <f>B553*IBGE_2!O$553/100</f>
        <v>4</v>
      </c>
      <c r="P553" s="142">
        <f>B553*IBGE_2!P$553/100</f>
        <v>0.04</v>
      </c>
      <c r="Q553" s="142">
        <f>B553*IBGE_2!Q$553/100</f>
        <v>19</v>
      </c>
      <c r="R553" s="142">
        <f>B553*IBGE_2!R$553/100</f>
        <v>0.49</v>
      </c>
      <c r="S553" s="142">
        <f>B553*IBGE_2!S$553/100</f>
        <v>32</v>
      </c>
      <c r="T553" s="142">
        <f>B553*IBGE_2!T$553/100</f>
        <v>77</v>
      </c>
      <c r="U553" s="142">
        <f>B553*IBGE_2!U$553/100</f>
        <v>0.1</v>
      </c>
      <c r="V553" s="142">
        <f>B553*IBGE_2!V$553/100</f>
        <v>0.06</v>
      </c>
      <c r="W553" s="142" t="s">
        <v>3047</v>
      </c>
      <c r="X553" s="142">
        <f>B553*IBGE_2!X$553/100</f>
        <v>1.6E-2</v>
      </c>
      <c r="Y553" s="142">
        <f>B553*IBGE_2!Y$553/100</f>
        <v>7.5999999999999998E-2</v>
      </c>
      <c r="Z553" s="142">
        <f>B553*IBGE_2!Z$553/100</f>
        <v>0.02</v>
      </c>
      <c r="AA553" s="142">
        <f>B553*IBGE_2!AA$553/100</f>
        <v>3.5999999999999997E-2</v>
      </c>
      <c r="AB553" s="142">
        <f>B553*IBGE_2!AB$553/100</f>
        <v>8.8000000000000007</v>
      </c>
      <c r="AC553" s="142">
        <f>B553*IBGE_2!AC$553/100</f>
        <v>0.11899999999999998</v>
      </c>
      <c r="AD553" s="145" t="s">
        <v>3047</v>
      </c>
      <c r="AE553" s="142">
        <f>B553*IBGE_2!AE$553/100</f>
        <v>11</v>
      </c>
      <c r="AF553" s="145" t="s">
        <v>3047</v>
      </c>
      <c r="AG553" s="142">
        <f>B553*IBGE_2!AG$553/100</f>
        <v>0.12</v>
      </c>
      <c r="AH553" s="145" t="s">
        <v>3047</v>
      </c>
      <c r="AI553" s="142" t="s">
        <v>3047</v>
      </c>
      <c r="AJ553" s="142">
        <f>B553*IBGE_2!AJ$553/100</f>
        <v>2</v>
      </c>
      <c r="AK553" s="145" t="s">
        <v>3047</v>
      </c>
      <c r="AL553" s="142">
        <f>B553*IBGE_2!AL$553/100</f>
        <v>48.9</v>
      </c>
      <c r="AM553" s="142">
        <f>B553*IBGE_2!AM$553/100</f>
        <v>65.509</v>
      </c>
      <c r="AN553" s="161"/>
    </row>
    <row r="554" spans="1:40">
      <c r="A554" s="143" t="s">
        <v>1614</v>
      </c>
      <c r="B554" s="141">
        <v>100</v>
      </c>
      <c r="C554" s="142">
        <f>B554*IBGE_2!C$554/100</f>
        <v>331.892</v>
      </c>
      <c r="D554" s="142">
        <f>B554*IBGE_2!D$554/100</f>
        <v>5.0910000000000002</v>
      </c>
      <c r="E554" s="142">
        <f>B554*IBGE_2!E$554/100</f>
        <v>21.870999999999999</v>
      </c>
      <c r="F554" s="142">
        <f>B554*IBGE_2!F$554/100</f>
        <v>12.585000000000001</v>
      </c>
      <c r="G554" s="142">
        <f>B554*IBGE_2!G$554/100</f>
        <v>6.9160000000000004</v>
      </c>
      <c r="H554" s="142">
        <f>B554*IBGE_2!H$554/100</f>
        <v>0.94099999999999995</v>
      </c>
      <c r="I554" s="142">
        <f>B554*IBGE_2!I$554/100</f>
        <v>0.75599999999999989</v>
      </c>
      <c r="J554" s="142">
        <f>B554*IBGE_2!J$554/100</f>
        <v>0.13500000000000001</v>
      </c>
      <c r="K554" s="142">
        <f>B554*IBGE_2!K$554/100</f>
        <v>159.21</v>
      </c>
      <c r="L554" s="142">
        <f>B554*IBGE_2!L$554/100</f>
        <v>32.189</v>
      </c>
      <c r="M554" s="142">
        <f>B554*IBGE_2!M$554/100</f>
        <v>1.1830000000000001</v>
      </c>
      <c r="N554" s="142">
        <f>B554*IBGE_2!N$554/100</f>
        <v>49.082000000000001</v>
      </c>
      <c r="O554" s="142">
        <f>B554*IBGE_2!O$554/100</f>
        <v>28.741</v>
      </c>
      <c r="P554" s="142">
        <f>B554*IBGE_2!P$554/100</f>
        <v>0.17</v>
      </c>
      <c r="Q554" s="142">
        <f>B554*IBGE_2!Q$554/100</f>
        <v>97.835999999999999</v>
      </c>
      <c r="R554" s="142">
        <f>B554*IBGE_2!R$554/100</f>
        <v>0.97199999999999998</v>
      </c>
      <c r="S554" s="142">
        <f>B554*IBGE_2!S$554/100</f>
        <v>49.69</v>
      </c>
      <c r="T554" s="142">
        <f>B554*IBGE_2!T$554/100</f>
        <v>214.52</v>
      </c>
      <c r="U554" s="142">
        <f>B554*IBGE_2!U$554/100</f>
        <v>0.14799999999999999</v>
      </c>
      <c r="V554" s="142">
        <f>B554*IBGE_2!V$554/100</f>
        <v>0.71099999999999997</v>
      </c>
      <c r="W554" s="142">
        <f>B554*IBGE_2!W$554/100</f>
        <v>160.19399999999999</v>
      </c>
      <c r="X554" s="142">
        <f>B554*IBGE_2!X$554/100</f>
        <v>3.9E-2</v>
      </c>
      <c r="Y554" s="142">
        <f>B554*IBGE_2!Y$554/100</f>
        <v>0.21099999999999997</v>
      </c>
      <c r="Z554" s="142">
        <f>B554*IBGE_2!Z$554/100</f>
        <v>5.0999999999999997E-2</v>
      </c>
      <c r="AA554" s="142">
        <f>B554*IBGE_2!AA$554/100</f>
        <v>0.12300000000000001</v>
      </c>
      <c r="AB554" s="142">
        <f>B554*IBGE_2!AB$554/100</f>
        <v>0.253</v>
      </c>
      <c r="AC554" s="142">
        <f>B554*IBGE_2!AC$554/100</f>
        <v>1.228</v>
      </c>
      <c r="AD554" s="142">
        <f>B554*IBGE_2!AD$554/100</f>
        <v>0.379</v>
      </c>
      <c r="AE554" s="142">
        <f>B554*IBGE_2!AE$554/100</f>
        <v>15.952</v>
      </c>
      <c r="AF554" s="142">
        <f>B554*IBGE_2!AF$554/100</f>
        <v>0.98</v>
      </c>
      <c r="AG554" s="142">
        <f>B554*IBGE_2!AG$554/100</f>
        <v>0.69699999999999984</v>
      </c>
      <c r="AH554" s="142">
        <f>B554*IBGE_2!AH$554/100</f>
        <v>0.46400000000000008</v>
      </c>
      <c r="AI554" s="142" t="s">
        <v>3047</v>
      </c>
      <c r="AJ554" s="142">
        <f>B554*IBGE_2!AJ$554/100</f>
        <v>9.32</v>
      </c>
      <c r="AK554" s="142">
        <f>B554*IBGE_2!AK$554/100</f>
        <v>162.65899999999999</v>
      </c>
      <c r="AL554" s="142">
        <f>B554*IBGE_2!AL$554/100</f>
        <v>29.837</v>
      </c>
      <c r="AM554" s="142">
        <f>B554*IBGE_2!AM$554/100</f>
        <v>28.135999999999999</v>
      </c>
      <c r="AN554" s="161"/>
    </row>
    <row r="555" spans="1:40">
      <c r="A555" s="143" t="s">
        <v>1615</v>
      </c>
      <c r="B555" s="141">
        <v>100</v>
      </c>
      <c r="C555" s="142">
        <f>B555*IBGE_2!C$555/100</f>
        <v>120.25</v>
      </c>
      <c r="D555" s="142">
        <f>B555*IBGE_2!D$555/100</f>
        <v>3.04</v>
      </c>
      <c r="E555" s="142" t="s">
        <v>3047</v>
      </c>
      <c r="F555" s="142" t="s">
        <v>3047</v>
      </c>
      <c r="G555" s="142" t="s">
        <v>3047</v>
      </c>
      <c r="H555" s="142" t="s">
        <v>3047</v>
      </c>
      <c r="I555" s="142" t="s">
        <v>3047</v>
      </c>
      <c r="J555" s="142" t="s">
        <v>3047</v>
      </c>
      <c r="K555" s="142" t="s">
        <v>3047</v>
      </c>
      <c r="L555" s="142">
        <f>B555*IBGE_2!L$555/100</f>
        <v>27.99</v>
      </c>
      <c r="M555" s="142" t="s">
        <v>3047</v>
      </c>
      <c r="N555" s="142">
        <f>B555*IBGE_2!N$555/100</f>
        <v>4.29</v>
      </c>
      <c r="O555" s="142">
        <f>B555*IBGE_2!O$555/100</f>
        <v>1.47</v>
      </c>
      <c r="P555" s="142" t="s">
        <v>3047</v>
      </c>
      <c r="Q555" s="142">
        <f>B555*IBGE_2!Q$555/100</f>
        <v>1.38</v>
      </c>
      <c r="R555" s="142">
        <f>B555*IBGE_2!R$555/100</f>
        <v>0.04</v>
      </c>
      <c r="S555" s="142">
        <f>B555*IBGE_2!S$555/100</f>
        <v>9.01</v>
      </c>
      <c r="T555" s="142">
        <f>B555*IBGE_2!T$555/100</f>
        <v>1.81</v>
      </c>
      <c r="U555" s="142">
        <f>B555*IBGE_2!U$555/100</f>
        <v>0.08</v>
      </c>
      <c r="V555" s="142" t="s">
        <v>3047</v>
      </c>
      <c r="W555" s="142" t="s">
        <v>3047</v>
      </c>
      <c r="X555" s="142" t="s">
        <v>3047</v>
      </c>
      <c r="Y555" s="142">
        <f>B555*IBGE_2!Y$555/100</f>
        <v>0.01</v>
      </c>
      <c r="Z555" s="142" t="s">
        <v>3047</v>
      </c>
      <c r="AA555" s="142" t="s">
        <v>3047</v>
      </c>
      <c r="AB555" s="142" t="s">
        <v>3047</v>
      </c>
      <c r="AC555" s="142" t="s">
        <v>3047</v>
      </c>
      <c r="AD555" s="142" t="s">
        <v>3047</v>
      </c>
      <c r="AE555" s="142">
        <f>B555*IBGE_2!AE$555/100</f>
        <v>1.07</v>
      </c>
      <c r="AF555" s="142" t="s">
        <v>3047</v>
      </c>
      <c r="AG555" s="145" t="s">
        <v>3047</v>
      </c>
      <c r="AH555" s="142" t="s">
        <v>3047</v>
      </c>
      <c r="AI555" s="142" t="s">
        <v>3047</v>
      </c>
      <c r="AJ555" s="142">
        <f>B555*IBGE_2!AJ$555/100</f>
        <v>1.57</v>
      </c>
      <c r="AK555" s="145" t="s">
        <v>3047</v>
      </c>
      <c r="AL555" s="142">
        <f>B555*IBGE_2!AL$555/100</f>
        <v>27.97</v>
      </c>
      <c r="AM555" s="142">
        <f>B555*IBGE_2!AM$555/100</f>
        <v>27.99</v>
      </c>
      <c r="AN555" s="161"/>
    </row>
    <row r="556" spans="1:40">
      <c r="A556" s="143" t="s">
        <v>1616</v>
      </c>
      <c r="B556" s="141">
        <v>100</v>
      </c>
      <c r="C556" s="142">
        <f>B556*IBGE_2!C$556/100</f>
        <v>291.3</v>
      </c>
      <c r="D556" s="142">
        <f>B556*IBGE_2!D$556/100</f>
        <v>0.77</v>
      </c>
      <c r="E556" s="142">
        <f>B556*IBGE_2!E$556/100</f>
        <v>0.28999999999999998</v>
      </c>
      <c r="F556" s="142">
        <f>B556*IBGE_2!F$556/100</f>
        <v>0.08</v>
      </c>
      <c r="G556" s="142">
        <f>B556*IBGE_2!G$556/100</f>
        <v>0.03</v>
      </c>
      <c r="H556" s="142">
        <f>B556*IBGE_2!H$556/100</f>
        <v>0.12</v>
      </c>
      <c r="I556" s="142">
        <f>B556*IBGE_2!I$556/100</f>
        <v>0.09</v>
      </c>
      <c r="J556" s="142">
        <f>B556*IBGE_2!J$556/100</f>
        <v>0.03</v>
      </c>
      <c r="K556" s="142" t="s">
        <v>3047</v>
      </c>
      <c r="L556" s="142">
        <f>B556*IBGE_2!L$556/100</f>
        <v>74.28</v>
      </c>
      <c r="M556" s="142">
        <f>B556*IBGE_2!M$556/100</f>
        <v>1.62</v>
      </c>
      <c r="N556" s="142">
        <f>B556*IBGE_2!N$556/100</f>
        <v>6.1</v>
      </c>
      <c r="O556" s="142">
        <f>B556*IBGE_2!O$556/100</f>
        <v>6.6</v>
      </c>
      <c r="P556" s="142">
        <f>B556*IBGE_2!P$556/100</f>
        <v>0.05</v>
      </c>
      <c r="Q556" s="142">
        <f>B556*IBGE_2!Q$556/100</f>
        <v>12</v>
      </c>
      <c r="R556" s="142">
        <f>B556*IBGE_2!R$556/100</f>
        <v>0.09</v>
      </c>
      <c r="S556" s="142">
        <f>B556*IBGE_2!S$556/100</f>
        <v>0.6</v>
      </c>
      <c r="T556" s="142">
        <f>B556*IBGE_2!T$556/100</f>
        <v>126.5</v>
      </c>
      <c r="U556" s="142">
        <f>B556*IBGE_2!U$556/100</f>
        <v>7.0000000000000007E-2</v>
      </c>
      <c r="V556" s="142">
        <f>B556*IBGE_2!V$556/100</f>
        <v>7.0000000000000007E-2</v>
      </c>
      <c r="W556" s="142" t="s">
        <v>3047</v>
      </c>
      <c r="X556" s="142">
        <f>B556*IBGE_2!X$556/100</f>
        <v>0.02</v>
      </c>
      <c r="Y556" s="142">
        <f>B556*IBGE_2!Y$556/100</f>
        <v>0.03</v>
      </c>
      <c r="Z556" s="142">
        <f>B556*IBGE_2!Z$556/100</f>
        <v>0.03</v>
      </c>
      <c r="AA556" s="142">
        <f>B556*IBGE_2!AA$556/100</f>
        <v>0.33</v>
      </c>
      <c r="AB556" s="142">
        <f>B556*IBGE_2!AB$556/100</f>
        <v>68.489999999999995</v>
      </c>
      <c r="AC556" s="142">
        <f>B556*IBGE_2!AC$556/100</f>
        <v>0.44</v>
      </c>
      <c r="AD556" s="142" t="s">
        <v>3047</v>
      </c>
      <c r="AE556" s="142">
        <f>B556*IBGE_2!AE$556/100</f>
        <v>14.7</v>
      </c>
      <c r="AF556" s="142" t="s">
        <v>3047</v>
      </c>
      <c r="AG556" s="142">
        <f>B556*IBGE_2!AG$556/100</f>
        <v>0.22</v>
      </c>
      <c r="AH556" s="142" t="s">
        <v>3047</v>
      </c>
      <c r="AI556" s="142" t="s">
        <v>3047</v>
      </c>
      <c r="AJ556" s="142">
        <f>B556*IBGE_2!AJ$556/100</f>
        <v>0.6</v>
      </c>
      <c r="AK556" s="142">
        <f>B556*IBGE_2!AK$556/100</f>
        <v>9.35</v>
      </c>
      <c r="AL556" s="142">
        <f>B556*IBGE_2!AL$556/100</f>
        <v>72.58</v>
      </c>
      <c r="AM556" s="142">
        <f>B556*IBGE_2!AM$556/100</f>
        <v>69.989999999999995</v>
      </c>
      <c r="AN556" s="161"/>
    </row>
    <row r="557" spans="1:40">
      <c r="A557" s="143" t="s">
        <v>1617</v>
      </c>
      <c r="B557" s="141">
        <v>100</v>
      </c>
      <c r="C557" s="142">
        <f>B557*IBGE_2!C$557/100</f>
        <v>588</v>
      </c>
      <c r="D557" s="142">
        <f>B557*IBGE_2!D$557/100</f>
        <v>25.09</v>
      </c>
      <c r="E557" s="142">
        <f>B557*IBGE_2!E$557/100</f>
        <v>50.39</v>
      </c>
      <c r="F557" s="142">
        <f>B557*IBGE_2!F$557/100</f>
        <v>10.51</v>
      </c>
      <c r="G557" s="142">
        <f>B557*IBGE_2!G$557/100</f>
        <v>24.215999999999998</v>
      </c>
      <c r="H557" s="142">
        <f>B557*IBGE_2!H$557/100</f>
        <v>14.161</v>
      </c>
      <c r="I557" s="142">
        <f>B557*IBGE_2!I$557/100</f>
        <v>14.083</v>
      </c>
      <c r="J557" s="142">
        <f>B557*IBGE_2!J$557/100</f>
        <v>7.8E-2</v>
      </c>
      <c r="K557" s="142" t="s">
        <v>3047</v>
      </c>
      <c r="L557" s="142">
        <f>B557*IBGE_2!L$557/100</f>
        <v>19.559999999999999</v>
      </c>
      <c r="M557" s="142">
        <f>B557*IBGE_2!M$557/100</f>
        <v>6</v>
      </c>
      <c r="N557" s="142">
        <f>B557*IBGE_2!N$557/100</f>
        <v>43</v>
      </c>
      <c r="O557" s="142">
        <f>B557*IBGE_2!O$557/100</f>
        <v>154</v>
      </c>
      <c r="P557" s="142">
        <f>B557*IBGE_2!P$557/100</f>
        <v>1.466</v>
      </c>
      <c r="Q557" s="142">
        <f>B557*IBGE_2!Q$557/100</f>
        <v>358</v>
      </c>
      <c r="R557" s="142">
        <f>B557*IBGE_2!R$557/100</f>
        <v>1.87</v>
      </c>
      <c r="S557" s="142">
        <f>B557*IBGE_2!S$557/100</f>
        <v>459</v>
      </c>
      <c r="T557" s="142">
        <f>B557*IBGE_2!T$557/100</f>
        <v>649</v>
      </c>
      <c r="U557" s="142">
        <f>B557*IBGE_2!U$557/100</f>
        <v>0.47299999999999998</v>
      </c>
      <c r="V557" s="142">
        <f>B557*IBGE_2!V$557/100</f>
        <v>2.91</v>
      </c>
      <c r="W557" s="142" t="s">
        <v>3047</v>
      </c>
      <c r="X557" s="142">
        <f>B557*IBGE_2!X$557/100</f>
        <v>7.2999999999999995E-2</v>
      </c>
      <c r="Y557" s="142">
        <f>B557*IBGE_2!Y$557/100</f>
        <v>0.105</v>
      </c>
      <c r="Z557" s="142">
        <f>B557*IBGE_2!Z$557/100</f>
        <v>0.54300000000000004</v>
      </c>
      <c r="AA557" s="142">
        <f>B557*IBGE_2!AA$557/100</f>
        <v>13.402999999999999</v>
      </c>
      <c r="AB557" s="142" t="s">
        <v>3047</v>
      </c>
      <c r="AC557" s="142">
        <f>B557*IBGE_2!AC$557/100</f>
        <v>17.186</v>
      </c>
      <c r="AD557" s="142" t="s">
        <v>3047</v>
      </c>
      <c r="AE557" s="142">
        <f>B557*IBGE_2!AE$557/100</f>
        <v>74</v>
      </c>
      <c r="AF557" s="142" t="s">
        <v>3047</v>
      </c>
      <c r="AG557" s="142">
        <f>B557*IBGE_2!AG$557/100</f>
        <v>8.99</v>
      </c>
      <c r="AH557" s="142" t="s">
        <v>3047</v>
      </c>
      <c r="AI557" s="142" t="s">
        <v>3047</v>
      </c>
      <c r="AJ557" s="142">
        <f>B557*IBGE_2!AJ$557/100</f>
        <v>5.6</v>
      </c>
      <c r="AK557" s="145" t="s">
        <v>3047</v>
      </c>
      <c r="AL557" s="142">
        <f>B557*IBGE_2!AL$557/100</f>
        <v>9.2200000000000006</v>
      </c>
      <c r="AM557" s="142">
        <f>B557*IBGE_2!AM$557/100</f>
        <v>4.899</v>
      </c>
      <c r="AN557" s="161"/>
    </row>
    <row r="558" spans="1:40">
      <c r="A558" s="143" t="s">
        <v>1618</v>
      </c>
      <c r="B558" s="141">
        <v>100</v>
      </c>
      <c r="C558" s="142">
        <f>B558*IBGE_2!C$558/100</f>
        <v>77</v>
      </c>
      <c r="D558" s="142">
        <f>B558*IBGE_2!D$558/100</f>
        <v>0.54</v>
      </c>
      <c r="E558" s="142">
        <f>B558*IBGE_2!E$558/100</f>
        <v>0.14000000000000001</v>
      </c>
      <c r="F558" s="142" t="s">
        <v>3047</v>
      </c>
      <c r="G558" s="142">
        <f>B558*IBGE_2!G$558/100</f>
        <v>0.02</v>
      </c>
      <c r="H558" s="142">
        <f>B558*IBGE_2!H$558/100</f>
        <v>0.02</v>
      </c>
      <c r="I558" s="142">
        <f>B558*IBGE_2!I$558/100</f>
        <v>0.02</v>
      </c>
      <c r="J558" s="142" t="s">
        <v>3047</v>
      </c>
      <c r="K558" s="142" t="s">
        <v>3047</v>
      </c>
      <c r="L558" s="142">
        <f>B558*IBGE_2!L$558/100</f>
        <v>19.79</v>
      </c>
      <c r="M558" s="142">
        <f>B558*IBGE_2!M$558/100</f>
        <v>2.2000000000000002</v>
      </c>
      <c r="N558" s="142">
        <f>B558*IBGE_2!N$558/100</f>
        <v>3</v>
      </c>
      <c r="O558" s="142">
        <f>B558*IBGE_2!O$558/100</f>
        <v>5</v>
      </c>
      <c r="P558" s="142">
        <f>B558*IBGE_2!P$558/100</f>
        <v>0.05</v>
      </c>
      <c r="Q558" s="142">
        <f>B558*IBGE_2!Q$558/100</f>
        <v>12</v>
      </c>
      <c r="R558" s="142">
        <f>B558*IBGE_2!R$558/100</f>
        <v>0.27</v>
      </c>
      <c r="S558" s="142">
        <f>B558*IBGE_2!S$558/100</f>
        <v>6</v>
      </c>
      <c r="T558" s="142">
        <f>B558*IBGE_2!T$558/100</f>
        <v>94</v>
      </c>
      <c r="U558" s="142">
        <f>B558*IBGE_2!U$558/100</f>
        <v>0.06</v>
      </c>
      <c r="V558" s="142">
        <f>B558*IBGE_2!V$558/100</f>
        <v>0.09</v>
      </c>
      <c r="W558" s="142" t="s">
        <v>3047</v>
      </c>
      <c r="X558" s="142">
        <f>B558*IBGE_2!X$558/100</f>
        <v>0.01</v>
      </c>
      <c r="Y558" s="142">
        <f>B558*IBGE_2!Y$558/100</f>
        <v>0.03</v>
      </c>
      <c r="Z558" s="142">
        <f>B558*IBGE_2!Z$558/100</f>
        <v>0.02</v>
      </c>
      <c r="AA558" s="142">
        <f>B558*IBGE_2!AA$558/100</f>
        <v>0.61</v>
      </c>
      <c r="AB558" s="142">
        <f>B558*IBGE_2!AB$558/100</f>
        <v>2.8</v>
      </c>
      <c r="AC558" s="142">
        <f>B558*IBGE_2!AC$558/100</f>
        <v>0.63</v>
      </c>
      <c r="AD558" s="142" t="s">
        <v>3047</v>
      </c>
      <c r="AE558" s="142">
        <f>B558*IBGE_2!AE$558/100</f>
        <v>3</v>
      </c>
      <c r="AF558" s="142" t="s">
        <v>3047</v>
      </c>
      <c r="AG558" s="142">
        <f>B558*IBGE_2!AG$558/100</f>
        <v>0.73</v>
      </c>
      <c r="AH558" s="142" t="s">
        <v>3047</v>
      </c>
      <c r="AI558" s="142" t="s">
        <v>3047</v>
      </c>
      <c r="AJ558" s="142">
        <f>B558*IBGE_2!AJ$558/100</f>
        <v>0.3</v>
      </c>
      <c r="AK558" s="142">
        <f>B558*IBGE_2!AK$558/100</f>
        <v>38.17</v>
      </c>
      <c r="AL558" s="142">
        <f>B558*IBGE_2!AL$558/100</f>
        <v>16.059999999999999</v>
      </c>
      <c r="AM558" s="142">
        <f>B558*IBGE_2!AM$558/100</f>
        <v>11.21</v>
      </c>
      <c r="AN558" s="161"/>
    </row>
    <row r="559" spans="1:40">
      <c r="A559" s="143" t="s">
        <v>1619</v>
      </c>
      <c r="B559" s="141">
        <v>100</v>
      </c>
      <c r="C559" s="142">
        <f>B559*IBGE_2!C$559/100</f>
        <v>278</v>
      </c>
      <c r="D559" s="142">
        <f>B559*IBGE_2!D$559/100</f>
        <v>0.37</v>
      </c>
      <c r="E559" s="142">
        <f>B559*IBGE_2!E$559/100</f>
        <v>7.0000000000000007E-2</v>
      </c>
      <c r="F559" s="142">
        <f>B559*IBGE_2!F$559/100</f>
        <v>0.01</v>
      </c>
      <c r="G559" s="142">
        <f>B559*IBGE_2!G$559/100</f>
        <v>0.04</v>
      </c>
      <c r="H559" s="142" t="s">
        <v>3047</v>
      </c>
      <c r="I559" s="142" t="s">
        <v>3047</v>
      </c>
      <c r="J559" s="142" t="s">
        <v>3047</v>
      </c>
      <c r="K559" s="142" t="s">
        <v>3047</v>
      </c>
      <c r="L559" s="142">
        <f>B559*IBGE_2!L$559/100</f>
        <v>68.86</v>
      </c>
      <c r="M559" s="142">
        <f>B559*IBGE_2!M$559/100</f>
        <v>1.1000000000000001</v>
      </c>
      <c r="N559" s="142">
        <f>B559*IBGE_2!N$559/100</f>
        <v>20</v>
      </c>
      <c r="O559" s="142">
        <f>B559*IBGE_2!O$559/100</f>
        <v>4</v>
      </c>
      <c r="P559" s="142">
        <f>B559*IBGE_2!P$559/100</f>
        <v>0.04</v>
      </c>
      <c r="Q559" s="142">
        <f>B559*IBGE_2!Q$559/100</f>
        <v>19</v>
      </c>
      <c r="R559" s="142">
        <f>B559*IBGE_2!R$559/100</f>
        <v>0.49</v>
      </c>
      <c r="S559" s="142">
        <f>B559*IBGE_2!S$559/100</f>
        <v>32</v>
      </c>
      <c r="T559" s="142">
        <f>B559*IBGE_2!T$559/100</f>
        <v>77</v>
      </c>
      <c r="U559" s="142">
        <f>B559*IBGE_2!U$559/100</f>
        <v>0.1</v>
      </c>
      <c r="V559" s="142">
        <f>B559*IBGE_2!V$559/100</f>
        <v>0.06</v>
      </c>
      <c r="W559" s="142" t="s">
        <v>3047</v>
      </c>
      <c r="X559" s="142">
        <f>B559*IBGE_2!X$559/100</f>
        <v>0.02</v>
      </c>
      <c r="Y559" s="142">
        <f>B559*IBGE_2!Y$559/100</f>
        <v>0.08</v>
      </c>
      <c r="Z559" s="142">
        <f>B559*IBGE_2!Z$559/100</f>
        <v>0.02</v>
      </c>
      <c r="AA559" s="142">
        <f>B559*IBGE_2!AA$559/100</f>
        <v>0.04</v>
      </c>
      <c r="AB559" s="142">
        <f>B559*IBGE_2!AB$559/100</f>
        <v>8.8000000000000007</v>
      </c>
      <c r="AC559" s="142">
        <f>B559*IBGE_2!AC$559/100</f>
        <v>0.12</v>
      </c>
      <c r="AD559" s="142" t="s">
        <v>3047</v>
      </c>
      <c r="AE559" s="142">
        <f>B559*IBGE_2!AE$559/100</f>
        <v>11</v>
      </c>
      <c r="AF559" s="142" t="s">
        <v>3047</v>
      </c>
      <c r="AG559" s="142">
        <f>B559*IBGE_2!AG$559/100</f>
        <v>0.12</v>
      </c>
      <c r="AH559" s="142" t="s">
        <v>3047</v>
      </c>
      <c r="AI559" s="142" t="s">
        <v>3047</v>
      </c>
      <c r="AJ559" s="142">
        <f>B559*IBGE_2!AJ$559/100</f>
        <v>2</v>
      </c>
      <c r="AK559" s="145" t="s">
        <v>3047</v>
      </c>
      <c r="AL559" s="142">
        <f>B559*IBGE_2!AL$559/100</f>
        <v>48.9</v>
      </c>
      <c r="AM559" s="142">
        <f>B559*IBGE_2!AM$559/100</f>
        <v>65.510000000000005</v>
      </c>
      <c r="AN559" s="161"/>
    </row>
    <row r="560" spans="1:40">
      <c r="A560" s="143" t="s">
        <v>1620</v>
      </c>
      <c r="B560" s="141">
        <v>100</v>
      </c>
      <c r="C560" s="142">
        <f>B560*IBGE_2!C$560/100</f>
        <v>88</v>
      </c>
      <c r="D560" s="142">
        <f>B560*IBGE_2!D$560/100</f>
        <v>0.38</v>
      </c>
      <c r="E560" s="142">
        <f>B560*IBGE_2!E$560/100</f>
        <v>0.1</v>
      </c>
      <c r="F560" s="142">
        <f>B560*IBGE_2!F$560/100</f>
        <v>0.02</v>
      </c>
      <c r="G560" s="142">
        <f>B560*IBGE_2!G$560/100</f>
        <v>0.02</v>
      </c>
      <c r="H560" s="142">
        <f>B560*IBGE_2!H$560/100</f>
        <v>0.05</v>
      </c>
      <c r="I560" s="142">
        <f>B560*IBGE_2!I$560/100</f>
        <v>0.05</v>
      </c>
      <c r="J560" s="142" t="s">
        <v>3047</v>
      </c>
      <c r="K560" s="142" t="s">
        <v>3047</v>
      </c>
      <c r="L560" s="142">
        <f>B560*IBGE_2!L$560/100</f>
        <v>22.9</v>
      </c>
      <c r="M560" s="142">
        <f>B560*IBGE_2!M$560/100</f>
        <v>2.2000000000000002</v>
      </c>
      <c r="N560" s="142">
        <f>B560*IBGE_2!N$560/100</f>
        <v>27</v>
      </c>
      <c r="O560" s="142">
        <f>B560*IBGE_2!O$560/100</f>
        <v>10</v>
      </c>
      <c r="P560" s="142">
        <f>B560*IBGE_2!P$560/100</f>
        <v>0.08</v>
      </c>
      <c r="Q560" s="142">
        <f>B560*IBGE_2!Q$560/100</f>
        <v>10</v>
      </c>
      <c r="R560" s="142">
        <f>B560*IBGE_2!R$560/100</f>
        <v>0.28000000000000003</v>
      </c>
      <c r="S560" s="142">
        <f>B560*IBGE_2!S$560/100</f>
        <v>1</v>
      </c>
      <c r="T560" s="142">
        <f>B560*IBGE_2!T$560/100</f>
        <v>99</v>
      </c>
      <c r="U560" s="142">
        <f>B560*IBGE_2!U$560/100</f>
        <v>0.11</v>
      </c>
      <c r="V560" s="142">
        <f>B560*IBGE_2!V$560/100</f>
        <v>0.11</v>
      </c>
      <c r="W560" s="142" t="s">
        <v>3047</v>
      </c>
      <c r="X560" s="142">
        <f>B560*IBGE_2!X$560/100</f>
        <v>0.02</v>
      </c>
      <c r="Y560" s="142">
        <f>B560*IBGE_2!Y$560/100</f>
        <v>0.04</v>
      </c>
      <c r="Z560" s="142">
        <f>B560*IBGE_2!Z$560/100</f>
        <v>7.0000000000000007E-2</v>
      </c>
      <c r="AA560" s="142">
        <f>B560*IBGE_2!AA$560/100</f>
        <v>0.43</v>
      </c>
      <c r="AB560" s="142">
        <f>B560*IBGE_2!AB$560/100</f>
        <v>1</v>
      </c>
      <c r="AC560" s="142">
        <f>B560*IBGE_2!AC$560/100</f>
        <v>0.48</v>
      </c>
      <c r="AD560" s="142" t="s">
        <v>3047</v>
      </c>
      <c r="AE560" s="142">
        <f>B560*IBGE_2!AE$560/100</f>
        <v>2</v>
      </c>
      <c r="AF560" s="142" t="s">
        <v>3047</v>
      </c>
      <c r="AG560" s="142">
        <f>B560*IBGE_2!AG$560/100</f>
        <v>0.12</v>
      </c>
      <c r="AH560" s="142" t="s">
        <v>3047</v>
      </c>
      <c r="AI560" s="142" t="s">
        <v>3047</v>
      </c>
      <c r="AJ560" s="142">
        <f>B560*IBGE_2!AJ$560/100</f>
        <v>0.2</v>
      </c>
      <c r="AK560" s="142">
        <f>B560*IBGE_2!AK$560/100</f>
        <v>1.83</v>
      </c>
      <c r="AL560" s="142">
        <f>B560*IBGE_2!AL$560/100</f>
        <v>16.75</v>
      </c>
      <c r="AM560" s="142">
        <f>B560*IBGE_2!AM$560/100</f>
        <v>13.3</v>
      </c>
      <c r="AN560" s="161"/>
    </row>
    <row r="561" spans="1:40">
      <c r="A561" s="143" t="s">
        <v>1621</v>
      </c>
      <c r="B561" s="141">
        <v>100</v>
      </c>
      <c r="C561" s="142">
        <f>B561*IBGE_2!C$561/100</f>
        <v>291.3</v>
      </c>
      <c r="D561" s="142">
        <f>B561*IBGE_2!D$561/100</f>
        <v>0.77</v>
      </c>
      <c r="E561" s="142">
        <f>B561*IBGE_2!E$561/100</f>
        <v>0.28999999999999998</v>
      </c>
      <c r="F561" s="142">
        <f>B561*IBGE_2!F$561/100</f>
        <v>0.08</v>
      </c>
      <c r="G561" s="142">
        <f>B561*IBGE_2!G$561/100</f>
        <v>0.03</v>
      </c>
      <c r="H561" s="142">
        <f>B561*IBGE_2!H$561/100</f>
        <v>0.12</v>
      </c>
      <c r="I561" s="142">
        <f>B561*IBGE_2!I$561/100</f>
        <v>0.09</v>
      </c>
      <c r="J561" s="142">
        <f>B561*IBGE_2!J$561/100</f>
        <v>0.03</v>
      </c>
      <c r="K561" s="142" t="s">
        <v>3047</v>
      </c>
      <c r="L561" s="142">
        <f>B561*IBGE_2!L$561/100</f>
        <v>74.28</v>
      </c>
      <c r="M561" s="142">
        <f>B561*IBGE_2!M$561/100</f>
        <v>1.62</v>
      </c>
      <c r="N561" s="142">
        <f>B561*IBGE_2!N$561/100</f>
        <v>6.1</v>
      </c>
      <c r="O561" s="142">
        <f>B561*IBGE_2!O$561/100</f>
        <v>6.6</v>
      </c>
      <c r="P561" s="142">
        <f>B561*IBGE_2!P$561/100</f>
        <v>0.05</v>
      </c>
      <c r="Q561" s="142">
        <f>B561*IBGE_2!Q$561/100</f>
        <v>12</v>
      </c>
      <c r="R561" s="142">
        <f>B561*IBGE_2!R$561/100</f>
        <v>0.09</v>
      </c>
      <c r="S561" s="142">
        <f>B561*IBGE_2!S$561/100</f>
        <v>0.6</v>
      </c>
      <c r="T561" s="142">
        <f>B561*IBGE_2!T$561/100</f>
        <v>126.5</v>
      </c>
      <c r="U561" s="142">
        <f>B561*IBGE_2!U$561/100</f>
        <v>7.0000000000000007E-2</v>
      </c>
      <c r="V561" s="142">
        <f>B561*IBGE_2!V$561/100</f>
        <v>7.0000000000000007E-2</v>
      </c>
      <c r="W561" s="142" t="s">
        <v>3047</v>
      </c>
      <c r="X561" s="142">
        <f>B561*IBGE_2!X$561/100</f>
        <v>0.02</v>
      </c>
      <c r="Y561" s="142">
        <f>B561*IBGE_2!Y$561/100</f>
        <v>0.03</v>
      </c>
      <c r="Z561" s="142">
        <f>B561*IBGE_2!Z$561/100</f>
        <v>0.03</v>
      </c>
      <c r="AA561" s="142">
        <f>B561*IBGE_2!AA$561/100</f>
        <v>0.33</v>
      </c>
      <c r="AB561" s="142">
        <f>B561*IBGE_2!AB$561/100</f>
        <v>68.489999999999995</v>
      </c>
      <c r="AC561" s="142">
        <f>B561*IBGE_2!AC$561/100</f>
        <v>0.44</v>
      </c>
      <c r="AD561" s="142" t="s">
        <v>3047</v>
      </c>
      <c r="AE561" s="142">
        <f>B561*IBGE_2!AE$561/100</f>
        <v>14.7</v>
      </c>
      <c r="AF561" s="142" t="s">
        <v>3047</v>
      </c>
      <c r="AG561" s="142">
        <f>B561*IBGE_2!AG$561/100</f>
        <v>0.22</v>
      </c>
      <c r="AH561" s="142" t="s">
        <v>3047</v>
      </c>
      <c r="AI561" s="142" t="s">
        <v>3047</v>
      </c>
      <c r="AJ561" s="142">
        <f>B561*IBGE_2!AJ$561/100</f>
        <v>0.6</v>
      </c>
      <c r="AK561" s="142">
        <f>B561*IBGE_2!AK$561/100</f>
        <v>9.35</v>
      </c>
      <c r="AL561" s="142">
        <f>B561*IBGE_2!AL$561/100</f>
        <v>72.58</v>
      </c>
      <c r="AM561" s="142">
        <f>B561*IBGE_2!AM$561/100</f>
        <v>69.989999999999995</v>
      </c>
      <c r="AN561" s="161"/>
    </row>
    <row r="562" spans="1:40">
      <c r="A562" s="143" t="s">
        <v>1622</v>
      </c>
      <c r="B562" s="141">
        <v>100</v>
      </c>
      <c r="C562" s="142">
        <f>B562*IBGE_2!C$562/100</f>
        <v>291.3</v>
      </c>
      <c r="D562" s="142">
        <f>B562*IBGE_2!D$562/100</f>
        <v>0.77</v>
      </c>
      <c r="E562" s="142">
        <f>B562*IBGE_2!E$562/100</f>
        <v>0.28999999999999998</v>
      </c>
      <c r="F562" s="142">
        <f>B562*IBGE_2!F$562/100</f>
        <v>0.08</v>
      </c>
      <c r="G562" s="142">
        <f>B562*IBGE_2!G$562/100</f>
        <v>0.03</v>
      </c>
      <c r="H562" s="142">
        <f>B562*IBGE_2!H$562/100</f>
        <v>0.12</v>
      </c>
      <c r="I562" s="142">
        <f>B562*IBGE_2!I$562/100</f>
        <v>0.09</v>
      </c>
      <c r="J562" s="142">
        <f>B562*IBGE_2!J$562/100</f>
        <v>0.03</v>
      </c>
      <c r="K562" s="142" t="s">
        <v>3047</v>
      </c>
      <c r="L562" s="142">
        <f>B562*IBGE_2!L$562/100</f>
        <v>74.28</v>
      </c>
      <c r="M562" s="142">
        <f>B562*IBGE_2!M$562/100</f>
        <v>1.62</v>
      </c>
      <c r="N562" s="142">
        <f>B562*IBGE_2!N$562/100</f>
        <v>6.1</v>
      </c>
      <c r="O562" s="142">
        <f>B562*IBGE_2!O$562/100</f>
        <v>6.6</v>
      </c>
      <c r="P562" s="142">
        <f>B562*IBGE_2!P$562/100</f>
        <v>0.05</v>
      </c>
      <c r="Q562" s="142">
        <f>B562*IBGE_2!Q$562/100</f>
        <v>12</v>
      </c>
      <c r="R562" s="142">
        <f>B562*IBGE_2!R$562/100</f>
        <v>0.09</v>
      </c>
      <c r="S562" s="142">
        <f>B562*IBGE_2!S$562/100</f>
        <v>0.6</v>
      </c>
      <c r="T562" s="142">
        <f>B562*IBGE_2!T$562/100</f>
        <v>126.5</v>
      </c>
      <c r="U562" s="142">
        <f>B562*IBGE_2!U$562/100</f>
        <v>7.0000000000000007E-2</v>
      </c>
      <c r="V562" s="142">
        <f>B562*IBGE_2!V$562/100</f>
        <v>7.0000000000000007E-2</v>
      </c>
      <c r="W562" s="142" t="s">
        <v>3047</v>
      </c>
      <c r="X562" s="142">
        <f>B562*IBGE_2!X$562/100</f>
        <v>0.02</v>
      </c>
      <c r="Y562" s="142">
        <f>B562*IBGE_2!Y$562/100</f>
        <v>0.03</v>
      </c>
      <c r="Z562" s="142">
        <f>B562*IBGE_2!Z$562/100</f>
        <v>0.03</v>
      </c>
      <c r="AA562" s="142">
        <f>B562*IBGE_2!AA$562/100</f>
        <v>0.33</v>
      </c>
      <c r="AB562" s="142">
        <f>B562*IBGE_2!AB$562/100</f>
        <v>68.489999999999995</v>
      </c>
      <c r="AC562" s="142">
        <f>B562*IBGE_2!AC$562/100</f>
        <v>0.44</v>
      </c>
      <c r="AD562" s="142" t="s">
        <v>3047</v>
      </c>
      <c r="AE562" s="142">
        <f>B562*IBGE_2!AE$562/100</f>
        <v>14.7</v>
      </c>
      <c r="AF562" s="142" t="s">
        <v>3047</v>
      </c>
      <c r="AG562" s="142">
        <f>B562*IBGE_2!AG$562/100</f>
        <v>0.22</v>
      </c>
      <c r="AH562" s="142" t="s">
        <v>3047</v>
      </c>
      <c r="AI562" s="142" t="s">
        <v>3047</v>
      </c>
      <c r="AJ562" s="142">
        <f>B562*IBGE_2!AJ$562/100</f>
        <v>0.6</v>
      </c>
      <c r="AK562" s="142">
        <f>B562*IBGE_2!AK$562/100</f>
        <v>9.35</v>
      </c>
      <c r="AL562" s="142">
        <f>B562*IBGE_2!AL$562/100</f>
        <v>72.58</v>
      </c>
      <c r="AM562" s="142">
        <f>B562*IBGE_2!AM$562/100</f>
        <v>69.989999999999995</v>
      </c>
      <c r="AN562" s="161"/>
    </row>
    <row r="563" spans="1:40">
      <c r="A563" s="143" t="s">
        <v>1623</v>
      </c>
      <c r="B563" s="141">
        <v>100</v>
      </c>
      <c r="C563" s="142">
        <f>B563*IBGE_2!C$563/100</f>
        <v>291.3</v>
      </c>
      <c r="D563" s="142">
        <f>B563*IBGE_2!D$563/100</f>
        <v>0.77</v>
      </c>
      <c r="E563" s="142">
        <f>B563*IBGE_2!E$563/100</f>
        <v>0.28999999999999998</v>
      </c>
      <c r="F563" s="142">
        <f>B563*IBGE_2!F$563/100</f>
        <v>0.08</v>
      </c>
      <c r="G563" s="142">
        <f>B563*IBGE_2!G$563/100</f>
        <v>0.03</v>
      </c>
      <c r="H563" s="142">
        <f>B563*IBGE_2!H$563/100</f>
        <v>0.12</v>
      </c>
      <c r="I563" s="142">
        <f>B563*IBGE_2!I$563/100</f>
        <v>0.09</v>
      </c>
      <c r="J563" s="142">
        <f>B563*IBGE_2!J$563/100</f>
        <v>0.03</v>
      </c>
      <c r="K563" s="142" t="s">
        <v>3047</v>
      </c>
      <c r="L563" s="142">
        <f>B563*IBGE_2!L$563/100</f>
        <v>74.28</v>
      </c>
      <c r="M563" s="142">
        <f>B563*IBGE_2!M$563/100</f>
        <v>1.62</v>
      </c>
      <c r="N563" s="142">
        <f>B563*IBGE_2!N$563/100</f>
        <v>6.1</v>
      </c>
      <c r="O563" s="142">
        <f>B563*IBGE_2!O$563/100</f>
        <v>6.6</v>
      </c>
      <c r="P563" s="142">
        <f>B563*IBGE_2!P$563/100</f>
        <v>0.05</v>
      </c>
      <c r="Q563" s="142">
        <f>B563*IBGE_2!Q$563/100</f>
        <v>12</v>
      </c>
      <c r="R563" s="142">
        <f>B563*IBGE_2!R$563/100</f>
        <v>0.09</v>
      </c>
      <c r="S563" s="142">
        <f>B563*IBGE_2!S$563/100</f>
        <v>0.6</v>
      </c>
      <c r="T563" s="142">
        <f>B563*IBGE_2!T$563/100</f>
        <v>126.5</v>
      </c>
      <c r="U563" s="142">
        <f>B563*IBGE_2!U$563/100</f>
        <v>7.0000000000000007E-2</v>
      </c>
      <c r="V563" s="142">
        <f>B563*IBGE_2!V$563/100</f>
        <v>7.0000000000000007E-2</v>
      </c>
      <c r="W563" s="142" t="s">
        <v>3047</v>
      </c>
      <c r="X563" s="142">
        <f>B563*IBGE_2!X$563/100</f>
        <v>0.02</v>
      </c>
      <c r="Y563" s="142">
        <f>B563*IBGE_2!Y$563/100</f>
        <v>0.03</v>
      </c>
      <c r="Z563" s="142">
        <f>B563*IBGE_2!Z$563/100</f>
        <v>0.03</v>
      </c>
      <c r="AA563" s="142">
        <f>B563*IBGE_2!AA$563/100</f>
        <v>0.33</v>
      </c>
      <c r="AB563" s="142">
        <f>B563*IBGE_2!AB$563/100</f>
        <v>68.489999999999995</v>
      </c>
      <c r="AC563" s="142">
        <f>B563*IBGE_2!AC$563/100</f>
        <v>0.44</v>
      </c>
      <c r="AD563" s="142" t="s">
        <v>3047</v>
      </c>
      <c r="AE563" s="142">
        <f>B563*IBGE_2!AE$563/100</f>
        <v>14.7</v>
      </c>
      <c r="AF563" s="142" t="s">
        <v>3047</v>
      </c>
      <c r="AG563" s="142">
        <f>B563*IBGE_2!AG$563/100</f>
        <v>0.22</v>
      </c>
      <c r="AH563" s="142" t="s">
        <v>3047</v>
      </c>
      <c r="AI563" s="142" t="s">
        <v>3047</v>
      </c>
      <c r="AJ563" s="142">
        <f>B563*IBGE_2!AJ$563/100</f>
        <v>0.6</v>
      </c>
      <c r="AK563" s="142">
        <f>B563*IBGE_2!AK$563/100</f>
        <v>9.35</v>
      </c>
      <c r="AL563" s="142">
        <f>B563*IBGE_2!AL$563/100</f>
        <v>72.58</v>
      </c>
      <c r="AM563" s="142">
        <f>B563*IBGE_2!AM$563/100</f>
        <v>69.989999999999995</v>
      </c>
      <c r="AN563" s="161"/>
    </row>
    <row r="564" spans="1:40">
      <c r="A564" s="143" t="s">
        <v>1624</v>
      </c>
      <c r="B564" s="141">
        <v>100</v>
      </c>
      <c r="C564" s="142">
        <f>B564*IBGE_2!C$564/100</f>
        <v>77</v>
      </c>
      <c r="D564" s="142">
        <f>B564*IBGE_2!D$564/100</f>
        <v>0.54</v>
      </c>
      <c r="E564" s="142">
        <f>B564*IBGE_2!E$564/100</f>
        <v>0.14000000000000001</v>
      </c>
      <c r="F564" s="142" t="s">
        <v>3047</v>
      </c>
      <c r="G564" s="142">
        <f>B564*IBGE_2!G$564/100</f>
        <v>0.02</v>
      </c>
      <c r="H564" s="142">
        <f>B564*IBGE_2!H$564/100</f>
        <v>0.02</v>
      </c>
      <c r="I564" s="142">
        <f>B564*IBGE_2!I$564/100</f>
        <v>0.02</v>
      </c>
      <c r="J564" s="142" t="s">
        <v>3047</v>
      </c>
      <c r="K564" s="142" t="s">
        <v>3047</v>
      </c>
      <c r="L564" s="142">
        <f>B564*IBGE_2!L$564/100</f>
        <v>19.79</v>
      </c>
      <c r="M564" s="142">
        <f>B564*IBGE_2!M$564/100</f>
        <v>2.2000000000000002</v>
      </c>
      <c r="N564" s="142">
        <f>B564*IBGE_2!N$564/100</f>
        <v>3</v>
      </c>
      <c r="O564" s="142">
        <f>B564*IBGE_2!O$564/100</f>
        <v>5</v>
      </c>
      <c r="P564" s="142">
        <f>B564*IBGE_2!P$564/100</f>
        <v>0.05</v>
      </c>
      <c r="Q564" s="142">
        <f>B564*IBGE_2!Q$564/100</f>
        <v>12</v>
      </c>
      <c r="R564" s="142">
        <f>B564*IBGE_2!R$564/100</f>
        <v>0.27</v>
      </c>
      <c r="S564" s="142">
        <f>B564*IBGE_2!S$564/100</f>
        <v>6</v>
      </c>
      <c r="T564" s="142">
        <f>B564*IBGE_2!T$564/100</f>
        <v>94</v>
      </c>
      <c r="U564" s="142">
        <f>B564*IBGE_2!U$564/100</f>
        <v>0.06</v>
      </c>
      <c r="V564" s="142">
        <f>B564*IBGE_2!V$564/100</f>
        <v>0.09</v>
      </c>
      <c r="W564" s="142" t="s">
        <v>3047</v>
      </c>
      <c r="X564" s="142">
        <f>B564*IBGE_2!X$564/100</f>
        <v>0.01</v>
      </c>
      <c r="Y564" s="142">
        <f>B564*IBGE_2!Y$564/100</f>
        <v>0.03</v>
      </c>
      <c r="Z564" s="142">
        <f>B564*IBGE_2!Z$564/100</f>
        <v>0.02</v>
      </c>
      <c r="AA564" s="142">
        <f>B564*IBGE_2!AA$564/100</f>
        <v>0.61</v>
      </c>
      <c r="AB564" s="142">
        <f>B564*IBGE_2!AB$564/100</f>
        <v>2.8</v>
      </c>
      <c r="AC564" s="142">
        <f>B564*IBGE_2!AC$564/100</f>
        <v>0.63</v>
      </c>
      <c r="AD564" s="142" t="s">
        <v>3047</v>
      </c>
      <c r="AE564" s="142">
        <f>B564*IBGE_2!AE$564/100</f>
        <v>3</v>
      </c>
      <c r="AF564" s="142" t="s">
        <v>3047</v>
      </c>
      <c r="AG564" s="142">
        <f>B564*IBGE_2!AG$564/100</f>
        <v>0.73</v>
      </c>
      <c r="AH564" s="142" t="s">
        <v>3047</v>
      </c>
      <c r="AI564" s="142" t="s">
        <v>3047</v>
      </c>
      <c r="AJ564" s="142">
        <f>B564*IBGE_2!AJ$564/100</f>
        <v>0.3</v>
      </c>
      <c r="AK564" s="142">
        <f>B564*IBGE_2!AK$564/100</f>
        <v>38.17</v>
      </c>
      <c r="AL564" s="142">
        <f>B564*IBGE_2!AL$564/100</f>
        <v>16.059999999999999</v>
      </c>
      <c r="AM564" s="142">
        <f>B564*IBGE_2!AM$564/100</f>
        <v>11.21</v>
      </c>
      <c r="AN564" s="161"/>
    </row>
    <row r="565" spans="1:40">
      <c r="A565" s="143" t="s">
        <v>1625</v>
      </c>
      <c r="B565" s="141">
        <v>100</v>
      </c>
      <c r="C565" s="142">
        <f>B565*IBGE_2!C$565/100</f>
        <v>291.3</v>
      </c>
      <c r="D565" s="142">
        <f>B565*IBGE_2!D$565/100</f>
        <v>0.77</v>
      </c>
      <c r="E565" s="142">
        <f>B565*IBGE_2!E$565/100</f>
        <v>0.28999999999999998</v>
      </c>
      <c r="F565" s="142">
        <f>B565*IBGE_2!F$565/100</f>
        <v>0.08</v>
      </c>
      <c r="G565" s="142">
        <f>B565*IBGE_2!G$565/100</f>
        <v>0.03</v>
      </c>
      <c r="H565" s="142">
        <f>B565*IBGE_2!H$565/100</f>
        <v>0.12</v>
      </c>
      <c r="I565" s="142">
        <f>B565*IBGE_2!I$565/100</f>
        <v>0.09</v>
      </c>
      <c r="J565" s="142">
        <f>B565*IBGE_2!J$565/100</f>
        <v>0.03</v>
      </c>
      <c r="K565" s="142" t="s">
        <v>3047</v>
      </c>
      <c r="L565" s="142">
        <f>B565*IBGE_2!L$565/100</f>
        <v>74.28</v>
      </c>
      <c r="M565" s="142">
        <f>B565*IBGE_2!M$565/100</f>
        <v>1.62</v>
      </c>
      <c r="N565" s="142">
        <f>B565*IBGE_2!N$565/100</f>
        <v>6.1</v>
      </c>
      <c r="O565" s="142">
        <f>B565*IBGE_2!O$565/100</f>
        <v>6.6</v>
      </c>
      <c r="P565" s="142">
        <f>B565*IBGE_2!P$565/100</f>
        <v>0.05</v>
      </c>
      <c r="Q565" s="142">
        <f>B565*IBGE_2!Q$565/100</f>
        <v>12</v>
      </c>
      <c r="R565" s="142">
        <f>B565*IBGE_2!R$565/100</f>
        <v>0.09</v>
      </c>
      <c r="S565" s="142">
        <f>B565*IBGE_2!S$565/100</f>
        <v>0.6</v>
      </c>
      <c r="T565" s="142">
        <f>B565*IBGE_2!T$565/100</f>
        <v>126.5</v>
      </c>
      <c r="U565" s="142">
        <f>B565*IBGE_2!U$565/100</f>
        <v>7.0000000000000007E-2</v>
      </c>
      <c r="V565" s="142">
        <f>B565*IBGE_2!V$565/100</f>
        <v>7.0000000000000007E-2</v>
      </c>
      <c r="W565" s="142" t="s">
        <v>3047</v>
      </c>
      <c r="X565" s="142">
        <f>B565*IBGE_2!X$565/100</f>
        <v>0.02</v>
      </c>
      <c r="Y565" s="142">
        <f>B565*IBGE_2!Y$565/100</f>
        <v>0.03</v>
      </c>
      <c r="Z565" s="142">
        <f>B565*IBGE_2!Z$565/100</f>
        <v>0.03</v>
      </c>
      <c r="AA565" s="142">
        <f>B565*IBGE_2!AA$565/100</f>
        <v>0.33</v>
      </c>
      <c r="AB565" s="142">
        <f>B565*IBGE_2!AB$565/100</f>
        <v>68.489999999999995</v>
      </c>
      <c r="AC565" s="142">
        <f>B565*IBGE_2!AC$565/100</f>
        <v>0.44</v>
      </c>
      <c r="AD565" s="142" t="s">
        <v>3047</v>
      </c>
      <c r="AE565" s="142">
        <f>B565*IBGE_2!AE$565/100</f>
        <v>14.7</v>
      </c>
      <c r="AF565" s="142" t="s">
        <v>3047</v>
      </c>
      <c r="AG565" s="142">
        <f>B565*IBGE_2!AG$565/100</f>
        <v>0.22</v>
      </c>
      <c r="AH565" s="142" t="s">
        <v>3047</v>
      </c>
      <c r="AI565" s="142" t="s">
        <v>3047</v>
      </c>
      <c r="AJ565" s="142">
        <f>B565*IBGE_2!AJ$565/100</f>
        <v>0.6</v>
      </c>
      <c r="AK565" s="142">
        <f>B565*IBGE_2!AK$565/100</f>
        <v>9.35</v>
      </c>
      <c r="AL565" s="142">
        <f>B565*IBGE_2!AL$565/100</f>
        <v>72.58</v>
      </c>
      <c r="AM565" s="142">
        <f>B565*IBGE_2!AM$565/100</f>
        <v>69.989999999999995</v>
      </c>
      <c r="AN565" s="161"/>
    </row>
    <row r="566" spans="1:40">
      <c r="A566" s="143" t="s">
        <v>1626</v>
      </c>
      <c r="B566" s="141">
        <v>100</v>
      </c>
      <c r="C566" s="142">
        <f>B566*IBGE_2!C$566/100</f>
        <v>296</v>
      </c>
      <c r="D566" s="142" t="s">
        <v>3047</v>
      </c>
      <c r="E566" s="142" t="s">
        <v>3047</v>
      </c>
      <c r="F566" s="142" t="s">
        <v>3047</v>
      </c>
      <c r="G566" s="142" t="s">
        <v>3047</v>
      </c>
      <c r="H566" s="142" t="s">
        <v>3047</v>
      </c>
      <c r="I566" s="142" t="s">
        <v>3047</v>
      </c>
      <c r="J566" s="142" t="s">
        <v>3047</v>
      </c>
      <c r="K566" s="142" t="s">
        <v>3047</v>
      </c>
      <c r="L566" s="142">
        <f>B566*IBGE_2!L$566/100</f>
        <v>76.599999999999994</v>
      </c>
      <c r="M566" s="142" t="s">
        <v>3047</v>
      </c>
      <c r="N566" s="142">
        <f>B566*IBGE_2!N$566/100</f>
        <v>102</v>
      </c>
      <c r="O566" s="142">
        <f>B566*IBGE_2!O$566/100</f>
        <v>115</v>
      </c>
      <c r="P566" s="142">
        <f>B566*IBGE_2!P$566/100</f>
        <v>2.62</v>
      </c>
      <c r="Q566" s="142">
        <f>B566*IBGE_2!Q$566/100</f>
        <v>74</v>
      </c>
      <c r="R566" s="142">
        <f>B566*IBGE_2!R$566/100</f>
        <v>5.4</v>
      </c>
      <c r="S566" s="142">
        <f>B566*IBGE_2!S$566/100</f>
        <v>4</v>
      </c>
      <c r="T566" s="142">
        <f>B566*IBGE_2!T$566/100</f>
        <v>395</v>
      </c>
      <c r="U566" s="142">
        <f>B566*IBGE_2!U$566/100</f>
        <v>0.84</v>
      </c>
      <c r="V566" s="142">
        <f>B566*IBGE_2!V$566/100</f>
        <v>0.3</v>
      </c>
      <c r="W566" s="142" t="s">
        <v>3047</v>
      </c>
      <c r="X566" s="142" t="s">
        <v>3047</v>
      </c>
      <c r="Y566" s="142">
        <f>B566*IBGE_2!Y$566/100</f>
        <v>0.05</v>
      </c>
      <c r="Z566" s="142">
        <f>B566*IBGE_2!Z$566/100</f>
        <v>0.2</v>
      </c>
      <c r="AA566" s="142" t="s">
        <v>3047</v>
      </c>
      <c r="AB566" s="142" t="s">
        <v>3047</v>
      </c>
      <c r="AC566" s="142" t="s">
        <v>3047</v>
      </c>
      <c r="AD566" s="142" t="s">
        <v>3047</v>
      </c>
      <c r="AE566" s="145" t="s">
        <v>3047</v>
      </c>
      <c r="AF566" s="142" t="s">
        <v>3047</v>
      </c>
      <c r="AG566" s="145" t="s">
        <v>3047</v>
      </c>
      <c r="AH566" s="142" t="s">
        <v>3047</v>
      </c>
      <c r="AI566" s="142" t="s">
        <v>3047</v>
      </c>
      <c r="AJ566" s="145" t="s">
        <v>3047</v>
      </c>
      <c r="AK566" s="145" t="s">
        <v>3047</v>
      </c>
      <c r="AL566" s="142">
        <f>B566*IBGE_2!AL$566/100</f>
        <v>42.2</v>
      </c>
      <c r="AM566" s="142">
        <f>B566*IBGE_2!AM$566/100</f>
        <v>60.8</v>
      </c>
      <c r="AN566" s="161"/>
    </row>
    <row r="567" spans="1:40">
      <c r="A567" s="143" t="s">
        <v>1627</v>
      </c>
      <c r="B567" s="141">
        <v>100</v>
      </c>
      <c r="C567" s="142">
        <f>B567*IBGE_2!C$567/100</f>
        <v>304</v>
      </c>
      <c r="D567" s="142">
        <f>B567*IBGE_2!D$567/100</f>
        <v>0.3</v>
      </c>
      <c r="E567" s="142" t="s">
        <v>3047</v>
      </c>
      <c r="F567" s="142" t="s">
        <v>3047</v>
      </c>
      <c r="G567" s="142" t="s">
        <v>3047</v>
      </c>
      <c r="H567" s="142" t="s">
        <v>3047</v>
      </c>
      <c r="I567" s="142" t="s">
        <v>3047</v>
      </c>
      <c r="J567" s="142" t="s">
        <v>3047</v>
      </c>
      <c r="K567" s="142" t="s">
        <v>3047</v>
      </c>
      <c r="L567" s="142">
        <f>B567*IBGE_2!L$567/100</f>
        <v>82.4</v>
      </c>
      <c r="M567" s="142">
        <f>B567*IBGE_2!M$567/100</f>
        <v>0.2</v>
      </c>
      <c r="N567" s="142">
        <f>B567*IBGE_2!N$567/100</f>
        <v>6</v>
      </c>
      <c r="O567" s="142">
        <f>B567*IBGE_2!O$567/100</f>
        <v>2</v>
      </c>
      <c r="P567" s="142">
        <f>B567*IBGE_2!P$567/100</f>
        <v>0.08</v>
      </c>
      <c r="Q567" s="142">
        <f>B567*IBGE_2!Q$567/100</f>
        <v>4</v>
      </c>
      <c r="R567" s="142">
        <f>B567*IBGE_2!R$567/100</f>
        <v>0.42</v>
      </c>
      <c r="S567" s="142">
        <f>B567*IBGE_2!S$567/100</f>
        <v>4</v>
      </c>
      <c r="T567" s="142">
        <f>B567*IBGE_2!T$567/100</f>
        <v>52</v>
      </c>
      <c r="U567" s="142">
        <f>B567*IBGE_2!U$567/100</f>
        <v>0.04</v>
      </c>
      <c r="V567" s="142">
        <f>B567*IBGE_2!V$567/100</f>
        <v>0.22</v>
      </c>
      <c r="W567" s="142" t="s">
        <v>3047</v>
      </c>
      <c r="X567" s="142" t="s">
        <v>3047</v>
      </c>
      <c r="Y567" s="142">
        <f>B567*IBGE_2!Y$567/100</f>
        <v>0.04</v>
      </c>
      <c r="Z567" s="142">
        <f>B567*IBGE_2!Z$567/100</f>
        <v>0.02</v>
      </c>
      <c r="AA567" s="142">
        <f>B567*IBGE_2!AA$567/100</f>
        <v>0.12</v>
      </c>
      <c r="AB567" s="142">
        <f>B567*IBGE_2!AB$567/100</f>
        <v>0.5</v>
      </c>
      <c r="AC567" s="142">
        <f>B567*IBGE_2!AC$567/100</f>
        <v>0.19</v>
      </c>
      <c r="AD567" s="142" t="s">
        <v>3047</v>
      </c>
      <c r="AE567" s="142">
        <f>B567*IBGE_2!AE$567/100</f>
        <v>2</v>
      </c>
      <c r="AF567" s="142" t="s">
        <v>3047</v>
      </c>
      <c r="AG567" s="145" t="s">
        <v>3047</v>
      </c>
      <c r="AH567" s="142" t="s">
        <v>3047</v>
      </c>
      <c r="AI567" s="142" t="s">
        <v>3047</v>
      </c>
      <c r="AJ567" s="142">
        <f>B567*IBGE_2!AJ$567/100</f>
        <v>0.8</v>
      </c>
      <c r="AK567" s="145" t="s">
        <v>3047</v>
      </c>
      <c r="AL567" s="142">
        <f>B567*IBGE_2!AL$567/100</f>
        <v>82.13</v>
      </c>
      <c r="AM567" s="142">
        <f>B567*IBGE_2!AM$567/100</f>
        <v>82.4</v>
      </c>
      <c r="AN567" s="161"/>
    </row>
    <row r="568" spans="1:40">
      <c r="A568" s="143" t="s">
        <v>1628</v>
      </c>
      <c r="B568" s="141">
        <v>100</v>
      </c>
      <c r="C568" s="142">
        <f>B568*IBGE_2!C$568/100</f>
        <v>278</v>
      </c>
      <c r="D568" s="142">
        <f>B568*IBGE_2!D$568/100</f>
        <v>0.37</v>
      </c>
      <c r="E568" s="142">
        <f>B568*IBGE_2!E$568/100</f>
        <v>7.0000000000000007E-2</v>
      </c>
      <c r="F568" s="142">
        <f>B568*IBGE_2!F$568/100</f>
        <v>0.01</v>
      </c>
      <c r="G568" s="142">
        <f>B568*IBGE_2!G$568/100</f>
        <v>3.7999999999999999E-2</v>
      </c>
      <c r="H568" s="142" t="s">
        <v>3047</v>
      </c>
      <c r="I568" s="142" t="s">
        <v>3047</v>
      </c>
      <c r="J568" s="142" t="s">
        <v>3047</v>
      </c>
      <c r="K568" s="142" t="s">
        <v>3047</v>
      </c>
      <c r="L568" s="142">
        <f>B568*IBGE_2!L$568/100</f>
        <v>68.86</v>
      </c>
      <c r="M568" s="142">
        <f>B568*IBGE_2!M$568/100</f>
        <v>1.1000000000000001</v>
      </c>
      <c r="N568" s="142">
        <f>B568*IBGE_2!N$568/100</f>
        <v>20</v>
      </c>
      <c r="O568" s="142">
        <f>B568*IBGE_2!O$568/100</f>
        <v>4</v>
      </c>
      <c r="P568" s="142">
        <f>B568*IBGE_2!P$568/100</f>
        <v>0.04</v>
      </c>
      <c r="Q568" s="142">
        <f>B568*IBGE_2!Q$568/100</f>
        <v>19</v>
      </c>
      <c r="R568" s="142">
        <f>B568*IBGE_2!R$568/100</f>
        <v>0.49</v>
      </c>
      <c r="S568" s="142">
        <f>B568*IBGE_2!S$568/100</f>
        <v>32</v>
      </c>
      <c r="T568" s="142">
        <f>B568*IBGE_2!T$568/100</f>
        <v>77</v>
      </c>
      <c r="U568" s="142">
        <f>B568*IBGE_2!U$568/100</f>
        <v>0.1</v>
      </c>
      <c r="V568" s="142">
        <f>B568*IBGE_2!V$568/100</f>
        <v>0.06</v>
      </c>
      <c r="W568" s="142" t="s">
        <v>3047</v>
      </c>
      <c r="X568" s="142">
        <f>B568*IBGE_2!X$568/100</f>
        <v>1.6E-2</v>
      </c>
      <c r="Y568" s="142">
        <f>B568*IBGE_2!Y$568/100</f>
        <v>7.5999999999999998E-2</v>
      </c>
      <c r="Z568" s="142">
        <f>B568*IBGE_2!Z$568/100</f>
        <v>0.02</v>
      </c>
      <c r="AA568" s="142">
        <f>B568*IBGE_2!AA$568/100</f>
        <v>3.5999999999999997E-2</v>
      </c>
      <c r="AB568" s="142">
        <f>B568*IBGE_2!AB$568/100</f>
        <v>8.8000000000000007</v>
      </c>
      <c r="AC568" s="142">
        <f>B568*IBGE_2!AC$568/100</f>
        <v>0.11899999999999998</v>
      </c>
      <c r="AD568" s="142" t="s">
        <v>3047</v>
      </c>
      <c r="AE568" s="142">
        <f>B568*IBGE_2!AE$568/100</f>
        <v>11</v>
      </c>
      <c r="AF568" s="142" t="s">
        <v>3047</v>
      </c>
      <c r="AG568" s="142">
        <f>B568*IBGE_2!AG$568/100</f>
        <v>0.12</v>
      </c>
      <c r="AH568" s="142" t="s">
        <v>3047</v>
      </c>
      <c r="AI568" s="142" t="s">
        <v>3047</v>
      </c>
      <c r="AJ568" s="142">
        <f>B568*IBGE_2!AJ$568/100</f>
        <v>2</v>
      </c>
      <c r="AK568" s="145" t="s">
        <v>3047</v>
      </c>
      <c r="AL568" s="142">
        <f>B568*IBGE_2!AL$568/100</f>
        <v>48.9</v>
      </c>
      <c r="AM568" s="142">
        <f>B568*IBGE_2!AM$568/100</f>
        <v>65.509</v>
      </c>
      <c r="AN568" s="161"/>
    </row>
    <row r="569" spans="1:40">
      <c r="A569" s="143" t="s">
        <v>1629</v>
      </c>
      <c r="B569" s="141">
        <v>100</v>
      </c>
      <c r="C569" s="142" t="s">
        <v>3047</v>
      </c>
      <c r="D569" s="142" t="s">
        <v>3047</v>
      </c>
      <c r="E569" s="142" t="s">
        <v>3047</v>
      </c>
      <c r="F569" s="142" t="s">
        <v>3047</v>
      </c>
      <c r="G569" s="142" t="s">
        <v>3047</v>
      </c>
      <c r="H569" s="142" t="s">
        <v>3047</v>
      </c>
      <c r="I569" s="142" t="s">
        <v>3047</v>
      </c>
      <c r="J569" s="142" t="s">
        <v>3047</v>
      </c>
      <c r="K569" s="142" t="s">
        <v>3047</v>
      </c>
      <c r="L569" s="142" t="s">
        <v>3047</v>
      </c>
      <c r="M569" s="142" t="s">
        <v>3047</v>
      </c>
      <c r="N569" s="142" t="s">
        <v>3047</v>
      </c>
      <c r="O569" s="142" t="s">
        <v>3047</v>
      </c>
      <c r="P569" s="142" t="s">
        <v>3047</v>
      </c>
      <c r="Q569" s="142" t="s">
        <v>3047</v>
      </c>
      <c r="R569" s="142" t="s">
        <v>3047</v>
      </c>
      <c r="S569" s="142">
        <f>B569*IBGE_2!S$569/100</f>
        <v>240</v>
      </c>
      <c r="T569" s="142" t="s">
        <v>3047</v>
      </c>
      <c r="U569" s="142" t="s">
        <v>3047</v>
      </c>
      <c r="V569" s="142" t="s">
        <v>3047</v>
      </c>
      <c r="W569" s="142" t="s">
        <v>3047</v>
      </c>
      <c r="X569" s="142" t="s">
        <v>3047</v>
      </c>
      <c r="Y569" s="142" t="s">
        <v>3047</v>
      </c>
      <c r="Z569" s="142" t="s">
        <v>3047</v>
      </c>
      <c r="AA569" s="142" t="s">
        <v>3047</v>
      </c>
      <c r="AB569" s="142" t="s">
        <v>3047</v>
      </c>
      <c r="AC569" s="142" t="s">
        <v>3047</v>
      </c>
      <c r="AD569" s="142" t="s">
        <v>3047</v>
      </c>
      <c r="AE569" s="145" t="s">
        <v>3047</v>
      </c>
      <c r="AF569" s="142" t="s">
        <v>3047</v>
      </c>
      <c r="AG569" s="145" t="s">
        <v>3047</v>
      </c>
      <c r="AH569" s="142" t="s">
        <v>3047</v>
      </c>
      <c r="AI569" s="142" t="s">
        <v>3047</v>
      </c>
      <c r="AJ569" s="145" t="s">
        <v>3047</v>
      </c>
      <c r="AK569" s="145" t="s">
        <v>3047</v>
      </c>
      <c r="AL569" s="145" t="s">
        <v>3047</v>
      </c>
      <c r="AM569" s="145" t="s">
        <v>3047</v>
      </c>
      <c r="AN569" s="161"/>
    </row>
    <row r="570" spans="1:40">
      <c r="A570" s="143" t="s">
        <v>1630</v>
      </c>
      <c r="B570" s="141">
        <v>100</v>
      </c>
      <c r="C570" s="142">
        <f>B570*IBGE_2!C$570/100</f>
        <v>358.25599999999997</v>
      </c>
      <c r="D570" s="142">
        <f>B570*IBGE_2!D$570/100</f>
        <v>6.2060000000000004</v>
      </c>
      <c r="E570" s="142">
        <f>B570*IBGE_2!E$570/100</f>
        <v>9.7000000000000017E-2</v>
      </c>
      <c r="F570" s="142" t="s">
        <v>3047</v>
      </c>
      <c r="G570" s="142" t="s">
        <v>3047</v>
      </c>
      <c r="H570" s="142" t="s">
        <v>3047</v>
      </c>
      <c r="I570" s="142" t="s">
        <v>3047</v>
      </c>
      <c r="J570" s="142" t="s">
        <v>3047</v>
      </c>
      <c r="K570" s="142" t="s">
        <v>3047</v>
      </c>
      <c r="L570" s="142">
        <f>B570*IBGE_2!L$570/100</f>
        <v>85.888000000000005</v>
      </c>
      <c r="M570" s="142">
        <f>B570*IBGE_2!M$570/100</f>
        <v>1E-3</v>
      </c>
      <c r="N570" s="142">
        <f>B570*IBGE_2!N$570/100</f>
        <v>4.8719999999999999</v>
      </c>
      <c r="O570" s="142">
        <f>B570*IBGE_2!O$570/100</f>
        <v>6.2709999999999999</v>
      </c>
      <c r="P570" s="142">
        <f>B570*IBGE_2!P$570/100</f>
        <v>7.000000000000001E-3</v>
      </c>
      <c r="Q570" s="142">
        <f>B570*IBGE_2!Q$570/100</f>
        <v>8.5609999999999999</v>
      </c>
      <c r="R570" s="142">
        <f>B570*IBGE_2!R$570/100</f>
        <v>7.0000000000000007E-2</v>
      </c>
      <c r="S570" s="142">
        <f>B570*IBGE_2!S$570/100</f>
        <v>94.727999999999994</v>
      </c>
      <c r="T570" s="142">
        <f>B570*IBGE_2!T$570/100</f>
        <v>164.81599999999997</v>
      </c>
      <c r="U570" s="142">
        <f>B570*IBGE_2!U$570/100</f>
        <v>1.4000000000000002E-2</v>
      </c>
      <c r="V570" s="142">
        <f>B570*IBGE_2!V$570/100</f>
        <v>1.9E-2</v>
      </c>
      <c r="W570" s="142" t="s">
        <v>3047</v>
      </c>
      <c r="X570" s="142">
        <f>B570*IBGE_2!X$570/100</f>
        <v>2E-3</v>
      </c>
      <c r="Y570" s="142">
        <f>B570*IBGE_2!Y$570/100</f>
        <v>0.26600000000000001</v>
      </c>
      <c r="Z570" s="142">
        <f>B570*IBGE_2!Z$570/100</f>
        <v>3.0000000000000001E-3</v>
      </c>
      <c r="AA570" s="142">
        <f>B570*IBGE_2!AA$570/100</f>
        <v>0.06</v>
      </c>
      <c r="AB570" s="142" t="s">
        <v>3047</v>
      </c>
      <c r="AC570" s="142">
        <f>B570*IBGE_2!AC$570/100</f>
        <v>1.246</v>
      </c>
      <c r="AD570" s="142">
        <f>B570*IBGE_2!AD$570/100</f>
        <v>5.0999999999999997E-2</v>
      </c>
      <c r="AE570" s="142">
        <f>B570*IBGE_2!AE$570/100</f>
        <v>2.2770000000000001</v>
      </c>
      <c r="AF570" s="142" t="s">
        <v>3047</v>
      </c>
      <c r="AG570" s="145" t="s">
        <v>3047</v>
      </c>
      <c r="AH570" s="142" t="s">
        <v>3047</v>
      </c>
      <c r="AI570" s="142" t="s">
        <v>3047</v>
      </c>
      <c r="AJ570" s="142">
        <f>B570*IBGE_2!AJ$570/100</f>
        <v>11.898999999999999</v>
      </c>
      <c r="AK570" s="145" t="s">
        <v>3047</v>
      </c>
      <c r="AL570" s="142">
        <f>B570*IBGE_2!AL$570/100</f>
        <v>85.543000000000006</v>
      </c>
      <c r="AM570" s="142">
        <f>B570*IBGE_2!AM$570/100</f>
        <v>85.21</v>
      </c>
      <c r="AN570" s="161"/>
    </row>
    <row r="571" spans="1:40">
      <c r="A571" s="143" t="s">
        <v>1631</v>
      </c>
      <c r="B571" s="141">
        <v>100</v>
      </c>
      <c r="C571" s="142">
        <f>B571*IBGE_2!C$571/100</f>
        <v>296</v>
      </c>
      <c r="D571" s="142" t="s">
        <v>3047</v>
      </c>
      <c r="E571" s="142" t="s">
        <v>3047</v>
      </c>
      <c r="F571" s="142" t="s">
        <v>3047</v>
      </c>
      <c r="G571" s="142" t="s">
        <v>3047</v>
      </c>
      <c r="H571" s="142" t="s">
        <v>3047</v>
      </c>
      <c r="I571" s="142" t="s">
        <v>3047</v>
      </c>
      <c r="J571" s="142" t="s">
        <v>3047</v>
      </c>
      <c r="K571" s="142" t="s">
        <v>3047</v>
      </c>
      <c r="L571" s="142">
        <f>B571*IBGE_2!L$571/100</f>
        <v>76.599999999999994</v>
      </c>
      <c r="M571" s="142" t="s">
        <v>3047</v>
      </c>
      <c r="N571" s="142">
        <f>B571*IBGE_2!N$571/100</f>
        <v>102</v>
      </c>
      <c r="O571" s="142">
        <f>B571*IBGE_2!O$571/100</f>
        <v>115</v>
      </c>
      <c r="P571" s="142">
        <f>B571*IBGE_2!P$571/100</f>
        <v>2.62</v>
      </c>
      <c r="Q571" s="142">
        <f>B571*IBGE_2!Q$571/100</f>
        <v>74</v>
      </c>
      <c r="R571" s="142">
        <f>B571*IBGE_2!R$571/100</f>
        <v>5.4</v>
      </c>
      <c r="S571" s="142">
        <f>B571*IBGE_2!S$571/100</f>
        <v>4</v>
      </c>
      <c r="T571" s="142">
        <f>B571*IBGE_2!T$571/100</f>
        <v>395</v>
      </c>
      <c r="U571" s="142">
        <f>B571*IBGE_2!U$571/100</f>
        <v>0.84</v>
      </c>
      <c r="V571" s="142">
        <f>B571*IBGE_2!V$571/100</f>
        <v>0.3</v>
      </c>
      <c r="W571" s="142" t="s">
        <v>3047</v>
      </c>
      <c r="X571" s="142" t="s">
        <v>3047</v>
      </c>
      <c r="Y571" s="142">
        <f>B571*IBGE_2!Y$571/100</f>
        <v>0.05</v>
      </c>
      <c r="Z571" s="142">
        <f>B571*IBGE_2!Z$571/100</f>
        <v>0.2</v>
      </c>
      <c r="AA571" s="142" t="s">
        <v>3047</v>
      </c>
      <c r="AB571" s="142" t="s">
        <v>3047</v>
      </c>
      <c r="AC571" s="142" t="s">
        <v>3047</v>
      </c>
      <c r="AD571" s="145" t="s">
        <v>3047</v>
      </c>
      <c r="AE571" s="145" t="s">
        <v>3047</v>
      </c>
      <c r="AF571" s="142" t="s">
        <v>3047</v>
      </c>
      <c r="AG571" s="145" t="s">
        <v>3047</v>
      </c>
      <c r="AH571" s="142" t="s">
        <v>3047</v>
      </c>
      <c r="AI571" s="142" t="s">
        <v>3047</v>
      </c>
      <c r="AJ571" s="145" t="s">
        <v>3047</v>
      </c>
      <c r="AK571" s="145" t="s">
        <v>3047</v>
      </c>
      <c r="AL571" s="142">
        <f>B571*IBGE_2!AL$571/100</f>
        <v>42.2</v>
      </c>
      <c r="AM571" s="142">
        <f>B571*IBGE_2!AM$571/100</f>
        <v>60.8</v>
      </c>
      <c r="AN571" s="161"/>
    </row>
    <row r="572" spans="1:40">
      <c r="A572" s="143" t="s">
        <v>1632</v>
      </c>
      <c r="B572" s="141">
        <v>100</v>
      </c>
      <c r="C572" s="142">
        <f>B572*IBGE_2!C$572/100</f>
        <v>240</v>
      </c>
      <c r="D572" s="142">
        <f>B572*IBGE_2!D$572/100</f>
        <v>2.1800000000000002</v>
      </c>
      <c r="E572" s="142">
        <f>B572*IBGE_2!E$572/100</f>
        <v>0.38</v>
      </c>
      <c r="F572" s="142">
        <f>B572*IBGE_2!F$572/100</f>
        <v>8.7999999999999995E-2</v>
      </c>
      <c r="G572" s="142">
        <f>B572*IBGE_2!G$572/100</f>
        <v>5.2999999999999999E-2</v>
      </c>
      <c r="H572" s="142">
        <f>B572*IBGE_2!H$572/100</f>
        <v>6.2E-2</v>
      </c>
      <c r="I572" s="142">
        <f>B572*IBGE_2!I$572/100</f>
        <v>4.3999999999999997E-2</v>
      </c>
      <c r="J572" s="142">
        <f>B572*IBGE_2!J$572/100</f>
        <v>1.7000000000000001E-2</v>
      </c>
      <c r="K572" s="142" t="s">
        <v>3047</v>
      </c>
      <c r="L572" s="142">
        <f>B572*IBGE_2!L$572/100</f>
        <v>63.88</v>
      </c>
      <c r="M572" s="142">
        <f>B572*IBGE_2!M$572/100</f>
        <v>7.1</v>
      </c>
      <c r="N572" s="142">
        <f>B572*IBGE_2!N$572/100</f>
        <v>43</v>
      </c>
      <c r="O572" s="142">
        <f>B572*IBGE_2!O$572/100</f>
        <v>41</v>
      </c>
      <c r="P572" s="142">
        <f>B572*IBGE_2!P$572/100</f>
        <v>0.29899999999999999</v>
      </c>
      <c r="Q572" s="142">
        <f>B572*IBGE_2!Q$572/100</f>
        <v>69</v>
      </c>
      <c r="R572" s="142">
        <f>B572*IBGE_2!R$572/100</f>
        <v>0.93</v>
      </c>
      <c r="S572" s="142">
        <f>B572*IBGE_2!S$572/100</f>
        <v>2</v>
      </c>
      <c r="T572" s="142">
        <f>B572*IBGE_2!T$572/100</f>
        <v>732</v>
      </c>
      <c r="U572" s="142">
        <f>B572*IBGE_2!U$572/100</f>
        <v>0.28100000000000003</v>
      </c>
      <c r="V572" s="142">
        <f>B572*IBGE_2!V$572/100</f>
        <v>0.44</v>
      </c>
      <c r="W572" s="142" t="s">
        <v>3047</v>
      </c>
      <c r="X572" s="142">
        <f>B572*IBGE_2!X$572/100</f>
        <v>5.0999999999999997E-2</v>
      </c>
      <c r="Y572" s="142">
        <f>B572*IBGE_2!Y$572/100</f>
        <v>0.18600000000000003</v>
      </c>
      <c r="Z572" s="142">
        <f>B572*IBGE_2!Z$572/100</f>
        <v>0.20499999999999999</v>
      </c>
      <c r="AA572" s="142">
        <f>B572*IBGE_2!AA$572/100</f>
        <v>1.8819999999999999</v>
      </c>
      <c r="AB572" s="142">
        <f>B572*IBGE_2!AB$572/100</f>
        <v>0.6</v>
      </c>
      <c r="AC572" s="142">
        <f>B572*IBGE_2!AC$572/100</f>
        <v>2.2989999999999999</v>
      </c>
      <c r="AD572" s="145" t="s">
        <v>3047</v>
      </c>
      <c r="AE572" s="142">
        <f>B572*IBGE_2!AE$572/100</f>
        <v>4</v>
      </c>
      <c r="AF572" s="142" t="s">
        <v>3047</v>
      </c>
      <c r="AG572" s="142">
        <f>B572*IBGE_2!AG$572/100</f>
        <v>0.37</v>
      </c>
      <c r="AH572" s="142" t="s">
        <v>3047</v>
      </c>
      <c r="AI572" s="142" t="s">
        <v>3047</v>
      </c>
      <c r="AJ572" s="142">
        <f>B572*IBGE_2!AJ$572/100</f>
        <v>0.3</v>
      </c>
      <c r="AK572" s="142">
        <f>B572*IBGE_2!AK$572/100</f>
        <v>39.082999999999998</v>
      </c>
      <c r="AL572" s="142">
        <f>B572*IBGE_2!AL$572/100</f>
        <v>38.119999999999997</v>
      </c>
      <c r="AM572" s="145" t="s">
        <v>3047</v>
      </c>
      <c r="AN572" s="161"/>
    </row>
    <row r="573" spans="1:40">
      <c r="A573" s="143" t="s">
        <v>1633</v>
      </c>
      <c r="B573" s="141">
        <v>100</v>
      </c>
      <c r="C573" s="142">
        <f>B573*IBGE_2!C$573/100</f>
        <v>299</v>
      </c>
      <c r="D573" s="142">
        <f>B573*IBGE_2!D$573/100</f>
        <v>3.07</v>
      </c>
      <c r="E573" s="142">
        <f>B573*IBGE_2!E$573/100</f>
        <v>0.46</v>
      </c>
      <c r="F573" s="142">
        <f>B573*IBGE_2!F$573/100</f>
        <v>5.800000000000001E-2</v>
      </c>
      <c r="G573" s="142">
        <f>B573*IBGE_2!G$573/100</f>
        <v>5.0999999999999997E-2</v>
      </c>
      <c r="H573" s="142">
        <f>B573*IBGE_2!H$573/100</f>
        <v>3.6999999999999998E-2</v>
      </c>
      <c r="I573" s="142">
        <f>B573*IBGE_2!I$573/100</f>
        <v>2.8000000000000004E-2</v>
      </c>
      <c r="J573" s="142">
        <f>B573*IBGE_2!J$573/100</f>
        <v>8.0000000000000002E-3</v>
      </c>
      <c r="K573" s="142" t="s">
        <v>3047</v>
      </c>
      <c r="L573" s="142">
        <f>B573*IBGE_2!L$573/100</f>
        <v>79.180000000000007</v>
      </c>
      <c r="M573" s="142">
        <f>B573*IBGE_2!M$573/100</f>
        <v>3.7</v>
      </c>
      <c r="N573" s="142">
        <f>B573*IBGE_2!N$573/100</f>
        <v>50</v>
      </c>
      <c r="O573" s="142">
        <f>B573*IBGE_2!O$573/100</f>
        <v>32</v>
      </c>
      <c r="P573" s="142">
        <f>B573*IBGE_2!P$573/100</f>
        <v>0.29899999999999999</v>
      </c>
      <c r="Q573" s="142">
        <f>B573*IBGE_2!Q$573/100</f>
        <v>101</v>
      </c>
      <c r="R573" s="142">
        <f>B573*IBGE_2!R$573/100</f>
        <v>1.88</v>
      </c>
      <c r="S573" s="142">
        <f>B573*IBGE_2!S$573/100</f>
        <v>11</v>
      </c>
      <c r="T573" s="142">
        <f>B573*IBGE_2!T$573/100</f>
        <v>749</v>
      </c>
      <c r="U573" s="142">
        <f>B573*IBGE_2!U$573/100</f>
        <v>0.318</v>
      </c>
      <c r="V573" s="142">
        <f>B573*IBGE_2!V$573/100</f>
        <v>0.22</v>
      </c>
      <c r="W573" s="142" t="s">
        <v>3047</v>
      </c>
      <c r="X573" s="142">
        <f>B573*IBGE_2!X$573/100</f>
        <v>0.106</v>
      </c>
      <c r="Y573" s="142">
        <f>B573*IBGE_2!Y$573/100</f>
        <v>0.125</v>
      </c>
      <c r="Z573" s="142">
        <f>B573*IBGE_2!Z$573/100</f>
        <v>0.17399999999999999</v>
      </c>
      <c r="AA573" s="142">
        <f>B573*IBGE_2!AA$573/100</f>
        <v>0.7659999999999999</v>
      </c>
      <c r="AB573" s="142">
        <f>B573*IBGE_2!AB$573/100</f>
        <v>2.2999999999999998</v>
      </c>
      <c r="AC573" s="142">
        <f>B573*IBGE_2!AC$573/100</f>
        <v>1.599</v>
      </c>
      <c r="AD573" s="145" t="s">
        <v>3047</v>
      </c>
      <c r="AE573" s="142">
        <f>B573*IBGE_2!AE$573/100</f>
        <v>5</v>
      </c>
      <c r="AF573" s="142" t="s">
        <v>3047</v>
      </c>
      <c r="AG573" s="142">
        <f>B573*IBGE_2!AG$573/100</f>
        <v>0.11</v>
      </c>
      <c r="AH573" s="142" t="s">
        <v>3047</v>
      </c>
      <c r="AI573" s="142" t="s">
        <v>3047</v>
      </c>
      <c r="AJ573" s="142">
        <f>B573*IBGE_2!AJ$573/100</f>
        <v>0.6</v>
      </c>
      <c r="AK573" s="145" t="s">
        <v>3047</v>
      </c>
      <c r="AL573" s="142">
        <f>B573*IBGE_2!AL$573/100</f>
        <v>57.88</v>
      </c>
      <c r="AM573" s="145" t="s">
        <v>3047</v>
      </c>
      <c r="AN573" s="161"/>
    </row>
    <row r="574" spans="1:40">
      <c r="A574" s="143" t="s">
        <v>1634</v>
      </c>
      <c r="B574" s="141">
        <v>100</v>
      </c>
      <c r="C574" s="142">
        <f>B574*IBGE_2!C$574/100</f>
        <v>131.148</v>
      </c>
      <c r="D574" s="142">
        <f>B574*IBGE_2!D$574/100</f>
        <v>5.5839999999999996</v>
      </c>
      <c r="E574" s="142">
        <f>B574*IBGE_2!E$574/100</f>
        <v>5.0659999999999998</v>
      </c>
      <c r="F574" s="142">
        <f>B574*IBGE_2!F$574/100</f>
        <v>2.1360000000000001</v>
      </c>
      <c r="G574" s="142">
        <f>B574*IBGE_2!G$574/100</f>
        <v>1.655</v>
      </c>
      <c r="H574" s="142">
        <f>B574*IBGE_2!H$574/100</f>
        <v>0.51600000000000001</v>
      </c>
      <c r="I574" s="142">
        <f>B574*IBGE_2!I$574/100</f>
        <v>0.40500000000000003</v>
      </c>
      <c r="J574" s="142">
        <f>B574*IBGE_2!J$574/100</f>
        <v>0.06</v>
      </c>
      <c r="K574" s="142">
        <f>B574*IBGE_2!K$574/100</f>
        <v>122.514</v>
      </c>
      <c r="L574" s="142">
        <f>B574*IBGE_2!L$574/100</f>
        <v>15.439</v>
      </c>
      <c r="M574" s="142" t="s">
        <v>3047</v>
      </c>
      <c r="N574" s="142">
        <f>B574*IBGE_2!N$574/100</f>
        <v>89.202000000000012</v>
      </c>
      <c r="O574" s="142">
        <f>B574*IBGE_2!O$574/100</f>
        <v>9.4939999999999998</v>
      </c>
      <c r="P574" s="142">
        <f>B574*IBGE_2!P$574/100</f>
        <v>1.0999999999999999E-2</v>
      </c>
      <c r="Q574" s="142">
        <f>B574*IBGE_2!Q$574/100</f>
        <v>107.709</v>
      </c>
      <c r="R574" s="142">
        <f>B574*IBGE_2!R$574/100</f>
        <v>0.34699999999999998</v>
      </c>
      <c r="S574" s="142">
        <f>B574*IBGE_2!S$574/100</f>
        <v>60.616999999999997</v>
      </c>
      <c r="T574" s="142">
        <f>B574*IBGE_2!T$574/100</f>
        <v>131.16800000000001</v>
      </c>
      <c r="U574" s="142">
        <f>B574*IBGE_2!U$574/100</f>
        <v>1.0999999999999999E-2</v>
      </c>
      <c r="V574" s="142">
        <f>B574*IBGE_2!V$574/100</f>
        <v>0.55400000000000005</v>
      </c>
      <c r="W574" s="142">
        <f>B574*IBGE_2!W$574/100</f>
        <v>64.567999999999998</v>
      </c>
      <c r="X574" s="142">
        <f>B574*IBGE_2!X$574/100</f>
        <v>4.7E-2</v>
      </c>
      <c r="Y574" s="142">
        <f>B574*IBGE_2!Y$574/100</f>
        <v>0.26500000000000001</v>
      </c>
      <c r="Z574" s="142">
        <f>B574*IBGE_2!Z$574/100</f>
        <v>5.7000000000000002E-2</v>
      </c>
      <c r="AA574" s="142">
        <f>B574*IBGE_2!AA$574/100</f>
        <v>9.1999999999999998E-2</v>
      </c>
      <c r="AB574" s="142" t="s">
        <v>3047</v>
      </c>
      <c r="AC574" s="142">
        <f>B574*IBGE_2!AC$574/100</f>
        <v>1.6220000000000001</v>
      </c>
      <c r="AD574" s="142">
        <f>B574*IBGE_2!AD$574/100</f>
        <v>0.59699999999999998</v>
      </c>
      <c r="AE574" s="142">
        <f>B574*IBGE_2!AE$574/100</f>
        <v>15.355</v>
      </c>
      <c r="AF574" s="142">
        <f>B574*IBGE_2!AF$574/100</f>
        <v>1.016</v>
      </c>
      <c r="AG574" s="142">
        <f>B574*IBGE_2!AG$574/100</f>
        <v>0.32100000000000001</v>
      </c>
      <c r="AH574" s="142">
        <f>B574*IBGE_2!AH$574/100</f>
        <v>7.6999999999999999E-2</v>
      </c>
      <c r="AI574" s="142" t="s">
        <v>3047</v>
      </c>
      <c r="AJ574" s="142">
        <f>B574*IBGE_2!AJ$574/100</f>
        <v>10.954000000000001</v>
      </c>
      <c r="AK574" s="142">
        <f>B574*IBGE_2!AK$574/100</f>
        <v>65.209999999999994</v>
      </c>
      <c r="AL574" s="142">
        <f>B574*IBGE_2!AL$574/100</f>
        <v>15.898</v>
      </c>
      <c r="AM574" s="142">
        <f>B574*IBGE_2!AM$574/100</f>
        <v>12.019</v>
      </c>
      <c r="AN574" s="161"/>
    </row>
    <row r="575" spans="1:40">
      <c r="A575" s="143" t="s">
        <v>1635</v>
      </c>
      <c r="B575" s="141">
        <v>100</v>
      </c>
      <c r="C575" s="142">
        <f>B575*IBGE_2!C$575/100</f>
        <v>131.148</v>
      </c>
      <c r="D575" s="142">
        <f>B575*IBGE_2!D$575/100</f>
        <v>5.5839999999999996</v>
      </c>
      <c r="E575" s="142">
        <f>B575*IBGE_2!E$575/100</f>
        <v>5.0659999999999998</v>
      </c>
      <c r="F575" s="142">
        <f>B575*IBGE_2!F$575/100</f>
        <v>2.1360000000000001</v>
      </c>
      <c r="G575" s="142">
        <f>B575*IBGE_2!G$575/100</f>
        <v>1.655</v>
      </c>
      <c r="H575" s="142">
        <f>B575*IBGE_2!H$575/100</f>
        <v>0.51600000000000001</v>
      </c>
      <c r="I575" s="142">
        <f>B575*IBGE_2!I$575/100</f>
        <v>0.40500000000000003</v>
      </c>
      <c r="J575" s="142">
        <f>B575*IBGE_2!J$575/100</f>
        <v>0.06</v>
      </c>
      <c r="K575" s="142">
        <f>B575*IBGE_2!K$575/100</f>
        <v>122.514</v>
      </c>
      <c r="L575" s="142">
        <f>B575*IBGE_2!L$575/100</f>
        <v>15.439</v>
      </c>
      <c r="M575" s="142" t="s">
        <v>3047</v>
      </c>
      <c r="N575" s="142">
        <f>B575*IBGE_2!N$575/100</f>
        <v>89.202000000000012</v>
      </c>
      <c r="O575" s="142">
        <f>B575*IBGE_2!O$575/100</f>
        <v>9.4939999999999998</v>
      </c>
      <c r="P575" s="142">
        <f>B575*IBGE_2!P$575/100</f>
        <v>1.0999999999999999E-2</v>
      </c>
      <c r="Q575" s="142">
        <f>B575*IBGE_2!Q$575/100</f>
        <v>107.709</v>
      </c>
      <c r="R575" s="142">
        <f>B575*IBGE_2!R$575/100</f>
        <v>0.34699999999999998</v>
      </c>
      <c r="S575" s="142">
        <f>B575*IBGE_2!S$575/100</f>
        <v>60.616999999999997</v>
      </c>
      <c r="T575" s="142">
        <f>B575*IBGE_2!T$575/100</f>
        <v>131.16800000000001</v>
      </c>
      <c r="U575" s="142">
        <f>B575*IBGE_2!U$575/100</f>
        <v>1.0999999999999999E-2</v>
      </c>
      <c r="V575" s="142">
        <f>B575*IBGE_2!V$575/100</f>
        <v>0.55400000000000005</v>
      </c>
      <c r="W575" s="142">
        <f>B575*IBGE_2!W$575/100</f>
        <v>64.567999999999998</v>
      </c>
      <c r="X575" s="142">
        <f>B575*IBGE_2!X$575/100</f>
        <v>4.7E-2</v>
      </c>
      <c r="Y575" s="142">
        <f>B575*IBGE_2!Y$575/100</f>
        <v>0.26500000000000001</v>
      </c>
      <c r="Z575" s="142">
        <f>B575*IBGE_2!Z$575/100</f>
        <v>5.7000000000000002E-2</v>
      </c>
      <c r="AA575" s="142">
        <f>B575*IBGE_2!AA$575/100</f>
        <v>9.1999999999999998E-2</v>
      </c>
      <c r="AB575" s="142" t="s">
        <v>3047</v>
      </c>
      <c r="AC575" s="142">
        <f>B575*IBGE_2!AC$575/100</f>
        <v>1.6220000000000001</v>
      </c>
      <c r="AD575" s="142">
        <f>B575*IBGE_2!AD$575/100</f>
        <v>0.59699999999999998</v>
      </c>
      <c r="AE575" s="142">
        <f>B575*IBGE_2!AE$575/100</f>
        <v>15.355</v>
      </c>
      <c r="AF575" s="142">
        <f>B575*IBGE_2!AF$575/100</f>
        <v>1.016</v>
      </c>
      <c r="AG575" s="142">
        <f>B575*IBGE_2!AG$575/100</f>
        <v>0.32100000000000001</v>
      </c>
      <c r="AH575" s="142">
        <f>B575*IBGE_2!AH$575/100</f>
        <v>7.6999999999999999E-2</v>
      </c>
      <c r="AI575" s="142" t="s">
        <v>3047</v>
      </c>
      <c r="AJ575" s="142">
        <f>B575*IBGE_2!AJ$575/100</f>
        <v>10.954000000000001</v>
      </c>
      <c r="AK575" s="142">
        <f>B575*IBGE_2!AK$575/100</f>
        <v>65.209999999999994</v>
      </c>
      <c r="AL575" s="142">
        <f>B575*IBGE_2!AL$575/100</f>
        <v>15.898</v>
      </c>
      <c r="AM575" s="142">
        <f>B575*IBGE_2!AM$575/100</f>
        <v>12.019</v>
      </c>
      <c r="AN575" s="161"/>
    </row>
    <row r="576" spans="1:40">
      <c r="A576" s="143" t="s">
        <v>1636</v>
      </c>
      <c r="B576" s="141">
        <v>100</v>
      </c>
      <c r="C576" s="142">
        <f>B576*IBGE_2!C$576/100</f>
        <v>284.97899999999998</v>
      </c>
      <c r="D576" s="142">
        <f>B576*IBGE_2!D$576/100</f>
        <v>8.2010000000000005</v>
      </c>
      <c r="E576" s="142">
        <f>B576*IBGE_2!E$576/100</f>
        <v>10.738</v>
      </c>
      <c r="F576" s="142">
        <f>B576*IBGE_2!F$576/100</f>
        <v>6.6269999999999989</v>
      </c>
      <c r="G576" s="142">
        <f>B576*IBGE_2!G$576/100</f>
        <v>2.681</v>
      </c>
      <c r="H576" s="142">
        <f>B576*IBGE_2!H$576/100</f>
        <v>0.55700000000000005</v>
      </c>
      <c r="I576" s="142">
        <f>B576*IBGE_2!I$576/100</f>
        <v>0.434</v>
      </c>
      <c r="J576" s="142">
        <f>B576*IBGE_2!J$576/100</f>
        <v>7.9000000000000001E-2</v>
      </c>
      <c r="K576" s="142">
        <f>B576*IBGE_2!K$576/100</f>
        <v>118.443</v>
      </c>
      <c r="L576" s="142">
        <f>B576*IBGE_2!L$576/100</f>
        <v>40.136000000000003</v>
      </c>
      <c r="M576" s="142">
        <f>B576*IBGE_2!M$576/100</f>
        <v>0.33900000000000008</v>
      </c>
      <c r="N576" s="142">
        <f>B576*IBGE_2!N$576/100</f>
        <v>201.26400000000001</v>
      </c>
      <c r="O576" s="142">
        <f>B576*IBGE_2!O$576/100</f>
        <v>23.382999999999996</v>
      </c>
      <c r="P576" s="142">
        <f>B576*IBGE_2!P$576/100</f>
        <v>0.19600000000000001</v>
      </c>
      <c r="Q576" s="142">
        <f>B576*IBGE_2!Q$576/100</f>
        <v>206.833</v>
      </c>
      <c r="R576" s="142">
        <f>B576*IBGE_2!R$576/100</f>
        <v>0.54700000000000004</v>
      </c>
      <c r="S576" s="142">
        <f>B576*IBGE_2!S$576/100</f>
        <v>129.465</v>
      </c>
      <c r="T576" s="142">
        <f>B576*IBGE_2!T$576/100</f>
        <v>289.84500000000003</v>
      </c>
      <c r="U576" s="142">
        <f>B576*IBGE_2!U$576/100</f>
        <v>3.7999999999999999E-2</v>
      </c>
      <c r="V576" s="142">
        <f>B576*IBGE_2!V$576/100</f>
        <v>0.97399999999999987</v>
      </c>
      <c r="W576" s="142">
        <f>B576*IBGE_2!W$576/100</f>
        <v>85.817999999999998</v>
      </c>
      <c r="X576" s="142">
        <f>B576*IBGE_2!X$576/100</f>
        <v>6.7000000000000004E-2</v>
      </c>
      <c r="Y576" s="142">
        <f>B576*IBGE_2!Y$576/100</f>
        <v>0.37799999999999995</v>
      </c>
      <c r="Z576" s="142">
        <f>B576*IBGE_2!Z$576/100</f>
        <v>8.3000000000000004E-2</v>
      </c>
      <c r="AA576" s="142">
        <f>B576*IBGE_2!AA$576/100</f>
        <v>0.19</v>
      </c>
      <c r="AB576" s="142">
        <f>B576*IBGE_2!AB$576/100</f>
        <v>1.641</v>
      </c>
      <c r="AC576" s="142">
        <f>B576*IBGE_2!AC$576/100</f>
        <v>2.0190000000000001</v>
      </c>
      <c r="AD576" s="142">
        <f>B576*IBGE_2!AD$576/100</f>
        <v>0.47599999999999992</v>
      </c>
      <c r="AE576" s="142">
        <f>B576*IBGE_2!AE$576/100</f>
        <v>17.326000000000001</v>
      </c>
      <c r="AF576" s="142">
        <f>B576*IBGE_2!AF$576/100</f>
        <v>0.89900000000000002</v>
      </c>
      <c r="AG576" s="142">
        <f>B576*IBGE_2!AG$576/100</f>
        <v>0.36799999999999999</v>
      </c>
      <c r="AH576" s="142">
        <f>B576*IBGE_2!AH$576/100</f>
        <v>0.20100000000000001</v>
      </c>
      <c r="AI576" s="142" t="s">
        <v>3047</v>
      </c>
      <c r="AJ576" s="142">
        <f>B576*IBGE_2!AJ$576/100</f>
        <v>14.993</v>
      </c>
      <c r="AK576" s="142">
        <f>B576*IBGE_2!AK$576/100</f>
        <v>86.875</v>
      </c>
      <c r="AL576" s="142">
        <f>B576*IBGE_2!AL$576/100</f>
        <v>38.630000000000003</v>
      </c>
      <c r="AM576" s="142">
        <f>B576*IBGE_2!AM$576/100</f>
        <v>31.611000000000001</v>
      </c>
      <c r="AN576" s="161"/>
    </row>
    <row r="577" spans="1:40">
      <c r="A577" s="143" t="s">
        <v>1637</v>
      </c>
      <c r="B577" s="141">
        <v>100</v>
      </c>
      <c r="C577" s="142">
        <f>B577*IBGE_2!C$577/100</f>
        <v>128.30000000000001</v>
      </c>
      <c r="D577" s="142">
        <f>B577*IBGE_2!D$577/100</f>
        <v>4.3499999999999996</v>
      </c>
      <c r="E577" s="142">
        <f>B577*IBGE_2!E$577/100</f>
        <v>0.22</v>
      </c>
      <c r="F577" s="142">
        <f>B577*IBGE_2!F$577/100</f>
        <v>0.04</v>
      </c>
      <c r="G577" s="142">
        <f>B577*IBGE_2!G$577/100</f>
        <v>0.03</v>
      </c>
      <c r="H577" s="142">
        <f>B577*IBGE_2!H$577/100</f>
        <v>0.09</v>
      </c>
      <c r="I577" s="142">
        <f>B577*IBGE_2!I$577/100</f>
        <v>0.08</v>
      </c>
      <c r="J577" s="142" t="s">
        <v>3047</v>
      </c>
      <c r="K577" s="142" t="s">
        <v>3047</v>
      </c>
      <c r="L577" s="142">
        <f>B577*IBGE_2!L$577/100</f>
        <v>26.42</v>
      </c>
      <c r="M577" s="142">
        <f>B577*IBGE_2!M$577/100</f>
        <v>1.71</v>
      </c>
      <c r="N577" s="142">
        <f>B577*IBGE_2!N$577/100</f>
        <v>10.74</v>
      </c>
      <c r="O577" s="142">
        <f>B577*IBGE_2!O$577/100</f>
        <v>15.82</v>
      </c>
      <c r="P577" s="142">
        <f>B577*IBGE_2!P$577/100</f>
        <v>0.27</v>
      </c>
      <c r="Q577" s="142">
        <f>B577*IBGE_2!Q$577/100</f>
        <v>58.01</v>
      </c>
      <c r="R577" s="142">
        <f>B577*IBGE_2!R$577/100</f>
        <v>0.37</v>
      </c>
      <c r="S577" s="142">
        <f>B577*IBGE_2!S$577/100</f>
        <v>261.48</v>
      </c>
      <c r="T577" s="142">
        <f>B577*IBGE_2!T$577/100</f>
        <v>57.49</v>
      </c>
      <c r="U577" s="142">
        <f>B577*IBGE_2!U$577/100</f>
        <v>0.09</v>
      </c>
      <c r="V577" s="142">
        <f>B577*IBGE_2!V$577/100</f>
        <v>0.28000000000000003</v>
      </c>
      <c r="W577" s="142" t="s">
        <v>3047</v>
      </c>
      <c r="X577" s="142">
        <f>B577*IBGE_2!X$577/100</f>
        <v>0.06</v>
      </c>
      <c r="Y577" s="142">
        <f>B577*IBGE_2!Y$577/100</f>
        <v>0.03</v>
      </c>
      <c r="Z577" s="142">
        <f>B577*IBGE_2!Z$577/100</f>
        <v>0.04</v>
      </c>
      <c r="AA577" s="142">
        <f>B577*IBGE_2!AA$577/100</f>
        <v>1.19</v>
      </c>
      <c r="AB577" s="142" t="s">
        <v>3047</v>
      </c>
      <c r="AC577" s="142">
        <f>B577*IBGE_2!AC$577/100</f>
        <v>2.12</v>
      </c>
      <c r="AD577" s="145" t="s">
        <v>3047</v>
      </c>
      <c r="AE577" s="142">
        <f>B577*IBGE_2!AE$577/100</f>
        <v>6.82</v>
      </c>
      <c r="AF577" s="145" t="s">
        <v>3047</v>
      </c>
      <c r="AG577" s="142">
        <f>B577*IBGE_2!AG$577/100</f>
        <v>0.05</v>
      </c>
      <c r="AH577" s="145" t="s">
        <v>3047</v>
      </c>
      <c r="AI577" s="142" t="s">
        <v>3047</v>
      </c>
      <c r="AJ577" s="142">
        <f>B577*IBGE_2!AJ$577/100</f>
        <v>3.75</v>
      </c>
      <c r="AK577" s="142">
        <f>B577*IBGE_2!AK$577/100</f>
        <v>0.06</v>
      </c>
      <c r="AL577" s="142">
        <f>B577*IBGE_2!AL$577/100</f>
        <v>0.72</v>
      </c>
      <c r="AM577" s="145" t="s">
        <v>3047</v>
      </c>
      <c r="AN577" s="161"/>
    </row>
    <row r="578" spans="1:40">
      <c r="A578" s="143" t="s">
        <v>1638</v>
      </c>
      <c r="B578" s="141">
        <v>100</v>
      </c>
      <c r="C578" s="142">
        <f>B578*IBGE_2!C$578/100</f>
        <v>116.992</v>
      </c>
      <c r="D578" s="142">
        <f>B578*IBGE_2!D$578/100</f>
        <v>4.3339999999999996</v>
      </c>
      <c r="E578" s="142">
        <f>B578*IBGE_2!E$578/100</f>
        <v>4.0990000000000002</v>
      </c>
      <c r="F578" s="142">
        <f>B578*IBGE_2!F$578/100</f>
        <v>1.9880000000000002</v>
      </c>
      <c r="G578" s="142">
        <f>B578*IBGE_2!G$578/100</f>
        <v>1.208</v>
      </c>
      <c r="H578" s="142">
        <f>B578*IBGE_2!H$578/100</f>
        <v>0.34599999999999992</v>
      </c>
      <c r="I578" s="142">
        <f>B578*IBGE_2!I$578/100</f>
        <v>0.254</v>
      </c>
      <c r="J578" s="142">
        <f>B578*IBGE_2!J$578/100</f>
        <v>6.8000000000000005E-2</v>
      </c>
      <c r="K578" s="142">
        <f>B578*IBGE_2!K$578/100</f>
        <v>63.113999999999997</v>
      </c>
      <c r="L578" s="142">
        <f>B578*IBGE_2!L$578/100</f>
        <v>15.512</v>
      </c>
      <c r="M578" s="142">
        <f>B578*IBGE_2!M$578/100</f>
        <v>2.9000000000000005E-2</v>
      </c>
      <c r="N578" s="142">
        <f>B578*IBGE_2!N$578/100</f>
        <v>102.169</v>
      </c>
      <c r="O578" s="142">
        <f>B578*IBGE_2!O$578/100</f>
        <v>9.7880000000000003</v>
      </c>
      <c r="P578" s="142">
        <f>B578*IBGE_2!P$578/100</f>
        <v>1.0999999999999999E-2</v>
      </c>
      <c r="Q578" s="142">
        <f>B578*IBGE_2!Q$578/100</f>
        <v>98.87</v>
      </c>
      <c r="R578" s="142">
        <f>B578*IBGE_2!R$578/100</f>
        <v>0.23200000000000004</v>
      </c>
      <c r="S578" s="142">
        <f>B578*IBGE_2!S$578/100</f>
        <v>100.384</v>
      </c>
      <c r="T578" s="142">
        <f>B578*IBGE_2!T$578/100</f>
        <v>137.70400000000001</v>
      </c>
      <c r="U578" s="142">
        <f>B578*IBGE_2!U$578/100</f>
        <v>1.2E-2</v>
      </c>
      <c r="V578" s="142">
        <f>B578*IBGE_2!V$578/100</f>
        <v>0.47599999999999992</v>
      </c>
      <c r="W578" s="142">
        <f>B578*IBGE_2!W$578/100</f>
        <v>45.191000000000003</v>
      </c>
      <c r="X578" s="142">
        <f>B578*IBGE_2!X$578/100</f>
        <v>4.5999999999999999E-2</v>
      </c>
      <c r="Y578" s="142">
        <f>B578*IBGE_2!Y$578/100</f>
        <v>0.222</v>
      </c>
      <c r="Z578" s="142">
        <f>B578*IBGE_2!Z$578/100</f>
        <v>4.5999999999999999E-2</v>
      </c>
      <c r="AA578" s="142">
        <f>B578*IBGE_2!AA$578/100</f>
        <v>0.1</v>
      </c>
      <c r="AB578" s="142" t="s">
        <v>3047</v>
      </c>
      <c r="AC578" s="142">
        <f>B578*IBGE_2!AC$578/100</f>
        <v>1.4810000000000003</v>
      </c>
      <c r="AD578" s="142">
        <f>B578*IBGE_2!AD$578/100</f>
        <v>0.51300000000000001</v>
      </c>
      <c r="AE578" s="142">
        <f>B578*IBGE_2!AE$578/100</f>
        <v>10.007</v>
      </c>
      <c r="AF578" s="142">
        <f>B578*IBGE_2!AF$578/100</f>
        <v>1.0049999999999999</v>
      </c>
      <c r="AG578" s="142">
        <f>B578*IBGE_2!AG$578/100</f>
        <v>0.183</v>
      </c>
      <c r="AH578" s="142">
        <f>B578*IBGE_2!AH$578/100</f>
        <v>9.7000000000000017E-2</v>
      </c>
      <c r="AI578" s="142" t="s">
        <v>3047</v>
      </c>
      <c r="AJ578" s="142">
        <f>B578*IBGE_2!AJ$578/100</f>
        <v>7.1589999999999998</v>
      </c>
      <c r="AK578" s="142">
        <f>B578*IBGE_2!AK$578/100</f>
        <v>45.713000000000001</v>
      </c>
      <c r="AL578" s="142">
        <f>B578*IBGE_2!AL$578/100</f>
        <v>13.202999999999999</v>
      </c>
      <c r="AM578" s="142">
        <f>B578*IBGE_2!AM$578/100</f>
        <v>8.6020000000000003</v>
      </c>
      <c r="AN578" s="161"/>
    </row>
    <row r="579" spans="1:40">
      <c r="A579" s="143" t="s">
        <v>1639</v>
      </c>
      <c r="B579" s="141">
        <v>100</v>
      </c>
      <c r="C579" s="142">
        <f>B579*IBGE_2!C$579/100</f>
        <v>444.92099999999999</v>
      </c>
      <c r="D579" s="142">
        <f>B579*IBGE_2!D$579/100</f>
        <v>1.639</v>
      </c>
      <c r="E579" s="142">
        <f>B579*IBGE_2!E$579/100</f>
        <v>19.942</v>
      </c>
      <c r="F579" s="142">
        <f>B579*IBGE_2!F$579/100</f>
        <v>17.678999999999998</v>
      </c>
      <c r="G579" s="142">
        <f>B579*IBGE_2!G$579/100</f>
        <v>0.85</v>
      </c>
      <c r="H579" s="142">
        <f>B579*IBGE_2!H$579/100</f>
        <v>0.218</v>
      </c>
      <c r="I579" s="142">
        <f>B579*IBGE_2!I$579/100</f>
        <v>0.218</v>
      </c>
      <c r="J579" s="142" t="s">
        <v>3047</v>
      </c>
      <c r="K579" s="142" t="s">
        <v>3047</v>
      </c>
      <c r="L579" s="142">
        <f>B579*IBGE_2!L$579/100</f>
        <v>68.843999999999994</v>
      </c>
      <c r="M579" s="142">
        <f>B579*IBGE_2!M$579/100</f>
        <v>2.59</v>
      </c>
      <c r="N579" s="142">
        <f>B579*IBGE_2!N$579/100</f>
        <v>9.9329999999999998</v>
      </c>
      <c r="O579" s="142">
        <f>B579*IBGE_2!O$579/100</f>
        <v>28.315000000000001</v>
      </c>
      <c r="P579" s="142">
        <f>B579*IBGE_2!P$579/100</f>
        <v>1.393</v>
      </c>
      <c r="Q579" s="142">
        <f>B579*IBGE_2!Q$579/100</f>
        <v>61.18</v>
      </c>
      <c r="R579" s="142">
        <f>B579*IBGE_2!R$579/100</f>
        <v>1.1100000000000001</v>
      </c>
      <c r="S579" s="142">
        <f>B579*IBGE_2!S$579/100</f>
        <v>148.989</v>
      </c>
      <c r="T579" s="142">
        <f>B579*IBGE_2!T$579/100</f>
        <v>194.416</v>
      </c>
      <c r="U579" s="142">
        <f>B579*IBGE_2!U$579/100</f>
        <v>0.18099999999999997</v>
      </c>
      <c r="V579" s="142">
        <f>B579*IBGE_2!V$579/100</f>
        <v>1.026</v>
      </c>
      <c r="W579" s="142" t="s">
        <v>3047</v>
      </c>
      <c r="X579" s="142">
        <f>B579*IBGE_2!X$579/100</f>
        <v>1.7999999999999999E-2</v>
      </c>
      <c r="Y579" s="142">
        <f>B579*IBGE_2!Y$579/100</f>
        <v>2.3E-2</v>
      </c>
      <c r="Z579" s="142">
        <f>B579*IBGE_2!Z$579/100</f>
        <v>0.153</v>
      </c>
      <c r="AA579" s="142">
        <f>B579*IBGE_2!AA$579/100</f>
        <v>0.26800000000000002</v>
      </c>
      <c r="AB579" s="142">
        <f>B579*IBGE_2!AB$579/100</f>
        <v>0.88800000000000001</v>
      </c>
      <c r="AC579" s="142">
        <f>B579*IBGE_2!AC$579/100</f>
        <v>0.59099999999999997</v>
      </c>
      <c r="AD579" s="142" t="s">
        <v>3047</v>
      </c>
      <c r="AE579" s="142">
        <f>B579*IBGE_2!AE$579/100</f>
        <v>5.1120000000000001</v>
      </c>
      <c r="AF579" s="142" t="s">
        <v>3047</v>
      </c>
      <c r="AG579" s="142">
        <f>B579*IBGE_2!AG$579/100</f>
        <v>0.22600000000000001</v>
      </c>
      <c r="AH579" s="145" t="s">
        <v>3047</v>
      </c>
      <c r="AI579" s="142" t="s">
        <v>3047</v>
      </c>
      <c r="AJ579" s="142">
        <f>B579*IBGE_2!AJ$579/100</f>
        <v>9.7240000000000002</v>
      </c>
      <c r="AK579" s="145" t="s">
        <v>3047</v>
      </c>
      <c r="AL579" s="142">
        <f>B579*IBGE_2!AL$579/100</f>
        <v>61.426000000000002</v>
      </c>
      <c r="AM579" s="142">
        <f>B579*IBGE_2!AM$579/100</f>
        <v>61.905000000000001</v>
      </c>
      <c r="AN579" s="161"/>
    </row>
    <row r="580" spans="1:40">
      <c r="A580" s="143" t="s">
        <v>1640</v>
      </c>
      <c r="B580" s="141">
        <v>100</v>
      </c>
      <c r="C580" s="142">
        <f>B580*IBGE_2!C$580/100</f>
        <v>404.8</v>
      </c>
      <c r="D580" s="142">
        <f>B580*IBGE_2!D$580/100</f>
        <v>1.01</v>
      </c>
      <c r="E580" s="142">
        <f>B580*IBGE_2!E$580/100</f>
        <v>12.46</v>
      </c>
      <c r="F580" s="142">
        <f>B580*IBGE_2!F$580/100</f>
        <v>11.01</v>
      </c>
      <c r="G580" s="142">
        <f>B580*IBGE_2!G$580/100</f>
        <v>0.53</v>
      </c>
      <c r="H580" s="142">
        <f>B580*IBGE_2!H$580/100</f>
        <v>0.14000000000000001</v>
      </c>
      <c r="I580" s="142">
        <f>B580*IBGE_2!I$580/100</f>
        <v>0.14000000000000001</v>
      </c>
      <c r="J580" s="142" t="s">
        <v>3047</v>
      </c>
      <c r="K580" s="142" t="s">
        <v>3047</v>
      </c>
      <c r="L580" s="142">
        <f>B580*IBGE_2!L$580/100</f>
        <v>75.650000000000006</v>
      </c>
      <c r="M580" s="142">
        <f>B580*IBGE_2!M$580/100</f>
        <v>1.58</v>
      </c>
      <c r="N580" s="142">
        <f>B580*IBGE_2!N$580/100</f>
        <v>8.3000000000000007</v>
      </c>
      <c r="O580" s="142">
        <f>B580*IBGE_2!O$580/100</f>
        <v>17.68</v>
      </c>
      <c r="P580" s="142">
        <f>B580*IBGE_2!P$580/100</f>
        <v>0.87</v>
      </c>
      <c r="Q580" s="142">
        <f>B580*IBGE_2!Q$580/100</f>
        <v>37.450000000000003</v>
      </c>
      <c r="R580" s="142">
        <f>B580*IBGE_2!R$580/100</f>
        <v>0.68</v>
      </c>
      <c r="S580" s="142">
        <f>B580*IBGE_2!S$580/100</f>
        <v>107.35</v>
      </c>
      <c r="T580" s="142">
        <f>B580*IBGE_2!T$580/100</f>
        <v>119.68</v>
      </c>
      <c r="U580" s="142">
        <f>B580*IBGE_2!U$580/100</f>
        <v>0.11</v>
      </c>
      <c r="V580" s="142">
        <f>B580*IBGE_2!V$580/100</f>
        <v>0.71</v>
      </c>
      <c r="W580" s="142" t="s">
        <v>3047</v>
      </c>
      <c r="X580" s="142">
        <f>B580*IBGE_2!X$580/100</f>
        <v>0.02</v>
      </c>
      <c r="Y580" s="142">
        <f>B580*IBGE_2!Y$580/100</f>
        <v>0.02</v>
      </c>
      <c r="Z580" s="142">
        <f>B580*IBGE_2!Z$580/100</f>
        <v>0.1</v>
      </c>
      <c r="AA580" s="142">
        <f>B580*IBGE_2!AA$580/100</f>
        <v>0.17</v>
      </c>
      <c r="AB580" s="142">
        <f>B580*IBGE_2!AB$580/100</f>
        <v>0.25</v>
      </c>
      <c r="AC580" s="142">
        <f>B580*IBGE_2!AC$580/100</f>
        <v>0.36</v>
      </c>
      <c r="AD580" s="142" t="s">
        <v>3047</v>
      </c>
      <c r="AE580" s="142">
        <f>B580*IBGE_2!AE$580/100</f>
        <v>2.8</v>
      </c>
      <c r="AF580" s="142" t="s">
        <v>3047</v>
      </c>
      <c r="AG580" s="142">
        <f>B580*IBGE_2!AG$580/100</f>
        <v>0.14000000000000001</v>
      </c>
      <c r="AH580" s="145" t="s">
        <v>3047</v>
      </c>
      <c r="AI580" s="142" t="s">
        <v>3047</v>
      </c>
      <c r="AJ580" s="142">
        <f>B580*IBGE_2!AJ$580/100</f>
        <v>6.25</v>
      </c>
      <c r="AK580" s="145" t="s">
        <v>3047</v>
      </c>
      <c r="AL580" s="142">
        <f>B580*IBGE_2!AL$580/100</f>
        <v>62.21</v>
      </c>
      <c r="AM580" s="142">
        <f>B580*IBGE_2!AM$580/100</f>
        <v>71.44</v>
      </c>
      <c r="AN580" s="161"/>
    </row>
    <row r="581" spans="1:40">
      <c r="A581" s="143" t="s">
        <v>1641</v>
      </c>
      <c r="B581" s="141">
        <v>100</v>
      </c>
      <c r="C581" s="142">
        <f>B581*IBGE_2!C$581/100</f>
        <v>404.8</v>
      </c>
      <c r="D581" s="142">
        <f>B581*IBGE_2!D$581/100</f>
        <v>1.01</v>
      </c>
      <c r="E581" s="142">
        <f>B581*IBGE_2!E$581/100</f>
        <v>12.46</v>
      </c>
      <c r="F581" s="142">
        <f>B581*IBGE_2!F$581/100</f>
        <v>11.01</v>
      </c>
      <c r="G581" s="142">
        <f>B581*IBGE_2!G$581/100</f>
        <v>0.53</v>
      </c>
      <c r="H581" s="142">
        <f>B581*IBGE_2!H$581/100</f>
        <v>0.14000000000000001</v>
      </c>
      <c r="I581" s="142">
        <f>B581*IBGE_2!I$581/100</f>
        <v>0.14000000000000001</v>
      </c>
      <c r="J581" s="142" t="s">
        <v>3047</v>
      </c>
      <c r="K581" s="142" t="s">
        <v>3047</v>
      </c>
      <c r="L581" s="142">
        <f>B581*IBGE_2!L$581/100</f>
        <v>75.650000000000006</v>
      </c>
      <c r="M581" s="142">
        <f>B581*IBGE_2!M$581/100</f>
        <v>1.58</v>
      </c>
      <c r="N581" s="142">
        <f>B581*IBGE_2!N$581/100</f>
        <v>8.3000000000000007</v>
      </c>
      <c r="O581" s="142">
        <f>B581*IBGE_2!O$581/100</f>
        <v>17.68</v>
      </c>
      <c r="P581" s="142">
        <f>B581*IBGE_2!P$581/100</f>
        <v>0.87</v>
      </c>
      <c r="Q581" s="142">
        <f>B581*IBGE_2!Q$581/100</f>
        <v>37.450000000000003</v>
      </c>
      <c r="R581" s="142">
        <f>B581*IBGE_2!R$581/100</f>
        <v>0.68</v>
      </c>
      <c r="S581" s="142">
        <f>B581*IBGE_2!S$581/100</f>
        <v>107.35</v>
      </c>
      <c r="T581" s="142">
        <f>B581*IBGE_2!T$581/100</f>
        <v>119.68</v>
      </c>
      <c r="U581" s="142">
        <f>B581*IBGE_2!U$581/100</f>
        <v>0.11</v>
      </c>
      <c r="V581" s="142">
        <f>B581*IBGE_2!V$581/100</f>
        <v>0.71</v>
      </c>
      <c r="W581" s="142" t="s">
        <v>3047</v>
      </c>
      <c r="X581" s="142">
        <f>B581*IBGE_2!X$581/100</f>
        <v>0.02</v>
      </c>
      <c r="Y581" s="142">
        <f>B581*IBGE_2!Y$581/100</f>
        <v>0.02</v>
      </c>
      <c r="Z581" s="142">
        <f>B581*IBGE_2!Z$581/100</f>
        <v>0.1</v>
      </c>
      <c r="AA581" s="142">
        <f>B581*IBGE_2!AA$581/100</f>
        <v>0.17</v>
      </c>
      <c r="AB581" s="142">
        <f>B581*IBGE_2!AB$581/100</f>
        <v>0.25</v>
      </c>
      <c r="AC581" s="142">
        <f>B581*IBGE_2!AC$581/100</f>
        <v>0.36</v>
      </c>
      <c r="AD581" s="142" t="s">
        <v>3047</v>
      </c>
      <c r="AE581" s="142">
        <f>B581*IBGE_2!AE$581/100</f>
        <v>2.8</v>
      </c>
      <c r="AF581" s="142" t="s">
        <v>3047</v>
      </c>
      <c r="AG581" s="142">
        <f>B581*IBGE_2!AG$581/100</f>
        <v>0.14000000000000001</v>
      </c>
      <c r="AH581" s="145" t="s">
        <v>3047</v>
      </c>
      <c r="AI581" s="142" t="s">
        <v>3047</v>
      </c>
      <c r="AJ581" s="142">
        <f>B581*IBGE_2!AJ$581/100</f>
        <v>6.25</v>
      </c>
      <c r="AK581" s="145" t="s">
        <v>3047</v>
      </c>
      <c r="AL581" s="142">
        <f>B581*IBGE_2!AL$581/100</f>
        <v>62.21</v>
      </c>
      <c r="AM581" s="142">
        <f>B581*IBGE_2!AM$581/100</f>
        <v>71.44</v>
      </c>
      <c r="AN581" s="161"/>
    </row>
    <row r="582" spans="1:40">
      <c r="A582" s="143" t="s">
        <v>1642</v>
      </c>
      <c r="B582" s="141">
        <v>100</v>
      </c>
      <c r="C582" s="142">
        <f>B582*IBGE_2!C$582/100</f>
        <v>451.58</v>
      </c>
      <c r="D582" s="142">
        <f>B582*IBGE_2!D$582/100</f>
        <v>11.16</v>
      </c>
      <c r="E582" s="142">
        <f>B582*IBGE_2!E$582/100</f>
        <v>23.89</v>
      </c>
      <c r="F582" s="142">
        <f>B582*IBGE_2!F$582/100</f>
        <v>4.0599999999999996</v>
      </c>
      <c r="G582" s="142">
        <f>B582*IBGE_2!G$582/100</f>
        <v>11.76</v>
      </c>
      <c r="H582" s="142">
        <f>B582*IBGE_2!H$582/100</f>
        <v>6.84</v>
      </c>
      <c r="I582" s="142">
        <f>B582*IBGE_2!I$582/100</f>
        <v>6.71</v>
      </c>
      <c r="J582" s="142">
        <f>B582*IBGE_2!J$582/100</f>
        <v>7.0000000000000007E-2</v>
      </c>
      <c r="K582" s="142" t="s">
        <v>3047</v>
      </c>
      <c r="L582" s="142">
        <f>B582*IBGE_2!L$582/100</f>
        <v>55.29</v>
      </c>
      <c r="M582" s="142">
        <f>B582*IBGE_2!M$582/100</f>
        <v>3.73</v>
      </c>
      <c r="N582" s="142">
        <f>B582*IBGE_2!N$582/100</f>
        <v>30.14</v>
      </c>
      <c r="O582" s="142">
        <f>B582*IBGE_2!O$582/100</f>
        <v>70.510000000000005</v>
      </c>
      <c r="P582" s="142">
        <f>B582*IBGE_2!P$582/100</f>
        <v>0.73</v>
      </c>
      <c r="Q582" s="142">
        <f>B582*IBGE_2!Q$582/100</f>
        <v>158.43</v>
      </c>
      <c r="R582" s="142">
        <f>B582*IBGE_2!R$582/100</f>
        <v>0.61</v>
      </c>
      <c r="S582" s="142">
        <f>B582*IBGE_2!S$582/100</f>
        <v>221.83</v>
      </c>
      <c r="T582" s="142">
        <f>B582*IBGE_2!T$582/100</f>
        <v>291.27</v>
      </c>
      <c r="U582" s="142">
        <f>B582*IBGE_2!U$582/100</f>
        <v>0.22</v>
      </c>
      <c r="V582" s="142">
        <f>B582*IBGE_2!V$582/100</f>
        <v>1.44</v>
      </c>
      <c r="W582" s="142">
        <f>B582*IBGE_2!W$582/100</f>
        <v>30.53</v>
      </c>
      <c r="X582" s="142">
        <f>B582*IBGE_2!X$582/100</f>
        <v>0.05</v>
      </c>
      <c r="Y582" s="142">
        <f>B582*IBGE_2!Y$582/100</f>
        <v>0.04</v>
      </c>
      <c r="Z582" s="142">
        <f>B582*IBGE_2!Z$582/100</f>
        <v>0.18</v>
      </c>
      <c r="AA582" s="142">
        <f>B582*IBGE_2!AA$582/100</f>
        <v>5.49</v>
      </c>
      <c r="AB582" s="142">
        <f>B582*IBGE_2!AB$582/100</f>
        <v>0.32</v>
      </c>
      <c r="AC582" s="142">
        <f>B582*IBGE_2!AC$582/100</f>
        <v>7.02</v>
      </c>
      <c r="AD582" s="142" t="s">
        <v>3047</v>
      </c>
      <c r="AE582" s="142">
        <f>B582*IBGE_2!AE$582/100</f>
        <v>47.66</v>
      </c>
      <c r="AF582" s="142" t="s">
        <v>3047</v>
      </c>
      <c r="AG582" s="142">
        <f>B582*IBGE_2!AG$582/100</f>
        <v>2.87</v>
      </c>
      <c r="AH582" s="142">
        <f>B582*IBGE_2!AH$582/100</f>
        <v>0.96</v>
      </c>
      <c r="AI582" s="142" t="s">
        <v>3047</v>
      </c>
      <c r="AJ582" s="142">
        <f>B582*IBGE_2!AJ$582/100</f>
        <v>1.68</v>
      </c>
      <c r="AK582" s="142">
        <f>B582*IBGE_2!AK$582/100</f>
        <v>32.04</v>
      </c>
      <c r="AL582" s="142">
        <f>B582*IBGE_2!AL$582/100</f>
        <v>39.22</v>
      </c>
      <c r="AM582" s="142">
        <f>B582*IBGE_2!AM$582/100</f>
        <v>49.15</v>
      </c>
      <c r="AN582" s="161"/>
    </row>
    <row r="583" spans="1:40">
      <c r="A583" s="143" t="s">
        <v>1643</v>
      </c>
      <c r="B583" s="141">
        <v>100</v>
      </c>
      <c r="C583" s="142">
        <f>B583*IBGE_2!C$583/100</f>
        <v>474</v>
      </c>
      <c r="D583" s="142">
        <f>B583*IBGE_2!D$583/100</f>
        <v>9.1</v>
      </c>
      <c r="E583" s="142">
        <f>B583*IBGE_2!E$583/100</f>
        <v>17.91</v>
      </c>
      <c r="F583" s="142">
        <f>B583*IBGE_2!F$583/100</f>
        <v>2.36</v>
      </c>
      <c r="G583" s="142">
        <f>B583*IBGE_2!G$583/100</f>
        <v>8.44</v>
      </c>
      <c r="H583" s="142">
        <f>B583*IBGE_2!H$583/100</f>
        <v>5.38</v>
      </c>
      <c r="I583" s="142">
        <f>B583*IBGE_2!I$583/100</f>
        <v>5.38</v>
      </c>
      <c r="J583" s="142" t="s">
        <v>3047</v>
      </c>
      <c r="K583" s="142" t="s">
        <v>3047</v>
      </c>
      <c r="L583" s="142">
        <f>B583*IBGE_2!L$583/100</f>
        <v>69.2</v>
      </c>
      <c r="M583" s="142">
        <f>B583*IBGE_2!M$583/100</f>
        <v>2.42</v>
      </c>
      <c r="N583" s="142">
        <f>B583*IBGE_2!N$583/100</f>
        <v>50</v>
      </c>
      <c r="O583" s="142">
        <f>B583*IBGE_2!O$583/100</f>
        <v>64.17</v>
      </c>
      <c r="P583" s="142">
        <f>B583*IBGE_2!P$583/100</f>
        <v>0.73</v>
      </c>
      <c r="Q583" s="142">
        <f>B583*IBGE_2!Q$583/100</f>
        <v>141</v>
      </c>
      <c r="R583" s="142">
        <f>B583*IBGE_2!R$583/100</f>
        <v>4.5</v>
      </c>
      <c r="S583" s="142">
        <f>B583*IBGE_2!S$583/100</f>
        <v>21</v>
      </c>
      <c r="T583" s="142">
        <f>B583*IBGE_2!T$583/100</f>
        <v>236.85</v>
      </c>
      <c r="U583" s="142">
        <f>B583*IBGE_2!U$583/100</f>
        <v>0.47</v>
      </c>
      <c r="V583" s="142">
        <f>B583*IBGE_2!V$583/100</f>
        <v>2.31</v>
      </c>
      <c r="W583" s="142" t="s">
        <v>3047</v>
      </c>
      <c r="X583" s="142">
        <f>B583*IBGE_2!X$583/100</f>
        <v>0.22</v>
      </c>
      <c r="Y583" s="142">
        <f>B583*IBGE_2!Y$583/100</f>
        <v>0.1</v>
      </c>
      <c r="Z583" s="142">
        <f>B583*IBGE_2!Z$583/100</f>
        <v>0.09</v>
      </c>
      <c r="AA583" s="142">
        <f>B583*IBGE_2!AA$583/100</f>
        <v>5.71</v>
      </c>
      <c r="AB583" s="142">
        <f>B583*IBGE_2!AB$583/100</f>
        <v>5.9</v>
      </c>
      <c r="AC583" s="142">
        <f>B583*IBGE_2!AC$583/100</f>
        <v>7.21</v>
      </c>
      <c r="AD583" s="142" t="s">
        <v>3047</v>
      </c>
      <c r="AE583" s="142">
        <f>B583*IBGE_2!AE$583/100</f>
        <v>43.37</v>
      </c>
      <c r="AF583" s="142" t="s">
        <v>3047</v>
      </c>
      <c r="AG583" s="142">
        <f>B583*IBGE_2!AG$583/100</f>
        <v>2.3940000000000001</v>
      </c>
      <c r="AH583" s="145" t="s">
        <v>3047</v>
      </c>
      <c r="AI583" s="142" t="s">
        <v>3047</v>
      </c>
      <c r="AJ583" s="142">
        <f>B583*IBGE_2!AJ$583/100</f>
        <v>3.1</v>
      </c>
      <c r="AK583" s="145" t="s">
        <v>3047</v>
      </c>
      <c r="AL583" s="142">
        <f>B583*IBGE_2!AL$583/100</f>
        <v>55.51</v>
      </c>
      <c r="AM583" s="142">
        <f>B583*IBGE_2!AM$583/100</f>
        <v>58.453000000000003</v>
      </c>
      <c r="AN583" s="161"/>
    </row>
    <row r="584" spans="1:40">
      <c r="A584" s="143" t="s">
        <v>1644</v>
      </c>
      <c r="B584" s="141">
        <v>100</v>
      </c>
      <c r="C584" s="142">
        <f>B584*IBGE_2!C$584/100</f>
        <v>472.17</v>
      </c>
      <c r="D584" s="142">
        <f>B584*IBGE_2!D$584/100</f>
        <v>10.35</v>
      </c>
      <c r="E584" s="142">
        <f>B584*IBGE_2!E$584/100</f>
        <v>21.53</v>
      </c>
      <c r="F584" s="142">
        <f>B584*IBGE_2!F$584/100</f>
        <v>2.99</v>
      </c>
      <c r="G584" s="142">
        <f>B584*IBGE_2!G$584/100</f>
        <v>10.68</v>
      </c>
      <c r="H584" s="142">
        <f>B584*IBGE_2!H$584/100</f>
        <v>6.8</v>
      </c>
      <c r="I584" s="142">
        <f>B584*IBGE_2!I$584/100</f>
        <v>6.8</v>
      </c>
      <c r="J584" s="142" t="s">
        <v>3047</v>
      </c>
      <c r="K584" s="142" t="s">
        <v>3047</v>
      </c>
      <c r="L584" s="142">
        <f>B584*IBGE_2!L$584/100</f>
        <v>64.040000000000006</v>
      </c>
      <c r="M584" s="142">
        <f>B584*IBGE_2!M$584/100</f>
        <v>3.89</v>
      </c>
      <c r="N584" s="142">
        <f>B584*IBGE_2!N$584/100</f>
        <v>32.869999999999997</v>
      </c>
      <c r="O584" s="142">
        <f>B584*IBGE_2!O$584/100</f>
        <v>76.73</v>
      </c>
      <c r="P584" s="142">
        <f>B584*IBGE_2!P$584/100</f>
        <v>0.95</v>
      </c>
      <c r="Q584" s="142">
        <f>B584*IBGE_2!Q$584/100</f>
        <v>158.4</v>
      </c>
      <c r="R584" s="142">
        <f>B584*IBGE_2!R$584/100</f>
        <v>1.72</v>
      </c>
      <c r="S584" s="142">
        <f>B584*IBGE_2!S$584/100</f>
        <v>3.07</v>
      </c>
      <c r="T584" s="142">
        <f>B584*IBGE_2!T$584/100</f>
        <v>290.52999999999997</v>
      </c>
      <c r="U584" s="142">
        <f>B584*IBGE_2!U$584/100</f>
        <v>0.3</v>
      </c>
      <c r="V584" s="142">
        <f>B584*IBGE_2!V$584/100</f>
        <v>1.49</v>
      </c>
      <c r="W584" s="142" t="s">
        <v>3047</v>
      </c>
      <c r="X584" s="142">
        <f>B584*IBGE_2!X$584/100</f>
        <v>0.19</v>
      </c>
      <c r="Y584" s="142">
        <f>B584*IBGE_2!Y$584/100</f>
        <v>0.04</v>
      </c>
      <c r="Z584" s="142">
        <f>B584*IBGE_2!Z$584/100</f>
        <v>0.11</v>
      </c>
      <c r="AA584" s="142">
        <f>B584*IBGE_2!AA$584/100</f>
        <v>5.86</v>
      </c>
      <c r="AB584" s="142" t="s">
        <v>3047</v>
      </c>
      <c r="AC584" s="142">
        <f>B584*IBGE_2!AC$584/100</f>
        <v>7.55</v>
      </c>
      <c r="AD584" s="145" t="s">
        <v>3047</v>
      </c>
      <c r="AE584" s="142">
        <f>B584*IBGE_2!AE$584/100</f>
        <v>64.7</v>
      </c>
      <c r="AF584" s="142" t="s">
        <v>3047</v>
      </c>
      <c r="AG584" s="142">
        <f>B584*IBGE_2!AG$584/100</f>
        <v>3</v>
      </c>
      <c r="AH584" s="145" t="s">
        <v>3047</v>
      </c>
      <c r="AI584" s="142" t="s">
        <v>3047</v>
      </c>
      <c r="AJ584" s="142">
        <f>B584*IBGE_2!AJ$584/100</f>
        <v>3.7</v>
      </c>
      <c r="AK584" s="145" t="s">
        <v>3047</v>
      </c>
      <c r="AL584" s="142">
        <f>B584*IBGE_2!AL$584/100</f>
        <v>15.14</v>
      </c>
      <c r="AM584" s="142">
        <f>B584*IBGE_2!AM$584/100</f>
        <v>13.33</v>
      </c>
      <c r="AN584" s="161"/>
    </row>
    <row r="585" spans="1:40">
      <c r="A585" s="143" t="s">
        <v>1645</v>
      </c>
      <c r="B585" s="141">
        <v>100</v>
      </c>
      <c r="C585" s="142">
        <f>B585*IBGE_2!C$585/100</f>
        <v>460.339</v>
      </c>
      <c r="D585" s="142">
        <f>B585*IBGE_2!D$585/100</f>
        <v>11.013</v>
      </c>
      <c r="E585" s="142">
        <f>B585*IBGE_2!E$585/100</f>
        <v>24.635000000000002</v>
      </c>
      <c r="F585" s="142">
        <f>B585*IBGE_2!F$585/100</f>
        <v>1.859</v>
      </c>
      <c r="G585" s="142">
        <f>B585*IBGE_2!G$585/100</f>
        <v>15.394</v>
      </c>
      <c r="H585" s="142">
        <f>B585*IBGE_2!H$585/100</f>
        <v>6.0149999999999997</v>
      </c>
      <c r="I585" s="142">
        <f>B585*IBGE_2!I$585/100</f>
        <v>6.0110000000000001</v>
      </c>
      <c r="J585" s="142">
        <f>B585*IBGE_2!J$585/100</f>
        <v>3.0000000000000001E-3</v>
      </c>
      <c r="K585" s="142" t="s">
        <v>3047</v>
      </c>
      <c r="L585" s="142">
        <f>B585*IBGE_2!L$585/100</f>
        <v>56.268999999999998</v>
      </c>
      <c r="M585" s="142">
        <f>B585*IBGE_2!M$585/100</f>
        <v>6.13</v>
      </c>
      <c r="N585" s="142">
        <f>B585*IBGE_2!N$585/100</f>
        <v>133.589</v>
      </c>
      <c r="O585" s="142">
        <f>B585*IBGE_2!O$585/100</f>
        <v>134.44</v>
      </c>
      <c r="P585" s="142">
        <f>B585*IBGE_2!P$585/100</f>
        <v>1.159</v>
      </c>
      <c r="Q585" s="142">
        <f>B585*IBGE_2!Q$585/100</f>
        <v>242.703</v>
      </c>
      <c r="R585" s="142">
        <f>B585*IBGE_2!R$585/100</f>
        <v>1.964</v>
      </c>
      <c r="S585" s="142">
        <f>B585*IBGE_2!S$585/100</f>
        <v>7.08</v>
      </c>
      <c r="T585" s="142">
        <f>B585*IBGE_2!T$585/100</f>
        <v>370.226</v>
      </c>
      <c r="U585" s="142">
        <f>B585*IBGE_2!U$585/100</f>
        <v>0.50600000000000001</v>
      </c>
      <c r="V585" s="142">
        <f>B585*IBGE_2!V$585/100</f>
        <v>1.591</v>
      </c>
      <c r="W585" s="142" t="s">
        <v>3047</v>
      </c>
      <c r="X585" s="142">
        <f>B585*IBGE_2!X$585/100</f>
        <v>0.105</v>
      </c>
      <c r="Y585" s="142">
        <f>B585*IBGE_2!Y$585/100</f>
        <v>0.53400000000000003</v>
      </c>
      <c r="Z585" s="142">
        <f>B585*IBGE_2!Z$585/100</f>
        <v>7.6999999999999999E-2</v>
      </c>
      <c r="AA585" s="142">
        <f>B585*IBGE_2!AA$585/100</f>
        <v>1.7210000000000003</v>
      </c>
      <c r="AB585" s="142">
        <f>B585*IBGE_2!AB$585/100</f>
        <v>0.125</v>
      </c>
      <c r="AC585" s="142">
        <f>B585*IBGE_2!AC$585/100</f>
        <v>3.5840000000000005</v>
      </c>
      <c r="AD585" s="142">
        <f>B585*IBGE_2!AD$585/100</f>
        <v>3.0000000000000001E-3</v>
      </c>
      <c r="AE585" s="142">
        <f>B585*IBGE_2!AE$585/100</f>
        <v>25.55</v>
      </c>
      <c r="AF585" s="142" t="s">
        <v>3047</v>
      </c>
      <c r="AG585" s="142">
        <f>B585*IBGE_2!AG$585/100</f>
        <v>13.067</v>
      </c>
      <c r="AH585" s="142">
        <f>B585*IBGE_2!AH$585/100</f>
        <v>8.0000000000000002E-3</v>
      </c>
      <c r="AI585" s="142" t="s">
        <v>3047</v>
      </c>
      <c r="AJ585" s="142">
        <f>B585*IBGE_2!AJ$585/100</f>
        <v>2.2610000000000001</v>
      </c>
      <c r="AK585" s="142">
        <f>B585*IBGE_2!AK$585/100</f>
        <v>4.2000000000000003E-2</v>
      </c>
      <c r="AL585" s="142">
        <f>B585*IBGE_2!AL$585/100</f>
        <v>47.328000000000003</v>
      </c>
      <c r="AM585" s="142">
        <f>B585*IBGE_2!AM$585/100</f>
        <v>45.445999999999998</v>
      </c>
      <c r="AN585" s="161"/>
    </row>
    <row r="586" spans="1:40">
      <c r="A586" s="143" t="s">
        <v>1646</v>
      </c>
      <c r="B586" s="141">
        <v>100</v>
      </c>
      <c r="C586" s="142">
        <f>B586*IBGE_2!C$586/100</f>
        <v>472.17</v>
      </c>
      <c r="D586" s="142">
        <f>B586*IBGE_2!D$586/100</f>
        <v>10.35</v>
      </c>
      <c r="E586" s="142">
        <f>B586*IBGE_2!E$586/100</f>
        <v>21.53</v>
      </c>
      <c r="F586" s="142">
        <f>B586*IBGE_2!F$586/100</f>
        <v>2.99</v>
      </c>
      <c r="G586" s="142">
        <f>B586*IBGE_2!G$586/100</f>
        <v>10.68</v>
      </c>
      <c r="H586" s="142">
        <f>B586*IBGE_2!H$586/100</f>
        <v>6.8</v>
      </c>
      <c r="I586" s="142">
        <f>B586*IBGE_2!I$586/100</f>
        <v>6.8</v>
      </c>
      <c r="J586" s="142" t="s">
        <v>3047</v>
      </c>
      <c r="K586" s="142" t="s">
        <v>3047</v>
      </c>
      <c r="L586" s="142">
        <f>B586*IBGE_2!L$586/100</f>
        <v>64.040000000000006</v>
      </c>
      <c r="M586" s="142">
        <f>B586*IBGE_2!M$586/100</f>
        <v>3.89</v>
      </c>
      <c r="N586" s="142">
        <f>B586*IBGE_2!N$586/100</f>
        <v>32.869999999999997</v>
      </c>
      <c r="O586" s="142">
        <f>B586*IBGE_2!O$586/100</f>
        <v>76.73</v>
      </c>
      <c r="P586" s="142">
        <f>B586*IBGE_2!P$586/100</f>
        <v>0.95</v>
      </c>
      <c r="Q586" s="142">
        <f>B586*IBGE_2!Q$586/100</f>
        <v>158.4</v>
      </c>
      <c r="R586" s="142">
        <f>B586*IBGE_2!R$586/100</f>
        <v>1.72</v>
      </c>
      <c r="S586" s="142">
        <f>B586*IBGE_2!S$586/100</f>
        <v>3.07</v>
      </c>
      <c r="T586" s="142">
        <f>B586*IBGE_2!T$586/100</f>
        <v>290.52999999999997</v>
      </c>
      <c r="U586" s="142">
        <f>B586*IBGE_2!U$586/100</f>
        <v>0.3</v>
      </c>
      <c r="V586" s="142">
        <f>B586*IBGE_2!V$586/100</f>
        <v>1.49</v>
      </c>
      <c r="W586" s="142" t="s">
        <v>3047</v>
      </c>
      <c r="X586" s="142">
        <f>B586*IBGE_2!X$586/100</f>
        <v>0.19</v>
      </c>
      <c r="Y586" s="142">
        <f>B586*IBGE_2!Y$586/100</f>
        <v>0.04</v>
      </c>
      <c r="Z586" s="142">
        <f>B586*IBGE_2!Z$586/100</f>
        <v>0.11</v>
      </c>
      <c r="AA586" s="142">
        <f>B586*IBGE_2!AA$586/100</f>
        <v>5.86</v>
      </c>
      <c r="AB586" s="142" t="s">
        <v>3047</v>
      </c>
      <c r="AC586" s="142">
        <f>B586*IBGE_2!AC$586/100</f>
        <v>7.55</v>
      </c>
      <c r="AD586" s="145" t="s">
        <v>3047</v>
      </c>
      <c r="AE586" s="142">
        <f>B586*IBGE_2!AE$586/100</f>
        <v>64.7</v>
      </c>
      <c r="AF586" s="142" t="s">
        <v>3047</v>
      </c>
      <c r="AG586" s="142">
        <f>B586*IBGE_2!AG$586/100</f>
        <v>3</v>
      </c>
      <c r="AH586" s="145" t="s">
        <v>3047</v>
      </c>
      <c r="AI586" s="142" t="s">
        <v>3047</v>
      </c>
      <c r="AJ586" s="142">
        <f>B586*IBGE_2!AJ$586/100</f>
        <v>3.7</v>
      </c>
      <c r="AK586" s="145" t="s">
        <v>3047</v>
      </c>
      <c r="AL586" s="142">
        <f>B586*IBGE_2!AL$586/100</f>
        <v>15.14</v>
      </c>
      <c r="AM586" s="142">
        <f>B586*IBGE_2!AM$586/100</f>
        <v>13.33</v>
      </c>
      <c r="AN586" s="161"/>
    </row>
    <row r="587" spans="1:40">
      <c r="A587" s="143" t="s">
        <v>1647</v>
      </c>
      <c r="B587" s="141">
        <v>100</v>
      </c>
      <c r="C587" s="142">
        <f>B587*IBGE_2!C$587/100</f>
        <v>474</v>
      </c>
      <c r="D587" s="142">
        <f>B587*IBGE_2!D$587/100</f>
        <v>9.1</v>
      </c>
      <c r="E587" s="142">
        <f>B587*IBGE_2!E$587/100</f>
        <v>17.91</v>
      </c>
      <c r="F587" s="142">
        <f>B587*IBGE_2!F$587/100</f>
        <v>2.36</v>
      </c>
      <c r="G587" s="142">
        <f>B587*IBGE_2!G$587/100</f>
        <v>8.44</v>
      </c>
      <c r="H587" s="142">
        <f>B587*IBGE_2!H$587/100</f>
        <v>5.38</v>
      </c>
      <c r="I587" s="142">
        <f>B587*IBGE_2!I$587/100</f>
        <v>5.38</v>
      </c>
      <c r="J587" s="142" t="s">
        <v>3047</v>
      </c>
      <c r="K587" s="142" t="s">
        <v>3047</v>
      </c>
      <c r="L587" s="142">
        <f>B587*IBGE_2!L$587/100</f>
        <v>69.2</v>
      </c>
      <c r="M587" s="142">
        <f>B587*IBGE_2!M$587/100</f>
        <v>2.42</v>
      </c>
      <c r="N587" s="142">
        <f>B587*IBGE_2!N$587/100</f>
        <v>50</v>
      </c>
      <c r="O587" s="142">
        <f>B587*IBGE_2!O$587/100</f>
        <v>64.17</v>
      </c>
      <c r="P587" s="142">
        <f>B587*IBGE_2!P$587/100</f>
        <v>0.73</v>
      </c>
      <c r="Q587" s="142">
        <f>B587*IBGE_2!Q$587/100</f>
        <v>141</v>
      </c>
      <c r="R587" s="142">
        <f>B587*IBGE_2!R$587/100</f>
        <v>4.5</v>
      </c>
      <c r="S587" s="142">
        <f>B587*IBGE_2!S$587/100</f>
        <v>21</v>
      </c>
      <c r="T587" s="142">
        <f>B587*IBGE_2!T$587/100</f>
        <v>236.85</v>
      </c>
      <c r="U587" s="142">
        <f>B587*IBGE_2!U$587/100</f>
        <v>0.47</v>
      </c>
      <c r="V587" s="142">
        <f>B587*IBGE_2!V$587/100</f>
        <v>2.31</v>
      </c>
      <c r="W587" s="142" t="s">
        <v>3047</v>
      </c>
      <c r="X587" s="142">
        <f>B587*IBGE_2!X$587/100</f>
        <v>0.22</v>
      </c>
      <c r="Y587" s="142">
        <f>B587*IBGE_2!Y$587/100</f>
        <v>0.1</v>
      </c>
      <c r="Z587" s="142">
        <f>B587*IBGE_2!Z$587/100</f>
        <v>0.09</v>
      </c>
      <c r="AA587" s="142">
        <f>B587*IBGE_2!AA$587/100</f>
        <v>5.71</v>
      </c>
      <c r="AB587" s="142">
        <f>B587*IBGE_2!AB$587/100</f>
        <v>5.9</v>
      </c>
      <c r="AC587" s="142">
        <f>B587*IBGE_2!AC$587/100</f>
        <v>7.21</v>
      </c>
      <c r="AD587" s="145" t="s">
        <v>3047</v>
      </c>
      <c r="AE587" s="142">
        <f>B587*IBGE_2!AE$587/100</f>
        <v>43.37</v>
      </c>
      <c r="AF587" s="142" t="s">
        <v>3047</v>
      </c>
      <c r="AG587" s="142">
        <f>B587*IBGE_2!AG$587/100</f>
        <v>2.3940000000000001</v>
      </c>
      <c r="AH587" s="145" t="s">
        <v>3047</v>
      </c>
      <c r="AI587" s="142" t="s">
        <v>3047</v>
      </c>
      <c r="AJ587" s="142">
        <f>B587*IBGE_2!AJ$587/100</f>
        <v>3.1</v>
      </c>
      <c r="AK587" s="145" t="s">
        <v>3047</v>
      </c>
      <c r="AL587" s="142">
        <f>B587*IBGE_2!AL$587/100</f>
        <v>55.51</v>
      </c>
      <c r="AM587" s="142">
        <f>B587*IBGE_2!AM$587/100</f>
        <v>58.453000000000003</v>
      </c>
      <c r="AN587" s="161"/>
    </row>
    <row r="588" spans="1:40">
      <c r="A588" s="143" t="s">
        <v>1648</v>
      </c>
      <c r="B588" s="141">
        <v>100</v>
      </c>
      <c r="C588" s="142">
        <f>B588*IBGE_2!C$588/100</f>
        <v>567</v>
      </c>
      <c r="D588" s="142">
        <f>B588*IBGE_2!D$588/100</f>
        <v>25.8</v>
      </c>
      <c r="E588" s="142">
        <f>B588*IBGE_2!E$588/100</f>
        <v>49.24</v>
      </c>
      <c r="F588" s="142">
        <f>B588*IBGE_2!F$588/100</f>
        <v>6.8339999999999996</v>
      </c>
      <c r="G588" s="142">
        <f>B588*IBGE_2!G$588/100</f>
        <v>24.428999999999995</v>
      </c>
      <c r="H588" s="142">
        <f>B588*IBGE_2!H$588/100</f>
        <v>15.558999999999999</v>
      </c>
      <c r="I588" s="142">
        <f>B588*IBGE_2!I$588/100</f>
        <v>15.555</v>
      </c>
      <c r="J588" s="142">
        <f>B588*IBGE_2!J$588/100</f>
        <v>3.0000000000000001E-3</v>
      </c>
      <c r="K588" s="142" t="s">
        <v>3047</v>
      </c>
      <c r="L588" s="142">
        <f>B588*IBGE_2!L$588/100</f>
        <v>16.13</v>
      </c>
      <c r="M588" s="142">
        <f>B588*IBGE_2!M$588/100</f>
        <v>8.5</v>
      </c>
      <c r="N588" s="142">
        <f>B588*IBGE_2!N$588/100</f>
        <v>92</v>
      </c>
      <c r="O588" s="142">
        <f>B588*IBGE_2!O$588/100</f>
        <v>168</v>
      </c>
      <c r="P588" s="142">
        <f>B588*IBGE_2!P$588/100</f>
        <v>1.9340000000000002</v>
      </c>
      <c r="Q588" s="142">
        <f>B588*IBGE_2!Q$588/100</f>
        <v>376</v>
      </c>
      <c r="R588" s="142">
        <f>B588*IBGE_2!R$588/100</f>
        <v>4.58</v>
      </c>
      <c r="S588" s="142">
        <f>B588*IBGE_2!S$588/100</f>
        <v>18</v>
      </c>
      <c r="T588" s="142">
        <f>B588*IBGE_2!T$588/100</f>
        <v>705</v>
      </c>
      <c r="U588" s="142">
        <f>B588*IBGE_2!U$588/100</f>
        <v>1.1439999999999999</v>
      </c>
      <c r="V588" s="142">
        <f>B588*IBGE_2!V$588/100</f>
        <v>3.27</v>
      </c>
      <c r="W588" s="142" t="s">
        <v>3047</v>
      </c>
      <c r="X588" s="142">
        <f>B588*IBGE_2!X$588/100</f>
        <v>0.64</v>
      </c>
      <c r="Y588" s="142">
        <f>B588*IBGE_2!Y$588/100</f>
        <v>0.13500000000000001</v>
      </c>
      <c r="Z588" s="142">
        <f>B588*IBGE_2!Z$588/100</f>
        <v>0.34799999999999998</v>
      </c>
      <c r="AA588" s="142">
        <f>B588*IBGE_2!AA$588/100</f>
        <v>12.066000000000001</v>
      </c>
      <c r="AB588" s="142" t="s">
        <v>3047</v>
      </c>
      <c r="AC588" s="142">
        <f>B588*IBGE_2!AC$588/100</f>
        <v>16.233000000000001</v>
      </c>
      <c r="AD588" s="145" t="s">
        <v>3047</v>
      </c>
      <c r="AE588" s="142">
        <f>B588*IBGE_2!AE$588/100</f>
        <v>240</v>
      </c>
      <c r="AF588" s="142" t="s">
        <v>3047</v>
      </c>
      <c r="AG588" s="142">
        <f>B588*IBGE_2!AG$588/100</f>
        <v>8.33</v>
      </c>
      <c r="AH588" s="145" t="s">
        <v>3047</v>
      </c>
      <c r="AI588" s="142" t="s">
        <v>3047</v>
      </c>
      <c r="AJ588" s="142">
        <f>B588*IBGE_2!AJ$588/100</f>
        <v>7.2</v>
      </c>
      <c r="AK588" s="145" t="s">
        <v>3047</v>
      </c>
      <c r="AL588" s="142">
        <f>B588*IBGE_2!AL$588/100</f>
        <v>4</v>
      </c>
      <c r="AM588" s="145" t="s">
        <v>3047</v>
      </c>
      <c r="AN588" s="161"/>
    </row>
    <row r="589" spans="1:40">
      <c r="A589" s="143" t="s">
        <v>1649</v>
      </c>
      <c r="B589" s="141">
        <v>100</v>
      </c>
      <c r="C589" s="142">
        <f>B589*IBGE_2!C$589/100</f>
        <v>519</v>
      </c>
      <c r="D589" s="142">
        <f>B589*IBGE_2!D$589/100</f>
        <v>13.1</v>
      </c>
      <c r="E589" s="142">
        <f>B589*IBGE_2!E$589/100</f>
        <v>33.5</v>
      </c>
      <c r="F589" s="142">
        <f>B589*IBGE_2!F$589/100</f>
        <v>14.6</v>
      </c>
      <c r="G589" s="142">
        <f>B589*IBGE_2!G$589/100</f>
        <v>12.92</v>
      </c>
      <c r="H589" s="142">
        <f>B589*IBGE_2!H$589/100</f>
        <v>4.33</v>
      </c>
      <c r="I589" s="142">
        <f>B589*IBGE_2!I$589/100</f>
        <v>4.2220000000000004</v>
      </c>
      <c r="J589" s="142">
        <f>B589*IBGE_2!J$589/100</f>
        <v>0.04</v>
      </c>
      <c r="K589" s="142">
        <f>B589*IBGE_2!K$589/100</f>
        <v>9</v>
      </c>
      <c r="L589" s="142">
        <f>B589*IBGE_2!L$589/100</f>
        <v>49.7</v>
      </c>
      <c r="M589" s="142">
        <f>B589*IBGE_2!M$589/100</f>
        <v>4.7</v>
      </c>
      <c r="N589" s="142">
        <f>B589*IBGE_2!N$589/100</f>
        <v>104</v>
      </c>
      <c r="O589" s="142">
        <f>B589*IBGE_2!O$589/100</f>
        <v>96</v>
      </c>
      <c r="P589" s="142">
        <f>B589*IBGE_2!P$589/100</f>
        <v>0.94499999999999995</v>
      </c>
      <c r="Q589" s="142">
        <f>B589*IBGE_2!Q$589/100</f>
        <v>212</v>
      </c>
      <c r="R589" s="142">
        <f>B589*IBGE_2!R$589/100</f>
        <v>1.31</v>
      </c>
      <c r="S589" s="142">
        <f>B589*IBGE_2!S$589/100</f>
        <v>41</v>
      </c>
      <c r="T589" s="142">
        <f>B589*IBGE_2!T$589/100</f>
        <v>502</v>
      </c>
      <c r="U589" s="142">
        <f>B589*IBGE_2!U$589/100</f>
        <v>0.54400000000000004</v>
      </c>
      <c r="V589" s="142">
        <f>B589*IBGE_2!V$589/100</f>
        <v>2.6</v>
      </c>
      <c r="W589" s="142">
        <f>B589*IBGE_2!W$589/100</f>
        <v>41</v>
      </c>
      <c r="X589" s="142">
        <f>B589*IBGE_2!X$589/100</f>
        <v>0.11600000000000002</v>
      </c>
      <c r="Y589" s="142">
        <f>B589*IBGE_2!Y$589/100</f>
        <v>0.17399999999999999</v>
      </c>
      <c r="Z589" s="142">
        <f>B589*IBGE_2!Z$589/100</f>
        <v>0.1</v>
      </c>
      <c r="AA589" s="142">
        <f>B589*IBGE_2!AA$589/100</f>
        <v>4.2489999999999997</v>
      </c>
      <c r="AB589" s="142" t="s">
        <v>3047</v>
      </c>
      <c r="AC589" s="142">
        <f>B589*IBGE_2!AC$589/100</f>
        <v>6.581999999999999</v>
      </c>
      <c r="AD589" s="142">
        <f>B589*IBGE_2!AD$589/100</f>
        <v>0.53</v>
      </c>
      <c r="AE589" s="142">
        <f>B589*IBGE_2!AE$589/100</f>
        <v>51</v>
      </c>
      <c r="AF589" s="142" t="s">
        <v>3047</v>
      </c>
      <c r="AG589" s="142">
        <f>B589*IBGE_2!AG$589/100</f>
        <v>2.4</v>
      </c>
      <c r="AH589" s="142">
        <f>B589*IBGE_2!AH$589/100</f>
        <v>4.3999999999999997E-2</v>
      </c>
      <c r="AI589" s="142" t="s">
        <v>3047</v>
      </c>
      <c r="AJ589" s="142">
        <f>B589*IBGE_2!AJ$589/100</f>
        <v>5.4</v>
      </c>
      <c r="AK589" s="142">
        <f>B589*IBGE_2!AK$589/100</f>
        <v>41.5</v>
      </c>
      <c r="AL589" s="142">
        <f>B589*IBGE_2!AL$589/100</f>
        <v>40.901000000000003</v>
      </c>
      <c r="AM589" s="142">
        <f>B589*IBGE_2!AM$589/100</f>
        <v>37.878</v>
      </c>
      <c r="AN589" s="161"/>
    </row>
    <row r="590" spans="1:40">
      <c r="A590" s="143" t="s">
        <v>1650</v>
      </c>
      <c r="B590" s="141">
        <v>100</v>
      </c>
      <c r="C590" s="142">
        <f>B590*IBGE_2!C$590/100</f>
        <v>567</v>
      </c>
      <c r="D590" s="142">
        <f>B590*IBGE_2!D$590/100</f>
        <v>25.8</v>
      </c>
      <c r="E590" s="142">
        <f>B590*IBGE_2!E$590/100</f>
        <v>49.24</v>
      </c>
      <c r="F590" s="142">
        <f>B590*IBGE_2!F$590/100</f>
        <v>6.8339999999999996</v>
      </c>
      <c r="G590" s="142">
        <f>B590*IBGE_2!G$590/100</f>
        <v>24.428999999999995</v>
      </c>
      <c r="H590" s="142">
        <f>B590*IBGE_2!H$590/100</f>
        <v>15.558999999999999</v>
      </c>
      <c r="I590" s="142">
        <f>B590*IBGE_2!I$590/100</f>
        <v>15.555</v>
      </c>
      <c r="J590" s="142">
        <f>B590*IBGE_2!J$590/100</f>
        <v>3.0000000000000001E-3</v>
      </c>
      <c r="K590" s="142" t="s">
        <v>3047</v>
      </c>
      <c r="L590" s="142">
        <f>B590*IBGE_2!L$590/100</f>
        <v>16.13</v>
      </c>
      <c r="M590" s="142">
        <f>B590*IBGE_2!M$590/100</f>
        <v>8.5</v>
      </c>
      <c r="N590" s="142">
        <f>B590*IBGE_2!N$590/100</f>
        <v>92</v>
      </c>
      <c r="O590" s="142">
        <f>B590*IBGE_2!O$590/100</f>
        <v>168</v>
      </c>
      <c r="P590" s="142">
        <f>B590*IBGE_2!P$590/100</f>
        <v>1.9340000000000002</v>
      </c>
      <c r="Q590" s="142">
        <f>B590*IBGE_2!Q$590/100</f>
        <v>376</v>
      </c>
      <c r="R590" s="142">
        <f>B590*IBGE_2!R$590/100</f>
        <v>4.58</v>
      </c>
      <c r="S590" s="142">
        <f>B590*IBGE_2!S$590/100</f>
        <v>18</v>
      </c>
      <c r="T590" s="142">
        <f>B590*IBGE_2!T$590/100</f>
        <v>705</v>
      </c>
      <c r="U590" s="142">
        <f>B590*IBGE_2!U$590/100</f>
        <v>1.1439999999999999</v>
      </c>
      <c r="V590" s="142">
        <f>B590*IBGE_2!V$590/100</f>
        <v>3.27</v>
      </c>
      <c r="W590" s="142" t="s">
        <v>3047</v>
      </c>
      <c r="X590" s="142">
        <f>B590*IBGE_2!X$590/100</f>
        <v>0.64</v>
      </c>
      <c r="Y590" s="142">
        <f>B590*IBGE_2!Y$590/100</f>
        <v>0.13500000000000001</v>
      </c>
      <c r="Z590" s="142">
        <f>B590*IBGE_2!Z$590/100</f>
        <v>0.34799999999999998</v>
      </c>
      <c r="AA590" s="142">
        <f>B590*IBGE_2!AA$590/100</f>
        <v>12.066000000000001</v>
      </c>
      <c r="AB590" s="142" t="s">
        <v>3047</v>
      </c>
      <c r="AC590" s="142">
        <f>B590*IBGE_2!AC$590/100</f>
        <v>16.233000000000001</v>
      </c>
      <c r="AD590" s="145" t="s">
        <v>3047</v>
      </c>
      <c r="AE590" s="142">
        <f>B590*IBGE_2!AE$590/100</f>
        <v>240</v>
      </c>
      <c r="AF590" s="142" t="s">
        <v>3047</v>
      </c>
      <c r="AG590" s="142">
        <f>B590*IBGE_2!AG$590/100</f>
        <v>8.33</v>
      </c>
      <c r="AH590" s="145" t="s">
        <v>3047</v>
      </c>
      <c r="AI590" s="142" t="s">
        <v>3047</v>
      </c>
      <c r="AJ590" s="142">
        <f>B590*IBGE_2!AJ$590/100</f>
        <v>7.2</v>
      </c>
      <c r="AK590" s="145" t="s">
        <v>3047</v>
      </c>
      <c r="AL590" s="142">
        <f>B590*IBGE_2!AL$590/100</f>
        <v>4</v>
      </c>
      <c r="AM590" s="145" t="s">
        <v>3047</v>
      </c>
      <c r="AN590" s="161"/>
    </row>
    <row r="591" spans="1:40">
      <c r="A591" s="143" t="s">
        <v>1651</v>
      </c>
      <c r="B591" s="141">
        <v>100</v>
      </c>
      <c r="C591" s="142">
        <f>B591*IBGE_2!C$591/100</f>
        <v>318</v>
      </c>
      <c r="D591" s="142">
        <f>B591*IBGE_2!D$591/100</f>
        <v>13.5</v>
      </c>
      <c r="E591" s="142">
        <f>B591*IBGE_2!E$591/100</f>
        <v>22.01</v>
      </c>
      <c r="F591" s="142">
        <f>B591*IBGE_2!F$591/100</f>
        <v>3.0550000000000002</v>
      </c>
      <c r="G591" s="142">
        <f>B591*IBGE_2!G$591/100</f>
        <v>10.920999999999999</v>
      </c>
      <c r="H591" s="142">
        <f>B591*IBGE_2!H$591/100</f>
        <v>6.9560000000000004</v>
      </c>
      <c r="I591" s="142">
        <f>B591*IBGE_2!I$591/100</f>
        <v>6.9539999999999997</v>
      </c>
      <c r="J591" s="142">
        <f>B591*IBGE_2!J$591/100</f>
        <v>1E-3</v>
      </c>
      <c r="K591" s="142" t="s">
        <v>3047</v>
      </c>
      <c r="L591" s="142">
        <f>B591*IBGE_2!L$591/100</f>
        <v>21.26</v>
      </c>
      <c r="M591" s="142">
        <f>B591*IBGE_2!M$591/100</f>
        <v>8.8000000000000007</v>
      </c>
      <c r="N591" s="142">
        <f>B591*IBGE_2!N$591/100</f>
        <v>55</v>
      </c>
      <c r="O591" s="142">
        <f>B591*IBGE_2!O$591/100</f>
        <v>102</v>
      </c>
      <c r="P591" s="142">
        <f>B591*IBGE_2!P$591/100</f>
        <v>1.0229999999999999</v>
      </c>
      <c r="Q591" s="142">
        <f>B591*IBGE_2!Q$591/100</f>
        <v>198</v>
      </c>
      <c r="R591" s="142">
        <f>B591*IBGE_2!R$591/100</f>
        <v>1.01</v>
      </c>
      <c r="S591" s="142">
        <f>B591*IBGE_2!S$591/100</f>
        <v>751</v>
      </c>
      <c r="T591" s="142">
        <f>B591*IBGE_2!T$591/100</f>
        <v>180</v>
      </c>
      <c r="U591" s="142">
        <f>B591*IBGE_2!U$591/100</f>
        <v>0.499</v>
      </c>
      <c r="V591" s="142">
        <f>B591*IBGE_2!V$591/100</f>
        <v>1.83</v>
      </c>
      <c r="W591" s="142" t="s">
        <v>3047</v>
      </c>
      <c r="X591" s="142">
        <f>B591*IBGE_2!X$591/100</f>
        <v>0.25900000000000001</v>
      </c>
      <c r="Y591" s="142">
        <f>B591*IBGE_2!Y$591/100</f>
        <v>6.3E-2</v>
      </c>
      <c r="Z591" s="142">
        <f>B591*IBGE_2!Z$591/100</f>
        <v>0.152</v>
      </c>
      <c r="AA591" s="142">
        <f>B591*IBGE_2!AA$591/100</f>
        <v>5.2590000000000012</v>
      </c>
      <c r="AB591" s="142" t="s">
        <v>3047</v>
      </c>
      <c r="AC591" s="142">
        <f>B591*IBGE_2!AC$591/100</f>
        <v>7.4420000000000002</v>
      </c>
      <c r="AD591" s="145" t="s">
        <v>3047</v>
      </c>
      <c r="AE591" s="142">
        <f>B591*IBGE_2!AE$591/100</f>
        <v>75</v>
      </c>
      <c r="AF591" s="142" t="s">
        <v>3047</v>
      </c>
      <c r="AG591" s="142">
        <f>B591*IBGE_2!AG$591/100</f>
        <v>4.0999999999999996</v>
      </c>
      <c r="AH591" s="145" t="s">
        <v>3047</v>
      </c>
      <c r="AI591" s="142" t="s">
        <v>3047</v>
      </c>
      <c r="AJ591" s="142">
        <f>B591*IBGE_2!AJ$591/100</f>
        <v>4.4000000000000004</v>
      </c>
      <c r="AK591" s="145" t="s">
        <v>3047</v>
      </c>
      <c r="AL591" s="142">
        <f>B591*IBGE_2!AL$591/100</f>
        <v>2.02</v>
      </c>
      <c r="AM591" s="145" t="s">
        <v>3047</v>
      </c>
      <c r="AN591" s="161"/>
    </row>
    <row r="592" spans="1:40">
      <c r="A592" s="143" t="s">
        <v>1652</v>
      </c>
      <c r="B592" s="141">
        <v>100</v>
      </c>
      <c r="C592" s="142">
        <f>B592*IBGE_2!C$592/100</f>
        <v>334.476</v>
      </c>
      <c r="D592" s="142">
        <f>B592*IBGE_2!D$592/100</f>
        <v>7.524</v>
      </c>
      <c r="E592" s="142">
        <f>B592*IBGE_2!E$592/100</f>
        <v>10.143000000000001</v>
      </c>
      <c r="F592" s="142">
        <f>B592*IBGE_2!F$592/100</f>
        <v>5.4930000000000003</v>
      </c>
      <c r="G592" s="142">
        <f>B592*IBGE_2!G$592/100</f>
        <v>3.1970000000000001</v>
      </c>
      <c r="H592" s="142">
        <f>B592*IBGE_2!H$592/100</f>
        <v>0.94099999999999995</v>
      </c>
      <c r="I592" s="142">
        <f>B592*IBGE_2!I$592/100</f>
        <v>0.78299999999999992</v>
      </c>
      <c r="J592" s="142">
        <f>B592*IBGE_2!J$592/100</f>
        <v>0.158</v>
      </c>
      <c r="K592" s="142">
        <f>B592*IBGE_2!K$592/100</f>
        <v>31.69</v>
      </c>
      <c r="L592" s="142">
        <f>B592*IBGE_2!L$592/100</f>
        <v>54.863999999999997</v>
      </c>
      <c r="M592" s="142">
        <f>B592*IBGE_2!M$592/100</f>
        <v>0.22900000000000001</v>
      </c>
      <c r="N592" s="142">
        <f>B592*IBGE_2!N$592/100</f>
        <v>266.19</v>
      </c>
      <c r="O592" s="142">
        <f>B592*IBGE_2!O$592/100</f>
        <v>28.881</v>
      </c>
      <c r="P592" s="142">
        <f>B592*IBGE_2!P$592/100</f>
        <v>3.9E-2</v>
      </c>
      <c r="Q592" s="142">
        <f>B592*IBGE_2!Q$592/100</f>
        <v>241.571</v>
      </c>
      <c r="R592" s="142">
        <f>B592*IBGE_2!R$592/100</f>
        <v>0.32600000000000001</v>
      </c>
      <c r="S592" s="142">
        <f>B592*IBGE_2!S$592/100</f>
        <v>128.595</v>
      </c>
      <c r="T592" s="142">
        <f>B592*IBGE_2!T$592/100</f>
        <v>373.64299999999997</v>
      </c>
      <c r="U592" s="142">
        <f>B592*IBGE_2!U$592/100</f>
        <v>4.8000000000000001E-2</v>
      </c>
      <c r="V592" s="142">
        <f>B592*IBGE_2!V$592/100</f>
        <v>0.95099999999999996</v>
      </c>
      <c r="W592" s="142">
        <f>B592*IBGE_2!W$592/100</f>
        <v>87.31</v>
      </c>
      <c r="X592" s="142">
        <f>B592*IBGE_2!X$592/100</f>
        <v>8.5000000000000006E-2</v>
      </c>
      <c r="Y592" s="142">
        <f>B592*IBGE_2!Y$592/100</f>
        <v>0.39399999999999996</v>
      </c>
      <c r="Z592" s="142">
        <f>B592*IBGE_2!Z$592/100</f>
        <v>4.8000000000000001E-2</v>
      </c>
      <c r="AA592" s="142">
        <f>B592*IBGE_2!AA$592/100</f>
        <v>0.22</v>
      </c>
      <c r="AB592" s="142">
        <f>B592*IBGE_2!AB$592/100</f>
        <v>2.452</v>
      </c>
      <c r="AC592" s="142">
        <f>B592*IBGE_2!AC$592/100</f>
        <v>1.994</v>
      </c>
      <c r="AD592" s="142">
        <f>B592*IBGE_2!AD$592/100</f>
        <v>0.41099999999999992</v>
      </c>
      <c r="AE592" s="142">
        <f>B592*IBGE_2!AE$592/100</f>
        <v>10.476000000000001</v>
      </c>
      <c r="AF592" s="142">
        <f>B592*IBGE_2!AF$592/100</f>
        <v>0.121</v>
      </c>
      <c r="AG592" s="142">
        <f>B592*IBGE_2!AG$592/100</f>
        <v>0.24</v>
      </c>
      <c r="AH592" s="142">
        <f>B592*IBGE_2!AH$592/100</f>
        <v>0.59</v>
      </c>
      <c r="AI592" s="142" t="s">
        <v>3047</v>
      </c>
      <c r="AJ592" s="142">
        <f>B592*IBGE_2!AJ$592/100</f>
        <v>13.867000000000001</v>
      </c>
      <c r="AK592" s="142">
        <f>B592*IBGE_2!AK$592/100</f>
        <v>89.355000000000004</v>
      </c>
      <c r="AL592" s="142">
        <f>B592*IBGE_2!AL$592/100</f>
        <v>52.588999999999999</v>
      </c>
      <c r="AM592" s="142">
        <f>B592*IBGE_2!AM$592/100</f>
        <v>43.895000000000003</v>
      </c>
      <c r="AN592" s="161"/>
    </row>
    <row r="593" spans="1:40">
      <c r="A593" s="143" t="s">
        <v>1653</v>
      </c>
      <c r="B593" s="141">
        <v>100</v>
      </c>
      <c r="C593" s="142">
        <f>B593*IBGE_2!C$593/100</f>
        <v>339.255</v>
      </c>
      <c r="D593" s="142">
        <f>B593*IBGE_2!D$593/100</f>
        <v>6.3210000000000006</v>
      </c>
      <c r="E593" s="142">
        <f>B593*IBGE_2!E$593/100</f>
        <v>26.927</v>
      </c>
      <c r="F593" s="142">
        <f>B593*IBGE_2!F$593/100</f>
        <v>15.901</v>
      </c>
      <c r="G593" s="142">
        <f>B593*IBGE_2!G$593/100</f>
        <v>7.6980000000000004</v>
      </c>
      <c r="H593" s="142">
        <f>B593*IBGE_2!H$593/100</f>
        <v>1.274</v>
      </c>
      <c r="I593" s="142">
        <f>B593*IBGE_2!I$593/100</f>
        <v>1.0629999999999999</v>
      </c>
      <c r="J593" s="142">
        <f>B593*IBGE_2!J$593/100</f>
        <v>0.156</v>
      </c>
      <c r="K593" s="142">
        <f>B593*IBGE_2!K$593/100</f>
        <v>194.01300000000001</v>
      </c>
      <c r="L593" s="142">
        <f>B593*IBGE_2!L$593/100</f>
        <v>18.547999999999998</v>
      </c>
      <c r="M593" s="142">
        <f>B593*IBGE_2!M$593/100</f>
        <v>0.54300000000000004</v>
      </c>
      <c r="N593" s="142">
        <f>B593*IBGE_2!N$593/100</f>
        <v>45.491999999999997</v>
      </c>
      <c r="O593" s="142">
        <f>B593*IBGE_2!O$593/100</f>
        <v>9.8439999999999994</v>
      </c>
      <c r="P593" s="142">
        <f>B593*IBGE_2!P$593/100</f>
        <v>0.13</v>
      </c>
      <c r="Q593" s="142">
        <f>B593*IBGE_2!Q$593/100</f>
        <v>93.2</v>
      </c>
      <c r="R593" s="142">
        <f>B593*IBGE_2!R$593/100</f>
        <v>1.1830000000000001</v>
      </c>
      <c r="S593" s="142">
        <f>B593*IBGE_2!S$593/100</f>
        <v>50.561000000000007</v>
      </c>
      <c r="T593" s="142">
        <f>B593*IBGE_2!T$593/100</f>
        <v>92.241</v>
      </c>
      <c r="U593" s="142">
        <f>B593*IBGE_2!U$593/100</f>
        <v>3.7999999999999999E-2</v>
      </c>
      <c r="V593" s="142">
        <f>B593*IBGE_2!V$593/100</f>
        <v>0.52900000000000003</v>
      </c>
      <c r="W593" s="142">
        <f>B593*IBGE_2!W$593/100</f>
        <v>250.49200000000002</v>
      </c>
      <c r="X593" s="142">
        <f>B593*IBGE_2!X$593/100</f>
        <v>0.16800000000000001</v>
      </c>
      <c r="Y593" s="142">
        <f>B593*IBGE_2!Y$593/100</f>
        <v>0.28399999999999997</v>
      </c>
      <c r="Z593" s="142">
        <f>B593*IBGE_2!Z$593/100</f>
        <v>5.2999999999999999E-2</v>
      </c>
      <c r="AA593" s="142">
        <f>B593*IBGE_2!AA$593/100</f>
        <v>1.0940000000000001</v>
      </c>
      <c r="AB593" s="142">
        <f>B593*IBGE_2!AB$593/100</f>
        <v>0.20499999999999999</v>
      </c>
      <c r="AC593" s="142">
        <f>B593*IBGE_2!AC$593/100</f>
        <v>2.41</v>
      </c>
      <c r="AD593" s="142">
        <f>B593*IBGE_2!AD$593/100</f>
        <v>0.41299999999999998</v>
      </c>
      <c r="AE593" s="142">
        <f>B593*IBGE_2!AE$593/100</f>
        <v>50.881</v>
      </c>
      <c r="AF593" s="142">
        <f>B593*IBGE_2!AF$593/100</f>
        <v>0.96899999999999986</v>
      </c>
      <c r="AG593" s="142">
        <f>B593*IBGE_2!AG$593/100</f>
        <v>0.98199999999999998</v>
      </c>
      <c r="AH593" s="142">
        <f>B593*IBGE_2!AH$593/100</f>
        <v>0.90799999999999992</v>
      </c>
      <c r="AI593" s="142" t="s">
        <v>3047</v>
      </c>
      <c r="AJ593" s="142">
        <f>B593*IBGE_2!AJ$593/100</f>
        <v>15.217000000000001</v>
      </c>
      <c r="AK593" s="142">
        <f>B593*IBGE_2!AK$593/100</f>
        <v>254.71799999999999</v>
      </c>
      <c r="AL593" s="142">
        <f>B593*IBGE_2!AL$593/100</f>
        <v>4.9470000000000001</v>
      </c>
      <c r="AM593" s="142">
        <f>B593*IBGE_2!AM$593/100</f>
        <v>3.573</v>
      </c>
      <c r="AN593" s="161"/>
    </row>
    <row r="594" spans="1:40">
      <c r="A594" s="143" t="s">
        <v>1654</v>
      </c>
      <c r="B594" s="141">
        <v>100</v>
      </c>
      <c r="C594" s="142">
        <f>B594*IBGE_2!C$594/100</f>
        <v>440.33099999999996</v>
      </c>
      <c r="D594" s="142">
        <f>B594*IBGE_2!D$594/100</f>
        <v>2.3580000000000001</v>
      </c>
      <c r="E594" s="142">
        <f>B594*IBGE_2!E$594/100</f>
        <v>29.03</v>
      </c>
      <c r="F594" s="142">
        <f>B594*IBGE_2!F$594/100</f>
        <v>14.378</v>
      </c>
      <c r="G594" s="142">
        <f>B594*IBGE_2!G$594/100</f>
        <v>9.8879999999999999</v>
      </c>
      <c r="H594" s="142">
        <f>B594*IBGE_2!H$594/100</f>
        <v>3.2320000000000007</v>
      </c>
      <c r="I594" s="142">
        <f>B594*IBGE_2!I$594/100</f>
        <v>2.9750000000000001</v>
      </c>
      <c r="J594" s="142">
        <f>B594*IBGE_2!J$594/100</f>
        <v>0.24399999999999999</v>
      </c>
      <c r="K594" s="142">
        <f>B594*IBGE_2!K$594/100</f>
        <v>56.043999999999997</v>
      </c>
      <c r="L594" s="142">
        <f>B594*IBGE_2!L$594/100</f>
        <v>43.22</v>
      </c>
      <c r="M594" s="142">
        <f>B594*IBGE_2!M$594/100</f>
        <v>0.42499999999999999</v>
      </c>
      <c r="N594" s="142">
        <f>B594*IBGE_2!N$594/100</f>
        <v>32.51</v>
      </c>
      <c r="O594" s="142">
        <f>B594*IBGE_2!O$594/100</f>
        <v>6.1769999999999996</v>
      </c>
      <c r="P594" s="142">
        <f>B594*IBGE_2!P$594/100</f>
        <v>9.8000000000000004E-2</v>
      </c>
      <c r="Q594" s="142">
        <f>B594*IBGE_2!Q$594/100</f>
        <v>40.941000000000003</v>
      </c>
      <c r="R594" s="142">
        <f>B594*IBGE_2!R$594/100</f>
        <v>0.66900000000000004</v>
      </c>
      <c r="S594" s="142">
        <f>B594*IBGE_2!S$594/100</f>
        <v>199.136</v>
      </c>
      <c r="T594" s="142">
        <f>B594*IBGE_2!T$594/100</f>
        <v>56.873000000000005</v>
      </c>
      <c r="U594" s="142">
        <f>B594*IBGE_2!U$594/100</f>
        <v>2.5000000000000001E-2</v>
      </c>
      <c r="V594" s="142">
        <f>B594*IBGE_2!V$594/100</f>
        <v>0.20800000000000002</v>
      </c>
      <c r="W594" s="142">
        <f>B594*IBGE_2!W$594/100</f>
        <v>131.15899999999999</v>
      </c>
      <c r="X594" s="142">
        <f>B594*IBGE_2!X$594/100</f>
        <v>0.12</v>
      </c>
      <c r="Y594" s="142">
        <f>B594*IBGE_2!Y$594/100</f>
        <v>0.127</v>
      </c>
      <c r="Z594" s="142">
        <f>B594*IBGE_2!Z$594/100</f>
        <v>1.7000000000000001E-2</v>
      </c>
      <c r="AA594" s="142">
        <f>B594*IBGE_2!AA$594/100</f>
        <v>0.84899999999999987</v>
      </c>
      <c r="AB594" s="142">
        <f>B594*IBGE_2!AB$594/100</f>
        <v>0.19</v>
      </c>
      <c r="AC594" s="142">
        <f>B594*IBGE_2!AC$594/100</f>
        <v>1.355</v>
      </c>
      <c r="AD594" s="142">
        <f>B594*IBGE_2!AD$594/100</f>
        <v>0.10100000000000002</v>
      </c>
      <c r="AE594" s="142">
        <f>B594*IBGE_2!AE$594/100</f>
        <v>30.204999999999998</v>
      </c>
      <c r="AF594" s="142">
        <f>B594*IBGE_2!AF$594/100</f>
        <v>0.49200000000000005</v>
      </c>
      <c r="AG594" s="142">
        <f>B594*IBGE_2!AG$594/100</f>
        <v>0.57099999999999995</v>
      </c>
      <c r="AH594" s="142">
        <f>B594*IBGE_2!AH$594/100</f>
        <v>2.0499999999999998</v>
      </c>
      <c r="AI594" s="142" t="s">
        <v>3047</v>
      </c>
      <c r="AJ594" s="142">
        <f>B594*IBGE_2!AJ$594/100</f>
        <v>5.3039999999999994</v>
      </c>
      <c r="AK594" s="142">
        <f>B594*IBGE_2!AK$594/100</f>
        <v>133.56700000000001</v>
      </c>
      <c r="AL594" s="142">
        <f>B594*IBGE_2!AL$594/100</f>
        <v>31.504000000000001</v>
      </c>
      <c r="AM594" s="142">
        <f>B594*IBGE_2!AM$594/100</f>
        <v>31.277999999999999</v>
      </c>
      <c r="AN594" s="161"/>
    </row>
    <row r="595" spans="1:40">
      <c r="A595" s="143" t="s">
        <v>1655</v>
      </c>
      <c r="B595" s="141">
        <v>100</v>
      </c>
      <c r="C595" s="142">
        <f>B595*IBGE_2!C$595/100</f>
        <v>404.8</v>
      </c>
      <c r="D595" s="142">
        <f>B595*IBGE_2!D$595/100</f>
        <v>1.01</v>
      </c>
      <c r="E595" s="142">
        <f>B595*IBGE_2!E$595/100</f>
        <v>12.46</v>
      </c>
      <c r="F595" s="142">
        <f>B595*IBGE_2!F$595/100</f>
        <v>11.01</v>
      </c>
      <c r="G595" s="142">
        <f>B595*IBGE_2!G$595/100</f>
        <v>0.53</v>
      </c>
      <c r="H595" s="142">
        <f>B595*IBGE_2!H$595/100</f>
        <v>0.14000000000000001</v>
      </c>
      <c r="I595" s="142">
        <f>B595*IBGE_2!I$595/100</f>
        <v>0.14000000000000001</v>
      </c>
      <c r="J595" s="142" t="s">
        <v>3047</v>
      </c>
      <c r="K595" s="142" t="s">
        <v>3047</v>
      </c>
      <c r="L595" s="142">
        <f>B595*IBGE_2!L$595/100</f>
        <v>75.650000000000006</v>
      </c>
      <c r="M595" s="142">
        <f>B595*IBGE_2!M$595/100</f>
        <v>1.58</v>
      </c>
      <c r="N595" s="142">
        <f>B595*IBGE_2!N$595/100</f>
        <v>8.3000000000000007</v>
      </c>
      <c r="O595" s="142">
        <f>B595*IBGE_2!O$595/100</f>
        <v>17.68</v>
      </c>
      <c r="P595" s="142">
        <f>B595*IBGE_2!P$595/100</f>
        <v>0.87</v>
      </c>
      <c r="Q595" s="142">
        <f>B595*IBGE_2!Q$595/100</f>
        <v>37.450000000000003</v>
      </c>
      <c r="R595" s="142">
        <f>B595*IBGE_2!R$595/100</f>
        <v>0.68</v>
      </c>
      <c r="S595" s="142">
        <f>B595*IBGE_2!S$595/100</f>
        <v>107.35</v>
      </c>
      <c r="T595" s="142">
        <f>B595*IBGE_2!T$595/100</f>
        <v>119.68</v>
      </c>
      <c r="U595" s="142">
        <f>B595*IBGE_2!U$595/100</f>
        <v>0.11</v>
      </c>
      <c r="V595" s="142">
        <f>B595*IBGE_2!V$595/100</f>
        <v>0.71</v>
      </c>
      <c r="W595" s="142" t="s">
        <v>3047</v>
      </c>
      <c r="X595" s="142">
        <f>B595*IBGE_2!X$595/100</f>
        <v>0.02</v>
      </c>
      <c r="Y595" s="142">
        <f>B595*IBGE_2!Y$595/100</f>
        <v>0.02</v>
      </c>
      <c r="Z595" s="142">
        <f>B595*IBGE_2!Z$595/100</f>
        <v>0.1</v>
      </c>
      <c r="AA595" s="142">
        <f>B595*IBGE_2!AA$595/100</f>
        <v>0.17</v>
      </c>
      <c r="AB595" s="142">
        <f>B595*IBGE_2!AB$595/100</f>
        <v>0.25</v>
      </c>
      <c r="AC595" s="142">
        <f>B595*IBGE_2!AC$595/100</f>
        <v>0.36</v>
      </c>
      <c r="AD595" s="145" t="s">
        <v>3047</v>
      </c>
      <c r="AE595" s="142">
        <f>B595*IBGE_2!AE$595/100</f>
        <v>2.8</v>
      </c>
      <c r="AF595" s="145" t="s">
        <v>3047</v>
      </c>
      <c r="AG595" s="142">
        <f>B595*IBGE_2!AG$595/100</f>
        <v>0.14000000000000001</v>
      </c>
      <c r="AH595" s="145" t="s">
        <v>3047</v>
      </c>
      <c r="AI595" s="142" t="s">
        <v>3047</v>
      </c>
      <c r="AJ595" s="142">
        <f>B595*IBGE_2!AJ$595/100</f>
        <v>6.25</v>
      </c>
      <c r="AK595" s="145" t="s">
        <v>3047</v>
      </c>
      <c r="AL595" s="142">
        <f>B595*IBGE_2!AL$595/100</f>
        <v>62.21</v>
      </c>
      <c r="AM595" s="142">
        <f>B595*IBGE_2!AM$595/100</f>
        <v>71.44</v>
      </c>
      <c r="AN595" s="161"/>
    </row>
    <row r="596" spans="1:40">
      <c r="A596" s="143" t="s">
        <v>1656</v>
      </c>
      <c r="B596" s="141">
        <v>100</v>
      </c>
      <c r="C596" s="142">
        <f>B596*IBGE_2!C$596/100</f>
        <v>131.148</v>
      </c>
      <c r="D596" s="142">
        <f>B596*IBGE_2!D$596/100</f>
        <v>5.5839999999999996</v>
      </c>
      <c r="E596" s="142">
        <f>B596*IBGE_2!E$596/100</f>
        <v>5.0659999999999998</v>
      </c>
      <c r="F596" s="142">
        <f>B596*IBGE_2!F$596/100</f>
        <v>2.1360000000000001</v>
      </c>
      <c r="G596" s="142">
        <f>B596*IBGE_2!G$596/100</f>
        <v>1.655</v>
      </c>
      <c r="H596" s="142">
        <f>B596*IBGE_2!H$596/100</f>
        <v>0.51600000000000001</v>
      </c>
      <c r="I596" s="142">
        <f>B596*IBGE_2!I$596/100</f>
        <v>0.40500000000000003</v>
      </c>
      <c r="J596" s="142">
        <f>B596*IBGE_2!J$596/100</f>
        <v>0.06</v>
      </c>
      <c r="K596" s="142">
        <f>B596*IBGE_2!K$596/100</f>
        <v>122.514</v>
      </c>
      <c r="L596" s="142">
        <f>B596*IBGE_2!L$596/100</f>
        <v>15.439</v>
      </c>
      <c r="M596" s="142" t="s">
        <v>3047</v>
      </c>
      <c r="N596" s="142">
        <f>B596*IBGE_2!N$596/100</f>
        <v>89.202000000000012</v>
      </c>
      <c r="O596" s="142">
        <f>B596*IBGE_2!O$596/100</f>
        <v>9.4939999999999998</v>
      </c>
      <c r="P596" s="142">
        <f>B596*IBGE_2!P$596/100</f>
        <v>1.0999999999999999E-2</v>
      </c>
      <c r="Q596" s="142">
        <f>B596*IBGE_2!Q$596/100</f>
        <v>107.709</v>
      </c>
      <c r="R596" s="142">
        <f>B596*IBGE_2!R$596/100</f>
        <v>0.34699999999999998</v>
      </c>
      <c r="S596" s="142">
        <f>B596*IBGE_2!S$596/100</f>
        <v>60.616999999999997</v>
      </c>
      <c r="T596" s="142">
        <f>B596*IBGE_2!T$596/100</f>
        <v>131.16800000000001</v>
      </c>
      <c r="U596" s="142">
        <f>B596*IBGE_2!U$596/100</f>
        <v>1.0999999999999999E-2</v>
      </c>
      <c r="V596" s="142">
        <f>B596*IBGE_2!V$596/100</f>
        <v>0.55400000000000005</v>
      </c>
      <c r="W596" s="142">
        <f>B596*IBGE_2!W$596/100</f>
        <v>64.567999999999998</v>
      </c>
      <c r="X596" s="142">
        <f>B596*IBGE_2!X$596/100</f>
        <v>4.7E-2</v>
      </c>
      <c r="Y596" s="142">
        <f>B596*IBGE_2!Y$596/100</f>
        <v>0.26500000000000001</v>
      </c>
      <c r="Z596" s="142">
        <f>B596*IBGE_2!Z$596/100</f>
        <v>5.7000000000000002E-2</v>
      </c>
      <c r="AA596" s="142">
        <f>B596*IBGE_2!AA$596/100</f>
        <v>9.1999999999999998E-2</v>
      </c>
      <c r="AB596" s="142" t="s">
        <v>3047</v>
      </c>
      <c r="AC596" s="142">
        <f>B596*IBGE_2!AC$596/100</f>
        <v>1.6220000000000001</v>
      </c>
      <c r="AD596" s="142">
        <f>B596*IBGE_2!AD$596/100</f>
        <v>0.59699999999999998</v>
      </c>
      <c r="AE596" s="142">
        <f>B596*IBGE_2!AE$596/100</f>
        <v>15.355</v>
      </c>
      <c r="AF596" s="142">
        <f>B596*IBGE_2!AF$596/100</f>
        <v>1.016</v>
      </c>
      <c r="AG596" s="142">
        <f>B596*IBGE_2!AG$596/100</f>
        <v>0.32100000000000001</v>
      </c>
      <c r="AH596" s="142">
        <f>B596*IBGE_2!AH$596/100</f>
        <v>7.6999999999999999E-2</v>
      </c>
      <c r="AI596" s="142" t="s">
        <v>3047</v>
      </c>
      <c r="AJ596" s="142">
        <f>B596*IBGE_2!AJ$596/100</f>
        <v>10.954000000000001</v>
      </c>
      <c r="AK596" s="142">
        <f>B596*IBGE_2!AK$596/100</f>
        <v>65.209999999999994</v>
      </c>
      <c r="AL596" s="142">
        <f>B596*IBGE_2!AL$596/100</f>
        <v>15.898</v>
      </c>
      <c r="AM596" s="142">
        <f>B596*IBGE_2!AM$596/100</f>
        <v>12.019</v>
      </c>
      <c r="AN596" s="161"/>
    </row>
    <row r="597" spans="1:40">
      <c r="A597" s="143" t="s">
        <v>1657</v>
      </c>
      <c r="B597" s="141">
        <v>100</v>
      </c>
      <c r="C597" s="142">
        <f>B597*IBGE_2!C$597/100</f>
        <v>284.97899999999998</v>
      </c>
      <c r="D597" s="142">
        <f>B597*IBGE_2!D$597/100</f>
        <v>8.2010000000000005</v>
      </c>
      <c r="E597" s="142">
        <f>B597*IBGE_2!E$597/100</f>
        <v>10.738</v>
      </c>
      <c r="F597" s="142">
        <f>B597*IBGE_2!F$597/100</f>
        <v>6.6269999999999989</v>
      </c>
      <c r="G597" s="142">
        <f>B597*IBGE_2!G$597/100</f>
        <v>2.681</v>
      </c>
      <c r="H597" s="142">
        <f>B597*IBGE_2!H$597/100</f>
        <v>0.55700000000000005</v>
      </c>
      <c r="I597" s="142">
        <f>B597*IBGE_2!I$597/100</f>
        <v>0.434</v>
      </c>
      <c r="J597" s="142">
        <f>B597*IBGE_2!J$597/100</f>
        <v>7.9000000000000001E-2</v>
      </c>
      <c r="K597" s="142">
        <f>B597*IBGE_2!K$597/100</f>
        <v>118.443</v>
      </c>
      <c r="L597" s="142">
        <f>B597*IBGE_2!L$597/100</f>
        <v>40.136000000000003</v>
      </c>
      <c r="M597" s="142">
        <f>B597*IBGE_2!M$597/100</f>
        <v>0.33900000000000008</v>
      </c>
      <c r="N597" s="142">
        <f>B597*IBGE_2!N$597/100</f>
        <v>201.26400000000001</v>
      </c>
      <c r="O597" s="142">
        <f>B597*IBGE_2!O$597/100</f>
        <v>23.382999999999996</v>
      </c>
      <c r="P597" s="142">
        <f>B597*IBGE_2!P$597/100</f>
        <v>0.19600000000000001</v>
      </c>
      <c r="Q597" s="142">
        <f>B597*IBGE_2!Q$597/100</f>
        <v>206.833</v>
      </c>
      <c r="R597" s="142">
        <f>B597*IBGE_2!R$597/100</f>
        <v>0.54700000000000004</v>
      </c>
      <c r="S597" s="142">
        <f>B597*IBGE_2!S$597/100</f>
        <v>129.465</v>
      </c>
      <c r="T597" s="142">
        <f>B597*IBGE_2!T$597/100</f>
        <v>289.84500000000003</v>
      </c>
      <c r="U597" s="142">
        <f>B597*IBGE_2!U$597/100</f>
        <v>3.7999999999999999E-2</v>
      </c>
      <c r="V597" s="142">
        <f>B597*IBGE_2!V$597/100</f>
        <v>0.97399999999999987</v>
      </c>
      <c r="W597" s="142">
        <f>B597*IBGE_2!W$597/100</f>
        <v>85.817999999999998</v>
      </c>
      <c r="X597" s="142">
        <f>B597*IBGE_2!X$597/100</f>
        <v>6.7000000000000004E-2</v>
      </c>
      <c r="Y597" s="142">
        <f>B597*IBGE_2!Y$597/100</f>
        <v>0.37799999999999995</v>
      </c>
      <c r="Z597" s="142">
        <f>B597*IBGE_2!Z$597/100</f>
        <v>8.3000000000000004E-2</v>
      </c>
      <c r="AA597" s="142">
        <f>B597*IBGE_2!AA$597/100</f>
        <v>0.19</v>
      </c>
      <c r="AB597" s="142">
        <f>B597*IBGE_2!AB$597/100</f>
        <v>1.641</v>
      </c>
      <c r="AC597" s="142">
        <f>B597*IBGE_2!AC$597/100</f>
        <v>2.0190000000000001</v>
      </c>
      <c r="AD597" s="142">
        <f>B597*IBGE_2!AD$597/100</f>
        <v>0.47599999999999992</v>
      </c>
      <c r="AE597" s="142">
        <f>B597*IBGE_2!AE$597/100</f>
        <v>17.326000000000001</v>
      </c>
      <c r="AF597" s="142">
        <f>B597*IBGE_2!AF$597/100</f>
        <v>0.89900000000000002</v>
      </c>
      <c r="AG597" s="142">
        <f>B597*IBGE_2!AG$597/100</f>
        <v>0.36799999999999999</v>
      </c>
      <c r="AH597" s="142">
        <f>B597*IBGE_2!AH$597/100</f>
        <v>0.20100000000000001</v>
      </c>
      <c r="AI597" s="142" t="s">
        <v>3047</v>
      </c>
      <c r="AJ597" s="142">
        <f>B597*IBGE_2!AJ$597/100</f>
        <v>14.993</v>
      </c>
      <c r="AK597" s="142">
        <f>B597*IBGE_2!AK$597/100</f>
        <v>86.875</v>
      </c>
      <c r="AL597" s="142">
        <f>B597*IBGE_2!AL$597/100</f>
        <v>38.630000000000003</v>
      </c>
      <c r="AM597" s="142">
        <f>B597*IBGE_2!AM$597/100</f>
        <v>31.611000000000001</v>
      </c>
      <c r="AN597" s="161"/>
    </row>
    <row r="598" spans="1:40">
      <c r="A598" s="143" t="s">
        <v>1658</v>
      </c>
      <c r="B598" s="141">
        <v>100</v>
      </c>
      <c r="C598" s="142">
        <f>B598*IBGE_2!C$598/100</f>
        <v>131.148</v>
      </c>
      <c r="D598" s="142">
        <f>B598*IBGE_2!D$598/100</f>
        <v>5.5839999999999996</v>
      </c>
      <c r="E598" s="142">
        <f>B598*IBGE_2!E$598/100</f>
        <v>5.0659999999999998</v>
      </c>
      <c r="F598" s="142">
        <f>B598*IBGE_2!F$598/100</f>
        <v>2.1360000000000001</v>
      </c>
      <c r="G598" s="142">
        <f>B598*IBGE_2!G$598/100</f>
        <v>1.655</v>
      </c>
      <c r="H598" s="142">
        <f>B598*IBGE_2!H$598/100</f>
        <v>0.51600000000000001</v>
      </c>
      <c r="I598" s="142">
        <f>B598*IBGE_2!I$598/100</f>
        <v>0.40500000000000003</v>
      </c>
      <c r="J598" s="142">
        <f>B598*IBGE_2!J$598/100</f>
        <v>0.06</v>
      </c>
      <c r="K598" s="142">
        <f>B598*IBGE_2!K$598/100</f>
        <v>122.514</v>
      </c>
      <c r="L598" s="142">
        <f>B598*IBGE_2!L$598/100</f>
        <v>15.439</v>
      </c>
      <c r="M598" s="142" t="s">
        <v>3047</v>
      </c>
      <c r="N598" s="142">
        <f>B598*IBGE_2!N$598/100</f>
        <v>89.202000000000012</v>
      </c>
      <c r="O598" s="142">
        <f>B598*IBGE_2!O$598/100</f>
        <v>9.4939999999999998</v>
      </c>
      <c r="P598" s="142">
        <f>B598*IBGE_2!P$598/100</f>
        <v>1.0999999999999999E-2</v>
      </c>
      <c r="Q598" s="142">
        <f>B598*IBGE_2!Q$598/100</f>
        <v>107.709</v>
      </c>
      <c r="R598" s="142">
        <f>B598*IBGE_2!R$598/100</f>
        <v>0.34699999999999998</v>
      </c>
      <c r="S598" s="142">
        <f>B598*IBGE_2!S$598/100</f>
        <v>60.616999999999997</v>
      </c>
      <c r="T598" s="142">
        <f>B598*IBGE_2!T$598/100</f>
        <v>131.16800000000001</v>
      </c>
      <c r="U598" s="142">
        <f>B598*IBGE_2!U$598/100</f>
        <v>1.0999999999999999E-2</v>
      </c>
      <c r="V598" s="142">
        <f>B598*IBGE_2!V$598/100</f>
        <v>0.55400000000000005</v>
      </c>
      <c r="W598" s="142">
        <f>B598*IBGE_2!W$598/100</f>
        <v>64.567999999999998</v>
      </c>
      <c r="X598" s="142">
        <f>B598*IBGE_2!X$598/100</f>
        <v>4.7E-2</v>
      </c>
      <c r="Y598" s="142">
        <f>B598*IBGE_2!Y$598/100</f>
        <v>0.26500000000000001</v>
      </c>
      <c r="Z598" s="142">
        <f>B598*IBGE_2!Z$598/100</f>
        <v>5.7000000000000002E-2</v>
      </c>
      <c r="AA598" s="142">
        <f>B598*IBGE_2!AA$598/100</f>
        <v>9.1999999999999998E-2</v>
      </c>
      <c r="AB598" s="142" t="s">
        <v>3047</v>
      </c>
      <c r="AC598" s="142">
        <f>B598*IBGE_2!AC$598/100</f>
        <v>1.6220000000000001</v>
      </c>
      <c r="AD598" s="142">
        <f>B598*IBGE_2!AD$598/100</f>
        <v>0.59699999999999998</v>
      </c>
      <c r="AE598" s="142">
        <f>B598*IBGE_2!AE$598/100</f>
        <v>15.355</v>
      </c>
      <c r="AF598" s="142">
        <f>B598*IBGE_2!AF$598/100</f>
        <v>1.016</v>
      </c>
      <c r="AG598" s="142">
        <f>B598*IBGE_2!AG$598/100</f>
        <v>0.32100000000000001</v>
      </c>
      <c r="AH598" s="142">
        <f>B598*IBGE_2!AH$598/100</f>
        <v>7.6999999999999999E-2</v>
      </c>
      <c r="AI598" s="142" t="s">
        <v>3047</v>
      </c>
      <c r="AJ598" s="142">
        <f>B598*IBGE_2!AJ$598/100</f>
        <v>10.954000000000001</v>
      </c>
      <c r="AK598" s="142">
        <f>B598*IBGE_2!AK$598/100</f>
        <v>65.209999999999994</v>
      </c>
      <c r="AL598" s="142">
        <f>B598*IBGE_2!AL$598/100</f>
        <v>15.898</v>
      </c>
      <c r="AM598" s="142">
        <f>B598*IBGE_2!AM$598/100</f>
        <v>12.019</v>
      </c>
      <c r="AN598" s="161"/>
    </row>
    <row r="599" spans="1:40">
      <c r="A599" s="143" t="s">
        <v>1659</v>
      </c>
      <c r="B599" s="141">
        <v>100</v>
      </c>
      <c r="C599" s="142">
        <f>B599*IBGE_2!C$599/100</f>
        <v>131.148</v>
      </c>
      <c r="D599" s="142">
        <f>B599*IBGE_2!D$599/100</f>
        <v>5.5839999999999996</v>
      </c>
      <c r="E599" s="142">
        <f>B599*IBGE_2!E$599/100</f>
        <v>5.0659999999999998</v>
      </c>
      <c r="F599" s="142">
        <f>B599*IBGE_2!F$599/100</f>
        <v>2.1360000000000001</v>
      </c>
      <c r="G599" s="142">
        <f>B599*IBGE_2!G$599/100</f>
        <v>1.655</v>
      </c>
      <c r="H599" s="142">
        <f>B599*IBGE_2!H$599/100</f>
        <v>0.51600000000000001</v>
      </c>
      <c r="I599" s="142">
        <f>B599*IBGE_2!I$599/100</f>
        <v>0.40500000000000003</v>
      </c>
      <c r="J599" s="142">
        <f>B599*IBGE_2!J$599/100</f>
        <v>0.06</v>
      </c>
      <c r="K599" s="142">
        <f>B599*IBGE_2!K$599/100</f>
        <v>122.514</v>
      </c>
      <c r="L599" s="142">
        <f>B599*IBGE_2!L$599/100</f>
        <v>15.439</v>
      </c>
      <c r="M599" s="142" t="s">
        <v>3047</v>
      </c>
      <c r="N599" s="142">
        <f>B599*IBGE_2!N$599/100</f>
        <v>89.202000000000012</v>
      </c>
      <c r="O599" s="142">
        <f>B599*IBGE_2!O$599/100</f>
        <v>9.4939999999999998</v>
      </c>
      <c r="P599" s="142">
        <f>B599*IBGE_2!P$599/100</f>
        <v>1.0999999999999999E-2</v>
      </c>
      <c r="Q599" s="142">
        <f>B599*IBGE_2!Q$599/100</f>
        <v>107.709</v>
      </c>
      <c r="R599" s="142">
        <f>B599*IBGE_2!R$599/100</f>
        <v>0.34699999999999998</v>
      </c>
      <c r="S599" s="142">
        <f>B599*IBGE_2!S$599/100</f>
        <v>60.616999999999997</v>
      </c>
      <c r="T599" s="142">
        <f>B599*IBGE_2!T$599/100</f>
        <v>131.16800000000001</v>
      </c>
      <c r="U599" s="142">
        <f>B599*IBGE_2!U$599/100</f>
        <v>1.0999999999999999E-2</v>
      </c>
      <c r="V599" s="142">
        <f>B599*IBGE_2!V$599/100</f>
        <v>0.55400000000000005</v>
      </c>
      <c r="W599" s="142">
        <f>B599*IBGE_2!W$599/100</f>
        <v>64.567999999999998</v>
      </c>
      <c r="X599" s="142">
        <f>B599*IBGE_2!X$599/100</f>
        <v>4.7E-2</v>
      </c>
      <c r="Y599" s="142">
        <f>B599*IBGE_2!Y$599/100</f>
        <v>0.26500000000000001</v>
      </c>
      <c r="Z599" s="142">
        <f>B599*IBGE_2!Z$599/100</f>
        <v>5.7000000000000002E-2</v>
      </c>
      <c r="AA599" s="142">
        <f>B599*IBGE_2!AA$599/100</f>
        <v>9.1999999999999998E-2</v>
      </c>
      <c r="AB599" s="142" t="s">
        <v>3047</v>
      </c>
      <c r="AC599" s="142">
        <f>B599*IBGE_2!AC$599/100</f>
        <v>1.6220000000000001</v>
      </c>
      <c r="AD599" s="142">
        <f>B599*IBGE_2!AD$599/100</f>
        <v>0.59699999999999998</v>
      </c>
      <c r="AE599" s="142">
        <f>B599*IBGE_2!AE$599/100</f>
        <v>15.355</v>
      </c>
      <c r="AF599" s="142">
        <f>B599*IBGE_2!AF$599/100</f>
        <v>1.016</v>
      </c>
      <c r="AG599" s="142">
        <f>B599*IBGE_2!AG$599/100</f>
        <v>0.32100000000000001</v>
      </c>
      <c r="AH599" s="142">
        <f>B599*IBGE_2!AH$599/100</f>
        <v>7.6999999999999999E-2</v>
      </c>
      <c r="AI599" s="142" t="s">
        <v>3047</v>
      </c>
      <c r="AJ599" s="142">
        <f>B599*IBGE_2!AJ$599/100</f>
        <v>10.954000000000001</v>
      </c>
      <c r="AK599" s="142">
        <f>B599*IBGE_2!AK$599/100</f>
        <v>65.209999999999994</v>
      </c>
      <c r="AL599" s="142">
        <f>B599*IBGE_2!AL$599/100</f>
        <v>15.898</v>
      </c>
      <c r="AM599" s="142">
        <f>B599*IBGE_2!AM$599/100</f>
        <v>12.019</v>
      </c>
      <c r="AN599" s="161"/>
    </row>
    <row r="600" spans="1:40">
      <c r="A600" s="143" t="s">
        <v>1660</v>
      </c>
      <c r="B600" s="141">
        <v>100</v>
      </c>
      <c r="C600" s="142">
        <f>B600*IBGE_2!C$600/100</f>
        <v>319.69499999999999</v>
      </c>
      <c r="D600" s="142">
        <f>B600*IBGE_2!D$600/100</f>
        <v>7.8779999999999992</v>
      </c>
      <c r="E600" s="142">
        <f>B600*IBGE_2!E$600/100</f>
        <v>8.6649999999999991</v>
      </c>
      <c r="F600" s="142">
        <f>B600*IBGE_2!F$600/100</f>
        <v>5.4640000000000013</v>
      </c>
      <c r="G600" s="142">
        <f>B600*IBGE_2!G$600/100</f>
        <v>2.4169999999999998</v>
      </c>
      <c r="H600" s="142">
        <f>B600*IBGE_2!H$600/100</f>
        <v>0.33600000000000002</v>
      </c>
      <c r="I600" s="142">
        <f>B600*IBGE_2!I$600/100</f>
        <v>0.215</v>
      </c>
      <c r="J600" s="142">
        <f>B600*IBGE_2!J$600/100</f>
        <v>0.121</v>
      </c>
      <c r="K600" s="142">
        <f>B600*IBGE_2!K$600/100</f>
        <v>33.862000000000002</v>
      </c>
      <c r="L600" s="142">
        <f>B600*IBGE_2!L$600/100</f>
        <v>54.179000000000002</v>
      </c>
      <c r="M600" s="142" t="s">
        <v>3047</v>
      </c>
      <c r="N600" s="142">
        <f>B600*IBGE_2!N$600/100</f>
        <v>282.846</v>
      </c>
      <c r="O600" s="142">
        <f>B600*IBGE_2!O$600/100</f>
        <v>25.893999999999995</v>
      </c>
      <c r="P600" s="142">
        <f>B600*IBGE_2!P$600/100</f>
        <v>6.0000000000000001E-3</v>
      </c>
      <c r="Q600" s="142">
        <f>B600*IBGE_2!Q$600/100</f>
        <v>251.97200000000001</v>
      </c>
      <c r="R600" s="142">
        <f>B600*IBGE_2!R$600/100</f>
        <v>0.18899999999999997</v>
      </c>
      <c r="S600" s="142">
        <f>B600*IBGE_2!S$600/100</f>
        <v>126.48399999999999</v>
      </c>
      <c r="T600" s="142">
        <f>B600*IBGE_2!T$600/100</f>
        <v>369.49200000000002</v>
      </c>
      <c r="U600" s="142">
        <f>B600*IBGE_2!U$600/100</f>
        <v>1.4999999999999999E-2</v>
      </c>
      <c r="V600" s="142">
        <f>B600*IBGE_2!V$600/100</f>
        <v>0.93600000000000005</v>
      </c>
      <c r="W600" s="142">
        <f>B600*IBGE_2!W$600/100</f>
        <v>72.703000000000003</v>
      </c>
      <c r="X600" s="142">
        <f>B600*IBGE_2!X$600/100</f>
        <v>0.09</v>
      </c>
      <c r="Y600" s="142">
        <f>B600*IBGE_2!Y$600/100</f>
        <v>0.41399999999999998</v>
      </c>
      <c r="Z600" s="142">
        <f>B600*IBGE_2!Z$600/100</f>
        <v>5.0999999999999997E-2</v>
      </c>
      <c r="AA600" s="142">
        <f>B600*IBGE_2!AA$600/100</f>
        <v>0.20899999999999999</v>
      </c>
      <c r="AB600" s="142">
        <f>B600*IBGE_2!AB$600/100</f>
        <v>2.589</v>
      </c>
      <c r="AC600" s="142">
        <f>B600*IBGE_2!AC$600/100</f>
        <v>2.0680000000000001</v>
      </c>
      <c r="AD600" s="142">
        <f>B600*IBGE_2!AD$600/100</f>
        <v>0.43799999999999994</v>
      </c>
      <c r="AE600" s="142">
        <f>B600*IBGE_2!AE$600/100</f>
        <v>10.955</v>
      </c>
      <c r="AF600" s="142">
        <f>B600*IBGE_2!AF$600/100</f>
        <v>0.129</v>
      </c>
      <c r="AG600" s="142">
        <f>B600*IBGE_2!AG$600/100</f>
        <v>0.159</v>
      </c>
      <c r="AH600" s="142">
        <f>B600*IBGE_2!AH$600/100</f>
        <v>0.309</v>
      </c>
      <c r="AI600" s="142" t="s">
        <v>3047</v>
      </c>
      <c r="AJ600" s="142">
        <f>B600*IBGE_2!AJ$600/100</f>
        <v>14.74</v>
      </c>
      <c r="AK600" s="142">
        <f>B600*IBGE_2!AK$600/100</f>
        <v>73.864999999999995</v>
      </c>
      <c r="AL600" s="142">
        <f>B600*IBGE_2!AL$600/100</f>
        <v>52.511000000000003</v>
      </c>
      <c r="AM600" s="142">
        <f>B600*IBGE_2!AM$600/100</f>
        <v>43.015000000000001</v>
      </c>
      <c r="AN600" s="161"/>
    </row>
    <row r="601" spans="1:40">
      <c r="A601" s="143" t="s">
        <v>1661</v>
      </c>
      <c r="B601" s="141">
        <v>100</v>
      </c>
      <c r="C601" s="142">
        <f>B601*IBGE_2!C$601/100</f>
        <v>306.428</v>
      </c>
      <c r="D601" s="142">
        <f>B601*IBGE_2!D$601/100</f>
        <v>4.9349999999999996</v>
      </c>
      <c r="E601" s="142">
        <f>B601*IBGE_2!E$601/100</f>
        <v>22.238000000000003</v>
      </c>
      <c r="F601" s="142">
        <f>B601*IBGE_2!F$601/100</f>
        <v>12.878999999999998</v>
      </c>
      <c r="G601" s="142">
        <f>B601*IBGE_2!G$601/100</f>
        <v>7.0310000000000006</v>
      </c>
      <c r="H601" s="142">
        <f>B601*IBGE_2!H$601/100</f>
        <v>1.246</v>
      </c>
      <c r="I601" s="142">
        <f>B601*IBGE_2!I$601/100</f>
        <v>0.92300000000000015</v>
      </c>
      <c r="J601" s="142">
        <f>B601*IBGE_2!J$601/100</f>
        <v>0.28199999999999997</v>
      </c>
      <c r="K601" s="142">
        <f>B601*IBGE_2!K$601/100</f>
        <v>151.852</v>
      </c>
      <c r="L601" s="142">
        <f>B601*IBGE_2!L$601/100</f>
        <v>21.594000000000001</v>
      </c>
      <c r="M601" s="142">
        <f>B601*IBGE_2!M$601/100</f>
        <v>0.35699999999999998</v>
      </c>
      <c r="N601" s="142">
        <f>B601*IBGE_2!N$601/100</f>
        <v>66.082999999999998</v>
      </c>
      <c r="O601" s="142">
        <f>B601*IBGE_2!O$601/100</f>
        <v>11.989000000000001</v>
      </c>
      <c r="P601" s="142">
        <f>B601*IBGE_2!P$601/100</f>
        <v>8.2000000000000017E-2</v>
      </c>
      <c r="Q601" s="142">
        <f>B601*IBGE_2!Q$601/100</f>
        <v>96.188999999999993</v>
      </c>
      <c r="R601" s="142">
        <f>B601*IBGE_2!R$601/100</f>
        <v>0.89500000000000002</v>
      </c>
      <c r="S601" s="142">
        <f>B601*IBGE_2!S$601/100</f>
        <v>151.953</v>
      </c>
      <c r="T601" s="142">
        <f>B601*IBGE_2!T$601/100</f>
        <v>121.431</v>
      </c>
      <c r="U601" s="142">
        <f>B601*IBGE_2!U$601/100</f>
        <v>3.4000000000000002E-2</v>
      </c>
      <c r="V601" s="142">
        <f>B601*IBGE_2!V$601/100</f>
        <v>0.50900000000000001</v>
      </c>
      <c r="W601" s="142">
        <f>B601*IBGE_2!W$601/100</f>
        <v>230.15</v>
      </c>
      <c r="X601" s="142">
        <f>B601*IBGE_2!X$601/100</f>
        <v>0.06</v>
      </c>
      <c r="Y601" s="142">
        <f>B601*IBGE_2!Y$601/100</f>
        <v>0.17299999999999996</v>
      </c>
      <c r="Z601" s="142">
        <f>B601*IBGE_2!Z$601/100</f>
        <v>5.5E-2</v>
      </c>
      <c r="AA601" s="142">
        <f>B601*IBGE_2!AA$601/100</f>
        <v>0.47199999999999998</v>
      </c>
      <c r="AB601" s="142">
        <f>B601*IBGE_2!AB$601/100</f>
        <v>0.161</v>
      </c>
      <c r="AC601" s="142">
        <f>B601*IBGE_2!AC$601/100</f>
        <v>1.345</v>
      </c>
      <c r="AD601" s="142">
        <f>B601*IBGE_2!AD$601/100</f>
        <v>0.36399999999999999</v>
      </c>
      <c r="AE601" s="142">
        <f>B601*IBGE_2!AE$601/100</f>
        <v>24.273000000000003</v>
      </c>
      <c r="AF601" s="142">
        <f>B601*IBGE_2!AF$601/100</f>
        <v>0.67</v>
      </c>
      <c r="AG601" s="142">
        <f>B601*IBGE_2!AG$601/100</f>
        <v>0.52700000000000002</v>
      </c>
      <c r="AH601" s="142">
        <f>B601*IBGE_2!AH$601/100</f>
        <v>0.94099999999999995</v>
      </c>
      <c r="AI601" s="142" t="s">
        <v>3047</v>
      </c>
      <c r="AJ601" s="142">
        <f>B601*IBGE_2!AJ$601/100</f>
        <v>6.7420000000000009</v>
      </c>
      <c r="AK601" s="142">
        <f>B601*IBGE_2!AK$601/100</f>
        <v>234.48699999999999</v>
      </c>
      <c r="AL601" s="142">
        <f>B601*IBGE_2!AL$601/100</f>
        <v>17.103999999999999</v>
      </c>
      <c r="AM601" s="142">
        <f>B601*IBGE_2!AM$601/100</f>
        <v>14.672000000000001</v>
      </c>
      <c r="AN601" s="161"/>
    </row>
    <row r="602" spans="1:40">
      <c r="A602" s="143" t="s">
        <v>1662</v>
      </c>
      <c r="B602" s="141">
        <v>100</v>
      </c>
      <c r="C602" s="142">
        <f>B602*IBGE_2!C$602/100</f>
        <v>144.22800000000001</v>
      </c>
      <c r="D602" s="142">
        <f>B602*IBGE_2!D$602/100</f>
        <v>4.0869999999999997</v>
      </c>
      <c r="E602" s="142">
        <f>B602*IBGE_2!E$602/100</f>
        <v>3.839</v>
      </c>
      <c r="F602" s="142">
        <f>B602*IBGE_2!F$602/100</f>
        <v>1.716</v>
      </c>
      <c r="G602" s="142">
        <f>B602*IBGE_2!G$602/100</f>
        <v>1.1819999999999999</v>
      </c>
      <c r="H602" s="142">
        <f>B602*IBGE_2!H$602/100</f>
        <v>0.38400000000000001</v>
      </c>
      <c r="I602" s="142">
        <f>B602*IBGE_2!I$602/100</f>
        <v>0.28699999999999998</v>
      </c>
      <c r="J602" s="142">
        <f>B602*IBGE_2!J$602/100</f>
        <v>6.5000000000000002E-2</v>
      </c>
      <c r="K602" s="142">
        <f>B602*IBGE_2!K$602/100</f>
        <v>75.358000000000004</v>
      </c>
      <c r="L602" s="142">
        <f>B602*IBGE_2!L$602/100</f>
        <v>23.875</v>
      </c>
      <c r="M602" s="142">
        <f>B602*IBGE_2!M$602/100</f>
        <v>0.26400000000000001</v>
      </c>
      <c r="N602" s="142">
        <f>B602*IBGE_2!N$602/100</f>
        <v>83.71</v>
      </c>
      <c r="O602" s="142">
        <f>B602*IBGE_2!O$602/100</f>
        <v>8.8369999999999997</v>
      </c>
      <c r="P602" s="142">
        <f>B602*IBGE_2!P$602/100</f>
        <v>0.15</v>
      </c>
      <c r="Q602" s="142">
        <f>B602*IBGE_2!Q$602/100</f>
        <v>85.228999999999999</v>
      </c>
      <c r="R602" s="142">
        <f>B602*IBGE_2!R$602/100</f>
        <v>0.26800000000000002</v>
      </c>
      <c r="S602" s="142">
        <f>B602*IBGE_2!S$602/100</f>
        <v>46.098999999999997</v>
      </c>
      <c r="T602" s="142">
        <f>B602*IBGE_2!T$602/100</f>
        <v>114.64299999999999</v>
      </c>
      <c r="U602" s="142">
        <f>B602*IBGE_2!U$602/100</f>
        <v>1.0999999999999999E-2</v>
      </c>
      <c r="V602" s="142">
        <f>B602*IBGE_2!V$602/100</f>
        <v>0.42899999999999999</v>
      </c>
      <c r="W602" s="142">
        <f>B602*IBGE_2!W$602/100</f>
        <v>44.83</v>
      </c>
      <c r="X602" s="142">
        <f>B602*IBGE_2!X$602/100</f>
        <v>3.9E-2</v>
      </c>
      <c r="Y602" s="142">
        <f>B602*IBGE_2!Y$602/100</f>
        <v>0.20200000000000004</v>
      </c>
      <c r="Z602" s="142">
        <f>B602*IBGE_2!Z$602/100</f>
        <v>4.3999999999999997E-2</v>
      </c>
      <c r="AA602" s="142">
        <f>B602*IBGE_2!AA$602/100</f>
        <v>8.5000000000000006E-2</v>
      </c>
      <c r="AB602" s="142">
        <f>B602*IBGE_2!AB$602/100</f>
        <v>0.255</v>
      </c>
      <c r="AC602" s="142">
        <f>B602*IBGE_2!AC$602/100</f>
        <v>1.2819999999999998</v>
      </c>
      <c r="AD602" s="142">
        <f>B602*IBGE_2!AD$602/100</f>
        <v>0.45500000000000002</v>
      </c>
      <c r="AE602" s="142">
        <f>B602*IBGE_2!AE$602/100</f>
        <v>10.587</v>
      </c>
      <c r="AF602" s="142">
        <f>B602*IBGE_2!AF$602/100</f>
        <v>0.83099999999999996</v>
      </c>
      <c r="AG602" s="142">
        <f>B602*IBGE_2!AG$602/100</f>
        <v>0.23799999999999996</v>
      </c>
      <c r="AH602" s="142">
        <f>B602*IBGE_2!AH$602/100</f>
        <v>7.1999999999999995E-2</v>
      </c>
      <c r="AI602" s="142" t="s">
        <v>3047</v>
      </c>
      <c r="AJ602" s="142">
        <f>B602*IBGE_2!AJ$602/100</f>
        <v>7.476</v>
      </c>
      <c r="AK602" s="142">
        <f>B602*IBGE_2!AK$602/100</f>
        <v>45.430999999999997</v>
      </c>
      <c r="AL602" s="142">
        <f>B602*IBGE_2!AL$602/100</f>
        <v>23.263999999999999</v>
      </c>
      <c r="AM602" s="142">
        <f>B602*IBGE_2!AM$602/100</f>
        <v>20.449000000000002</v>
      </c>
      <c r="AN602" s="161"/>
    </row>
    <row r="603" spans="1:40">
      <c r="A603" s="143" t="s">
        <v>1663</v>
      </c>
      <c r="B603" s="141">
        <v>100</v>
      </c>
      <c r="C603" s="142">
        <f>B603*IBGE_2!C$603/100</f>
        <v>131.148</v>
      </c>
      <c r="D603" s="142">
        <f>B603*IBGE_2!D$603/100</f>
        <v>5.5839999999999996</v>
      </c>
      <c r="E603" s="142">
        <f>B603*IBGE_2!E$603/100</f>
        <v>5.0659999999999998</v>
      </c>
      <c r="F603" s="142">
        <f>B603*IBGE_2!F$603/100</f>
        <v>2.1360000000000001</v>
      </c>
      <c r="G603" s="142">
        <f>B603*IBGE_2!G$603/100</f>
        <v>1.655</v>
      </c>
      <c r="H603" s="142">
        <f>B603*IBGE_2!H$603/100</f>
        <v>0.51600000000000001</v>
      </c>
      <c r="I603" s="142">
        <f>B603*IBGE_2!I$603/100</f>
        <v>0.40500000000000003</v>
      </c>
      <c r="J603" s="142">
        <f>B603*IBGE_2!J$603/100</f>
        <v>0.06</v>
      </c>
      <c r="K603" s="142">
        <f>B603*IBGE_2!K$603/100</f>
        <v>122.514</v>
      </c>
      <c r="L603" s="142">
        <f>B603*IBGE_2!L$603/100</f>
        <v>15.439</v>
      </c>
      <c r="M603" s="142" t="s">
        <v>3047</v>
      </c>
      <c r="N603" s="142">
        <f>B603*IBGE_2!N$603/100</f>
        <v>89.202000000000012</v>
      </c>
      <c r="O603" s="142">
        <f>B603*IBGE_2!O$603/100</f>
        <v>9.4939999999999998</v>
      </c>
      <c r="P603" s="142">
        <f>B603*IBGE_2!P$603/100</f>
        <v>1.0999999999999999E-2</v>
      </c>
      <c r="Q603" s="142">
        <f>B603*IBGE_2!Q$603/100</f>
        <v>107.709</v>
      </c>
      <c r="R603" s="142">
        <f>B603*IBGE_2!R$603/100</f>
        <v>0.34699999999999998</v>
      </c>
      <c r="S603" s="142">
        <f>B603*IBGE_2!S$603/100</f>
        <v>60.616999999999997</v>
      </c>
      <c r="T603" s="142">
        <f>B603*IBGE_2!T$603/100</f>
        <v>131.16800000000001</v>
      </c>
      <c r="U603" s="142">
        <f>B603*IBGE_2!U$603/100</f>
        <v>1.0999999999999999E-2</v>
      </c>
      <c r="V603" s="142">
        <f>B603*IBGE_2!V$603/100</f>
        <v>0.55400000000000005</v>
      </c>
      <c r="W603" s="142">
        <f>B603*IBGE_2!W$603/100</f>
        <v>64.567999999999998</v>
      </c>
      <c r="X603" s="142">
        <f>B603*IBGE_2!X$603/100</f>
        <v>4.7E-2</v>
      </c>
      <c r="Y603" s="142">
        <f>B603*IBGE_2!Y$603/100</f>
        <v>0.26500000000000001</v>
      </c>
      <c r="Z603" s="142">
        <f>B603*IBGE_2!Z$603/100</f>
        <v>5.7000000000000002E-2</v>
      </c>
      <c r="AA603" s="142">
        <f>B603*IBGE_2!AA$603/100</f>
        <v>9.1999999999999998E-2</v>
      </c>
      <c r="AB603" s="142" t="s">
        <v>3047</v>
      </c>
      <c r="AC603" s="142">
        <f>B603*IBGE_2!AC$603/100</f>
        <v>1.6220000000000001</v>
      </c>
      <c r="AD603" s="142">
        <f>B603*IBGE_2!AD$603/100</f>
        <v>0.59699999999999998</v>
      </c>
      <c r="AE603" s="142">
        <f>B603*IBGE_2!AE$603/100</f>
        <v>15.355</v>
      </c>
      <c r="AF603" s="142">
        <f>B603*IBGE_2!AF$603/100</f>
        <v>1.016</v>
      </c>
      <c r="AG603" s="142">
        <f>B603*IBGE_2!AG$603/100</f>
        <v>0.32100000000000001</v>
      </c>
      <c r="AH603" s="142">
        <f>B603*IBGE_2!AH$603/100</f>
        <v>7.6999999999999999E-2</v>
      </c>
      <c r="AI603" s="142" t="s">
        <v>3047</v>
      </c>
      <c r="AJ603" s="142">
        <f>B603*IBGE_2!AJ$603/100</f>
        <v>10.954000000000001</v>
      </c>
      <c r="AK603" s="142">
        <f>B603*IBGE_2!AK$603/100</f>
        <v>65.209999999999994</v>
      </c>
      <c r="AL603" s="142">
        <f>B603*IBGE_2!AL$603/100</f>
        <v>15.898</v>
      </c>
      <c r="AM603" s="142">
        <f>B603*IBGE_2!AM$603/100</f>
        <v>12.019</v>
      </c>
      <c r="AN603" s="161"/>
    </row>
    <row r="604" spans="1:40">
      <c r="A604" s="143" t="s">
        <v>1664</v>
      </c>
      <c r="B604" s="141">
        <v>100</v>
      </c>
      <c r="C604" s="142">
        <f>B604*IBGE_2!C$604/100</f>
        <v>131.148</v>
      </c>
      <c r="D604" s="142">
        <f>B604*IBGE_2!D$604/100</f>
        <v>5.5839999999999996</v>
      </c>
      <c r="E604" s="142">
        <f>B604*IBGE_2!E$604/100</f>
        <v>5.0659999999999998</v>
      </c>
      <c r="F604" s="142">
        <f>B604*IBGE_2!F$604/100</f>
        <v>2.1360000000000001</v>
      </c>
      <c r="G604" s="142">
        <f>B604*IBGE_2!G$604/100</f>
        <v>1.655</v>
      </c>
      <c r="H604" s="142">
        <f>B604*IBGE_2!H$604/100</f>
        <v>0.51600000000000001</v>
      </c>
      <c r="I604" s="142">
        <f>B604*IBGE_2!I$604/100</f>
        <v>0.40500000000000003</v>
      </c>
      <c r="J604" s="142">
        <f>B604*IBGE_2!J$604/100</f>
        <v>0.06</v>
      </c>
      <c r="K604" s="142">
        <f>B604*IBGE_2!K$604/100</f>
        <v>122.514</v>
      </c>
      <c r="L604" s="142">
        <f>B604*IBGE_2!L$604/100</f>
        <v>15.439</v>
      </c>
      <c r="M604" s="142" t="s">
        <v>3047</v>
      </c>
      <c r="N604" s="142">
        <f>B604*IBGE_2!N$604/100</f>
        <v>89.202000000000012</v>
      </c>
      <c r="O604" s="142">
        <f>B604*IBGE_2!O$604/100</f>
        <v>9.4939999999999998</v>
      </c>
      <c r="P604" s="142">
        <f>B604*IBGE_2!P$604/100</f>
        <v>1.0999999999999999E-2</v>
      </c>
      <c r="Q604" s="142">
        <f>B604*IBGE_2!Q$604/100</f>
        <v>107.709</v>
      </c>
      <c r="R604" s="142">
        <f>B604*IBGE_2!R$604/100</f>
        <v>0.34699999999999998</v>
      </c>
      <c r="S604" s="142">
        <f>B604*IBGE_2!S$604/100</f>
        <v>60.616999999999997</v>
      </c>
      <c r="T604" s="142">
        <f>B604*IBGE_2!T$604/100</f>
        <v>131.16800000000001</v>
      </c>
      <c r="U604" s="142">
        <f>B604*IBGE_2!U$604/100</f>
        <v>1.0999999999999999E-2</v>
      </c>
      <c r="V604" s="142">
        <f>B604*IBGE_2!V$604/100</f>
        <v>0.55400000000000005</v>
      </c>
      <c r="W604" s="142">
        <f>B604*IBGE_2!W$604/100</f>
        <v>64.567999999999998</v>
      </c>
      <c r="X604" s="142">
        <f>B604*IBGE_2!X$604/100</f>
        <v>4.7E-2</v>
      </c>
      <c r="Y604" s="142">
        <f>B604*IBGE_2!Y$604/100</f>
        <v>0.26500000000000001</v>
      </c>
      <c r="Z604" s="142">
        <f>B604*IBGE_2!Z$604/100</f>
        <v>5.7000000000000002E-2</v>
      </c>
      <c r="AA604" s="142">
        <f>B604*IBGE_2!AA$604/100</f>
        <v>9.1999999999999998E-2</v>
      </c>
      <c r="AB604" s="142" t="s">
        <v>3047</v>
      </c>
      <c r="AC604" s="142">
        <f>B604*IBGE_2!AC$604/100</f>
        <v>1.6220000000000001</v>
      </c>
      <c r="AD604" s="142">
        <f>B604*IBGE_2!AD$604/100</f>
        <v>0.59699999999999998</v>
      </c>
      <c r="AE604" s="142">
        <f>B604*IBGE_2!AE$604/100</f>
        <v>15.355</v>
      </c>
      <c r="AF604" s="142">
        <f>B604*IBGE_2!AF$604/100</f>
        <v>1.016</v>
      </c>
      <c r="AG604" s="142">
        <f>B604*IBGE_2!AG$604/100</f>
        <v>0.32100000000000001</v>
      </c>
      <c r="AH604" s="142">
        <f>B604*IBGE_2!AH$604/100</f>
        <v>7.6999999999999999E-2</v>
      </c>
      <c r="AI604" s="142" t="s">
        <v>3047</v>
      </c>
      <c r="AJ604" s="142">
        <f>B604*IBGE_2!AJ$604/100</f>
        <v>10.954000000000001</v>
      </c>
      <c r="AK604" s="142">
        <f>B604*IBGE_2!AK$604/100</f>
        <v>65.209999999999994</v>
      </c>
      <c r="AL604" s="142">
        <f>B604*IBGE_2!AL$604/100</f>
        <v>15.898</v>
      </c>
      <c r="AM604" s="142">
        <f>B604*IBGE_2!AM$604/100</f>
        <v>12.019</v>
      </c>
      <c r="AN604" s="161"/>
    </row>
    <row r="605" spans="1:40">
      <c r="A605" s="143" t="s">
        <v>1665</v>
      </c>
      <c r="B605" s="141">
        <v>100</v>
      </c>
      <c r="C605" s="142">
        <f>B605*IBGE_2!C$605/100</f>
        <v>319.69499999999999</v>
      </c>
      <c r="D605" s="142">
        <f>B605*IBGE_2!D$605/100</f>
        <v>7.8779999999999992</v>
      </c>
      <c r="E605" s="142">
        <f>B605*IBGE_2!E$605/100</f>
        <v>8.6649999999999991</v>
      </c>
      <c r="F605" s="142">
        <f>B605*IBGE_2!F$605/100</f>
        <v>5.4640000000000013</v>
      </c>
      <c r="G605" s="142">
        <f>B605*IBGE_2!G$605/100</f>
        <v>2.4169999999999998</v>
      </c>
      <c r="H605" s="142">
        <f>B605*IBGE_2!H$605/100</f>
        <v>0.33600000000000002</v>
      </c>
      <c r="I605" s="142">
        <f>B605*IBGE_2!I$605/100</f>
        <v>0.215</v>
      </c>
      <c r="J605" s="142">
        <f>B605*IBGE_2!J$605/100</f>
        <v>0.121</v>
      </c>
      <c r="K605" s="142">
        <f>B605*IBGE_2!K$605/100</f>
        <v>33.862000000000002</v>
      </c>
      <c r="L605" s="142">
        <f>B605*IBGE_2!L$605/100</f>
        <v>54.179000000000002</v>
      </c>
      <c r="M605" s="142" t="s">
        <v>3047</v>
      </c>
      <c r="N605" s="142">
        <f>B605*IBGE_2!N$605/100</f>
        <v>282.846</v>
      </c>
      <c r="O605" s="142">
        <f>B605*IBGE_2!O$605/100</f>
        <v>25.893999999999995</v>
      </c>
      <c r="P605" s="142">
        <f>B605*IBGE_2!P$605/100</f>
        <v>6.0000000000000001E-3</v>
      </c>
      <c r="Q605" s="142">
        <f>B605*IBGE_2!Q$605/100</f>
        <v>251.97200000000001</v>
      </c>
      <c r="R605" s="142">
        <f>B605*IBGE_2!R$605/100</f>
        <v>0.18899999999999997</v>
      </c>
      <c r="S605" s="142">
        <f>B605*IBGE_2!S$605/100</f>
        <v>126.48399999999999</v>
      </c>
      <c r="T605" s="142">
        <f>B605*IBGE_2!T$605/100</f>
        <v>369.49200000000002</v>
      </c>
      <c r="U605" s="142">
        <f>B605*IBGE_2!U$605/100</f>
        <v>1.4999999999999999E-2</v>
      </c>
      <c r="V605" s="142">
        <f>B605*IBGE_2!V$605/100</f>
        <v>0.93600000000000005</v>
      </c>
      <c r="W605" s="142">
        <f>B605*IBGE_2!W$605/100</f>
        <v>72.703000000000003</v>
      </c>
      <c r="X605" s="142">
        <f>B605*IBGE_2!X$605/100</f>
        <v>0.09</v>
      </c>
      <c r="Y605" s="142">
        <f>B605*IBGE_2!Y$605/100</f>
        <v>0.41399999999999998</v>
      </c>
      <c r="Z605" s="142">
        <f>B605*IBGE_2!Z$605/100</f>
        <v>5.0999999999999997E-2</v>
      </c>
      <c r="AA605" s="142">
        <f>B605*IBGE_2!AA$605/100</f>
        <v>0.20899999999999999</v>
      </c>
      <c r="AB605" s="142">
        <f>B605*IBGE_2!AB$605/100</f>
        <v>2.589</v>
      </c>
      <c r="AC605" s="142">
        <f>B605*IBGE_2!AC$605/100</f>
        <v>2.0680000000000001</v>
      </c>
      <c r="AD605" s="142">
        <f>B605*IBGE_2!AD$605/100</f>
        <v>0.43799999999999994</v>
      </c>
      <c r="AE605" s="142">
        <f>B605*IBGE_2!AE$605/100</f>
        <v>10.955</v>
      </c>
      <c r="AF605" s="142">
        <f>B605*IBGE_2!AF$605/100</f>
        <v>0.129</v>
      </c>
      <c r="AG605" s="142">
        <f>B605*IBGE_2!AG$605/100</f>
        <v>0.159</v>
      </c>
      <c r="AH605" s="142">
        <f>B605*IBGE_2!AH$605/100</f>
        <v>0.309</v>
      </c>
      <c r="AI605" s="142" t="s">
        <v>3047</v>
      </c>
      <c r="AJ605" s="142">
        <f>B605*IBGE_2!AJ$605/100</f>
        <v>14.74</v>
      </c>
      <c r="AK605" s="142">
        <f>B605*IBGE_2!AK$605/100</f>
        <v>73.864999999999995</v>
      </c>
      <c r="AL605" s="142">
        <f>B605*IBGE_2!AL$605/100</f>
        <v>52.511000000000003</v>
      </c>
      <c r="AM605" s="142">
        <f>B605*IBGE_2!AM$605/100</f>
        <v>43.015000000000001</v>
      </c>
      <c r="AN605" s="161"/>
    </row>
    <row r="606" spans="1:40">
      <c r="A606" s="143" t="s">
        <v>1666</v>
      </c>
      <c r="B606" s="141">
        <v>100</v>
      </c>
      <c r="C606" s="142">
        <f>B606*IBGE_2!C$606/100</f>
        <v>123.26</v>
      </c>
      <c r="D606" s="142">
        <f>B606*IBGE_2!D$606/100</f>
        <v>2.4300000000000002</v>
      </c>
      <c r="E606" s="142">
        <f>B606*IBGE_2!E$606/100</f>
        <v>4.5</v>
      </c>
      <c r="F606" s="142">
        <f>B606*IBGE_2!F$606/100</f>
        <v>3.61</v>
      </c>
      <c r="G606" s="142">
        <f>B606*IBGE_2!G$606/100</f>
        <v>0.34</v>
      </c>
      <c r="H606" s="142">
        <f>B606*IBGE_2!H$606/100</f>
        <v>0.28000000000000003</v>
      </c>
      <c r="I606" s="142">
        <f>B606*IBGE_2!I$606/100</f>
        <v>0.27</v>
      </c>
      <c r="J606" s="142">
        <f>B606*IBGE_2!J$606/100</f>
        <v>0.01</v>
      </c>
      <c r="K606" s="142">
        <f>B606*IBGE_2!K$606/100</f>
        <v>0.28000000000000003</v>
      </c>
      <c r="L606" s="142">
        <f>B606*IBGE_2!L$606/100</f>
        <v>21.33</v>
      </c>
      <c r="M606" s="142">
        <f>B606*IBGE_2!M$606/100</f>
        <v>2.2200000000000002</v>
      </c>
      <c r="N606" s="142">
        <f>B606*IBGE_2!N$606/100</f>
        <v>2.5</v>
      </c>
      <c r="O606" s="142">
        <f>B606*IBGE_2!O$606/100</f>
        <v>23.94</v>
      </c>
      <c r="P606" s="142">
        <f>B606*IBGE_2!P$606/100</f>
        <v>0.28999999999999998</v>
      </c>
      <c r="Q606" s="142">
        <f>B606*IBGE_2!Q$606/100</f>
        <v>61.85</v>
      </c>
      <c r="R606" s="142">
        <f>B606*IBGE_2!R$606/100</f>
        <v>0.45</v>
      </c>
      <c r="S606" s="142">
        <f>B606*IBGE_2!S$606/100</f>
        <v>62.16</v>
      </c>
      <c r="T606" s="142">
        <f>B606*IBGE_2!T$606/100</f>
        <v>190.44</v>
      </c>
      <c r="U606" s="142">
        <f>B606*IBGE_2!U$606/100</f>
        <v>0.09</v>
      </c>
      <c r="V606" s="142">
        <f>B606*IBGE_2!V$606/100</f>
        <v>0.59</v>
      </c>
      <c r="W606" s="142">
        <f>B606*IBGE_2!W$606/100</f>
        <v>0.87</v>
      </c>
      <c r="X606" s="142">
        <f>B606*IBGE_2!X$606/100</f>
        <v>0.03</v>
      </c>
      <c r="Y606" s="142">
        <f>B606*IBGE_2!Y$606/100</f>
        <v>0.05</v>
      </c>
      <c r="Z606" s="142">
        <f>B606*IBGE_2!Z$606/100</f>
        <v>0.08</v>
      </c>
      <c r="AA606" s="142">
        <f>B606*IBGE_2!AA$606/100</f>
        <v>0.95</v>
      </c>
      <c r="AB606" s="142">
        <f>B606*IBGE_2!AB$606/100</f>
        <v>2.92</v>
      </c>
      <c r="AC606" s="142">
        <f>B606*IBGE_2!AC$606/100</f>
        <v>1.44</v>
      </c>
      <c r="AD606" s="142" t="s">
        <v>3047</v>
      </c>
      <c r="AE606" s="142">
        <f>B606*IBGE_2!AE$606/100</f>
        <v>28.33</v>
      </c>
      <c r="AF606" s="142" t="s">
        <v>3047</v>
      </c>
      <c r="AG606" s="142">
        <f>B606*IBGE_2!AG$606/100</f>
        <v>0.08</v>
      </c>
      <c r="AH606" s="142" t="s">
        <v>3047</v>
      </c>
      <c r="AI606" s="142" t="s">
        <v>3047</v>
      </c>
      <c r="AJ606" s="142">
        <f>B606*IBGE_2!AJ$606/100</f>
        <v>1.75</v>
      </c>
      <c r="AK606" s="142">
        <f>B606*IBGE_2!AK$606/100</f>
        <v>8.07</v>
      </c>
      <c r="AL606" s="142">
        <f>B606*IBGE_2!AL$606/100</f>
        <v>8.86</v>
      </c>
      <c r="AM606" s="142">
        <f>B606*IBGE_2!AM$606/100</f>
        <v>5.57</v>
      </c>
      <c r="AN606" s="161"/>
    </row>
    <row r="607" spans="1:40">
      <c r="A607" s="143" t="s">
        <v>1667</v>
      </c>
      <c r="B607" s="141">
        <v>100</v>
      </c>
      <c r="C607" s="142">
        <f>B607*IBGE_2!C$607/100</f>
        <v>336</v>
      </c>
      <c r="D607" s="142">
        <f>B607*IBGE_2!D$607/100</f>
        <v>2</v>
      </c>
      <c r="E607" s="142" t="s">
        <v>3047</v>
      </c>
      <c r="F607" s="142" t="s">
        <v>3047</v>
      </c>
      <c r="G607" s="142" t="s">
        <v>3047</v>
      </c>
      <c r="H607" s="142" t="s">
        <v>3047</v>
      </c>
      <c r="I607" s="142" t="s">
        <v>3047</v>
      </c>
      <c r="J607" s="142" t="s">
        <v>3047</v>
      </c>
      <c r="K607" s="142" t="s">
        <v>3047</v>
      </c>
      <c r="L607" s="142">
        <f>B607*IBGE_2!L$607/100</f>
        <v>82</v>
      </c>
      <c r="M607" s="142" t="s">
        <v>3047</v>
      </c>
      <c r="N607" s="142">
        <f>B607*IBGE_2!N$607/100</f>
        <v>4</v>
      </c>
      <c r="O607" s="142" t="s">
        <v>3047</v>
      </c>
      <c r="P607" s="142" t="s">
        <v>3047</v>
      </c>
      <c r="Q607" s="142" t="s">
        <v>3047</v>
      </c>
      <c r="R607" s="142">
        <f>B607*IBGE_2!R$607/100</f>
        <v>0.16</v>
      </c>
      <c r="S607" s="142">
        <f>B607*IBGE_2!S$607/100</f>
        <v>1.5</v>
      </c>
      <c r="T607" s="142" t="s">
        <v>3047</v>
      </c>
      <c r="U607" s="142" t="s">
        <v>3047</v>
      </c>
      <c r="V607" s="142" t="s">
        <v>3047</v>
      </c>
      <c r="W607" s="142" t="s">
        <v>3047</v>
      </c>
      <c r="X607" s="142" t="s">
        <v>3047</v>
      </c>
      <c r="Y607" s="142" t="s">
        <v>3047</v>
      </c>
      <c r="Z607" s="142" t="s">
        <v>3047</v>
      </c>
      <c r="AA607" s="142" t="s">
        <v>3047</v>
      </c>
      <c r="AB607" s="142" t="s">
        <v>3047</v>
      </c>
      <c r="AC607" s="142" t="s">
        <v>3047</v>
      </c>
      <c r="AD607" s="142" t="s">
        <v>3047</v>
      </c>
      <c r="AE607" s="142" t="s">
        <v>3047</v>
      </c>
      <c r="AF607" s="142" t="s">
        <v>3047</v>
      </c>
      <c r="AG607" s="142" t="s">
        <v>3047</v>
      </c>
      <c r="AH607" s="142" t="s">
        <v>3047</v>
      </c>
      <c r="AI607" s="142" t="s">
        <v>3047</v>
      </c>
      <c r="AJ607" s="142" t="s">
        <v>3047</v>
      </c>
      <c r="AK607" s="142" t="s">
        <v>3047</v>
      </c>
      <c r="AL607" s="142" t="s">
        <v>3047</v>
      </c>
      <c r="AM607" s="142" t="s">
        <v>3047</v>
      </c>
      <c r="AN607" s="161"/>
    </row>
    <row r="608" spans="1:40">
      <c r="A608" s="143" t="s">
        <v>1668</v>
      </c>
      <c r="B608" s="141">
        <v>100</v>
      </c>
      <c r="C608" s="142">
        <f>B608*IBGE_2!C$608/100</f>
        <v>336</v>
      </c>
      <c r="D608" s="142">
        <f>B608*IBGE_2!D$608/100</f>
        <v>2</v>
      </c>
      <c r="E608" s="142" t="s">
        <v>3047</v>
      </c>
      <c r="F608" s="142" t="s">
        <v>3047</v>
      </c>
      <c r="G608" s="142" t="s">
        <v>3047</v>
      </c>
      <c r="H608" s="142" t="s">
        <v>3047</v>
      </c>
      <c r="I608" s="142" t="s">
        <v>3047</v>
      </c>
      <c r="J608" s="142" t="s">
        <v>3047</v>
      </c>
      <c r="K608" s="142" t="s">
        <v>3047</v>
      </c>
      <c r="L608" s="142">
        <f>B608*IBGE_2!L$608/100</f>
        <v>82</v>
      </c>
      <c r="M608" s="142" t="s">
        <v>3047</v>
      </c>
      <c r="N608" s="142">
        <f>B608*IBGE_2!N$608/100</f>
        <v>4</v>
      </c>
      <c r="O608" s="142" t="s">
        <v>3047</v>
      </c>
      <c r="P608" s="142" t="s">
        <v>3047</v>
      </c>
      <c r="Q608" s="142" t="s">
        <v>3047</v>
      </c>
      <c r="R608" s="142">
        <f>B608*IBGE_2!R$608/100</f>
        <v>0.16</v>
      </c>
      <c r="S608" s="142">
        <f>B608*IBGE_2!S$608/100</f>
        <v>1.5</v>
      </c>
      <c r="T608" s="142" t="s">
        <v>3047</v>
      </c>
      <c r="U608" s="142" t="s">
        <v>3047</v>
      </c>
      <c r="V608" s="142" t="s">
        <v>3047</v>
      </c>
      <c r="W608" s="142" t="s">
        <v>3047</v>
      </c>
      <c r="X608" s="142" t="s">
        <v>3047</v>
      </c>
      <c r="Y608" s="142" t="s">
        <v>3047</v>
      </c>
      <c r="Z608" s="142" t="s">
        <v>3047</v>
      </c>
      <c r="AA608" s="142" t="s">
        <v>3047</v>
      </c>
      <c r="AB608" s="142" t="s">
        <v>3047</v>
      </c>
      <c r="AC608" s="142" t="s">
        <v>3047</v>
      </c>
      <c r="AD608" s="142" t="s">
        <v>3047</v>
      </c>
      <c r="AE608" s="142" t="s">
        <v>3047</v>
      </c>
      <c r="AF608" s="142" t="s">
        <v>3047</v>
      </c>
      <c r="AG608" s="142" t="s">
        <v>3047</v>
      </c>
      <c r="AH608" s="142" t="s">
        <v>3047</v>
      </c>
      <c r="AI608" s="142" t="s">
        <v>3047</v>
      </c>
      <c r="AJ608" s="142" t="s">
        <v>3047</v>
      </c>
      <c r="AK608" s="142" t="s">
        <v>3047</v>
      </c>
      <c r="AL608" s="142" t="s">
        <v>3047</v>
      </c>
      <c r="AM608" s="142" t="s">
        <v>3047</v>
      </c>
      <c r="AN608" s="161"/>
    </row>
    <row r="609" spans="1:40">
      <c r="A609" s="143" t="s">
        <v>1669</v>
      </c>
      <c r="B609" s="141">
        <v>100</v>
      </c>
      <c r="C609" s="142">
        <f>B609*IBGE_2!C$609/100</f>
        <v>278</v>
      </c>
      <c r="D609" s="142">
        <f>B609*IBGE_2!D$609/100</f>
        <v>0.37</v>
      </c>
      <c r="E609" s="142">
        <f>B609*IBGE_2!E$609/100</f>
        <v>7.0000000000000007E-2</v>
      </c>
      <c r="F609" s="142">
        <f>B609*IBGE_2!F$609/100</f>
        <v>0.01</v>
      </c>
      <c r="G609" s="142">
        <f>B609*IBGE_2!G$609/100</f>
        <v>3.7999999999999999E-2</v>
      </c>
      <c r="H609" s="142" t="s">
        <v>3047</v>
      </c>
      <c r="I609" s="142" t="s">
        <v>3047</v>
      </c>
      <c r="J609" s="142" t="s">
        <v>3047</v>
      </c>
      <c r="K609" s="142" t="s">
        <v>3047</v>
      </c>
      <c r="L609" s="142">
        <f>B609*IBGE_2!L$609/100</f>
        <v>68.86</v>
      </c>
      <c r="M609" s="142">
        <f>B609*IBGE_2!M$609/100</f>
        <v>1.1000000000000001</v>
      </c>
      <c r="N609" s="142">
        <f>B609*IBGE_2!N$609/100</f>
        <v>20</v>
      </c>
      <c r="O609" s="142">
        <f>B609*IBGE_2!O$609/100</f>
        <v>4</v>
      </c>
      <c r="P609" s="142">
        <f>B609*IBGE_2!P$609/100</f>
        <v>0.04</v>
      </c>
      <c r="Q609" s="142">
        <f>B609*IBGE_2!Q$609/100</f>
        <v>19</v>
      </c>
      <c r="R609" s="142">
        <f>B609*IBGE_2!R$609/100</f>
        <v>0.49</v>
      </c>
      <c r="S609" s="142">
        <f>B609*IBGE_2!S$609/100</f>
        <v>32</v>
      </c>
      <c r="T609" s="142">
        <f>B609*IBGE_2!T$609/100</f>
        <v>77</v>
      </c>
      <c r="U609" s="142">
        <f>B609*IBGE_2!U$609/100</f>
        <v>0.1</v>
      </c>
      <c r="V609" s="142">
        <f>B609*IBGE_2!V$609/100</f>
        <v>0.06</v>
      </c>
      <c r="W609" s="142" t="s">
        <v>3047</v>
      </c>
      <c r="X609" s="142">
        <f>B609*IBGE_2!X$609/100</f>
        <v>1.6E-2</v>
      </c>
      <c r="Y609" s="142">
        <f>B609*IBGE_2!Y$609/100</f>
        <v>7.5999999999999998E-2</v>
      </c>
      <c r="Z609" s="142">
        <f>B609*IBGE_2!Z$609/100</f>
        <v>0.02</v>
      </c>
      <c r="AA609" s="142">
        <f>B609*IBGE_2!AA$609/100</f>
        <v>3.5999999999999997E-2</v>
      </c>
      <c r="AB609" s="142">
        <f>B609*IBGE_2!AB$609/100</f>
        <v>8.8000000000000007</v>
      </c>
      <c r="AC609" s="142">
        <f>B609*IBGE_2!AC$609/100</f>
        <v>0.11899999999999998</v>
      </c>
      <c r="AD609" s="142" t="s">
        <v>3047</v>
      </c>
      <c r="AE609" s="142">
        <f>B609*IBGE_2!AE$609/100</f>
        <v>11</v>
      </c>
      <c r="AF609" s="142" t="s">
        <v>3047</v>
      </c>
      <c r="AG609" s="142">
        <f>B609*IBGE_2!AG$609/100</f>
        <v>0.12</v>
      </c>
      <c r="AH609" s="142" t="s">
        <v>3047</v>
      </c>
      <c r="AI609" s="142" t="s">
        <v>3047</v>
      </c>
      <c r="AJ609" s="142">
        <f>B609*IBGE_2!AJ$609/100</f>
        <v>2</v>
      </c>
      <c r="AK609" s="142" t="s">
        <v>3047</v>
      </c>
      <c r="AL609" s="142">
        <f>B609*IBGE_2!AL$609/100</f>
        <v>48.9</v>
      </c>
      <c r="AM609" s="142">
        <f>B609*IBGE_2!AM$609/100</f>
        <v>65.509</v>
      </c>
      <c r="AN609" s="161"/>
    </row>
    <row r="610" spans="1:40">
      <c r="A610" s="143" t="s">
        <v>1670</v>
      </c>
      <c r="B610" s="141">
        <v>100</v>
      </c>
      <c r="C610" s="142">
        <f>B610*IBGE_2!C$610/100</f>
        <v>387</v>
      </c>
      <c r="D610" s="142" t="s">
        <v>3047</v>
      </c>
      <c r="E610" s="142" t="s">
        <v>3047</v>
      </c>
      <c r="F610" s="142" t="s">
        <v>3047</v>
      </c>
      <c r="G610" s="142" t="s">
        <v>3047</v>
      </c>
      <c r="H610" s="142" t="s">
        <v>3047</v>
      </c>
      <c r="I610" s="142" t="s">
        <v>3047</v>
      </c>
      <c r="J610" s="142" t="s">
        <v>3047</v>
      </c>
      <c r="K610" s="142" t="s">
        <v>3047</v>
      </c>
      <c r="L610" s="142">
        <f>B610*IBGE_2!L$610/100</f>
        <v>99.98</v>
      </c>
      <c r="M610" s="142" t="s">
        <v>3047</v>
      </c>
      <c r="N610" s="142">
        <f>B610*IBGE_2!N$610/100</f>
        <v>1</v>
      </c>
      <c r="O610" s="142" t="s">
        <v>3047</v>
      </c>
      <c r="P610" s="142" t="s">
        <v>3047</v>
      </c>
      <c r="Q610" s="142" t="s">
        <v>3047</v>
      </c>
      <c r="R610" s="142">
        <f>B610*IBGE_2!R$610/100</f>
        <v>0.01</v>
      </c>
      <c r="S610" s="142" t="s">
        <v>3047</v>
      </c>
      <c r="T610" s="142">
        <f>B610*IBGE_2!T$610/100</f>
        <v>2</v>
      </c>
      <c r="U610" s="142" t="s">
        <v>3047</v>
      </c>
      <c r="V610" s="142" t="s">
        <v>3047</v>
      </c>
      <c r="W610" s="142" t="s">
        <v>3047</v>
      </c>
      <c r="X610" s="142" t="s">
        <v>3047</v>
      </c>
      <c r="Y610" s="142">
        <f>B610*IBGE_2!Y$610/100</f>
        <v>0.02</v>
      </c>
      <c r="Z610" s="142" t="s">
        <v>3047</v>
      </c>
      <c r="AA610" s="142" t="s">
        <v>3047</v>
      </c>
      <c r="AB610" s="142" t="s">
        <v>3047</v>
      </c>
      <c r="AC610" s="142" t="s">
        <v>3047</v>
      </c>
      <c r="AD610" s="142" t="s">
        <v>3047</v>
      </c>
      <c r="AE610" s="145" t="s">
        <v>3047</v>
      </c>
      <c r="AF610" s="142" t="s">
        <v>3047</v>
      </c>
      <c r="AG610" s="145" t="s">
        <v>3047</v>
      </c>
      <c r="AH610" s="142" t="s">
        <v>3047</v>
      </c>
      <c r="AI610" s="142" t="s">
        <v>3047</v>
      </c>
      <c r="AJ610" s="142">
        <f>B610*IBGE_2!AJ$610/100</f>
        <v>0.6</v>
      </c>
      <c r="AK610" s="142" t="s">
        <v>3047</v>
      </c>
      <c r="AL610" s="142">
        <f>B610*IBGE_2!AL$610/100</f>
        <v>99.91</v>
      </c>
      <c r="AM610" s="142">
        <f>B610*IBGE_2!AM$610/100</f>
        <v>99.98</v>
      </c>
      <c r="AN610" s="161"/>
    </row>
    <row r="611" spans="1:40">
      <c r="A611" s="143" t="s">
        <v>1671</v>
      </c>
      <c r="B611" s="141">
        <v>100</v>
      </c>
      <c r="C611" s="142">
        <f>B611*IBGE_2!C$611/100</f>
        <v>79</v>
      </c>
      <c r="D611" s="142" t="s">
        <v>3047</v>
      </c>
      <c r="E611" s="142">
        <f>B611*IBGE_2!E$611/100</f>
        <v>0.24</v>
      </c>
      <c r="F611" s="142">
        <f>B611*IBGE_2!F$611/100</f>
        <v>1.3000000000000001E-2</v>
      </c>
      <c r="G611" s="142">
        <f>B611*IBGE_2!G$611/100</f>
        <v>5.0999999999999997E-2</v>
      </c>
      <c r="H611" s="142">
        <f>B611*IBGE_2!H$611/100</f>
        <v>1.6E-2</v>
      </c>
      <c r="I611" s="142">
        <f>B611*IBGE_2!I$611/100</f>
        <v>1.4999999999999999E-2</v>
      </c>
      <c r="J611" s="142" t="s">
        <v>3047</v>
      </c>
      <c r="K611" s="142" t="s">
        <v>3047</v>
      </c>
      <c r="L611" s="142">
        <f>B611*IBGE_2!L$611/100</f>
        <v>19.23</v>
      </c>
      <c r="M611" s="142" t="s">
        <v>3047</v>
      </c>
      <c r="N611" s="142" t="s">
        <v>3047</v>
      </c>
      <c r="O611" s="142">
        <f>B611*IBGE_2!O$611/100</f>
        <v>1</v>
      </c>
      <c r="P611" s="142" t="s">
        <v>3047</v>
      </c>
      <c r="Q611" s="142" t="s">
        <v>3047</v>
      </c>
      <c r="R611" s="142">
        <f>B611*IBGE_2!R$611/100</f>
        <v>0.54</v>
      </c>
      <c r="S611" s="142">
        <f>B611*IBGE_2!S$611/100</f>
        <v>7</v>
      </c>
      <c r="T611" s="142">
        <f>B611*IBGE_2!T$611/100</f>
        <v>15</v>
      </c>
      <c r="U611" s="142" t="s">
        <v>3047</v>
      </c>
      <c r="V611" s="142">
        <f>B611*IBGE_2!V$611/100</f>
        <v>0.15</v>
      </c>
      <c r="W611" s="142" t="s">
        <v>3047</v>
      </c>
      <c r="X611" s="142" t="s">
        <v>3047</v>
      </c>
      <c r="Y611" s="142" t="s">
        <v>3047</v>
      </c>
      <c r="Z611" s="142" t="s">
        <v>3047</v>
      </c>
      <c r="AA611" s="142" t="s">
        <v>3047</v>
      </c>
      <c r="AB611" s="142">
        <f>B611*IBGE_2!AB$611/100</f>
        <v>0.7</v>
      </c>
      <c r="AC611" s="142" t="s">
        <v>3047</v>
      </c>
      <c r="AD611" s="142" t="s">
        <v>3047</v>
      </c>
      <c r="AE611" s="145" t="s">
        <v>3047</v>
      </c>
      <c r="AF611" s="142" t="s">
        <v>3047</v>
      </c>
      <c r="AG611" s="145" t="s">
        <v>3047</v>
      </c>
      <c r="AH611" s="142" t="s">
        <v>3047</v>
      </c>
      <c r="AI611" s="142" t="s">
        <v>3047</v>
      </c>
      <c r="AJ611" s="142">
        <f>B611*IBGE_2!AJ$611/100</f>
        <v>0.2</v>
      </c>
      <c r="AK611" s="142" t="s">
        <v>3047</v>
      </c>
      <c r="AL611" s="142">
        <f>B611*IBGE_2!AL$611/100</f>
        <v>13.67</v>
      </c>
      <c r="AM611" s="142">
        <f>B611*IBGE_2!AM$611/100</f>
        <v>19.23</v>
      </c>
      <c r="AN611" s="161"/>
    </row>
    <row r="612" spans="1:40">
      <c r="A612" s="143" t="s">
        <v>1672</v>
      </c>
      <c r="B612" s="141">
        <v>100</v>
      </c>
      <c r="C612" s="142">
        <f>B612*IBGE_2!C$612/100</f>
        <v>122.68699999999998</v>
      </c>
      <c r="D612" s="142">
        <f>B612*IBGE_2!D$612/100</f>
        <v>0.14000000000000001</v>
      </c>
      <c r="E612" s="142">
        <f>B612*IBGE_2!E$612/100</f>
        <v>8.7999999999999995E-2</v>
      </c>
      <c r="F612" s="142">
        <f>B612*IBGE_2!F$612/100</f>
        <v>5.0000000000000001E-3</v>
      </c>
      <c r="G612" s="142">
        <f>B612*IBGE_2!G$612/100</f>
        <v>8.9999999999999993E-3</v>
      </c>
      <c r="H612" s="142">
        <f>B612*IBGE_2!H$612/100</f>
        <v>2.8000000000000004E-2</v>
      </c>
      <c r="I612" s="142">
        <f>B612*IBGE_2!I$612/100</f>
        <v>1.7000000000000001E-2</v>
      </c>
      <c r="J612" s="142">
        <f>B612*IBGE_2!J$612/100</f>
        <v>1.0999999999999999E-2</v>
      </c>
      <c r="K612" s="142" t="s">
        <v>3047</v>
      </c>
      <c r="L612" s="142">
        <f>B612*IBGE_2!L$612/100</f>
        <v>32.509</v>
      </c>
      <c r="M612" s="142">
        <f>B612*IBGE_2!M$612/100</f>
        <v>0.45300000000000007</v>
      </c>
      <c r="N612" s="142">
        <f>B612*IBGE_2!N$612/100</f>
        <v>3.8079999999999994</v>
      </c>
      <c r="O612" s="142">
        <f>B612*IBGE_2!O$612/100</f>
        <v>1.47</v>
      </c>
      <c r="P612" s="142">
        <f>B612*IBGE_2!P$612/100</f>
        <v>7.3999999999999996E-2</v>
      </c>
      <c r="Q612" s="142">
        <f>B612*IBGE_2!Q$612/100</f>
        <v>2.2639999999999998</v>
      </c>
      <c r="R612" s="142">
        <f>B612*IBGE_2!R$612/100</f>
        <v>5.7000000000000002E-2</v>
      </c>
      <c r="S612" s="142">
        <f>B612*IBGE_2!S$612/100</f>
        <v>8.6440000000000001</v>
      </c>
      <c r="T612" s="142">
        <f>B612*IBGE_2!T$612/100</f>
        <v>14.882999999999999</v>
      </c>
      <c r="U612" s="142">
        <f>B612*IBGE_2!U$612/100</f>
        <v>1.4000000000000002E-2</v>
      </c>
      <c r="V612" s="142">
        <f>B612*IBGE_2!V$612/100</f>
        <v>8.900000000000001E-2</v>
      </c>
      <c r="W612" s="142" t="s">
        <v>3047</v>
      </c>
      <c r="X612" s="142">
        <f>B612*IBGE_2!X$612/100</f>
        <v>1.4999999999999999E-2</v>
      </c>
      <c r="Y612" s="142">
        <f>B612*IBGE_2!Y$612/100</f>
        <v>1.2E-2</v>
      </c>
      <c r="Z612" s="142">
        <f>B612*IBGE_2!Z$612/100</f>
        <v>0.01</v>
      </c>
      <c r="AA612" s="142">
        <f>B612*IBGE_2!AA$612/100</f>
        <v>7.9000000000000001E-2</v>
      </c>
      <c r="AB612" s="142">
        <f>B612*IBGE_2!AB$612/100</f>
        <v>1.83</v>
      </c>
      <c r="AC612" s="142">
        <f>B612*IBGE_2!AC$612/100</f>
        <v>8.7999999999999995E-2</v>
      </c>
      <c r="AD612" s="142" t="s">
        <v>3047</v>
      </c>
      <c r="AE612" s="142">
        <f>B612*IBGE_2!AE$612/100</f>
        <v>1.1319999999999999</v>
      </c>
      <c r="AF612" s="142" t="s">
        <v>3047</v>
      </c>
      <c r="AG612" s="142">
        <f>B612*IBGE_2!AG$612/100</f>
        <v>0.109</v>
      </c>
      <c r="AH612" s="142" t="s">
        <v>3047</v>
      </c>
      <c r="AI612" s="142" t="s">
        <v>3047</v>
      </c>
      <c r="AJ612" s="142">
        <f>B612*IBGE_2!AJ$612/100</f>
        <v>0.25600000000000001</v>
      </c>
      <c r="AK612" s="142">
        <f>B612*IBGE_2!AK$612/100</f>
        <v>0.503</v>
      </c>
      <c r="AL612" s="142">
        <f>B612*IBGE_2!AL$612/100</f>
        <v>26.126999999999999</v>
      </c>
      <c r="AM612" s="142">
        <f>B612*IBGE_2!AM$612/100</f>
        <v>29.774999999999999</v>
      </c>
      <c r="AN612" s="161"/>
    </row>
    <row r="613" spans="1:40">
      <c r="A613" s="143" t="s">
        <v>1673</v>
      </c>
      <c r="B613" s="141">
        <v>100</v>
      </c>
      <c r="C613" s="142">
        <f>B613*IBGE_2!C$613/100</f>
        <v>401.65899999999999</v>
      </c>
      <c r="D613" s="142">
        <f>B613*IBGE_2!D$613/100</f>
        <v>3.0019999999999998</v>
      </c>
      <c r="E613" s="142">
        <f>B613*IBGE_2!E$613/100</f>
        <v>23.443000000000001</v>
      </c>
      <c r="F613" s="142">
        <f>B613*IBGE_2!F$613/100</f>
        <v>14.711000000000002</v>
      </c>
      <c r="G613" s="142">
        <f>B613*IBGE_2!G$613/100</f>
        <v>6.0330000000000004</v>
      </c>
      <c r="H613" s="142">
        <f>B613*IBGE_2!H$613/100</f>
        <v>0.99199999999999999</v>
      </c>
      <c r="I613" s="142">
        <f>B613*IBGE_2!I$613/100</f>
        <v>0.89600000000000013</v>
      </c>
      <c r="J613" s="142">
        <f>B613*IBGE_2!J$613/100</f>
        <v>9.6000000000000002E-2</v>
      </c>
      <c r="K613" s="142">
        <f>B613*IBGE_2!K$613/100</f>
        <v>61.38</v>
      </c>
      <c r="L613" s="142">
        <f>B613*IBGE_2!L$613/100</f>
        <v>45.938000000000002</v>
      </c>
      <c r="M613" s="142">
        <f>B613*IBGE_2!M$613/100</f>
        <v>0.81200000000000006</v>
      </c>
      <c r="N613" s="142">
        <f>B613*IBGE_2!N$613/100</f>
        <v>12.712</v>
      </c>
      <c r="O613" s="142">
        <f>B613*IBGE_2!O$613/100</f>
        <v>6.956999999999999</v>
      </c>
      <c r="P613" s="142">
        <f>B613*IBGE_2!P$613/100</f>
        <v>0.184</v>
      </c>
      <c r="Q613" s="142">
        <f>B613*IBGE_2!Q$613/100</f>
        <v>35.698</v>
      </c>
      <c r="R613" s="142">
        <f>B613*IBGE_2!R$613/100</f>
        <v>1.2509999999999999</v>
      </c>
      <c r="S613" s="142">
        <f>B613*IBGE_2!S$613/100</f>
        <v>149.03399999999999</v>
      </c>
      <c r="T613" s="142">
        <f>B613*IBGE_2!T$613/100</f>
        <v>35.97</v>
      </c>
      <c r="U613" s="142">
        <f>B613*IBGE_2!U$613/100</f>
        <v>4.8000000000000001E-2</v>
      </c>
      <c r="V613" s="142">
        <f>B613*IBGE_2!V$613/100</f>
        <v>0.218</v>
      </c>
      <c r="W613" s="142">
        <f>B613*IBGE_2!W$613/100</f>
        <v>191.56100000000004</v>
      </c>
      <c r="X613" s="142">
        <f>B613*IBGE_2!X$613/100</f>
        <v>0.21099999999999997</v>
      </c>
      <c r="Y613" s="142">
        <f>B613*IBGE_2!Y$613/100</f>
        <v>0.14699999999999999</v>
      </c>
      <c r="Z613" s="142">
        <f>B613*IBGE_2!Z$613/100</f>
        <v>1.3000000000000001E-2</v>
      </c>
      <c r="AA613" s="142">
        <f>B613*IBGE_2!AA$613/100</f>
        <v>1.589</v>
      </c>
      <c r="AB613" s="142" t="s">
        <v>3047</v>
      </c>
      <c r="AC613" s="142">
        <f>B613*IBGE_2!AC$613/100</f>
        <v>2.2109999999999999</v>
      </c>
      <c r="AD613" s="142">
        <f>B613*IBGE_2!AD$613/100</f>
        <v>4.9000000000000002E-2</v>
      </c>
      <c r="AE613" s="142">
        <f>B613*IBGE_2!AE$613/100</f>
        <v>55.344000000000008</v>
      </c>
      <c r="AF613" s="142">
        <f>B613*IBGE_2!AF$613/100</f>
        <v>0.4</v>
      </c>
      <c r="AG613" s="142">
        <f>B613*IBGE_2!AG$613/100</f>
        <v>0.67800000000000016</v>
      </c>
      <c r="AH613" s="142">
        <f>B613*IBGE_2!AH$613/100</f>
        <v>0.93600000000000005</v>
      </c>
      <c r="AI613" s="142" t="s">
        <v>3047</v>
      </c>
      <c r="AJ613" s="142">
        <f>B613*IBGE_2!AJ$613/100</f>
        <v>9.4939999999999998</v>
      </c>
      <c r="AK613" s="142">
        <f>B613*IBGE_2!AK$613/100</f>
        <v>195.32</v>
      </c>
      <c r="AL613" s="142">
        <f>B613*IBGE_2!AL$613/100</f>
        <v>24.809000000000001</v>
      </c>
      <c r="AM613" s="142">
        <f>B613*IBGE_2!AM$613/100</f>
        <v>25.538</v>
      </c>
      <c r="AN613" s="161"/>
    </row>
    <row r="614" spans="1:40">
      <c r="A614" s="143" t="s">
        <v>1674</v>
      </c>
      <c r="B614" s="141">
        <v>100</v>
      </c>
      <c r="C614" s="142">
        <f>B614*IBGE_2!C$614/100</f>
        <v>171</v>
      </c>
      <c r="D614" s="142">
        <f>B614*IBGE_2!D$614/100</f>
        <v>2.6</v>
      </c>
      <c r="E614" s="142">
        <f>B614*IBGE_2!E$614/100</f>
        <v>4.8</v>
      </c>
      <c r="F614" s="142">
        <f>B614*IBGE_2!F$614/100</f>
        <v>0.5</v>
      </c>
      <c r="G614" s="142">
        <f>B614*IBGE_2!G$614/100</f>
        <v>0.7</v>
      </c>
      <c r="H614" s="142">
        <f>B614*IBGE_2!H$614/100</f>
        <v>1.4</v>
      </c>
      <c r="I614" s="142">
        <f>B614*IBGE_2!I$614/100</f>
        <v>1.32</v>
      </c>
      <c r="J614" s="142">
        <f>B614*IBGE_2!J$614/100</f>
        <v>0.09</v>
      </c>
      <c r="K614" s="142" t="s">
        <v>3047</v>
      </c>
      <c r="L614" s="142">
        <f>B614*IBGE_2!L$614/100</f>
        <v>30.7</v>
      </c>
      <c r="M614" s="142">
        <f>B614*IBGE_2!M$614/100</f>
        <v>2.4</v>
      </c>
      <c r="N614" s="142">
        <f>B614*IBGE_2!N$614/100</f>
        <v>4</v>
      </c>
      <c r="O614" s="142">
        <f>B614*IBGE_2!O$614/100</f>
        <v>15</v>
      </c>
      <c r="P614" s="142">
        <f>B614*IBGE_2!P$614/100</f>
        <v>0.12</v>
      </c>
      <c r="Q614" s="142">
        <f>B614*IBGE_2!Q$614/100</f>
        <v>55</v>
      </c>
      <c r="R614" s="142">
        <f>B614*IBGE_2!R$614/100</f>
        <v>0.4</v>
      </c>
      <c r="S614" s="142">
        <f>B614*IBGE_2!S$614/100</f>
        <v>132</v>
      </c>
      <c r="T614" s="142">
        <f>B614*IBGE_2!T$614/100</f>
        <v>125</v>
      </c>
      <c r="U614" s="142">
        <f>B614*IBGE_2!U$614/100</f>
        <v>0.03</v>
      </c>
      <c r="V614" s="142">
        <f>B614*IBGE_2!V$614/100</f>
        <v>0.4</v>
      </c>
      <c r="W614" s="142" t="s">
        <v>3047</v>
      </c>
      <c r="X614" s="142" t="s">
        <v>3047</v>
      </c>
      <c r="Y614" s="142" t="s">
        <v>3047</v>
      </c>
      <c r="Z614" s="142" t="s">
        <v>3047</v>
      </c>
      <c r="AA614" s="142" t="s">
        <v>3047</v>
      </c>
      <c r="AB614" s="142" t="s">
        <v>3047</v>
      </c>
      <c r="AC614" s="142" t="s">
        <v>3047</v>
      </c>
      <c r="AD614" s="142" t="s">
        <v>3047</v>
      </c>
      <c r="AE614" s="142" t="s">
        <v>3047</v>
      </c>
      <c r="AF614" s="142" t="s">
        <v>3047</v>
      </c>
      <c r="AG614" s="142" t="s">
        <v>3047</v>
      </c>
      <c r="AH614" s="142">
        <f>B614*IBGE_2!AH$614/100</f>
        <v>0.11</v>
      </c>
      <c r="AI614" s="142" t="s">
        <v>3047</v>
      </c>
      <c r="AJ614" s="145" t="s">
        <v>3047</v>
      </c>
      <c r="AK614" s="145" t="s">
        <v>3047</v>
      </c>
      <c r="AL614" s="145" t="s">
        <v>3047</v>
      </c>
      <c r="AM614" s="145" t="s">
        <v>3047</v>
      </c>
      <c r="AN614" s="161"/>
    </row>
    <row r="615" spans="1:40">
      <c r="A615" s="143" t="s">
        <v>1675</v>
      </c>
      <c r="B615" s="141">
        <v>100</v>
      </c>
      <c r="C615" s="142">
        <f>B615*IBGE_2!C$615/100</f>
        <v>387</v>
      </c>
      <c r="D615" s="142" t="s">
        <v>3047</v>
      </c>
      <c r="E615" s="142" t="s">
        <v>3047</v>
      </c>
      <c r="F615" s="142" t="s">
        <v>3047</v>
      </c>
      <c r="G615" s="142" t="s">
        <v>3047</v>
      </c>
      <c r="H615" s="142" t="s">
        <v>3047</v>
      </c>
      <c r="I615" s="142" t="s">
        <v>3047</v>
      </c>
      <c r="J615" s="142" t="s">
        <v>3047</v>
      </c>
      <c r="K615" s="142" t="s">
        <v>3047</v>
      </c>
      <c r="L615" s="142">
        <f>B615*IBGE_2!L$615/100</f>
        <v>99.98</v>
      </c>
      <c r="M615" s="142" t="s">
        <v>3047</v>
      </c>
      <c r="N615" s="142">
        <f>B615*IBGE_2!N$615/100</f>
        <v>1</v>
      </c>
      <c r="O615" s="142" t="s">
        <v>3047</v>
      </c>
      <c r="P615" s="142" t="s">
        <v>3047</v>
      </c>
      <c r="Q615" s="142" t="s">
        <v>3047</v>
      </c>
      <c r="R615" s="142">
        <f>B615*IBGE_2!R$615/100</f>
        <v>0.01</v>
      </c>
      <c r="S615" s="142" t="s">
        <v>3047</v>
      </c>
      <c r="T615" s="142">
        <f>B615*IBGE_2!T$615/100</f>
        <v>2</v>
      </c>
      <c r="U615" s="142" t="s">
        <v>3047</v>
      </c>
      <c r="V615" s="142" t="s">
        <v>3047</v>
      </c>
      <c r="W615" s="142" t="s">
        <v>3047</v>
      </c>
      <c r="X615" s="142" t="s">
        <v>3047</v>
      </c>
      <c r="Y615" s="142">
        <f>B615*IBGE_2!Y$615/100</f>
        <v>0.02</v>
      </c>
      <c r="Z615" s="142" t="s">
        <v>3047</v>
      </c>
      <c r="AA615" s="142" t="s">
        <v>3047</v>
      </c>
      <c r="AB615" s="142" t="s">
        <v>3047</v>
      </c>
      <c r="AC615" s="142" t="s">
        <v>3047</v>
      </c>
      <c r="AD615" s="142" t="s">
        <v>3047</v>
      </c>
      <c r="AE615" s="145" t="s">
        <v>3047</v>
      </c>
      <c r="AF615" s="145" t="s">
        <v>3047</v>
      </c>
      <c r="AG615" s="145" t="s">
        <v>3047</v>
      </c>
      <c r="AH615" s="145" t="s">
        <v>3047</v>
      </c>
      <c r="AI615" s="142" t="s">
        <v>3047</v>
      </c>
      <c r="AJ615" s="142">
        <f>B615*IBGE_2!AJ$615/100</f>
        <v>0.6</v>
      </c>
      <c r="AK615" s="145" t="s">
        <v>3047</v>
      </c>
      <c r="AL615" s="142">
        <f>B615*IBGE_2!AL$615/100</f>
        <v>99.91</v>
      </c>
      <c r="AM615" s="142">
        <f>B615*IBGE_2!AM$615/100</f>
        <v>99.98</v>
      </c>
      <c r="AN615" s="161"/>
    </row>
    <row r="616" spans="1:40">
      <c r="A616" s="143" t="s">
        <v>1676</v>
      </c>
      <c r="B616" s="141">
        <v>100</v>
      </c>
      <c r="C616" s="142">
        <f>B616*IBGE_2!C$616/100</f>
        <v>350</v>
      </c>
      <c r="D616" s="142">
        <f>B616*IBGE_2!D$616/100</f>
        <v>4.5999999999999996</v>
      </c>
      <c r="E616" s="142">
        <f>B616*IBGE_2!E$616/100</f>
        <v>8.9</v>
      </c>
      <c r="F616" s="142">
        <f>B616*IBGE_2!F$616/100</f>
        <v>3.98</v>
      </c>
      <c r="G616" s="142">
        <f>B616*IBGE_2!G$616/100</f>
        <v>3.8570000000000007</v>
      </c>
      <c r="H616" s="142">
        <f>B616*IBGE_2!H$616/100</f>
        <v>0.27800000000000002</v>
      </c>
      <c r="I616" s="142">
        <f>B616*IBGE_2!I$616/100</f>
        <v>0.249</v>
      </c>
      <c r="J616" s="142">
        <f>B616*IBGE_2!J$616/100</f>
        <v>2.4E-2</v>
      </c>
      <c r="K616" s="142">
        <f>B616*IBGE_2!K$616/100</f>
        <v>1</v>
      </c>
      <c r="L616" s="142">
        <f>B616*IBGE_2!L$616/100</f>
        <v>62.9</v>
      </c>
      <c r="M616" s="142">
        <f>B616*IBGE_2!M$616/100</f>
        <v>2.8</v>
      </c>
      <c r="N616" s="142">
        <f>B616*IBGE_2!N$616/100</f>
        <v>49</v>
      </c>
      <c r="O616" s="142">
        <f>B616*IBGE_2!O$616/100</f>
        <v>48</v>
      </c>
      <c r="P616" s="142">
        <f>B616*IBGE_2!P$616/100</f>
        <v>0.371</v>
      </c>
      <c r="Q616" s="142">
        <f>B616*IBGE_2!Q$616/100</f>
        <v>97</v>
      </c>
      <c r="R616" s="142">
        <f>B616*IBGE_2!R$616/100</f>
        <v>1.3</v>
      </c>
      <c r="S616" s="142">
        <f>B616*IBGE_2!S$616/100</f>
        <v>346</v>
      </c>
      <c r="T616" s="142">
        <f>B616*IBGE_2!T$616/100</f>
        <v>284</v>
      </c>
      <c r="U616" s="142">
        <f>B616*IBGE_2!U$616/100</f>
        <v>0.34799999999999998</v>
      </c>
      <c r="V616" s="142">
        <f>B616*IBGE_2!V$616/100</f>
        <v>0.83</v>
      </c>
      <c r="W616" s="142">
        <f>B616*IBGE_2!W$616/100</f>
        <v>1</v>
      </c>
      <c r="X616" s="142">
        <f>B616*IBGE_2!X$616/100</f>
        <v>3.4000000000000002E-2</v>
      </c>
      <c r="Y616" s="142">
        <f>B616*IBGE_2!Y$616/100</f>
        <v>9.0999999999999998E-2</v>
      </c>
      <c r="Z616" s="142">
        <f>B616*IBGE_2!Z$616/100</f>
        <v>0.02</v>
      </c>
      <c r="AA616" s="142">
        <f>B616*IBGE_2!AA$616/100</f>
        <v>0.25</v>
      </c>
      <c r="AB616" s="142">
        <f>B616*IBGE_2!AB$616/100</f>
        <v>0.2</v>
      </c>
      <c r="AC616" s="142">
        <f>B616*IBGE_2!AC$616/100</f>
        <v>1.4170000000000003</v>
      </c>
      <c r="AD616" s="142">
        <f>B616*IBGE_2!AD$616/100</f>
        <v>0.06</v>
      </c>
      <c r="AE616" s="142">
        <f>B616*IBGE_2!AE$616/100</f>
        <v>4</v>
      </c>
      <c r="AF616" s="145" t="s">
        <v>3047</v>
      </c>
      <c r="AG616" s="142">
        <f>B616*IBGE_2!AG$616/100</f>
        <v>2.63</v>
      </c>
      <c r="AH616" s="145" t="s">
        <v>3047</v>
      </c>
      <c r="AI616" s="142" t="s">
        <v>3047</v>
      </c>
      <c r="AJ616" s="142">
        <f>B616*IBGE_2!AJ$616/100</f>
        <v>2.2999999999999998</v>
      </c>
      <c r="AK616" s="142">
        <f>B616*IBGE_2!AK$616/100</f>
        <v>1</v>
      </c>
      <c r="AL616" s="142">
        <f>B616*IBGE_2!AL$616/100</f>
        <v>48.37</v>
      </c>
      <c r="AM616" s="142">
        <f>B616*IBGE_2!AM$616/100</f>
        <v>38.299999999999997</v>
      </c>
      <c r="AN616" s="161"/>
    </row>
    <row r="617" spans="1:40">
      <c r="A617" s="143" t="s">
        <v>1677</v>
      </c>
      <c r="B617" s="141">
        <v>100</v>
      </c>
      <c r="C617" s="142">
        <f>B617*IBGE_2!C$617/100</f>
        <v>535</v>
      </c>
      <c r="D617" s="142">
        <f>B617*IBGE_2!D$617/100</f>
        <v>7.65</v>
      </c>
      <c r="E617" s="142">
        <f>B617*IBGE_2!E$617/100</f>
        <v>29.66</v>
      </c>
      <c r="F617" s="142">
        <f>B617*IBGE_2!F$617/100</f>
        <v>20.78</v>
      </c>
      <c r="G617" s="142">
        <f>B617*IBGE_2!G$617/100</f>
        <v>15.869000000000002</v>
      </c>
      <c r="H617" s="142">
        <f>B617*IBGE_2!H$617/100</f>
        <v>1.256</v>
      </c>
      <c r="I617" s="142">
        <f>B617*IBGE_2!I$617/100</f>
        <v>1.0629999999999999</v>
      </c>
      <c r="J617" s="142">
        <f>B617*IBGE_2!J$617/100</f>
        <v>0.122</v>
      </c>
      <c r="K617" s="142">
        <f>B617*IBGE_2!K$617/100</f>
        <v>23</v>
      </c>
      <c r="L617" s="142">
        <f>B617*IBGE_2!L$617/100</f>
        <v>59.4</v>
      </c>
      <c r="M617" s="142">
        <f>B617*IBGE_2!M$617/100</f>
        <v>3.4</v>
      </c>
      <c r="N617" s="142">
        <f>B617*IBGE_2!N$617/100</f>
        <v>189</v>
      </c>
      <c r="O617" s="142">
        <f>B617*IBGE_2!O$617/100</f>
        <v>63</v>
      </c>
      <c r="P617" s="142">
        <f>B617*IBGE_2!P$617/100</f>
        <v>0.47099999999999992</v>
      </c>
      <c r="Q617" s="142">
        <f>B617*IBGE_2!Q$617/100</f>
        <v>208</v>
      </c>
      <c r="R617" s="142">
        <f>B617*IBGE_2!R$617/100</f>
        <v>2.35</v>
      </c>
      <c r="S617" s="142">
        <f>B617*IBGE_2!S$617/100</f>
        <v>79</v>
      </c>
      <c r="T617" s="142">
        <f>B617*IBGE_2!T$617/100</f>
        <v>372</v>
      </c>
      <c r="U617" s="142">
        <f>B617*IBGE_2!U$617/100</f>
        <v>0.49099999999999999</v>
      </c>
      <c r="V617" s="142">
        <f>B617*IBGE_2!V$617/100</f>
        <v>2.2999999999999998</v>
      </c>
      <c r="W617" s="142">
        <f>B617*IBGE_2!W$617/100</f>
        <v>56</v>
      </c>
      <c r="X617" s="142">
        <f>B617*IBGE_2!X$617/100</f>
        <v>0.11200000000000002</v>
      </c>
      <c r="Y617" s="142">
        <f>B617*IBGE_2!Y$617/100</f>
        <v>0.29799999999999999</v>
      </c>
      <c r="Z617" s="142">
        <f>B617*IBGE_2!Z$617/100</f>
        <v>3.5999999999999997E-2</v>
      </c>
      <c r="AA617" s="142">
        <f>B617*IBGE_2!AA$617/100</f>
        <v>0.38600000000000001</v>
      </c>
      <c r="AB617" s="142" t="s">
        <v>3047</v>
      </c>
      <c r="AC617" s="142">
        <f>B617*IBGE_2!AC$617/100</f>
        <v>1.869</v>
      </c>
      <c r="AD617" s="142">
        <f>B617*IBGE_2!AD$617/100</f>
        <v>0.75</v>
      </c>
      <c r="AE617" s="142">
        <f>B617*IBGE_2!AE$617/100</f>
        <v>11</v>
      </c>
      <c r="AF617" s="145" t="s">
        <v>3047</v>
      </c>
      <c r="AG617" s="142">
        <f>B617*IBGE_2!AG$617/100</f>
        <v>0.51</v>
      </c>
      <c r="AH617" s="142">
        <f>B617*IBGE_2!AH$617/100</f>
        <v>0.09</v>
      </c>
      <c r="AI617" s="142" t="s">
        <v>3047</v>
      </c>
      <c r="AJ617" s="142">
        <f>B617*IBGE_2!AJ$617/100</f>
        <v>4.5</v>
      </c>
      <c r="AK617" s="142">
        <f>B617*IBGE_2!AK$617/100</f>
        <v>56.667000000000002</v>
      </c>
      <c r="AL617" s="142">
        <f>B617*IBGE_2!AL$617/100</f>
        <v>54.8</v>
      </c>
      <c r="AM617" s="142">
        <f>B617*IBGE_2!AM$617/100</f>
        <v>46.991000000000007</v>
      </c>
      <c r="AN617" s="161"/>
    </row>
    <row r="618" spans="1:40">
      <c r="A618" s="143" t="s">
        <v>1678</v>
      </c>
      <c r="B618" s="141">
        <v>100</v>
      </c>
      <c r="C618" s="142">
        <f>B618*IBGE_2!C$618/100</f>
        <v>535</v>
      </c>
      <c r="D618" s="142">
        <f>B618*IBGE_2!D$618/100</f>
        <v>7.65</v>
      </c>
      <c r="E618" s="142">
        <f>B618*IBGE_2!E$618/100</f>
        <v>29.66</v>
      </c>
      <c r="F618" s="142">
        <f>B618*IBGE_2!F$618/100</f>
        <v>20.78</v>
      </c>
      <c r="G618" s="142">
        <f>B618*IBGE_2!G$618/100</f>
        <v>15.869000000000002</v>
      </c>
      <c r="H618" s="142">
        <f>B618*IBGE_2!H$618/100</f>
        <v>1.256</v>
      </c>
      <c r="I618" s="142">
        <f>B618*IBGE_2!I$618/100</f>
        <v>1.0629999999999999</v>
      </c>
      <c r="J618" s="142">
        <f>B618*IBGE_2!J$618/100</f>
        <v>0.122</v>
      </c>
      <c r="K618" s="142">
        <f>B618*IBGE_2!K$618/100</f>
        <v>23</v>
      </c>
      <c r="L618" s="142">
        <f>B618*IBGE_2!L$618/100</f>
        <v>59.4</v>
      </c>
      <c r="M618" s="142">
        <f>B618*IBGE_2!M$618/100</f>
        <v>3.4</v>
      </c>
      <c r="N618" s="142">
        <f>B618*IBGE_2!N$618/100</f>
        <v>189</v>
      </c>
      <c r="O618" s="142">
        <f>B618*IBGE_2!O$618/100</f>
        <v>63</v>
      </c>
      <c r="P618" s="142">
        <f>B618*IBGE_2!P$618/100</f>
        <v>0.47099999999999992</v>
      </c>
      <c r="Q618" s="142">
        <f>B618*IBGE_2!Q$618/100</f>
        <v>208</v>
      </c>
      <c r="R618" s="142">
        <f>B618*IBGE_2!R$618/100</f>
        <v>2.35</v>
      </c>
      <c r="S618" s="142">
        <f>B618*IBGE_2!S$618/100</f>
        <v>79</v>
      </c>
      <c r="T618" s="142">
        <f>B618*IBGE_2!T$618/100</f>
        <v>372</v>
      </c>
      <c r="U618" s="142">
        <f>B618*IBGE_2!U$618/100</f>
        <v>0.49099999999999999</v>
      </c>
      <c r="V618" s="142">
        <f>B618*IBGE_2!V$618/100</f>
        <v>2.2999999999999998</v>
      </c>
      <c r="W618" s="142">
        <f>B618*IBGE_2!W$618/100</f>
        <v>56</v>
      </c>
      <c r="X618" s="142">
        <f>B618*IBGE_2!X$618/100</f>
        <v>0.11200000000000002</v>
      </c>
      <c r="Y618" s="142">
        <f>B618*IBGE_2!Y$618/100</f>
        <v>0.29799999999999999</v>
      </c>
      <c r="Z618" s="142">
        <f>B618*IBGE_2!Z$618/100</f>
        <v>3.5999999999999997E-2</v>
      </c>
      <c r="AA618" s="142">
        <f>B618*IBGE_2!AA$618/100</f>
        <v>0.38600000000000001</v>
      </c>
      <c r="AB618" s="142" t="s">
        <v>3047</v>
      </c>
      <c r="AC618" s="142">
        <f>B618*IBGE_2!AC$618/100</f>
        <v>1.869</v>
      </c>
      <c r="AD618" s="142">
        <f>B618*IBGE_2!AD$618/100</f>
        <v>0.75</v>
      </c>
      <c r="AE618" s="142">
        <f>B618*IBGE_2!AE$618/100</f>
        <v>11</v>
      </c>
      <c r="AF618" s="145" t="s">
        <v>3047</v>
      </c>
      <c r="AG618" s="142">
        <f>B618*IBGE_2!AG$618/100</f>
        <v>0.51</v>
      </c>
      <c r="AH618" s="142">
        <f>B618*IBGE_2!AH$618/100</f>
        <v>0.09</v>
      </c>
      <c r="AI618" s="142" t="s">
        <v>3047</v>
      </c>
      <c r="AJ618" s="142">
        <f>B618*IBGE_2!AJ$618/100</f>
        <v>4.5</v>
      </c>
      <c r="AK618" s="142">
        <f>B618*IBGE_2!AK$618/100</f>
        <v>56.667000000000002</v>
      </c>
      <c r="AL618" s="142">
        <f>B618*IBGE_2!AL$618/100</f>
        <v>54.8</v>
      </c>
      <c r="AM618" s="142">
        <f>B618*IBGE_2!AM$618/100</f>
        <v>46.991000000000007</v>
      </c>
      <c r="AN618" s="161"/>
    </row>
    <row r="619" spans="1:40">
      <c r="A619" s="143" t="s">
        <v>1679</v>
      </c>
      <c r="B619" s="141">
        <v>100</v>
      </c>
      <c r="C619" s="142">
        <f>B619*IBGE_2!C$619/100</f>
        <v>460.339</v>
      </c>
      <c r="D619" s="142">
        <f>B619*IBGE_2!D$619/100</f>
        <v>11.013</v>
      </c>
      <c r="E619" s="142">
        <f>B619*IBGE_2!E$619/100</f>
        <v>24.635000000000002</v>
      </c>
      <c r="F619" s="142">
        <f>B619*IBGE_2!F$619/100</f>
        <v>1.859</v>
      </c>
      <c r="G619" s="142">
        <f>B619*IBGE_2!G$619/100</f>
        <v>15.394</v>
      </c>
      <c r="H619" s="142">
        <f>B619*IBGE_2!H$619/100</f>
        <v>6.0149999999999997</v>
      </c>
      <c r="I619" s="142">
        <f>B619*IBGE_2!I$619/100</f>
        <v>6.0110000000000001</v>
      </c>
      <c r="J619" s="142">
        <f>B619*IBGE_2!J$619/100</f>
        <v>3.0000000000000001E-3</v>
      </c>
      <c r="K619" s="142" t="s">
        <v>3047</v>
      </c>
      <c r="L619" s="142">
        <f>B619*IBGE_2!L$619/100</f>
        <v>56.268999999999998</v>
      </c>
      <c r="M619" s="142">
        <f>B619*IBGE_2!M$619/100</f>
        <v>6.13</v>
      </c>
      <c r="N619" s="142">
        <f>B619*IBGE_2!N$619/100</f>
        <v>133.589</v>
      </c>
      <c r="O619" s="142">
        <f>B619*IBGE_2!O$619/100</f>
        <v>134.44</v>
      </c>
      <c r="P619" s="142">
        <f>B619*IBGE_2!P$619/100</f>
        <v>1.159</v>
      </c>
      <c r="Q619" s="142">
        <f>B619*IBGE_2!Q$619/100</f>
        <v>242.703</v>
      </c>
      <c r="R619" s="142">
        <f>B619*IBGE_2!R$619/100</f>
        <v>1.964</v>
      </c>
      <c r="S619" s="142">
        <f>B619*IBGE_2!S$619/100</f>
        <v>7.08</v>
      </c>
      <c r="T619" s="142">
        <f>B619*IBGE_2!T$619/100</f>
        <v>370.226</v>
      </c>
      <c r="U619" s="142">
        <f>B619*IBGE_2!U$619/100</f>
        <v>0.50600000000000001</v>
      </c>
      <c r="V619" s="142">
        <f>B619*IBGE_2!V$619/100</f>
        <v>1.591</v>
      </c>
      <c r="W619" s="142" t="s">
        <v>3047</v>
      </c>
      <c r="X619" s="142">
        <f>B619*IBGE_2!X$619/100</f>
        <v>0.105</v>
      </c>
      <c r="Y619" s="142">
        <f>B619*IBGE_2!Y$619/100</f>
        <v>0.53400000000000003</v>
      </c>
      <c r="Z619" s="142">
        <f>B619*IBGE_2!Z$619/100</f>
        <v>7.6999999999999999E-2</v>
      </c>
      <c r="AA619" s="142">
        <f>B619*IBGE_2!AA$619/100</f>
        <v>1.7210000000000003</v>
      </c>
      <c r="AB619" s="142">
        <f>B619*IBGE_2!AB$619/100</f>
        <v>0.125</v>
      </c>
      <c r="AC619" s="142">
        <f>B619*IBGE_2!AC$619/100</f>
        <v>3.5840000000000005</v>
      </c>
      <c r="AD619" s="142">
        <f>B619*IBGE_2!AD$619/100</f>
        <v>3.0000000000000001E-3</v>
      </c>
      <c r="AE619" s="142">
        <f>B619*IBGE_2!AE$619/100</f>
        <v>25.55</v>
      </c>
      <c r="AF619" s="145" t="s">
        <v>3047</v>
      </c>
      <c r="AG619" s="142">
        <f>B619*IBGE_2!AG$619/100</f>
        <v>13.067</v>
      </c>
      <c r="AH619" s="142">
        <f>B619*IBGE_2!AH$619/100</f>
        <v>8.0000000000000002E-3</v>
      </c>
      <c r="AI619" s="142" t="s">
        <v>3047</v>
      </c>
      <c r="AJ619" s="142">
        <f>B619*IBGE_2!AJ$619/100</f>
        <v>2.2610000000000001</v>
      </c>
      <c r="AK619" s="142">
        <f>B619*IBGE_2!AK$619/100</f>
        <v>4.2000000000000003E-2</v>
      </c>
      <c r="AL619" s="142">
        <f>B619*IBGE_2!AL$619/100</f>
        <v>47.328000000000003</v>
      </c>
      <c r="AM619" s="142">
        <f>B619*IBGE_2!AM$619/100</f>
        <v>45.445999999999998</v>
      </c>
      <c r="AN619" s="161"/>
    </row>
    <row r="620" spans="1:40">
      <c r="A620" s="143" t="s">
        <v>1680</v>
      </c>
      <c r="B620" s="141">
        <v>100</v>
      </c>
      <c r="C620" s="142">
        <f>B620*IBGE_2!C$620/100</f>
        <v>108.49</v>
      </c>
      <c r="D620" s="142">
        <f>B620*IBGE_2!D$620/100</f>
        <v>3.0489999999999999</v>
      </c>
      <c r="E620" s="142">
        <f>B620*IBGE_2!E$620/100</f>
        <v>2.34</v>
      </c>
      <c r="F620" s="142">
        <f>B620*IBGE_2!F$620/100</f>
        <v>1.3180000000000001</v>
      </c>
      <c r="G620" s="142">
        <f>B620*IBGE_2!G$620/100</f>
        <v>0.59</v>
      </c>
      <c r="H620" s="142">
        <f>B620*IBGE_2!H$620/100</f>
        <v>0.158</v>
      </c>
      <c r="I620" s="142">
        <f>B620*IBGE_2!I$620/100</f>
        <v>0.10199999999999999</v>
      </c>
      <c r="J620" s="142">
        <f>B620*IBGE_2!J$620/100</f>
        <v>5.6000000000000008E-2</v>
      </c>
      <c r="K620" s="142">
        <f>B620*IBGE_2!K$620/100</f>
        <v>6.94</v>
      </c>
      <c r="L620" s="142">
        <f>B620*IBGE_2!L$620/100</f>
        <v>18.768999999999998</v>
      </c>
      <c r="M620" s="142">
        <f>B620*IBGE_2!M$620/100</f>
        <v>0.10299999999999999</v>
      </c>
      <c r="N620" s="142">
        <f>B620*IBGE_2!N$620/100</f>
        <v>82.043000000000006</v>
      </c>
      <c r="O620" s="142">
        <f>B620*IBGE_2!O$620/100</f>
        <v>10.74</v>
      </c>
      <c r="P620" s="142">
        <f>B620*IBGE_2!P$620/100</f>
        <v>0.14499999999999999</v>
      </c>
      <c r="Q620" s="142">
        <f>B620*IBGE_2!Q$620/100</f>
        <v>76.165999999999997</v>
      </c>
      <c r="R620" s="142">
        <f>B620*IBGE_2!R$620/100</f>
        <v>0.38500000000000001</v>
      </c>
      <c r="S620" s="142">
        <f>B620*IBGE_2!S$620/100</f>
        <v>50.786999999999999</v>
      </c>
      <c r="T620" s="142">
        <f>B620*IBGE_2!T$620/100</f>
        <v>109.983</v>
      </c>
      <c r="U620" s="142">
        <f>B620*IBGE_2!U$620/100</f>
        <v>0.03</v>
      </c>
      <c r="V620" s="142">
        <f>B620*IBGE_2!V$620/100</f>
        <v>0.42799999999999999</v>
      </c>
      <c r="W620" s="142">
        <f>B620*IBGE_2!W$620/100</f>
        <v>19.433</v>
      </c>
      <c r="X620" s="142">
        <f>B620*IBGE_2!X$620/100</f>
        <v>0.08</v>
      </c>
      <c r="Y620" s="142">
        <f>B620*IBGE_2!Y$620/100</f>
        <v>0.13200000000000001</v>
      </c>
      <c r="Z620" s="142">
        <f>B620*IBGE_2!Z$620/100</f>
        <v>5.2999999999999999E-2</v>
      </c>
      <c r="AA620" s="142">
        <f>B620*IBGE_2!AA$620/100</f>
        <v>0.52100000000000002</v>
      </c>
      <c r="AB620" s="142" t="s">
        <v>3047</v>
      </c>
      <c r="AC620" s="142">
        <f>B620*IBGE_2!AC$620/100</f>
        <v>1.5449999999999999</v>
      </c>
      <c r="AD620" s="142">
        <f>B620*IBGE_2!AD$620/100</f>
        <v>0.30499999999999999</v>
      </c>
      <c r="AE620" s="142">
        <f>B620*IBGE_2!AE$620/100</f>
        <v>16.417999999999999</v>
      </c>
      <c r="AF620" s="142">
        <f>B620*IBGE_2!AF$620/100</f>
        <v>0.69399999999999995</v>
      </c>
      <c r="AG620" s="142">
        <f>B620*IBGE_2!AG$620/100</f>
        <v>5.4000000000000006E-2</v>
      </c>
      <c r="AH620" s="142">
        <f>B620*IBGE_2!AH$620/100</f>
        <v>8.1000000000000003E-2</v>
      </c>
      <c r="AI620" s="142" t="s">
        <v>3047</v>
      </c>
      <c r="AJ620" s="142">
        <f>B620*IBGE_2!AJ$620/100</f>
        <v>4.88</v>
      </c>
      <c r="AK620" s="142">
        <f>B620*IBGE_2!AK$620/100</f>
        <v>19.722000000000001</v>
      </c>
      <c r="AL620" s="142">
        <f>B620*IBGE_2!AL$620/100</f>
        <v>10.763999999999999</v>
      </c>
      <c r="AM620" s="142">
        <f>B620*IBGE_2!AM$620/100</f>
        <v>7.11</v>
      </c>
      <c r="AN620" s="161"/>
    </row>
    <row r="621" spans="1:40">
      <c r="A621" s="143" t="s">
        <v>1681</v>
      </c>
      <c r="B621" s="141">
        <v>100</v>
      </c>
      <c r="C621" s="142">
        <f>B621*IBGE_2!C$621/100</f>
        <v>402</v>
      </c>
      <c r="D621" s="142">
        <f>B621*IBGE_2!D$621/100</f>
        <v>3.8</v>
      </c>
      <c r="E621" s="142">
        <f>B621*IBGE_2!E$621/100</f>
        <v>41.7</v>
      </c>
      <c r="F621" s="142" t="s">
        <v>3047</v>
      </c>
      <c r="G621" s="142" t="s">
        <v>3047</v>
      </c>
      <c r="H621" s="142" t="s">
        <v>3047</v>
      </c>
      <c r="I621" s="142" t="s">
        <v>3047</v>
      </c>
      <c r="J621" s="142" t="s">
        <v>3047</v>
      </c>
      <c r="K621" s="142" t="s">
        <v>3047</v>
      </c>
      <c r="L621" s="142">
        <f>B621*IBGE_2!L$621/100</f>
        <v>9.8000000000000007</v>
      </c>
      <c r="M621" s="142">
        <f>B621*IBGE_2!M$621/100</f>
        <v>5</v>
      </c>
      <c r="N621" s="142">
        <f>B621*IBGE_2!N$621/100</f>
        <v>7</v>
      </c>
      <c r="O621" s="142">
        <f>B621*IBGE_2!O$621/100</f>
        <v>41</v>
      </c>
      <c r="P621" s="142">
        <f>B621*IBGE_2!P$621/100</f>
        <v>0.77</v>
      </c>
      <c r="Q621" s="142">
        <f>B621*IBGE_2!Q$621/100</f>
        <v>107</v>
      </c>
      <c r="R621" s="142">
        <f>B621*IBGE_2!R$621/100</f>
        <v>1.7</v>
      </c>
      <c r="S621" s="142">
        <f>B621*IBGE_2!S$621/100</f>
        <v>11</v>
      </c>
      <c r="T621" s="142">
        <f>B621*IBGE_2!T$621/100</f>
        <v>370</v>
      </c>
      <c r="U621" s="142">
        <f>B621*IBGE_2!U$621/100</f>
        <v>0.42</v>
      </c>
      <c r="V621" s="142">
        <f>B621*IBGE_2!V$621/100</f>
        <v>0.9</v>
      </c>
      <c r="W621" s="142" t="s">
        <v>3047</v>
      </c>
      <c r="X621" s="142" t="s">
        <v>3047</v>
      </c>
      <c r="Y621" s="142" t="s">
        <v>3047</v>
      </c>
      <c r="Z621" s="142" t="s">
        <v>3047</v>
      </c>
      <c r="AA621" s="142" t="s">
        <v>3047</v>
      </c>
      <c r="AB621" s="142">
        <f>B621*IBGE_2!AB$621/100</f>
        <v>1.6</v>
      </c>
      <c r="AC621" s="142" t="s">
        <v>3047</v>
      </c>
      <c r="AD621" s="145" t="s">
        <v>3047</v>
      </c>
      <c r="AE621" s="142" t="s">
        <v>3047</v>
      </c>
      <c r="AF621" s="145" t="s">
        <v>3047</v>
      </c>
      <c r="AG621" s="145" t="s">
        <v>3047</v>
      </c>
      <c r="AH621" s="145" t="s">
        <v>3047</v>
      </c>
      <c r="AI621" s="142" t="s">
        <v>3047</v>
      </c>
      <c r="AJ621" s="145" t="s">
        <v>3047</v>
      </c>
      <c r="AK621" s="145" t="s">
        <v>3047</v>
      </c>
      <c r="AL621" s="145" t="s">
        <v>3047</v>
      </c>
      <c r="AM621" s="145" t="s">
        <v>3047</v>
      </c>
      <c r="AN621" s="161"/>
    </row>
    <row r="622" spans="1:40">
      <c r="A622" s="143" t="s">
        <v>1682</v>
      </c>
      <c r="B622" s="141">
        <v>100</v>
      </c>
      <c r="C622" s="142">
        <f>B622*IBGE_2!C$622/100</f>
        <v>335.524</v>
      </c>
      <c r="D622" s="142">
        <f>B622*IBGE_2!D$622/100</f>
        <v>19.187999999999999</v>
      </c>
      <c r="E622" s="142">
        <f>B622*IBGE_2!E$622/100</f>
        <v>1.87</v>
      </c>
      <c r="F622" s="142">
        <f>B622*IBGE_2!F$622/100</f>
        <v>0.75700000000000001</v>
      </c>
      <c r="G622" s="142">
        <f>B622*IBGE_2!G$622/100</f>
        <v>0.42100000000000004</v>
      </c>
      <c r="H622" s="142">
        <f>B622*IBGE_2!H$622/100</f>
        <v>0.41099999999999992</v>
      </c>
      <c r="I622" s="142">
        <f>B622*IBGE_2!I$622/100</f>
        <v>0.36599999999999999</v>
      </c>
      <c r="J622" s="142">
        <f>B622*IBGE_2!J$622/100</f>
        <v>4.4999999999999998E-2</v>
      </c>
      <c r="K622" s="142">
        <f>B622*IBGE_2!K$622/100</f>
        <v>5.274</v>
      </c>
      <c r="L622" s="142">
        <f>B622*IBGE_2!L$622/100</f>
        <v>69.938000000000002</v>
      </c>
      <c r="M622" s="142">
        <f>B622*IBGE_2!M$622/100</f>
        <v>7.3889999999999993</v>
      </c>
      <c r="N622" s="142">
        <f>B622*IBGE_2!N$622/100</f>
        <v>536.57600000000002</v>
      </c>
      <c r="O622" s="142">
        <f>B622*IBGE_2!O$622/100</f>
        <v>357.142</v>
      </c>
      <c r="P622" s="142">
        <f>B622*IBGE_2!P$622/100</f>
        <v>0.26900000000000002</v>
      </c>
      <c r="Q622" s="142">
        <f>B622*IBGE_2!Q$622/100</f>
        <v>366.596</v>
      </c>
      <c r="R622" s="142">
        <f>B622*IBGE_2!R$622/100</f>
        <v>22.856999999999999</v>
      </c>
      <c r="S622" s="142">
        <f>B622*IBGE_2!S$622/100</f>
        <v>395.27199999999999</v>
      </c>
      <c r="T622" s="142">
        <f>B622*IBGE_2!T$622/100</f>
        <v>928.745</v>
      </c>
      <c r="U622" s="142">
        <f>B622*IBGE_2!U$622/100</f>
        <v>0.71099999999999997</v>
      </c>
      <c r="V622" s="142">
        <f>B622*IBGE_2!V$622/100</f>
        <v>16.071999999999999</v>
      </c>
      <c r="W622" s="142">
        <f>B622*IBGE_2!W$622/100</f>
        <v>803.11300000000006</v>
      </c>
      <c r="X622" s="142">
        <f>B622*IBGE_2!X$622/100</f>
        <v>1.6080000000000001</v>
      </c>
      <c r="Y622" s="142">
        <f>B622*IBGE_2!Y$622/100</f>
        <v>0.69799999999999995</v>
      </c>
      <c r="Z622" s="142">
        <f>B622*IBGE_2!Z$622/100</f>
        <v>2.1429999999999998</v>
      </c>
      <c r="AA622" s="142">
        <f>B622*IBGE_2!AA$622/100</f>
        <v>24.995999999999999</v>
      </c>
      <c r="AB622" s="142">
        <f>B622*IBGE_2!AB$622/100</f>
        <v>64.286000000000001</v>
      </c>
      <c r="AC622" s="142">
        <f>B622*IBGE_2!AC$622/100</f>
        <v>29.62</v>
      </c>
      <c r="AD622" s="142">
        <f>B622*IBGE_2!AD$622/100</f>
        <v>4.2869999999999999</v>
      </c>
      <c r="AE622" s="142">
        <f>B622*IBGE_2!AE$622/100</f>
        <v>588.803</v>
      </c>
      <c r="AF622" s="142">
        <f>B622*IBGE_2!AF$622/100</f>
        <v>3.5710000000000002</v>
      </c>
      <c r="AG622" s="142">
        <f>B622*IBGE_2!AG$622/100</f>
        <v>24.122</v>
      </c>
      <c r="AH622" s="142">
        <f>B622*IBGE_2!AH$622/100</f>
        <v>0.01</v>
      </c>
      <c r="AI622" s="142" t="s">
        <v>3047</v>
      </c>
      <c r="AJ622" s="142">
        <f>B622*IBGE_2!AJ$622/100</f>
        <v>11.732999999999999</v>
      </c>
      <c r="AK622" s="142">
        <f>B622*IBGE_2!AK$622/100</f>
        <v>803.21800000000007</v>
      </c>
      <c r="AL622" s="142">
        <f>B622*IBGE_2!AL$622/100</f>
        <v>59.328000000000003</v>
      </c>
      <c r="AM622" s="142">
        <f>B622*IBGE_2!AM$622/100</f>
        <v>39.637999999999998</v>
      </c>
      <c r="AN622" s="161"/>
    </row>
    <row r="623" spans="1:40">
      <c r="A623" s="143" t="s">
        <v>1683</v>
      </c>
      <c r="B623" s="141">
        <v>100</v>
      </c>
      <c r="C623" s="142">
        <f>B623*IBGE_2!C$623/100</f>
        <v>335.524</v>
      </c>
      <c r="D623" s="142">
        <f>B623*IBGE_2!D$623/100</f>
        <v>19.187999999999999</v>
      </c>
      <c r="E623" s="142">
        <f>B623*IBGE_2!E$623/100</f>
        <v>1.87</v>
      </c>
      <c r="F623" s="142">
        <f>B623*IBGE_2!F$623/100</f>
        <v>0.75700000000000001</v>
      </c>
      <c r="G623" s="142">
        <f>B623*IBGE_2!G$623/100</f>
        <v>0.42100000000000004</v>
      </c>
      <c r="H623" s="142">
        <f>B623*IBGE_2!H$623/100</f>
        <v>0.41099999999999992</v>
      </c>
      <c r="I623" s="142">
        <f>B623*IBGE_2!I$623/100</f>
        <v>0.36599999999999999</v>
      </c>
      <c r="J623" s="142">
        <f>B623*IBGE_2!J$623/100</f>
        <v>4.4999999999999998E-2</v>
      </c>
      <c r="K623" s="142">
        <f>B623*IBGE_2!K$623/100</f>
        <v>5.274</v>
      </c>
      <c r="L623" s="142">
        <f>B623*IBGE_2!L$623/100</f>
        <v>69.938000000000002</v>
      </c>
      <c r="M623" s="142">
        <f>B623*IBGE_2!M$623/100</f>
        <v>7.3889999999999993</v>
      </c>
      <c r="N623" s="142">
        <f>B623*IBGE_2!N$623/100</f>
        <v>536.57600000000002</v>
      </c>
      <c r="O623" s="142">
        <f>B623*IBGE_2!O$623/100</f>
        <v>357.142</v>
      </c>
      <c r="P623" s="142">
        <f>B623*IBGE_2!P$623/100</f>
        <v>0.26900000000000002</v>
      </c>
      <c r="Q623" s="142">
        <f>B623*IBGE_2!Q$623/100</f>
        <v>366.596</v>
      </c>
      <c r="R623" s="142">
        <f>B623*IBGE_2!R$623/100</f>
        <v>22.856999999999999</v>
      </c>
      <c r="S623" s="142">
        <f>B623*IBGE_2!S$623/100</f>
        <v>395.27199999999999</v>
      </c>
      <c r="T623" s="142">
        <f>B623*IBGE_2!T$623/100</f>
        <v>928.745</v>
      </c>
      <c r="U623" s="142">
        <f>B623*IBGE_2!U$623/100</f>
        <v>0.71099999999999997</v>
      </c>
      <c r="V623" s="142">
        <f>B623*IBGE_2!V$623/100</f>
        <v>16.071999999999999</v>
      </c>
      <c r="W623" s="142">
        <f>B623*IBGE_2!W$623/100</f>
        <v>803.11300000000006</v>
      </c>
      <c r="X623" s="142">
        <f>B623*IBGE_2!X$623/100</f>
        <v>1.6080000000000001</v>
      </c>
      <c r="Y623" s="142">
        <f>B623*IBGE_2!Y$623/100</f>
        <v>0.69799999999999995</v>
      </c>
      <c r="Z623" s="142">
        <f>B623*IBGE_2!Z$623/100</f>
        <v>2.1429999999999998</v>
      </c>
      <c r="AA623" s="142">
        <f>B623*IBGE_2!AA$623/100</f>
        <v>24.995999999999999</v>
      </c>
      <c r="AB623" s="142">
        <f>B623*IBGE_2!AB$623/100</f>
        <v>64.286000000000001</v>
      </c>
      <c r="AC623" s="142">
        <f>B623*IBGE_2!AC$623/100</f>
        <v>29.62</v>
      </c>
      <c r="AD623" s="142">
        <f>B623*IBGE_2!AD$623/100</f>
        <v>4.2869999999999999</v>
      </c>
      <c r="AE623" s="142">
        <f>B623*IBGE_2!AE$623/100</f>
        <v>588.803</v>
      </c>
      <c r="AF623" s="142">
        <f>B623*IBGE_2!AF$623/100</f>
        <v>3.5710000000000002</v>
      </c>
      <c r="AG623" s="142">
        <f>B623*IBGE_2!AG$623/100</f>
        <v>24.122</v>
      </c>
      <c r="AH623" s="142">
        <f>B623*IBGE_2!AH$623/100</f>
        <v>0.01</v>
      </c>
      <c r="AI623" s="142" t="s">
        <v>3047</v>
      </c>
      <c r="AJ623" s="142">
        <f>B623*IBGE_2!AJ$623/100</f>
        <v>11.732999999999999</v>
      </c>
      <c r="AK623" s="142">
        <f>B623*IBGE_2!AK$623/100</f>
        <v>803.21800000000007</v>
      </c>
      <c r="AL623" s="142">
        <f>B623*IBGE_2!AL$623/100</f>
        <v>59.328000000000003</v>
      </c>
      <c r="AM623" s="142">
        <f>B623*IBGE_2!AM$623/100</f>
        <v>39.637999999999998</v>
      </c>
      <c r="AN623" s="161"/>
    </row>
    <row r="624" spans="1:40">
      <c r="A624" s="143" t="s">
        <v>1684</v>
      </c>
      <c r="B624" s="141">
        <v>100</v>
      </c>
      <c r="C624" s="142">
        <f>B624*IBGE_2!C$624/100</f>
        <v>387</v>
      </c>
      <c r="D624" s="142" t="s">
        <v>3047</v>
      </c>
      <c r="E624" s="142" t="s">
        <v>3047</v>
      </c>
      <c r="F624" s="142" t="s">
        <v>3047</v>
      </c>
      <c r="G624" s="142" t="s">
        <v>3047</v>
      </c>
      <c r="H624" s="142" t="s">
        <v>3047</v>
      </c>
      <c r="I624" s="142" t="s">
        <v>3047</v>
      </c>
      <c r="J624" s="142" t="s">
        <v>3047</v>
      </c>
      <c r="K624" s="142" t="s">
        <v>3047</v>
      </c>
      <c r="L624" s="142">
        <f>B624*IBGE_2!L$624/100</f>
        <v>99.98</v>
      </c>
      <c r="M624" s="142" t="s">
        <v>3047</v>
      </c>
      <c r="N624" s="142">
        <f>B624*IBGE_2!N$624/100</f>
        <v>1</v>
      </c>
      <c r="O624" s="142" t="s">
        <v>3047</v>
      </c>
      <c r="P624" s="142" t="s">
        <v>3047</v>
      </c>
      <c r="Q624" s="142" t="s">
        <v>3047</v>
      </c>
      <c r="R624" s="142">
        <f>B624*IBGE_2!R$624/100</f>
        <v>0.01</v>
      </c>
      <c r="S624" s="142" t="s">
        <v>3047</v>
      </c>
      <c r="T624" s="142">
        <f>B624*IBGE_2!T$624/100</f>
        <v>2</v>
      </c>
      <c r="U624" s="142" t="s">
        <v>3047</v>
      </c>
      <c r="V624" s="142" t="s">
        <v>3047</v>
      </c>
      <c r="W624" s="142" t="s">
        <v>3047</v>
      </c>
      <c r="X624" s="142" t="s">
        <v>3047</v>
      </c>
      <c r="Y624" s="142">
        <f>B624*IBGE_2!Y$624/100</f>
        <v>0.02</v>
      </c>
      <c r="Z624" s="142" t="s">
        <v>3047</v>
      </c>
      <c r="AA624" s="142" t="s">
        <v>3047</v>
      </c>
      <c r="AB624" s="142" t="s">
        <v>3047</v>
      </c>
      <c r="AC624" s="142" t="s">
        <v>3047</v>
      </c>
      <c r="AD624" s="142" t="s">
        <v>3047</v>
      </c>
      <c r="AE624" s="142" t="s">
        <v>3047</v>
      </c>
      <c r="AF624" s="142" t="s">
        <v>3047</v>
      </c>
      <c r="AG624" s="142" t="s">
        <v>3047</v>
      </c>
      <c r="AH624" s="142" t="s">
        <v>3047</v>
      </c>
      <c r="AI624" s="142" t="s">
        <v>3047</v>
      </c>
      <c r="AJ624" s="142">
        <f>B624*IBGE_2!AJ$624/100</f>
        <v>0.6</v>
      </c>
      <c r="AK624" s="145" t="s">
        <v>3047</v>
      </c>
      <c r="AL624" s="142">
        <f>B624*IBGE_2!AL$624/100</f>
        <v>99.91</v>
      </c>
      <c r="AM624" s="142">
        <f>B624*IBGE_2!AM$624/100</f>
        <v>99.98</v>
      </c>
      <c r="AN624" s="161"/>
    </row>
    <row r="625" spans="1:40">
      <c r="A625" s="143" t="s">
        <v>1685</v>
      </c>
      <c r="B625" s="141">
        <v>100</v>
      </c>
      <c r="C625" s="142">
        <f>B625*IBGE_2!C$625/100</f>
        <v>400</v>
      </c>
      <c r="D625" s="142" t="s">
        <v>3047</v>
      </c>
      <c r="E625" s="142" t="s">
        <v>3047</v>
      </c>
      <c r="F625" s="142" t="s">
        <v>3047</v>
      </c>
      <c r="G625" s="142" t="s">
        <v>3047</v>
      </c>
      <c r="H625" s="142" t="s">
        <v>3047</v>
      </c>
      <c r="I625" s="142" t="s">
        <v>3047</v>
      </c>
      <c r="J625" s="142" t="s">
        <v>3047</v>
      </c>
      <c r="K625" s="142" t="s">
        <v>3047</v>
      </c>
      <c r="L625" s="142">
        <f>B625*IBGE_2!L$625/100</f>
        <v>100</v>
      </c>
      <c r="M625" s="142" t="s">
        <v>3047</v>
      </c>
      <c r="N625" s="142" t="s">
        <v>3047</v>
      </c>
      <c r="O625" s="142" t="s">
        <v>3047</v>
      </c>
      <c r="P625" s="142" t="s">
        <v>3047</v>
      </c>
      <c r="Q625" s="142" t="s">
        <v>3047</v>
      </c>
      <c r="R625" s="142" t="s">
        <v>3047</v>
      </c>
      <c r="S625" s="142" t="s">
        <v>3047</v>
      </c>
      <c r="T625" s="142" t="s">
        <v>3047</v>
      </c>
      <c r="U625" s="142" t="s">
        <v>3047</v>
      </c>
      <c r="V625" s="142" t="s">
        <v>3047</v>
      </c>
      <c r="W625" s="142" t="s">
        <v>3047</v>
      </c>
      <c r="X625" s="142" t="s">
        <v>3047</v>
      </c>
      <c r="Y625" s="142" t="s">
        <v>3047</v>
      </c>
      <c r="Z625" s="142" t="s">
        <v>3047</v>
      </c>
      <c r="AA625" s="142" t="s">
        <v>3047</v>
      </c>
      <c r="AB625" s="142" t="s">
        <v>3047</v>
      </c>
      <c r="AC625" s="142" t="s">
        <v>3047</v>
      </c>
      <c r="AD625" s="142" t="s">
        <v>3047</v>
      </c>
      <c r="AE625" s="142" t="s">
        <v>3047</v>
      </c>
      <c r="AF625" s="142" t="s">
        <v>3047</v>
      </c>
      <c r="AG625" s="142" t="s">
        <v>3047</v>
      </c>
      <c r="AH625" s="142" t="s">
        <v>3047</v>
      </c>
      <c r="AI625" s="142" t="s">
        <v>3047</v>
      </c>
      <c r="AJ625" s="145" t="s">
        <v>3047</v>
      </c>
      <c r="AK625" s="145" t="s">
        <v>3047</v>
      </c>
      <c r="AL625" s="145" t="s">
        <v>3047</v>
      </c>
      <c r="AM625" s="145" t="s">
        <v>3047</v>
      </c>
      <c r="AN625" s="161"/>
    </row>
    <row r="626" spans="1:40">
      <c r="A626" s="143" t="s">
        <v>1686</v>
      </c>
      <c r="B626" s="141">
        <v>100</v>
      </c>
      <c r="C626" s="142">
        <f>B626*IBGE_2!C$626/100</f>
        <v>352.91900000000004</v>
      </c>
      <c r="D626" s="142">
        <f>B626*IBGE_2!D$626/100</f>
        <v>3.1669999999999998</v>
      </c>
      <c r="E626" s="142">
        <f>B626*IBGE_2!E$626/100</f>
        <v>8.5510000000000002</v>
      </c>
      <c r="F626" s="142">
        <f>B626*IBGE_2!F$626/100</f>
        <v>0.93300000000000016</v>
      </c>
      <c r="G626" s="142">
        <f>B626*IBGE_2!G$626/100</f>
        <v>1.7130000000000001</v>
      </c>
      <c r="H626" s="142">
        <f>B626*IBGE_2!H$626/100</f>
        <v>5.3170000000000002</v>
      </c>
      <c r="I626" s="142">
        <f>B626*IBGE_2!I$626/100</f>
        <v>5.3</v>
      </c>
      <c r="J626" s="142">
        <f>B626*IBGE_2!J$626/100</f>
        <v>1.7000000000000001E-2</v>
      </c>
      <c r="K626" s="142" t="s">
        <v>3047</v>
      </c>
      <c r="L626" s="142">
        <f>B626*IBGE_2!L$626/100</f>
        <v>69.436000000000007</v>
      </c>
      <c r="M626" s="142">
        <f>B626*IBGE_2!M$626/100</f>
        <v>2.319</v>
      </c>
      <c r="N626" s="142">
        <f>B626*IBGE_2!N$626/100</f>
        <v>540.54100000000005</v>
      </c>
      <c r="O626" s="142">
        <f>B626*IBGE_2!O$626/100</f>
        <v>28.553000000000001</v>
      </c>
      <c r="P626" s="142">
        <f>B626*IBGE_2!P$626/100</f>
        <v>0.68300000000000016</v>
      </c>
      <c r="Q626" s="142">
        <f>B626*IBGE_2!Q$626/100</f>
        <v>76.789000000000001</v>
      </c>
      <c r="R626" s="142">
        <f>B626*IBGE_2!R$626/100</f>
        <v>4.8639999999999999</v>
      </c>
      <c r="S626" s="142">
        <f>B626*IBGE_2!S$626/100</f>
        <v>284.16399999999999</v>
      </c>
      <c r="T626" s="142">
        <f>B626*IBGE_2!T$626/100</f>
        <v>80.575999999999993</v>
      </c>
      <c r="U626" s="142">
        <f>B626*IBGE_2!U$626/100</f>
        <v>8.1000000000000003E-2</v>
      </c>
      <c r="V626" s="142">
        <f>B626*IBGE_2!V$626/100</f>
        <v>4.0519999999999996</v>
      </c>
      <c r="W626" s="142">
        <f>B626*IBGE_2!W$626/100</f>
        <v>607.35900000000004</v>
      </c>
      <c r="X626" s="142">
        <f>B626*IBGE_2!X$626/100</f>
        <v>1.0149999999999999</v>
      </c>
      <c r="Y626" s="142">
        <f>B626*IBGE_2!Y$626/100</f>
        <v>1.149</v>
      </c>
      <c r="Z626" s="142">
        <f>B626*IBGE_2!Z$626/100</f>
        <v>1.351</v>
      </c>
      <c r="AA626" s="142">
        <f>B626*IBGE_2!AA$626/100</f>
        <v>13.513999999999999</v>
      </c>
      <c r="AB626" s="142">
        <f>B626*IBGE_2!AB$626/100</f>
        <v>9.7000000000000017E-2</v>
      </c>
      <c r="AC626" s="142">
        <f>B626*IBGE_2!AC$626/100</f>
        <v>14.224</v>
      </c>
      <c r="AD626" s="145" t="s">
        <v>3047</v>
      </c>
      <c r="AE626" s="142">
        <f>B626*IBGE_2!AE$626/100</f>
        <v>178.46100000000001</v>
      </c>
      <c r="AF626" s="145" t="s">
        <v>3047</v>
      </c>
      <c r="AG626" s="142">
        <f>B626*IBGE_2!AG$626/100</f>
        <v>3.2040000000000002</v>
      </c>
      <c r="AH626" s="142">
        <f>B626*IBGE_2!AH$626/100</f>
        <v>3.5999999999999997E-2</v>
      </c>
      <c r="AI626" s="142" t="s">
        <v>3047</v>
      </c>
      <c r="AJ626" s="142">
        <f>B626*IBGE_2!AJ$626/100</f>
        <v>11.336000000000002</v>
      </c>
      <c r="AK626" s="142">
        <f>B626*IBGE_2!AK$626/100</f>
        <v>607.48500000000001</v>
      </c>
      <c r="AL626" s="142">
        <f>B626*IBGE_2!AL$626/100</f>
        <v>37.396000000000001</v>
      </c>
      <c r="AM626" s="142">
        <f>B626*IBGE_2!AM$626/100</f>
        <v>49.223999999999997</v>
      </c>
      <c r="AN626" s="161"/>
    </row>
    <row r="627" spans="1:40">
      <c r="A627" s="143" t="s">
        <v>1687</v>
      </c>
      <c r="B627" s="141">
        <v>100</v>
      </c>
      <c r="C627" s="142">
        <f>B627*IBGE_2!C$627/100</f>
        <v>352.91900000000004</v>
      </c>
      <c r="D627" s="142">
        <f>B627*IBGE_2!D$627/100</f>
        <v>3.1669999999999998</v>
      </c>
      <c r="E627" s="142">
        <f>B627*IBGE_2!E$627/100</f>
        <v>8.5510000000000002</v>
      </c>
      <c r="F627" s="142">
        <f>B627*IBGE_2!F$627/100</f>
        <v>0.93300000000000016</v>
      </c>
      <c r="G627" s="142">
        <f>B627*IBGE_2!G$627/100</f>
        <v>1.7130000000000001</v>
      </c>
      <c r="H627" s="142">
        <f>B627*IBGE_2!H$627/100</f>
        <v>5.3170000000000002</v>
      </c>
      <c r="I627" s="142">
        <f>B627*IBGE_2!I$627/100</f>
        <v>5.3</v>
      </c>
      <c r="J627" s="142">
        <f>B627*IBGE_2!J$627/100</f>
        <v>1.7000000000000001E-2</v>
      </c>
      <c r="K627" s="142" t="s">
        <v>3047</v>
      </c>
      <c r="L627" s="142">
        <f>B627*IBGE_2!L$627/100</f>
        <v>69.436000000000007</v>
      </c>
      <c r="M627" s="142">
        <f>B627*IBGE_2!M$627/100</f>
        <v>2.319</v>
      </c>
      <c r="N627" s="142">
        <f>B627*IBGE_2!N$627/100</f>
        <v>540.54100000000005</v>
      </c>
      <c r="O627" s="142">
        <f>B627*IBGE_2!O$627/100</f>
        <v>28.553000000000001</v>
      </c>
      <c r="P627" s="142">
        <f>B627*IBGE_2!P$627/100</f>
        <v>0.68300000000000016</v>
      </c>
      <c r="Q627" s="142">
        <f>B627*IBGE_2!Q$627/100</f>
        <v>76.789000000000001</v>
      </c>
      <c r="R627" s="142">
        <f>B627*IBGE_2!R$627/100</f>
        <v>4.8639999999999999</v>
      </c>
      <c r="S627" s="142">
        <f>B627*IBGE_2!S$627/100</f>
        <v>284.16399999999999</v>
      </c>
      <c r="T627" s="142">
        <f>B627*IBGE_2!T$627/100</f>
        <v>80.575999999999993</v>
      </c>
      <c r="U627" s="142">
        <f>B627*IBGE_2!U$627/100</f>
        <v>8.1000000000000003E-2</v>
      </c>
      <c r="V627" s="142">
        <f>B627*IBGE_2!V$627/100</f>
        <v>4.0519999999999996</v>
      </c>
      <c r="W627" s="142">
        <f>B627*IBGE_2!W$627/100</f>
        <v>607.35900000000004</v>
      </c>
      <c r="X627" s="142">
        <f>B627*IBGE_2!X$627/100</f>
        <v>1.0149999999999999</v>
      </c>
      <c r="Y627" s="142">
        <f>B627*IBGE_2!Y$627/100</f>
        <v>1.149</v>
      </c>
      <c r="Z627" s="142">
        <f>B627*IBGE_2!Z$627/100</f>
        <v>1.351</v>
      </c>
      <c r="AA627" s="142">
        <f>B627*IBGE_2!AA$627/100</f>
        <v>13.513999999999999</v>
      </c>
      <c r="AB627" s="142">
        <f>B627*IBGE_2!AB$627/100</f>
        <v>9.7000000000000017E-2</v>
      </c>
      <c r="AC627" s="142">
        <f>B627*IBGE_2!AC$627/100</f>
        <v>14.224</v>
      </c>
      <c r="AD627" s="145" t="s">
        <v>3047</v>
      </c>
      <c r="AE627" s="142">
        <f>B627*IBGE_2!AE$627/100</f>
        <v>178.46100000000001</v>
      </c>
      <c r="AF627" s="145" t="s">
        <v>3047</v>
      </c>
      <c r="AG627" s="142">
        <f>B627*IBGE_2!AG$627/100</f>
        <v>3.2040000000000002</v>
      </c>
      <c r="AH627" s="142">
        <f>B627*IBGE_2!AH$627/100</f>
        <v>3.5999999999999997E-2</v>
      </c>
      <c r="AI627" s="142" t="s">
        <v>3047</v>
      </c>
      <c r="AJ627" s="142">
        <f>B627*IBGE_2!AJ$627/100</f>
        <v>11.336000000000002</v>
      </c>
      <c r="AK627" s="142">
        <f>B627*IBGE_2!AK$627/100</f>
        <v>607.48500000000001</v>
      </c>
      <c r="AL627" s="142">
        <f>B627*IBGE_2!AL$627/100</f>
        <v>37.396000000000001</v>
      </c>
      <c r="AM627" s="142">
        <f>B627*IBGE_2!AM$627/100</f>
        <v>49.223999999999997</v>
      </c>
      <c r="AN627" s="161"/>
    </row>
    <row r="628" spans="1:40">
      <c r="A628" s="143" t="s">
        <v>1688</v>
      </c>
      <c r="B628" s="141">
        <v>100</v>
      </c>
      <c r="C628" s="142">
        <f>B628*IBGE_2!C$628/100</f>
        <v>352.91900000000004</v>
      </c>
      <c r="D628" s="142">
        <f>B628*IBGE_2!D$628/100</f>
        <v>3.1669999999999998</v>
      </c>
      <c r="E628" s="142">
        <f>B628*IBGE_2!E$628/100</f>
        <v>8.5510000000000002</v>
      </c>
      <c r="F628" s="142">
        <f>B628*IBGE_2!F$628/100</f>
        <v>0.93300000000000016</v>
      </c>
      <c r="G628" s="142">
        <f>B628*IBGE_2!G$628/100</f>
        <v>1.7130000000000001</v>
      </c>
      <c r="H628" s="142">
        <f>B628*IBGE_2!H$628/100</f>
        <v>5.3170000000000002</v>
      </c>
      <c r="I628" s="142">
        <f>B628*IBGE_2!I$628/100</f>
        <v>5.3</v>
      </c>
      <c r="J628" s="142">
        <f>B628*IBGE_2!J$628/100</f>
        <v>1.7000000000000001E-2</v>
      </c>
      <c r="K628" s="142" t="s">
        <v>3047</v>
      </c>
      <c r="L628" s="142">
        <f>B628*IBGE_2!L$628/100</f>
        <v>69.436000000000007</v>
      </c>
      <c r="M628" s="142">
        <f>B628*IBGE_2!M$628/100</f>
        <v>2.319</v>
      </c>
      <c r="N628" s="142">
        <f>B628*IBGE_2!N$628/100</f>
        <v>540.54100000000005</v>
      </c>
      <c r="O628" s="142">
        <f>B628*IBGE_2!O$628/100</f>
        <v>28.553000000000001</v>
      </c>
      <c r="P628" s="142">
        <f>B628*IBGE_2!P$628/100</f>
        <v>0.68300000000000016</v>
      </c>
      <c r="Q628" s="142">
        <f>B628*IBGE_2!Q$628/100</f>
        <v>76.789000000000001</v>
      </c>
      <c r="R628" s="142">
        <f>B628*IBGE_2!R$628/100</f>
        <v>4.8639999999999999</v>
      </c>
      <c r="S628" s="142">
        <f>B628*IBGE_2!S$628/100</f>
        <v>284.16399999999999</v>
      </c>
      <c r="T628" s="142">
        <f>B628*IBGE_2!T$628/100</f>
        <v>80.575999999999993</v>
      </c>
      <c r="U628" s="142">
        <f>B628*IBGE_2!U$628/100</f>
        <v>8.1000000000000003E-2</v>
      </c>
      <c r="V628" s="142">
        <f>B628*IBGE_2!V$628/100</f>
        <v>4.0519999999999996</v>
      </c>
      <c r="W628" s="142">
        <f>B628*IBGE_2!W$628/100</f>
        <v>607.35900000000004</v>
      </c>
      <c r="X628" s="142">
        <f>B628*IBGE_2!X$628/100</f>
        <v>1.0149999999999999</v>
      </c>
      <c r="Y628" s="142">
        <f>B628*IBGE_2!Y$628/100</f>
        <v>1.149</v>
      </c>
      <c r="Z628" s="142">
        <f>B628*IBGE_2!Z$628/100</f>
        <v>1.351</v>
      </c>
      <c r="AA628" s="142">
        <f>B628*IBGE_2!AA$628/100</f>
        <v>13.513999999999999</v>
      </c>
      <c r="AB628" s="142">
        <f>B628*IBGE_2!AB$628/100</f>
        <v>9.7000000000000017E-2</v>
      </c>
      <c r="AC628" s="142">
        <f>B628*IBGE_2!AC$628/100</f>
        <v>14.224</v>
      </c>
      <c r="AD628" s="145" t="s">
        <v>3047</v>
      </c>
      <c r="AE628" s="142">
        <f>B628*IBGE_2!AE$628/100</f>
        <v>178.46100000000001</v>
      </c>
      <c r="AF628" s="145" t="s">
        <v>3047</v>
      </c>
      <c r="AG628" s="142">
        <f>B628*IBGE_2!AG$628/100</f>
        <v>3.2040000000000002</v>
      </c>
      <c r="AH628" s="142">
        <f>B628*IBGE_2!AH$628/100</f>
        <v>3.5999999999999997E-2</v>
      </c>
      <c r="AI628" s="142" t="s">
        <v>3047</v>
      </c>
      <c r="AJ628" s="142">
        <f>B628*IBGE_2!AJ$628/100</f>
        <v>11.336000000000002</v>
      </c>
      <c r="AK628" s="142">
        <f>B628*IBGE_2!AK$628/100</f>
        <v>607.48500000000001</v>
      </c>
      <c r="AL628" s="142">
        <f>B628*IBGE_2!AL$628/100</f>
        <v>37.396000000000001</v>
      </c>
      <c r="AM628" s="142">
        <f>B628*IBGE_2!AM$628/100</f>
        <v>49.223999999999997</v>
      </c>
      <c r="AN628" s="161"/>
    </row>
    <row r="629" spans="1:40">
      <c r="A629" s="143" t="s">
        <v>1689</v>
      </c>
      <c r="B629" s="141">
        <v>100</v>
      </c>
      <c r="C629" s="142">
        <f>B629*IBGE_2!C$629/100</f>
        <v>131.148</v>
      </c>
      <c r="D629" s="142">
        <f>B629*IBGE_2!D$629/100</f>
        <v>5.5839999999999996</v>
      </c>
      <c r="E629" s="142">
        <f>B629*IBGE_2!E$629/100</f>
        <v>5.0659999999999998</v>
      </c>
      <c r="F629" s="142">
        <f>B629*IBGE_2!F$629/100</f>
        <v>2.1360000000000001</v>
      </c>
      <c r="G629" s="142">
        <f>B629*IBGE_2!G$629/100</f>
        <v>1.655</v>
      </c>
      <c r="H629" s="142">
        <f>B629*IBGE_2!H$629/100</f>
        <v>0.51600000000000001</v>
      </c>
      <c r="I629" s="142">
        <f>B629*IBGE_2!I$629/100</f>
        <v>0.40500000000000003</v>
      </c>
      <c r="J629" s="142">
        <f>B629*IBGE_2!J$629/100</f>
        <v>0.06</v>
      </c>
      <c r="K629" s="142">
        <f>B629*IBGE_2!K$629/100</f>
        <v>122.514</v>
      </c>
      <c r="L629" s="142">
        <f>B629*IBGE_2!L$629/100</f>
        <v>15.439</v>
      </c>
      <c r="M629" s="142" t="s">
        <v>3047</v>
      </c>
      <c r="N629" s="142">
        <f>B629*IBGE_2!N$629/100</f>
        <v>89.202000000000012</v>
      </c>
      <c r="O629" s="142">
        <f>B629*IBGE_2!O$629/100</f>
        <v>9.4939999999999998</v>
      </c>
      <c r="P629" s="142">
        <f>B629*IBGE_2!P$629/100</f>
        <v>1.0999999999999999E-2</v>
      </c>
      <c r="Q629" s="142">
        <f>B629*IBGE_2!Q$629/100</f>
        <v>107.709</v>
      </c>
      <c r="R629" s="142">
        <f>B629*IBGE_2!R$629/100</f>
        <v>0.34699999999999998</v>
      </c>
      <c r="S629" s="142">
        <f>B629*IBGE_2!S$629/100</f>
        <v>60.616999999999997</v>
      </c>
      <c r="T629" s="142">
        <f>B629*IBGE_2!T$629/100</f>
        <v>131.16800000000001</v>
      </c>
      <c r="U629" s="142">
        <f>B629*IBGE_2!U$629/100</f>
        <v>1.0999999999999999E-2</v>
      </c>
      <c r="V629" s="142">
        <f>B629*IBGE_2!V$629/100</f>
        <v>0.55400000000000005</v>
      </c>
      <c r="W629" s="142">
        <f>B629*IBGE_2!W$629/100</f>
        <v>64.567999999999998</v>
      </c>
      <c r="X629" s="142">
        <f>B629*IBGE_2!X$629/100</f>
        <v>4.7E-2</v>
      </c>
      <c r="Y629" s="142">
        <f>B629*IBGE_2!Y$629/100</f>
        <v>0.26500000000000001</v>
      </c>
      <c r="Z629" s="142">
        <f>B629*IBGE_2!Z$629/100</f>
        <v>5.7000000000000002E-2</v>
      </c>
      <c r="AA629" s="142">
        <f>B629*IBGE_2!AA$629/100</f>
        <v>9.1999999999999998E-2</v>
      </c>
      <c r="AB629" s="142" t="s">
        <v>3047</v>
      </c>
      <c r="AC629" s="142">
        <f>B629*IBGE_2!AC$629/100</f>
        <v>1.6220000000000001</v>
      </c>
      <c r="AD629" s="142">
        <f>B629*IBGE_2!AD$629/100</f>
        <v>0.59699999999999998</v>
      </c>
      <c r="AE629" s="142">
        <f>B629*IBGE_2!AE$629/100</f>
        <v>15.355</v>
      </c>
      <c r="AF629" s="142">
        <f>B629*IBGE_2!AF$629/100</f>
        <v>1.016</v>
      </c>
      <c r="AG629" s="142">
        <f>B629*IBGE_2!AG$629/100</f>
        <v>0.32100000000000001</v>
      </c>
      <c r="AH629" s="142">
        <f>B629*IBGE_2!AH$629/100</f>
        <v>7.6999999999999999E-2</v>
      </c>
      <c r="AI629" s="142" t="s">
        <v>3047</v>
      </c>
      <c r="AJ629" s="142">
        <f>B629*IBGE_2!AJ$629/100</f>
        <v>10.954000000000001</v>
      </c>
      <c r="AK629" s="142">
        <f>B629*IBGE_2!AK$629/100</f>
        <v>65.209999999999994</v>
      </c>
      <c r="AL629" s="142">
        <f>B629*IBGE_2!AL$629/100</f>
        <v>15.898</v>
      </c>
      <c r="AM629" s="142">
        <f>B629*IBGE_2!AM$629/100</f>
        <v>12.019</v>
      </c>
      <c r="AN629" s="161"/>
    </row>
    <row r="630" spans="1:40">
      <c r="A630" s="143" t="s">
        <v>1690</v>
      </c>
      <c r="B630" s="141">
        <v>100</v>
      </c>
      <c r="C630" s="142">
        <f>B630*IBGE_2!C$630/100</f>
        <v>293</v>
      </c>
      <c r="D630" s="142">
        <f>B630*IBGE_2!D$630/100</f>
        <v>4.7</v>
      </c>
      <c r="E630" s="142">
        <f>B630*IBGE_2!E$630/100</f>
        <v>16.600000000000001</v>
      </c>
      <c r="F630" s="142">
        <f>B630*IBGE_2!F$630/100</f>
        <v>3.4</v>
      </c>
      <c r="G630" s="142">
        <f>B630*IBGE_2!G$630/100</f>
        <v>9</v>
      </c>
      <c r="H630" s="142">
        <f>B630*IBGE_2!H$630/100</f>
        <v>2.9</v>
      </c>
      <c r="I630" s="142">
        <f>B630*IBGE_2!I$630/100</f>
        <v>2.8</v>
      </c>
      <c r="J630" s="142" t="s">
        <v>3047</v>
      </c>
      <c r="K630" s="142">
        <f>B630*IBGE_2!K$630/100</f>
        <v>38</v>
      </c>
      <c r="L630" s="142">
        <f>B630*IBGE_2!L$630/100</f>
        <v>31.3</v>
      </c>
      <c r="M630" s="142">
        <f>B630*IBGE_2!M$630/100</f>
        <v>0.5</v>
      </c>
      <c r="N630" s="142">
        <f>B630*IBGE_2!N$630/100</f>
        <v>101</v>
      </c>
      <c r="O630" s="142">
        <f>B630*IBGE_2!O$630/100</f>
        <v>13</v>
      </c>
      <c r="P630" s="142" t="s">
        <v>3047</v>
      </c>
      <c r="Q630" s="142">
        <f>B630*IBGE_2!Q$630/100</f>
        <v>102</v>
      </c>
      <c r="R630" s="142">
        <f>B630*IBGE_2!R$630/100</f>
        <v>0.5</v>
      </c>
      <c r="S630" s="142">
        <f>B630*IBGE_2!S$630/100</f>
        <v>85</v>
      </c>
      <c r="T630" s="142">
        <f>B630*IBGE_2!T$630/100</f>
        <v>159</v>
      </c>
      <c r="U630" s="142" t="s">
        <v>3047</v>
      </c>
      <c r="V630" s="142">
        <f>B630*IBGE_2!V$630/100</f>
        <v>0.6</v>
      </c>
      <c r="W630" s="142">
        <f>B630*IBGE_2!W$630/100</f>
        <v>40</v>
      </c>
      <c r="X630" s="142">
        <f>B630*IBGE_2!X$630/100</f>
        <v>0.02</v>
      </c>
      <c r="Y630" s="142">
        <f>B630*IBGE_2!Y$630/100</f>
        <v>0.19</v>
      </c>
      <c r="Z630" s="142">
        <f>B630*IBGE_2!Z$630/100</f>
        <v>4.7E-2</v>
      </c>
      <c r="AA630" s="142">
        <f>B630*IBGE_2!AA$630/100</f>
        <v>0.6</v>
      </c>
      <c r="AB630" s="142" t="s">
        <v>3047</v>
      </c>
      <c r="AC630" s="142" t="s">
        <v>3047</v>
      </c>
      <c r="AD630" s="145" t="s">
        <v>3047</v>
      </c>
      <c r="AE630" s="145" t="s">
        <v>3047</v>
      </c>
      <c r="AF630" s="145" t="s">
        <v>3047</v>
      </c>
      <c r="AG630" s="145" t="s">
        <v>3047</v>
      </c>
      <c r="AH630" s="142">
        <f>B630*IBGE_2!AH$630/100</f>
        <v>0.1</v>
      </c>
      <c r="AI630" s="142" t="s">
        <v>3047</v>
      </c>
      <c r="AJ630" s="145" t="s">
        <v>3047</v>
      </c>
      <c r="AK630" s="145" t="s">
        <v>3047</v>
      </c>
      <c r="AL630" s="145" t="s">
        <v>3047</v>
      </c>
      <c r="AM630" s="145" t="s">
        <v>3047</v>
      </c>
      <c r="AN630" s="161"/>
    </row>
    <row r="631" spans="1:40">
      <c r="A631" s="143" t="s">
        <v>1691</v>
      </c>
      <c r="B631" s="141">
        <v>100</v>
      </c>
      <c r="C631" s="142">
        <f>B631*IBGE_2!C$631/100</f>
        <v>161.089</v>
      </c>
      <c r="D631" s="142">
        <f>B631*IBGE_2!D$631/100</f>
        <v>3.109</v>
      </c>
      <c r="E631" s="142">
        <f>B631*IBGE_2!E$631/100</f>
        <v>6.4329999999999998</v>
      </c>
      <c r="F631" s="142">
        <f>B631*IBGE_2!F$631/100</f>
        <v>3.9560000000000004</v>
      </c>
      <c r="G631" s="142">
        <f>B631*IBGE_2!G$631/100</f>
        <v>1.742</v>
      </c>
      <c r="H631" s="142">
        <f>B631*IBGE_2!H$631/100</f>
        <v>0.25900000000000001</v>
      </c>
      <c r="I631" s="142">
        <f>B631*IBGE_2!I$631/100</f>
        <v>0.16400000000000003</v>
      </c>
      <c r="J631" s="142">
        <f>B631*IBGE_2!J$631/100</f>
        <v>9.3000000000000013E-2</v>
      </c>
      <c r="K631" s="142">
        <f>B631*IBGE_2!K$631/100</f>
        <v>25.077999999999996</v>
      </c>
      <c r="L631" s="142">
        <f>B631*IBGE_2!L$631/100</f>
        <v>23.488000000000003</v>
      </c>
      <c r="M631" s="142">
        <f>B631*IBGE_2!M$631/100</f>
        <v>0.75700000000000001</v>
      </c>
      <c r="N631" s="142">
        <f>B631*IBGE_2!N$631/100</f>
        <v>103.015</v>
      </c>
      <c r="O631" s="142">
        <f>B631*IBGE_2!O$631/100</f>
        <v>20.404</v>
      </c>
      <c r="P631" s="142">
        <f>B631*IBGE_2!P$631/100</f>
        <v>6.3E-2</v>
      </c>
      <c r="Q631" s="142">
        <f>B631*IBGE_2!Q$631/100</f>
        <v>101.824</v>
      </c>
      <c r="R631" s="142">
        <f>B631*IBGE_2!R$631/100</f>
        <v>0.377</v>
      </c>
      <c r="S631" s="142">
        <f>B631*IBGE_2!S$631/100</f>
        <v>64.450999999999993</v>
      </c>
      <c r="T631" s="142">
        <f>B631*IBGE_2!T$631/100</f>
        <v>181.47099999999998</v>
      </c>
      <c r="U631" s="142">
        <f>B631*IBGE_2!U$631/100</f>
        <v>9.3000000000000013E-2</v>
      </c>
      <c r="V631" s="142">
        <f>B631*IBGE_2!V$631/100</f>
        <v>0.59499999999999997</v>
      </c>
      <c r="W631" s="142">
        <f>B631*IBGE_2!W$631/100</f>
        <v>76.218999999999994</v>
      </c>
      <c r="X631" s="142">
        <f>B631*IBGE_2!X$631/100</f>
        <v>3.4000000000000002E-2</v>
      </c>
      <c r="Y631" s="142">
        <f>B631*IBGE_2!Y$631/100</f>
        <v>0.187</v>
      </c>
      <c r="Z631" s="142">
        <f>B631*IBGE_2!Z$631/100</f>
        <v>3.6999999999999998E-2</v>
      </c>
      <c r="AA631" s="142">
        <f>B631*IBGE_2!AA$631/100</f>
        <v>0.13600000000000001</v>
      </c>
      <c r="AB631" s="142">
        <f>B631*IBGE_2!AB$631/100</f>
        <v>0.4</v>
      </c>
      <c r="AC631" s="142">
        <f>B631*IBGE_2!AC$631/100</f>
        <v>0.78799999999999992</v>
      </c>
      <c r="AD631" s="142">
        <f>B631*IBGE_2!AD$631/100</f>
        <v>0.33800000000000002</v>
      </c>
      <c r="AE631" s="142">
        <f>B631*IBGE_2!AE$631/100</f>
        <v>4.3730000000000002</v>
      </c>
      <c r="AF631" s="142">
        <f>B631*IBGE_2!AF$631/100</f>
        <v>0.77200000000000002</v>
      </c>
      <c r="AG631" s="142">
        <f>B631*IBGE_2!AG$631/100</f>
        <v>0.16699999999999998</v>
      </c>
      <c r="AH631" s="142">
        <f>B631*IBGE_2!AH$631/100</f>
        <v>0.23699999999999999</v>
      </c>
      <c r="AI631" s="142" t="s">
        <v>3047</v>
      </c>
      <c r="AJ631" s="142">
        <f>B631*IBGE_2!AJ$631/100</f>
        <v>1.8869999999999998</v>
      </c>
      <c r="AK631" s="142">
        <f>B631*IBGE_2!AK$631/100</f>
        <v>77.11</v>
      </c>
      <c r="AL631" s="142">
        <f>B631*IBGE_2!AL$631/100</f>
        <v>17.785</v>
      </c>
      <c r="AM631" s="142">
        <f>B631*IBGE_2!AM$631/100</f>
        <v>19.074000000000002</v>
      </c>
      <c r="AN631" s="161"/>
    </row>
    <row r="632" spans="1:40">
      <c r="A632" s="143" t="s">
        <v>1692</v>
      </c>
      <c r="B632" s="141">
        <v>100</v>
      </c>
      <c r="C632" s="142">
        <f>B632*IBGE_2!C$632/100</f>
        <v>52.637</v>
      </c>
      <c r="D632" s="142">
        <f>B632*IBGE_2!D$632/100</f>
        <v>0.46899999999999997</v>
      </c>
      <c r="E632" s="142">
        <f>B632*IBGE_2!E$632/100</f>
        <v>0.16600000000000001</v>
      </c>
      <c r="F632" s="142">
        <f>B632*IBGE_2!F$632/100</f>
        <v>8.0000000000000002E-3</v>
      </c>
      <c r="G632" s="142">
        <f>B632*IBGE_2!G$632/100</f>
        <v>2.4E-2</v>
      </c>
      <c r="H632" s="142">
        <f>B632*IBGE_2!H$632/100</f>
        <v>8.5000000000000006E-2</v>
      </c>
      <c r="I632" s="142">
        <f>B632*IBGE_2!I$632/100</f>
        <v>0.05</v>
      </c>
      <c r="J632" s="142">
        <f>B632*IBGE_2!J$632/100</f>
        <v>3.5999999999999997E-2</v>
      </c>
      <c r="K632" s="142" t="s">
        <v>3047</v>
      </c>
      <c r="L632" s="142">
        <f>B632*IBGE_2!L$632/100</f>
        <v>12.715999999999999</v>
      </c>
      <c r="M632" s="142">
        <f>B632*IBGE_2!M$632/100</f>
        <v>1.395</v>
      </c>
      <c r="N632" s="142">
        <f>B632*IBGE_2!N$632/100</f>
        <v>11.048</v>
      </c>
      <c r="O632" s="142">
        <f>B632*IBGE_2!O$632/100</f>
        <v>7.5170000000000003</v>
      </c>
      <c r="P632" s="142">
        <f>B632*IBGE_2!P$632/100</f>
        <v>0.21299999999999999</v>
      </c>
      <c r="Q632" s="142">
        <f>B632*IBGE_2!Q$632/100</f>
        <v>13.204000000000001</v>
      </c>
      <c r="R632" s="142">
        <f>B632*IBGE_2!R$632/100</f>
        <v>0.23200000000000004</v>
      </c>
      <c r="S632" s="142">
        <f>B632*IBGE_2!S$632/100</f>
        <v>1.202</v>
      </c>
      <c r="T632" s="142">
        <f>B632*IBGE_2!T$632/100</f>
        <v>85.435000000000002</v>
      </c>
      <c r="U632" s="142">
        <f>B632*IBGE_2!U$632/100</f>
        <v>2.8000000000000004E-2</v>
      </c>
      <c r="V632" s="142">
        <f>B632*IBGE_2!V$632/100</f>
        <v>7.8E-2</v>
      </c>
      <c r="W632" s="142" t="s">
        <v>3047</v>
      </c>
      <c r="X632" s="142">
        <f>B632*IBGE_2!X$632/100</f>
        <v>1.3000000000000001E-2</v>
      </c>
      <c r="Y632" s="142">
        <f>B632*IBGE_2!Y$632/100</f>
        <v>1.2E-2</v>
      </c>
      <c r="Z632" s="142">
        <f>B632*IBGE_2!Z$632/100</f>
        <v>2.6000000000000002E-2</v>
      </c>
      <c r="AA632" s="142">
        <f>B632*IBGE_2!AA$632/100</f>
        <v>0.21199999999999999</v>
      </c>
      <c r="AB632" s="142">
        <f>B632*IBGE_2!AB$632/100</f>
        <v>32.340000000000003</v>
      </c>
      <c r="AC632" s="142">
        <f>B632*IBGE_2!AC$632/100</f>
        <v>0.28599999999999998</v>
      </c>
      <c r="AD632" s="145" t="s">
        <v>3047</v>
      </c>
      <c r="AE632" s="142">
        <f>B632*IBGE_2!AE$632/100</f>
        <v>13.202</v>
      </c>
      <c r="AF632" s="145" t="s">
        <v>3047</v>
      </c>
      <c r="AG632" s="142">
        <f>B632*IBGE_2!AG$632/100</f>
        <v>0.154</v>
      </c>
      <c r="AH632" s="145" t="s">
        <v>3047</v>
      </c>
      <c r="AI632" s="142" t="s">
        <v>3047</v>
      </c>
      <c r="AJ632" s="142">
        <f>B632*IBGE_2!AJ$632/100</f>
        <v>0.22</v>
      </c>
      <c r="AK632" s="142">
        <f>B632*IBGE_2!AK$632/100</f>
        <v>0.32100000000000001</v>
      </c>
      <c r="AL632" s="142">
        <f>B632*IBGE_2!AL$632/100</f>
        <v>3.0219999999999998</v>
      </c>
      <c r="AM632" s="145" t="s">
        <v>3047</v>
      </c>
      <c r="AN632" s="161"/>
    </row>
    <row r="633" spans="1:40">
      <c r="A633" s="143" t="s">
        <v>1693</v>
      </c>
      <c r="B633" s="141">
        <v>100</v>
      </c>
      <c r="C633" s="142">
        <f>B633*IBGE_2!C$633/100</f>
        <v>52.637</v>
      </c>
      <c r="D633" s="142">
        <f>B633*IBGE_2!D$633/100</f>
        <v>0.46899999999999997</v>
      </c>
      <c r="E633" s="142">
        <f>B633*IBGE_2!E$633/100</f>
        <v>0.16600000000000001</v>
      </c>
      <c r="F633" s="142">
        <f>B633*IBGE_2!F$633/100</f>
        <v>8.0000000000000002E-3</v>
      </c>
      <c r="G633" s="142">
        <f>B633*IBGE_2!G$633/100</f>
        <v>2.4E-2</v>
      </c>
      <c r="H633" s="142">
        <f>B633*IBGE_2!H$633/100</f>
        <v>8.5000000000000006E-2</v>
      </c>
      <c r="I633" s="142">
        <f>B633*IBGE_2!I$633/100</f>
        <v>0.05</v>
      </c>
      <c r="J633" s="142">
        <f>B633*IBGE_2!J$633/100</f>
        <v>3.5999999999999997E-2</v>
      </c>
      <c r="K633" s="142" t="s">
        <v>3047</v>
      </c>
      <c r="L633" s="142">
        <f>B633*IBGE_2!L$633/100</f>
        <v>12.715999999999999</v>
      </c>
      <c r="M633" s="142">
        <f>B633*IBGE_2!M$633/100</f>
        <v>1.395</v>
      </c>
      <c r="N633" s="142">
        <f>B633*IBGE_2!N$633/100</f>
        <v>11.048</v>
      </c>
      <c r="O633" s="142">
        <f>B633*IBGE_2!O$633/100</f>
        <v>7.5170000000000003</v>
      </c>
      <c r="P633" s="142">
        <f>B633*IBGE_2!P$633/100</f>
        <v>0.21299999999999999</v>
      </c>
      <c r="Q633" s="142">
        <f>B633*IBGE_2!Q$633/100</f>
        <v>13.204000000000001</v>
      </c>
      <c r="R633" s="142">
        <f>B633*IBGE_2!R$633/100</f>
        <v>0.23200000000000004</v>
      </c>
      <c r="S633" s="142">
        <f>B633*IBGE_2!S$633/100</f>
        <v>1.202</v>
      </c>
      <c r="T633" s="142">
        <f>B633*IBGE_2!T$633/100</f>
        <v>85.435000000000002</v>
      </c>
      <c r="U633" s="142">
        <f>B633*IBGE_2!U$633/100</f>
        <v>2.8000000000000004E-2</v>
      </c>
      <c r="V633" s="142">
        <f>B633*IBGE_2!V$633/100</f>
        <v>7.8E-2</v>
      </c>
      <c r="W633" s="142" t="s">
        <v>3047</v>
      </c>
      <c r="X633" s="142">
        <f>B633*IBGE_2!X$633/100</f>
        <v>1.3000000000000001E-2</v>
      </c>
      <c r="Y633" s="142">
        <f>B633*IBGE_2!Y$633/100</f>
        <v>1.2E-2</v>
      </c>
      <c r="Z633" s="142">
        <f>B633*IBGE_2!Z$633/100</f>
        <v>2.6000000000000002E-2</v>
      </c>
      <c r="AA633" s="142">
        <f>B633*IBGE_2!AA$633/100</f>
        <v>0.21199999999999999</v>
      </c>
      <c r="AB633" s="142">
        <f>B633*IBGE_2!AB$633/100</f>
        <v>32.340000000000003</v>
      </c>
      <c r="AC633" s="142">
        <f>B633*IBGE_2!AC$633/100</f>
        <v>0.28599999999999998</v>
      </c>
      <c r="AD633" s="145" t="s">
        <v>3047</v>
      </c>
      <c r="AE633" s="142">
        <f>B633*IBGE_2!AE$633/100</f>
        <v>13.202</v>
      </c>
      <c r="AF633" s="145" t="s">
        <v>3047</v>
      </c>
      <c r="AG633" s="142">
        <f>B633*IBGE_2!AG$633/100</f>
        <v>0.154</v>
      </c>
      <c r="AH633" s="145" t="s">
        <v>3047</v>
      </c>
      <c r="AI633" s="142" t="s">
        <v>3047</v>
      </c>
      <c r="AJ633" s="142">
        <f>B633*IBGE_2!AJ$633/100</f>
        <v>0.22</v>
      </c>
      <c r="AK633" s="142">
        <f>B633*IBGE_2!AK$633/100</f>
        <v>0.32100000000000001</v>
      </c>
      <c r="AL633" s="142">
        <f>B633*IBGE_2!AL$633/100</f>
        <v>3.0219999999999998</v>
      </c>
      <c r="AM633" s="145" t="s">
        <v>3047</v>
      </c>
      <c r="AN633" s="161"/>
    </row>
    <row r="634" spans="1:40">
      <c r="A634" s="143" t="s">
        <v>1694</v>
      </c>
      <c r="B634" s="141">
        <v>100</v>
      </c>
      <c r="C634" s="142">
        <f>B634*IBGE_2!C$634/100</f>
        <v>131.148</v>
      </c>
      <c r="D634" s="142">
        <f>B634*IBGE_2!D$634/100</f>
        <v>5.5839999999999996</v>
      </c>
      <c r="E634" s="142">
        <f>B634*IBGE_2!E$634/100</f>
        <v>5.0659999999999998</v>
      </c>
      <c r="F634" s="142">
        <f>B634*IBGE_2!F$634/100</f>
        <v>2.1360000000000001</v>
      </c>
      <c r="G634" s="142">
        <f>B634*IBGE_2!G$634/100</f>
        <v>1.655</v>
      </c>
      <c r="H634" s="142">
        <f>B634*IBGE_2!H$634/100</f>
        <v>0.51600000000000001</v>
      </c>
      <c r="I634" s="142">
        <f>B634*IBGE_2!I$634/100</f>
        <v>0.40500000000000003</v>
      </c>
      <c r="J634" s="142">
        <f>B634*IBGE_2!J$634/100</f>
        <v>0.06</v>
      </c>
      <c r="K634" s="142">
        <f>B634*IBGE_2!K$634/100</f>
        <v>122.514</v>
      </c>
      <c r="L634" s="142">
        <f>B634*IBGE_2!L$634/100</f>
        <v>15.439</v>
      </c>
      <c r="M634" s="142" t="s">
        <v>3047</v>
      </c>
      <c r="N634" s="142">
        <f>B634*IBGE_2!N$634/100</f>
        <v>89.202000000000012</v>
      </c>
      <c r="O634" s="142">
        <f>B634*IBGE_2!O$634/100</f>
        <v>9.4939999999999998</v>
      </c>
      <c r="P634" s="142">
        <f>B634*IBGE_2!P$634/100</f>
        <v>1.0999999999999999E-2</v>
      </c>
      <c r="Q634" s="142">
        <f>B634*IBGE_2!Q$634/100</f>
        <v>107.709</v>
      </c>
      <c r="R634" s="142">
        <f>B634*IBGE_2!R$634/100</f>
        <v>0.34699999999999998</v>
      </c>
      <c r="S634" s="142">
        <f>B634*IBGE_2!S$634/100</f>
        <v>60.616999999999997</v>
      </c>
      <c r="T634" s="142">
        <f>B634*IBGE_2!T$634/100</f>
        <v>131.16800000000001</v>
      </c>
      <c r="U634" s="142">
        <f>B634*IBGE_2!U$634/100</f>
        <v>1.0999999999999999E-2</v>
      </c>
      <c r="V634" s="142">
        <f>B634*IBGE_2!V$634/100</f>
        <v>0.55400000000000005</v>
      </c>
      <c r="W634" s="142">
        <f>B634*IBGE_2!W$634/100</f>
        <v>64.567999999999998</v>
      </c>
      <c r="X634" s="142">
        <f>B634*IBGE_2!X$634/100</f>
        <v>4.7E-2</v>
      </c>
      <c r="Y634" s="142">
        <f>B634*IBGE_2!Y$634/100</f>
        <v>0.26500000000000001</v>
      </c>
      <c r="Z634" s="142">
        <f>B634*IBGE_2!Z$634/100</f>
        <v>5.7000000000000002E-2</v>
      </c>
      <c r="AA634" s="142">
        <f>B634*IBGE_2!AA$634/100</f>
        <v>9.1999999999999998E-2</v>
      </c>
      <c r="AB634" s="142" t="s">
        <v>3047</v>
      </c>
      <c r="AC634" s="142">
        <f>B634*IBGE_2!AC$634/100</f>
        <v>1.6220000000000001</v>
      </c>
      <c r="AD634" s="142">
        <f>B634*IBGE_2!AD$634/100</f>
        <v>0.59699999999999998</v>
      </c>
      <c r="AE634" s="142">
        <f>B634*IBGE_2!AE$634/100</f>
        <v>15.355</v>
      </c>
      <c r="AF634" s="142">
        <f>B634*IBGE_2!AF$634/100</f>
        <v>1.016</v>
      </c>
      <c r="AG634" s="142">
        <f>B634*IBGE_2!AG$634/100</f>
        <v>0.32100000000000001</v>
      </c>
      <c r="AH634" s="142">
        <f>B634*IBGE_2!AH$634/100</f>
        <v>7.6999999999999999E-2</v>
      </c>
      <c r="AI634" s="142" t="s">
        <v>3047</v>
      </c>
      <c r="AJ634" s="142">
        <f>B634*IBGE_2!AJ$634/100</f>
        <v>10.954000000000001</v>
      </c>
      <c r="AK634" s="142">
        <f>B634*IBGE_2!AK$634/100</f>
        <v>65.209999999999994</v>
      </c>
      <c r="AL634" s="142">
        <f>B634*IBGE_2!AL$634/100</f>
        <v>15.898</v>
      </c>
      <c r="AM634" s="142">
        <f>B634*IBGE_2!AM$634/100</f>
        <v>12.019</v>
      </c>
      <c r="AN634" s="161"/>
    </row>
    <row r="635" spans="1:40">
      <c r="A635" s="143" t="s">
        <v>1695</v>
      </c>
      <c r="B635" s="141">
        <v>100</v>
      </c>
      <c r="C635" s="142">
        <f>B635*IBGE_2!C$635/100</f>
        <v>358.25599999999997</v>
      </c>
      <c r="D635" s="142">
        <f>B635*IBGE_2!D$635/100</f>
        <v>6.2060000000000004</v>
      </c>
      <c r="E635" s="142">
        <f>B635*IBGE_2!E$635/100</f>
        <v>9.7000000000000017E-2</v>
      </c>
      <c r="F635" s="142" t="s">
        <v>3047</v>
      </c>
      <c r="G635" s="142" t="s">
        <v>3047</v>
      </c>
      <c r="H635" s="142" t="s">
        <v>3047</v>
      </c>
      <c r="I635" s="142" t="s">
        <v>3047</v>
      </c>
      <c r="J635" s="142" t="s">
        <v>3047</v>
      </c>
      <c r="K635" s="142" t="s">
        <v>3047</v>
      </c>
      <c r="L635" s="142">
        <f>B635*IBGE_2!L$635/100</f>
        <v>85.888000000000005</v>
      </c>
      <c r="M635" s="142">
        <f>B635*IBGE_2!M$635/100</f>
        <v>1E-3</v>
      </c>
      <c r="N635" s="142">
        <f>B635*IBGE_2!N$635/100</f>
        <v>4.8719999999999999</v>
      </c>
      <c r="O635" s="142">
        <f>B635*IBGE_2!O$635/100</f>
        <v>6.2709999999999999</v>
      </c>
      <c r="P635" s="142">
        <f>B635*IBGE_2!P$635/100</f>
        <v>7.000000000000001E-3</v>
      </c>
      <c r="Q635" s="142">
        <f>B635*IBGE_2!Q$635/100</f>
        <v>8.5609999999999999</v>
      </c>
      <c r="R635" s="142">
        <f>B635*IBGE_2!R$635/100</f>
        <v>7.0000000000000007E-2</v>
      </c>
      <c r="S635" s="142">
        <f>B635*IBGE_2!S$635/100</f>
        <v>94.727999999999994</v>
      </c>
      <c r="T635" s="142">
        <f>B635*IBGE_2!T$635/100</f>
        <v>164.81599999999997</v>
      </c>
      <c r="U635" s="142">
        <f>B635*IBGE_2!U$635/100</f>
        <v>1.4000000000000002E-2</v>
      </c>
      <c r="V635" s="142">
        <f>B635*IBGE_2!V$635/100</f>
        <v>1.9E-2</v>
      </c>
      <c r="W635" s="142" t="s">
        <v>3047</v>
      </c>
      <c r="X635" s="142">
        <f>B635*IBGE_2!X$635/100</f>
        <v>2E-3</v>
      </c>
      <c r="Y635" s="142">
        <f>B635*IBGE_2!Y$635/100</f>
        <v>0.26600000000000001</v>
      </c>
      <c r="Z635" s="142">
        <f>B635*IBGE_2!Z$635/100</f>
        <v>3.0000000000000001E-3</v>
      </c>
      <c r="AA635" s="142">
        <f>B635*IBGE_2!AA$635/100</f>
        <v>0.06</v>
      </c>
      <c r="AB635" s="142" t="s">
        <v>3047</v>
      </c>
      <c r="AC635" s="142">
        <f>B635*IBGE_2!AC$635/100</f>
        <v>1.246</v>
      </c>
      <c r="AD635" s="142">
        <f>B635*IBGE_2!AD$635/100</f>
        <v>5.0999999999999997E-2</v>
      </c>
      <c r="AE635" s="142">
        <f>B635*IBGE_2!AE$635/100</f>
        <v>2.2770000000000001</v>
      </c>
      <c r="AF635" s="145" t="s">
        <v>3047</v>
      </c>
      <c r="AG635" s="145" t="s">
        <v>3047</v>
      </c>
      <c r="AH635" s="145" t="s">
        <v>3047</v>
      </c>
      <c r="AI635" s="142" t="s">
        <v>3047</v>
      </c>
      <c r="AJ635" s="142">
        <f>B635*IBGE_2!AJ$635/100</f>
        <v>11.898999999999999</v>
      </c>
      <c r="AK635" s="145" t="s">
        <v>3047</v>
      </c>
      <c r="AL635" s="142">
        <f>B635*IBGE_2!AL$635/100</f>
        <v>85.543000000000006</v>
      </c>
      <c r="AM635" s="142">
        <f>B635*IBGE_2!AM$635/100</f>
        <v>85.21</v>
      </c>
      <c r="AN635" s="161"/>
    </row>
    <row r="636" spans="1:40">
      <c r="A636" s="143" t="s">
        <v>1696</v>
      </c>
      <c r="B636" s="141">
        <v>100</v>
      </c>
      <c r="C636" s="142">
        <f>B636*IBGE_2!C$636/100</f>
        <v>52.637</v>
      </c>
      <c r="D636" s="142">
        <f>B636*IBGE_2!D$636/100</f>
        <v>0.46899999999999997</v>
      </c>
      <c r="E636" s="142">
        <f>B636*IBGE_2!E$636/100</f>
        <v>0.16600000000000001</v>
      </c>
      <c r="F636" s="142">
        <f>B636*IBGE_2!F$636/100</f>
        <v>8.0000000000000002E-3</v>
      </c>
      <c r="G636" s="142">
        <f>B636*IBGE_2!G$636/100</f>
        <v>2.4E-2</v>
      </c>
      <c r="H636" s="142">
        <f>B636*IBGE_2!H$636/100</f>
        <v>8.5000000000000006E-2</v>
      </c>
      <c r="I636" s="142">
        <f>B636*IBGE_2!I$636/100</f>
        <v>0.05</v>
      </c>
      <c r="J636" s="142">
        <f>B636*IBGE_2!J$636/100</f>
        <v>3.5999999999999997E-2</v>
      </c>
      <c r="K636" s="142" t="s">
        <v>3047</v>
      </c>
      <c r="L636" s="142">
        <f>B636*IBGE_2!L$636/100</f>
        <v>12.715999999999999</v>
      </c>
      <c r="M636" s="142">
        <f>B636*IBGE_2!M$636/100</f>
        <v>1.395</v>
      </c>
      <c r="N636" s="142">
        <f>B636*IBGE_2!N$636/100</f>
        <v>11.048</v>
      </c>
      <c r="O636" s="142">
        <f>B636*IBGE_2!O$636/100</f>
        <v>7.5170000000000003</v>
      </c>
      <c r="P636" s="142">
        <f>B636*IBGE_2!P$636/100</f>
        <v>0.21299999999999999</v>
      </c>
      <c r="Q636" s="142">
        <f>B636*IBGE_2!Q$636/100</f>
        <v>13.204000000000001</v>
      </c>
      <c r="R636" s="142">
        <f>B636*IBGE_2!R$636/100</f>
        <v>0.23200000000000004</v>
      </c>
      <c r="S636" s="142">
        <f>B636*IBGE_2!S$636/100</f>
        <v>1.202</v>
      </c>
      <c r="T636" s="142">
        <f>B636*IBGE_2!T$636/100</f>
        <v>85.435000000000002</v>
      </c>
      <c r="U636" s="142">
        <f>B636*IBGE_2!U$636/100</f>
        <v>2.8000000000000004E-2</v>
      </c>
      <c r="V636" s="142">
        <f>B636*IBGE_2!V$636/100</f>
        <v>7.8E-2</v>
      </c>
      <c r="W636" s="142" t="s">
        <v>3047</v>
      </c>
      <c r="X636" s="142">
        <f>B636*IBGE_2!X$636/100</f>
        <v>1.3000000000000001E-2</v>
      </c>
      <c r="Y636" s="142">
        <f>B636*IBGE_2!Y$636/100</f>
        <v>1.2E-2</v>
      </c>
      <c r="Z636" s="142">
        <f>B636*IBGE_2!Z$636/100</f>
        <v>2.6000000000000002E-2</v>
      </c>
      <c r="AA636" s="142">
        <f>B636*IBGE_2!AA$636/100</f>
        <v>0.21199999999999999</v>
      </c>
      <c r="AB636" s="142">
        <f>B636*IBGE_2!AB$636/100</f>
        <v>32.340000000000003</v>
      </c>
      <c r="AC636" s="142">
        <f>B636*IBGE_2!AC$636/100</f>
        <v>0.28599999999999998</v>
      </c>
      <c r="AD636" s="145" t="s">
        <v>3047</v>
      </c>
      <c r="AE636" s="142">
        <f>B636*IBGE_2!AE$636/100</f>
        <v>13.202</v>
      </c>
      <c r="AF636" s="145" t="s">
        <v>3047</v>
      </c>
      <c r="AG636" s="142">
        <f>B636*IBGE_2!AG$636/100</f>
        <v>0.154</v>
      </c>
      <c r="AH636" s="145" t="s">
        <v>3047</v>
      </c>
      <c r="AI636" s="142" t="s">
        <v>3047</v>
      </c>
      <c r="AJ636" s="142">
        <f>B636*IBGE_2!AJ$636/100</f>
        <v>0.22</v>
      </c>
      <c r="AK636" s="142">
        <f>B636*IBGE_2!AK$636/100</f>
        <v>0.32100000000000001</v>
      </c>
      <c r="AL636" s="142">
        <f>B636*IBGE_2!AL$636/100</f>
        <v>3.0219999999999998</v>
      </c>
      <c r="AM636" s="145" t="s">
        <v>3047</v>
      </c>
      <c r="AN636" s="161"/>
    </row>
    <row r="637" spans="1:40">
      <c r="A637" s="143" t="s">
        <v>1697</v>
      </c>
      <c r="B637" s="141">
        <v>100</v>
      </c>
      <c r="C637" s="142">
        <f>B637*IBGE_2!C$637/100</f>
        <v>188.99400000000003</v>
      </c>
      <c r="D637" s="142">
        <f>B637*IBGE_2!D$637/100</f>
        <v>4.4260000000000002</v>
      </c>
      <c r="E637" s="142">
        <f>B637*IBGE_2!E$637/100</f>
        <v>7.6740000000000013</v>
      </c>
      <c r="F637" s="142">
        <f>B637*IBGE_2!F$637/100</f>
        <v>4.6989999999999998</v>
      </c>
      <c r="G637" s="142">
        <f>B637*IBGE_2!G$637/100</f>
        <v>2.1019999999999999</v>
      </c>
      <c r="H637" s="142">
        <f>B637*IBGE_2!H$637/100</f>
        <v>0.30399999999999999</v>
      </c>
      <c r="I637" s="142">
        <f>B637*IBGE_2!I$637/100</f>
        <v>0.192</v>
      </c>
      <c r="J637" s="142">
        <f>B637*IBGE_2!J$637/100</f>
        <v>0.111</v>
      </c>
      <c r="K637" s="142">
        <f>B637*IBGE_2!K$637/100</f>
        <v>33.003</v>
      </c>
      <c r="L637" s="142">
        <f>B637*IBGE_2!L$637/100</f>
        <v>26.145</v>
      </c>
      <c r="M637" s="142">
        <f>B637*IBGE_2!M$637/100</f>
        <v>0.6</v>
      </c>
      <c r="N637" s="142">
        <f>B637*IBGE_2!N$637/100</f>
        <v>149.32900000000001</v>
      </c>
      <c r="O637" s="142">
        <f>B637*IBGE_2!O$637/100</f>
        <v>15.997999999999999</v>
      </c>
      <c r="P637" s="142">
        <f>B637*IBGE_2!P$637/100</f>
        <v>3.7999999999999999E-2</v>
      </c>
      <c r="Q637" s="142">
        <f>B637*IBGE_2!Q$637/100</f>
        <v>97.007000000000005</v>
      </c>
      <c r="R637" s="142">
        <f>B637*IBGE_2!R$637/100</f>
        <v>0.32300000000000006</v>
      </c>
      <c r="S637" s="142">
        <f>B637*IBGE_2!S$637/100</f>
        <v>75.001999999999995</v>
      </c>
      <c r="T637" s="142">
        <f>B637*IBGE_2!T$637/100</f>
        <v>192.345</v>
      </c>
      <c r="U637" s="142">
        <f>B637*IBGE_2!U$637/100</f>
        <v>4.8000000000000001E-2</v>
      </c>
      <c r="V637" s="142">
        <f>B637*IBGE_2!V$637/100</f>
        <v>0.61699999999999999</v>
      </c>
      <c r="W637" s="142">
        <f>B637*IBGE_2!W$637/100</f>
        <v>101.021</v>
      </c>
      <c r="X637" s="142">
        <f>B637*IBGE_2!X$637/100</f>
        <v>3.9E-2</v>
      </c>
      <c r="Y637" s="142">
        <f>B637*IBGE_2!Y$637/100</f>
        <v>0.20800000000000002</v>
      </c>
      <c r="Z637" s="142">
        <f>B637*IBGE_2!Z$637/100</f>
        <v>3.9E-2</v>
      </c>
      <c r="AA637" s="142">
        <f>B637*IBGE_2!AA$637/100</f>
        <v>0.126</v>
      </c>
      <c r="AB637" s="142">
        <f>B637*IBGE_2!AB$637/100</f>
        <v>1</v>
      </c>
      <c r="AC637" s="142">
        <f>B637*IBGE_2!AC$637/100</f>
        <v>1.393</v>
      </c>
      <c r="AD637" s="142">
        <f>B637*IBGE_2!AD$637/100</f>
        <v>0.33300000000000002</v>
      </c>
      <c r="AE637" s="142">
        <f>B637*IBGE_2!AE$637/100</f>
        <v>5.0010000000000003</v>
      </c>
      <c r="AF637" s="142">
        <f>B637*IBGE_2!AF$637/100</f>
        <v>0.6</v>
      </c>
      <c r="AG637" s="142">
        <f>B637*IBGE_2!AG$637/100</f>
        <v>0.20699999999999999</v>
      </c>
      <c r="AH637" s="142">
        <f>B637*IBGE_2!AH$637/100</f>
        <v>0.253</v>
      </c>
      <c r="AI637" s="142" t="s">
        <v>3047</v>
      </c>
      <c r="AJ637" s="142">
        <f>B637*IBGE_2!AJ$637/100</f>
        <v>2</v>
      </c>
      <c r="AK637" s="142">
        <f>B637*IBGE_2!AK$637/100</f>
        <v>105.684</v>
      </c>
      <c r="AL637" s="142">
        <f>B637*IBGE_2!AL$637/100</f>
        <v>22.111999999999998</v>
      </c>
      <c r="AM637" s="142">
        <f>B637*IBGE_2!AM$637/100</f>
        <v>17.463000000000001</v>
      </c>
      <c r="AN637" s="161"/>
    </row>
    <row r="638" spans="1:40">
      <c r="A638" s="143" t="s">
        <v>1698</v>
      </c>
      <c r="B638" s="141">
        <v>100</v>
      </c>
      <c r="C638" s="142">
        <f>B638*IBGE_2!C$638/100</f>
        <v>190</v>
      </c>
      <c r="D638" s="142">
        <f>B638*IBGE_2!D$638/100</f>
        <v>3.17</v>
      </c>
      <c r="E638" s="142">
        <f>B638*IBGE_2!E$638/100</f>
        <v>12.7</v>
      </c>
      <c r="F638" s="142">
        <f>B638*IBGE_2!F$638/100</f>
        <v>6.79</v>
      </c>
      <c r="G638" s="142">
        <f>B638*IBGE_2!G$638/100</f>
        <v>3.17</v>
      </c>
      <c r="H638" s="142">
        <f>B638*IBGE_2!H$638/100</f>
        <v>0.41</v>
      </c>
      <c r="I638" s="142">
        <f>B638*IBGE_2!I$638/100</f>
        <v>0.25</v>
      </c>
      <c r="J638" s="142">
        <f>B638*IBGE_2!J$638/100</f>
        <v>0.16</v>
      </c>
      <c r="K638" s="142">
        <f>B638*IBGE_2!K$638/100</f>
        <v>32</v>
      </c>
      <c r="L638" s="142">
        <f>B638*IBGE_2!L$638/100</f>
        <v>15.87</v>
      </c>
      <c r="M638" s="142">
        <f>B638*IBGE_2!M$638/100</f>
        <v>4.8</v>
      </c>
      <c r="N638" s="142">
        <f>B638*IBGE_2!N$638/100</f>
        <v>128</v>
      </c>
      <c r="O638" s="142">
        <f>B638*IBGE_2!O$638/100</f>
        <v>14</v>
      </c>
      <c r="P638" s="142">
        <f>B638*IBGE_2!P$638/100</f>
        <v>8.0000000000000002E-3</v>
      </c>
      <c r="Q638" s="142">
        <f>B638*IBGE_2!Q$638/100</f>
        <v>105</v>
      </c>
      <c r="R638" s="142">
        <f>B638*IBGE_2!R$638/100</f>
        <v>0.09</v>
      </c>
      <c r="S638" s="142">
        <f>B638*IBGE_2!S$638/100</f>
        <v>48</v>
      </c>
      <c r="T638" s="142">
        <f>B638*IBGE_2!T$638/100</f>
        <v>199</v>
      </c>
      <c r="U638" s="142">
        <f>B638*IBGE_2!U$638/100</f>
        <v>2.3E-2</v>
      </c>
      <c r="V638" s="142">
        <f>B638*IBGE_2!V$638/100</f>
        <v>0.69</v>
      </c>
      <c r="W638" s="142">
        <f>B638*IBGE_2!W$638/100</f>
        <v>116</v>
      </c>
      <c r="X638" s="142">
        <f>B638*IBGE_2!X$638/100</f>
        <v>4.1000000000000009E-2</v>
      </c>
      <c r="Y638" s="142">
        <f>B638*IBGE_2!Y$638/100</f>
        <v>0.24</v>
      </c>
      <c r="Z638" s="142">
        <f>B638*IBGE_2!Z$638/100</f>
        <v>4.8000000000000001E-2</v>
      </c>
      <c r="AA638" s="142">
        <f>B638*IBGE_2!AA$638/100</f>
        <v>0.11600000000000002</v>
      </c>
      <c r="AB638" s="142">
        <f>B638*IBGE_2!AB$638/100</f>
        <v>0.6</v>
      </c>
      <c r="AC638" s="142">
        <f>B638*IBGE_2!AC$638/100</f>
        <v>0.86599999999999999</v>
      </c>
      <c r="AD638" s="142">
        <f>B638*IBGE_2!AD$638/100</f>
        <v>0.39</v>
      </c>
      <c r="AE638" s="142">
        <f>B638*IBGE_2!AE$638/100</f>
        <v>5</v>
      </c>
      <c r="AF638" s="142">
        <f>B638*IBGE_2!AF$638/100</f>
        <v>0.44400000000000001</v>
      </c>
      <c r="AG638" s="142">
        <f>B638*IBGE_2!AG$638/100</f>
        <v>0.3</v>
      </c>
      <c r="AH638" s="142">
        <f>B638*IBGE_2!AH$638/100</f>
        <v>0.45</v>
      </c>
      <c r="AI638" s="142" t="s">
        <v>3047</v>
      </c>
      <c r="AJ638" s="142">
        <f>B638*IBGE_2!AJ$638/100</f>
        <v>2.6</v>
      </c>
      <c r="AK638" s="142">
        <f>B638*IBGE_2!AK$638/100</f>
        <v>117.583</v>
      </c>
      <c r="AL638" s="142">
        <f>B638*IBGE_2!AL$638/100</f>
        <v>5.9289999999999994</v>
      </c>
      <c r="AM638" s="145" t="s">
        <v>3047</v>
      </c>
      <c r="AN638" s="161"/>
    </row>
    <row r="639" spans="1:40">
      <c r="A639" s="143" t="s">
        <v>1699</v>
      </c>
      <c r="B639" s="141">
        <v>100</v>
      </c>
      <c r="C639" s="142">
        <f>B639*IBGE_2!C$639/100</f>
        <v>235</v>
      </c>
      <c r="D639" s="142" t="s">
        <v>3047</v>
      </c>
      <c r="E639" s="142" t="s">
        <v>3047</v>
      </c>
      <c r="F639" s="142" t="s">
        <v>3047</v>
      </c>
      <c r="G639" s="142" t="s">
        <v>3047</v>
      </c>
      <c r="H639" s="142" t="s">
        <v>3047</v>
      </c>
      <c r="I639" s="142" t="s">
        <v>3047</v>
      </c>
      <c r="J639" s="142" t="s">
        <v>3047</v>
      </c>
      <c r="K639" s="142" t="s">
        <v>3047</v>
      </c>
      <c r="L639" s="142">
        <f>B639*IBGE_2!L$639/100</f>
        <v>95</v>
      </c>
      <c r="M639" s="142" t="s">
        <v>3047</v>
      </c>
      <c r="N639" s="142" t="s">
        <v>3047</v>
      </c>
      <c r="O639" s="142" t="s">
        <v>3047</v>
      </c>
      <c r="P639" s="142" t="s">
        <v>3047</v>
      </c>
      <c r="Q639" s="142" t="s">
        <v>3047</v>
      </c>
      <c r="R639" s="142" t="s">
        <v>3047</v>
      </c>
      <c r="S639" s="142" t="s">
        <v>3047</v>
      </c>
      <c r="T639" s="142" t="s">
        <v>3047</v>
      </c>
      <c r="U639" s="142" t="s">
        <v>3047</v>
      </c>
      <c r="V639" s="142" t="s">
        <v>3047</v>
      </c>
      <c r="W639" s="142" t="s">
        <v>3047</v>
      </c>
      <c r="X639" s="142" t="s">
        <v>3047</v>
      </c>
      <c r="Y639" s="142" t="s">
        <v>3047</v>
      </c>
      <c r="Z639" s="142" t="s">
        <v>3047</v>
      </c>
      <c r="AA639" s="142" t="s">
        <v>3047</v>
      </c>
      <c r="AB639" s="142" t="s">
        <v>3047</v>
      </c>
      <c r="AC639" s="142" t="s">
        <v>3047</v>
      </c>
      <c r="AD639" s="142" t="s">
        <v>3047</v>
      </c>
      <c r="AE639" s="142" t="s">
        <v>3047</v>
      </c>
      <c r="AF639" s="142" t="s">
        <v>3047</v>
      </c>
      <c r="AG639" s="142" t="s">
        <v>3047</v>
      </c>
      <c r="AH639" s="142" t="s">
        <v>3047</v>
      </c>
      <c r="AI639" s="142" t="s">
        <v>3047</v>
      </c>
      <c r="AJ639" s="142" t="s">
        <v>3047</v>
      </c>
      <c r="AK639" s="142" t="s">
        <v>3047</v>
      </c>
      <c r="AL639" s="142" t="s">
        <v>3047</v>
      </c>
      <c r="AM639" s="142" t="s">
        <v>3047</v>
      </c>
      <c r="AN639" s="161"/>
    </row>
    <row r="640" spans="1:40">
      <c r="A640" s="143" t="s">
        <v>1700</v>
      </c>
      <c r="B640" s="141">
        <v>100</v>
      </c>
      <c r="C640" s="142">
        <f>B640*IBGE_2!C$640/100</f>
        <v>240</v>
      </c>
      <c r="D640" s="142" t="s">
        <v>3047</v>
      </c>
      <c r="E640" s="142" t="s">
        <v>3047</v>
      </c>
      <c r="F640" s="142" t="s">
        <v>3047</v>
      </c>
      <c r="G640" s="142" t="s">
        <v>3047</v>
      </c>
      <c r="H640" s="142" t="s">
        <v>3047</v>
      </c>
      <c r="I640" s="142" t="s">
        <v>3047</v>
      </c>
      <c r="J640" s="142" t="s">
        <v>3047</v>
      </c>
      <c r="K640" s="142" t="s">
        <v>3047</v>
      </c>
      <c r="L640" s="142">
        <f>B640*IBGE_2!L$640/100</f>
        <v>100</v>
      </c>
      <c r="M640" s="142" t="s">
        <v>3047</v>
      </c>
      <c r="N640" s="142" t="s">
        <v>3047</v>
      </c>
      <c r="O640" s="142" t="s">
        <v>3047</v>
      </c>
      <c r="P640" s="142" t="s">
        <v>3047</v>
      </c>
      <c r="Q640" s="142" t="s">
        <v>3047</v>
      </c>
      <c r="R640" s="142" t="s">
        <v>3047</v>
      </c>
      <c r="S640" s="142" t="s">
        <v>3047</v>
      </c>
      <c r="T640" s="142" t="s">
        <v>3047</v>
      </c>
      <c r="U640" s="142" t="s">
        <v>3047</v>
      </c>
      <c r="V640" s="142" t="s">
        <v>3047</v>
      </c>
      <c r="W640" s="142" t="s">
        <v>3047</v>
      </c>
      <c r="X640" s="142" t="s">
        <v>3047</v>
      </c>
      <c r="Y640" s="142" t="s">
        <v>3047</v>
      </c>
      <c r="Z640" s="142" t="s">
        <v>3047</v>
      </c>
      <c r="AA640" s="142" t="s">
        <v>3047</v>
      </c>
      <c r="AB640" s="142" t="s">
        <v>3047</v>
      </c>
      <c r="AC640" s="142" t="s">
        <v>3047</v>
      </c>
      <c r="AD640" s="142" t="s">
        <v>3047</v>
      </c>
      <c r="AE640" s="142" t="s">
        <v>3047</v>
      </c>
      <c r="AF640" s="142" t="s">
        <v>3047</v>
      </c>
      <c r="AG640" s="142" t="s">
        <v>3047</v>
      </c>
      <c r="AH640" s="142" t="s">
        <v>3047</v>
      </c>
      <c r="AI640" s="142" t="s">
        <v>3047</v>
      </c>
      <c r="AJ640" s="142" t="s">
        <v>3047</v>
      </c>
      <c r="AK640" s="142" t="s">
        <v>3047</v>
      </c>
      <c r="AL640" s="142" t="s">
        <v>3047</v>
      </c>
      <c r="AM640" s="142" t="s">
        <v>3047</v>
      </c>
      <c r="AN640" s="161"/>
    </row>
    <row r="641" spans="1:40">
      <c r="A641" s="143" t="s">
        <v>1701</v>
      </c>
      <c r="B641" s="141">
        <v>100</v>
      </c>
      <c r="C641" s="142">
        <f>B641*IBGE_2!C$641/100</f>
        <v>235</v>
      </c>
      <c r="D641" s="142" t="s">
        <v>3047</v>
      </c>
      <c r="E641" s="142" t="s">
        <v>3047</v>
      </c>
      <c r="F641" s="142" t="s">
        <v>3047</v>
      </c>
      <c r="G641" s="142" t="s">
        <v>3047</v>
      </c>
      <c r="H641" s="142" t="s">
        <v>3047</v>
      </c>
      <c r="I641" s="142" t="s">
        <v>3047</v>
      </c>
      <c r="J641" s="142" t="s">
        <v>3047</v>
      </c>
      <c r="K641" s="142" t="s">
        <v>3047</v>
      </c>
      <c r="L641" s="142">
        <f>B641*IBGE_2!L$641/100</f>
        <v>95</v>
      </c>
      <c r="M641" s="142" t="s">
        <v>3047</v>
      </c>
      <c r="N641" s="142" t="s">
        <v>3047</v>
      </c>
      <c r="O641" s="142" t="s">
        <v>3047</v>
      </c>
      <c r="P641" s="142" t="s">
        <v>3047</v>
      </c>
      <c r="Q641" s="142" t="s">
        <v>3047</v>
      </c>
      <c r="R641" s="142" t="s">
        <v>3047</v>
      </c>
      <c r="S641" s="142" t="s">
        <v>3047</v>
      </c>
      <c r="T641" s="142" t="s">
        <v>3047</v>
      </c>
      <c r="U641" s="142" t="s">
        <v>3047</v>
      </c>
      <c r="V641" s="142" t="s">
        <v>3047</v>
      </c>
      <c r="W641" s="142" t="s">
        <v>3047</v>
      </c>
      <c r="X641" s="142" t="s">
        <v>3047</v>
      </c>
      <c r="Y641" s="142" t="s">
        <v>3047</v>
      </c>
      <c r="Z641" s="142" t="s">
        <v>3047</v>
      </c>
      <c r="AA641" s="142" t="s">
        <v>3047</v>
      </c>
      <c r="AB641" s="142" t="s">
        <v>3047</v>
      </c>
      <c r="AC641" s="142" t="s">
        <v>3047</v>
      </c>
      <c r="AD641" s="142" t="s">
        <v>3047</v>
      </c>
      <c r="AE641" s="142" t="s">
        <v>3047</v>
      </c>
      <c r="AF641" s="142" t="s">
        <v>3047</v>
      </c>
      <c r="AG641" s="142" t="s">
        <v>3047</v>
      </c>
      <c r="AH641" s="142" t="s">
        <v>3047</v>
      </c>
      <c r="AI641" s="142" t="s">
        <v>3047</v>
      </c>
      <c r="AJ641" s="142" t="s">
        <v>3047</v>
      </c>
      <c r="AK641" s="142" t="s">
        <v>3047</v>
      </c>
      <c r="AL641" s="142" t="s">
        <v>3047</v>
      </c>
      <c r="AM641" s="142" t="s">
        <v>3047</v>
      </c>
      <c r="AN641" s="161"/>
    </row>
    <row r="642" spans="1:40">
      <c r="A642" s="143" t="s">
        <v>1702</v>
      </c>
      <c r="B642" s="141">
        <v>100</v>
      </c>
      <c r="C642" s="142">
        <f>B642*IBGE_2!C$642/100</f>
        <v>539.78499999999997</v>
      </c>
      <c r="D642" s="142">
        <f>B642*IBGE_2!D$642/100</f>
        <v>10.583</v>
      </c>
      <c r="E642" s="142">
        <f>B642*IBGE_2!E$642/100</f>
        <v>41.64200000000001</v>
      </c>
      <c r="F642" s="142">
        <f>B642*IBGE_2!F$642/100</f>
        <v>21.169</v>
      </c>
      <c r="G642" s="142">
        <f>B642*IBGE_2!G$642/100</f>
        <v>15.725</v>
      </c>
      <c r="H642" s="142">
        <f>B642*IBGE_2!H$642/100</f>
        <v>2.8370000000000006</v>
      </c>
      <c r="I642" s="142">
        <f>B642*IBGE_2!I$642/100</f>
        <v>2.7629999999999999</v>
      </c>
      <c r="J642" s="142">
        <f>B642*IBGE_2!J$642/100</f>
        <v>4.5999999999999999E-2</v>
      </c>
      <c r="K642" s="142">
        <f>B642*IBGE_2!K$642/100</f>
        <v>2.8029999999999999</v>
      </c>
      <c r="L642" s="142">
        <f>B642*IBGE_2!L$642/100</f>
        <v>40.421999999999997</v>
      </c>
      <c r="M642" s="142">
        <f>B642*IBGE_2!M$642/100</f>
        <v>4.32</v>
      </c>
      <c r="N642" s="142">
        <f>B642*IBGE_2!N$642/100</f>
        <v>246.46199999999996</v>
      </c>
      <c r="O642" s="142">
        <f>B642*IBGE_2!O$642/100</f>
        <v>107.46899999999999</v>
      </c>
      <c r="P642" s="142">
        <f>B642*IBGE_2!P$642/100</f>
        <v>0.97099999999999997</v>
      </c>
      <c r="Q642" s="142">
        <f>B642*IBGE_2!Q$642/100</f>
        <v>285.96499999999997</v>
      </c>
      <c r="R642" s="142">
        <f>B642*IBGE_2!R$642/100</f>
        <v>3.2410000000000001</v>
      </c>
      <c r="S642" s="142">
        <f>B642*IBGE_2!S$642/100</f>
        <v>165.81800000000004</v>
      </c>
      <c r="T642" s="142">
        <f>B642*IBGE_2!T$642/100</f>
        <v>495.73400000000004</v>
      </c>
      <c r="U642" s="142">
        <f>B642*IBGE_2!U$642/100</f>
        <v>0.69499999999999995</v>
      </c>
      <c r="V642" s="142">
        <f>B642*IBGE_2!V$642/100</f>
        <v>2.593</v>
      </c>
      <c r="W642" s="142">
        <f>B642*IBGE_2!W$642/100</f>
        <v>0.623</v>
      </c>
      <c r="X642" s="142">
        <f>B642*IBGE_2!X$642/100</f>
        <v>0.11799999999999999</v>
      </c>
      <c r="Y642" s="142">
        <f>B642*IBGE_2!Y$642/100</f>
        <v>0.439</v>
      </c>
      <c r="Z642" s="142">
        <f>B642*IBGE_2!Z$642/100</f>
        <v>7.9000000000000001E-2</v>
      </c>
      <c r="AA642" s="142">
        <f>B642*IBGE_2!AA$642/100</f>
        <v>0.85</v>
      </c>
      <c r="AB642" s="142">
        <f>B642*IBGE_2!AB$642/100</f>
        <v>0.872</v>
      </c>
      <c r="AC642" s="142">
        <f>B642*IBGE_2!AC$642/100</f>
        <v>2.9940000000000002</v>
      </c>
      <c r="AD642" s="142">
        <f>B642*IBGE_2!AD$642/100</f>
        <v>0.621</v>
      </c>
      <c r="AE642" s="142">
        <f>B642*IBGE_2!AE$642/100</f>
        <v>19.484999999999999</v>
      </c>
      <c r="AF642" s="142" t="s">
        <v>3047</v>
      </c>
      <c r="AG642" s="142">
        <f>B642*IBGE_2!AG$642/100</f>
        <v>4.4669999999999996</v>
      </c>
      <c r="AH642" s="142">
        <f>B642*IBGE_2!AH$642/100</f>
        <v>8.9999999999999993E-3</v>
      </c>
      <c r="AI642" s="142" t="s">
        <v>3047</v>
      </c>
      <c r="AJ642" s="142">
        <f>B642*IBGE_2!AJ$642/100</f>
        <v>5.9880000000000004</v>
      </c>
      <c r="AK642" s="142">
        <f>B642*IBGE_2!AK$642/100</f>
        <v>0.64800000000000002</v>
      </c>
      <c r="AL642" s="142">
        <f>B642*IBGE_2!AL$642/100</f>
        <v>31.315999999999999</v>
      </c>
      <c r="AM642" s="142">
        <f>B642*IBGE_2!AM$642/100</f>
        <v>24.57</v>
      </c>
      <c r="AN642" s="161"/>
    </row>
    <row r="643" spans="1:40">
      <c r="A643" s="143" t="s">
        <v>1703</v>
      </c>
      <c r="B643" s="141">
        <v>100</v>
      </c>
      <c r="C643" s="142">
        <f>B643*IBGE_2!C$643/100</f>
        <v>539.78499999999997</v>
      </c>
      <c r="D643" s="142">
        <f>B643*IBGE_2!D$643/100</f>
        <v>10.583</v>
      </c>
      <c r="E643" s="142">
        <f>B643*IBGE_2!E$643/100</f>
        <v>41.64200000000001</v>
      </c>
      <c r="F643" s="142">
        <f>B643*IBGE_2!F$643/100</f>
        <v>21.169</v>
      </c>
      <c r="G643" s="142">
        <f>B643*IBGE_2!G$643/100</f>
        <v>15.725</v>
      </c>
      <c r="H643" s="142">
        <f>B643*IBGE_2!H$643/100</f>
        <v>2.8370000000000006</v>
      </c>
      <c r="I643" s="142">
        <f>B643*IBGE_2!I$643/100</f>
        <v>2.7629999999999999</v>
      </c>
      <c r="J643" s="142">
        <f>B643*IBGE_2!J$643/100</f>
        <v>4.5999999999999999E-2</v>
      </c>
      <c r="K643" s="142">
        <f>B643*IBGE_2!K$643/100</f>
        <v>2.8029999999999999</v>
      </c>
      <c r="L643" s="142">
        <f>B643*IBGE_2!L$643/100</f>
        <v>40.421999999999997</v>
      </c>
      <c r="M643" s="142">
        <f>B643*IBGE_2!M$643/100</f>
        <v>4.32</v>
      </c>
      <c r="N643" s="142">
        <f>B643*IBGE_2!N$643/100</f>
        <v>246.46199999999996</v>
      </c>
      <c r="O643" s="142">
        <f>B643*IBGE_2!O$643/100</f>
        <v>107.46899999999999</v>
      </c>
      <c r="P643" s="142">
        <f>B643*IBGE_2!P$643/100</f>
        <v>0.97099999999999997</v>
      </c>
      <c r="Q643" s="142">
        <f>B643*IBGE_2!Q$643/100</f>
        <v>285.96499999999997</v>
      </c>
      <c r="R643" s="142">
        <f>B643*IBGE_2!R$643/100</f>
        <v>3.2410000000000001</v>
      </c>
      <c r="S643" s="142">
        <f>B643*IBGE_2!S$643/100</f>
        <v>165.81800000000004</v>
      </c>
      <c r="T643" s="142">
        <f>B643*IBGE_2!T$643/100</f>
        <v>495.73400000000004</v>
      </c>
      <c r="U643" s="142">
        <f>B643*IBGE_2!U$643/100</f>
        <v>0.69499999999999995</v>
      </c>
      <c r="V643" s="142">
        <f>B643*IBGE_2!V$643/100</f>
        <v>2.593</v>
      </c>
      <c r="W643" s="142">
        <f>B643*IBGE_2!W$643/100</f>
        <v>0.623</v>
      </c>
      <c r="X643" s="142">
        <f>B643*IBGE_2!X$643/100</f>
        <v>0.11799999999999999</v>
      </c>
      <c r="Y643" s="142">
        <f>B643*IBGE_2!Y$643/100</f>
        <v>0.439</v>
      </c>
      <c r="Z643" s="142">
        <f>B643*IBGE_2!Z$643/100</f>
        <v>7.9000000000000001E-2</v>
      </c>
      <c r="AA643" s="142">
        <f>B643*IBGE_2!AA$643/100</f>
        <v>0.85</v>
      </c>
      <c r="AB643" s="142">
        <f>B643*IBGE_2!AB$643/100</f>
        <v>0.872</v>
      </c>
      <c r="AC643" s="142">
        <f>B643*IBGE_2!AC$643/100</f>
        <v>2.9940000000000002</v>
      </c>
      <c r="AD643" s="142">
        <f>B643*IBGE_2!AD$643/100</f>
        <v>0.621</v>
      </c>
      <c r="AE643" s="142">
        <f>B643*IBGE_2!AE$643/100</f>
        <v>19.484999999999999</v>
      </c>
      <c r="AF643" s="142" t="s">
        <v>3047</v>
      </c>
      <c r="AG643" s="142">
        <f>B643*IBGE_2!AG$643/100</f>
        <v>4.4669999999999996</v>
      </c>
      <c r="AH643" s="142">
        <f>B643*IBGE_2!AH$643/100</f>
        <v>8.9999999999999993E-3</v>
      </c>
      <c r="AI643" s="142" t="s">
        <v>3047</v>
      </c>
      <c r="AJ643" s="142">
        <f>B643*IBGE_2!AJ$643/100</f>
        <v>5.9880000000000004</v>
      </c>
      <c r="AK643" s="142">
        <f>B643*IBGE_2!AK$643/100</f>
        <v>0.64800000000000002</v>
      </c>
      <c r="AL643" s="142">
        <f>B643*IBGE_2!AL$643/100</f>
        <v>31.315999999999999</v>
      </c>
      <c r="AM643" s="142">
        <f>B643*IBGE_2!AM$643/100</f>
        <v>24.57</v>
      </c>
      <c r="AN643" s="161"/>
    </row>
    <row r="644" spans="1:40">
      <c r="A644" s="143" t="s">
        <v>1704</v>
      </c>
      <c r="B644" s="141">
        <v>100</v>
      </c>
      <c r="C644" s="142">
        <f>B644*IBGE_2!C$644/100</f>
        <v>337.70100000000008</v>
      </c>
      <c r="D644" s="142">
        <f>B644*IBGE_2!D$644/100</f>
        <v>29.423999999999999</v>
      </c>
      <c r="E644" s="142">
        <f>B644*IBGE_2!E$644/100</f>
        <v>2.391</v>
      </c>
      <c r="F644" s="142">
        <f>B644*IBGE_2!F$644/100</f>
        <v>1.4370000000000003</v>
      </c>
      <c r="G644" s="142">
        <f>B644*IBGE_2!G$644/100</f>
        <v>0.76400000000000001</v>
      </c>
      <c r="H644" s="142">
        <f>B644*IBGE_2!H$644/100</f>
        <v>0.08</v>
      </c>
      <c r="I644" s="142">
        <f>B644*IBGE_2!I$644/100</f>
        <v>7.3999999999999996E-2</v>
      </c>
      <c r="J644" s="142">
        <f>B644*IBGE_2!J$644/100</f>
        <v>7.000000000000001E-3</v>
      </c>
      <c r="K644" s="142">
        <f>B644*IBGE_2!K$644/100</f>
        <v>7.1580000000000004</v>
      </c>
      <c r="L644" s="142">
        <f>B644*IBGE_2!L$644/100</f>
        <v>55.298999999999999</v>
      </c>
      <c r="M644" s="142">
        <f>B644*IBGE_2!M$644/100</f>
        <v>4.4269999999999996</v>
      </c>
      <c r="N644" s="142">
        <f>B644*IBGE_2!N$644/100</f>
        <v>664.33900000000006</v>
      </c>
      <c r="O644" s="142">
        <f>B644*IBGE_2!O$644/100</f>
        <v>146.46899999999999</v>
      </c>
      <c r="P644" s="142">
        <f>B644*IBGE_2!P$644/100</f>
        <v>0.52400000000000002</v>
      </c>
      <c r="Q644" s="142">
        <f>B644*IBGE_2!Q$644/100</f>
        <v>709.947</v>
      </c>
      <c r="R644" s="142">
        <f>B644*IBGE_2!R$644/100</f>
        <v>2.206</v>
      </c>
      <c r="S644" s="142">
        <f>B644*IBGE_2!S$644/100</f>
        <v>1236.8240000000001</v>
      </c>
      <c r="T644" s="142">
        <f>B644*IBGE_2!T$644/100</f>
        <v>1254.9580000000001</v>
      </c>
      <c r="U644" s="142">
        <f>B644*IBGE_2!U$644/100</f>
        <v>0.53</v>
      </c>
      <c r="V644" s="142">
        <f>B644*IBGE_2!V$644/100</f>
        <v>3.7030000000000003</v>
      </c>
      <c r="W644" s="142">
        <f>B644*IBGE_2!W$644/100</f>
        <v>4.7210000000000001</v>
      </c>
      <c r="X644" s="142">
        <f>B644*IBGE_2!X$644/100</f>
        <v>0.27800000000000002</v>
      </c>
      <c r="Y644" s="142">
        <f>B644*IBGE_2!Y$644/100</f>
        <v>1.0549999999999999</v>
      </c>
      <c r="Z644" s="142">
        <f>B644*IBGE_2!Z$644/100</f>
        <v>0.25800000000000001</v>
      </c>
      <c r="AA644" s="142">
        <f>B644*IBGE_2!AA$644/100</f>
        <v>0.83399999999999996</v>
      </c>
      <c r="AB644" s="142">
        <f>B644*IBGE_2!AB$644/100</f>
        <v>2.2210000000000001</v>
      </c>
      <c r="AC644" s="142">
        <f>B644*IBGE_2!AC$644/100</f>
        <v>7.5679999999999996</v>
      </c>
      <c r="AD644" s="142">
        <f>B644*IBGE_2!AD$644/100</f>
        <v>1.9279999999999999</v>
      </c>
      <c r="AE644" s="142">
        <f>B644*IBGE_2!AE$644/100</f>
        <v>28.738000000000003</v>
      </c>
      <c r="AF644" s="142" t="s">
        <v>3047</v>
      </c>
      <c r="AG644" s="142">
        <f>B644*IBGE_2!AG$644/100</f>
        <v>1.7000000000000001E-2</v>
      </c>
      <c r="AH644" s="142">
        <f>B644*IBGE_2!AH$644/100</f>
        <v>1.4999999999999999E-2</v>
      </c>
      <c r="AI644" s="142" t="s">
        <v>3047</v>
      </c>
      <c r="AJ644" s="142">
        <f>B644*IBGE_2!AJ$644/100</f>
        <v>17.079000000000001</v>
      </c>
      <c r="AK644" s="142">
        <f>B644*IBGE_2!AK$644/100</f>
        <v>4.6749999999999998</v>
      </c>
      <c r="AL644" s="142">
        <f>B644*IBGE_2!AL$644/100</f>
        <v>46.180999999999997</v>
      </c>
      <c r="AM644" s="142">
        <f>B644*IBGE_2!AM$644/100</f>
        <v>14.163999999999998</v>
      </c>
      <c r="AN644" s="161"/>
    </row>
    <row r="645" spans="1:40">
      <c r="A645" s="143" t="s">
        <v>1705</v>
      </c>
      <c r="B645" s="141">
        <v>100</v>
      </c>
      <c r="C645" s="142">
        <f>B645*IBGE_2!C$645/100</f>
        <v>337.70100000000008</v>
      </c>
      <c r="D645" s="142">
        <f>B645*IBGE_2!D$645/100</f>
        <v>29.423999999999999</v>
      </c>
      <c r="E645" s="142">
        <f>B645*IBGE_2!E$645/100</f>
        <v>2.391</v>
      </c>
      <c r="F645" s="142">
        <f>B645*IBGE_2!F$645/100</f>
        <v>1.4370000000000003</v>
      </c>
      <c r="G645" s="142">
        <f>B645*IBGE_2!G$645/100</f>
        <v>0.76400000000000001</v>
      </c>
      <c r="H645" s="142">
        <f>B645*IBGE_2!H$645/100</f>
        <v>0.08</v>
      </c>
      <c r="I645" s="142">
        <f>B645*IBGE_2!I$645/100</f>
        <v>7.3999999999999996E-2</v>
      </c>
      <c r="J645" s="142">
        <f>B645*IBGE_2!J$645/100</f>
        <v>7.000000000000001E-3</v>
      </c>
      <c r="K645" s="142">
        <f>B645*IBGE_2!K$645/100</f>
        <v>7.1580000000000004</v>
      </c>
      <c r="L645" s="142">
        <f>B645*IBGE_2!L$645/100</f>
        <v>55.298999999999999</v>
      </c>
      <c r="M645" s="142">
        <f>B645*IBGE_2!M$645/100</f>
        <v>4.4269999999999996</v>
      </c>
      <c r="N645" s="142">
        <f>B645*IBGE_2!N$645/100</f>
        <v>664.17899999999997</v>
      </c>
      <c r="O645" s="142">
        <f>B645*IBGE_2!O$645/100</f>
        <v>146.46299999999999</v>
      </c>
      <c r="P645" s="142">
        <f>B645*IBGE_2!P$645/100</f>
        <v>0.52300000000000002</v>
      </c>
      <c r="Q645" s="142">
        <f>B645*IBGE_2!Q$645/100</f>
        <v>709.947</v>
      </c>
      <c r="R645" s="142">
        <f>B645*IBGE_2!R$645/100</f>
        <v>2.2040000000000002</v>
      </c>
      <c r="S645" s="142">
        <f>B645*IBGE_2!S$645/100</f>
        <v>978.43700000000001</v>
      </c>
      <c r="T645" s="142">
        <f>B645*IBGE_2!T$645/100</f>
        <v>1254.905</v>
      </c>
      <c r="U645" s="142">
        <f>B645*IBGE_2!U$645/100</f>
        <v>0.53</v>
      </c>
      <c r="V645" s="142">
        <f>B645*IBGE_2!V$645/100</f>
        <v>3.702</v>
      </c>
      <c r="W645" s="142">
        <f>B645*IBGE_2!W$645/100</f>
        <v>4.6289999999999996</v>
      </c>
      <c r="X645" s="142">
        <f>B645*IBGE_2!X$645/100</f>
        <v>0.27800000000000002</v>
      </c>
      <c r="Y645" s="142">
        <f>B645*IBGE_2!Y$645/100</f>
        <v>1.0549999999999999</v>
      </c>
      <c r="Z645" s="142">
        <f>B645*IBGE_2!Z$645/100</f>
        <v>0.25800000000000001</v>
      </c>
      <c r="AA645" s="142">
        <f>B645*IBGE_2!AA$645/100</f>
        <v>0.83399999999999996</v>
      </c>
      <c r="AB645" s="142">
        <f>B645*IBGE_2!AB$645/100</f>
        <v>2.2210000000000001</v>
      </c>
      <c r="AC645" s="142">
        <f>B645*IBGE_2!AC$645/100</f>
        <v>7.5679999999999996</v>
      </c>
      <c r="AD645" s="142">
        <f>B645*IBGE_2!AD$645/100</f>
        <v>1.9279999999999999</v>
      </c>
      <c r="AE645" s="142">
        <f>B645*IBGE_2!AE$645/100</f>
        <v>28.738000000000003</v>
      </c>
      <c r="AF645" s="142" t="s">
        <v>3047</v>
      </c>
      <c r="AG645" s="142">
        <f>B645*IBGE_2!AG$645/100</f>
        <v>1.7000000000000001E-2</v>
      </c>
      <c r="AH645" s="142">
        <f>B645*IBGE_2!AH$645/100</f>
        <v>1.4999999999999999E-2</v>
      </c>
      <c r="AI645" s="142" t="s">
        <v>3047</v>
      </c>
      <c r="AJ645" s="142">
        <f>B645*IBGE_2!AJ$645/100</f>
        <v>17.079000000000001</v>
      </c>
      <c r="AK645" s="142">
        <f>B645*IBGE_2!AK$645/100</f>
        <v>4.6749999999999998</v>
      </c>
      <c r="AL645" s="142">
        <f>B645*IBGE_2!AL$645/100</f>
        <v>46.180999999999997</v>
      </c>
      <c r="AM645" s="142">
        <f>B645*IBGE_2!AM$645/100</f>
        <v>14.163999999999998</v>
      </c>
      <c r="AN645" s="161"/>
    </row>
    <row r="646" spans="1:40">
      <c r="A646" s="143" t="s">
        <v>1706</v>
      </c>
      <c r="B646" s="141">
        <v>100</v>
      </c>
      <c r="C646" s="142">
        <f>B646*IBGE_2!C$646/100</f>
        <v>73.289000000000001</v>
      </c>
      <c r="D646" s="142">
        <f>B646*IBGE_2!D$646/100</f>
        <v>3.4820000000000007</v>
      </c>
      <c r="E646" s="142">
        <f>B646*IBGE_2!E$646/100</f>
        <v>3.51</v>
      </c>
      <c r="F646" s="142">
        <f>B646*IBGE_2!F$646/100</f>
        <v>2.0070000000000001</v>
      </c>
      <c r="G646" s="142">
        <f>B646*IBGE_2!G$646/100</f>
        <v>0.90100000000000013</v>
      </c>
      <c r="H646" s="142">
        <f>B646*IBGE_2!H$646/100</f>
        <v>0.214</v>
      </c>
      <c r="I646" s="142">
        <f>B646*IBGE_2!I$646/100</f>
        <v>0.14000000000000001</v>
      </c>
      <c r="J646" s="142">
        <f>B646*IBGE_2!J$646/100</f>
        <v>7.3999999999999996E-2</v>
      </c>
      <c r="K646" s="142">
        <f>B646*IBGE_2!K$646/100</f>
        <v>9.5920000000000005</v>
      </c>
      <c r="L646" s="142">
        <f>B646*IBGE_2!L$646/100</f>
        <v>7.0869999999999997</v>
      </c>
      <c r="M646" s="142">
        <f>B646*IBGE_2!M$646/100</f>
        <v>0.39300000000000002</v>
      </c>
      <c r="N646" s="142">
        <f>B646*IBGE_2!N$646/100</f>
        <v>147.691</v>
      </c>
      <c r="O646" s="142">
        <f>B646*IBGE_2!O$646/100</f>
        <v>17.763999999999999</v>
      </c>
      <c r="P646" s="142">
        <f>B646*IBGE_2!P$646/100</f>
        <v>8.2000000000000017E-2</v>
      </c>
      <c r="Q646" s="142">
        <f>B646*IBGE_2!Q$646/100</f>
        <v>115.693</v>
      </c>
      <c r="R646" s="142">
        <f>B646*IBGE_2!R$646/100</f>
        <v>0.17</v>
      </c>
      <c r="S646" s="142">
        <f>B646*IBGE_2!S$646/100</f>
        <v>71.792000000000002</v>
      </c>
      <c r="T646" s="142">
        <f>B646*IBGE_2!T$646/100</f>
        <v>188.48699999999999</v>
      </c>
      <c r="U646" s="142">
        <f>B646*IBGE_2!U$646/100</f>
        <v>8.900000000000001E-2</v>
      </c>
      <c r="V646" s="142">
        <f>B646*IBGE_2!V$646/100</f>
        <v>0.97299999999999998</v>
      </c>
      <c r="W646" s="142">
        <f>B646*IBGE_2!W$646/100</f>
        <v>26.856999999999999</v>
      </c>
      <c r="X646" s="142">
        <f>B646*IBGE_2!X$646/100</f>
        <v>5.2999999999999999E-2</v>
      </c>
      <c r="Y646" s="142">
        <f>B646*IBGE_2!Y$646/100</f>
        <v>0.21</v>
      </c>
      <c r="Z646" s="142">
        <f>B646*IBGE_2!Z$646/100</f>
        <v>0.113</v>
      </c>
      <c r="AA646" s="142">
        <f>B646*IBGE_2!AA$646/100</f>
        <v>0.14299999999999999</v>
      </c>
      <c r="AB646" s="142">
        <f>B646*IBGE_2!AB$646/100</f>
        <v>2.359</v>
      </c>
      <c r="AC646" s="142">
        <f>B646*IBGE_2!AC$646/100</f>
        <v>1.454</v>
      </c>
      <c r="AD646" s="142">
        <f>B646*IBGE_2!AD$646/100</f>
        <v>0.46100000000000002</v>
      </c>
      <c r="AE646" s="142">
        <f>B646*IBGE_2!AE$646/100</f>
        <v>5.6609999999999987</v>
      </c>
      <c r="AF646" s="142">
        <f>B646*IBGE_2!AF$646/100</f>
        <v>0.95899999999999996</v>
      </c>
      <c r="AG646" s="142">
        <f>B646*IBGE_2!AG$646/100</f>
        <v>6.6000000000000003E-2</v>
      </c>
      <c r="AH646" s="142">
        <f>B646*IBGE_2!AH$646/100</f>
        <v>0.111</v>
      </c>
      <c r="AI646" s="142" t="s">
        <v>3047</v>
      </c>
      <c r="AJ646" s="142">
        <f>B646*IBGE_2!AJ$646/100</f>
        <v>4.1180000000000003</v>
      </c>
      <c r="AK646" s="142">
        <f>B646*IBGE_2!AK$646/100</f>
        <v>27.256</v>
      </c>
      <c r="AL646" s="142">
        <f>B646*IBGE_2!AL$646/100</f>
        <v>6.2370000000000001</v>
      </c>
      <c r="AM646" s="145" t="s">
        <v>3047</v>
      </c>
      <c r="AN646" s="161"/>
    </row>
    <row r="647" spans="1:40">
      <c r="A647" s="143" t="s">
        <v>1707</v>
      </c>
      <c r="B647" s="141">
        <v>100</v>
      </c>
      <c r="C647" s="142">
        <f>B647*IBGE_2!C$647/100</f>
        <v>373</v>
      </c>
      <c r="D647" s="142" t="s">
        <v>3047</v>
      </c>
      <c r="E647" s="142">
        <f>B647*IBGE_2!E$647/100</f>
        <v>0.02</v>
      </c>
      <c r="F647" s="142" t="s">
        <v>3047</v>
      </c>
      <c r="G647" s="142" t="s">
        <v>3047</v>
      </c>
      <c r="H647" s="142" t="s">
        <v>3047</v>
      </c>
      <c r="I647" s="142" t="s">
        <v>3047</v>
      </c>
      <c r="J647" s="142" t="s">
        <v>3047</v>
      </c>
      <c r="K647" s="142" t="s">
        <v>3047</v>
      </c>
      <c r="L647" s="142">
        <f>B647*IBGE_2!L$647/100</f>
        <v>93.18</v>
      </c>
      <c r="M647" s="142" t="s">
        <v>3047</v>
      </c>
      <c r="N647" s="142">
        <f>B647*IBGE_2!N$647/100</f>
        <v>3</v>
      </c>
      <c r="O647" s="142" t="s">
        <v>3047</v>
      </c>
      <c r="P647" s="142" t="s">
        <v>3047</v>
      </c>
      <c r="Q647" s="142" t="s">
        <v>3047</v>
      </c>
      <c r="R647" s="142">
        <f>B647*IBGE_2!R$647/100</f>
        <v>0.01</v>
      </c>
      <c r="S647" s="142">
        <f>B647*IBGE_2!S$647/100</f>
        <v>11</v>
      </c>
      <c r="T647" s="142">
        <f>B647*IBGE_2!T$647/100</f>
        <v>4</v>
      </c>
      <c r="U647" s="142">
        <f>B647*IBGE_2!U$647/100</f>
        <v>3.0000000000000001E-3</v>
      </c>
      <c r="V647" s="142">
        <f>B647*IBGE_2!V$647/100</f>
        <v>0.04</v>
      </c>
      <c r="W647" s="142" t="s">
        <v>3047</v>
      </c>
      <c r="X647" s="142">
        <f>B647*IBGE_2!X$647/100</f>
        <v>5.0000000000000001E-3</v>
      </c>
      <c r="Y647" s="142">
        <f>B647*IBGE_2!Y$647/100</f>
        <v>1.6E-2</v>
      </c>
      <c r="Z647" s="142" t="s">
        <v>3047</v>
      </c>
      <c r="AA647" s="142" t="s">
        <v>3047</v>
      </c>
      <c r="AB647" s="142" t="s">
        <v>3047</v>
      </c>
      <c r="AC647" s="142" t="s">
        <v>3047</v>
      </c>
      <c r="AD647" s="142" t="s">
        <v>3047</v>
      </c>
      <c r="AE647" s="142" t="s">
        <v>3047</v>
      </c>
      <c r="AF647" s="142" t="s">
        <v>3047</v>
      </c>
      <c r="AG647" s="142" t="s">
        <v>3047</v>
      </c>
      <c r="AH647" s="142" t="s">
        <v>3047</v>
      </c>
      <c r="AI647" s="142" t="s">
        <v>3047</v>
      </c>
      <c r="AJ647" s="142">
        <f>B647*IBGE_2!AJ$647/100</f>
        <v>0.6</v>
      </c>
      <c r="AK647" s="145" t="s">
        <v>3047</v>
      </c>
      <c r="AL647" s="142">
        <f>B647*IBGE_2!AL$647/100</f>
        <v>84.442999999999998</v>
      </c>
      <c r="AM647" s="142">
        <f>B647*IBGE_2!AM$647/100</f>
        <v>93.18</v>
      </c>
      <c r="AN647" s="161"/>
    </row>
    <row r="648" spans="1:40">
      <c r="A648" s="143" t="s">
        <v>1708</v>
      </c>
      <c r="B648" s="141">
        <v>100</v>
      </c>
      <c r="C648" s="142">
        <f>B648*IBGE_2!C$648/100</f>
        <v>373</v>
      </c>
      <c r="D648" s="142" t="s">
        <v>3047</v>
      </c>
      <c r="E648" s="142">
        <f>B648*IBGE_2!E$648/100</f>
        <v>0.02</v>
      </c>
      <c r="F648" s="142" t="s">
        <v>3047</v>
      </c>
      <c r="G648" s="142" t="s">
        <v>3047</v>
      </c>
      <c r="H648" s="142" t="s">
        <v>3047</v>
      </c>
      <c r="I648" s="142" t="s">
        <v>3047</v>
      </c>
      <c r="J648" s="142" t="s">
        <v>3047</v>
      </c>
      <c r="K648" s="142" t="s">
        <v>3047</v>
      </c>
      <c r="L648" s="142">
        <f>B648*IBGE_2!L$648/100</f>
        <v>93.18</v>
      </c>
      <c r="M648" s="142" t="s">
        <v>3047</v>
      </c>
      <c r="N648" s="142">
        <f>B648*IBGE_2!N$648/100</f>
        <v>3</v>
      </c>
      <c r="O648" s="142" t="s">
        <v>3047</v>
      </c>
      <c r="P648" s="142" t="s">
        <v>3047</v>
      </c>
      <c r="Q648" s="142" t="s">
        <v>3047</v>
      </c>
      <c r="R648" s="142">
        <f>B648*IBGE_2!R$648/100</f>
        <v>0.01</v>
      </c>
      <c r="S648" s="142">
        <f>B648*IBGE_2!S$648/100</f>
        <v>11</v>
      </c>
      <c r="T648" s="142">
        <f>B648*IBGE_2!T$648/100</f>
        <v>4</v>
      </c>
      <c r="U648" s="142">
        <f>B648*IBGE_2!U$648/100</f>
        <v>3.0000000000000001E-3</v>
      </c>
      <c r="V648" s="142">
        <f>B648*IBGE_2!V$648/100</f>
        <v>0.04</v>
      </c>
      <c r="W648" s="142" t="s">
        <v>3047</v>
      </c>
      <c r="X648" s="142">
        <f>B648*IBGE_2!X$648/100</f>
        <v>5.0000000000000001E-3</v>
      </c>
      <c r="Y648" s="142">
        <f>B648*IBGE_2!Y$648/100</f>
        <v>1.6E-2</v>
      </c>
      <c r="Z648" s="142" t="s">
        <v>3047</v>
      </c>
      <c r="AA648" s="142" t="s">
        <v>3047</v>
      </c>
      <c r="AB648" s="142" t="s">
        <v>3047</v>
      </c>
      <c r="AC648" s="142" t="s">
        <v>3047</v>
      </c>
      <c r="AD648" s="142" t="s">
        <v>3047</v>
      </c>
      <c r="AE648" s="142" t="s">
        <v>3047</v>
      </c>
      <c r="AF648" s="142" t="s">
        <v>3047</v>
      </c>
      <c r="AG648" s="142" t="s">
        <v>3047</v>
      </c>
      <c r="AH648" s="142" t="s">
        <v>3047</v>
      </c>
      <c r="AI648" s="142" t="s">
        <v>3047</v>
      </c>
      <c r="AJ648" s="142">
        <f>B648*IBGE_2!AJ$648/100</f>
        <v>0.6</v>
      </c>
      <c r="AK648" s="145" t="s">
        <v>3047</v>
      </c>
      <c r="AL648" s="142">
        <f>B648*IBGE_2!AL$648/100</f>
        <v>84.442999999999998</v>
      </c>
      <c r="AM648" s="142">
        <f>B648*IBGE_2!AM$648/100</f>
        <v>93.18</v>
      </c>
      <c r="AN648" s="161"/>
    </row>
    <row r="649" spans="1:40">
      <c r="A649" s="143" t="s">
        <v>1709</v>
      </c>
      <c r="B649" s="141">
        <v>100</v>
      </c>
      <c r="C649" s="142">
        <f>B649*IBGE_2!C$649/100</f>
        <v>373</v>
      </c>
      <c r="D649" s="142" t="s">
        <v>3047</v>
      </c>
      <c r="E649" s="142">
        <f>B649*IBGE_2!E$649/100</f>
        <v>0.02</v>
      </c>
      <c r="F649" s="142" t="s">
        <v>3047</v>
      </c>
      <c r="G649" s="142" t="s">
        <v>3047</v>
      </c>
      <c r="H649" s="142" t="s">
        <v>3047</v>
      </c>
      <c r="I649" s="142" t="s">
        <v>3047</v>
      </c>
      <c r="J649" s="142" t="s">
        <v>3047</v>
      </c>
      <c r="K649" s="142" t="s">
        <v>3047</v>
      </c>
      <c r="L649" s="142">
        <f>B649*IBGE_2!L$649/100</f>
        <v>93.18</v>
      </c>
      <c r="M649" s="142" t="s">
        <v>3047</v>
      </c>
      <c r="N649" s="142">
        <f>B649*IBGE_2!N$649/100</f>
        <v>3</v>
      </c>
      <c r="O649" s="142" t="s">
        <v>3047</v>
      </c>
      <c r="P649" s="142" t="s">
        <v>3047</v>
      </c>
      <c r="Q649" s="142" t="s">
        <v>3047</v>
      </c>
      <c r="R649" s="142">
        <f>B649*IBGE_2!R$649/100</f>
        <v>0.01</v>
      </c>
      <c r="S649" s="142">
        <f>B649*IBGE_2!S$649/100</f>
        <v>11</v>
      </c>
      <c r="T649" s="142">
        <f>B649*IBGE_2!T$649/100</f>
        <v>4</v>
      </c>
      <c r="U649" s="142">
        <f>B649*IBGE_2!U$649/100</f>
        <v>3.0000000000000001E-3</v>
      </c>
      <c r="V649" s="142">
        <f>B649*IBGE_2!V$649/100</f>
        <v>0.04</v>
      </c>
      <c r="W649" s="142" t="s">
        <v>3047</v>
      </c>
      <c r="X649" s="142">
        <f>B649*IBGE_2!X$649/100</f>
        <v>5.0000000000000001E-3</v>
      </c>
      <c r="Y649" s="142">
        <f>B649*IBGE_2!Y$649/100</f>
        <v>1.6E-2</v>
      </c>
      <c r="Z649" s="142" t="s">
        <v>3047</v>
      </c>
      <c r="AA649" s="142" t="s">
        <v>3047</v>
      </c>
      <c r="AB649" s="142" t="s">
        <v>3047</v>
      </c>
      <c r="AC649" s="142" t="s">
        <v>3047</v>
      </c>
      <c r="AD649" s="142" t="s">
        <v>3047</v>
      </c>
      <c r="AE649" s="142" t="s">
        <v>3047</v>
      </c>
      <c r="AF649" s="142" t="s">
        <v>3047</v>
      </c>
      <c r="AG649" s="142" t="s">
        <v>3047</v>
      </c>
      <c r="AH649" s="142" t="s">
        <v>3047</v>
      </c>
      <c r="AI649" s="142" t="s">
        <v>3047</v>
      </c>
      <c r="AJ649" s="142">
        <f>B649*IBGE_2!AJ$649/100</f>
        <v>0.6</v>
      </c>
      <c r="AK649" s="145" t="s">
        <v>3047</v>
      </c>
      <c r="AL649" s="142">
        <f>B649*IBGE_2!AL$649/100</f>
        <v>84.442999999999998</v>
      </c>
      <c r="AM649" s="142">
        <f>B649*IBGE_2!AM$649/100</f>
        <v>93.18</v>
      </c>
      <c r="AN649" s="161"/>
    </row>
    <row r="650" spans="1:40">
      <c r="A650" s="143" t="s">
        <v>1710</v>
      </c>
      <c r="B650" s="141">
        <v>100</v>
      </c>
      <c r="C650" s="142">
        <f>B650*IBGE_2!C$650/100</f>
        <v>179.005</v>
      </c>
      <c r="D650" s="142">
        <f>B650*IBGE_2!D$650/100</f>
        <v>0.36199999999999993</v>
      </c>
      <c r="E650" s="142">
        <f>B650*IBGE_2!E$650/100</f>
        <v>5.0999999999999997E-2</v>
      </c>
      <c r="F650" s="142">
        <f>B650*IBGE_2!F$650/100</f>
        <v>1.6E-2</v>
      </c>
      <c r="G650" s="142">
        <f>B650*IBGE_2!G$650/100</f>
        <v>2E-3</v>
      </c>
      <c r="H650" s="142">
        <f>B650*IBGE_2!H$650/100</f>
        <v>1.4000000000000002E-2</v>
      </c>
      <c r="I650" s="142">
        <f>B650*IBGE_2!I$650/100</f>
        <v>1.0999999999999999E-2</v>
      </c>
      <c r="J650" s="142">
        <f>B650*IBGE_2!J$650/100</f>
        <v>3.0000000000000001E-3</v>
      </c>
      <c r="K650" s="142" t="s">
        <v>3047</v>
      </c>
      <c r="L650" s="142">
        <f>B650*IBGE_2!L$650/100</f>
        <v>46.126999999999995</v>
      </c>
      <c r="M650" s="142">
        <f>B650*IBGE_2!M$650/100</f>
        <v>0.34499999999999997</v>
      </c>
      <c r="N650" s="142">
        <f>B650*IBGE_2!N$650/100</f>
        <v>9.234</v>
      </c>
      <c r="O650" s="142">
        <f>B650*IBGE_2!O$650/100</f>
        <v>6.7579999999999991</v>
      </c>
      <c r="P650" s="142">
        <f>B650*IBGE_2!P$650/100</f>
        <v>0.22900000000000001</v>
      </c>
      <c r="Q650" s="142">
        <f>B650*IBGE_2!Q$650/100</f>
        <v>6.9649999999999999</v>
      </c>
      <c r="R650" s="142">
        <f>B650*IBGE_2!R$650/100</f>
        <v>0.157</v>
      </c>
      <c r="S650" s="142">
        <f>B650*IBGE_2!S$650/100</f>
        <v>2.008</v>
      </c>
      <c r="T650" s="142">
        <f>B650*IBGE_2!T$650/100</f>
        <v>86.844999999999999</v>
      </c>
      <c r="U650" s="142">
        <f>B650*IBGE_2!U$650/100</f>
        <v>1.7999999999999999E-2</v>
      </c>
      <c r="V650" s="142">
        <f>B650*IBGE_2!V$650/100</f>
        <v>3.2000000000000001E-2</v>
      </c>
      <c r="W650" s="142" t="s">
        <v>3047</v>
      </c>
      <c r="X650" s="142">
        <f>B650*IBGE_2!X$650/100</f>
        <v>1.6E-2</v>
      </c>
      <c r="Y650" s="142">
        <f>B650*IBGE_2!Y$650/100</f>
        <v>0.03</v>
      </c>
      <c r="Z650" s="142">
        <f>B650*IBGE_2!Z$650/100</f>
        <v>4.1000000000000009E-2</v>
      </c>
      <c r="AA650" s="142">
        <f>B650*IBGE_2!AA$650/100</f>
        <v>0.16600000000000001</v>
      </c>
      <c r="AB650" s="142">
        <f>B650*IBGE_2!AB$650/100</f>
        <v>6.3E-2</v>
      </c>
      <c r="AC650" s="142">
        <f>B650*IBGE_2!AC$650/100</f>
        <v>0.16600000000000001</v>
      </c>
      <c r="AD650" s="142" t="s">
        <v>3047</v>
      </c>
      <c r="AE650" s="142">
        <f>B650*IBGE_2!AE$650/100</f>
        <v>1.9</v>
      </c>
      <c r="AF650" s="142" t="s">
        <v>3047</v>
      </c>
      <c r="AG650" s="142" t="s">
        <v>3047</v>
      </c>
      <c r="AH650" s="142" t="s">
        <v>3047</v>
      </c>
      <c r="AI650" s="142" t="s">
        <v>3047</v>
      </c>
      <c r="AJ650" s="142">
        <f>B650*IBGE_2!AJ$650/100</f>
        <v>0.28000000000000003</v>
      </c>
      <c r="AK650" s="142">
        <f>B650*IBGE_2!AK$650/100</f>
        <v>0.26400000000000001</v>
      </c>
      <c r="AL650" s="142">
        <f>B650*IBGE_2!AL$650/100</f>
        <v>45.609000000000009</v>
      </c>
      <c r="AM650" s="142">
        <f>B650*IBGE_2!AM$650/100</f>
        <v>36.073</v>
      </c>
      <c r="AN650" s="161"/>
    </row>
    <row r="651" spans="1:40">
      <c r="A651" s="143" t="s">
        <v>1711</v>
      </c>
      <c r="B651" s="141">
        <v>100</v>
      </c>
      <c r="C651" s="142">
        <f>B651*IBGE_2!C$651/100</f>
        <v>179.005</v>
      </c>
      <c r="D651" s="142">
        <f>B651*IBGE_2!D$651/100</f>
        <v>0.36199999999999993</v>
      </c>
      <c r="E651" s="142">
        <f>B651*IBGE_2!E$651/100</f>
        <v>5.0999999999999997E-2</v>
      </c>
      <c r="F651" s="142">
        <f>B651*IBGE_2!F$651/100</f>
        <v>1.6E-2</v>
      </c>
      <c r="G651" s="142">
        <f>B651*IBGE_2!G$651/100</f>
        <v>2E-3</v>
      </c>
      <c r="H651" s="142">
        <f>B651*IBGE_2!H$651/100</f>
        <v>1.4000000000000002E-2</v>
      </c>
      <c r="I651" s="142">
        <f>B651*IBGE_2!I$651/100</f>
        <v>1.0999999999999999E-2</v>
      </c>
      <c r="J651" s="142">
        <f>B651*IBGE_2!J$651/100</f>
        <v>3.0000000000000001E-3</v>
      </c>
      <c r="K651" s="142" t="s">
        <v>3047</v>
      </c>
      <c r="L651" s="142">
        <f>B651*IBGE_2!L$651/100</f>
        <v>46.126999999999995</v>
      </c>
      <c r="M651" s="142">
        <f>B651*IBGE_2!M$651/100</f>
        <v>0.34499999999999997</v>
      </c>
      <c r="N651" s="142">
        <f>B651*IBGE_2!N$651/100</f>
        <v>9.234</v>
      </c>
      <c r="O651" s="142">
        <f>B651*IBGE_2!O$651/100</f>
        <v>6.7579999999999991</v>
      </c>
      <c r="P651" s="142">
        <f>B651*IBGE_2!P$651/100</f>
        <v>0.22900000000000001</v>
      </c>
      <c r="Q651" s="142">
        <f>B651*IBGE_2!Q$651/100</f>
        <v>6.9649999999999999</v>
      </c>
      <c r="R651" s="142">
        <f>B651*IBGE_2!R$651/100</f>
        <v>0.157</v>
      </c>
      <c r="S651" s="142">
        <f>B651*IBGE_2!S$651/100</f>
        <v>2.008</v>
      </c>
      <c r="T651" s="142">
        <f>B651*IBGE_2!T$651/100</f>
        <v>86.844999999999999</v>
      </c>
      <c r="U651" s="142">
        <f>B651*IBGE_2!U$651/100</f>
        <v>1.7999999999999999E-2</v>
      </c>
      <c r="V651" s="142">
        <f>B651*IBGE_2!V$651/100</f>
        <v>3.2000000000000001E-2</v>
      </c>
      <c r="W651" s="142" t="s">
        <v>3047</v>
      </c>
      <c r="X651" s="142">
        <f>B651*IBGE_2!X$651/100</f>
        <v>1.6E-2</v>
      </c>
      <c r="Y651" s="142">
        <f>B651*IBGE_2!Y$651/100</f>
        <v>0.03</v>
      </c>
      <c r="Z651" s="142">
        <f>B651*IBGE_2!Z$651/100</f>
        <v>4.1000000000000009E-2</v>
      </c>
      <c r="AA651" s="142">
        <f>B651*IBGE_2!AA$651/100</f>
        <v>0.16600000000000001</v>
      </c>
      <c r="AB651" s="142">
        <f>B651*IBGE_2!AB$651/100</f>
        <v>6.3E-2</v>
      </c>
      <c r="AC651" s="142">
        <f>B651*IBGE_2!AC$651/100</f>
        <v>0.16600000000000001</v>
      </c>
      <c r="AD651" s="142" t="s">
        <v>3047</v>
      </c>
      <c r="AE651" s="142">
        <f>B651*IBGE_2!AE$651/100</f>
        <v>1.9</v>
      </c>
      <c r="AF651" s="142" t="s">
        <v>3047</v>
      </c>
      <c r="AG651" s="142" t="s">
        <v>3047</v>
      </c>
      <c r="AH651" s="142" t="s">
        <v>3047</v>
      </c>
      <c r="AI651" s="142" t="s">
        <v>3047</v>
      </c>
      <c r="AJ651" s="142">
        <f>B651*IBGE_2!AJ$651/100</f>
        <v>0.28000000000000003</v>
      </c>
      <c r="AK651" s="142">
        <f>B651*IBGE_2!AK$651/100</f>
        <v>0.26400000000000001</v>
      </c>
      <c r="AL651" s="142">
        <f>B651*IBGE_2!AL$651/100</f>
        <v>45.609000000000009</v>
      </c>
      <c r="AM651" s="142">
        <f>B651*IBGE_2!AM$651/100</f>
        <v>36.073</v>
      </c>
      <c r="AN651" s="161"/>
    </row>
    <row r="652" spans="1:40">
      <c r="A652" s="143" t="s">
        <v>1712</v>
      </c>
      <c r="B652" s="141">
        <v>100</v>
      </c>
      <c r="C652" s="142">
        <f>B652*IBGE_2!C$652/100</f>
        <v>179.005</v>
      </c>
      <c r="D652" s="142">
        <f>B652*IBGE_2!D$652/100</f>
        <v>0.36199999999999993</v>
      </c>
      <c r="E652" s="142">
        <f>B652*IBGE_2!E$652/100</f>
        <v>5.0999999999999997E-2</v>
      </c>
      <c r="F652" s="142">
        <f>B652*IBGE_2!F$652/100</f>
        <v>1.6E-2</v>
      </c>
      <c r="G652" s="142">
        <f>B652*IBGE_2!G$652/100</f>
        <v>2E-3</v>
      </c>
      <c r="H652" s="142">
        <f>B652*IBGE_2!H$652/100</f>
        <v>1.4000000000000002E-2</v>
      </c>
      <c r="I652" s="142">
        <f>B652*IBGE_2!I$652/100</f>
        <v>1.0999999999999999E-2</v>
      </c>
      <c r="J652" s="142">
        <f>B652*IBGE_2!J$652/100</f>
        <v>3.0000000000000001E-3</v>
      </c>
      <c r="K652" s="142" t="s">
        <v>3047</v>
      </c>
      <c r="L652" s="142">
        <f>B652*IBGE_2!L$652/100</f>
        <v>46.126999999999995</v>
      </c>
      <c r="M652" s="142">
        <f>B652*IBGE_2!M$652/100</f>
        <v>0.34499999999999997</v>
      </c>
      <c r="N652" s="142">
        <f>B652*IBGE_2!N$652/100</f>
        <v>9.234</v>
      </c>
      <c r="O652" s="142">
        <f>B652*IBGE_2!O$652/100</f>
        <v>6.7579999999999991</v>
      </c>
      <c r="P652" s="142">
        <f>B652*IBGE_2!P$652/100</f>
        <v>0.22900000000000001</v>
      </c>
      <c r="Q652" s="142">
        <f>B652*IBGE_2!Q$652/100</f>
        <v>6.9649999999999999</v>
      </c>
      <c r="R652" s="142">
        <f>B652*IBGE_2!R$652/100</f>
        <v>0.157</v>
      </c>
      <c r="S652" s="142">
        <f>B652*IBGE_2!S$652/100</f>
        <v>2.008</v>
      </c>
      <c r="T652" s="142">
        <f>B652*IBGE_2!T$652/100</f>
        <v>86.844999999999999</v>
      </c>
      <c r="U652" s="142">
        <f>B652*IBGE_2!U$652/100</f>
        <v>1.7999999999999999E-2</v>
      </c>
      <c r="V652" s="142">
        <f>B652*IBGE_2!V$652/100</f>
        <v>3.2000000000000001E-2</v>
      </c>
      <c r="W652" s="142" t="s">
        <v>3047</v>
      </c>
      <c r="X652" s="142">
        <f>B652*IBGE_2!X$652/100</f>
        <v>1.6E-2</v>
      </c>
      <c r="Y652" s="142">
        <f>B652*IBGE_2!Y$652/100</f>
        <v>0.03</v>
      </c>
      <c r="Z652" s="142">
        <f>B652*IBGE_2!Z$652/100</f>
        <v>4.1000000000000009E-2</v>
      </c>
      <c r="AA652" s="142">
        <f>B652*IBGE_2!AA$652/100</f>
        <v>0.16600000000000001</v>
      </c>
      <c r="AB652" s="142">
        <f>B652*IBGE_2!AB$652/100</f>
        <v>6.3E-2</v>
      </c>
      <c r="AC652" s="142">
        <f>B652*IBGE_2!AC$652/100</f>
        <v>0.16600000000000001</v>
      </c>
      <c r="AD652" s="142" t="s">
        <v>3047</v>
      </c>
      <c r="AE652" s="142">
        <f>B652*IBGE_2!AE$652/100</f>
        <v>1.9</v>
      </c>
      <c r="AF652" s="142" t="s">
        <v>3047</v>
      </c>
      <c r="AG652" s="142" t="s">
        <v>3047</v>
      </c>
      <c r="AH652" s="142" t="s">
        <v>3047</v>
      </c>
      <c r="AI652" s="142" t="s">
        <v>3047</v>
      </c>
      <c r="AJ652" s="142">
        <f>B652*IBGE_2!AJ$652/100</f>
        <v>0.28000000000000003</v>
      </c>
      <c r="AK652" s="142">
        <f>B652*IBGE_2!AK$652/100</f>
        <v>0.26400000000000001</v>
      </c>
      <c r="AL652" s="142">
        <f>B652*IBGE_2!AL$652/100</f>
        <v>45.609000000000009</v>
      </c>
      <c r="AM652" s="142">
        <f>B652*IBGE_2!AM$652/100</f>
        <v>36.073</v>
      </c>
      <c r="AN652" s="161"/>
    </row>
    <row r="653" spans="1:40">
      <c r="A653" s="143" t="s">
        <v>1713</v>
      </c>
      <c r="B653" s="141">
        <v>100</v>
      </c>
      <c r="C653" s="142">
        <f>B653*IBGE_2!C$653/100</f>
        <v>179.005</v>
      </c>
      <c r="D653" s="142">
        <f>B653*IBGE_2!D$653/100</f>
        <v>0.36199999999999993</v>
      </c>
      <c r="E653" s="142">
        <f>B653*IBGE_2!E$653/100</f>
        <v>5.0999999999999997E-2</v>
      </c>
      <c r="F653" s="142">
        <f>B653*IBGE_2!F$653/100</f>
        <v>1.6E-2</v>
      </c>
      <c r="G653" s="142">
        <f>B653*IBGE_2!G$653/100</f>
        <v>2E-3</v>
      </c>
      <c r="H653" s="142">
        <f>B653*IBGE_2!H$653/100</f>
        <v>1.4000000000000002E-2</v>
      </c>
      <c r="I653" s="142">
        <f>B653*IBGE_2!I$653/100</f>
        <v>1.0999999999999999E-2</v>
      </c>
      <c r="J653" s="142">
        <f>B653*IBGE_2!J$653/100</f>
        <v>3.0000000000000001E-3</v>
      </c>
      <c r="K653" s="142" t="s">
        <v>3047</v>
      </c>
      <c r="L653" s="142">
        <f>B653*IBGE_2!L$653/100</f>
        <v>46.126999999999995</v>
      </c>
      <c r="M653" s="142">
        <f>B653*IBGE_2!M$653/100</f>
        <v>0.34499999999999997</v>
      </c>
      <c r="N653" s="142">
        <f>B653*IBGE_2!N$653/100</f>
        <v>9.234</v>
      </c>
      <c r="O653" s="142">
        <f>B653*IBGE_2!O$653/100</f>
        <v>6.7579999999999991</v>
      </c>
      <c r="P653" s="142">
        <f>B653*IBGE_2!P$653/100</f>
        <v>0.22900000000000001</v>
      </c>
      <c r="Q653" s="142">
        <f>B653*IBGE_2!Q$653/100</f>
        <v>6.9649999999999999</v>
      </c>
      <c r="R653" s="142">
        <f>B653*IBGE_2!R$653/100</f>
        <v>0.157</v>
      </c>
      <c r="S653" s="142">
        <f>B653*IBGE_2!S$653/100</f>
        <v>2.008</v>
      </c>
      <c r="T653" s="142">
        <f>B653*IBGE_2!T$653/100</f>
        <v>86.844999999999999</v>
      </c>
      <c r="U653" s="142">
        <f>B653*IBGE_2!U$653/100</f>
        <v>1.7999999999999999E-2</v>
      </c>
      <c r="V653" s="142">
        <f>B653*IBGE_2!V$653/100</f>
        <v>3.2000000000000001E-2</v>
      </c>
      <c r="W653" s="142" t="s">
        <v>3047</v>
      </c>
      <c r="X653" s="142">
        <f>B653*IBGE_2!X$653/100</f>
        <v>1.6E-2</v>
      </c>
      <c r="Y653" s="142">
        <f>B653*IBGE_2!Y$653/100</f>
        <v>0.03</v>
      </c>
      <c r="Z653" s="142">
        <f>B653*IBGE_2!Z$653/100</f>
        <v>4.1000000000000009E-2</v>
      </c>
      <c r="AA653" s="142">
        <f>B653*IBGE_2!AA$653/100</f>
        <v>0.16600000000000001</v>
      </c>
      <c r="AB653" s="142">
        <f>B653*IBGE_2!AB$653/100</f>
        <v>6.3E-2</v>
      </c>
      <c r="AC653" s="142">
        <f>B653*IBGE_2!AC$653/100</f>
        <v>0.16600000000000001</v>
      </c>
      <c r="AD653" s="142" t="s">
        <v>3047</v>
      </c>
      <c r="AE653" s="142">
        <f>B653*IBGE_2!AE$653/100</f>
        <v>1.9</v>
      </c>
      <c r="AF653" s="142" t="s">
        <v>3047</v>
      </c>
      <c r="AG653" s="142" t="s">
        <v>3047</v>
      </c>
      <c r="AH653" s="142" t="s">
        <v>3047</v>
      </c>
      <c r="AI653" s="142" t="s">
        <v>3047</v>
      </c>
      <c r="AJ653" s="142">
        <f>B653*IBGE_2!AJ$653/100</f>
        <v>0.28000000000000003</v>
      </c>
      <c r="AK653" s="142">
        <f>B653*IBGE_2!AK$653/100</f>
        <v>0.26400000000000001</v>
      </c>
      <c r="AL653" s="142">
        <f>B653*IBGE_2!AL$653/100</f>
        <v>45.609000000000009</v>
      </c>
      <c r="AM653" s="142">
        <f>B653*IBGE_2!AM$653/100</f>
        <v>36.073</v>
      </c>
      <c r="AN653" s="161"/>
    </row>
    <row r="654" spans="1:40">
      <c r="A654" s="143" t="s">
        <v>1714</v>
      </c>
      <c r="B654" s="141">
        <v>100</v>
      </c>
      <c r="C654" s="142">
        <f>B654*IBGE_2!C$654/100</f>
        <v>179.005</v>
      </c>
      <c r="D654" s="142">
        <f>B654*IBGE_2!D$654/100</f>
        <v>0.36199999999999993</v>
      </c>
      <c r="E654" s="142">
        <f>B654*IBGE_2!E$654/100</f>
        <v>5.0999999999999997E-2</v>
      </c>
      <c r="F654" s="142">
        <f>B654*IBGE_2!F$654/100</f>
        <v>1.6E-2</v>
      </c>
      <c r="G654" s="142">
        <f>B654*IBGE_2!G$654/100</f>
        <v>2E-3</v>
      </c>
      <c r="H654" s="142">
        <f>B654*IBGE_2!H$654/100</f>
        <v>1.4000000000000002E-2</v>
      </c>
      <c r="I654" s="142">
        <f>B654*IBGE_2!I$654/100</f>
        <v>1.0999999999999999E-2</v>
      </c>
      <c r="J654" s="142">
        <f>B654*IBGE_2!J$654/100</f>
        <v>3.0000000000000001E-3</v>
      </c>
      <c r="K654" s="142" t="s">
        <v>3047</v>
      </c>
      <c r="L654" s="142">
        <f>B654*IBGE_2!L$654/100</f>
        <v>46.126999999999995</v>
      </c>
      <c r="M654" s="142">
        <f>B654*IBGE_2!M$654/100</f>
        <v>0.34499999999999997</v>
      </c>
      <c r="N654" s="142">
        <f>B654*IBGE_2!N$654/100</f>
        <v>9.234</v>
      </c>
      <c r="O654" s="142">
        <f>B654*IBGE_2!O$654/100</f>
        <v>6.7579999999999991</v>
      </c>
      <c r="P654" s="142">
        <f>B654*IBGE_2!P$654/100</f>
        <v>0.22900000000000001</v>
      </c>
      <c r="Q654" s="142">
        <f>B654*IBGE_2!Q$654/100</f>
        <v>6.9649999999999999</v>
      </c>
      <c r="R654" s="142">
        <f>B654*IBGE_2!R$654/100</f>
        <v>0.157</v>
      </c>
      <c r="S654" s="142">
        <f>B654*IBGE_2!S$654/100</f>
        <v>2.008</v>
      </c>
      <c r="T654" s="142">
        <f>B654*IBGE_2!T$654/100</f>
        <v>86.844999999999999</v>
      </c>
      <c r="U654" s="142">
        <f>B654*IBGE_2!U$654/100</f>
        <v>1.7999999999999999E-2</v>
      </c>
      <c r="V654" s="142">
        <f>B654*IBGE_2!V$654/100</f>
        <v>3.2000000000000001E-2</v>
      </c>
      <c r="W654" s="142" t="s">
        <v>3047</v>
      </c>
      <c r="X654" s="142">
        <f>B654*IBGE_2!X$654/100</f>
        <v>1.6E-2</v>
      </c>
      <c r="Y654" s="142">
        <f>B654*IBGE_2!Y$654/100</f>
        <v>0.03</v>
      </c>
      <c r="Z654" s="142">
        <f>B654*IBGE_2!Z$654/100</f>
        <v>4.1000000000000009E-2</v>
      </c>
      <c r="AA654" s="142">
        <f>B654*IBGE_2!AA$654/100</f>
        <v>0.16600000000000001</v>
      </c>
      <c r="AB654" s="142">
        <f>B654*IBGE_2!AB$654/100</f>
        <v>6.3E-2</v>
      </c>
      <c r="AC654" s="142">
        <f>B654*IBGE_2!AC$654/100</f>
        <v>0.16600000000000001</v>
      </c>
      <c r="AD654" s="142" t="s">
        <v>3047</v>
      </c>
      <c r="AE654" s="142">
        <f>B654*IBGE_2!AE$654/100</f>
        <v>1.9</v>
      </c>
      <c r="AF654" s="142" t="s">
        <v>3047</v>
      </c>
      <c r="AG654" s="142" t="s">
        <v>3047</v>
      </c>
      <c r="AH654" s="142" t="s">
        <v>3047</v>
      </c>
      <c r="AI654" s="142" t="s">
        <v>3047</v>
      </c>
      <c r="AJ654" s="142">
        <f>B654*IBGE_2!AJ$654/100</f>
        <v>0.28000000000000003</v>
      </c>
      <c r="AK654" s="142">
        <f>B654*IBGE_2!AK$654/100</f>
        <v>0.26400000000000001</v>
      </c>
      <c r="AL654" s="142">
        <f>B654*IBGE_2!AL$654/100</f>
        <v>45.609000000000009</v>
      </c>
      <c r="AM654" s="142">
        <f>B654*IBGE_2!AM$654/100</f>
        <v>36.073</v>
      </c>
      <c r="AN654" s="161"/>
    </row>
    <row r="655" spans="1:40">
      <c r="A655" s="143" t="s">
        <v>1715</v>
      </c>
      <c r="B655" s="141">
        <v>100</v>
      </c>
      <c r="C655" s="142">
        <f>B655*IBGE_2!C$655/100</f>
        <v>119.148</v>
      </c>
      <c r="D655" s="142">
        <f>B655*IBGE_2!D$655/100</f>
        <v>5.6840000000000002</v>
      </c>
      <c r="E655" s="142">
        <f>B655*IBGE_2!E$655/100</f>
        <v>3.5459999999999998</v>
      </c>
      <c r="F655" s="142">
        <f>B655*IBGE_2!F$655/100</f>
        <v>1.3149999999999999</v>
      </c>
      <c r="G655" s="142">
        <f>B655*IBGE_2!G$655/100</f>
        <v>1.2990000000000002</v>
      </c>
      <c r="H655" s="142">
        <f>B655*IBGE_2!H$655/100</f>
        <v>0.41</v>
      </c>
      <c r="I655" s="142">
        <f>B655*IBGE_2!I$655/100</f>
        <v>0.34499999999999997</v>
      </c>
      <c r="J655" s="142">
        <f>B655*IBGE_2!J$655/100</f>
        <v>1.2E-2</v>
      </c>
      <c r="K655" s="142">
        <f>B655*IBGE_2!K$655/100</f>
        <v>119.18</v>
      </c>
      <c r="L655" s="142">
        <f>B655*IBGE_2!L$655/100</f>
        <v>15.752000000000001</v>
      </c>
      <c r="M655" s="142" t="s">
        <v>3047</v>
      </c>
      <c r="N655" s="142">
        <f>B655*IBGE_2!N$655/100</f>
        <v>93.202000000000012</v>
      </c>
      <c r="O655" s="142">
        <f>B655*IBGE_2!O$655/100</f>
        <v>10.16</v>
      </c>
      <c r="P655" s="142">
        <f>B655*IBGE_2!P$655/100</f>
        <v>1.0999999999999999E-2</v>
      </c>
      <c r="Q655" s="142">
        <f>B655*IBGE_2!Q$655/100</f>
        <v>110.375</v>
      </c>
      <c r="R655" s="142">
        <f>B655*IBGE_2!R$655/100</f>
        <v>0.34699999999999998</v>
      </c>
      <c r="S655" s="142">
        <f>B655*IBGE_2!S$655/100</f>
        <v>63.283999999999999</v>
      </c>
      <c r="T655" s="142">
        <f>B655*IBGE_2!T$655/100</f>
        <v>135.83500000000001</v>
      </c>
      <c r="U655" s="142">
        <f>B655*IBGE_2!U$655/100</f>
        <v>1.0999999999999999E-2</v>
      </c>
      <c r="V655" s="142">
        <f>B655*IBGE_2!V$655/100</f>
        <v>0.56799999999999995</v>
      </c>
      <c r="W655" s="142">
        <f>B655*IBGE_2!W$655/100</f>
        <v>84.567999999999998</v>
      </c>
      <c r="X655" s="142">
        <f>B655*IBGE_2!X$655/100</f>
        <v>3.1E-2</v>
      </c>
      <c r="Y655" s="142">
        <f>B655*IBGE_2!Y$655/100</f>
        <v>0.26700000000000002</v>
      </c>
      <c r="Z655" s="142">
        <f>B655*IBGE_2!Z$655/100</f>
        <v>5.800000000000001E-2</v>
      </c>
      <c r="AA655" s="142">
        <f>B655*IBGE_2!AA$655/100</f>
        <v>8.3000000000000004E-2</v>
      </c>
      <c r="AB655" s="142" t="s">
        <v>3047</v>
      </c>
      <c r="AC655" s="142">
        <f>B655*IBGE_2!AC$655/100</f>
        <v>1.224</v>
      </c>
      <c r="AD655" s="142">
        <f>B655*IBGE_2!AD$655/100</f>
        <v>0.59699999999999998</v>
      </c>
      <c r="AE655" s="142">
        <f>B655*IBGE_2!AE$655/100</f>
        <v>15.355</v>
      </c>
      <c r="AF655" s="142">
        <f>B655*IBGE_2!AF$655/100</f>
        <v>1.216</v>
      </c>
      <c r="AG655" s="142">
        <f>B655*IBGE_2!AG$655/100</f>
        <v>0.28799999999999998</v>
      </c>
      <c r="AH655" s="142">
        <f>B655*IBGE_2!AH$655/100</f>
        <v>2.7000000000000003E-2</v>
      </c>
      <c r="AI655" s="142" t="s">
        <v>3047</v>
      </c>
      <c r="AJ655" s="142">
        <f>B655*IBGE_2!AJ$655/100</f>
        <v>10.687000000000001</v>
      </c>
      <c r="AK655" s="142">
        <f>B655*IBGE_2!AK$655/100</f>
        <v>85.043999999999997</v>
      </c>
      <c r="AL655" s="142">
        <f>B655*IBGE_2!AL$655/100</f>
        <v>15.857999999999999</v>
      </c>
      <c r="AM655" s="142">
        <f>B655*IBGE_2!AM$655/100</f>
        <v>12.019</v>
      </c>
      <c r="AN655" s="161"/>
    </row>
    <row r="656" spans="1:40">
      <c r="A656" s="143" t="s">
        <v>1716</v>
      </c>
      <c r="B656" s="141">
        <v>100</v>
      </c>
      <c r="C656" s="142">
        <f>B656*IBGE_2!C$656/100</f>
        <v>119.148</v>
      </c>
      <c r="D656" s="142">
        <f>B656*IBGE_2!D$656/100</f>
        <v>5.6840000000000002</v>
      </c>
      <c r="E656" s="142">
        <f>B656*IBGE_2!E$656/100</f>
        <v>3.5459999999999998</v>
      </c>
      <c r="F656" s="142">
        <f>B656*IBGE_2!F$656/100</f>
        <v>1.3149999999999999</v>
      </c>
      <c r="G656" s="142">
        <f>B656*IBGE_2!G$656/100</f>
        <v>1.2990000000000002</v>
      </c>
      <c r="H656" s="142">
        <f>B656*IBGE_2!H$656/100</f>
        <v>0.41</v>
      </c>
      <c r="I656" s="142">
        <f>B656*IBGE_2!I$656/100</f>
        <v>0.34499999999999997</v>
      </c>
      <c r="J656" s="142">
        <f>B656*IBGE_2!J$656/100</f>
        <v>1.2E-2</v>
      </c>
      <c r="K656" s="142">
        <f>B656*IBGE_2!K$656/100</f>
        <v>119.18</v>
      </c>
      <c r="L656" s="142">
        <f>B656*IBGE_2!L$656/100</f>
        <v>15.752000000000001</v>
      </c>
      <c r="M656" s="142" t="s">
        <v>3047</v>
      </c>
      <c r="N656" s="142">
        <f>B656*IBGE_2!N$656/100</f>
        <v>93.202000000000012</v>
      </c>
      <c r="O656" s="142">
        <f>B656*IBGE_2!O$656/100</f>
        <v>10.16</v>
      </c>
      <c r="P656" s="142">
        <f>B656*IBGE_2!P$656/100</f>
        <v>1.0999999999999999E-2</v>
      </c>
      <c r="Q656" s="142">
        <f>B656*IBGE_2!Q$656/100</f>
        <v>110.375</v>
      </c>
      <c r="R656" s="142">
        <f>B656*IBGE_2!R$656/100</f>
        <v>0.34699999999999998</v>
      </c>
      <c r="S656" s="142">
        <f>B656*IBGE_2!S$656/100</f>
        <v>63.283999999999999</v>
      </c>
      <c r="T656" s="142">
        <f>B656*IBGE_2!T$656/100</f>
        <v>135.83500000000001</v>
      </c>
      <c r="U656" s="142">
        <f>B656*IBGE_2!U$656/100</f>
        <v>1.0999999999999999E-2</v>
      </c>
      <c r="V656" s="142">
        <f>B656*IBGE_2!V$656/100</f>
        <v>0.56799999999999995</v>
      </c>
      <c r="W656" s="142">
        <f>B656*IBGE_2!W$656/100</f>
        <v>84.567999999999998</v>
      </c>
      <c r="X656" s="142">
        <f>B656*IBGE_2!X$656/100</f>
        <v>3.1E-2</v>
      </c>
      <c r="Y656" s="142">
        <f>B656*IBGE_2!Y$656/100</f>
        <v>0.26700000000000002</v>
      </c>
      <c r="Z656" s="142">
        <f>B656*IBGE_2!Z$656/100</f>
        <v>5.800000000000001E-2</v>
      </c>
      <c r="AA656" s="142">
        <f>B656*IBGE_2!AA$656/100</f>
        <v>8.3000000000000004E-2</v>
      </c>
      <c r="AB656" s="142" t="s">
        <v>3047</v>
      </c>
      <c r="AC656" s="142">
        <f>B656*IBGE_2!AC$656/100</f>
        <v>1.224</v>
      </c>
      <c r="AD656" s="142">
        <f>B656*IBGE_2!AD$656/100</f>
        <v>0.59699999999999998</v>
      </c>
      <c r="AE656" s="142">
        <f>B656*IBGE_2!AE$656/100</f>
        <v>15.355</v>
      </c>
      <c r="AF656" s="142">
        <f>B656*IBGE_2!AF$656/100</f>
        <v>1.216</v>
      </c>
      <c r="AG656" s="142">
        <f>B656*IBGE_2!AG$656/100</f>
        <v>0.28799999999999998</v>
      </c>
      <c r="AH656" s="142">
        <f>B656*IBGE_2!AH$656/100</f>
        <v>2.7000000000000003E-2</v>
      </c>
      <c r="AI656" s="142" t="s">
        <v>3047</v>
      </c>
      <c r="AJ656" s="142">
        <f>B656*IBGE_2!AJ$656/100</f>
        <v>10.687000000000001</v>
      </c>
      <c r="AK656" s="142">
        <f>B656*IBGE_2!AK$656/100</f>
        <v>85.043999999999997</v>
      </c>
      <c r="AL656" s="142">
        <f>B656*IBGE_2!AL$656/100</f>
        <v>15.857999999999999</v>
      </c>
      <c r="AM656" s="142">
        <f>B656*IBGE_2!AM$656/100</f>
        <v>12.019</v>
      </c>
      <c r="AN656" s="161"/>
    </row>
    <row r="657" spans="1:40">
      <c r="A657" s="143" t="s">
        <v>1717</v>
      </c>
      <c r="B657" s="141">
        <v>100</v>
      </c>
      <c r="C657" s="142">
        <f>B657*IBGE_2!C$657/100</f>
        <v>119.148</v>
      </c>
      <c r="D657" s="142">
        <f>B657*IBGE_2!D$657/100</f>
        <v>5.6840000000000002</v>
      </c>
      <c r="E657" s="142">
        <f>B657*IBGE_2!E$657/100</f>
        <v>3.5459999999999998</v>
      </c>
      <c r="F657" s="142">
        <f>B657*IBGE_2!F$657/100</f>
        <v>1.3149999999999999</v>
      </c>
      <c r="G657" s="142">
        <f>B657*IBGE_2!G$657/100</f>
        <v>1.2990000000000002</v>
      </c>
      <c r="H657" s="142">
        <f>B657*IBGE_2!H$657/100</f>
        <v>0.41</v>
      </c>
      <c r="I657" s="142">
        <f>B657*IBGE_2!I$657/100</f>
        <v>0.34499999999999997</v>
      </c>
      <c r="J657" s="142">
        <f>B657*IBGE_2!J$657/100</f>
        <v>1.2E-2</v>
      </c>
      <c r="K657" s="142">
        <f>B657*IBGE_2!K$657/100</f>
        <v>119.18</v>
      </c>
      <c r="L657" s="142">
        <f>B657*IBGE_2!L$657/100</f>
        <v>15.752000000000001</v>
      </c>
      <c r="M657" s="142" t="s">
        <v>3047</v>
      </c>
      <c r="N657" s="142">
        <f>B657*IBGE_2!N$657/100</f>
        <v>93.202000000000012</v>
      </c>
      <c r="O657" s="142">
        <f>B657*IBGE_2!O$657/100</f>
        <v>10.16</v>
      </c>
      <c r="P657" s="142">
        <f>B657*IBGE_2!P$657/100</f>
        <v>1.0999999999999999E-2</v>
      </c>
      <c r="Q657" s="142">
        <f>B657*IBGE_2!Q$657/100</f>
        <v>110.375</v>
      </c>
      <c r="R657" s="142">
        <f>B657*IBGE_2!R$657/100</f>
        <v>0.34699999999999998</v>
      </c>
      <c r="S657" s="142">
        <f>B657*IBGE_2!S$657/100</f>
        <v>63.283999999999999</v>
      </c>
      <c r="T657" s="142">
        <f>B657*IBGE_2!T$657/100</f>
        <v>135.83500000000001</v>
      </c>
      <c r="U657" s="142">
        <f>B657*IBGE_2!U$657/100</f>
        <v>1.0999999999999999E-2</v>
      </c>
      <c r="V657" s="142">
        <f>B657*IBGE_2!V$657/100</f>
        <v>0.56799999999999995</v>
      </c>
      <c r="W657" s="142">
        <f>B657*IBGE_2!W$657/100</f>
        <v>84.567999999999998</v>
      </c>
      <c r="X657" s="142">
        <f>B657*IBGE_2!X$657/100</f>
        <v>3.1E-2</v>
      </c>
      <c r="Y657" s="142">
        <f>B657*IBGE_2!Y$657/100</f>
        <v>0.26700000000000002</v>
      </c>
      <c r="Z657" s="142">
        <f>B657*IBGE_2!Z$657/100</f>
        <v>5.800000000000001E-2</v>
      </c>
      <c r="AA657" s="142">
        <f>B657*IBGE_2!AA$657/100</f>
        <v>8.3000000000000004E-2</v>
      </c>
      <c r="AB657" s="142" t="s">
        <v>3047</v>
      </c>
      <c r="AC657" s="142">
        <f>B657*IBGE_2!AC$657/100</f>
        <v>1.224</v>
      </c>
      <c r="AD657" s="142">
        <f>B657*IBGE_2!AD$657/100</f>
        <v>0.59699999999999998</v>
      </c>
      <c r="AE657" s="142">
        <f>B657*IBGE_2!AE$657/100</f>
        <v>15.355</v>
      </c>
      <c r="AF657" s="142">
        <f>B657*IBGE_2!AF$657/100</f>
        <v>1.216</v>
      </c>
      <c r="AG657" s="142">
        <f>B657*IBGE_2!AG$657/100</f>
        <v>0.28799999999999998</v>
      </c>
      <c r="AH657" s="142">
        <f>B657*IBGE_2!AH$657/100</f>
        <v>2.7000000000000003E-2</v>
      </c>
      <c r="AI657" s="142" t="s">
        <v>3047</v>
      </c>
      <c r="AJ657" s="142">
        <f>B657*IBGE_2!AJ$657/100</f>
        <v>10.687000000000001</v>
      </c>
      <c r="AK657" s="142">
        <f>B657*IBGE_2!AK$657/100</f>
        <v>85.043999999999997</v>
      </c>
      <c r="AL657" s="142">
        <f>B657*IBGE_2!AL$657/100</f>
        <v>15.857999999999999</v>
      </c>
      <c r="AM657" s="142">
        <f>B657*IBGE_2!AM$657/100</f>
        <v>12.019</v>
      </c>
      <c r="AN657" s="161"/>
    </row>
    <row r="658" spans="1:40">
      <c r="A658" s="143" t="s">
        <v>1718</v>
      </c>
      <c r="B658" s="141">
        <v>100</v>
      </c>
      <c r="C658" s="142">
        <f>B658*IBGE_2!C$658/100</f>
        <v>292.291</v>
      </c>
      <c r="D658" s="142">
        <f>B658*IBGE_2!D$658/100</f>
        <v>7.5770000000000008</v>
      </c>
      <c r="E658" s="142">
        <f>B658*IBGE_2!E$658/100</f>
        <v>3.6150000000000002</v>
      </c>
      <c r="F658" s="142">
        <f>B658*IBGE_2!F$658/100</f>
        <v>2.081</v>
      </c>
      <c r="G658" s="142">
        <f>B658*IBGE_2!G$658/100</f>
        <v>0.90500000000000003</v>
      </c>
      <c r="H658" s="142">
        <f>B658*IBGE_2!H$658/100</f>
        <v>0.215</v>
      </c>
      <c r="I658" s="142">
        <f>B658*IBGE_2!I$658/100</f>
        <v>0.13200000000000001</v>
      </c>
      <c r="J658" s="142">
        <f>B658*IBGE_2!J$658/100</f>
        <v>8.2000000000000017E-2</v>
      </c>
      <c r="K658" s="142">
        <f>B658*IBGE_2!K$658/100</f>
        <v>13.253999999999998</v>
      </c>
      <c r="L658" s="142">
        <f>B658*IBGE_2!L$658/100</f>
        <v>58.981999999999999</v>
      </c>
      <c r="M658" s="142" t="s">
        <v>3047</v>
      </c>
      <c r="N658" s="142">
        <f>B658*IBGE_2!N$658/100</f>
        <v>274.57299999999998</v>
      </c>
      <c r="O658" s="142">
        <f>B658*IBGE_2!O$658/100</f>
        <v>24.180999999999997</v>
      </c>
      <c r="P658" s="142">
        <f>B658*IBGE_2!P$658/100</f>
        <v>7.000000000000001E-3</v>
      </c>
      <c r="Q658" s="142">
        <f>B658*IBGE_2!Q$658/100</f>
        <v>221.13800000000001</v>
      </c>
      <c r="R658" s="142">
        <f>B658*IBGE_2!R$658/100</f>
        <v>7.3999999999999996E-2</v>
      </c>
      <c r="S658" s="142">
        <f>B658*IBGE_2!S$658/100</f>
        <v>94.295000000000002</v>
      </c>
      <c r="T658" s="142">
        <f>B658*IBGE_2!T$658/100</f>
        <v>345.16800000000001</v>
      </c>
      <c r="U658" s="142">
        <f>B658*IBGE_2!U$658/100</f>
        <v>2.8000000000000004E-2</v>
      </c>
      <c r="V658" s="142">
        <f>B658*IBGE_2!V$658/100</f>
        <v>0.94299999999999995</v>
      </c>
      <c r="W658" s="142">
        <f>B658*IBGE_2!W$658/100</f>
        <v>31.526</v>
      </c>
      <c r="X658" s="142">
        <f>B658*IBGE_2!X$658/100</f>
        <v>0.10199999999999999</v>
      </c>
      <c r="Y658" s="142">
        <f>B658*IBGE_2!Y$658/100</f>
        <v>0.42799999999999999</v>
      </c>
      <c r="Z658" s="142">
        <f>B658*IBGE_2!Z$658/100</f>
        <v>8.4000000000000005E-2</v>
      </c>
      <c r="AA658" s="142">
        <f>B658*IBGE_2!AA$658/100</f>
        <v>0.23</v>
      </c>
      <c r="AB658" s="142" t="s">
        <v>3047</v>
      </c>
      <c r="AC658" s="142">
        <f>B658*IBGE_2!AC$658/100</f>
        <v>2.3929999999999998</v>
      </c>
      <c r="AD658" s="142">
        <f>B658*IBGE_2!AD$658/100</f>
        <v>1.1200000000000001</v>
      </c>
      <c r="AE658" s="142">
        <f>B658*IBGE_2!AE$658/100</f>
        <v>11.482999999999999</v>
      </c>
      <c r="AF658" s="142">
        <f>B658*IBGE_2!AF$658/100</f>
        <v>6.5000000000000002E-2</v>
      </c>
      <c r="AG658" s="142">
        <f>B658*IBGE_2!AG$658/100</f>
        <v>7.6999999999999999E-2</v>
      </c>
      <c r="AH658" s="142">
        <f>B658*IBGE_2!AH$658/100</f>
        <v>0.13800000000000001</v>
      </c>
      <c r="AI658" s="142" t="s">
        <v>3047</v>
      </c>
      <c r="AJ658" s="142">
        <f>B658*IBGE_2!AJ$658/100</f>
        <v>8.0579999999999998</v>
      </c>
      <c r="AK658" s="142">
        <f>B658*IBGE_2!AK$658/100</f>
        <v>31.976999999999997</v>
      </c>
      <c r="AL658" s="142">
        <f>B658*IBGE_2!AL$658/100</f>
        <v>59.908000000000001</v>
      </c>
      <c r="AM658" s="142">
        <f>B658*IBGE_2!AM$658/100</f>
        <v>48.067</v>
      </c>
      <c r="AN658" s="161"/>
    </row>
    <row r="659" spans="1:40">
      <c r="A659" s="143" t="s">
        <v>1719</v>
      </c>
      <c r="B659" s="141">
        <v>100</v>
      </c>
      <c r="C659" s="142">
        <f>B659*IBGE_2!C$659/100</f>
        <v>292.291</v>
      </c>
      <c r="D659" s="142">
        <f>B659*IBGE_2!D$659/100</f>
        <v>7.5770000000000008</v>
      </c>
      <c r="E659" s="142">
        <f>B659*IBGE_2!E$659/100</f>
        <v>3.6150000000000002</v>
      </c>
      <c r="F659" s="142">
        <f>B659*IBGE_2!F$659/100</f>
        <v>2.081</v>
      </c>
      <c r="G659" s="142">
        <f>B659*IBGE_2!G$659/100</f>
        <v>0.90500000000000003</v>
      </c>
      <c r="H659" s="142">
        <f>B659*IBGE_2!H$659/100</f>
        <v>0.215</v>
      </c>
      <c r="I659" s="142">
        <f>B659*IBGE_2!I$659/100</f>
        <v>0.13200000000000001</v>
      </c>
      <c r="J659" s="142">
        <f>B659*IBGE_2!J$659/100</f>
        <v>8.2000000000000017E-2</v>
      </c>
      <c r="K659" s="142">
        <f>B659*IBGE_2!K$659/100</f>
        <v>13.253999999999998</v>
      </c>
      <c r="L659" s="142">
        <f>B659*IBGE_2!L$659/100</f>
        <v>58.981999999999999</v>
      </c>
      <c r="M659" s="142" t="s">
        <v>3047</v>
      </c>
      <c r="N659" s="142">
        <f>B659*IBGE_2!N$659/100</f>
        <v>274.57299999999998</v>
      </c>
      <c r="O659" s="142">
        <f>B659*IBGE_2!O$659/100</f>
        <v>24.180999999999997</v>
      </c>
      <c r="P659" s="142">
        <f>B659*IBGE_2!P$659/100</f>
        <v>7.000000000000001E-3</v>
      </c>
      <c r="Q659" s="142">
        <f>B659*IBGE_2!Q$659/100</f>
        <v>221.13800000000001</v>
      </c>
      <c r="R659" s="142">
        <f>B659*IBGE_2!R$659/100</f>
        <v>7.3999999999999996E-2</v>
      </c>
      <c r="S659" s="142">
        <f>B659*IBGE_2!S$659/100</f>
        <v>94.295000000000002</v>
      </c>
      <c r="T659" s="142">
        <f>B659*IBGE_2!T$659/100</f>
        <v>345.16800000000001</v>
      </c>
      <c r="U659" s="142">
        <f>B659*IBGE_2!U$659/100</f>
        <v>2.8000000000000004E-2</v>
      </c>
      <c r="V659" s="142">
        <f>B659*IBGE_2!V$659/100</f>
        <v>0.94299999999999995</v>
      </c>
      <c r="W659" s="142">
        <f>B659*IBGE_2!W$659/100</f>
        <v>31.526</v>
      </c>
      <c r="X659" s="142">
        <f>B659*IBGE_2!X$659/100</f>
        <v>0.10199999999999999</v>
      </c>
      <c r="Y659" s="142">
        <f>B659*IBGE_2!Y$659/100</f>
        <v>0.42799999999999999</v>
      </c>
      <c r="Z659" s="142">
        <f>B659*IBGE_2!Z$659/100</f>
        <v>8.4000000000000005E-2</v>
      </c>
      <c r="AA659" s="142">
        <f>B659*IBGE_2!AA$659/100</f>
        <v>0.23</v>
      </c>
      <c r="AB659" s="142" t="s">
        <v>3047</v>
      </c>
      <c r="AC659" s="142">
        <f>B659*IBGE_2!AC$659/100</f>
        <v>2.3929999999999998</v>
      </c>
      <c r="AD659" s="142">
        <f>B659*IBGE_2!AD$659/100</f>
        <v>1.1200000000000001</v>
      </c>
      <c r="AE659" s="142">
        <f>B659*IBGE_2!AE$659/100</f>
        <v>11.482999999999999</v>
      </c>
      <c r="AF659" s="142">
        <f>B659*IBGE_2!AF$659/100</f>
        <v>6.5000000000000002E-2</v>
      </c>
      <c r="AG659" s="142">
        <f>B659*IBGE_2!AG$659/100</f>
        <v>7.6999999999999999E-2</v>
      </c>
      <c r="AH659" s="142">
        <f>B659*IBGE_2!AH$659/100</f>
        <v>0.13800000000000001</v>
      </c>
      <c r="AI659" s="142" t="s">
        <v>3047</v>
      </c>
      <c r="AJ659" s="142">
        <f>B659*IBGE_2!AJ$659/100</f>
        <v>8.0579999999999998</v>
      </c>
      <c r="AK659" s="142">
        <f>B659*IBGE_2!AK$659/100</f>
        <v>31.976999999999997</v>
      </c>
      <c r="AL659" s="142">
        <f>B659*IBGE_2!AL$659/100</f>
        <v>59.908000000000001</v>
      </c>
      <c r="AM659" s="142">
        <f>B659*IBGE_2!AM$659/100</f>
        <v>48.067</v>
      </c>
      <c r="AN659" s="161"/>
    </row>
    <row r="660" spans="1:40">
      <c r="A660" s="143" t="s">
        <v>1720</v>
      </c>
      <c r="B660" s="141">
        <v>100</v>
      </c>
      <c r="C660" s="142">
        <f>B660*IBGE_2!C$660/100</f>
        <v>403.44900000000001</v>
      </c>
      <c r="D660" s="142">
        <f>B660*IBGE_2!D$660/100</f>
        <v>5.5620000000000003</v>
      </c>
      <c r="E660" s="142">
        <f>B660*IBGE_2!E$660/100</f>
        <v>5.4359999999999999</v>
      </c>
      <c r="F660" s="142">
        <f>B660*IBGE_2!F$660/100</f>
        <v>0.54700000000000004</v>
      </c>
      <c r="G660" s="142">
        <f>B660*IBGE_2!G$660/100</f>
        <v>2.798</v>
      </c>
      <c r="H660" s="142">
        <f>B660*IBGE_2!H$660/100</f>
        <v>1.6890000000000001</v>
      </c>
      <c r="I660" s="142">
        <f>B660*IBGE_2!I$660/100</f>
        <v>1.2450000000000001</v>
      </c>
      <c r="J660" s="142">
        <f>B660*IBGE_2!J$660/100</f>
        <v>0.44400000000000001</v>
      </c>
      <c r="K660" s="142" t="s">
        <v>3047</v>
      </c>
      <c r="L660" s="142">
        <f>B660*IBGE_2!L$660/100</f>
        <v>86.361000000000004</v>
      </c>
      <c r="M660" s="142">
        <f>B660*IBGE_2!M$660/100</f>
        <v>7.2030000000000003</v>
      </c>
      <c r="N660" s="142">
        <f>B660*IBGE_2!N$660/100</f>
        <v>74.965000000000003</v>
      </c>
      <c r="O660" s="142">
        <f>B660*IBGE_2!O$660/100</f>
        <v>68.293999999999997</v>
      </c>
      <c r="P660" s="142">
        <f>B660*IBGE_2!P$660/100</f>
        <v>2.2650000000000001</v>
      </c>
      <c r="Q660" s="142">
        <f>B660*IBGE_2!Q$660/100</f>
        <v>156.08099999999999</v>
      </c>
      <c r="R660" s="142">
        <f>B660*IBGE_2!R$660/100</f>
        <v>1.8759999999999999</v>
      </c>
      <c r="S660" s="142">
        <f>B660*IBGE_2!S$660/100</f>
        <v>230.505</v>
      </c>
      <c r="T660" s="142">
        <f>B660*IBGE_2!T$660/100</f>
        <v>421.892</v>
      </c>
      <c r="U660" s="142">
        <f>B660*IBGE_2!U$660/100</f>
        <v>0.29299999999999998</v>
      </c>
      <c r="V660" s="142">
        <f>B660*IBGE_2!V$660/100</f>
        <v>1.212</v>
      </c>
      <c r="W660" s="142" t="s">
        <v>3047</v>
      </c>
      <c r="X660" s="142">
        <f>B660*IBGE_2!X$660/100</f>
        <v>0.23100000000000001</v>
      </c>
      <c r="Y660" s="142">
        <f>B660*IBGE_2!Y$660/100</f>
        <v>9.5000000000000001E-2</v>
      </c>
      <c r="Z660" s="142">
        <f>B660*IBGE_2!Z$660/100</f>
        <v>0.27800000000000002</v>
      </c>
      <c r="AA660" s="142">
        <f>B660*IBGE_2!AA$660/100</f>
        <v>2.2570000000000001</v>
      </c>
      <c r="AB660" s="142">
        <f>B660*IBGE_2!AB$660/100</f>
        <v>37.081000000000003</v>
      </c>
      <c r="AC660" s="142">
        <f>B660*IBGE_2!AC$660/100</f>
        <v>3.4279999999999999</v>
      </c>
      <c r="AD660" s="142" t="s">
        <v>3047</v>
      </c>
      <c r="AE660" s="142">
        <f>B660*IBGE_2!AE$660/100</f>
        <v>49.594999999999999</v>
      </c>
      <c r="AF660" s="142" t="s">
        <v>3047</v>
      </c>
      <c r="AG660" s="142">
        <f>B660*IBGE_2!AG$660/100</f>
        <v>1.1830000000000001</v>
      </c>
      <c r="AH660" s="142">
        <f>B660*IBGE_2!AH$660/100</f>
        <v>1.4999999999999999E-2</v>
      </c>
      <c r="AI660" s="142" t="s">
        <v>3047</v>
      </c>
      <c r="AJ660" s="142">
        <f>B660*IBGE_2!AJ$660/100</f>
        <v>12.257</v>
      </c>
      <c r="AK660" s="142">
        <f>B660*IBGE_2!AK$660/100</f>
        <v>1.2969999999999999</v>
      </c>
      <c r="AL660" s="142">
        <f>B660*IBGE_2!AL$660/100</f>
        <v>38.427</v>
      </c>
      <c r="AM660" s="142">
        <f>B660*IBGE_2!AM$660/100</f>
        <v>12.43</v>
      </c>
      <c r="AN660" s="161"/>
    </row>
    <row r="661" spans="1:40">
      <c r="A661" s="143" t="s">
        <v>1721</v>
      </c>
      <c r="B661" s="141">
        <v>100</v>
      </c>
      <c r="C661" s="142">
        <f>B661*IBGE_2!C$661/100</f>
        <v>403.44900000000001</v>
      </c>
      <c r="D661" s="142">
        <f>B661*IBGE_2!D$661/100</f>
        <v>5.5620000000000003</v>
      </c>
      <c r="E661" s="142">
        <f>B661*IBGE_2!E$661/100</f>
        <v>5.4359999999999999</v>
      </c>
      <c r="F661" s="142">
        <f>B661*IBGE_2!F$661/100</f>
        <v>0.54700000000000004</v>
      </c>
      <c r="G661" s="142">
        <f>B661*IBGE_2!G$661/100</f>
        <v>2.798</v>
      </c>
      <c r="H661" s="142">
        <f>B661*IBGE_2!H$661/100</f>
        <v>1.6890000000000001</v>
      </c>
      <c r="I661" s="142">
        <f>B661*IBGE_2!I$661/100</f>
        <v>1.2450000000000001</v>
      </c>
      <c r="J661" s="142">
        <f>B661*IBGE_2!J$661/100</f>
        <v>0.44400000000000001</v>
      </c>
      <c r="K661" s="142" t="s">
        <v>3047</v>
      </c>
      <c r="L661" s="142">
        <f>B661*IBGE_2!L$661/100</f>
        <v>86.361000000000004</v>
      </c>
      <c r="M661" s="142">
        <f>B661*IBGE_2!M$661/100</f>
        <v>7.2030000000000003</v>
      </c>
      <c r="N661" s="142">
        <f>B661*IBGE_2!N$661/100</f>
        <v>74.965000000000003</v>
      </c>
      <c r="O661" s="142">
        <f>B661*IBGE_2!O$661/100</f>
        <v>68.293999999999997</v>
      </c>
      <c r="P661" s="142">
        <f>B661*IBGE_2!P$661/100</f>
        <v>2.2650000000000001</v>
      </c>
      <c r="Q661" s="142">
        <f>B661*IBGE_2!Q$661/100</f>
        <v>156.08099999999999</v>
      </c>
      <c r="R661" s="142">
        <f>B661*IBGE_2!R$661/100</f>
        <v>1.8759999999999999</v>
      </c>
      <c r="S661" s="142">
        <f>B661*IBGE_2!S$661/100</f>
        <v>230.505</v>
      </c>
      <c r="T661" s="142">
        <f>B661*IBGE_2!T$661/100</f>
        <v>421.892</v>
      </c>
      <c r="U661" s="142">
        <f>B661*IBGE_2!U$661/100</f>
        <v>0.29299999999999998</v>
      </c>
      <c r="V661" s="142">
        <f>B661*IBGE_2!V$661/100</f>
        <v>1.212</v>
      </c>
      <c r="W661" s="142" t="s">
        <v>3047</v>
      </c>
      <c r="X661" s="142">
        <f>B661*IBGE_2!X$661/100</f>
        <v>0.23100000000000001</v>
      </c>
      <c r="Y661" s="142">
        <f>B661*IBGE_2!Y$661/100</f>
        <v>9.5000000000000001E-2</v>
      </c>
      <c r="Z661" s="142">
        <f>B661*IBGE_2!Z$661/100</f>
        <v>0.27800000000000002</v>
      </c>
      <c r="AA661" s="142">
        <f>B661*IBGE_2!AA$661/100</f>
        <v>2.2570000000000001</v>
      </c>
      <c r="AB661" s="142">
        <f>B661*IBGE_2!AB$661/100</f>
        <v>37.081000000000003</v>
      </c>
      <c r="AC661" s="142">
        <f>B661*IBGE_2!AC$661/100</f>
        <v>3.4279999999999999</v>
      </c>
      <c r="AD661" s="142" t="s">
        <v>3047</v>
      </c>
      <c r="AE661" s="142">
        <f>B661*IBGE_2!AE$661/100</f>
        <v>49.594999999999999</v>
      </c>
      <c r="AF661" s="142" t="s">
        <v>3047</v>
      </c>
      <c r="AG661" s="142">
        <f>B661*IBGE_2!AG$661/100</f>
        <v>1.1830000000000001</v>
      </c>
      <c r="AH661" s="142">
        <f>B661*IBGE_2!AH$661/100</f>
        <v>1.4999999999999999E-2</v>
      </c>
      <c r="AI661" s="142" t="s">
        <v>3047</v>
      </c>
      <c r="AJ661" s="142">
        <f>B661*IBGE_2!AJ$661/100</f>
        <v>12.257</v>
      </c>
      <c r="AK661" s="142">
        <f>B661*IBGE_2!AK$661/100</f>
        <v>1.2969999999999999</v>
      </c>
      <c r="AL661" s="142">
        <f>B661*IBGE_2!AL$661/100</f>
        <v>38.427</v>
      </c>
      <c r="AM661" s="142">
        <f>B661*IBGE_2!AM$661/100</f>
        <v>12.43</v>
      </c>
      <c r="AN661" s="161"/>
    </row>
    <row r="662" spans="1:40">
      <c r="A662" s="143" t="s">
        <v>1722</v>
      </c>
      <c r="B662" s="141">
        <v>100</v>
      </c>
      <c r="C662" s="142">
        <f>B662*IBGE_2!C$662/100</f>
        <v>335.524</v>
      </c>
      <c r="D662" s="142">
        <f>B662*IBGE_2!D$662/100</f>
        <v>19.187999999999999</v>
      </c>
      <c r="E662" s="142">
        <f>B662*IBGE_2!E$662/100</f>
        <v>1.87</v>
      </c>
      <c r="F662" s="142">
        <f>B662*IBGE_2!F$662/100</f>
        <v>0.75700000000000001</v>
      </c>
      <c r="G662" s="142">
        <f>B662*IBGE_2!G$662/100</f>
        <v>0.42100000000000004</v>
      </c>
      <c r="H662" s="142">
        <f>B662*IBGE_2!H$662/100</f>
        <v>0.41099999999999992</v>
      </c>
      <c r="I662" s="142">
        <f>B662*IBGE_2!I$662/100</f>
        <v>0.36599999999999999</v>
      </c>
      <c r="J662" s="142">
        <f>B662*IBGE_2!J$662/100</f>
        <v>4.4999999999999998E-2</v>
      </c>
      <c r="K662" s="142">
        <f>B662*IBGE_2!K$662/100</f>
        <v>5.274</v>
      </c>
      <c r="L662" s="142">
        <f>B662*IBGE_2!L$662/100</f>
        <v>69.938000000000002</v>
      </c>
      <c r="M662" s="142">
        <f>B662*IBGE_2!M$662/100</f>
        <v>7.3889999999999993</v>
      </c>
      <c r="N662" s="142">
        <f>B662*IBGE_2!N$662/100</f>
        <v>536.57600000000002</v>
      </c>
      <c r="O662" s="142">
        <f>B662*IBGE_2!O$662/100</f>
        <v>357.142</v>
      </c>
      <c r="P662" s="142">
        <f>B662*IBGE_2!P$662/100</f>
        <v>0.26900000000000002</v>
      </c>
      <c r="Q662" s="142">
        <f>B662*IBGE_2!Q$662/100</f>
        <v>366.596</v>
      </c>
      <c r="R662" s="142">
        <f>B662*IBGE_2!R$662/100</f>
        <v>22.856999999999999</v>
      </c>
      <c r="S662" s="142">
        <f>B662*IBGE_2!S$662/100</f>
        <v>395.27199999999999</v>
      </c>
      <c r="T662" s="142">
        <f>B662*IBGE_2!T$662/100</f>
        <v>928.745</v>
      </c>
      <c r="U662" s="142">
        <f>B662*IBGE_2!U$662/100</f>
        <v>0.71099999999999997</v>
      </c>
      <c r="V662" s="142">
        <f>B662*IBGE_2!V$662/100</f>
        <v>16.071999999999999</v>
      </c>
      <c r="W662" s="142">
        <f>B662*IBGE_2!W$662/100</f>
        <v>803.11300000000006</v>
      </c>
      <c r="X662" s="142">
        <f>B662*IBGE_2!X$662/100</f>
        <v>1.6080000000000001</v>
      </c>
      <c r="Y662" s="142">
        <f>B662*IBGE_2!Y$662/100</f>
        <v>0.69799999999999995</v>
      </c>
      <c r="Z662" s="142">
        <f>B662*IBGE_2!Z$662/100</f>
        <v>2.1429999999999998</v>
      </c>
      <c r="AA662" s="142">
        <f>B662*IBGE_2!AA$662/100</f>
        <v>24.995999999999999</v>
      </c>
      <c r="AB662" s="142">
        <f>B662*IBGE_2!AB$662/100</f>
        <v>64.286000000000001</v>
      </c>
      <c r="AC662" s="142">
        <f>B662*IBGE_2!AC$662/100</f>
        <v>29.62</v>
      </c>
      <c r="AD662" s="142">
        <f>B662*IBGE_2!AD$662/100</f>
        <v>4.2869999999999999</v>
      </c>
      <c r="AE662" s="142">
        <f>B662*IBGE_2!AE$662/100</f>
        <v>588.803</v>
      </c>
      <c r="AF662" s="142">
        <f>B662*IBGE_2!AF$662/100</f>
        <v>3.5710000000000002</v>
      </c>
      <c r="AG662" s="142">
        <f>B662*IBGE_2!AG$662/100</f>
        <v>24.122</v>
      </c>
      <c r="AH662" s="142">
        <f>B662*IBGE_2!AH$662/100</f>
        <v>0.01</v>
      </c>
      <c r="AI662" s="142" t="s">
        <v>3047</v>
      </c>
      <c r="AJ662" s="142">
        <f>B662*IBGE_2!AJ$662/100</f>
        <v>11.732999999999999</v>
      </c>
      <c r="AK662" s="142">
        <f>B662*IBGE_2!AK$662/100</f>
        <v>803.21800000000007</v>
      </c>
      <c r="AL662" s="142">
        <f>B662*IBGE_2!AL$662/100</f>
        <v>59.328000000000003</v>
      </c>
      <c r="AM662" s="142">
        <f>B662*IBGE_2!AM$662/100</f>
        <v>39.637999999999998</v>
      </c>
      <c r="AN662" s="161"/>
    </row>
    <row r="663" spans="1:40">
      <c r="A663" s="143" t="s">
        <v>1723</v>
      </c>
      <c r="B663" s="141">
        <v>100</v>
      </c>
      <c r="C663" s="142">
        <f>B663*IBGE_2!C$663/100</f>
        <v>404.8</v>
      </c>
      <c r="D663" s="142">
        <f>B663*IBGE_2!D$663/100</f>
        <v>1.01</v>
      </c>
      <c r="E663" s="142">
        <f>B663*IBGE_2!E$663/100</f>
        <v>12.46</v>
      </c>
      <c r="F663" s="142">
        <f>B663*IBGE_2!F$663/100</f>
        <v>11.01</v>
      </c>
      <c r="G663" s="142">
        <f>B663*IBGE_2!G$663/100</f>
        <v>0.53</v>
      </c>
      <c r="H663" s="142">
        <f>B663*IBGE_2!H$663/100</f>
        <v>0.14000000000000001</v>
      </c>
      <c r="I663" s="142">
        <f>B663*IBGE_2!I$663/100</f>
        <v>0.14000000000000001</v>
      </c>
      <c r="J663" s="142" t="s">
        <v>3047</v>
      </c>
      <c r="K663" s="142" t="s">
        <v>3047</v>
      </c>
      <c r="L663" s="142">
        <f>B663*IBGE_2!L$663/100</f>
        <v>75.650000000000006</v>
      </c>
      <c r="M663" s="142">
        <f>B663*IBGE_2!M$663/100</f>
        <v>1.58</v>
      </c>
      <c r="N663" s="142">
        <f>B663*IBGE_2!N$663/100</f>
        <v>8.3000000000000007</v>
      </c>
      <c r="O663" s="142">
        <f>B663*IBGE_2!O$663/100</f>
        <v>17.68</v>
      </c>
      <c r="P663" s="142">
        <f>B663*IBGE_2!P$663/100</f>
        <v>0.87</v>
      </c>
      <c r="Q663" s="142">
        <f>B663*IBGE_2!Q$663/100</f>
        <v>37.450000000000003</v>
      </c>
      <c r="R663" s="142">
        <f>B663*IBGE_2!R$663/100</f>
        <v>0.68</v>
      </c>
      <c r="S663" s="142">
        <f>B663*IBGE_2!S$663/100</f>
        <v>107.35</v>
      </c>
      <c r="T663" s="142">
        <f>B663*IBGE_2!T$663/100</f>
        <v>119.68</v>
      </c>
      <c r="U663" s="142">
        <f>B663*IBGE_2!U$663/100</f>
        <v>0.11</v>
      </c>
      <c r="V663" s="142">
        <f>B663*IBGE_2!V$663/100</f>
        <v>0.71</v>
      </c>
      <c r="W663" s="142" t="s">
        <v>3047</v>
      </c>
      <c r="X663" s="142">
        <f>B663*IBGE_2!X$663/100</f>
        <v>0.02</v>
      </c>
      <c r="Y663" s="142">
        <f>B663*IBGE_2!Y$663/100</f>
        <v>0.02</v>
      </c>
      <c r="Z663" s="142">
        <f>B663*IBGE_2!Z$663/100</f>
        <v>0.1</v>
      </c>
      <c r="AA663" s="142">
        <f>B663*IBGE_2!AA$663/100</f>
        <v>0.17</v>
      </c>
      <c r="AB663" s="142">
        <f>B663*IBGE_2!AB$663/100</f>
        <v>0.25</v>
      </c>
      <c r="AC663" s="142">
        <f>B663*IBGE_2!AC$663/100</f>
        <v>0.36</v>
      </c>
      <c r="AD663" s="142" t="s">
        <v>3047</v>
      </c>
      <c r="AE663" s="142">
        <f>B663*IBGE_2!AE$663/100</f>
        <v>2.8</v>
      </c>
      <c r="AF663" s="142" t="s">
        <v>3047</v>
      </c>
      <c r="AG663" s="142">
        <f>B663*IBGE_2!AG$663/100</f>
        <v>0.14000000000000001</v>
      </c>
      <c r="AH663" s="142" t="s">
        <v>3047</v>
      </c>
      <c r="AI663" s="142" t="s">
        <v>3047</v>
      </c>
      <c r="AJ663" s="142">
        <f>B663*IBGE_2!AJ$663/100</f>
        <v>6.25</v>
      </c>
      <c r="AK663" s="145" t="s">
        <v>3047</v>
      </c>
      <c r="AL663" s="142">
        <f>B663*IBGE_2!AL$663/100</f>
        <v>62.21</v>
      </c>
      <c r="AM663" s="142">
        <f>B663*IBGE_2!AM$663/100</f>
        <v>71.44</v>
      </c>
      <c r="AN663" s="161"/>
    </row>
    <row r="664" spans="1:40">
      <c r="A664" s="143" t="s">
        <v>1724</v>
      </c>
      <c r="B664" s="141">
        <v>100</v>
      </c>
      <c r="C664" s="142">
        <f>B664*IBGE_2!C$664/100</f>
        <v>599</v>
      </c>
      <c r="D664" s="142">
        <f>B664*IBGE_2!D$664/100</f>
        <v>28.03</v>
      </c>
      <c r="E664" s="142">
        <f>B664*IBGE_2!E$664/100</f>
        <v>52.5</v>
      </c>
      <c r="F664" s="142">
        <f>B664*IBGE_2!F$664/100</f>
        <v>8.6859999999999999</v>
      </c>
      <c r="G664" s="142">
        <f>B664*IBGE_2!G$664/100</f>
        <v>25.975999999999999</v>
      </c>
      <c r="H664" s="142">
        <f>B664*IBGE_2!H$664/100</f>
        <v>15.292</v>
      </c>
      <c r="I664" s="142">
        <f>B664*IBGE_2!I$664/100</f>
        <v>15.103</v>
      </c>
      <c r="J664" s="142">
        <f>B664*IBGE_2!J$664/100</f>
        <v>3.7999999999999999E-2</v>
      </c>
      <c r="K664" s="142" t="s">
        <v>3047</v>
      </c>
      <c r="L664" s="142">
        <f>B664*IBGE_2!L$664/100</f>
        <v>15.26</v>
      </c>
      <c r="M664" s="142">
        <f>B664*IBGE_2!M$664/100</f>
        <v>9.4</v>
      </c>
      <c r="N664" s="142">
        <f>B664*IBGE_2!N$664/100</f>
        <v>61</v>
      </c>
      <c r="O664" s="142">
        <f>B664*IBGE_2!O$664/100</f>
        <v>176</v>
      </c>
      <c r="P664" s="142">
        <f>B664*IBGE_2!P$664/100</f>
        <v>1.845</v>
      </c>
      <c r="Q664" s="142">
        <f>B664*IBGE_2!Q$664/100</f>
        <v>397</v>
      </c>
      <c r="R664" s="142">
        <f>B664*IBGE_2!R$664/100</f>
        <v>1.52</v>
      </c>
      <c r="S664" s="142">
        <f>B664*IBGE_2!S$664/100</f>
        <v>6</v>
      </c>
      <c r="T664" s="142">
        <f>B664*IBGE_2!T$664/100</f>
        <v>726</v>
      </c>
      <c r="U664" s="142">
        <f>B664*IBGE_2!U$664/100</f>
        <v>0.53300000000000003</v>
      </c>
      <c r="V664" s="142">
        <f>B664*IBGE_2!V$664/100</f>
        <v>3.28</v>
      </c>
      <c r="W664" s="142" t="s">
        <v>3047</v>
      </c>
      <c r="X664" s="142">
        <f>B664*IBGE_2!X$664/100</f>
        <v>8.5000000000000006E-2</v>
      </c>
      <c r="Y664" s="142">
        <f>B664*IBGE_2!Y$664/100</f>
        <v>8.900000000000001E-2</v>
      </c>
      <c r="Z664" s="142">
        <f>B664*IBGE_2!Z$664/100</f>
        <v>0.46100000000000002</v>
      </c>
      <c r="AA664" s="142">
        <f>B664*IBGE_2!AA$664/100</f>
        <v>13.824999999999999</v>
      </c>
      <c r="AB664" s="142">
        <f>B664*IBGE_2!AB$664/100</f>
        <v>0.8</v>
      </c>
      <c r="AC664" s="142">
        <f>B664*IBGE_2!AC$664/100</f>
        <v>17.675000000000001</v>
      </c>
      <c r="AD664" s="142" t="s">
        <v>3047</v>
      </c>
      <c r="AE664" s="142">
        <f>B664*IBGE_2!AE$664/100</f>
        <v>120</v>
      </c>
      <c r="AF664" s="142" t="s">
        <v>3047</v>
      </c>
      <c r="AG664" s="142">
        <f>B664*IBGE_2!AG$664/100</f>
        <v>6.94</v>
      </c>
      <c r="AH664" s="142" t="s">
        <v>3047</v>
      </c>
      <c r="AI664" s="142" t="s">
        <v>3047</v>
      </c>
      <c r="AJ664" s="142">
        <f>B664*IBGE_2!AJ$664/100</f>
        <v>3.3</v>
      </c>
      <c r="AK664" s="145" t="s">
        <v>3047</v>
      </c>
      <c r="AL664" s="142">
        <f>B664*IBGE_2!AL$664/100</f>
        <v>4.1900000000000004</v>
      </c>
      <c r="AM664" s="145" t="s">
        <v>3047</v>
      </c>
      <c r="AN664" s="161"/>
    </row>
    <row r="665" spans="1:40">
      <c r="A665" s="143" t="s">
        <v>1725</v>
      </c>
      <c r="B665" s="141">
        <v>100</v>
      </c>
      <c r="C665" s="142">
        <f>B665*IBGE_2!C$665/100</f>
        <v>599</v>
      </c>
      <c r="D665" s="142">
        <f>B665*IBGE_2!D$665/100</f>
        <v>28.03</v>
      </c>
      <c r="E665" s="142">
        <f>B665*IBGE_2!E$665/100</f>
        <v>52.5</v>
      </c>
      <c r="F665" s="142">
        <f>B665*IBGE_2!F$665/100</f>
        <v>8.6859999999999999</v>
      </c>
      <c r="G665" s="142">
        <f>B665*IBGE_2!G$665/100</f>
        <v>25.975999999999999</v>
      </c>
      <c r="H665" s="142">
        <f>B665*IBGE_2!H$665/100</f>
        <v>15.292</v>
      </c>
      <c r="I665" s="142">
        <f>B665*IBGE_2!I$665/100</f>
        <v>15.103</v>
      </c>
      <c r="J665" s="142">
        <f>B665*IBGE_2!J$665/100</f>
        <v>3.7999999999999999E-2</v>
      </c>
      <c r="K665" s="142" t="s">
        <v>3047</v>
      </c>
      <c r="L665" s="142">
        <f>B665*IBGE_2!L$665/100</f>
        <v>15.26</v>
      </c>
      <c r="M665" s="142">
        <f>B665*IBGE_2!M$665/100</f>
        <v>9.4</v>
      </c>
      <c r="N665" s="142">
        <f>B665*IBGE_2!N$665/100</f>
        <v>61</v>
      </c>
      <c r="O665" s="142">
        <f>B665*IBGE_2!O$665/100</f>
        <v>176</v>
      </c>
      <c r="P665" s="142">
        <f>B665*IBGE_2!P$665/100</f>
        <v>1.845</v>
      </c>
      <c r="Q665" s="142">
        <f>B665*IBGE_2!Q$665/100</f>
        <v>397</v>
      </c>
      <c r="R665" s="142">
        <f>B665*IBGE_2!R$665/100</f>
        <v>1.52</v>
      </c>
      <c r="S665" s="142">
        <f>B665*IBGE_2!S$665/100</f>
        <v>6</v>
      </c>
      <c r="T665" s="142">
        <f>B665*IBGE_2!T$665/100</f>
        <v>726</v>
      </c>
      <c r="U665" s="142">
        <f>B665*IBGE_2!U$665/100</f>
        <v>0.53300000000000003</v>
      </c>
      <c r="V665" s="142">
        <f>B665*IBGE_2!V$665/100</f>
        <v>3.28</v>
      </c>
      <c r="W665" s="142" t="s">
        <v>3047</v>
      </c>
      <c r="X665" s="142">
        <f>B665*IBGE_2!X$665/100</f>
        <v>8.5000000000000006E-2</v>
      </c>
      <c r="Y665" s="142">
        <f>B665*IBGE_2!Y$665/100</f>
        <v>8.900000000000001E-2</v>
      </c>
      <c r="Z665" s="142">
        <f>B665*IBGE_2!Z$665/100</f>
        <v>0.46100000000000002</v>
      </c>
      <c r="AA665" s="142">
        <f>B665*IBGE_2!AA$665/100</f>
        <v>13.824999999999999</v>
      </c>
      <c r="AB665" s="142">
        <f>B665*IBGE_2!AB$665/100</f>
        <v>0.8</v>
      </c>
      <c r="AC665" s="142">
        <f>B665*IBGE_2!AC$665/100</f>
        <v>17.675000000000001</v>
      </c>
      <c r="AD665" s="142" t="s">
        <v>3047</v>
      </c>
      <c r="AE665" s="142">
        <f>B665*IBGE_2!AE$665/100</f>
        <v>120</v>
      </c>
      <c r="AF665" s="142" t="s">
        <v>3047</v>
      </c>
      <c r="AG665" s="142">
        <f>B665*IBGE_2!AG$665/100</f>
        <v>6.94</v>
      </c>
      <c r="AH665" s="142" t="s">
        <v>3047</v>
      </c>
      <c r="AI665" s="142" t="s">
        <v>3047</v>
      </c>
      <c r="AJ665" s="142">
        <f>B665*IBGE_2!AJ$665/100</f>
        <v>3.3</v>
      </c>
      <c r="AK665" s="145" t="s">
        <v>3047</v>
      </c>
      <c r="AL665" s="142">
        <f>B665*IBGE_2!AL$665/100</f>
        <v>4.1900000000000004</v>
      </c>
      <c r="AM665" s="145" t="s">
        <v>3047</v>
      </c>
      <c r="AN665" s="161"/>
    </row>
    <row r="666" spans="1:40">
      <c r="A666" s="143" t="s">
        <v>1726</v>
      </c>
      <c r="B666" s="141">
        <v>100</v>
      </c>
      <c r="C666" s="142">
        <f>B666*IBGE_2!C$666/100</f>
        <v>477.86</v>
      </c>
      <c r="D666" s="142">
        <f>B666*IBGE_2!D$666/100</f>
        <v>7.09</v>
      </c>
      <c r="E666" s="142">
        <f>B666*IBGE_2!E$666/100</f>
        <v>21.64</v>
      </c>
      <c r="F666" s="142">
        <f>B666*IBGE_2!F$666/100</f>
        <v>7.25</v>
      </c>
      <c r="G666" s="142">
        <f>B666*IBGE_2!G$666/100</f>
        <v>8.6999999999999993</v>
      </c>
      <c r="H666" s="142">
        <f>B666*IBGE_2!H$666/100</f>
        <v>4.45</v>
      </c>
      <c r="I666" s="142">
        <f>B666*IBGE_2!I$666/100</f>
        <v>4.42</v>
      </c>
      <c r="J666" s="142">
        <f>B666*IBGE_2!J$666/100</f>
        <v>0.03</v>
      </c>
      <c r="K666" s="142">
        <f>B666*IBGE_2!K$666/100</f>
        <v>22.75</v>
      </c>
      <c r="L666" s="142">
        <f>B666*IBGE_2!L$666/100</f>
        <v>64.64</v>
      </c>
      <c r="M666" s="142">
        <f>B666*IBGE_2!M$666/100</f>
        <v>2.96</v>
      </c>
      <c r="N666" s="142">
        <f>B666*IBGE_2!N$666/100</f>
        <v>28.39</v>
      </c>
      <c r="O666" s="142">
        <f>B666*IBGE_2!O$666/100</f>
        <v>46.65</v>
      </c>
      <c r="P666" s="142">
        <f>B666*IBGE_2!P$666/100</f>
        <v>0.55000000000000004</v>
      </c>
      <c r="Q666" s="142">
        <f>B666*IBGE_2!Q$666/100</f>
        <v>110.61</v>
      </c>
      <c r="R666" s="142">
        <f>B666*IBGE_2!R$666/100</f>
        <v>1.53</v>
      </c>
      <c r="S666" s="142">
        <f>B666*IBGE_2!S$666/100</f>
        <v>309.23</v>
      </c>
      <c r="T666" s="142">
        <f>B666*IBGE_2!T$666/100</f>
        <v>191.09</v>
      </c>
      <c r="U666" s="142">
        <f>B666*IBGE_2!U$666/100</f>
        <v>0.34</v>
      </c>
      <c r="V666" s="142">
        <f>B666*IBGE_2!V$666/100</f>
        <v>0.92</v>
      </c>
      <c r="W666" s="142">
        <f>B666*IBGE_2!W$666/100</f>
        <v>71.010000000000005</v>
      </c>
      <c r="X666" s="142">
        <f>B666*IBGE_2!X$666/100</f>
        <v>0.17</v>
      </c>
      <c r="Y666" s="142">
        <f>B666*IBGE_2!Y$666/100</f>
        <v>0.04</v>
      </c>
      <c r="Z666" s="142">
        <f>B666*IBGE_2!Z$666/100</f>
        <v>0.09</v>
      </c>
      <c r="AA666" s="142">
        <f>B666*IBGE_2!AA$666/100</f>
        <v>3.2</v>
      </c>
      <c r="AB666" s="142" t="s">
        <v>3047</v>
      </c>
      <c r="AC666" s="142">
        <f>B666*IBGE_2!AC$666/100</f>
        <v>4.33</v>
      </c>
      <c r="AD666" s="142">
        <f>B666*IBGE_2!AD$666/100</f>
        <v>0.02</v>
      </c>
      <c r="AE666" s="142">
        <f>B666*IBGE_2!AE$666/100</f>
        <v>63.81</v>
      </c>
      <c r="AF666" s="142">
        <f>B666*IBGE_2!AF$666/100</f>
        <v>0.15</v>
      </c>
      <c r="AG666" s="142">
        <f>B666*IBGE_2!AG$666/100</f>
        <v>2.4500000000000002</v>
      </c>
      <c r="AH666" s="142">
        <f>B666*IBGE_2!AH$666/100</f>
        <v>0.35</v>
      </c>
      <c r="AI666" s="142" t="s">
        <v>3047</v>
      </c>
      <c r="AJ666" s="142">
        <f>B666*IBGE_2!AJ$666/100</f>
        <v>3.86</v>
      </c>
      <c r="AK666" s="142">
        <f>B666*IBGE_2!AK$666/100</f>
        <v>72.400000000000006</v>
      </c>
      <c r="AL666" s="142">
        <f>B666*IBGE_2!AL$666/100</f>
        <v>1.07</v>
      </c>
      <c r="AM666" s="145" t="s">
        <v>3047</v>
      </c>
      <c r="AN666" s="161"/>
    </row>
    <row r="667" spans="1:40">
      <c r="A667" s="143" t="s">
        <v>1727</v>
      </c>
      <c r="B667" s="141">
        <v>100</v>
      </c>
      <c r="C667" s="142">
        <f>B667*IBGE_2!C$667/100</f>
        <v>292.291</v>
      </c>
      <c r="D667" s="142">
        <f>B667*IBGE_2!D$667/100</f>
        <v>7.5770000000000008</v>
      </c>
      <c r="E667" s="142">
        <f>B667*IBGE_2!E$667/100</f>
        <v>3.6150000000000002</v>
      </c>
      <c r="F667" s="142">
        <f>B667*IBGE_2!F$667/100</f>
        <v>2.081</v>
      </c>
      <c r="G667" s="142">
        <f>B667*IBGE_2!G$667/100</f>
        <v>0.90500000000000003</v>
      </c>
      <c r="H667" s="142">
        <f>B667*IBGE_2!H$667/100</f>
        <v>0.215</v>
      </c>
      <c r="I667" s="142">
        <f>B667*IBGE_2!I$667/100</f>
        <v>0.13200000000000001</v>
      </c>
      <c r="J667" s="142">
        <f>B667*IBGE_2!J$667/100</f>
        <v>8.2000000000000017E-2</v>
      </c>
      <c r="K667" s="142">
        <f>B667*IBGE_2!K$667/100</f>
        <v>13.253999999999998</v>
      </c>
      <c r="L667" s="142">
        <f>B667*IBGE_2!L$667/100</f>
        <v>58.981999999999999</v>
      </c>
      <c r="M667" s="142" t="s">
        <v>3047</v>
      </c>
      <c r="N667" s="142">
        <f>B667*IBGE_2!N$667/100</f>
        <v>274.57299999999998</v>
      </c>
      <c r="O667" s="142">
        <f>B667*IBGE_2!O$667/100</f>
        <v>24.180999999999997</v>
      </c>
      <c r="P667" s="142">
        <f>B667*IBGE_2!P$667/100</f>
        <v>7.000000000000001E-3</v>
      </c>
      <c r="Q667" s="142">
        <f>B667*IBGE_2!Q$667/100</f>
        <v>221.13800000000001</v>
      </c>
      <c r="R667" s="142">
        <f>B667*IBGE_2!R$667/100</f>
        <v>7.3999999999999996E-2</v>
      </c>
      <c r="S667" s="142">
        <f>B667*IBGE_2!S$667/100</f>
        <v>94.295000000000002</v>
      </c>
      <c r="T667" s="142">
        <f>B667*IBGE_2!T$667/100</f>
        <v>345.16800000000001</v>
      </c>
      <c r="U667" s="142">
        <f>B667*IBGE_2!U$667/100</f>
        <v>2.8000000000000004E-2</v>
      </c>
      <c r="V667" s="142">
        <f>B667*IBGE_2!V$667/100</f>
        <v>0.94299999999999995</v>
      </c>
      <c r="W667" s="142">
        <f>B667*IBGE_2!W$667/100</f>
        <v>31.526</v>
      </c>
      <c r="X667" s="142">
        <f>B667*IBGE_2!X$667/100</f>
        <v>0.10199999999999999</v>
      </c>
      <c r="Y667" s="142">
        <f>B667*IBGE_2!Y$667/100</f>
        <v>0.42799999999999999</v>
      </c>
      <c r="Z667" s="142">
        <f>B667*IBGE_2!Z$667/100</f>
        <v>8.4000000000000005E-2</v>
      </c>
      <c r="AA667" s="142">
        <f>B667*IBGE_2!AA$667/100</f>
        <v>0.23</v>
      </c>
      <c r="AB667" s="142" t="s">
        <v>3047</v>
      </c>
      <c r="AC667" s="142">
        <f>B667*IBGE_2!AC$667/100</f>
        <v>2.3929999999999998</v>
      </c>
      <c r="AD667" s="142">
        <f>B667*IBGE_2!AD$667/100</f>
        <v>1.1200000000000001</v>
      </c>
      <c r="AE667" s="142">
        <f>B667*IBGE_2!AE$667/100</f>
        <v>11.482999999999999</v>
      </c>
      <c r="AF667" s="142">
        <f>B667*IBGE_2!AF$667/100</f>
        <v>6.5000000000000002E-2</v>
      </c>
      <c r="AG667" s="142">
        <f>B667*IBGE_2!AG$667/100</f>
        <v>7.6999999999999999E-2</v>
      </c>
      <c r="AH667" s="142">
        <f>B667*IBGE_2!AH$667/100</f>
        <v>0.13800000000000001</v>
      </c>
      <c r="AI667" s="142" t="s">
        <v>3047</v>
      </c>
      <c r="AJ667" s="142">
        <f>B667*IBGE_2!AJ$667/100</f>
        <v>8.0579999999999998</v>
      </c>
      <c r="AK667" s="142">
        <f>B667*IBGE_2!AK$667/100</f>
        <v>31.976999999999997</v>
      </c>
      <c r="AL667" s="142">
        <f>B667*IBGE_2!AL$667/100</f>
        <v>59.908000000000001</v>
      </c>
      <c r="AM667" s="142">
        <f>B667*IBGE_2!AM$667/100</f>
        <v>48.067</v>
      </c>
      <c r="AN667" s="161"/>
    </row>
    <row r="668" spans="1:40">
      <c r="A668" s="143" t="s">
        <v>1728</v>
      </c>
      <c r="B668" s="141">
        <v>100</v>
      </c>
      <c r="C668" s="142">
        <f>B668*IBGE_2!C$668/100</f>
        <v>179.005</v>
      </c>
      <c r="D668" s="142">
        <f>B668*IBGE_2!D$668/100</f>
        <v>0.36199999999999993</v>
      </c>
      <c r="E668" s="142">
        <f>B668*IBGE_2!E$668/100</f>
        <v>5.0999999999999997E-2</v>
      </c>
      <c r="F668" s="142">
        <f>B668*IBGE_2!F$668/100</f>
        <v>1.6E-2</v>
      </c>
      <c r="G668" s="142">
        <f>B668*IBGE_2!G$668/100</f>
        <v>2E-3</v>
      </c>
      <c r="H668" s="142">
        <f>B668*IBGE_2!H$668/100</f>
        <v>1.4000000000000002E-2</v>
      </c>
      <c r="I668" s="142">
        <f>B668*IBGE_2!I$668/100</f>
        <v>1.0999999999999999E-2</v>
      </c>
      <c r="J668" s="142">
        <f>B668*IBGE_2!J$668/100</f>
        <v>3.0000000000000001E-3</v>
      </c>
      <c r="K668" s="142" t="s">
        <v>3047</v>
      </c>
      <c r="L668" s="142">
        <f>B668*IBGE_2!L$668/100</f>
        <v>46.126999999999995</v>
      </c>
      <c r="M668" s="142">
        <f>B668*IBGE_2!M$668/100</f>
        <v>0.34499999999999997</v>
      </c>
      <c r="N668" s="142">
        <f>B668*IBGE_2!N$668/100</f>
        <v>9.234</v>
      </c>
      <c r="O668" s="142">
        <f>B668*IBGE_2!O$668/100</f>
        <v>6.7579999999999991</v>
      </c>
      <c r="P668" s="142">
        <f>B668*IBGE_2!P$668/100</f>
        <v>0.22900000000000001</v>
      </c>
      <c r="Q668" s="142">
        <f>B668*IBGE_2!Q$668/100</f>
        <v>6.9649999999999999</v>
      </c>
      <c r="R668" s="142">
        <f>B668*IBGE_2!R$668/100</f>
        <v>0.157</v>
      </c>
      <c r="S668" s="142">
        <f>B668*IBGE_2!S$668/100</f>
        <v>2.008</v>
      </c>
      <c r="T668" s="142">
        <f>B668*IBGE_2!T$668/100</f>
        <v>86.844999999999999</v>
      </c>
      <c r="U668" s="142">
        <f>B668*IBGE_2!U$668/100</f>
        <v>1.7999999999999999E-2</v>
      </c>
      <c r="V668" s="142">
        <f>B668*IBGE_2!V$668/100</f>
        <v>3.2000000000000001E-2</v>
      </c>
      <c r="W668" s="142" t="s">
        <v>3047</v>
      </c>
      <c r="X668" s="142">
        <f>B668*IBGE_2!X$668/100</f>
        <v>1.6E-2</v>
      </c>
      <c r="Y668" s="142">
        <f>B668*IBGE_2!Y$668/100</f>
        <v>0.03</v>
      </c>
      <c r="Z668" s="142">
        <f>B668*IBGE_2!Z$668/100</f>
        <v>4.1000000000000009E-2</v>
      </c>
      <c r="AA668" s="142">
        <f>B668*IBGE_2!AA$668/100</f>
        <v>0.16600000000000001</v>
      </c>
      <c r="AB668" s="142">
        <f>B668*IBGE_2!AB$668/100</f>
        <v>6.3E-2</v>
      </c>
      <c r="AC668" s="142">
        <f>B668*IBGE_2!AC$668/100</f>
        <v>0.16600000000000001</v>
      </c>
      <c r="AD668" s="142" t="s">
        <v>3047</v>
      </c>
      <c r="AE668" s="142">
        <f>B668*IBGE_2!AE$668/100</f>
        <v>1.9</v>
      </c>
      <c r="AF668" s="142" t="s">
        <v>3047</v>
      </c>
      <c r="AG668" s="142" t="s">
        <v>3047</v>
      </c>
      <c r="AH668" s="142" t="s">
        <v>3047</v>
      </c>
      <c r="AI668" s="142" t="s">
        <v>3047</v>
      </c>
      <c r="AJ668" s="142">
        <f>B668*IBGE_2!AJ$668/100</f>
        <v>0.28000000000000003</v>
      </c>
      <c r="AK668" s="142">
        <f>B668*IBGE_2!AK$668/100</f>
        <v>0.26400000000000001</v>
      </c>
      <c r="AL668" s="142">
        <f>B668*IBGE_2!AL$668/100</f>
        <v>45.609000000000009</v>
      </c>
      <c r="AM668" s="142">
        <f>B668*IBGE_2!AM$668/100</f>
        <v>36.073</v>
      </c>
      <c r="AN668" s="161"/>
    </row>
    <row r="669" spans="1:40">
      <c r="A669" s="143" t="s">
        <v>1729</v>
      </c>
      <c r="B669" s="141">
        <v>100</v>
      </c>
      <c r="C669" s="142">
        <f>B669*IBGE_2!C$669/100</f>
        <v>365</v>
      </c>
      <c r="D669" s="142">
        <f>B669*IBGE_2!D$669/100</f>
        <v>2.17</v>
      </c>
      <c r="E669" s="142" t="s">
        <v>3047</v>
      </c>
      <c r="F669" s="142" t="s">
        <v>3047</v>
      </c>
      <c r="G669" s="142" t="s">
        <v>3047</v>
      </c>
      <c r="H669" s="142" t="s">
        <v>3047</v>
      </c>
      <c r="I669" s="142" t="s">
        <v>3047</v>
      </c>
      <c r="J669" s="142" t="s">
        <v>3047</v>
      </c>
      <c r="K669" s="142" t="s">
        <v>3047</v>
      </c>
      <c r="L669" s="142">
        <f>B669*IBGE_2!L$669/100</f>
        <v>89.08</v>
      </c>
      <c r="M669" s="142" t="s">
        <v>3047</v>
      </c>
      <c r="N669" s="142" t="s">
        <v>3047</v>
      </c>
      <c r="O669" s="142" t="s">
        <v>3047</v>
      </c>
      <c r="P669" s="142" t="s">
        <v>3047</v>
      </c>
      <c r="Q669" s="142" t="s">
        <v>3047</v>
      </c>
      <c r="R669" s="142">
        <f>B669*IBGE_2!R$669/100</f>
        <v>0.04</v>
      </c>
      <c r="S669" s="142" t="s">
        <v>3047</v>
      </c>
      <c r="T669" s="142">
        <f>B669*IBGE_2!T$669/100</f>
        <v>4</v>
      </c>
      <c r="U669" s="142" t="s">
        <v>3047</v>
      </c>
      <c r="V669" s="142">
        <f>B669*IBGE_2!V$669/100</f>
        <v>0.01</v>
      </c>
      <c r="W669" s="142" t="s">
        <v>3047</v>
      </c>
      <c r="X669" s="142" t="s">
        <v>3047</v>
      </c>
      <c r="Y669" s="142" t="s">
        <v>3259</v>
      </c>
      <c r="Z669" s="142" t="s">
        <v>3047</v>
      </c>
      <c r="AA669" s="142" t="s">
        <v>3047</v>
      </c>
      <c r="AB669" s="142" t="s">
        <v>3047</v>
      </c>
      <c r="AC669" s="142" t="s">
        <v>3047</v>
      </c>
      <c r="AD669" s="142" t="s">
        <v>3047</v>
      </c>
      <c r="AE669" s="142" t="s">
        <v>3047</v>
      </c>
      <c r="AF669" s="142" t="s">
        <v>3047</v>
      </c>
      <c r="AG669" s="142" t="s">
        <v>3047</v>
      </c>
      <c r="AH669" s="142" t="s">
        <v>3047</v>
      </c>
      <c r="AI669" s="142" t="s">
        <v>3047</v>
      </c>
      <c r="AJ669" s="142">
        <f>B669*IBGE_2!AJ$669/100</f>
        <v>0.5</v>
      </c>
      <c r="AK669" s="145" t="s">
        <v>3047</v>
      </c>
      <c r="AL669" s="142">
        <f>B669*IBGE_2!AL$669/100</f>
        <v>80.72</v>
      </c>
      <c r="AM669" s="142">
        <f>B669*IBGE_2!AM$669/100</f>
        <v>85.67</v>
      </c>
      <c r="AN669" s="161"/>
    </row>
    <row r="670" spans="1:40">
      <c r="A670" s="143" t="s">
        <v>1730</v>
      </c>
      <c r="B670" s="141">
        <v>100</v>
      </c>
      <c r="C670" s="142">
        <f>B670*IBGE_2!C$670/100</f>
        <v>365</v>
      </c>
      <c r="D670" s="142">
        <f>B670*IBGE_2!D$670/100</f>
        <v>2.17</v>
      </c>
      <c r="E670" s="142" t="s">
        <v>3047</v>
      </c>
      <c r="F670" s="142" t="s">
        <v>3047</v>
      </c>
      <c r="G670" s="142" t="s">
        <v>3047</v>
      </c>
      <c r="H670" s="142" t="s">
        <v>3047</v>
      </c>
      <c r="I670" s="142" t="s">
        <v>3047</v>
      </c>
      <c r="J670" s="142" t="s">
        <v>3047</v>
      </c>
      <c r="K670" s="142" t="s">
        <v>3047</v>
      </c>
      <c r="L670" s="142">
        <f>B670*IBGE_2!L$670/100</f>
        <v>89.08</v>
      </c>
      <c r="M670" s="142" t="s">
        <v>3047</v>
      </c>
      <c r="N670" s="142" t="s">
        <v>3047</v>
      </c>
      <c r="O670" s="142" t="s">
        <v>3047</v>
      </c>
      <c r="P670" s="142" t="s">
        <v>3047</v>
      </c>
      <c r="Q670" s="142" t="s">
        <v>3047</v>
      </c>
      <c r="R670" s="142">
        <f>B670*IBGE_2!R$670/100</f>
        <v>0.04</v>
      </c>
      <c r="S670" s="142" t="s">
        <v>3047</v>
      </c>
      <c r="T670" s="142">
        <f>B670*IBGE_2!T$670/100</f>
        <v>4</v>
      </c>
      <c r="U670" s="142" t="s">
        <v>3047</v>
      </c>
      <c r="V670" s="142">
        <f>B670*IBGE_2!V$670/100</f>
        <v>0.01</v>
      </c>
      <c r="W670" s="142" t="s">
        <v>3047</v>
      </c>
      <c r="X670" s="142" t="s">
        <v>3047</v>
      </c>
      <c r="Y670" s="142" t="s">
        <v>3047</v>
      </c>
      <c r="Z670" s="142" t="s">
        <v>3047</v>
      </c>
      <c r="AA670" s="142" t="s">
        <v>3047</v>
      </c>
      <c r="AB670" s="142" t="s">
        <v>3047</v>
      </c>
      <c r="AC670" s="142" t="s">
        <v>3047</v>
      </c>
      <c r="AD670" s="142" t="s">
        <v>3047</v>
      </c>
      <c r="AE670" s="142" t="s">
        <v>3047</v>
      </c>
      <c r="AF670" s="142" t="s">
        <v>3047</v>
      </c>
      <c r="AG670" s="142" t="s">
        <v>3047</v>
      </c>
      <c r="AH670" s="142" t="s">
        <v>3047</v>
      </c>
      <c r="AI670" s="142" t="s">
        <v>3047</v>
      </c>
      <c r="AJ670" s="142">
        <f>B670*IBGE_2!AJ$670/100</f>
        <v>0.5</v>
      </c>
      <c r="AK670" s="145" t="s">
        <v>3047</v>
      </c>
      <c r="AL670" s="142">
        <f>B670*IBGE_2!AL$670/100</f>
        <v>80.72</v>
      </c>
      <c r="AM670" s="142">
        <f>B670*IBGE_2!AM$670/100</f>
        <v>85.67</v>
      </c>
      <c r="AN670" s="161"/>
    </row>
    <row r="671" spans="1:40">
      <c r="A671" s="143" t="s">
        <v>1731</v>
      </c>
      <c r="B671" s="141">
        <v>100</v>
      </c>
      <c r="C671" s="142" t="s">
        <v>3047</v>
      </c>
      <c r="D671" s="142" t="s">
        <v>3047</v>
      </c>
      <c r="E671" s="142" t="s">
        <v>3047</v>
      </c>
      <c r="F671" s="142" t="s">
        <v>3047</v>
      </c>
      <c r="G671" s="142" t="s">
        <v>3047</v>
      </c>
      <c r="H671" s="142" t="s">
        <v>3047</v>
      </c>
      <c r="I671" s="142" t="s">
        <v>3047</v>
      </c>
      <c r="J671" s="142" t="s">
        <v>3047</v>
      </c>
      <c r="K671" s="142" t="s">
        <v>3047</v>
      </c>
      <c r="L671" s="142" t="s">
        <v>3047</v>
      </c>
      <c r="M671" s="142" t="s">
        <v>3047</v>
      </c>
      <c r="N671" s="142" t="s">
        <v>3047</v>
      </c>
      <c r="O671" s="142" t="s">
        <v>3047</v>
      </c>
      <c r="P671" s="142" t="s">
        <v>3047</v>
      </c>
      <c r="Q671" s="142" t="s">
        <v>3047</v>
      </c>
      <c r="R671" s="142" t="s">
        <v>3047</v>
      </c>
      <c r="S671" s="142">
        <f>B671*IBGE_2!S$671/100</f>
        <v>240</v>
      </c>
      <c r="T671" s="142" t="s">
        <v>3047</v>
      </c>
      <c r="U671" s="142" t="s">
        <v>3047</v>
      </c>
      <c r="V671" s="142" t="s">
        <v>3047</v>
      </c>
      <c r="W671" s="142" t="s">
        <v>3047</v>
      </c>
      <c r="X671" s="142" t="s">
        <v>3047</v>
      </c>
      <c r="Y671" s="142" t="s">
        <v>3047</v>
      </c>
      <c r="Z671" s="142" t="s">
        <v>3047</v>
      </c>
      <c r="AA671" s="142" t="s">
        <v>3047</v>
      </c>
      <c r="AB671" s="142" t="s">
        <v>3047</v>
      </c>
      <c r="AC671" s="142" t="s">
        <v>3047</v>
      </c>
      <c r="AD671" s="142" t="s">
        <v>3047</v>
      </c>
      <c r="AE671" s="142" t="s">
        <v>3047</v>
      </c>
      <c r="AF671" s="142" t="s">
        <v>3047</v>
      </c>
      <c r="AG671" s="142" t="s">
        <v>3047</v>
      </c>
      <c r="AH671" s="142" t="s">
        <v>3047</v>
      </c>
      <c r="AI671" s="142" t="s">
        <v>3047</v>
      </c>
      <c r="AJ671" s="145" t="s">
        <v>3047</v>
      </c>
      <c r="AK671" s="145" t="s">
        <v>3047</v>
      </c>
      <c r="AL671" s="145" t="s">
        <v>3048</v>
      </c>
      <c r="AM671" s="142" t="s">
        <v>3047</v>
      </c>
      <c r="AN671" s="161"/>
    </row>
    <row r="672" spans="1:40">
      <c r="A672" s="143" t="s">
        <v>1732</v>
      </c>
      <c r="B672" s="141">
        <v>100</v>
      </c>
      <c r="C672" s="142">
        <f>B672*IBGE_2!C$672/100</f>
        <v>67</v>
      </c>
      <c r="D672" s="142">
        <f>B672*IBGE_2!D$672/100</f>
        <v>4.37</v>
      </c>
      <c r="E672" s="142">
        <f>B672*IBGE_2!E$672/100</f>
        <v>4.01</v>
      </c>
      <c r="F672" s="142">
        <f>B672*IBGE_2!F$672/100</f>
        <v>0.248</v>
      </c>
      <c r="G672" s="142">
        <f>B672*IBGE_2!G$672/100</f>
        <v>2.6269999999999998</v>
      </c>
      <c r="H672" s="142">
        <f>B672*IBGE_2!H$672/100</f>
        <v>0.95399999999999996</v>
      </c>
      <c r="I672" s="142">
        <f>B672*IBGE_2!I$672/100</f>
        <v>0.44299999999999995</v>
      </c>
      <c r="J672" s="142">
        <f>B672*IBGE_2!J$672/100</f>
        <v>0.45800000000000002</v>
      </c>
      <c r="K672" s="142" t="s">
        <v>3047</v>
      </c>
      <c r="L672" s="142">
        <f>B672*IBGE_2!L$672/100</f>
        <v>5.33</v>
      </c>
      <c r="M672" s="142">
        <f>B672*IBGE_2!M$672/100</f>
        <v>3.3</v>
      </c>
      <c r="N672" s="142">
        <f>B672*IBGE_2!N$672/100</f>
        <v>58</v>
      </c>
      <c r="O672" s="142">
        <f>B672*IBGE_2!O$672/100</f>
        <v>49</v>
      </c>
      <c r="P672" s="142">
        <f>B672*IBGE_2!P$672/100</f>
        <v>0.41699999999999998</v>
      </c>
      <c r="Q672" s="142">
        <f>B672*IBGE_2!Q$672/100</f>
        <v>106</v>
      </c>
      <c r="R672" s="142">
        <f>B672*IBGE_2!R$672/100</f>
        <v>1.51</v>
      </c>
      <c r="S672" s="142">
        <f>B672*IBGE_2!S$672/100</f>
        <v>1135</v>
      </c>
      <c r="T672" s="142">
        <f>B672*IBGE_2!T$672/100</f>
        <v>138</v>
      </c>
      <c r="U672" s="142">
        <f>B672*IBGE_2!U$672/100</f>
        <v>8.5000000000000006E-2</v>
      </c>
      <c r="V672" s="142">
        <f>B672*IBGE_2!V$672/100</f>
        <v>0.64</v>
      </c>
      <c r="W672" s="142" t="s">
        <v>3047</v>
      </c>
      <c r="X672" s="142">
        <f>B672*IBGE_2!X$672/100</f>
        <v>0.34300000000000003</v>
      </c>
      <c r="Y672" s="142">
        <f>B672*IBGE_2!Y$672/100</f>
        <v>0.03</v>
      </c>
      <c r="Z672" s="142">
        <f>B672*IBGE_2!Z$672/100</f>
        <v>6.3E-2</v>
      </c>
      <c r="AA672" s="142">
        <f>B672*IBGE_2!AA$672/100</f>
        <v>0.52300000000000002</v>
      </c>
      <c r="AB672" s="142">
        <f>B672*IBGE_2!AB$672/100</f>
        <v>1.5</v>
      </c>
      <c r="AC672" s="142">
        <f>B672*IBGE_2!AC$672/100</f>
        <v>0.67300000000000015</v>
      </c>
      <c r="AD672" s="142" t="s">
        <v>3047</v>
      </c>
      <c r="AE672" s="142">
        <f>B672*IBGE_2!AE$672/100</f>
        <v>7</v>
      </c>
      <c r="AF672" s="142" t="s">
        <v>3047</v>
      </c>
      <c r="AG672" s="142">
        <f>B672*IBGE_2!AG$672/100</f>
        <v>0.36</v>
      </c>
      <c r="AH672" s="142">
        <f>B672*IBGE_2!AH$672/100</f>
        <v>1.3000000000000001E-2</v>
      </c>
      <c r="AI672" s="142" t="s">
        <v>3047</v>
      </c>
      <c r="AJ672" s="142">
        <f>B672*IBGE_2!AJ$672/100</f>
        <v>32.9</v>
      </c>
      <c r="AK672" s="142">
        <f>B672*IBGE_2!AK$672/100</f>
        <v>3.5</v>
      </c>
      <c r="AL672" s="142">
        <f>B672*IBGE_2!AL$672/100</f>
        <v>0.86</v>
      </c>
      <c r="AM672" s="142" t="s">
        <v>3047</v>
      </c>
      <c r="AN672" s="161"/>
    </row>
    <row r="673" spans="1:40">
      <c r="A673" s="143" t="s">
        <v>1733</v>
      </c>
      <c r="B673" s="141">
        <v>100</v>
      </c>
      <c r="C673" s="142">
        <f>B673*IBGE_2!C$673/100</f>
        <v>1.0009999999999999</v>
      </c>
      <c r="D673" s="142" t="s">
        <v>3047</v>
      </c>
      <c r="E673" s="142" t="s">
        <v>3047</v>
      </c>
      <c r="F673" s="142">
        <f>B673*IBGE_2!F$673/100</f>
        <v>2E-3</v>
      </c>
      <c r="G673" s="142">
        <f>B673*IBGE_2!G$673/100</f>
        <v>1E-3</v>
      </c>
      <c r="H673" s="142">
        <f>B673*IBGE_2!H$673/100</f>
        <v>5.0000000000000001E-3</v>
      </c>
      <c r="I673" s="142" t="s">
        <v>3047</v>
      </c>
      <c r="J673" s="142" t="s">
        <v>3047</v>
      </c>
      <c r="K673" s="142" t="s">
        <v>3047</v>
      </c>
      <c r="L673" s="142">
        <f>B673*IBGE_2!L$673/100</f>
        <v>0.2</v>
      </c>
      <c r="M673" s="142" t="s">
        <v>3047</v>
      </c>
      <c r="N673" s="142">
        <f>B673*IBGE_2!N$673/100</f>
        <v>2.0019999999999998</v>
      </c>
      <c r="O673" s="142">
        <f>B673*IBGE_2!O$673/100</f>
        <v>1.0009999999999999</v>
      </c>
      <c r="P673" s="142">
        <f>B673*IBGE_2!P$673/100</f>
        <v>4.3999999999999997E-2</v>
      </c>
      <c r="Q673" s="142" t="s">
        <v>3047</v>
      </c>
      <c r="R673" s="142">
        <f>B673*IBGE_2!R$673/100</f>
        <v>0.08</v>
      </c>
      <c r="S673" s="142">
        <f>B673*IBGE_2!S$673/100</f>
        <v>1.0009999999999999</v>
      </c>
      <c r="T673" s="142">
        <f>B673*IBGE_2!T$673/100</f>
        <v>9.0079999999999991</v>
      </c>
      <c r="U673" s="142">
        <f>B673*IBGE_2!U$673/100</f>
        <v>1.4999999999999999E-2</v>
      </c>
      <c r="V673" s="142">
        <f>B673*IBGE_2!V$673/100</f>
        <v>0.04</v>
      </c>
      <c r="W673" s="142" t="s">
        <v>3047</v>
      </c>
      <c r="X673" s="142">
        <f>B673*IBGE_2!X$673/100</f>
        <v>0.01</v>
      </c>
      <c r="Y673" s="142">
        <f>B673*IBGE_2!Y$673/100</f>
        <v>4.0000000000000001E-3</v>
      </c>
      <c r="Z673" s="142" t="s">
        <v>3047</v>
      </c>
      <c r="AA673" s="142" t="s">
        <v>3047</v>
      </c>
      <c r="AB673" s="142" t="s">
        <v>3047</v>
      </c>
      <c r="AC673" s="142" t="s">
        <v>3047</v>
      </c>
      <c r="AD673" s="142" t="s">
        <v>3047</v>
      </c>
      <c r="AE673" s="142">
        <f>B673*IBGE_2!AE$673/100</f>
        <v>1.0009999999999999</v>
      </c>
      <c r="AF673" s="142" t="s">
        <v>3047</v>
      </c>
      <c r="AG673" s="145" t="s">
        <v>3047</v>
      </c>
      <c r="AH673" s="142" t="s">
        <v>3047</v>
      </c>
      <c r="AI673" s="142" t="s">
        <v>3047</v>
      </c>
      <c r="AJ673" s="145" t="s">
        <v>3047</v>
      </c>
      <c r="AK673" s="145" t="s">
        <v>3047</v>
      </c>
      <c r="AL673" s="145" t="s">
        <v>3047</v>
      </c>
      <c r="AM673" s="142" t="s">
        <v>3047</v>
      </c>
      <c r="AN673" s="161"/>
    </row>
    <row r="674" spans="1:40">
      <c r="A674" s="143" t="s">
        <v>1734</v>
      </c>
      <c r="B674" s="141">
        <v>100</v>
      </c>
      <c r="C674" s="142">
        <f>B674*IBGE_2!C$674/100</f>
        <v>23</v>
      </c>
      <c r="D674" s="142">
        <f>B674*IBGE_2!D$674/100</f>
        <v>2.36</v>
      </c>
      <c r="E674" s="142">
        <f>B674*IBGE_2!E$674/100</f>
        <v>0.86</v>
      </c>
      <c r="F674" s="142">
        <f>B674*IBGE_2!F$674/100</f>
        <v>0.23300000000000001</v>
      </c>
      <c r="G674" s="142">
        <f>B674*IBGE_2!G$674/100</f>
        <v>6.3E-2</v>
      </c>
      <c r="H674" s="142">
        <f>B674*IBGE_2!H$674/100</f>
        <v>0.30399999999999999</v>
      </c>
      <c r="I674" s="142">
        <f>B674*IBGE_2!I$674/100</f>
        <v>0.111</v>
      </c>
      <c r="J674" s="142">
        <f>B674*IBGE_2!J$674/100</f>
        <v>0.183</v>
      </c>
      <c r="K674" s="142" t="s">
        <v>3047</v>
      </c>
      <c r="L674" s="142">
        <f>B674*IBGE_2!L$674/100</f>
        <v>4.8899999999999997</v>
      </c>
      <c r="M674" s="142">
        <f>B674*IBGE_2!M$674/100</f>
        <v>3.2</v>
      </c>
      <c r="N674" s="142">
        <f>B674*IBGE_2!N$674/100</f>
        <v>40</v>
      </c>
      <c r="O674" s="142">
        <f>B674*IBGE_2!O$674/100</f>
        <v>33</v>
      </c>
      <c r="P674" s="142">
        <f>B674*IBGE_2!P$674/100</f>
        <v>7.8E-2</v>
      </c>
      <c r="Q674" s="142">
        <f>B674*IBGE_2!Q$674/100</f>
        <v>10</v>
      </c>
      <c r="R674" s="142">
        <f>B674*IBGE_2!R$674/100</f>
        <v>1.67</v>
      </c>
      <c r="S674" s="142">
        <f>B674*IBGE_2!S$674/100</f>
        <v>2964</v>
      </c>
      <c r="T674" s="142">
        <f>B674*IBGE_2!T$674/100</f>
        <v>40</v>
      </c>
      <c r="U674" s="142">
        <f>B674*IBGE_2!U$674/100</f>
        <v>0.374</v>
      </c>
      <c r="V674" s="142">
        <f>B674*IBGE_2!V$674/100</f>
        <v>0.32</v>
      </c>
      <c r="W674" s="142" t="s">
        <v>3047</v>
      </c>
      <c r="X674" s="142">
        <f>B674*IBGE_2!X$674/100</f>
        <v>1.7999999999999999E-2</v>
      </c>
      <c r="Y674" s="142">
        <f>B674*IBGE_2!Y$674/100</f>
        <v>0.13900000000000001</v>
      </c>
      <c r="Z674" s="142">
        <f>B674*IBGE_2!Z$674/100</f>
        <v>2.3E-2</v>
      </c>
      <c r="AA674" s="142">
        <f>B674*IBGE_2!AA$674/100</f>
        <v>0.65200000000000002</v>
      </c>
      <c r="AB674" s="142">
        <f>B674*IBGE_2!AB$674/100</f>
        <v>4.3</v>
      </c>
      <c r="AC674" s="142">
        <f>B674*IBGE_2!AC$674/100</f>
        <v>0.96899999999999986</v>
      </c>
      <c r="AD674" s="142" t="s">
        <v>3047</v>
      </c>
      <c r="AE674" s="142">
        <f>B674*IBGE_2!AE$674/100</f>
        <v>23</v>
      </c>
      <c r="AF674" s="142" t="s">
        <v>3047</v>
      </c>
      <c r="AG674" s="142">
        <f>B674*IBGE_2!AG$674/100</f>
        <v>0.88</v>
      </c>
      <c r="AH674" s="142" t="s">
        <v>3047</v>
      </c>
      <c r="AI674" s="142" t="s">
        <v>3047</v>
      </c>
      <c r="AJ674" s="142">
        <f>B674*IBGE_2!AJ$674/100</f>
        <v>1.2</v>
      </c>
      <c r="AK674" s="142">
        <f>B674*IBGE_2!AK$674/100</f>
        <v>6.9169999999999989</v>
      </c>
      <c r="AL674" s="142">
        <f>B674*IBGE_2!AL$674/100</f>
        <v>2.5339999999999998</v>
      </c>
      <c r="AM674" s="142" t="s">
        <v>3047</v>
      </c>
      <c r="AN674" s="161"/>
    </row>
    <row r="675" spans="1:40">
      <c r="A675" s="143" t="s">
        <v>1735</v>
      </c>
      <c r="B675" s="141">
        <v>100</v>
      </c>
      <c r="C675" s="142">
        <f>B675*IBGE_2!C$675/100</f>
        <v>279</v>
      </c>
      <c r="D675" s="142">
        <f>B675*IBGE_2!D$675/100</f>
        <v>21.93</v>
      </c>
      <c r="E675" s="142">
        <f>B675*IBGE_2!E$675/100</f>
        <v>4.78</v>
      </c>
      <c r="F675" s="142">
        <f>B675*IBGE_2!F$675/100</f>
        <v>0.12</v>
      </c>
      <c r="G675" s="142">
        <f>B675*IBGE_2!G$675/100</f>
        <v>2.23</v>
      </c>
      <c r="H675" s="142">
        <f>B675*IBGE_2!H$675/100</f>
        <v>0.33</v>
      </c>
      <c r="I675" s="142">
        <f>B675*IBGE_2!I$675/100</f>
        <v>0.33</v>
      </c>
      <c r="J675" s="142" t="s">
        <v>3047</v>
      </c>
      <c r="K675" s="142" t="s">
        <v>3047</v>
      </c>
      <c r="L675" s="142">
        <f>B675*IBGE_2!L$675/100</f>
        <v>52.1</v>
      </c>
      <c r="M675" s="142">
        <f>B675*IBGE_2!M$675/100</f>
        <v>10.4</v>
      </c>
      <c r="N675" s="142">
        <f>B675*IBGE_2!N$675/100</f>
        <v>1246</v>
      </c>
      <c r="O675" s="142">
        <f>B675*IBGE_2!O$675/100</f>
        <v>694</v>
      </c>
      <c r="P675" s="142">
        <f>B675*IBGE_2!P$675/100</f>
        <v>6.36</v>
      </c>
      <c r="Q675" s="142">
        <f>B675*IBGE_2!Q$675/100</f>
        <v>481</v>
      </c>
      <c r="R675" s="142">
        <f>B675*IBGE_2!R$675/100</f>
        <v>42.46</v>
      </c>
      <c r="S675" s="142">
        <f>B675*IBGE_2!S$675/100</f>
        <v>211</v>
      </c>
      <c r="T675" s="142">
        <f>B675*IBGE_2!T$675/100</f>
        <v>4466</v>
      </c>
      <c r="U675" s="142">
        <f>B675*IBGE_2!U$675/100</f>
        <v>1.79</v>
      </c>
      <c r="V675" s="142">
        <f>B675*IBGE_2!V$675/100</f>
        <v>4.72</v>
      </c>
      <c r="W675" s="142" t="s">
        <v>3047</v>
      </c>
      <c r="X675" s="142">
        <f>B675*IBGE_2!X$675/100</f>
        <v>1.25</v>
      </c>
      <c r="Y675" s="142">
        <f>B675*IBGE_2!Y$675/100</f>
        <v>1.5</v>
      </c>
      <c r="Z675" s="142">
        <f>B675*IBGE_2!Z$675/100</f>
        <v>0.61</v>
      </c>
      <c r="AA675" s="142">
        <f>B675*IBGE_2!AA$675/100</f>
        <v>10.71</v>
      </c>
      <c r="AB675" s="142">
        <f>B675*IBGE_2!AB$675/100</f>
        <v>566.70000000000005</v>
      </c>
      <c r="AC675" s="142">
        <f>B675*IBGE_2!AC$675/100</f>
        <v>10.71</v>
      </c>
      <c r="AD675" s="142" t="s">
        <v>3047</v>
      </c>
      <c r="AE675" s="142">
        <f>B675*IBGE_2!AE$675/100</f>
        <v>274</v>
      </c>
      <c r="AF675" s="142" t="s">
        <v>3047</v>
      </c>
      <c r="AG675" s="142">
        <f>B675*IBGE_2!AG$675/100</f>
        <v>1.03</v>
      </c>
      <c r="AH675" s="142" t="s">
        <v>3047</v>
      </c>
      <c r="AI675" s="142" t="s">
        <v>3047</v>
      </c>
      <c r="AJ675" s="142">
        <f>B675*IBGE_2!AJ$675/100</f>
        <v>29.3</v>
      </c>
      <c r="AK675" s="142">
        <f>B675*IBGE_2!AK$675/100</f>
        <v>292.5</v>
      </c>
      <c r="AL675" s="142">
        <f>B675*IBGE_2!AL$675/100</f>
        <v>34.75</v>
      </c>
      <c r="AM675" s="142" t="s">
        <v>3047</v>
      </c>
      <c r="AN675" s="161"/>
    </row>
    <row r="676" spans="1:40">
      <c r="A676" s="143" t="s">
        <v>1736</v>
      </c>
      <c r="B676" s="141">
        <v>100</v>
      </c>
      <c r="C676" s="142">
        <f>B676*IBGE_2!C$676/100</f>
        <v>53</v>
      </c>
      <c r="D676" s="142">
        <f>B676*IBGE_2!D$676/100</f>
        <v>6.28</v>
      </c>
      <c r="E676" s="142">
        <f>B676*IBGE_2!E$676/100</f>
        <v>0.04</v>
      </c>
      <c r="F676" s="142">
        <f>B676*IBGE_2!F$676/100</f>
        <v>0.01</v>
      </c>
      <c r="G676" s="142">
        <f>B676*IBGE_2!G$676/100</f>
        <v>0.01</v>
      </c>
      <c r="H676" s="142">
        <f>B676*IBGE_2!H$676/100</f>
        <v>0.02</v>
      </c>
      <c r="I676" s="142">
        <f>B676*IBGE_2!I$676/100</f>
        <v>0.02</v>
      </c>
      <c r="J676" s="142" t="s">
        <v>3047</v>
      </c>
      <c r="K676" s="142" t="s">
        <v>3047</v>
      </c>
      <c r="L676" s="142">
        <f>B676*IBGE_2!L$676/100</f>
        <v>7.61</v>
      </c>
      <c r="M676" s="142">
        <f>B676*IBGE_2!M$676/100</f>
        <v>0.8</v>
      </c>
      <c r="N676" s="142">
        <f>B676*IBGE_2!N$676/100</f>
        <v>19</v>
      </c>
      <c r="O676" s="142">
        <f>B676*IBGE_2!O$676/100</f>
        <v>43</v>
      </c>
      <c r="P676" s="142">
        <f>B676*IBGE_2!P$676/100</f>
        <v>0.42</v>
      </c>
      <c r="Q676" s="142">
        <f>B676*IBGE_2!Q$676/100</f>
        <v>125</v>
      </c>
      <c r="R676" s="142">
        <f>B676*IBGE_2!R$676/100</f>
        <v>1.93</v>
      </c>
      <c r="S676" s="142">
        <f>B676*IBGE_2!S$676/100</f>
        <v>5637</v>
      </c>
      <c r="T676" s="142">
        <f>B676*IBGE_2!T$676/100</f>
        <v>217</v>
      </c>
      <c r="U676" s="142">
        <f>B676*IBGE_2!U$676/100</f>
        <v>0.1</v>
      </c>
      <c r="V676" s="142">
        <f>B676*IBGE_2!V$676/100</f>
        <v>0.52</v>
      </c>
      <c r="W676" s="142" t="s">
        <v>3047</v>
      </c>
      <c r="X676" s="142">
        <f>B676*IBGE_2!X$676/100</f>
        <v>0.03</v>
      </c>
      <c r="Y676" s="142">
        <f>B676*IBGE_2!Y$676/100</f>
        <v>0.17</v>
      </c>
      <c r="Z676" s="142">
        <f>B676*IBGE_2!Z$676/100</f>
        <v>0.15</v>
      </c>
      <c r="AA676" s="142">
        <f>B676*IBGE_2!AA$676/100</f>
        <v>2.2000000000000002</v>
      </c>
      <c r="AB676" s="142" t="s">
        <v>3047</v>
      </c>
      <c r="AC676" s="142">
        <f>B676*IBGE_2!AC$676/100</f>
        <v>3.7</v>
      </c>
      <c r="AD676" s="142" t="s">
        <v>3047</v>
      </c>
      <c r="AE676" s="142">
        <f>B676*IBGE_2!AE$676/100</f>
        <v>14</v>
      </c>
      <c r="AF676" s="142" t="s">
        <v>3047</v>
      </c>
      <c r="AG676" s="145" t="s">
        <v>3047</v>
      </c>
      <c r="AH676" s="142" t="s">
        <v>3047</v>
      </c>
      <c r="AI676" s="142" t="s">
        <v>3047</v>
      </c>
      <c r="AJ676" s="142">
        <f>B676*IBGE_2!AJ$676/100</f>
        <v>0.5</v>
      </c>
      <c r="AK676" s="145" t="s">
        <v>3047</v>
      </c>
      <c r="AL676" s="142">
        <f>B676*IBGE_2!AL$676/100</f>
        <v>2</v>
      </c>
      <c r="AM676" s="142" t="s">
        <v>3047</v>
      </c>
      <c r="AN676" s="161"/>
    </row>
    <row r="677" spans="1:40">
      <c r="A677" s="143" t="s">
        <v>1737</v>
      </c>
      <c r="B677" s="141">
        <v>100</v>
      </c>
      <c r="C677" s="142">
        <f>B677*IBGE_2!C$677/100</f>
        <v>53</v>
      </c>
      <c r="D677" s="142">
        <f>B677*IBGE_2!D$677/100</f>
        <v>6.28</v>
      </c>
      <c r="E677" s="142">
        <f>B677*IBGE_2!E$677/100</f>
        <v>0.04</v>
      </c>
      <c r="F677" s="142">
        <f>B677*IBGE_2!F$677/100</f>
        <v>0.01</v>
      </c>
      <c r="G677" s="142">
        <f>B677*IBGE_2!G$677/100</f>
        <v>0.01</v>
      </c>
      <c r="H677" s="142">
        <f>B677*IBGE_2!H$677/100</f>
        <v>0.02</v>
      </c>
      <c r="I677" s="142">
        <f>B677*IBGE_2!I$677/100</f>
        <v>0.02</v>
      </c>
      <c r="J677" s="142" t="s">
        <v>3047</v>
      </c>
      <c r="K677" s="142" t="s">
        <v>3047</v>
      </c>
      <c r="L677" s="142">
        <f>B677*IBGE_2!L$677/100</f>
        <v>7.61</v>
      </c>
      <c r="M677" s="142">
        <f>B677*IBGE_2!M$677/100</f>
        <v>0.8</v>
      </c>
      <c r="N677" s="142">
        <f>B677*IBGE_2!N$677/100</f>
        <v>19</v>
      </c>
      <c r="O677" s="142">
        <f>B677*IBGE_2!O$677/100</f>
        <v>43</v>
      </c>
      <c r="P677" s="142">
        <f>B677*IBGE_2!P$677/100</f>
        <v>0.42</v>
      </c>
      <c r="Q677" s="142">
        <f>B677*IBGE_2!Q$677/100</f>
        <v>125</v>
      </c>
      <c r="R677" s="142">
        <f>B677*IBGE_2!R$677/100</f>
        <v>1.93</v>
      </c>
      <c r="S677" s="142">
        <f>B677*IBGE_2!S$677/100</f>
        <v>5637</v>
      </c>
      <c r="T677" s="142">
        <f>B677*IBGE_2!T$677/100</f>
        <v>217</v>
      </c>
      <c r="U677" s="142">
        <f>B677*IBGE_2!U$677/100</f>
        <v>0.1</v>
      </c>
      <c r="V677" s="142">
        <f>B677*IBGE_2!V$677/100</f>
        <v>0.52</v>
      </c>
      <c r="W677" s="142" t="s">
        <v>3047</v>
      </c>
      <c r="X677" s="142">
        <f>B677*IBGE_2!X$677/100</f>
        <v>0.03</v>
      </c>
      <c r="Y677" s="142">
        <f>B677*IBGE_2!Y$677/100</f>
        <v>0.17</v>
      </c>
      <c r="Z677" s="142">
        <f>B677*IBGE_2!Z$677/100</f>
        <v>0.15</v>
      </c>
      <c r="AA677" s="142">
        <f>B677*IBGE_2!AA$677/100</f>
        <v>2.2000000000000002</v>
      </c>
      <c r="AB677" s="142" t="s">
        <v>3047</v>
      </c>
      <c r="AC677" s="142">
        <f>B677*IBGE_2!AC$677/100</f>
        <v>3.7</v>
      </c>
      <c r="AD677" s="142" t="s">
        <v>3047</v>
      </c>
      <c r="AE677" s="142">
        <f>B677*IBGE_2!AE$677/100</f>
        <v>14</v>
      </c>
      <c r="AF677" s="142" t="s">
        <v>3047</v>
      </c>
      <c r="AG677" s="145" t="s">
        <v>3047</v>
      </c>
      <c r="AH677" s="142" t="s">
        <v>3047</v>
      </c>
      <c r="AI677" s="142" t="s">
        <v>3047</v>
      </c>
      <c r="AJ677" s="142">
        <f>B677*IBGE_2!AJ$677/100</f>
        <v>0.5</v>
      </c>
      <c r="AK677" s="145" t="s">
        <v>3047</v>
      </c>
      <c r="AL677" s="142">
        <f>B677*IBGE_2!AL$677/100</f>
        <v>2</v>
      </c>
      <c r="AM677" s="142" t="s">
        <v>3047</v>
      </c>
      <c r="AN677" s="161"/>
    </row>
    <row r="678" spans="1:40">
      <c r="A678" s="143" t="s">
        <v>1738</v>
      </c>
      <c r="B678" s="141">
        <v>100</v>
      </c>
      <c r="C678" s="142">
        <f>B678*IBGE_2!C$678/100</f>
        <v>202.46</v>
      </c>
      <c r="D678" s="142">
        <f>B678*IBGE_2!D$678/100</f>
        <v>1.6140000000000001</v>
      </c>
      <c r="E678" s="142">
        <f>B678*IBGE_2!E$678/100</f>
        <v>20.847000000000001</v>
      </c>
      <c r="F678" s="142">
        <f>B678*IBGE_2!F$678/100</f>
        <v>18.486999999999998</v>
      </c>
      <c r="G678" s="142">
        <f>B678*IBGE_2!G$678/100</f>
        <v>0.88700000000000001</v>
      </c>
      <c r="H678" s="142">
        <f>B678*IBGE_2!H$678/100</f>
        <v>0.22900000000000001</v>
      </c>
      <c r="I678" s="142">
        <f>B678*IBGE_2!I$678/100</f>
        <v>0.22900000000000001</v>
      </c>
      <c r="J678" s="142" t="s">
        <v>3047</v>
      </c>
      <c r="K678" s="142" t="s">
        <v>3047</v>
      </c>
      <c r="L678" s="142">
        <f>B678*IBGE_2!L$678/100</f>
        <v>5.593</v>
      </c>
      <c r="M678" s="142">
        <f>B678*IBGE_2!M$678/100</f>
        <v>0.91200000000000003</v>
      </c>
      <c r="N678" s="142">
        <f>B678*IBGE_2!N$678/100</f>
        <v>4.0090000000000003</v>
      </c>
      <c r="O678" s="142">
        <f>B678*IBGE_2!O$678/100</f>
        <v>32.073</v>
      </c>
      <c r="P678" s="142">
        <f>B678*IBGE_2!P$678/100</f>
        <v>0.81100000000000005</v>
      </c>
      <c r="Q678" s="142">
        <f>B678*IBGE_2!Q$678/100</f>
        <v>59.133999999999993</v>
      </c>
      <c r="R678" s="142">
        <f>B678*IBGE_2!R$678/100</f>
        <v>0.81200000000000006</v>
      </c>
      <c r="S678" s="142">
        <f>B678*IBGE_2!S$678/100</f>
        <v>12.026999999999997</v>
      </c>
      <c r="T678" s="142">
        <f>B678*IBGE_2!T$678/100</f>
        <v>232.52799999999999</v>
      </c>
      <c r="U678" s="142">
        <f>B678*IBGE_2!U$678/100</f>
        <v>0.23599999999999999</v>
      </c>
      <c r="V678" s="142">
        <f>B678*IBGE_2!V$678/100</f>
        <v>0.59099999999999997</v>
      </c>
      <c r="W678" s="142" t="s">
        <v>3047</v>
      </c>
      <c r="X678" s="142">
        <f>B678*IBGE_2!X$678/100</f>
        <v>2.3E-2</v>
      </c>
      <c r="Y678" s="142" t="s">
        <v>3047</v>
      </c>
      <c r="Z678" s="142">
        <f>B678*IBGE_2!Z$678/100</f>
        <v>0.03</v>
      </c>
      <c r="AA678" s="142">
        <f>B678*IBGE_2!AA$678/100</f>
        <v>0.67300000000000015</v>
      </c>
      <c r="AB678" s="142">
        <f>B678*IBGE_2!AB$678/100</f>
        <v>1.103</v>
      </c>
      <c r="AC678" s="142">
        <f>B678*IBGE_2!AC$678/100</f>
        <v>0.99</v>
      </c>
      <c r="AD678" s="142" t="s">
        <v>3047</v>
      </c>
      <c r="AE678" s="142">
        <f>B678*IBGE_2!AE$678/100</f>
        <v>14.032</v>
      </c>
      <c r="AF678" s="142" t="s">
        <v>3047</v>
      </c>
      <c r="AG678" s="142">
        <f>B678*IBGE_2!AG$678/100</f>
        <v>8.0000000000000002E-3</v>
      </c>
      <c r="AH678" s="145" t="s">
        <v>3047</v>
      </c>
      <c r="AI678" s="142" t="s">
        <v>3047</v>
      </c>
      <c r="AJ678" s="142">
        <f>B678*IBGE_2!AJ$678/100</f>
        <v>3.7080000000000002</v>
      </c>
      <c r="AK678" s="145" t="s">
        <v>3047</v>
      </c>
      <c r="AL678" s="142">
        <f>B678*IBGE_2!AL$678/100</f>
        <v>4.681</v>
      </c>
      <c r="AM678" s="142" t="s">
        <v>3047</v>
      </c>
      <c r="AN678" s="161"/>
    </row>
    <row r="679" spans="1:40">
      <c r="A679" s="143" t="s">
        <v>1739</v>
      </c>
      <c r="B679" s="141">
        <v>100</v>
      </c>
      <c r="C679" s="142">
        <f>B679*IBGE_2!C$679/100</f>
        <v>261.05200000000002</v>
      </c>
      <c r="D679" s="142">
        <f>B679*IBGE_2!D$679/100</f>
        <v>0.46500000000000002</v>
      </c>
      <c r="E679" s="142">
        <f>B679*IBGE_2!E$679/100</f>
        <v>23.332999999999998</v>
      </c>
      <c r="F679" s="142">
        <f>B679*IBGE_2!F$679/100</f>
        <v>3.7959999999999998</v>
      </c>
      <c r="G679" s="142">
        <f>B679*IBGE_2!G$679/100</f>
        <v>5.4649999999999999</v>
      </c>
      <c r="H679" s="142">
        <f>B679*IBGE_2!H$679/100</f>
        <v>13.177</v>
      </c>
      <c r="I679" s="142">
        <f>B679*IBGE_2!I$679/100</f>
        <v>11.622999999999999</v>
      </c>
      <c r="J679" s="142">
        <f>B679*IBGE_2!J$679/100</f>
        <v>1.5390000000000001</v>
      </c>
      <c r="K679" s="142">
        <f>B679*IBGE_2!K$679/100</f>
        <v>32.906999999999996</v>
      </c>
      <c r="L679" s="142">
        <f>B679*IBGE_2!L$679/100</f>
        <v>13.378</v>
      </c>
      <c r="M679" s="142">
        <f>B679*IBGE_2!M$679/100</f>
        <v>6.3E-2</v>
      </c>
      <c r="N679" s="142">
        <f>B679*IBGE_2!N$679/100</f>
        <v>5.7579999999999991</v>
      </c>
      <c r="O679" s="142">
        <f>B679*IBGE_2!O$679/100</f>
        <v>0.78100000000000014</v>
      </c>
      <c r="P679" s="142">
        <f>B679*IBGE_2!P$679/100</f>
        <v>1.4999999999999999E-2</v>
      </c>
      <c r="Q679" s="142">
        <f>B679*IBGE_2!Q$679/100</f>
        <v>11.683</v>
      </c>
      <c r="R679" s="142">
        <f>B679*IBGE_2!R$679/100</f>
        <v>0.13100000000000001</v>
      </c>
      <c r="S679" s="142">
        <f>B679*IBGE_2!S$679/100</f>
        <v>831.34</v>
      </c>
      <c r="T679" s="142">
        <f>B679*IBGE_2!T$679/100</f>
        <v>7.9229999999999992</v>
      </c>
      <c r="U679" s="142">
        <f>B679*IBGE_2!U$679/100</f>
        <v>6.0000000000000001E-3</v>
      </c>
      <c r="V679" s="142">
        <f>B679*IBGE_2!V$679/100</f>
        <v>7.6999999999999999E-2</v>
      </c>
      <c r="W679" s="142">
        <f>B679*IBGE_2!W$679/100</f>
        <v>9.8930000000000007</v>
      </c>
      <c r="X679" s="142">
        <f>B679*IBGE_2!X$679/100</f>
        <v>6.0000000000000001E-3</v>
      </c>
      <c r="Y679" s="142">
        <f>B679*IBGE_2!Y$679/100</f>
        <v>1.9E-2</v>
      </c>
      <c r="Z679" s="142">
        <f>B679*IBGE_2!Z$679/100</f>
        <v>1.9E-2</v>
      </c>
      <c r="AA679" s="142">
        <f>B679*IBGE_2!AA$679/100</f>
        <v>2.1999999999999999E-2</v>
      </c>
      <c r="AB679" s="142">
        <f>B679*IBGE_2!AB$679/100</f>
        <v>0.11899999999999998</v>
      </c>
      <c r="AC679" s="142">
        <f>B679*IBGE_2!AC$679/100</f>
        <v>0.109</v>
      </c>
      <c r="AD679" s="142">
        <f>B679*IBGE_2!AD$679/100</f>
        <v>5.2000000000000005E-2</v>
      </c>
      <c r="AE679" s="142">
        <f>B679*IBGE_2!AE$679/100</f>
        <v>4.0369999999999999</v>
      </c>
      <c r="AF679" s="142">
        <f>B679*IBGE_2!AF$679/100</f>
        <v>7.0999999999999994E-2</v>
      </c>
      <c r="AG679" s="142">
        <f>B679*IBGE_2!AG$679/100</f>
        <v>1.9590000000000001</v>
      </c>
      <c r="AH679" s="142">
        <f>B679*IBGE_2!AH$679/100</f>
        <v>0.12</v>
      </c>
      <c r="AI679" s="142" t="s">
        <v>3047</v>
      </c>
      <c r="AJ679" s="142">
        <f>B679*IBGE_2!AJ$679/100</f>
        <v>12.023</v>
      </c>
      <c r="AK679" s="142">
        <f>B679*IBGE_2!AK$679/100</f>
        <v>13.683999999999999</v>
      </c>
      <c r="AL679" s="142">
        <f>B679*IBGE_2!AL$679/100</f>
        <v>10.24</v>
      </c>
      <c r="AM679" s="142">
        <f>B679*IBGE_2!AM$679/100</f>
        <v>10.441000000000001</v>
      </c>
      <c r="AN679" s="161"/>
    </row>
    <row r="680" spans="1:40">
      <c r="A680" s="143" t="s">
        <v>1740</v>
      </c>
      <c r="B680" s="141">
        <v>100</v>
      </c>
      <c r="C680" s="142">
        <f>B680*IBGE_2!C$680/100</f>
        <v>38</v>
      </c>
      <c r="D680" s="142">
        <f>B680*IBGE_2!D$680/100</f>
        <v>1.65</v>
      </c>
      <c r="E680" s="142">
        <f>B680*IBGE_2!E$680/100</f>
        <v>0.21</v>
      </c>
      <c r="F680" s="142">
        <f>B680*IBGE_2!F$680/100</f>
        <v>2.9000000000000005E-2</v>
      </c>
      <c r="G680" s="142">
        <f>B680*IBGE_2!G$680/100</f>
        <v>3.1E-2</v>
      </c>
      <c r="H680" s="142">
        <f>B680*IBGE_2!H$680/100</f>
        <v>8.5999999999999993E-2</v>
      </c>
      <c r="I680" s="142">
        <f>B680*IBGE_2!I$680/100</f>
        <v>8.2000000000000017E-2</v>
      </c>
      <c r="J680" s="142">
        <f>B680*IBGE_2!J$680/100</f>
        <v>4.0000000000000001E-3</v>
      </c>
      <c r="K680" s="142" t="s">
        <v>3047</v>
      </c>
      <c r="L680" s="142">
        <f>B680*IBGE_2!L$680/100</f>
        <v>8.98</v>
      </c>
      <c r="M680" s="142">
        <f>B680*IBGE_2!M$680/100</f>
        <v>1.9</v>
      </c>
      <c r="N680" s="142">
        <f>B680*IBGE_2!N$680/100</f>
        <v>18</v>
      </c>
      <c r="O680" s="142">
        <f>B680*IBGE_2!O$680/100</f>
        <v>23</v>
      </c>
      <c r="P680" s="142">
        <f>B680*IBGE_2!P$680/100</f>
        <v>0.16900000000000001</v>
      </c>
      <c r="Q680" s="142">
        <f>B680*IBGE_2!Q$680/100</f>
        <v>40</v>
      </c>
      <c r="R680" s="142">
        <f>B680*IBGE_2!R$680/100</f>
        <v>1.78</v>
      </c>
      <c r="S680" s="142">
        <f>B680*IBGE_2!S$680/100</f>
        <v>393</v>
      </c>
      <c r="T680" s="142">
        <f>B680*IBGE_2!T$680/100</f>
        <v>439</v>
      </c>
      <c r="U680" s="142">
        <f>B680*IBGE_2!U$680/100</f>
        <v>0.28699999999999998</v>
      </c>
      <c r="V680" s="142">
        <f>B680*IBGE_2!V$680/100</f>
        <v>0.36</v>
      </c>
      <c r="W680" s="142" t="s">
        <v>3047</v>
      </c>
      <c r="X680" s="142">
        <f>B680*IBGE_2!X$680/100</f>
        <v>2.5000000000000001E-2</v>
      </c>
      <c r="Y680" s="142">
        <f>B680*IBGE_2!Y$680/100</f>
        <v>0.08</v>
      </c>
      <c r="Z680" s="142">
        <f>B680*IBGE_2!Z$680/100</f>
        <v>0.126</v>
      </c>
      <c r="AA680" s="142">
        <f>B680*IBGE_2!AA$680/100</f>
        <v>1.466</v>
      </c>
      <c r="AB680" s="142">
        <f>B680*IBGE_2!AB$680/100</f>
        <v>10.6</v>
      </c>
      <c r="AC680" s="142">
        <f>B680*IBGE_2!AC$680/100</f>
        <v>1.649</v>
      </c>
      <c r="AD680" s="142" t="s">
        <v>3047</v>
      </c>
      <c r="AE680" s="142">
        <f>B680*IBGE_2!AE$680/100</f>
        <v>11</v>
      </c>
      <c r="AF680" s="142" t="s">
        <v>3047</v>
      </c>
      <c r="AG680" s="142">
        <f>B680*IBGE_2!AG$680/100</f>
        <v>1.95</v>
      </c>
      <c r="AH680" s="142" t="s">
        <v>3047</v>
      </c>
      <c r="AI680" s="142" t="s">
        <v>3047</v>
      </c>
      <c r="AJ680" s="142">
        <f>B680*IBGE_2!AJ$680/100</f>
        <v>0.7</v>
      </c>
      <c r="AK680" s="142">
        <f>B680*IBGE_2!AK$680/100</f>
        <v>25.5</v>
      </c>
      <c r="AL680" s="142">
        <f>B680*IBGE_2!AL$680/100</f>
        <v>4.83</v>
      </c>
      <c r="AM680" s="145" t="s">
        <v>3047</v>
      </c>
      <c r="AN680" s="161"/>
    </row>
    <row r="681" spans="1:40">
      <c r="A681" s="143" t="s">
        <v>1741</v>
      </c>
      <c r="B681" s="141">
        <v>100</v>
      </c>
      <c r="C681" s="142">
        <f>B681*IBGE_2!C$681/100</f>
        <v>24</v>
      </c>
      <c r="D681" s="142">
        <f>B681*IBGE_2!D$681/100</f>
        <v>1.32</v>
      </c>
      <c r="E681" s="142">
        <f>B681*IBGE_2!E$681/100</f>
        <v>0.18</v>
      </c>
      <c r="F681" s="142">
        <f>B681*IBGE_2!F$681/100</f>
        <v>0.03</v>
      </c>
      <c r="G681" s="142">
        <f>B681*IBGE_2!G$681/100</f>
        <v>0.03</v>
      </c>
      <c r="H681" s="142">
        <f>B681*IBGE_2!H$681/100</f>
        <v>7.0000000000000007E-2</v>
      </c>
      <c r="I681" s="142">
        <f>B681*IBGE_2!I$681/100</f>
        <v>7.0000000000000007E-2</v>
      </c>
      <c r="J681" s="142" t="s">
        <v>3047</v>
      </c>
      <c r="K681" s="142" t="s">
        <v>3047</v>
      </c>
      <c r="L681" s="142">
        <f>B681*IBGE_2!L$681/100</f>
        <v>5.38</v>
      </c>
      <c r="M681" s="142">
        <f>B681*IBGE_2!M$681/100</f>
        <v>1.5</v>
      </c>
      <c r="N681" s="142">
        <f>B681*IBGE_2!N$681/100</f>
        <v>13</v>
      </c>
      <c r="O681" s="142">
        <f>B681*IBGE_2!O$681/100</f>
        <v>16</v>
      </c>
      <c r="P681" s="142">
        <f>B681*IBGE_2!P$681/100</f>
        <v>0.11</v>
      </c>
      <c r="Q681" s="142">
        <f>B681*IBGE_2!Q$681/100</f>
        <v>26</v>
      </c>
      <c r="R681" s="142">
        <f>B681*IBGE_2!R$681/100</f>
        <v>1.02</v>
      </c>
      <c r="S681" s="142">
        <f>B681*IBGE_2!S$681/100</f>
        <v>524</v>
      </c>
      <c r="T681" s="142">
        <f>B681*IBGE_2!T$681/100</f>
        <v>331</v>
      </c>
      <c r="U681" s="142">
        <f>B681*IBGE_2!U$681/100</f>
        <v>0.12</v>
      </c>
      <c r="V681" s="142">
        <f>B681*IBGE_2!V$681/100</f>
        <v>0.2</v>
      </c>
      <c r="W681" s="142" t="s">
        <v>3047</v>
      </c>
      <c r="X681" s="142">
        <f>B681*IBGE_2!X$681/100</f>
        <v>0.02</v>
      </c>
      <c r="Y681" s="142">
        <f>B681*IBGE_2!Y$681/100</f>
        <v>7.0000000000000007E-2</v>
      </c>
      <c r="Z681" s="142">
        <f>B681*IBGE_2!Z$681/100</f>
        <v>0.1</v>
      </c>
      <c r="AA681" s="142">
        <f>B681*IBGE_2!AA$681/100</f>
        <v>0.98</v>
      </c>
      <c r="AB681" s="142">
        <f>B681*IBGE_2!AB$681/100</f>
        <v>7</v>
      </c>
      <c r="AC681" s="142">
        <f>B681*IBGE_2!AC$681/100</f>
        <v>1.1399999999999999</v>
      </c>
      <c r="AD681" s="142" t="s">
        <v>3047</v>
      </c>
      <c r="AE681" s="142">
        <f>B681*IBGE_2!AE$681/100</f>
        <v>11</v>
      </c>
      <c r="AF681" s="142" t="s">
        <v>3047</v>
      </c>
      <c r="AG681" s="142">
        <f>B681*IBGE_2!AG$681/100</f>
        <v>1.42</v>
      </c>
      <c r="AH681" s="142" t="s">
        <v>3047</v>
      </c>
      <c r="AI681" s="142" t="s">
        <v>3047</v>
      </c>
      <c r="AJ681" s="142">
        <f>B681*IBGE_2!AJ$681/100</f>
        <v>0.2</v>
      </c>
      <c r="AK681" s="142">
        <f>B681*IBGE_2!AK$681/100</f>
        <v>17.420000000000002</v>
      </c>
      <c r="AL681" s="142">
        <f>B681*IBGE_2!AL$681/100</f>
        <v>4.25</v>
      </c>
      <c r="AM681" s="145" t="s">
        <v>3047</v>
      </c>
      <c r="AN681" s="161"/>
    </row>
    <row r="682" spans="1:40">
      <c r="A682" s="143" t="s">
        <v>1742</v>
      </c>
      <c r="B682" s="141">
        <v>100</v>
      </c>
      <c r="C682" s="142">
        <f>B682*IBGE_2!C$682/100</f>
        <v>97</v>
      </c>
      <c r="D682" s="142">
        <f>B682*IBGE_2!D$682/100</f>
        <v>1.74</v>
      </c>
      <c r="E682" s="142">
        <f>B682*IBGE_2!E$682/100</f>
        <v>0.31</v>
      </c>
      <c r="F682" s="142">
        <f>B682*IBGE_2!F$682/100</f>
        <v>4.2999999999999997E-2</v>
      </c>
      <c r="G682" s="142">
        <f>B682*IBGE_2!G$682/100</f>
        <v>4.7E-2</v>
      </c>
      <c r="H682" s="142">
        <f>B682*IBGE_2!H$682/100</f>
        <v>0.126</v>
      </c>
      <c r="I682" s="142">
        <f>B682*IBGE_2!I$682/100</f>
        <v>0.121</v>
      </c>
      <c r="J682" s="142">
        <f>B682*IBGE_2!J$682/100</f>
        <v>4.0000000000000001E-3</v>
      </c>
      <c r="K682" s="142" t="s">
        <v>3047</v>
      </c>
      <c r="L682" s="142">
        <f>B682*IBGE_2!L$682/100</f>
        <v>25.15</v>
      </c>
      <c r="M682" s="142">
        <f>B682*IBGE_2!M$682/100</f>
        <v>0.3</v>
      </c>
      <c r="N682" s="142">
        <f>B682*IBGE_2!N$682/100</f>
        <v>18</v>
      </c>
      <c r="O682" s="142">
        <f>B682*IBGE_2!O$682/100</f>
        <v>19</v>
      </c>
      <c r="P682" s="142">
        <f>B682*IBGE_2!P$682/100</f>
        <v>0.128</v>
      </c>
      <c r="Q682" s="142">
        <f>B682*IBGE_2!Q$682/100</f>
        <v>33</v>
      </c>
      <c r="R682" s="142">
        <f>B682*IBGE_2!R$682/100</f>
        <v>0.51</v>
      </c>
      <c r="S682" s="142">
        <f>B682*IBGE_2!S$682/100</f>
        <v>1114</v>
      </c>
      <c r="T682" s="142">
        <f>B682*IBGE_2!T$682/100</f>
        <v>382</v>
      </c>
      <c r="U682" s="142">
        <f>B682*IBGE_2!U$682/100</f>
        <v>0.18099999999999997</v>
      </c>
      <c r="V682" s="142">
        <f>B682*IBGE_2!V$682/100</f>
        <v>0.26</v>
      </c>
      <c r="W682" s="142" t="s">
        <v>3047</v>
      </c>
      <c r="X682" s="142">
        <f>B682*IBGE_2!X$682/100</f>
        <v>1.0999999999999999E-2</v>
      </c>
      <c r="Y682" s="142">
        <f>B682*IBGE_2!Y$682/100</f>
        <v>0.13200000000000001</v>
      </c>
      <c r="Z682" s="142">
        <f>B682*IBGE_2!Z$682/100</f>
        <v>0.14899999999999999</v>
      </c>
      <c r="AA682" s="142">
        <f>B682*IBGE_2!AA$682/100</f>
        <v>1.4259999999999999</v>
      </c>
      <c r="AB682" s="142">
        <f>B682*IBGE_2!AB$682/100</f>
        <v>15.1</v>
      </c>
      <c r="AC682" s="142">
        <f>B682*IBGE_2!AC$682/100</f>
        <v>1.726</v>
      </c>
      <c r="AD682" s="142" t="s">
        <v>3047</v>
      </c>
      <c r="AE682" s="142">
        <f>B682*IBGE_2!AE$682/100</f>
        <v>10</v>
      </c>
      <c r="AF682" s="142" t="s">
        <v>3047</v>
      </c>
      <c r="AG682" s="142">
        <f>B682*IBGE_2!AG$682/100</f>
        <v>1.46</v>
      </c>
      <c r="AH682" s="142" t="s">
        <v>3047</v>
      </c>
      <c r="AI682" s="142" t="s">
        <v>3047</v>
      </c>
      <c r="AJ682" s="142">
        <f>B682*IBGE_2!AJ$682/100</f>
        <v>0.3</v>
      </c>
      <c r="AK682" s="142">
        <f>B682*IBGE_2!AK$682/100</f>
        <v>46.667000000000002</v>
      </c>
      <c r="AL682" s="142">
        <f>B682*IBGE_2!AL$682/100</f>
        <v>22.77</v>
      </c>
      <c r="AM682" s="142">
        <f>B682*IBGE_2!AM$682/100</f>
        <v>16.298999999999999</v>
      </c>
      <c r="AN682" s="161"/>
    </row>
    <row r="683" spans="1:40">
      <c r="A683" s="143" t="s">
        <v>1743</v>
      </c>
      <c r="B683" s="141">
        <v>100</v>
      </c>
      <c r="C683" s="142">
        <f>B683*IBGE_2!C$683/100</f>
        <v>97</v>
      </c>
      <c r="D683" s="142">
        <f>B683*IBGE_2!D$683/100</f>
        <v>1.74</v>
      </c>
      <c r="E683" s="142">
        <f>B683*IBGE_2!E$683/100</f>
        <v>0.31</v>
      </c>
      <c r="F683" s="142">
        <f>B683*IBGE_2!F$683/100</f>
        <v>4.2999999999999997E-2</v>
      </c>
      <c r="G683" s="142">
        <f>B683*IBGE_2!G$683/100</f>
        <v>4.7E-2</v>
      </c>
      <c r="H683" s="142">
        <f>B683*IBGE_2!H$683/100</f>
        <v>0.126</v>
      </c>
      <c r="I683" s="142">
        <f>B683*IBGE_2!I$683/100</f>
        <v>0.121</v>
      </c>
      <c r="J683" s="142">
        <f>B683*IBGE_2!J$683/100</f>
        <v>4.0000000000000001E-3</v>
      </c>
      <c r="K683" s="142" t="s">
        <v>3047</v>
      </c>
      <c r="L683" s="142">
        <f>B683*IBGE_2!L$683/100</f>
        <v>25.15</v>
      </c>
      <c r="M683" s="142">
        <f>B683*IBGE_2!M$683/100</f>
        <v>0.3</v>
      </c>
      <c r="N683" s="142">
        <f>B683*IBGE_2!N$683/100</f>
        <v>18</v>
      </c>
      <c r="O683" s="142">
        <f>B683*IBGE_2!O$683/100</f>
        <v>19</v>
      </c>
      <c r="P683" s="142">
        <f>B683*IBGE_2!P$683/100</f>
        <v>0.128</v>
      </c>
      <c r="Q683" s="142">
        <f>B683*IBGE_2!Q$683/100</f>
        <v>33</v>
      </c>
      <c r="R683" s="142">
        <f>B683*IBGE_2!R$683/100</f>
        <v>0.51</v>
      </c>
      <c r="S683" s="142">
        <f>B683*IBGE_2!S$683/100</f>
        <v>1114</v>
      </c>
      <c r="T683" s="142">
        <f>B683*IBGE_2!T$683/100</f>
        <v>382</v>
      </c>
      <c r="U683" s="142">
        <f>B683*IBGE_2!U$683/100</f>
        <v>0.18099999999999997</v>
      </c>
      <c r="V683" s="142">
        <f>B683*IBGE_2!V$683/100</f>
        <v>0.26</v>
      </c>
      <c r="W683" s="142" t="s">
        <v>3047</v>
      </c>
      <c r="X683" s="142">
        <f>B683*IBGE_2!X$683/100</f>
        <v>1.0999999999999999E-2</v>
      </c>
      <c r="Y683" s="142">
        <f>B683*IBGE_2!Y$683/100</f>
        <v>0.13200000000000001</v>
      </c>
      <c r="Z683" s="142">
        <f>B683*IBGE_2!Z$683/100</f>
        <v>0.14899999999999999</v>
      </c>
      <c r="AA683" s="142">
        <f>B683*IBGE_2!AA$683/100</f>
        <v>1.4259999999999999</v>
      </c>
      <c r="AB683" s="142">
        <f>B683*IBGE_2!AB$683/100</f>
        <v>15.1</v>
      </c>
      <c r="AC683" s="142">
        <f>B683*IBGE_2!AC$683/100</f>
        <v>1.726</v>
      </c>
      <c r="AD683" s="142" t="s">
        <v>3047</v>
      </c>
      <c r="AE683" s="142">
        <f>B683*IBGE_2!AE$683/100</f>
        <v>10</v>
      </c>
      <c r="AF683" s="142" t="s">
        <v>3047</v>
      </c>
      <c r="AG683" s="142">
        <f>B683*IBGE_2!AG$683/100</f>
        <v>1.46</v>
      </c>
      <c r="AH683" s="142" t="s">
        <v>3047</v>
      </c>
      <c r="AI683" s="142" t="s">
        <v>3047</v>
      </c>
      <c r="AJ683" s="142">
        <f>B683*IBGE_2!AJ$683/100</f>
        <v>0.3</v>
      </c>
      <c r="AK683" s="142">
        <f>B683*IBGE_2!AK$683/100</f>
        <v>46.667000000000002</v>
      </c>
      <c r="AL683" s="142">
        <f>B683*IBGE_2!AL$683/100</f>
        <v>22.77</v>
      </c>
      <c r="AM683" s="142">
        <f>B683*IBGE_2!AM$683/100</f>
        <v>16.298999999999999</v>
      </c>
      <c r="AN683" s="161"/>
    </row>
    <row r="684" spans="1:40">
      <c r="A684" s="143" t="s">
        <v>1744</v>
      </c>
      <c r="B684" s="141">
        <v>100</v>
      </c>
      <c r="C684" s="142">
        <f>B684*IBGE_2!C$684/100</f>
        <v>255</v>
      </c>
      <c r="D684" s="142">
        <f>B684*IBGE_2!D$684/100</f>
        <v>10.95</v>
      </c>
      <c r="E684" s="142">
        <f>B684*IBGE_2!E$684/100</f>
        <v>3.26</v>
      </c>
      <c r="F684" s="142">
        <f>B684*IBGE_2!F$684/100</f>
        <v>0.98</v>
      </c>
      <c r="G684" s="142">
        <f>B684*IBGE_2!G$684/100</f>
        <v>1.01</v>
      </c>
      <c r="H684" s="142">
        <f>B684*IBGE_2!H$684/100</f>
        <v>1.1299999999999999</v>
      </c>
      <c r="I684" s="142">
        <f>B684*IBGE_2!I$684/100</f>
        <v>0.97</v>
      </c>
      <c r="J684" s="142">
        <f>B684*IBGE_2!J$684/100</f>
        <v>0.16</v>
      </c>
      <c r="K684" s="142" t="s">
        <v>3047</v>
      </c>
      <c r="L684" s="142">
        <f>B684*IBGE_2!L$684/100</f>
        <v>64.81</v>
      </c>
      <c r="M684" s="142">
        <f>B684*IBGE_2!M$684/100</f>
        <v>26.5</v>
      </c>
      <c r="N684" s="142">
        <f>B684*IBGE_2!N$684/100</f>
        <v>437</v>
      </c>
      <c r="O684" s="142">
        <f>B684*IBGE_2!O$684/100</f>
        <v>194</v>
      </c>
      <c r="P684" s="142">
        <f>B684*IBGE_2!P$684/100</f>
        <v>5.625</v>
      </c>
      <c r="Q684" s="142">
        <f>B684*IBGE_2!Q$684/100</f>
        <v>173</v>
      </c>
      <c r="R684" s="142">
        <f>B684*IBGE_2!R$684/100</f>
        <v>28.86</v>
      </c>
      <c r="S684" s="142">
        <f>B684*IBGE_2!S$684/100</f>
        <v>44</v>
      </c>
      <c r="T684" s="142">
        <f>B684*IBGE_2!T$684/100</f>
        <v>1259</v>
      </c>
      <c r="U684" s="142">
        <f>B684*IBGE_2!U$684/100</f>
        <v>1.127</v>
      </c>
      <c r="V684" s="142">
        <f>B684*IBGE_2!V$684/100</f>
        <v>1.42</v>
      </c>
      <c r="W684" s="142" t="s">
        <v>3047</v>
      </c>
      <c r="X684" s="142">
        <f>B684*IBGE_2!X$684/100</f>
        <v>0.109</v>
      </c>
      <c r="Y684" s="142">
        <f>B684*IBGE_2!Y$684/100</f>
        <v>0.24</v>
      </c>
      <c r="Z684" s="142">
        <f>B684*IBGE_2!Z$684/100</f>
        <v>0.28999999999999998</v>
      </c>
      <c r="AA684" s="142">
        <f>B684*IBGE_2!AA$684/100</f>
        <v>1.1419999999999999</v>
      </c>
      <c r="AB684" s="142">
        <f>B684*IBGE_2!AB$684/100</f>
        <v>21</v>
      </c>
      <c r="AC684" s="142">
        <f>B684*IBGE_2!AC$684/100</f>
        <v>1.1419999999999999</v>
      </c>
      <c r="AD684" s="142" t="s">
        <v>3047</v>
      </c>
      <c r="AE684" s="142">
        <f>B684*IBGE_2!AE$684/100</f>
        <v>10</v>
      </c>
      <c r="AF684" s="142" t="s">
        <v>3047</v>
      </c>
      <c r="AG684" s="142">
        <f>B684*IBGE_2!AG$684/100</f>
        <v>0.72</v>
      </c>
      <c r="AH684" s="142" t="s">
        <v>3047</v>
      </c>
      <c r="AI684" s="142" t="s">
        <v>3047</v>
      </c>
      <c r="AJ684" s="142">
        <f>B684*IBGE_2!AJ$684/100</f>
        <v>3.1</v>
      </c>
      <c r="AK684" s="142">
        <f>B684*IBGE_2!AK$684/100</f>
        <v>15</v>
      </c>
      <c r="AL684" s="145" t="s">
        <v>3047</v>
      </c>
      <c r="AM684" s="145" t="s">
        <v>3047</v>
      </c>
      <c r="AN684" s="161"/>
    </row>
    <row r="685" spans="1:40">
      <c r="A685" s="143" t="s">
        <v>1745</v>
      </c>
      <c r="B685" s="141">
        <v>100</v>
      </c>
      <c r="C685" s="142">
        <f>B685*IBGE_2!C$685/100</f>
        <v>4.8689999999999998</v>
      </c>
      <c r="D685" s="142">
        <f>B685*IBGE_2!D$685/100</f>
        <v>1.0999999999999999E-2</v>
      </c>
      <c r="E685" s="142">
        <f>B685*IBGE_2!E$685/100</f>
        <v>2E-3</v>
      </c>
      <c r="F685" s="142" t="s">
        <v>3047</v>
      </c>
      <c r="G685" s="142" t="s">
        <v>3047</v>
      </c>
      <c r="H685" s="142">
        <f>B685*IBGE_2!H$685/100</f>
        <v>1E-3</v>
      </c>
      <c r="I685" s="142">
        <f>B685*IBGE_2!I$685/100</f>
        <v>1E-3</v>
      </c>
      <c r="J685" s="142" t="s">
        <v>3047</v>
      </c>
      <c r="K685" s="142" t="s">
        <v>3047</v>
      </c>
      <c r="L685" s="142">
        <f>B685*IBGE_2!L$685/100</f>
        <v>1.3</v>
      </c>
      <c r="M685" s="142">
        <f>B685*IBGE_2!M$685/100</f>
        <v>8.9999999999999993E-3</v>
      </c>
      <c r="N685" s="142">
        <f>B685*IBGE_2!N$685/100</f>
        <v>2.4009999999999998</v>
      </c>
      <c r="O685" s="142">
        <f>B685*IBGE_2!O$685/100</f>
        <v>0.60899999999999999</v>
      </c>
      <c r="P685" s="142">
        <f>B685*IBGE_2!P$685/100</f>
        <v>4.0000000000000001E-3</v>
      </c>
      <c r="Q685" s="142">
        <f>B685*IBGE_2!Q$685/100</f>
        <v>0.46700000000000003</v>
      </c>
      <c r="R685" s="142">
        <f>B685*IBGE_2!R$685/100</f>
        <v>8.9999999999999993E-3</v>
      </c>
      <c r="S685" s="142">
        <f>B685*IBGE_2!S$685/100</f>
        <v>400.05700000000002</v>
      </c>
      <c r="T685" s="142">
        <f>B685*IBGE_2!T$685/100</f>
        <v>3.3319999999999999</v>
      </c>
      <c r="U685" s="142">
        <f>B685*IBGE_2!U$685/100</f>
        <v>1E-3</v>
      </c>
      <c r="V685" s="142">
        <f>B685*IBGE_2!V$685/100</f>
        <v>3.0000000000000001E-3</v>
      </c>
      <c r="W685" s="142">
        <f>B685*IBGE_2!W$685/100</f>
        <v>21.28</v>
      </c>
      <c r="X685" s="142">
        <f>B685*IBGE_2!X$685/100</f>
        <v>1E-3</v>
      </c>
      <c r="Y685" s="142">
        <f>B685*IBGE_2!Y$685/100</f>
        <v>1E-3</v>
      </c>
      <c r="Z685" s="142">
        <f>B685*IBGE_2!Z$685/100</f>
        <v>2E-3</v>
      </c>
      <c r="AA685" s="142">
        <f>B685*IBGE_2!AA$685/100</f>
        <v>4.0000000000000001E-3</v>
      </c>
      <c r="AB685" s="142">
        <f>B685*IBGE_2!AB$685/100</f>
        <v>9.5000000000000001E-2</v>
      </c>
      <c r="AC685" s="142">
        <f>B685*IBGE_2!AC$685/100</f>
        <v>6.0000000000000001E-3</v>
      </c>
      <c r="AD685" s="145" t="s">
        <v>3047</v>
      </c>
      <c r="AE685" s="142">
        <f>B685*IBGE_2!AE$685/100</f>
        <v>4.4999999999999998E-2</v>
      </c>
      <c r="AF685" s="145" t="s">
        <v>3047</v>
      </c>
      <c r="AG685" s="142">
        <f>B685*IBGE_2!AG$685/100</f>
        <v>1.3000000000000001E-2</v>
      </c>
      <c r="AH685" s="145" t="s">
        <v>3047</v>
      </c>
      <c r="AI685" s="142" t="s">
        <v>3047</v>
      </c>
      <c r="AJ685" s="142">
        <f>B685*IBGE_2!AJ$685/100</f>
        <v>1.9E-2</v>
      </c>
      <c r="AK685" s="142">
        <f>B685*IBGE_2!AK$685/100</f>
        <v>10.64</v>
      </c>
      <c r="AL685" s="142">
        <f>B685*IBGE_2!AL$685/100</f>
        <v>1.1879999999999999</v>
      </c>
      <c r="AM685" s="142">
        <f>B685*IBGE_2!AM$685/100</f>
        <v>1.1970000000000001</v>
      </c>
      <c r="AN685" s="161"/>
    </row>
    <row r="686" spans="1:40">
      <c r="A686" s="143" t="s">
        <v>1746</v>
      </c>
      <c r="B686" s="141">
        <v>100</v>
      </c>
      <c r="C686" s="142">
        <f>B686*IBGE_2!C$686/100</f>
        <v>209.65700000000001</v>
      </c>
      <c r="D686" s="142">
        <f>B686*IBGE_2!D$686/100</f>
        <v>10.34</v>
      </c>
      <c r="E686" s="142">
        <f>B686*IBGE_2!E$686/100</f>
        <v>15.808</v>
      </c>
      <c r="F686" s="142">
        <f>B686*IBGE_2!F$686/100</f>
        <v>9.8360000000000003</v>
      </c>
      <c r="G686" s="142">
        <f>B686*IBGE_2!G$686/100</f>
        <v>4.2919999999999998</v>
      </c>
      <c r="H686" s="142">
        <f>B686*IBGE_2!H$686/100</f>
        <v>0.60899999999999999</v>
      </c>
      <c r="I686" s="142">
        <f>B686*IBGE_2!I$686/100</f>
        <v>0.46</v>
      </c>
      <c r="J686" s="142">
        <f>B686*IBGE_2!J$686/100</f>
        <v>0.15</v>
      </c>
      <c r="K686" s="142">
        <f>B686*IBGE_2!K$686/100</f>
        <v>51.124000000000002</v>
      </c>
      <c r="L686" s="142">
        <f>B686*IBGE_2!L$686/100</f>
        <v>6.7220000000000004</v>
      </c>
      <c r="M686" s="142">
        <f>B686*IBGE_2!M$686/100</f>
        <v>9.8000000000000004E-2</v>
      </c>
      <c r="N686" s="142">
        <f>B686*IBGE_2!N$686/100</f>
        <v>287.52199999999999</v>
      </c>
      <c r="O686" s="142">
        <f>B686*IBGE_2!O$686/100</f>
        <v>15.679</v>
      </c>
      <c r="P686" s="142">
        <f>B686*IBGE_2!P$686/100</f>
        <v>2.7000000000000003E-2</v>
      </c>
      <c r="Q686" s="142">
        <f>B686*IBGE_2!Q$686/100</f>
        <v>217.09599999999998</v>
      </c>
      <c r="R686" s="142">
        <f>B686*IBGE_2!R$686/100</f>
        <v>0.24299999999999999</v>
      </c>
      <c r="S686" s="142">
        <f>B686*IBGE_2!S$686/100</f>
        <v>208.55500000000001</v>
      </c>
      <c r="T686" s="142">
        <f>B686*IBGE_2!T$686/100</f>
        <v>138.69</v>
      </c>
      <c r="U686" s="142">
        <f>B686*IBGE_2!U$686/100</f>
        <v>2.1000000000000001E-2</v>
      </c>
      <c r="V686" s="142">
        <f>B686*IBGE_2!V$686/100</f>
        <v>1.1870000000000001</v>
      </c>
      <c r="W686" s="142">
        <f>B686*IBGE_2!W$686/100</f>
        <v>127.226</v>
      </c>
      <c r="X686" s="142">
        <f>B686*IBGE_2!X$686/100</f>
        <v>6.4000000000000001E-2</v>
      </c>
      <c r="Y686" s="142">
        <f>B686*IBGE_2!Y$686/100</f>
        <v>0.25</v>
      </c>
      <c r="Z686" s="142">
        <f>B686*IBGE_2!Z$686/100</f>
        <v>0.05</v>
      </c>
      <c r="AA686" s="142">
        <f>B686*IBGE_2!AA$686/100</f>
        <v>0.30599999999999999</v>
      </c>
      <c r="AB686" s="142" t="s">
        <v>3047</v>
      </c>
      <c r="AC686" s="142">
        <f>B686*IBGE_2!AC$686/100</f>
        <v>3.0819999999999999</v>
      </c>
      <c r="AD686" s="142">
        <f>B686*IBGE_2!AD$686/100</f>
        <v>0.59599999999999997</v>
      </c>
      <c r="AE686" s="142">
        <f>B686*IBGE_2!AE$686/100</f>
        <v>13.288999999999998</v>
      </c>
      <c r="AF686" s="142">
        <f>B686*IBGE_2!AF$686/100</f>
        <v>0.8909999999999999</v>
      </c>
      <c r="AG686" s="142">
        <f>B686*IBGE_2!AG$686/100</f>
        <v>0.25600000000000001</v>
      </c>
      <c r="AH686" s="142">
        <f>B686*IBGE_2!AH$686/100</f>
        <v>0.48499999999999999</v>
      </c>
      <c r="AI686" s="142" t="s">
        <v>3047</v>
      </c>
      <c r="AJ686" s="142">
        <f>B686*IBGE_2!AJ$686/100</f>
        <v>9.5500000000000007</v>
      </c>
      <c r="AK686" s="142">
        <f>B686*IBGE_2!AK$686/100</f>
        <v>130.13900000000001</v>
      </c>
      <c r="AL686" s="142">
        <f>B686*IBGE_2!AL$686/100</f>
        <v>4.8380000000000001</v>
      </c>
      <c r="AM686" s="145" t="s">
        <v>3047</v>
      </c>
      <c r="AN686" s="161"/>
    </row>
    <row r="687" spans="1:40">
      <c r="A687" s="143" t="s">
        <v>1747</v>
      </c>
      <c r="B687" s="141">
        <v>100</v>
      </c>
      <c r="C687" s="142">
        <f>B687*IBGE_2!C$687/100</f>
        <v>16</v>
      </c>
      <c r="D687" s="142">
        <f>B687*IBGE_2!D$687/100</f>
        <v>2</v>
      </c>
      <c r="E687" s="142">
        <f>B687*IBGE_2!E$687/100</f>
        <v>0.6</v>
      </c>
      <c r="F687" s="142">
        <f>B687*IBGE_2!F$687/100</f>
        <v>0.14199999999999999</v>
      </c>
      <c r="G687" s="142">
        <f>B687*IBGE_2!G$687/100</f>
        <v>0.121</v>
      </c>
      <c r="H687" s="142">
        <f>B687*IBGE_2!H$687/100</f>
        <v>0.16200000000000001</v>
      </c>
      <c r="I687" s="142">
        <f>B687*IBGE_2!I$687/100</f>
        <v>6.0000000000000001E-3</v>
      </c>
      <c r="J687" s="142">
        <f>B687*IBGE_2!J$687/100</f>
        <v>6.0000000000000001E-3</v>
      </c>
      <c r="K687" s="142" t="s">
        <v>3047</v>
      </c>
      <c r="L687" s="142">
        <f>B687*IBGE_2!L$687/100</f>
        <v>0.4</v>
      </c>
      <c r="M687" s="142" t="s">
        <v>3047</v>
      </c>
      <c r="N687" s="142">
        <f>B687*IBGE_2!N$687/100</f>
        <v>30</v>
      </c>
      <c r="O687" s="142">
        <f>B687*IBGE_2!O$687/100</f>
        <v>1</v>
      </c>
      <c r="P687" s="142">
        <f>B687*IBGE_2!P$687/100</f>
        <v>2.6000000000000002E-2</v>
      </c>
      <c r="Q687" s="142">
        <f>B687*IBGE_2!Q$687/100</f>
        <v>30</v>
      </c>
      <c r="R687" s="142">
        <f>B687*IBGE_2!R$687/100</f>
        <v>0.21</v>
      </c>
      <c r="S687" s="142">
        <f>B687*IBGE_2!S$687/100</f>
        <v>318</v>
      </c>
      <c r="T687" s="142">
        <f>B687*IBGE_2!T$687/100</f>
        <v>86</v>
      </c>
      <c r="U687" s="142">
        <f>B687*IBGE_2!U$687/100</f>
        <v>5.0999999999999997E-2</v>
      </c>
      <c r="V687" s="142">
        <f>B687*IBGE_2!V$687/100</f>
        <v>0.1</v>
      </c>
      <c r="W687" s="142">
        <f>B687*IBGE_2!W$687/100</f>
        <v>1</v>
      </c>
      <c r="X687" s="142" t="s">
        <v>3047</v>
      </c>
      <c r="Y687" s="142">
        <f>B687*IBGE_2!Y$687/100</f>
        <v>0.03</v>
      </c>
      <c r="Z687" s="142">
        <f>B687*IBGE_2!Z$687/100</f>
        <v>0.01</v>
      </c>
      <c r="AA687" s="142">
        <f>B687*IBGE_2!AA$687/100</f>
        <v>1.37</v>
      </c>
      <c r="AB687" s="142" t="s">
        <v>3047</v>
      </c>
      <c r="AC687" s="142">
        <f>B687*IBGE_2!AC$687/100</f>
        <v>1.7529999999999999</v>
      </c>
      <c r="AD687" s="142">
        <f>B687*IBGE_2!AD$687/100</f>
        <v>0.1</v>
      </c>
      <c r="AE687" s="142">
        <f>B687*IBGE_2!AE$687/100</f>
        <v>4</v>
      </c>
      <c r="AF687" s="142">
        <f>B687*IBGE_2!AF$687/100</f>
        <v>0.192</v>
      </c>
      <c r="AG687" s="142">
        <f>B687*IBGE_2!AG$687/100</f>
        <v>0.15</v>
      </c>
      <c r="AH687" s="145" t="s">
        <v>3047</v>
      </c>
      <c r="AI687" s="142" t="s">
        <v>3047</v>
      </c>
      <c r="AJ687" s="142">
        <f>B687*IBGE_2!AJ$687/100</f>
        <v>0.7</v>
      </c>
      <c r="AK687" s="142">
        <f>B687*IBGE_2!AK$687/100</f>
        <v>1</v>
      </c>
      <c r="AL687" s="142">
        <f>B687*IBGE_2!AL$687/100</f>
        <v>0.16200000000000001</v>
      </c>
      <c r="AM687" s="145" t="s">
        <v>3047</v>
      </c>
      <c r="AN687" s="161"/>
    </row>
    <row r="688" spans="1:40">
      <c r="A688" s="143" t="s">
        <v>1748</v>
      </c>
      <c r="B688" s="141">
        <v>100</v>
      </c>
      <c r="C688" s="142">
        <f>B688*IBGE_2!C$688/100</f>
        <v>37.654000000000003</v>
      </c>
      <c r="D688" s="142">
        <f>B688*IBGE_2!D$688/100</f>
        <v>0.753</v>
      </c>
      <c r="E688" s="142">
        <f>B688*IBGE_2!E$688/100</f>
        <v>0.77800000000000002</v>
      </c>
      <c r="F688" s="142">
        <f>B688*IBGE_2!F$688/100</f>
        <v>0.14000000000000001</v>
      </c>
      <c r="G688" s="142">
        <f>B688*IBGE_2!G$688/100</f>
        <v>0.215</v>
      </c>
      <c r="H688" s="142">
        <f>B688*IBGE_2!H$688/100</f>
        <v>0.36599999999999999</v>
      </c>
      <c r="I688" s="142">
        <f>B688*IBGE_2!I$688/100</f>
        <v>0.35499999999999998</v>
      </c>
      <c r="J688" s="142">
        <f>B688*IBGE_2!J$688/100</f>
        <v>1.0999999999999999E-2</v>
      </c>
      <c r="K688" s="142" t="s">
        <v>3047</v>
      </c>
      <c r="L688" s="142">
        <f>B688*IBGE_2!L$688/100</f>
        <v>7.39</v>
      </c>
      <c r="M688" s="142">
        <f>B688*IBGE_2!M$688/100</f>
        <v>0.45600000000000002</v>
      </c>
      <c r="N688" s="142">
        <f>B688*IBGE_2!N$688/100</f>
        <v>6.2020000000000008</v>
      </c>
      <c r="O688" s="142">
        <f>B688*IBGE_2!O$688/100</f>
        <v>5.1550000000000002</v>
      </c>
      <c r="P688" s="142">
        <f>B688*IBGE_2!P$688/100</f>
        <v>5.5E-2</v>
      </c>
      <c r="Q688" s="142">
        <f>B688*IBGE_2!Q$688/100</f>
        <v>11.015000000000001</v>
      </c>
      <c r="R688" s="142">
        <f>B688*IBGE_2!R$688/100</f>
        <v>0.42799999999999999</v>
      </c>
      <c r="S688" s="142">
        <f>B688*IBGE_2!S$688/100</f>
        <v>305.04599999999999</v>
      </c>
      <c r="T688" s="142">
        <f>B688*IBGE_2!T$688/100</f>
        <v>88.3</v>
      </c>
      <c r="U688" s="142">
        <f>B688*IBGE_2!U$688/100</f>
        <v>4.5999999999999999E-2</v>
      </c>
      <c r="V688" s="142">
        <f>B688*IBGE_2!V$688/100</f>
        <v>0.09</v>
      </c>
      <c r="W688" s="142" t="s">
        <v>3047</v>
      </c>
      <c r="X688" s="142">
        <f>B688*IBGE_2!X$688/100</f>
        <v>3.5000000000000003E-2</v>
      </c>
      <c r="Y688" s="142">
        <f>B688*IBGE_2!Y$688/100</f>
        <v>3.2000000000000001E-2</v>
      </c>
      <c r="Z688" s="142">
        <f>B688*IBGE_2!Z$688/100</f>
        <v>0.02</v>
      </c>
      <c r="AA688" s="142">
        <f>B688*IBGE_2!AA$688/100</f>
        <v>0.48100000000000004</v>
      </c>
      <c r="AB688" s="142">
        <f>B688*IBGE_2!AB$688/100</f>
        <v>5.6849999999999996</v>
      </c>
      <c r="AC688" s="142">
        <f>B688*IBGE_2!AC$688/100</f>
        <v>0.60499999999999998</v>
      </c>
      <c r="AD688" s="145" t="s">
        <v>3047</v>
      </c>
      <c r="AE688" s="142">
        <f>B688*IBGE_2!AE$688/100</f>
        <v>8.7919999999999998</v>
      </c>
      <c r="AF688" s="145" t="s">
        <v>3047</v>
      </c>
      <c r="AG688" s="142">
        <f>B688*IBGE_2!AG$688/100</f>
        <v>0.49399999999999999</v>
      </c>
      <c r="AH688" s="142">
        <f>B688*IBGE_2!AH$688/100</f>
        <v>3.4000000000000002E-2</v>
      </c>
      <c r="AI688" s="142" t="s">
        <v>3047</v>
      </c>
      <c r="AJ688" s="142">
        <f>B688*IBGE_2!AJ$688/100</f>
        <v>1.9479999999999997</v>
      </c>
      <c r="AK688" s="142">
        <f>B688*IBGE_2!AK$688/100</f>
        <v>6.3310000000000004</v>
      </c>
      <c r="AL688" s="142">
        <f>B688*IBGE_2!AL$688/100</f>
        <v>3.7530000000000001</v>
      </c>
      <c r="AM688" s="142">
        <f>B688*IBGE_2!AM$688/100</f>
        <v>2.9039999999999999</v>
      </c>
      <c r="AN688" s="161"/>
    </row>
    <row r="689" spans="1:40">
      <c r="A689" s="143" t="s">
        <v>1749</v>
      </c>
      <c r="B689" s="141">
        <v>100</v>
      </c>
      <c r="C689" s="142">
        <f>B689*IBGE_2!C$689/100</f>
        <v>631</v>
      </c>
      <c r="D689" s="142">
        <f>B689*IBGE_2!D$689/100</f>
        <v>20.45</v>
      </c>
      <c r="E689" s="142">
        <f>B689*IBGE_2!E$689/100</f>
        <v>61.21</v>
      </c>
      <c r="F689" s="142">
        <f>B689*IBGE_2!F$689/100</f>
        <v>9.06</v>
      </c>
      <c r="G689" s="142">
        <f>B689*IBGE_2!G$689/100</f>
        <v>23.92</v>
      </c>
      <c r="H689" s="142">
        <f>B689*IBGE_2!H$689/100</f>
        <v>25.49</v>
      </c>
      <c r="I689" s="142">
        <f>B689*IBGE_2!I$689/100</f>
        <v>25.23</v>
      </c>
      <c r="J689" s="142">
        <f>B689*IBGE_2!J$689/100</f>
        <v>0.26</v>
      </c>
      <c r="K689" s="142" t="s">
        <v>3047</v>
      </c>
      <c r="L689" s="142">
        <f>B689*IBGE_2!L$689/100</f>
        <v>11.73</v>
      </c>
      <c r="M689" s="142">
        <f>B689*IBGE_2!M$689/100</f>
        <v>11.6</v>
      </c>
      <c r="N689" s="142">
        <f>B689*IBGE_2!N$689/100</f>
        <v>60</v>
      </c>
      <c r="O689" s="142">
        <f>B689*IBGE_2!O$689/100</f>
        <v>345</v>
      </c>
      <c r="P689" s="142">
        <f>B689*IBGE_2!P$689/100</f>
        <v>1.44</v>
      </c>
      <c r="Q689" s="142">
        <f>B689*IBGE_2!Q$689/100</f>
        <v>667</v>
      </c>
      <c r="R689" s="142">
        <f>B689*IBGE_2!R$689/100</f>
        <v>6.36</v>
      </c>
      <c r="S689" s="142">
        <f>B689*IBGE_2!S$689/100</f>
        <v>47</v>
      </c>
      <c r="T689" s="142">
        <f>B689*IBGE_2!T$689/100</f>
        <v>370</v>
      </c>
      <c r="U689" s="142">
        <f>B689*IBGE_2!U$689/100</f>
        <v>1.4</v>
      </c>
      <c r="V689" s="142">
        <f>B689*IBGE_2!V$689/100</f>
        <v>6.73</v>
      </c>
      <c r="W689" s="142" t="s">
        <v>3047</v>
      </c>
      <c r="X689" s="142">
        <f>B689*IBGE_2!X$689/100</f>
        <v>0.7</v>
      </c>
      <c r="Y689" s="142">
        <f>B689*IBGE_2!Y$689/100</f>
        <v>0.09</v>
      </c>
      <c r="Z689" s="142">
        <f>B689*IBGE_2!Z$689/100</f>
        <v>0.4</v>
      </c>
      <c r="AA689" s="142">
        <f>B689*IBGE_2!AA$689/100</f>
        <v>5.8</v>
      </c>
      <c r="AB689" s="142" t="s">
        <v>3047</v>
      </c>
      <c r="AC689" s="142">
        <f>B689*IBGE_2!AC$689/100</f>
        <v>11.3</v>
      </c>
      <c r="AD689" s="145" t="s">
        <v>3047</v>
      </c>
      <c r="AE689" s="142">
        <f>B689*IBGE_2!AE$689/100</f>
        <v>115</v>
      </c>
      <c r="AF689" s="145" t="s">
        <v>3047</v>
      </c>
      <c r="AG689" s="142">
        <f>B689*IBGE_2!AG$689/100</f>
        <v>1.68</v>
      </c>
      <c r="AH689" s="145" t="s">
        <v>3047</v>
      </c>
      <c r="AI689" s="142" t="s">
        <v>3047</v>
      </c>
      <c r="AJ689" s="142">
        <f>B689*IBGE_2!AJ$689/100</f>
        <v>97.5</v>
      </c>
      <c r="AK689" s="142">
        <f>B689*IBGE_2!AK$689/100</f>
        <v>3.33</v>
      </c>
      <c r="AL689" s="142">
        <f>B689*IBGE_2!AL$689/100</f>
        <v>0.52</v>
      </c>
      <c r="AM689" s="145" t="s">
        <v>3047</v>
      </c>
      <c r="AN689" s="161"/>
    </row>
    <row r="690" spans="1:40">
      <c r="A690" s="143" t="s">
        <v>1750</v>
      </c>
      <c r="B690" s="141">
        <v>100</v>
      </c>
      <c r="C690" s="142">
        <f>B690*IBGE_2!C$690/100</f>
        <v>213</v>
      </c>
      <c r="D690" s="142">
        <f>B690*IBGE_2!D$690/100</f>
        <v>5.0599999999999996</v>
      </c>
      <c r="E690" s="142">
        <f>B690*IBGE_2!E$690/100</f>
        <v>14.08</v>
      </c>
      <c r="F690" s="142">
        <f>B690*IBGE_2!F$690/100</f>
        <v>1.893</v>
      </c>
      <c r="G690" s="142">
        <f>B690*IBGE_2!G$690/100</f>
        <v>8.6630000000000003</v>
      </c>
      <c r="H690" s="142">
        <f>B690*IBGE_2!H$690/100</f>
        <v>2.06</v>
      </c>
      <c r="I690" s="142">
        <f>B690*IBGE_2!I$690/100</f>
        <v>1.982</v>
      </c>
      <c r="J690" s="142">
        <f>B690*IBGE_2!J$690/100</f>
        <v>7.8E-2</v>
      </c>
      <c r="K690" s="142" t="s">
        <v>3047</v>
      </c>
      <c r="L690" s="142">
        <f>B690*IBGE_2!L$690/100</f>
        <v>23.33</v>
      </c>
      <c r="M690" s="142">
        <f>B690*IBGE_2!M$690/100</f>
        <v>5.8</v>
      </c>
      <c r="N690" s="142">
        <f>B690*IBGE_2!N$690/100</f>
        <v>47</v>
      </c>
      <c r="O690" s="142">
        <f>B690*IBGE_2!O$690/100</f>
        <v>81</v>
      </c>
      <c r="P690" s="142">
        <f>B690*IBGE_2!P$690/100</f>
        <v>0.46600000000000003</v>
      </c>
      <c r="Q690" s="142">
        <f>B690*IBGE_2!Q$690/100</f>
        <v>139</v>
      </c>
      <c r="R690" s="142">
        <f>B690*IBGE_2!R$690/100</f>
        <v>2.68</v>
      </c>
      <c r="S690" s="142">
        <f>B690*IBGE_2!S$690/100</f>
        <v>266</v>
      </c>
      <c r="T690" s="142">
        <f>B690*IBGE_2!T$690/100</f>
        <v>1565</v>
      </c>
      <c r="U690" s="142">
        <f>B690*IBGE_2!U$690/100</f>
        <v>0.47299999999999998</v>
      </c>
      <c r="V690" s="142">
        <f>B690*IBGE_2!V$690/100</f>
        <v>0.78</v>
      </c>
      <c r="W690" s="142" t="s">
        <v>3047</v>
      </c>
      <c r="X690" s="142">
        <f>B690*IBGE_2!X$690/100</f>
        <v>0.193</v>
      </c>
      <c r="Y690" s="142">
        <f>B690*IBGE_2!Y$690/100</f>
        <v>0.38299999999999995</v>
      </c>
      <c r="Z690" s="142">
        <f>B690*IBGE_2!Z$690/100</f>
        <v>0.31900000000000001</v>
      </c>
      <c r="AA690" s="142">
        <f>B690*IBGE_2!AA$690/100</f>
        <v>3.63</v>
      </c>
      <c r="AB690" s="142">
        <f>B690*IBGE_2!AB$690/100</f>
        <v>101.8</v>
      </c>
      <c r="AC690" s="142">
        <f>B690*IBGE_2!AC$690/100</f>
        <v>4.2469999999999999</v>
      </c>
      <c r="AD690" s="145" t="s">
        <v>3047</v>
      </c>
      <c r="AE690" s="142">
        <f>B690*IBGE_2!AE$690/100</f>
        <v>23</v>
      </c>
      <c r="AF690" s="145" t="s">
        <v>3047</v>
      </c>
      <c r="AG690" s="142">
        <f>B690*IBGE_2!AG$690/100</f>
        <v>1.847</v>
      </c>
      <c r="AH690" s="142">
        <f>B690*IBGE_2!AH$690/100</f>
        <v>0.01</v>
      </c>
      <c r="AI690" s="142" t="s">
        <v>3047</v>
      </c>
      <c r="AJ690" s="142">
        <f>B690*IBGE_2!AJ$690/100</f>
        <v>3</v>
      </c>
      <c r="AK690" s="142">
        <f>B690*IBGE_2!AK$690/100</f>
        <v>64.332999999999998</v>
      </c>
      <c r="AL690" s="142">
        <f>B690*IBGE_2!AL$690/100</f>
        <v>13.9</v>
      </c>
      <c r="AM690" s="145" t="s">
        <v>3047</v>
      </c>
      <c r="AN690" s="161"/>
    </row>
    <row r="691" spans="1:40">
      <c r="A691" s="143" t="s">
        <v>1751</v>
      </c>
      <c r="B691" s="141">
        <v>100</v>
      </c>
      <c r="C691" s="142">
        <f>B691*IBGE_2!C$691/100</f>
        <v>156.578</v>
      </c>
      <c r="D691" s="142">
        <f>B691*IBGE_2!D$691/100</f>
        <v>0.58799999999999997</v>
      </c>
      <c r="E691" s="142">
        <f>B691*IBGE_2!E$691/100</f>
        <v>9.4640000000000004</v>
      </c>
      <c r="F691" s="142">
        <f>B691*IBGE_2!F$691/100</f>
        <v>1.6130000000000002</v>
      </c>
      <c r="G691" s="142">
        <f>B691*IBGE_2!G$691/100</f>
        <v>2.2919999999999998</v>
      </c>
      <c r="H691" s="142">
        <f>B691*IBGE_2!H$691/100</f>
        <v>5.168000000000001</v>
      </c>
      <c r="I691" s="142">
        <f>B691*IBGE_2!I$691/100</f>
        <v>4.5570000000000004</v>
      </c>
      <c r="J691" s="142">
        <f>B691*IBGE_2!J$691/100</f>
        <v>0.59799999999999998</v>
      </c>
      <c r="K691" s="142">
        <f>B691*IBGE_2!K$691/100</f>
        <v>31.088000000000001</v>
      </c>
      <c r="L691" s="142">
        <f>B691*IBGE_2!L$691/100</f>
        <v>18.77</v>
      </c>
      <c r="M691" s="142">
        <f>B691*IBGE_2!M$691/100</f>
        <v>1.2390000000000001</v>
      </c>
      <c r="N691" s="142">
        <f>B691*IBGE_2!N$691/100</f>
        <v>12.717000000000001</v>
      </c>
      <c r="O691" s="142">
        <f>B691*IBGE_2!O$691/100</f>
        <v>1.8580000000000001</v>
      </c>
      <c r="P691" s="142">
        <f>B691*IBGE_2!P$691/100</f>
        <v>2.1999999999999999E-2</v>
      </c>
      <c r="Q691" s="142">
        <f>B691*IBGE_2!Q$691/100</f>
        <v>11.99</v>
      </c>
      <c r="R691" s="142">
        <f>B691*IBGE_2!R$691/100</f>
        <v>0.19</v>
      </c>
      <c r="S691" s="142">
        <f>B691*IBGE_2!S$691/100</f>
        <v>876.69100000000003</v>
      </c>
      <c r="T691" s="142">
        <f>B691*IBGE_2!T$691/100</f>
        <v>14.558</v>
      </c>
      <c r="U691" s="142">
        <f>B691*IBGE_2!U$691/100</f>
        <v>8.0000000000000002E-3</v>
      </c>
      <c r="V691" s="142">
        <f>B691*IBGE_2!V$691/100</f>
        <v>7.8E-2</v>
      </c>
      <c r="W691" s="142">
        <f>B691*IBGE_2!W$691/100</f>
        <v>10.106</v>
      </c>
      <c r="X691" s="142">
        <f>B691*IBGE_2!X$691/100</f>
        <v>6.0000000000000001E-3</v>
      </c>
      <c r="Y691" s="142">
        <f>B691*IBGE_2!Y$691/100</f>
        <v>2.5000000000000001E-2</v>
      </c>
      <c r="Z691" s="142">
        <f>B691*IBGE_2!Z$691/100</f>
        <v>1.7999999999999999E-2</v>
      </c>
      <c r="AA691" s="142">
        <f>B691*IBGE_2!AA$691/100</f>
        <v>2.1999999999999999E-2</v>
      </c>
      <c r="AB691" s="142">
        <f>B691*IBGE_2!AB$691/100</f>
        <v>0.111</v>
      </c>
      <c r="AC691" s="142">
        <f>B691*IBGE_2!AC$691/100</f>
        <v>0.13300000000000001</v>
      </c>
      <c r="AD691" s="142">
        <f>B691*IBGE_2!AD$691/100</f>
        <v>5.7000000000000002E-2</v>
      </c>
      <c r="AE691" s="142">
        <f>B691*IBGE_2!AE$691/100</f>
        <v>3.698</v>
      </c>
      <c r="AF691" s="142">
        <f>B691*IBGE_2!AF$691/100</f>
        <v>7.3999999999999996E-2</v>
      </c>
      <c r="AG691" s="142">
        <f>B691*IBGE_2!AG$691/100</f>
        <v>0.82199999999999984</v>
      </c>
      <c r="AH691" s="142">
        <f>B691*IBGE_2!AH$691/100</f>
        <v>4.7E-2</v>
      </c>
      <c r="AI691" s="142" t="s">
        <v>3047</v>
      </c>
      <c r="AJ691" s="142">
        <f>B691*IBGE_2!AJ$691/100</f>
        <v>5.8520000000000003</v>
      </c>
      <c r="AK691" s="142">
        <f>B691*IBGE_2!AK$691/100</f>
        <v>13.621000000000002</v>
      </c>
      <c r="AL691" s="142">
        <f>B691*IBGE_2!AL$691/100</f>
        <v>12.481999999999998</v>
      </c>
      <c r="AM691" s="142">
        <f>B691*IBGE_2!AM$691/100</f>
        <v>12.711000000000002</v>
      </c>
      <c r="AN691" s="161"/>
    </row>
    <row r="692" spans="1:40">
      <c r="A692" s="143" t="s">
        <v>1752</v>
      </c>
      <c r="B692" s="141">
        <v>100</v>
      </c>
      <c r="C692" s="142">
        <f>B692*IBGE_2!C$692/100</f>
        <v>53.126999999999995</v>
      </c>
      <c r="D692" s="142">
        <f>B692*IBGE_2!D$692/100</f>
        <v>5.1820000000000004</v>
      </c>
      <c r="E692" s="142">
        <f>B692*IBGE_2!E$692/100</f>
        <v>0.08</v>
      </c>
      <c r="F692" s="142">
        <f>B692*IBGE_2!F$692/100</f>
        <v>0.01</v>
      </c>
      <c r="G692" s="142">
        <f>B692*IBGE_2!G$692/100</f>
        <v>1.2E-2</v>
      </c>
      <c r="H692" s="142">
        <f>B692*IBGE_2!H$692/100</f>
        <v>3.5999999999999997E-2</v>
      </c>
      <c r="I692" s="142">
        <f>B692*IBGE_2!I$692/100</f>
        <v>3.2000000000000001E-2</v>
      </c>
      <c r="J692" s="142">
        <f>B692*IBGE_2!J$692/100</f>
        <v>4.0000000000000001E-3</v>
      </c>
      <c r="K692" s="142" t="s">
        <v>3047</v>
      </c>
      <c r="L692" s="142">
        <f>B692*IBGE_2!L$692/100</f>
        <v>8.5299999999999994</v>
      </c>
      <c r="M692" s="142">
        <f>B692*IBGE_2!M$692/100</f>
        <v>0.80200000000000005</v>
      </c>
      <c r="N692" s="142">
        <f>B692*IBGE_2!N$692/100</f>
        <v>17.041</v>
      </c>
      <c r="O692" s="142">
        <f>B692*IBGE_2!O$692/100</f>
        <v>34.082000000000001</v>
      </c>
      <c r="P692" s="142">
        <f>B692*IBGE_2!P$692/100</f>
        <v>0.42499999999999999</v>
      </c>
      <c r="Q692" s="142">
        <f>B692*IBGE_2!Q$692/100</f>
        <v>110.264</v>
      </c>
      <c r="R692" s="142">
        <f>B692*IBGE_2!R$692/100</f>
        <v>2.0249999999999999</v>
      </c>
      <c r="S692" s="142">
        <f>B692*IBGE_2!S$692/100</f>
        <v>3341.0070000000001</v>
      </c>
      <c r="T692" s="142">
        <f>B692*IBGE_2!T$692/100</f>
        <v>180.43199999999996</v>
      </c>
      <c r="U692" s="142">
        <f>B692*IBGE_2!U$692/100</f>
        <v>0.115</v>
      </c>
      <c r="V692" s="142">
        <f>B692*IBGE_2!V$692/100</f>
        <v>0.371</v>
      </c>
      <c r="W692" s="142" t="s">
        <v>3047</v>
      </c>
      <c r="X692" s="142">
        <f>B692*IBGE_2!X$692/100</f>
        <v>0.05</v>
      </c>
      <c r="Y692" s="142">
        <f>B692*IBGE_2!Y$692/100</f>
        <v>0.13</v>
      </c>
      <c r="Z692" s="142">
        <f>B692*IBGE_2!Z$692/100</f>
        <v>0.17</v>
      </c>
      <c r="AA692" s="142">
        <f>B692*IBGE_2!AA$692/100</f>
        <v>3.3680000000000003</v>
      </c>
      <c r="AB692" s="142" t="s">
        <v>3047</v>
      </c>
      <c r="AC692" s="142">
        <f>B692*IBGE_2!AC$692/100</f>
        <v>4.6040000000000001</v>
      </c>
      <c r="AD692" s="145" t="s">
        <v>3047</v>
      </c>
      <c r="AE692" s="142">
        <f>B692*IBGE_2!AE$692/100</f>
        <v>16.038</v>
      </c>
      <c r="AF692" s="145" t="s">
        <v>3047</v>
      </c>
      <c r="AG692" s="145" t="s">
        <v>3047</v>
      </c>
      <c r="AH692" s="145" t="s">
        <v>3047</v>
      </c>
      <c r="AI692" s="142" t="s">
        <v>3047</v>
      </c>
      <c r="AJ692" s="142">
        <f>B692*IBGE_2!AJ$692/100</f>
        <v>0.80200000000000005</v>
      </c>
      <c r="AK692" s="145" t="s">
        <v>3047</v>
      </c>
      <c r="AL692" s="142">
        <f>B692*IBGE_2!AL$692/100</f>
        <v>2.0950000000000002</v>
      </c>
      <c r="AM692" s="142" t="s">
        <v>3047</v>
      </c>
      <c r="AN692" s="161"/>
    </row>
    <row r="693" spans="1:40">
      <c r="A693" s="143" t="s">
        <v>1753</v>
      </c>
      <c r="B693" s="141">
        <v>100</v>
      </c>
      <c r="C693" s="142">
        <f>B693*IBGE_2!C$693/100</f>
        <v>202.46</v>
      </c>
      <c r="D693" s="142">
        <f>B693*IBGE_2!D$693/100</f>
        <v>1.6140000000000001</v>
      </c>
      <c r="E693" s="142">
        <f>B693*IBGE_2!E$693/100</f>
        <v>20.847000000000001</v>
      </c>
      <c r="F693" s="142">
        <f>B693*IBGE_2!F$693/100</f>
        <v>18.486999999999998</v>
      </c>
      <c r="G693" s="142">
        <f>B693*IBGE_2!G$693/100</f>
        <v>0.88700000000000001</v>
      </c>
      <c r="H693" s="142">
        <f>B693*IBGE_2!H$693/100</f>
        <v>0.22900000000000001</v>
      </c>
      <c r="I693" s="142">
        <f>B693*IBGE_2!I$693/100</f>
        <v>0.22900000000000001</v>
      </c>
      <c r="J693" s="142" t="s">
        <v>3047</v>
      </c>
      <c r="K693" s="142" t="s">
        <v>3047</v>
      </c>
      <c r="L693" s="142">
        <f>B693*IBGE_2!L$693/100</f>
        <v>5.593</v>
      </c>
      <c r="M693" s="142">
        <f>B693*IBGE_2!M$693/100</f>
        <v>0.91200000000000003</v>
      </c>
      <c r="N693" s="142">
        <f>B693*IBGE_2!N$693/100</f>
        <v>4.0090000000000003</v>
      </c>
      <c r="O693" s="142">
        <f>B693*IBGE_2!O$693/100</f>
        <v>32.073</v>
      </c>
      <c r="P693" s="142">
        <f>B693*IBGE_2!P$693/100</f>
        <v>0.81100000000000005</v>
      </c>
      <c r="Q693" s="142">
        <f>B693*IBGE_2!Q$693/100</f>
        <v>59.133999999999993</v>
      </c>
      <c r="R693" s="142">
        <f>B693*IBGE_2!R$693/100</f>
        <v>0.81200000000000006</v>
      </c>
      <c r="S693" s="142">
        <f>B693*IBGE_2!S$693/100</f>
        <v>12.026999999999997</v>
      </c>
      <c r="T693" s="142">
        <f>B693*IBGE_2!T$693/100</f>
        <v>232.52799999999999</v>
      </c>
      <c r="U693" s="142">
        <f>B693*IBGE_2!U$693/100</f>
        <v>0.23599999999999999</v>
      </c>
      <c r="V693" s="142">
        <f>B693*IBGE_2!V$693/100</f>
        <v>0.59099999999999997</v>
      </c>
      <c r="W693" s="142" t="s">
        <v>3047</v>
      </c>
      <c r="X693" s="142">
        <f>B693*IBGE_2!X$693/100</f>
        <v>2.3E-2</v>
      </c>
      <c r="Y693" s="142" t="s">
        <v>3047</v>
      </c>
      <c r="Z693" s="142">
        <f>B693*IBGE_2!Z$693/100</f>
        <v>0.03</v>
      </c>
      <c r="AA693" s="142">
        <f>B693*IBGE_2!AA$693/100</f>
        <v>0.67300000000000015</v>
      </c>
      <c r="AB693" s="142">
        <f>B693*IBGE_2!AB$693/100</f>
        <v>1.103</v>
      </c>
      <c r="AC693" s="142">
        <f>B693*IBGE_2!AC$693/100</f>
        <v>0.99</v>
      </c>
      <c r="AD693" s="145" t="s">
        <v>3047</v>
      </c>
      <c r="AE693" s="142">
        <f>B693*IBGE_2!AE$693/100</f>
        <v>14.032</v>
      </c>
      <c r="AF693" s="145" t="s">
        <v>3047</v>
      </c>
      <c r="AG693" s="142">
        <f>B693*IBGE_2!AG$693/100</f>
        <v>8.0000000000000002E-3</v>
      </c>
      <c r="AH693" s="145" t="s">
        <v>3047</v>
      </c>
      <c r="AI693" s="142" t="s">
        <v>3047</v>
      </c>
      <c r="AJ693" s="142">
        <f>B693*IBGE_2!AJ$693/100</f>
        <v>3.7080000000000002</v>
      </c>
      <c r="AK693" s="145" t="s">
        <v>3047</v>
      </c>
      <c r="AL693" s="142">
        <f>B693*IBGE_2!AL$693/100</f>
        <v>4.681</v>
      </c>
      <c r="AM693" s="142" t="s">
        <v>3047</v>
      </c>
      <c r="AN693" s="161"/>
    </row>
    <row r="694" spans="1:40">
      <c r="A694" s="143" t="s">
        <v>1754</v>
      </c>
      <c r="B694" s="141">
        <v>100</v>
      </c>
      <c r="C694" s="142">
        <f>B694*IBGE_2!C$694/100</f>
        <v>76.784999999999997</v>
      </c>
      <c r="D694" s="142">
        <f>B694*IBGE_2!D$694/100</f>
        <v>0.65300000000000002</v>
      </c>
      <c r="E694" s="142">
        <f>B694*IBGE_2!E$694/100</f>
        <v>6.2129999999999992</v>
      </c>
      <c r="F694" s="142">
        <f>B694*IBGE_2!F$694/100</f>
        <v>0.86499999999999999</v>
      </c>
      <c r="G694" s="142">
        <f>B694*IBGE_2!G$694/100</f>
        <v>4.4710000000000001</v>
      </c>
      <c r="H694" s="142">
        <f>B694*IBGE_2!H$694/100</f>
        <v>0.67400000000000004</v>
      </c>
      <c r="I694" s="142">
        <f>B694*IBGE_2!I$694/100</f>
        <v>0.626</v>
      </c>
      <c r="J694" s="142">
        <f>B694*IBGE_2!J$694/100</f>
        <v>4.8000000000000001E-2</v>
      </c>
      <c r="K694" s="142" t="s">
        <v>3047</v>
      </c>
      <c r="L694" s="142">
        <f>B694*IBGE_2!L$694/100</f>
        <v>3.68</v>
      </c>
      <c r="M694" s="142">
        <f>B694*IBGE_2!M$694/100</f>
        <v>0.92600000000000005</v>
      </c>
      <c r="N694" s="142">
        <f>B694*IBGE_2!N$694/100</f>
        <v>19.920000000000002</v>
      </c>
      <c r="O694" s="142">
        <f>B694*IBGE_2!O$694/100</f>
        <v>10.151999999999999</v>
      </c>
      <c r="P694" s="142">
        <f>B694*IBGE_2!P$694/100</f>
        <v>0.16200000000000001</v>
      </c>
      <c r="Q694" s="142">
        <f>B694*IBGE_2!Q$694/100</f>
        <v>19.03</v>
      </c>
      <c r="R694" s="142">
        <f>B694*IBGE_2!R$694/100</f>
        <v>0.64700000000000002</v>
      </c>
      <c r="S694" s="142">
        <f>B694*IBGE_2!S$694/100</f>
        <v>1299.7739999999999</v>
      </c>
      <c r="T694" s="142">
        <f>B694*IBGE_2!T$694/100</f>
        <v>156.70099999999999</v>
      </c>
      <c r="U694" s="142">
        <f>B694*IBGE_2!U$694/100</f>
        <v>3.6999999999999998E-2</v>
      </c>
      <c r="V694" s="142">
        <f>B694*IBGE_2!V$694/100</f>
        <v>0.16900000000000001</v>
      </c>
      <c r="W694" s="142" t="s">
        <v>3047</v>
      </c>
      <c r="X694" s="142">
        <f>B694*IBGE_2!X$694/100</f>
        <v>2.5000000000000001E-2</v>
      </c>
      <c r="Y694" s="142">
        <f>B694*IBGE_2!Y$694/100</f>
        <v>1.7000000000000001E-2</v>
      </c>
      <c r="Z694" s="142">
        <f>B694*IBGE_2!Z$694/100</f>
        <v>5.0999999999999997E-2</v>
      </c>
      <c r="AA694" s="142">
        <f>B694*IBGE_2!AA$694/100</f>
        <v>0.26900000000000002</v>
      </c>
      <c r="AB694" s="142">
        <f>B694*IBGE_2!AB$694/100</f>
        <v>13.732999999999999</v>
      </c>
      <c r="AC694" s="142">
        <f>B694*IBGE_2!AC$694/100</f>
        <v>0.39200000000000002</v>
      </c>
      <c r="AD694" s="145" t="s">
        <v>3047</v>
      </c>
      <c r="AE694" s="142">
        <f>B694*IBGE_2!AE$694/100</f>
        <v>17.933</v>
      </c>
      <c r="AF694" s="145" t="s">
        <v>3047</v>
      </c>
      <c r="AG694" s="142">
        <f>B694*IBGE_2!AG$694/100</f>
        <v>1.071</v>
      </c>
      <c r="AH694" s="142">
        <f>B694*IBGE_2!AH$694/100</f>
        <v>0.01</v>
      </c>
      <c r="AI694" s="142" t="s">
        <v>3047</v>
      </c>
      <c r="AJ694" s="142">
        <f>B694*IBGE_2!AJ$694/100</f>
        <v>0.14699999999999999</v>
      </c>
      <c r="AK694" s="142">
        <f>B694*IBGE_2!AK$694/100</f>
        <v>39.194000000000003</v>
      </c>
      <c r="AL694" s="142">
        <f>B694*IBGE_2!AL$694/100</f>
        <v>3.4219999999999997</v>
      </c>
      <c r="AM694" s="142" t="s">
        <v>3047</v>
      </c>
      <c r="AN694" s="161"/>
    </row>
    <row r="695" spans="1:40">
      <c r="A695" s="143" t="s">
        <v>1755</v>
      </c>
      <c r="B695" s="141">
        <v>100</v>
      </c>
      <c r="C695" s="142">
        <f>B695*IBGE_2!C$695/100</f>
        <v>204</v>
      </c>
      <c r="D695" s="142">
        <f>B695*IBGE_2!D$695/100</f>
        <v>30.67</v>
      </c>
      <c r="E695" s="142">
        <f>B695*IBGE_2!E$695/100</f>
        <v>9</v>
      </c>
      <c r="F695" s="142">
        <f>B695*IBGE_2!F$695/100</f>
        <v>3.415</v>
      </c>
      <c r="G695" s="142">
        <f>B695*IBGE_2!G$695/100</f>
        <v>3.9180000000000001</v>
      </c>
      <c r="H695" s="142">
        <f>B695*IBGE_2!H$695/100</f>
        <v>0.34699999999999998</v>
      </c>
      <c r="I695" s="142">
        <f>B695*IBGE_2!I$695/100</f>
        <v>0.23799999999999996</v>
      </c>
      <c r="J695" s="142">
        <f>B695*IBGE_2!J$695/100</f>
        <v>8.6999999999999994E-2</v>
      </c>
      <c r="K695" s="142">
        <f>B695*IBGE_2!K$695/100</f>
        <v>58</v>
      </c>
      <c r="L695" s="142" t="s">
        <v>3047</v>
      </c>
      <c r="M695" s="142" t="s">
        <v>3047</v>
      </c>
      <c r="N695" s="142">
        <f>B695*IBGE_2!N$695/100</f>
        <v>7</v>
      </c>
      <c r="O695" s="142">
        <f>B695*IBGE_2!O$695/100</f>
        <v>20</v>
      </c>
      <c r="P695" s="142">
        <f>B695*IBGE_2!P$695/100</f>
        <v>1.0999999999999999E-2</v>
      </c>
      <c r="Q695" s="142">
        <f>B695*IBGE_2!Q$695/100</f>
        <v>193</v>
      </c>
      <c r="R695" s="142">
        <f>B695*IBGE_2!R$695/100</f>
        <v>2.5299999999999998</v>
      </c>
      <c r="S695" s="142">
        <f>B695*IBGE_2!S$695/100</f>
        <v>41</v>
      </c>
      <c r="T695" s="142">
        <f>B695*IBGE_2!T$695/100</f>
        <v>252</v>
      </c>
      <c r="U695" s="142">
        <f>B695*IBGE_2!U$695/100</f>
        <v>7.3999999999999996E-2</v>
      </c>
      <c r="V695" s="142">
        <f>B695*IBGE_2!V$695/100</f>
        <v>5.2</v>
      </c>
      <c r="W695" s="142" t="s">
        <v>3047</v>
      </c>
      <c r="X695" s="142">
        <f>B695*IBGE_2!X$695/100</f>
        <v>7.0000000000000007E-2</v>
      </c>
      <c r="Y695" s="142">
        <f>B695*IBGE_2!Y$695/100</f>
        <v>0.16300000000000001</v>
      </c>
      <c r="Z695" s="142">
        <f>B695*IBGE_2!Z$695/100</f>
        <v>0.40300000000000002</v>
      </c>
      <c r="AA695" s="142">
        <f>B695*IBGE_2!AA$695/100</f>
        <v>5.36</v>
      </c>
      <c r="AB695" s="142" t="s">
        <v>3047</v>
      </c>
      <c r="AC695" s="142">
        <f>B695*IBGE_2!AC$695/100</f>
        <v>8.7270000000000003</v>
      </c>
      <c r="AD695" s="142">
        <f>B695*IBGE_2!AD$695/100</f>
        <v>1.71</v>
      </c>
      <c r="AE695" s="142">
        <f>B695*IBGE_2!AE$695/100</f>
        <v>10</v>
      </c>
      <c r="AF695" s="142">
        <f>B695*IBGE_2!AF$695/100</f>
        <v>0.6</v>
      </c>
      <c r="AG695" s="142">
        <f>B695*IBGE_2!AG$695/100</f>
        <v>0.43</v>
      </c>
      <c r="AH695" s="142">
        <f>B695*IBGE_2!AH$695/100</f>
        <v>0.40899999999999997</v>
      </c>
      <c r="AI695" s="142">
        <f>B695*IBGE_2!AI$695/100</f>
        <v>333</v>
      </c>
      <c r="AJ695" s="142">
        <f>B695*IBGE_2!AJ$695/100</f>
        <v>31.7</v>
      </c>
      <c r="AK695" s="142" t="s">
        <v>3047</v>
      </c>
      <c r="AL695" s="145" t="s">
        <v>3047</v>
      </c>
      <c r="AM695" s="142" t="s">
        <v>3047</v>
      </c>
      <c r="AN695" s="161"/>
    </row>
    <row r="696" spans="1:40">
      <c r="A696" s="143" t="s">
        <v>1756</v>
      </c>
      <c r="B696" s="141">
        <v>100</v>
      </c>
      <c r="C696" s="142">
        <f>B696*IBGE_2!C$696/100</f>
        <v>204</v>
      </c>
      <c r="D696" s="142">
        <f>B696*IBGE_2!D$696/100</f>
        <v>30.67</v>
      </c>
      <c r="E696" s="142">
        <f>B696*IBGE_2!E$696/100</f>
        <v>9</v>
      </c>
      <c r="F696" s="142">
        <f>B696*IBGE_2!F$696/100</f>
        <v>3.415</v>
      </c>
      <c r="G696" s="142">
        <f>B696*IBGE_2!G$696/100</f>
        <v>3.9180000000000001</v>
      </c>
      <c r="H696" s="142">
        <f>B696*IBGE_2!H$696/100</f>
        <v>0.34699999999999998</v>
      </c>
      <c r="I696" s="142">
        <f>B696*IBGE_2!I$696/100</f>
        <v>0.23799999999999996</v>
      </c>
      <c r="J696" s="142">
        <f>B696*IBGE_2!J$696/100</f>
        <v>8.6999999999999994E-2</v>
      </c>
      <c r="K696" s="142">
        <f>B696*IBGE_2!K$696/100</f>
        <v>58</v>
      </c>
      <c r="L696" s="142" t="s">
        <v>3047</v>
      </c>
      <c r="M696" s="142" t="s">
        <v>3047</v>
      </c>
      <c r="N696" s="142">
        <f>B696*IBGE_2!N$696/100</f>
        <v>7</v>
      </c>
      <c r="O696" s="142">
        <f>B696*IBGE_2!O$696/100</f>
        <v>20</v>
      </c>
      <c r="P696" s="142">
        <f>B696*IBGE_2!P$696/100</f>
        <v>1.0999999999999999E-2</v>
      </c>
      <c r="Q696" s="142">
        <f>B696*IBGE_2!Q$696/100</f>
        <v>193</v>
      </c>
      <c r="R696" s="142">
        <f>B696*IBGE_2!R$696/100</f>
        <v>2.5299999999999998</v>
      </c>
      <c r="S696" s="142">
        <f>B696*IBGE_2!S$696/100</f>
        <v>41</v>
      </c>
      <c r="T696" s="142">
        <f>B696*IBGE_2!T$696/100</f>
        <v>252</v>
      </c>
      <c r="U696" s="142">
        <f>B696*IBGE_2!U$696/100</f>
        <v>7.3999999999999996E-2</v>
      </c>
      <c r="V696" s="142">
        <f>B696*IBGE_2!V$696/100</f>
        <v>5.2</v>
      </c>
      <c r="W696" s="142" t="s">
        <v>3047</v>
      </c>
      <c r="X696" s="142">
        <f>B696*IBGE_2!X$696/100</f>
        <v>7.0000000000000007E-2</v>
      </c>
      <c r="Y696" s="142">
        <f>B696*IBGE_2!Y$696/100</f>
        <v>0.16300000000000001</v>
      </c>
      <c r="Z696" s="142">
        <f>B696*IBGE_2!Z$696/100</f>
        <v>0.40300000000000002</v>
      </c>
      <c r="AA696" s="142">
        <f>B696*IBGE_2!AA$696/100</f>
        <v>5.36</v>
      </c>
      <c r="AB696" s="142" t="s">
        <v>3047</v>
      </c>
      <c r="AC696" s="142">
        <f>B696*IBGE_2!AC$696/100</f>
        <v>8.7270000000000003</v>
      </c>
      <c r="AD696" s="142">
        <f>B696*IBGE_2!AD$696/100</f>
        <v>1.71</v>
      </c>
      <c r="AE696" s="142">
        <f>B696*IBGE_2!AE$696/100</f>
        <v>10</v>
      </c>
      <c r="AF696" s="142">
        <f>B696*IBGE_2!AF$696/100</f>
        <v>0.6</v>
      </c>
      <c r="AG696" s="142">
        <f>B696*IBGE_2!AG$696/100</f>
        <v>0.43</v>
      </c>
      <c r="AH696" s="142">
        <f>B696*IBGE_2!AH$696/100</f>
        <v>0.40899999999999997</v>
      </c>
      <c r="AI696" s="142">
        <f>B696*IBGE_2!AI$696/100</f>
        <v>333</v>
      </c>
      <c r="AJ696" s="142">
        <f>B696*IBGE_2!AJ$696/100</f>
        <v>31.7</v>
      </c>
      <c r="AK696" s="142" t="s">
        <v>3047</v>
      </c>
      <c r="AL696" s="145" t="s">
        <v>3047</v>
      </c>
      <c r="AM696" s="142" t="s">
        <v>3047</v>
      </c>
      <c r="AN696" s="161"/>
    </row>
    <row r="697" spans="1:40">
      <c r="A697" s="143" t="s">
        <v>1757</v>
      </c>
      <c r="B697" s="141">
        <v>100</v>
      </c>
      <c r="C697" s="142">
        <f>B697*IBGE_2!C$697/100</f>
        <v>204</v>
      </c>
      <c r="D697" s="142">
        <f>B697*IBGE_2!D$697/100</f>
        <v>30.67</v>
      </c>
      <c r="E697" s="142">
        <f>B697*IBGE_2!E$697/100</f>
        <v>9</v>
      </c>
      <c r="F697" s="142">
        <f>B697*IBGE_2!F$697/100</f>
        <v>3.415</v>
      </c>
      <c r="G697" s="142">
        <f>B697*IBGE_2!G$697/100</f>
        <v>3.9180000000000001</v>
      </c>
      <c r="H697" s="142">
        <f>B697*IBGE_2!H$697/100</f>
        <v>0.34699999999999998</v>
      </c>
      <c r="I697" s="142">
        <f>B697*IBGE_2!I$697/100</f>
        <v>0.23799999999999996</v>
      </c>
      <c r="J697" s="142">
        <f>B697*IBGE_2!J$697/100</f>
        <v>8.6999999999999994E-2</v>
      </c>
      <c r="K697" s="142">
        <f>B697*IBGE_2!K$697/100</f>
        <v>58</v>
      </c>
      <c r="L697" s="142" t="s">
        <v>3047</v>
      </c>
      <c r="M697" s="142" t="s">
        <v>3047</v>
      </c>
      <c r="N697" s="142">
        <f>B697*IBGE_2!N$697/100</f>
        <v>7</v>
      </c>
      <c r="O697" s="142">
        <f>B697*IBGE_2!O$697/100</f>
        <v>20</v>
      </c>
      <c r="P697" s="142">
        <f>B697*IBGE_2!P$697/100</f>
        <v>1.0999999999999999E-2</v>
      </c>
      <c r="Q697" s="142">
        <f>B697*IBGE_2!Q$697/100</f>
        <v>193</v>
      </c>
      <c r="R697" s="142">
        <f>B697*IBGE_2!R$697/100</f>
        <v>2.5299999999999998</v>
      </c>
      <c r="S697" s="142">
        <f>B697*IBGE_2!S$697/100</f>
        <v>41</v>
      </c>
      <c r="T697" s="142">
        <f>B697*IBGE_2!T$697/100</f>
        <v>252</v>
      </c>
      <c r="U697" s="142">
        <f>B697*IBGE_2!U$697/100</f>
        <v>7.3999999999999996E-2</v>
      </c>
      <c r="V697" s="142">
        <f>B697*IBGE_2!V$697/100</f>
        <v>5.2</v>
      </c>
      <c r="W697" s="142" t="s">
        <v>3047</v>
      </c>
      <c r="X697" s="142">
        <f>B697*IBGE_2!X$697/100</f>
        <v>7.0000000000000007E-2</v>
      </c>
      <c r="Y697" s="142">
        <f>B697*IBGE_2!Y$697/100</f>
        <v>0.16300000000000001</v>
      </c>
      <c r="Z697" s="142">
        <f>B697*IBGE_2!Z$697/100</f>
        <v>0.40300000000000002</v>
      </c>
      <c r="AA697" s="142">
        <f>B697*IBGE_2!AA$697/100</f>
        <v>5.36</v>
      </c>
      <c r="AB697" s="142" t="s">
        <v>3047</v>
      </c>
      <c r="AC697" s="142">
        <f>B697*IBGE_2!AC$697/100</f>
        <v>8.7270000000000003</v>
      </c>
      <c r="AD697" s="142">
        <f>B697*IBGE_2!AD$697/100</f>
        <v>1.71</v>
      </c>
      <c r="AE697" s="142">
        <f>B697*IBGE_2!AE$697/100</f>
        <v>10</v>
      </c>
      <c r="AF697" s="142">
        <f>B697*IBGE_2!AF$697/100</f>
        <v>0.6</v>
      </c>
      <c r="AG697" s="142">
        <f>B697*IBGE_2!AG$697/100</f>
        <v>0.43</v>
      </c>
      <c r="AH697" s="142">
        <f>B697*IBGE_2!AH$697/100</f>
        <v>0.40899999999999997</v>
      </c>
      <c r="AI697" s="142">
        <f>B697*IBGE_2!AI$697/100</f>
        <v>333</v>
      </c>
      <c r="AJ697" s="142">
        <f>B697*IBGE_2!AJ$697/100</f>
        <v>31.7</v>
      </c>
      <c r="AK697" s="142" t="s">
        <v>3047</v>
      </c>
      <c r="AL697" s="145" t="s">
        <v>3047</v>
      </c>
      <c r="AM697" s="142" t="s">
        <v>3047</v>
      </c>
      <c r="AN697" s="161"/>
    </row>
    <row r="698" spans="1:40">
      <c r="A698" s="143" t="s">
        <v>1758</v>
      </c>
      <c r="B698" s="141">
        <v>100</v>
      </c>
      <c r="C698" s="142">
        <f>B698*IBGE_2!C$698/100</f>
        <v>226.65899999999999</v>
      </c>
      <c r="D698" s="142">
        <f>B698*IBGE_2!D$698/100</f>
        <v>30.67</v>
      </c>
      <c r="E698" s="142">
        <f>B698*IBGE_2!E$698/100</f>
        <v>11.562999999999999</v>
      </c>
      <c r="F698" s="142">
        <f>B698*IBGE_2!F$698/100</f>
        <v>3.8159999999999998</v>
      </c>
      <c r="G698" s="142">
        <f>B698*IBGE_2!G$698/100</f>
        <v>4.5019999999999998</v>
      </c>
      <c r="H698" s="142">
        <f>B698*IBGE_2!H$698/100</f>
        <v>1.827</v>
      </c>
      <c r="I698" s="142">
        <f>B698*IBGE_2!I$698/100</f>
        <v>1.544</v>
      </c>
      <c r="J698" s="142">
        <f>B698*IBGE_2!J$698/100</f>
        <v>0.26100000000000001</v>
      </c>
      <c r="K698" s="142">
        <f>B698*IBGE_2!K$698/100</f>
        <v>58</v>
      </c>
      <c r="L698" s="142" t="s">
        <v>3047</v>
      </c>
      <c r="M698" s="142" t="s">
        <v>3047</v>
      </c>
      <c r="N698" s="142">
        <f>B698*IBGE_2!N$698/100</f>
        <v>7</v>
      </c>
      <c r="O698" s="142">
        <f>B698*IBGE_2!O$698/100</f>
        <v>20</v>
      </c>
      <c r="P698" s="142">
        <f>B698*IBGE_2!P$698/100</f>
        <v>1.0999999999999999E-2</v>
      </c>
      <c r="Q698" s="142">
        <f>B698*IBGE_2!Q$698/100</f>
        <v>193</v>
      </c>
      <c r="R698" s="142">
        <f>B698*IBGE_2!R$698/100</f>
        <v>2.5310000000000001</v>
      </c>
      <c r="S698" s="142">
        <f>B698*IBGE_2!S$698/100</f>
        <v>41</v>
      </c>
      <c r="T698" s="142">
        <f>B698*IBGE_2!T$698/100</f>
        <v>252</v>
      </c>
      <c r="U698" s="142">
        <f>B698*IBGE_2!U$698/100</f>
        <v>7.3999999999999996E-2</v>
      </c>
      <c r="V698" s="142">
        <f>B698*IBGE_2!V$698/100</f>
        <v>5.2</v>
      </c>
      <c r="W698" s="142" t="s">
        <v>3047</v>
      </c>
      <c r="X698" s="142">
        <f>B698*IBGE_2!X$698/100</f>
        <v>7.0000000000000007E-2</v>
      </c>
      <c r="Y698" s="142">
        <f>B698*IBGE_2!Y$698/100</f>
        <v>0.16300000000000001</v>
      </c>
      <c r="Z698" s="142">
        <f>B698*IBGE_2!Z$698/100</f>
        <v>0.40300000000000002</v>
      </c>
      <c r="AA698" s="142">
        <f>B698*IBGE_2!AA$698/100</f>
        <v>5.36</v>
      </c>
      <c r="AB698" s="142" t="s">
        <v>3047</v>
      </c>
      <c r="AC698" s="142">
        <f>B698*IBGE_2!AC$698/100</f>
        <v>8.7270000000000003</v>
      </c>
      <c r="AD698" s="142">
        <f>B698*IBGE_2!AD$698/100</f>
        <v>1.71</v>
      </c>
      <c r="AE698" s="142">
        <f>B698*IBGE_2!AE$698/100</f>
        <v>10</v>
      </c>
      <c r="AF698" s="142">
        <f>B698*IBGE_2!AF$698/100</f>
        <v>0.6</v>
      </c>
      <c r="AG698" s="142">
        <f>B698*IBGE_2!AG$698/100</f>
        <v>0.64</v>
      </c>
      <c r="AH698" s="142">
        <f>B698*IBGE_2!AH$698/100</f>
        <v>0.42299999999999999</v>
      </c>
      <c r="AI698" s="142">
        <f>B698*IBGE_2!AI$698/100</f>
        <v>333</v>
      </c>
      <c r="AJ698" s="142">
        <f>B698*IBGE_2!AJ$698/100</f>
        <v>32.875</v>
      </c>
      <c r="AK698" s="142" t="s">
        <v>3047</v>
      </c>
      <c r="AL698" s="145" t="s">
        <v>3047</v>
      </c>
      <c r="AM698" s="142" t="s">
        <v>3047</v>
      </c>
      <c r="AN698" s="161"/>
    </row>
    <row r="699" spans="1:40">
      <c r="A699" s="143" t="s">
        <v>1759</v>
      </c>
      <c r="B699" s="141">
        <v>100</v>
      </c>
      <c r="C699" s="142">
        <f>B699*IBGE_2!C$699/100</f>
        <v>242.83699999999996</v>
      </c>
      <c r="D699" s="142">
        <f>B699*IBGE_2!D$699/100</f>
        <v>31.129000000000001</v>
      </c>
      <c r="E699" s="142">
        <f>B699*IBGE_2!E$699/100</f>
        <v>11.606999999999998</v>
      </c>
      <c r="F699" s="142">
        <f>B699*IBGE_2!F$699/100</f>
        <v>3.823</v>
      </c>
      <c r="G699" s="142">
        <f>B699*IBGE_2!G$699/100</f>
        <v>4.5060000000000002</v>
      </c>
      <c r="H699" s="142">
        <f>B699*IBGE_2!H$699/100</f>
        <v>1.845</v>
      </c>
      <c r="I699" s="142">
        <f>B699*IBGE_2!I$699/100</f>
        <v>1.5609999999999999</v>
      </c>
      <c r="J699" s="142">
        <f>B699*IBGE_2!J$699/100</f>
        <v>0.26200000000000001</v>
      </c>
      <c r="K699" s="142">
        <f>B699*IBGE_2!K$699/100</f>
        <v>58</v>
      </c>
      <c r="L699" s="142">
        <f>B699*IBGE_2!L$699/100</f>
        <v>3.3919999999999999</v>
      </c>
      <c r="M699" s="142">
        <f>B699*IBGE_2!M$699/100</f>
        <v>0.13500000000000001</v>
      </c>
      <c r="N699" s="142">
        <f>B699*IBGE_2!N$699/100</f>
        <v>7.6669999999999989</v>
      </c>
      <c r="O699" s="142">
        <f>B699*IBGE_2!O$699/100</f>
        <v>20.978000000000002</v>
      </c>
      <c r="P699" s="142">
        <f>B699*IBGE_2!P$699/100</f>
        <v>4.1000000000000009E-2</v>
      </c>
      <c r="Q699" s="142">
        <f>B699*IBGE_2!Q$699/100</f>
        <v>197.8</v>
      </c>
      <c r="R699" s="142">
        <f>B699*IBGE_2!R$699/100</f>
        <v>2.738</v>
      </c>
      <c r="S699" s="142">
        <f>B699*IBGE_2!S$699/100</f>
        <v>41.088999999999999</v>
      </c>
      <c r="T699" s="142">
        <f>B699*IBGE_2!T$699/100</f>
        <v>256.75599999999997</v>
      </c>
      <c r="U699" s="142">
        <f>B699*IBGE_2!U$699/100</f>
        <v>0.08</v>
      </c>
      <c r="V699" s="142">
        <f>B699*IBGE_2!V$699/100</f>
        <v>5.2309999999999999</v>
      </c>
      <c r="W699" s="142" t="s">
        <v>3047</v>
      </c>
      <c r="X699" s="142">
        <f>B699*IBGE_2!X$699/100</f>
        <v>0.105</v>
      </c>
      <c r="Y699" s="142">
        <f>B699*IBGE_2!Y$699/100</f>
        <v>0.185</v>
      </c>
      <c r="Z699" s="142">
        <f>B699*IBGE_2!Z$699/100</f>
        <v>0.40500000000000003</v>
      </c>
      <c r="AA699" s="142">
        <f>B699*IBGE_2!AA$699/100</f>
        <v>5.6220000000000008</v>
      </c>
      <c r="AB699" s="142" t="s">
        <v>3047</v>
      </c>
      <c r="AC699" s="142">
        <f>B699*IBGE_2!AC$699/100</f>
        <v>9.0830000000000002</v>
      </c>
      <c r="AD699" s="142">
        <f>B699*IBGE_2!AD$699/100</f>
        <v>1.71</v>
      </c>
      <c r="AE699" s="142">
        <f>B699*IBGE_2!AE$699/100</f>
        <v>19.067</v>
      </c>
      <c r="AF699" s="142">
        <f>B699*IBGE_2!AF$699/100</f>
        <v>0.6</v>
      </c>
      <c r="AG699" s="142">
        <f>B699*IBGE_2!AG$699/100</f>
        <v>0.64200000000000002</v>
      </c>
      <c r="AH699" s="142">
        <f>B699*IBGE_2!AH$699/100</f>
        <v>0.42299999999999999</v>
      </c>
      <c r="AI699" s="142">
        <f>B699*IBGE_2!AI$699/100</f>
        <v>333</v>
      </c>
      <c r="AJ699" s="142">
        <f>B699*IBGE_2!AJ$699/100</f>
        <v>34.381</v>
      </c>
      <c r="AK699" s="142" t="s">
        <v>3047</v>
      </c>
      <c r="AL699" s="142">
        <f>B699*IBGE_2!AL$699/100</f>
        <v>1.4000000000000002E-2</v>
      </c>
      <c r="AM699" s="142" t="s">
        <v>3047</v>
      </c>
      <c r="AN699" s="161"/>
    </row>
    <row r="700" spans="1:40">
      <c r="A700" s="143" t="s">
        <v>1760</v>
      </c>
      <c r="B700" s="141">
        <v>100</v>
      </c>
      <c r="C700" s="142">
        <f>B700*IBGE_2!C$700/100</f>
        <v>226.65899999999999</v>
      </c>
      <c r="D700" s="142">
        <f>B700*IBGE_2!D$700/100</f>
        <v>30.67</v>
      </c>
      <c r="E700" s="142">
        <f>B700*IBGE_2!E$700/100</f>
        <v>11.562999999999999</v>
      </c>
      <c r="F700" s="142">
        <f>B700*IBGE_2!F$700/100</f>
        <v>3.8159999999999998</v>
      </c>
      <c r="G700" s="142">
        <f>B700*IBGE_2!G$700/100</f>
        <v>4.5019999999999998</v>
      </c>
      <c r="H700" s="142">
        <f>B700*IBGE_2!H$700/100</f>
        <v>1.827</v>
      </c>
      <c r="I700" s="142">
        <f>B700*IBGE_2!I$700/100</f>
        <v>1.544</v>
      </c>
      <c r="J700" s="142">
        <f>B700*IBGE_2!J$700/100</f>
        <v>0.26100000000000001</v>
      </c>
      <c r="K700" s="142">
        <f>B700*IBGE_2!K$700/100</f>
        <v>58</v>
      </c>
      <c r="L700" s="142" t="s">
        <v>3047</v>
      </c>
      <c r="M700" s="142" t="s">
        <v>3047</v>
      </c>
      <c r="N700" s="142">
        <f>B700*IBGE_2!N$700/100</f>
        <v>7</v>
      </c>
      <c r="O700" s="142">
        <f>B700*IBGE_2!O$700/100</f>
        <v>20</v>
      </c>
      <c r="P700" s="142">
        <f>B700*IBGE_2!P$700/100</f>
        <v>1.0999999999999999E-2</v>
      </c>
      <c r="Q700" s="142">
        <f>B700*IBGE_2!Q$700/100</f>
        <v>193</v>
      </c>
      <c r="R700" s="142">
        <f>B700*IBGE_2!R$700/100</f>
        <v>2.5310000000000001</v>
      </c>
      <c r="S700" s="142">
        <f>B700*IBGE_2!S$700/100</f>
        <v>41</v>
      </c>
      <c r="T700" s="142">
        <f>B700*IBGE_2!T$700/100</f>
        <v>252</v>
      </c>
      <c r="U700" s="142">
        <f>B700*IBGE_2!U$700/100</f>
        <v>7.3999999999999996E-2</v>
      </c>
      <c r="V700" s="142">
        <f>B700*IBGE_2!V$700/100</f>
        <v>5.2</v>
      </c>
      <c r="W700" s="142" t="s">
        <v>3047</v>
      </c>
      <c r="X700" s="142">
        <f>B700*IBGE_2!X$700/100</f>
        <v>7.0000000000000007E-2</v>
      </c>
      <c r="Y700" s="142">
        <f>B700*IBGE_2!Y$700/100</f>
        <v>0.16300000000000001</v>
      </c>
      <c r="Z700" s="142">
        <f>B700*IBGE_2!Z$700/100</f>
        <v>0.40300000000000002</v>
      </c>
      <c r="AA700" s="142">
        <f>B700*IBGE_2!AA$700/100</f>
        <v>5.36</v>
      </c>
      <c r="AB700" s="142" t="s">
        <v>3047</v>
      </c>
      <c r="AC700" s="142">
        <f>B700*IBGE_2!AC$700/100</f>
        <v>8.7270000000000003</v>
      </c>
      <c r="AD700" s="142">
        <f>B700*IBGE_2!AD$700/100</f>
        <v>1.71</v>
      </c>
      <c r="AE700" s="142">
        <f>B700*IBGE_2!AE$700/100</f>
        <v>10</v>
      </c>
      <c r="AF700" s="142">
        <f>B700*IBGE_2!AF$700/100</f>
        <v>0.6</v>
      </c>
      <c r="AG700" s="142">
        <f>B700*IBGE_2!AG$700/100</f>
        <v>0.64</v>
      </c>
      <c r="AH700" s="142">
        <f>B700*IBGE_2!AH$700/100</f>
        <v>0.42299999999999999</v>
      </c>
      <c r="AI700" s="142">
        <f>B700*IBGE_2!AI$700/100</f>
        <v>333</v>
      </c>
      <c r="AJ700" s="142">
        <f>B700*IBGE_2!AJ$700/100</f>
        <v>32.875</v>
      </c>
      <c r="AK700" s="145" t="s">
        <v>3047</v>
      </c>
      <c r="AL700" s="145" t="s">
        <v>3047</v>
      </c>
      <c r="AM700" s="142" t="s">
        <v>3047</v>
      </c>
      <c r="AN700" s="161"/>
    </row>
    <row r="701" spans="1:40">
      <c r="A701" s="143" t="s">
        <v>1761</v>
      </c>
      <c r="B701" s="141">
        <v>100</v>
      </c>
      <c r="C701" s="142">
        <f>B701*IBGE_2!C$701/100</f>
        <v>168</v>
      </c>
      <c r="D701" s="142">
        <f>B701*IBGE_2!D$701/100</f>
        <v>24.8</v>
      </c>
      <c r="E701" s="142">
        <f>B701*IBGE_2!E$701/100</f>
        <v>7.2360000000000007</v>
      </c>
      <c r="F701" s="142">
        <f>B701*IBGE_2!F$701/100</f>
        <v>2.7370000000000001</v>
      </c>
      <c r="G701" s="142">
        <f>B701*IBGE_2!G$701/100</f>
        <v>3.14</v>
      </c>
      <c r="H701" s="142">
        <f>B701*IBGE_2!H$701/100</f>
        <v>0.29199999999999998</v>
      </c>
      <c r="I701" s="142">
        <f>B701*IBGE_2!I$701/100</f>
        <v>0.20399999999999999</v>
      </c>
      <c r="J701" s="142">
        <f>B701*IBGE_2!J$701/100</f>
        <v>7.0000000000000007E-2</v>
      </c>
      <c r="K701" s="142">
        <f>B701*IBGE_2!K$701/100</f>
        <v>46.4</v>
      </c>
      <c r="L701" s="142">
        <f>B701*IBGE_2!L$701/100</f>
        <v>1.0760000000000001</v>
      </c>
      <c r="M701" s="142">
        <f>B701*IBGE_2!M$701/100</f>
        <v>0.3</v>
      </c>
      <c r="N701" s="142">
        <f>B701*IBGE_2!N$701/100</f>
        <v>8.1999999999999993</v>
      </c>
      <c r="O701" s="142">
        <f>B701*IBGE_2!O$701/100</f>
        <v>19.2</v>
      </c>
      <c r="P701" s="142">
        <f>B701*IBGE_2!P$701/100</f>
        <v>0.03</v>
      </c>
      <c r="Q701" s="142">
        <f>B701*IBGE_2!Q$701/100</f>
        <v>159.6</v>
      </c>
      <c r="R701" s="142">
        <f>B701*IBGE_2!R$701/100</f>
        <v>2.2280000000000002</v>
      </c>
      <c r="S701" s="142">
        <f>B701*IBGE_2!S$701/100</f>
        <v>137.6</v>
      </c>
      <c r="T701" s="142">
        <f>B701*IBGE_2!T$701/100</f>
        <v>267.8</v>
      </c>
      <c r="U701" s="142">
        <f>B701*IBGE_2!U$701/100</f>
        <v>8.3000000000000004E-2</v>
      </c>
      <c r="V701" s="142">
        <f>B701*IBGE_2!V$701/100</f>
        <v>4.2</v>
      </c>
      <c r="W701" s="142" t="s">
        <v>3047</v>
      </c>
      <c r="X701" s="142">
        <f>B701*IBGE_2!X$701/100</f>
        <v>6.0999999999999999E-2</v>
      </c>
      <c r="Y701" s="142">
        <f>B701*IBGE_2!Y$701/100</f>
        <v>0.14399999999999999</v>
      </c>
      <c r="Z701" s="142">
        <f>B701*IBGE_2!Z$701/100</f>
        <v>0.34200000000000003</v>
      </c>
      <c r="AA701" s="142">
        <f>B701*IBGE_2!AA$701/100</f>
        <v>4.4829999999999997</v>
      </c>
      <c r="AB701" s="142">
        <f>B701*IBGE_2!AB$701/100</f>
        <v>1.4</v>
      </c>
      <c r="AC701" s="142">
        <f>B701*IBGE_2!AC$701/100</f>
        <v>7.21</v>
      </c>
      <c r="AD701" s="142">
        <f>B701*IBGE_2!AD$701/100</f>
        <v>1.3680000000000001</v>
      </c>
      <c r="AE701" s="142">
        <f>B701*IBGE_2!AE$701/100</f>
        <v>10.199999999999999</v>
      </c>
      <c r="AF701" s="142">
        <f>B701*IBGE_2!AF$701/100</f>
        <v>0.48</v>
      </c>
      <c r="AG701" s="142">
        <f>B701*IBGE_2!AG$701/100</f>
        <v>0.628</v>
      </c>
      <c r="AH701" s="142">
        <f>B701*IBGE_2!AH$701/100</f>
        <v>0.32700000000000001</v>
      </c>
      <c r="AI701" s="142">
        <f>B701*IBGE_2!AI$701/100</f>
        <v>333</v>
      </c>
      <c r="AJ701" s="142">
        <f>B701*IBGE_2!AJ$701/100</f>
        <v>25.4</v>
      </c>
      <c r="AK701" s="145" t="s">
        <v>3047</v>
      </c>
      <c r="AL701" s="142">
        <f>B701*IBGE_2!AL$701/100</f>
        <v>0.85</v>
      </c>
      <c r="AM701" s="142" t="s">
        <v>3047</v>
      </c>
      <c r="AN701" s="161"/>
    </row>
    <row r="702" spans="1:40">
      <c r="A702" s="143" t="s">
        <v>1762</v>
      </c>
      <c r="B702" s="141">
        <v>100</v>
      </c>
      <c r="C702" s="142">
        <f>B702*IBGE_2!C$702/100</f>
        <v>195.79</v>
      </c>
      <c r="D702" s="142">
        <f>B702*IBGE_2!D$702/100</f>
        <v>25.315000000000001</v>
      </c>
      <c r="E702" s="142">
        <f>B702*IBGE_2!E$702/100</f>
        <v>9.6890000000000001</v>
      </c>
      <c r="F702" s="142">
        <f>B702*IBGE_2!F$702/100</f>
        <v>4.2640000000000002</v>
      </c>
      <c r="G702" s="142">
        <f>B702*IBGE_2!G$702/100</f>
        <v>3.7709999999999995</v>
      </c>
      <c r="H702" s="142">
        <f>B702*IBGE_2!H$702/100</f>
        <v>0.39</v>
      </c>
      <c r="I702" s="142">
        <f>B702*IBGE_2!I$702/100</f>
        <v>0.28100000000000003</v>
      </c>
      <c r="J702" s="142">
        <f>B702*IBGE_2!J$702/100</f>
        <v>9.1999999999999998E-2</v>
      </c>
      <c r="K702" s="142">
        <f>B702*IBGE_2!K$702/100</f>
        <v>53.23299999999999</v>
      </c>
      <c r="L702" s="142">
        <f>B702*IBGE_2!L$702/100</f>
        <v>1.851</v>
      </c>
      <c r="M702" s="142">
        <f>B702*IBGE_2!M$702/100</f>
        <v>4.2999999999999997E-2</v>
      </c>
      <c r="N702" s="142">
        <f>B702*IBGE_2!N$702/100</f>
        <v>28.478999999999999</v>
      </c>
      <c r="O702" s="142">
        <f>B702*IBGE_2!O$702/100</f>
        <v>18.312000000000001</v>
      </c>
      <c r="P702" s="142">
        <f>B702*IBGE_2!P$702/100</f>
        <v>1.9E-2</v>
      </c>
      <c r="Q702" s="142">
        <f>B702*IBGE_2!Q$702/100</f>
        <v>174.09299999999999</v>
      </c>
      <c r="R702" s="142">
        <f>B702*IBGE_2!R$702/100</f>
        <v>2.0939999999999999</v>
      </c>
      <c r="S702" s="142">
        <f>B702*IBGE_2!S$702/100</f>
        <v>53.716999999999999</v>
      </c>
      <c r="T702" s="142">
        <f>B702*IBGE_2!T$702/100</f>
        <v>231.65400000000002</v>
      </c>
      <c r="U702" s="142">
        <f>B702*IBGE_2!U$702/100</f>
        <v>6.3E-2</v>
      </c>
      <c r="V702" s="142">
        <f>B702*IBGE_2!V$702/100</f>
        <v>4.2489999999999997</v>
      </c>
      <c r="W702" s="142">
        <f>B702*IBGE_2!W$702/100</f>
        <v>20.696999999999999</v>
      </c>
      <c r="X702" s="142">
        <f>B702*IBGE_2!X$702/100</f>
        <v>7.4999999999999997E-2</v>
      </c>
      <c r="Y702" s="142">
        <f>B702*IBGE_2!Y$702/100</f>
        <v>0.17299999999999996</v>
      </c>
      <c r="Z702" s="142">
        <f>B702*IBGE_2!Z$702/100</f>
        <v>0.33</v>
      </c>
      <c r="AA702" s="142">
        <f>B702*IBGE_2!AA$702/100</f>
        <v>4.3840000000000003</v>
      </c>
      <c r="AB702" s="142">
        <f>B702*IBGE_2!AB$702/100</f>
        <v>4.0000000000000001E-3</v>
      </c>
      <c r="AC702" s="142">
        <f>B702*IBGE_2!AC$702/100</f>
        <v>7.3520000000000003</v>
      </c>
      <c r="AD702" s="142">
        <f>B702*IBGE_2!AD$702/100</f>
        <v>1.4579999999999997</v>
      </c>
      <c r="AE702" s="142">
        <f>B702*IBGE_2!AE$702/100</f>
        <v>11.595999999999998</v>
      </c>
      <c r="AF702" s="142">
        <f>B702*IBGE_2!AF$702/100</f>
        <v>0.70700000000000007</v>
      </c>
      <c r="AG702" s="142">
        <f>B702*IBGE_2!AG$702/100</f>
        <v>0.40899999999999997</v>
      </c>
      <c r="AH702" s="142">
        <f>B702*IBGE_2!AH$702/100</f>
        <v>0.42399999999999999</v>
      </c>
      <c r="AI702" s="142">
        <f>B702*IBGE_2!AI$702/100</f>
        <v>333</v>
      </c>
      <c r="AJ702" s="142">
        <f>B702*IBGE_2!AJ$702/100</f>
        <v>26.529</v>
      </c>
      <c r="AK702" s="142">
        <f>B702*IBGE_2!AK$702/100</f>
        <v>21.081</v>
      </c>
      <c r="AL702" s="142">
        <f>B702*IBGE_2!AL$702/100</f>
        <v>1.0329999999999999</v>
      </c>
      <c r="AM702" s="142" t="s">
        <v>3047</v>
      </c>
      <c r="AN702" s="161"/>
    </row>
    <row r="703" spans="1:40">
      <c r="A703" s="143" t="s">
        <v>1763</v>
      </c>
      <c r="B703" s="141">
        <v>100</v>
      </c>
      <c r="C703" s="142">
        <f>B703*IBGE_2!C$703/100</f>
        <v>223.137</v>
      </c>
      <c r="D703" s="142">
        <f>B703*IBGE_2!D$703/100</f>
        <v>30.693000000000001</v>
      </c>
      <c r="E703" s="142">
        <f>B703*IBGE_2!E$703/100</f>
        <v>11.164999999999999</v>
      </c>
      <c r="F703" s="142">
        <f>B703*IBGE_2!F$703/100</f>
        <v>4.7859999999999996</v>
      </c>
      <c r="G703" s="142">
        <f>B703*IBGE_2!G$703/100</f>
        <v>4.4790000000000001</v>
      </c>
      <c r="H703" s="142">
        <f>B703*IBGE_2!H$703/100</f>
        <v>0.42799999999999999</v>
      </c>
      <c r="I703" s="142">
        <f>B703*IBGE_2!I$703/100</f>
        <v>0.311</v>
      </c>
      <c r="J703" s="142">
        <f>B703*IBGE_2!J$703/100</f>
        <v>9.5000000000000001E-2</v>
      </c>
      <c r="K703" s="142">
        <f>B703*IBGE_2!K$703/100</f>
        <v>63.738</v>
      </c>
      <c r="L703" s="142">
        <f>B703*IBGE_2!L$703/100</f>
        <v>2E-3</v>
      </c>
      <c r="M703" s="142" t="s">
        <v>3047</v>
      </c>
      <c r="N703" s="142">
        <f>B703*IBGE_2!N$703/100</f>
        <v>7.641</v>
      </c>
      <c r="O703" s="142">
        <f>B703*IBGE_2!O$703/100</f>
        <v>20.053000000000001</v>
      </c>
      <c r="P703" s="142">
        <f>B703*IBGE_2!P$703/100</f>
        <v>1.0999999999999999E-2</v>
      </c>
      <c r="Q703" s="142">
        <f>B703*IBGE_2!Q$703/100</f>
        <v>193.64099999999999</v>
      </c>
      <c r="R703" s="142">
        <f>B703*IBGE_2!R$703/100</f>
        <v>2.5310000000000001</v>
      </c>
      <c r="S703" s="142">
        <f>B703*IBGE_2!S$703/100</f>
        <v>56.374000000000002</v>
      </c>
      <c r="T703" s="142">
        <f>B703*IBGE_2!T$703/100</f>
        <v>252.64099999999999</v>
      </c>
      <c r="U703" s="142">
        <f>B703*IBGE_2!U$703/100</f>
        <v>7.3999999999999996E-2</v>
      </c>
      <c r="V703" s="142">
        <f>B703*IBGE_2!V$703/100</f>
        <v>5.2020000000000008</v>
      </c>
      <c r="W703" s="142">
        <f>B703*IBGE_2!W$703/100</f>
        <v>17.908999999999999</v>
      </c>
      <c r="X703" s="142">
        <f>B703*IBGE_2!X$703/100</f>
        <v>7.0000000000000007E-2</v>
      </c>
      <c r="Y703" s="142">
        <f>B703*IBGE_2!Y$703/100</f>
        <v>0.16400000000000003</v>
      </c>
      <c r="Z703" s="142">
        <f>B703*IBGE_2!Z$703/100</f>
        <v>0.40300000000000002</v>
      </c>
      <c r="AA703" s="142">
        <f>B703*IBGE_2!AA$703/100</f>
        <v>5.3610000000000007</v>
      </c>
      <c r="AB703" s="142" t="s">
        <v>3047</v>
      </c>
      <c r="AC703" s="142">
        <f>B703*IBGE_2!AC$703/100</f>
        <v>8.7330000000000005</v>
      </c>
      <c r="AD703" s="142">
        <f>B703*IBGE_2!AD$703/100</f>
        <v>1.7150000000000001</v>
      </c>
      <c r="AE703" s="142">
        <f>B703*IBGE_2!AE$703/100</f>
        <v>10.08</v>
      </c>
      <c r="AF703" s="142">
        <f>B703*IBGE_2!AF$703/100</f>
        <v>0.63700000000000001</v>
      </c>
      <c r="AG703" s="142">
        <f>B703*IBGE_2!AG$703/100</f>
        <v>0.49200000000000005</v>
      </c>
      <c r="AH703" s="142">
        <f>B703*IBGE_2!AH$703/100</f>
        <v>0.496</v>
      </c>
      <c r="AI703" s="142">
        <f>B703*IBGE_2!AI$703/100</f>
        <v>333</v>
      </c>
      <c r="AJ703" s="142">
        <f>B703*IBGE_2!AJ$703/100</f>
        <v>31.726999999999997</v>
      </c>
      <c r="AK703" s="142">
        <f>B703*IBGE_2!AK$703/100</f>
        <v>18.260999999999999</v>
      </c>
      <c r="AL703" s="142">
        <f>B703*IBGE_2!AL$703/100</f>
        <v>3.0000000000000001E-3</v>
      </c>
      <c r="AM703" s="142" t="s">
        <v>3047</v>
      </c>
      <c r="AN703" s="161"/>
    </row>
    <row r="704" spans="1:40">
      <c r="A704" s="143" t="s">
        <v>1764</v>
      </c>
      <c r="B704" s="141">
        <v>100</v>
      </c>
      <c r="C704" s="142">
        <f>B704*IBGE_2!C$704/100</f>
        <v>204</v>
      </c>
      <c r="D704" s="142">
        <f>B704*IBGE_2!D$704/100</f>
        <v>30.67</v>
      </c>
      <c r="E704" s="142">
        <f>B704*IBGE_2!E$704/100</f>
        <v>9</v>
      </c>
      <c r="F704" s="142">
        <f>B704*IBGE_2!F$704/100</f>
        <v>3.415</v>
      </c>
      <c r="G704" s="142">
        <f>B704*IBGE_2!G$704/100</f>
        <v>3.9180000000000001</v>
      </c>
      <c r="H704" s="142">
        <f>B704*IBGE_2!H$704/100</f>
        <v>0.34699999999999998</v>
      </c>
      <c r="I704" s="142">
        <f>B704*IBGE_2!I$704/100</f>
        <v>0.23799999999999996</v>
      </c>
      <c r="J704" s="142">
        <f>B704*IBGE_2!J$704/100</f>
        <v>8.6999999999999994E-2</v>
      </c>
      <c r="K704" s="142">
        <f>B704*IBGE_2!K$704/100</f>
        <v>58</v>
      </c>
      <c r="L704" s="142" t="s">
        <v>3047</v>
      </c>
      <c r="M704" s="142" t="s">
        <v>3047</v>
      </c>
      <c r="N704" s="142">
        <f>B704*IBGE_2!N$704/100</f>
        <v>7</v>
      </c>
      <c r="O704" s="142">
        <f>B704*IBGE_2!O$704/100</f>
        <v>20</v>
      </c>
      <c r="P704" s="142">
        <f>B704*IBGE_2!P$704/100</f>
        <v>1.0999999999999999E-2</v>
      </c>
      <c r="Q704" s="142">
        <f>B704*IBGE_2!Q$704/100</f>
        <v>193</v>
      </c>
      <c r="R704" s="142">
        <f>B704*IBGE_2!R$704/100</f>
        <v>2.5299999999999998</v>
      </c>
      <c r="S704" s="142">
        <f>B704*IBGE_2!S$704/100</f>
        <v>41</v>
      </c>
      <c r="T704" s="142">
        <f>B704*IBGE_2!T$704/100</f>
        <v>252</v>
      </c>
      <c r="U704" s="142">
        <f>B704*IBGE_2!U$704/100</f>
        <v>7.3999999999999996E-2</v>
      </c>
      <c r="V704" s="142">
        <f>B704*IBGE_2!V$704/100</f>
        <v>5.2</v>
      </c>
      <c r="W704" s="142" t="s">
        <v>3047</v>
      </c>
      <c r="X704" s="142">
        <f>B704*IBGE_2!X$704/100</f>
        <v>7.0000000000000007E-2</v>
      </c>
      <c r="Y704" s="142">
        <f>B704*IBGE_2!Y$704/100</f>
        <v>0.16300000000000001</v>
      </c>
      <c r="Z704" s="142">
        <f>B704*IBGE_2!Z$704/100</f>
        <v>0.40300000000000002</v>
      </c>
      <c r="AA704" s="142">
        <f>B704*IBGE_2!AA$704/100</f>
        <v>5.36</v>
      </c>
      <c r="AB704" s="142" t="s">
        <v>3047</v>
      </c>
      <c r="AC704" s="142">
        <f>B704*IBGE_2!AC$704/100</f>
        <v>8.7270000000000003</v>
      </c>
      <c r="AD704" s="142">
        <f>B704*IBGE_2!AD$704/100</f>
        <v>1.71</v>
      </c>
      <c r="AE704" s="142">
        <f>B704*IBGE_2!AE$704/100</f>
        <v>10</v>
      </c>
      <c r="AF704" s="142">
        <f>B704*IBGE_2!AF$704/100</f>
        <v>0.6</v>
      </c>
      <c r="AG704" s="142">
        <f>B704*IBGE_2!AG$704/100</f>
        <v>0.43</v>
      </c>
      <c r="AH704" s="142">
        <f>B704*IBGE_2!AH$704/100</f>
        <v>0.40899999999999997</v>
      </c>
      <c r="AI704" s="142">
        <f>B704*IBGE_2!AI$704/100</f>
        <v>333</v>
      </c>
      <c r="AJ704" s="142">
        <f>B704*IBGE_2!AJ$704/100</f>
        <v>31.7</v>
      </c>
      <c r="AK704" s="142" t="s">
        <v>3047</v>
      </c>
      <c r="AL704" s="142" t="s">
        <v>3047</v>
      </c>
      <c r="AM704" s="142" t="s">
        <v>3047</v>
      </c>
      <c r="AN704" s="161"/>
    </row>
    <row r="705" spans="1:40">
      <c r="A705" s="143" t="s">
        <v>1765</v>
      </c>
      <c r="B705" s="141">
        <v>100</v>
      </c>
      <c r="C705" s="142">
        <f>B705*IBGE_2!C$705/100</f>
        <v>204</v>
      </c>
      <c r="D705" s="142">
        <f>B705*IBGE_2!D$705/100</f>
        <v>30.67</v>
      </c>
      <c r="E705" s="142">
        <f>B705*IBGE_2!E$705/100</f>
        <v>9</v>
      </c>
      <c r="F705" s="142">
        <f>B705*IBGE_2!F$705/100</f>
        <v>3.415</v>
      </c>
      <c r="G705" s="142">
        <f>B705*IBGE_2!G$705/100</f>
        <v>3.9180000000000001</v>
      </c>
      <c r="H705" s="142">
        <f>B705*IBGE_2!H$705/100</f>
        <v>0.34699999999999998</v>
      </c>
      <c r="I705" s="142">
        <f>B705*IBGE_2!I$705/100</f>
        <v>0.23799999999999996</v>
      </c>
      <c r="J705" s="142">
        <f>B705*IBGE_2!J$705/100</f>
        <v>8.6999999999999994E-2</v>
      </c>
      <c r="K705" s="142">
        <f>B705*IBGE_2!K$705/100</f>
        <v>58</v>
      </c>
      <c r="L705" s="142" t="s">
        <v>3047</v>
      </c>
      <c r="M705" s="142" t="s">
        <v>3047</v>
      </c>
      <c r="N705" s="142">
        <f>B705*IBGE_2!N$705/100</f>
        <v>7</v>
      </c>
      <c r="O705" s="142">
        <f>B705*IBGE_2!O$705/100</f>
        <v>20</v>
      </c>
      <c r="P705" s="142">
        <f>B705*IBGE_2!P$705/100</f>
        <v>1.0999999999999999E-2</v>
      </c>
      <c r="Q705" s="142">
        <f>B705*IBGE_2!Q$705/100</f>
        <v>193</v>
      </c>
      <c r="R705" s="142">
        <f>B705*IBGE_2!R$705/100</f>
        <v>2.5299999999999998</v>
      </c>
      <c r="S705" s="142">
        <f>B705*IBGE_2!S$705/100</f>
        <v>41</v>
      </c>
      <c r="T705" s="142">
        <f>B705*IBGE_2!T$705/100</f>
        <v>252</v>
      </c>
      <c r="U705" s="142">
        <f>B705*IBGE_2!U$705/100</f>
        <v>7.3999999999999996E-2</v>
      </c>
      <c r="V705" s="142">
        <f>B705*IBGE_2!V$705/100</f>
        <v>5.2</v>
      </c>
      <c r="W705" s="142" t="s">
        <v>3047</v>
      </c>
      <c r="X705" s="142">
        <f>B705*IBGE_2!X$705/100</f>
        <v>7.0000000000000007E-2</v>
      </c>
      <c r="Y705" s="142">
        <f>B705*IBGE_2!Y$705/100</f>
        <v>0.16300000000000001</v>
      </c>
      <c r="Z705" s="142">
        <f>B705*IBGE_2!Z$705/100</f>
        <v>0.40300000000000002</v>
      </c>
      <c r="AA705" s="142">
        <f>B705*IBGE_2!AA$705/100</f>
        <v>5.36</v>
      </c>
      <c r="AB705" s="142" t="s">
        <v>3047</v>
      </c>
      <c r="AC705" s="142">
        <f>B705*IBGE_2!AC$705/100</f>
        <v>8.7270000000000003</v>
      </c>
      <c r="AD705" s="142">
        <f>B705*IBGE_2!AD$705/100</f>
        <v>1.71</v>
      </c>
      <c r="AE705" s="142">
        <f>B705*IBGE_2!AE$705/100</f>
        <v>10</v>
      </c>
      <c r="AF705" s="142">
        <f>B705*IBGE_2!AF$705/100</f>
        <v>0.6</v>
      </c>
      <c r="AG705" s="142">
        <f>B705*IBGE_2!AG$705/100</f>
        <v>0.43</v>
      </c>
      <c r="AH705" s="142">
        <f>B705*IBGE_2!AH$705/100</f>
        <v>0.40899999999999997</v>
      </c>
      <c r="AI705" s="142">
        <f>B705*IBGE_2!AI$705/100</f>
        <v>333</v>
      </c>
      <c r="AJ705" s="142">
        <f>B705*IBGE_2!AJ$705/100</f>
        <v>31.7</v>
      </c>
      <c r="AK705" s="142" t="s">
        <v>3047</v>
      </c>
      <c r="AL705" s="142" t="s">
        <v>3047</v>
      </c>
      <c r="AM705" s="142" t="s">
        <v>3047</v>
      </c>
      <c r="AN705" s="161"/>
    </row>
    <row r="706" spans="1:40">
      <c r="A706" s="143" t="s">
        <v>1766</v>
      </c>
      <c r="B706" s="141">
        <v>100</v>
      </c>
      <c r="C706" s="142">
        <f>B706*IBGE_2!C$706/100</f>
        <v>204</v>
      </c>
      <c r="D706" s="142">
        <f>B706*IBGE_2!D$706/100</f>
        <v>30.67</v>
      </c>
      <c r="E706" s="142">
        <f>B706*IBGE_2!E$706/100</f>
        <v>9</v>
      </c>
      <c r="F706" s="142">
        <f>B706*IBGE_2!F$706/100</f>
        <v>3.415</v>
      </c>
      <c r="G706" s="142">
        <f>B706*IBGE_2!G$706/100</f>
        <v>3.9180000000000001</v>
      </c>
      <c r="H706" s="142">
        <f>B706*IBGE_2!H$706/100</f>
        <v>0.34699999999999998</v>
      </c>
      <c r="I706" s="142">
        <f>B706*IBGE_2!I$706/100</f>
        <v>0.23799999999999996</v>
      </c>
      <c r="J706" s="142">
        <f>B706*IBGE_2!J$706/100</f>
        <v>8.6999999999999994E-2</v>
      </c>
      <c r="K706" s="142">
        <f>B706*IBGE_2!K$706/100</f>
        <v>58</v>
      </c>
      <c r="L706" s="142" t="s">
        <v>3047</v>
      </c>
      <c r="M706" s="142" t="s">
        <v>3047</v>
      </c>
      <c r="N706" s="142">
        <f>B706*IBGE_2!N$706/100</f>
        <v>7</v>
      </c>
      <c r="O706" s="142">
        <f>B706*IBGE_2!O$706/100</f>
        <v>20</v>
      </c>
      <c r="P706" s="142">
        <f>B706*IBGE_2!P$706/100</f>
        <v>1.0999999999999999E-2</v>
      </c>
      <c r="Q706" s="142">
        <f>B706*IBGE_2!Q$706/100</f>
        <v>193</v>
      </c>
      <c r="R706" s="142">
        <f>B706*IBGE_2!R$706/100</f>
        <v>2.5299999999999998</v>
      </c>
      <c r="S706" s="142">
        <f>B706*IBGE_2!S$706/100</f>
        <v>41</v>
      </c>
      <c r="T706" s="142">
        <f>B706*IBGE_2!T$706/100</f>
        <v>252</v>
      </c>
      <c r="U706" s="142">
        <f>B706*IBGE_2!U$706/100</f>
        <v>7.3999999999999996E-2</v>
      </c>
      <c r="V706" s="142">
        <f>B706*IBGE_2!V$706/100</f>
        <v>5.2</v>
      </c>
      <c r="W706" s="142" t="s">
        <v>3047</v>
      </c>
      <c r="X706" s="142">
        <f>B706*IBGE_2!X$706/100</f>
        <v>7.0000000000000007E-2</v>
      </c>
      <c r="Y706" s="142">
        <f>B706*IBGE_2!Y$706/100</f>
        <v>0.16300000000000001</v>
      </c>
      <c r="Z706" s="142">
        <f>B706*IBGE_2!Z$706/100</f>
        <v>0.40300000000000002</v>
      </c>
      <c r="AA706" s="142">
        <f>B706*IBGE_2!AA$706/100</f>
        <v>5.36</v>
      </c>
      <c r="AB706" s="142" t="s">
        <v>3047</v>
      </c>
      <c r="AC706" s="142">
        <f>B706*IBGE_2!AC$706/100</f>
        <v>8.7270000000000003</v>
      </c>
      <c r="AD706" s="142">
        <f>B706*IBGE_2!AD$706/100</f>
        <v>1.71</v>
      </c>
      <c r="AE706" s="142">
        <f>B706*IBGE_2!AE$706/100</f>
        <v>10</v>
      </c>
      <c r="AF706" s="142">
        <f>B706*IBGE_2!AF$706/100</f>
        <v>0.6</v>
      </c>
      <c r="AG706" s="142">
        <f>B706*IBGE_2!AG$706/100</f>
        <v>0.43</v>
      </c>
      <c r="AH706" s="142">
        <f>B706*IBGE_2!AH$706/100</f>
        <v>0.40899999999999997</v>
      </c>
      <c r="AI706" s="142">
        <f>B706*IBGE_2!AI$706/100</f>
        <v>333</v>
      </c>
      <c r="AJ706" s="142">
        <f>B706*IBGE_2!AJ$706/100</f>
        <v>31.7</v>
      </c>
      <c r="AK706" s="142" t="s">
        <v>3047</v>
      </c>
      <c r="AL706" s="142" t="s">
        <v>3047</v>
      </c>
      <c r="AM706" s="142" t="s">
        <v>3047</v>
      </c>
      <c r="AN706" s="161"/>
    </row>
    <row r="707" spans="1:40">
      <c r="A707" s="143" t="s">
        <v>1767</v>
      </c>
      <c r="B707" s="141">
        <v>100</v>
      </c>
      <c r="C707" s="142">
        <f>B707*IBGE_2!C$707/100</f>
        <v>204</v>
      </c>
      <c r="D707" s="142">
        <f>B707*IBGE_2!D$707/100</f>
        <v>30.67</v>
      </c>
      <c r="E707" s="142">
        <f>B707*IBGE_2!E$707/100</f>
        <v>9</v>
      </c>
      <c r="F707" s="142">
        <f>B707*IBGE_2!F$707/100</f>
        <v>3.415</v>
      </c>
      <c r="G707" s="142">
        <f>B707*IBGE_2!G$707/100</f>
        <v>3.9180000000000001</v>
      </c>
      <c r="H707" s="142">
        <f>B707*IBGE_2!H$707/100</f>
        <v>0.34699999999999998</v>
      </c>
      <c r="I707" s="142">
        <f>B707*IBGE_2!I$707/100</f>
        <v>0.23799999999999996</v>
      </c>
      <c r="J707" s="142">
        <f>B707*IBGE_2!J$707/100</f>
        <v>8.6999999999999994E-2</v>
      </c>
      <c r="K707" s="142">
        <f>B707*IBGE_2!K$707/100</f>
        <v>58</v>
      </c>
      <c r="L707" s="142" t="s">
        <v>3047</v>
      </c>
      <c r="M707" s="142" t="s">
        <v>3047</v>
      </c>
      <c r="N707" s="142">
        <f>B707*IBGE_2!N$707/100</f>
        <v>7</v>
      </c>
      <c r="O707" s="142">
        <f>B707*IBGE_2!O$707/100</f>
        <v>20</v>
      </c>
      <c r="P707" s="142">
        <f>B707*IBGE_2!P$707/100</f>
        <v>1.0999999999999999E-2</v>
      </c>
      <c r="Q707" s="142">
        <f>B707*IBGE_2!Q$707/100</f>
        <v>193</v>
      </c>
      <c r="R707" s="142">
        <f>B707*IBGE_2!R$707/100</f>
        <v>2.5299999999999998</v>
      </c>
      <c r="S707" s="142">
        <f>B707*IBGE_2!S$707/100</f>
        <v>41</v>
      </c>
      <c r="T707" s="142">
        <f>B707*IBGE_2!T$707/100</f>
        <v>252</v>
      </c>
      <c r="U707" s="142">
        <f>B707*IBGE_2!U$707/100</f>
        <v>7.3999999999999996E-2</v>
      </c>
      <c r="V707" s="142">
        <f>B707*IBGE_2!V$707/100</f>
        <v>5.2</v>
      </c>
      <c r="W707" s="142" t="s">
        <v>3047</v>
      </c>
      <c r="X707" s="142">
        <f>B707*IBGE_2!X$707/100</f>
        <v>7.0000000000000007E-2</v>
      </c>
      <c r="Y707" s="142">
        <f>B707*IBGE_2!Y$707/100</f>
        <v>0.16300000000000001</v>
      </c>
      <c r="Z707" s="142">
        <f>B707*IBGE_2!Z$707/100</f>
        <v>0.40300000000000002</v>
      </c>
      <c r="AA707" s="142">
        <f>B707*IBGE_2!AA$707/100</f>
        <v>5.36</v>
      </c>
      <c r="AB707" s="142" t="s">
        <v>3047</v>
      </c>
      <c r="AC707" s="142">
        <f>B707*IBGE_2!AC$707/100</f>
        <v>8.7270000000000003</v>
      </c>
      <c r="AD707" s="142">
        <f>B707*IBGE_2!AD$707/100</f>
        <v>1.71</v>
      </c>
      <c r="AE707" s="142">
        <f>B707*IBGE_2!AE$707/100</f>
        <v>10</v>
      </c>
      <c r="AF707" s="142">
        <f>B707*IBGE_2!AF$707/100</f>
        <v>0.6</v>
      </c>
      <c r="AG707" s="142">
        <f>B707*IBGE_2!AG$707/100</f>
        <v>0.43</v>
      </c>
      <c r="AH707" s="142">
        <f>B707*IBGE_2!AH$707/100</f>
        <v>0.40899999999999997</v>
      </c>
      <c r="AI707" s="142">
        <f>B707*IBGE_2!AI$707/100</f>
        <v>333</v>
      </c>
      <c r="AJ707" s="142">
        <f>B707*IBGE_2!AJ$707/100</f>
        <v>31.7</v>
      </c>
      <c r="AK707" s="142" t="s">
        <v>3047</v>
      </c>
      <c r="AL707" s="142" t="s">
        <v>3047</v>
      </c>
      <c r="AM707" s="142" t="s">
        <v>3047</v>
      </c>
      <c r="AN707" s="161"/>
    </row>
    <row r="708" spans="1:40">
      <c r="A708" s="143" t="s">
        <v>1768</v>
      </c>
      <c r="B708" s="141">
        <v>100</v>
      </c>
      <c r="C708" s="142">
        <f>B708*IBGE_2!C$708/100</f>
        <v>226.65899999999999</v>
      </c>
      <c r="D708" s="142">
        <f>B708*IBGE_2!D$708/100</f>
        <v>30.67</v>
      </c>
      <c r="E708" s="142">
        <f>B708*IBGE_2!E$708/100</f>
        <v>11.562999999999999</v>
      </c>
      <c r="F708" s="142">
        <f>B708*IBGE_2!F$708/100</f>
        <v>3.8159999999999998</v>
      </c>
      <c r="G708" s="142">
        <f>B708*IBGE_2!G$708/100</f>
        <v>4.5019999999999998</v>
      </c>
      <c r="H708" s="142">
        <f>B708*IBGE_2!H$708/100</f>
        <v>1.827</v>
      </c>
      <c r="I708" s="142">
        <f>B708*IBGE_2!I$708/100</f>
        <v>1.544</v>
      </c>
      <c r="J708" s="142">
        <f>B708*IBGE_2!J$708/100</f>
        <v>0.26100000000000001</v>
      </c>
      <c r="K708" s="142">
        <f>B708*IBGE_2!K$708/100</f>
        <v>58</v>
      </c>
      <c r="L708" s="142" t="s">
        <v>3047</v>
      </c>
      <c r="M708" s="142" t="s">
        <v>3047</v>
      </c>
      <c r="N708" s="142">
        <f>B708*IBGE_2!N$708/100</f>
        <v>7</v>
      </c>
      <c r="O708" s="142">
        <f>B708*IBGE_2!O$708/100</f>
        <v>20</v>
      </c>
      <c r="P708" s="142">
        <f>B708*IBGE_2!P$708/100</f>
        <v>1.0999999999999999E-2</v>
      </c>
      <c r="Q708" s="142">
        <f>B708*IBGE_2!Q$708/100</f>
        <v>193</v>
      </c>
      <c r="R708" s="142">
        <f>B708*IBGE_2!R$708/100</f>
        <v>2.5310000000000001</v>
      </c>
      <c r="S708" s="142">
        <f>B708*IBGE_2!S$708/100</f>
        <v>41</v>
      </c>
      <c r="T708" s="142">
        <f>B708*IBGE_2!T$708/100</f>
        <v>252</v>
      </c>
      <c r="U708" s="142">
        <f>B708*IBGE_2!U$708/100</f>
        <v>7.3999999999999996E-2</v>
      </c>
      <c r="V708" s="142">
        <f>B708*IBGE_2!V$708/100</f>
        <v>5.2</v>
      </c>
      <c r="W708" s="142" t="s">
        <v>3047</v>
      </c>
      <c r="X708" s="142">
        <f>B708*IBGE_2!X$708/100</f>
        <v>7.0000000000000007E-2</v>
      </c>
      <c r="Y708" s="142">
        <f>B708*IBGE_2!Y$708/100</f>
        <v>0.16300000000000001</v>
      </c>
      <c r="Z708" s="142">
        <f>B708*IBGE_2!Z$708/100</f>
        <v>0.40300000000000002</v>
      </c>
      <c r="AA708" s="142">
        <f>B708*IBGE_2!AA$708/100</f>
        <v>5.36</v>
      </c>
      <c r="AB708" s="142" t="s">
        <v>3047</v>
      </c>
      <c r="AC708" s="142">
        <f>B708*IBGE_2!AC$708/100</f>
        <v>8.7270000000000003</v>
      </c>
      <c r="AD708" s="142">
        <f>B708*IBGE_2!AD$708/100</f>
        <v>1.71</v>
      </c>
      <c r="AE708" s="142">
        <f>B708*IBGE_2!AE$708/100</f>
        <v>10</v>
      </c>
      <c r="AF708" s="142">
        <f>B708*IBGE_2!AF$708/100</f>
        <v>0.6</v>
      </c>
      <c r="AG708" s="142">
        <f>B708*IBGE_2!AG$708/100</f>
        <v>0.64</v>
      </c>
      <c r="AH708" s="142">
        <f>B708*IBGE_2!AH$708/100</f>
        <v>0.42299999999999999</v>
      </c>
      <c r="AI708" s="142">
        <f>B708*IBGE_2!AI$708/100</f>
        <v>333</v>
      </c>
      <c r="AJ708" s="142">
        <f>B708*IBGE_2!AJ$708/100</f>
        <v>32.875</v>
      </c>
      <c r="AK708" s="142" t="s">
        <v>3047</v>
      </c>
      <c r="AL708" s="142" t="s">
        <v>3047</v>
      </c>
      <c r="AM708" s="142" t="s">
        <v>3047</v>
      </c>
      <c r="AN708" s="161"/>
    </row>
    <row r="709" spans="1:40">
      <c r="A709" s="143" t="s">
        <v>1769</v>
      </c>
      <c r="B709" s="141">
        <v>100</v>
      </c>
      <c r="C709" s="142">
        <f>B709*IBGE_2!C$709/100</f>
        <v>242.83699999999996</v>
      </c>
      <c r="D709" s="142">
        <f>B709*IBGE_2!D$709/100</f>
        <v>31.129000000000001</v>
      </c>
      <c r="E709" s="142">
        <f>B709*IBGE_2!E$709/100</f>
        <v>11.606999999999998</v>
      </c>
      <c r="F709" s="142">
        <f>B709*IBGE_2!F$709/100</f>
        <v>3.823</v>
      </c>
      <c r="G709" s="142">
        <f>B709*IBGE_2!G$709/100</f>
        <v>4.5060000000000002</v>
      </c>
      <c r="H709" s="142">
        <f>B709*IBGE_2!H$709/100</f>
        <v>1.845</v>
      </c>
      <c r="I709" s="142">
        <f>B709*IBGE_2!I$709/100</f>
        <v>1.5609999999999999</v>
      </c>
      <c r="J709" s="142">
        <f>B709*IBGE_2!J$709/100</f>
        <v>0.26200000000000001</v>
      </c>
      <c r="K709" s="142">
        <f>B709*IBGE_2!K$709/100</f>
        <v>58</v>
      </c>
      <c r="L709" s="142">
        <f>B709*IBGE_2!L$709/100</f>
        <v>3.3919999999999999</v>
      </c>
      <c r="M709" s="142">
        <f>B709*IBGE_2!M$709/100</f>
        <v>0.13500000000000001</v>
      </c>
      <c r="N709" s="142">
        <f>B709*IBGE_2!N$709/100</f>
        <v>7.6669999999999989</v>
      </c>
      <c r="O709" s="142">
        <f>B709*IBGE_2!O$709/100</f>
        <v>20.978000000000002</v>
      </c>
      <c r="P709" s="142">
        <f>B709*IBGE_2!P$709/100</f>
        <v>4.1000000000000009E-2</v>
      </c>
      <c r="Q709" s="142">
        <f>B709*IBGE_2!Q$709/100</f>
        <v>197.8</v>
      </c>
      <c r="R709" s="142">
        <f>B709*IBGE_2!R$709/100</f>
        <v>2.738</v>
      </c>
      <c r="S709" s="142">
        <f>B709*IBGE_2!S$709/100</f>
        <v>41.088999999999999</v>
      </c>
      <c r="T709" s="142">
        <f>B709*IBGE_2!T$709/100</f>
        <v>256.75599999999997</v>
      </c>
      <c r="U709" s="142">
        <f>B709*IBGE_2!U$709/100</f>
        <v>0.08</v>
      </c>
      <c r="V709" s="142">
        <f>B709*IBGE_2!V$709/100</f>
        <v>5.2309999999999999</v>
      </c>
      <c r="W709" s="142" t="s">
        <v>3047</v>
      </c>
      <c r="X709" s="142">
        <f>B709*IBGE_2!X$709/100</f>
        <v>0.105</v>
      </c>
      <c r="Y709" s="142">
        <f>B709*IBGE_2!Y$709/100</f>
        <v>0.185</v>
      </c>
      <c r="Z709" s="142">
        <f>B709*IBGE_2!Z$709/100</f>
        <v>0.40500000000000003</v>
      </c>
      <c r="AA709" s="142">
        <f>B709*IBGE_2!AA$709/100</f>
        <v>5.6220000000000008</v>
      </c>
      <c r="AB709" s="142" t="s">
        <v>3047</v>
      </c>
      <c r="AC709" s="142">
        <f>B709*IBGE_2!AC$709/100</f>
        <v>9.0830000000000002</v>
      </c>
      <c r="AD709" s="142">
        <f>B709*IBGE_2!AD$709/100</f>
        <v>1.71</v>
      </c>
      <c r="AE709" s="142">
        <f>B709*IBGE_2!AE$709/100</f>
        <v>19.067</v>
      </c>
      <c r="AF709" s="142">
        <f>B709*IBGE_2!AF$709/100</f>
        <v>0.6</v>
      </c>
      <c r="AG709" s="142">
        <f>B709*IBGE_2!AG$709/100</f>
        <v>0.64200000000000002</v>
      </c>
      <c r="AH709" s="142">
        <f>B709*IBGE_2!AH$709/100</f>
        <v>0.42299999999999999</v>
      </c>
      <c r="AI709" s="142">
        <f>B709*IBGE_2!AI$709/100</f>
        <v>333</v>
      </c>
      <c r="AJ709" s="142">
        <f>B709*IBGE_2!AJ$709/100</f>
        <v>34.381</v>
      </c>
      <c r="AK709" s="145" t="s">
        <v>3047</v>
      </c>
      <c r="AL709" s="142">
        <f>B709*IBGE_2!AL$709/100</f>
        <v>1.4000000000000002E-2</v>
      </c>
      <c r="AM709" s="142" t="s">
        <v>3047</v>
      </c>
      <c r="AN709" s="161"/>
    </row>
    <row r="710" spans="1:40">
      <c r="A710" s="143" t="s">
        <v>1770</v>
      </c>
      <c r="B710" s="141">
        <v>100</v>
      </c>
      <c r="C710" s="142">
        <f>B710*IBGE_2!C$710/100</f>
        <v>226.65899999999999</v>
      </c>
      <c r="D710" s="142">
        <f>B710*IBGE_2!D$710/100</f>
        <v>30.67</v>
      </c>
      <c r="E710" s="142">
        <f>B710*IBGE_2!E$710/100</f>
        <v>11.562999999999999</v>
      </c>
      <c r="F710" s="142">
        <f>B710*IBGE_2!F$710/100</f>
        <v>3.8159999999999998</v>
      </c>
      <c r="G710" s="142">
        <f>B710*IBGE_2!G$710/100</f>
        <v>4.5019999999999998</v>
      </c>
      <c r="H710" s="142">
        <f>B710*IBGE_2!H$710/100</f>
        <v>1.827</v>
      </c>
      <c r="I710" s="142">
        <f>B710*IBGE_2!I$710/100</f>
        <v>1.544</v>
      </c>
      <c r="J710" s="142">
        <f>B710*IBGE_2!J$710/100</f>
        <v>0.26100000000000001</v>
      </c>
      <c r="K710" s="142">
        <f>B710*IBGE_2!K$710/100</f>
        <v>58</v>
      </c>
      <c r="L710" s="142" t="s">
        <v>3047</v>
      </c>
      <c r="M710" s="142" t="s">
        <v>3047</v>
      </c>
      <c r="N710" s="142">
        <f>B710*IBGE_2!N$710/100</f>
        <v>7</v>
      </c>
      <c r="O710" s="142">
        <f>B710*IBGE_2!O$710/100</f>
        <v>20</v>
      </c>
      <c r="P710" s="142">
        <f>B710*IBGE_2!P$710/100</f>
        <v>1.0999999999999999E-2</v>
      </c>
      <c r="Q710" s="142">
        <f>B710*IBGE_2!Q$710/100</f>
        <v>193</v>
      </c>
      <c r="R710" s="142">
        <f>B710*IBGE_2!R$710/100</f>
        <v>2.5310000000000001</v>
      </c>
      <c r="S710" s="142">
        <f>B710*IBGE_2!S$710/100</f>
        <v>41</v>
      </c>
      <c r="T710" s="142">
        <f>B710*IBGE_2!T$710/100</f>
        <v>252</v>
      </c>
      <c r="U710" s="142">
        <f>B710*IBGE_2!U$710/100</f>
        <v>7.3999999999999996E-2</v>
      </c>
      <c r="V710" s="142">
        <f>B710*IBGE_2!V$710/100</f>
        <v>5.2</v>
      </c>
      <c r="W710" s="142" t="s">
        <v>3047</v>
      </c>
      <c r="X710" s="142">
        <f>B710*IBGE_2!X$710/100</f>
        <v>7.0000000000000007E-2</v>
      </c>
      <c r="Y710" s="142">
        <f>B710*IBGE_2!Y$710/100</f>
        <v>0.16300000000000001</v>
      </c>
      <c r="Z710" s="142">
        <f>B710*IBGE_2!Z$710/100</f>
        <v>0.40300000000000002</v>
      </c>
      <c r="AA710" s="142">
        <f>B710*IBGE_2!AA$710/100</f>
        <v>5.36</v>
      </c>
      <c r="AB710" s="142" t="s">
        <v>3047</v>
      </c>
      <c r="AC710" s="142">
        <f>B710*IBGE_2!AC$710/100</f>
        <v>8.7270000000000003</v>
      </c>
      <c r="AD710" s="142">
        <f>B710*IBGE_2!AD$710/100</f>
        <v>1.71</v>
      </c>
      <c r="AE710" s="142">
        <f>B710*IBGE_2!AE$710/100</f>
        <v>10</v>
      </c>
      <c r="AF710" s="142">
        <f>B710*IBGE_2!AF$710/100</f>
        <v>0.6</v>
      </c>
      <c r="AG710" s="142">
        <f>B710*IBGE_2!AG$710/100</f>
        <v>0.64</v>
      </c>
      <c r="AH710" s="142">
        <f>B710*IBGE_2!AH$710/100</f>
        <v>0.42299999999999999</v>
      </c>
      <c r="AI710" s="142">
        <f>B710*IBGE_2!AI$710/100</f>
        <v>333</v>
      </c>
      <c r="AJ710" s="142">
        <f>B710*IBGE_2!AJ$710/100</f>
        <v>32.875</v>
      </c>
      <c r="AK710" s="145" t="s">
        <v>3047</v>
      </c>
      <c r="AL710" s="145" t="s">
        <v>3047</v>
      </c>
      <c r="AM710" s="142" t="s">
        <v>3047</v>
      </c>
      <c r="AN710" s="161"/>
    </row>
    <row r="711" spans="1:40">
      <c r="A711" s="143" t="s">
        <v>1771</v>
      </c>
      <c r="B711" s="141">
        <v>100</v>
      </c>
      <c r="C711" s="142">
        <f>B711*IBGE_2!C$711/100</f>
        <v>168</v>
      </c>
      <c r="D711" s="142">
        <f>B711*IBGE_2!D$711/100</f>
        <v>24.8</v>
      </c>
      <c r="E711" s="142">
        <f>B711*IBGE_2!E$711/100</f>
        <v>7.2360000000000007</v>
      </c>
      <c r="F711" s="142">
        <f>B711*IBGE_2!F$711/100</f>
        <v>2.7370000000000001</v>
      </c>
      <c r="G711" s="142">
        <f>B711*IBGE_2!G$711/100</f>
        <v>3.14</v>
      </c>
      <c r="H711" s="142">
        <f>B711*IBGE_2!H$711/100</f>
        <v>0.29199999999999998</v>
      </c>
      <c r="I711" s="142">
        <f>B711*IBGE_2!I$711/100</f>
        <v>0.20399999999999999</v>
      </c>
      <c r="J711" s="142">
        <f>B711*IBGE_2!J$711/100</f>
        <v>7.0000000000000007E-2</v>
      </c>
      <c r="K711" s="142">
        <f>B711*IBGE_2!K$711/100</f>
        <v>46.4</v>
      </c>
      <c r="L711" s="142">
        <f>B711*IBGE_2!L$711/100</f>
        <v>1.0760000000000001</v>
      </c>
      <c r="M711" s="142">
        <f>B711*IBGE_2!M$711/100</f>
        <v>0.3</v>
      </c>
      <c r="N711" s="142">
        <f>B711*IBGE_2!N$711/100</f>
        <v>8.1999999999999993</v>
      </c>
      <c r="O711" s="142">
        <f>B711*IBGE_2!O$711/100</f>
        <v>19.2</v>
      </c>
      <c r="P711" s="142">
        <f>B711*IBGE_2!P$711/100</f>
        <v>0.03</v>
      </c>
      <c r="Q711" s="142">
        <f>B711*IBGE_2!Q$711/100</f>
        <v>159.6</v>
      </c>
      <c r="R711" s="142">
        <f>B711*IBGE_2!R$711/100</f>
        <v>2.2280000000000002</v>
      </c>
      <c r="S711" s="142">
        <f>B711*IBGE_2!S$711/100</f>
        <v>137.6</v>
      </c>
      <c r="T711" s="142">
        <f>B711*IBGE_2!T$711/100</f>
        <v>267.8</v>
      </c>
      <c r="U711" s="142">
        <f>B711*IBGE_2!U$711/100</f>
        <v>8.3000000000000004E-2</v>
      </c>
      <c r="V711" s="142">
        <f>B711*IBGE_2!V$711/100</f>
        <v>4.2</v>
      </c>
      <c r="W711" s="142" t="s">
        <v>3047</v>
      </c>
      <c r="X711" s="142">
        <f>B711*IBGE_2!X$711/100</f>
        <v>6.0999999999999999E-2</v>
      </c>
      <c r="Y711" s="142">
        <f>B711*IBGE_2!Y$711/100</f>
        <v>0.14399999999999999</v>
      </c>
      <c r="Z711" s="142">
        <f>B711*IBGE_2!Z$711/100</f>
        <v>0.34200000000000003</v>
      </c>
      <c r="AA711" s="142">
        <f>B711*IBGE_2!AA$711/100</f>
        <v>4.4829999999999997</v>
      </c>
      <c r="AB711" s="142">
        <f>B711*IBGE_2!AB$711/100</f>
        <v>1.4</v>
      </c>
      <c r="AC711" s="142">
        <f>B711*IBGE_2!AC$711/100</f>
        <v>7.21</v>
      </c>
      <c r="AD711" s="142">
        <f>B711*IBGE_2!AD$711/100</f>
        <v>1.3680000000000001</v>
      </c>
      <c r="AE711" s="142">
        <f>B711*IBGE_2!AE$711/100</f>
        <v>10.199999999999999</v>
      </c>
      <c r="AF711" s="142">
        <f>B711*IBGE_2!AF$711/100</f>
        <v>0.48</v>
      </c>
      <c r="AG711" s="142">
        <f>B711*IBGE_2!AG$711/100</f>
        <v>0.628</v>
      </c>
      <c r="AH711" s="142">
        <f>B711*IBGE_2!AH$711/100</f>
        <v>0.32700000000000001</v>
      </c>
      <c r="AI711" s="142">
        <f>B711*IBGE_2!AI$711/100</f>
        <v>333</v>
      </c>
      <c r="AJ711" s="142">
        <f>B711*IBGE_2!AJ$711/100</f>
        <v>25.4</v>
      </c>
      <c r="AK711" s="142">
        <f>B711*IBGE_2!AK$711/100</f>
        <v>3.4830000000000001</v>
      </c>
      <c r="AL711" s="142">
        <f>B711*IBGE_2!AL$711/100</f>
        <v>0.85</v>
      </c>
      <c r="AM711" s="142" t="s">
        <v>3047</v>
      </c>
      <c r="AN711" s="161"/>
    </row>
    <row r="712" spans="1:40">
      <c r="A712" s="143" t="s">
        <v>1772</v>
      </c>
      <c r="B712" s="141">
        <v>100</v>
      </c>
      <c r="C712" s="142">
        <f>B712*IBGE_2!C$712/100</f>
        <v>471</v>
      </c>
      <c r="D712" s="142">
        <f>B712*IBGE_2!D$712/100</f>
        <v>21.57</v>
      </c>
      <c r="E712" s="142">
        <f>B712*IBGE_2!E$712/100</f>
        <v>41.98</v>
      </c>
      <c r="F712" s="142">
        <f>B712*IBGE_2!F$712/100</f>
        <v>17.8</v>
      </c>
      <c r="G712" s="142">
        <f>B712*IBGE_2!G$712/100</f>
        <v>18.88</v>
      </c>
      <c r="H712" s="142">
        <f>B712*IBGE_2!H$712/100</f>
        <v>1.53</v>
      </c>
      <c r="I712" s="142">
        <f>B712*IBGE_2!I$712/100</f>
        <v>0.98</v>
      </c>
      <c r="J712" s="142">
        <f>B712*IBGE_2!J$712/100</f>
        <v>0.5</v>
      </c>
      <c r="K712" s="142">
        <f>B712*IBGE_2!K$712/100</f>
        <v>94</v>
      </c>
      <c r="L712" s="142" t="s">
        <v>3047</v>
      </c>
      <c r="M712" s="142" t="s">
        <v>3047</v>
      </c>
      <c r="N712" s="142">
        <f>B712*IBGE_2!N$712/100</f>
        <v>12</v>
      </c>
      <c r="O712" s="142">
        <f>B712*IBGE_2!O$712/100</f>
        <v>15</v>
      </c>
      <c r="P712" s="142">
        <f>B712*IBGE_2!P$712/100</f>
        <v>1.3000000000000001E-2</v>
      </c>
      <c r="Q712" s="142">
        <f>B712*IBGE_2!Q$712/100</f>
        <v>162</v>
      </c>
      <c r="R712" s="142">
        <f>B712*IBGE_2!R$712/100</f>
        <v>2.31</v>
      </c>
      <c r="S712" s="142">
        <f>B712*IBGE_2!S$712/100</f>
        <v>50</v>
      </c>
      <c r="T712" s="142">
        <f>B712*IBGE_2!T$712/100</f>
        <v>224</v>
      </c>
      <c r="U712" s="142">
        <f>B712*IBGE_2!U$712/100</f>
        <v>9.9000000000000005E-2</v>
      </c>
      <c r="V712" s="142">
        <f>B712*IBGE_2!V$712/100</f>
        <v>4.88</v>
      </c>
      <c r="W712" s="142" t="s">
        <v>3047</v>
      </c>
      <c r="X712" s="142">
        <f>B712*IBGE_2!X$712/100</f>
        <v>0.05</v>
      </c>
      <c r="Y712" s="142">
        <f>B712*IBGE_2!Y$712/100</f>
        <v>0.15</v>
      </c>
      <c r="Z712" s="142">
        <f>B712*IBGE_2!Z$712/100</f>
        <v>0.22</v>
      </c>
      <c r="AA712" s="142">
        <f>B712*IBGE_2!AA$712/100</f>
        <v>2.452</v>
      </c>
      <c r="AB712" s="142" t="s">
        <v>3047</v>
      </c>
      <c r="AC712" s="142">
        <f>B712*IBGE_2!AC$712/100</f>
        <v>4.819</v>
      </c>
      <c r="AD712" s="142">
        <f>B712*IBGE_2!AD$712/100</f>
        <v>2.62</v>
      </c>
      <c r="AE712" s="142">
        <f>B712*IBGE_2!AE$712/100</f>
        <v>5</v>
      </c>
      <c r="AF712" s="142">
        <f>B712*IBGE_2!AF$712/100</f>
        <v>0.6</v>
      </c>
      <c r="AG712" s="142">
        <f>B712*IBGE_2!AG$712/100</f>
        <v>0.28999999999999998</v>
      </c>
      <c r="AH712" s="142">
        <f>B712*IBGE_2!AH$712/100</f>
        <v>1.91</v>
      </c>
      <c r="AI712" s="142">
        <f>B712*IBGE_2!AI$712/100</f>
        <v>333</v>
      </c>
      <c r="AJ712" s="142">
        <f>B712*IBGE_2!AJ$712/100</f>
        <v>20.8</v>
      </c>
      <c r="AK712" s="142" t="s">
        <v>3047</v>
      </c>
      <c r="AL712" s="142" t="s">
        <v>3047</v>
      </c>
      <c r="AM712" s="142" t="s">
        <v>3047</v>
      </c>
      <c r="AN712" s="161"/>
    </row>
    <row r="713" spans="1:40">
      <c r="A713" s="143" t="s">
        <v>1773</v>
      </c>
      <c r="B713" s="141">
        <v>100</v>
      </c>
      <c r="C713" s="142">
        <f>B713*IBGE_2!C$713/100</f>
        <v>471</v>
      </c>
      <c r="D713" s="142">
        <f>B713*IBGE_2!D$713/100</f>
        <v>21.57</v>
      </c>
      <c r="E713" s="142">
        <f>B713*IBGE_2!E$713/100</f>
        <v>41.98</v>
      </c>
      <c r="F713" s="142">
        <f>B713*IBGE_2!F$713/100</f>
        <v>17.8</v>
      </c>
      <c r="G713" s="142">
        <f>B713*IBGE_2!G$713/100</f>
        <v>18.88</v>
      </c>
      <c r="H713" s="142">
        <f>B713*IBGE_2!H$713/100</f>
        <v>1.53</v>
      </c>
      <c r="I713" s="142">
        <f>B713*IBGE_2!I$713/100</f>
        <v>0.98</v>
      </c>
      <c r="J713" s="142">
        <f>B713*IBGE_2!J$713/100</f>
        <v>0.5</v>
      </c>
      <c r="K713" s="142">
        <f>B713*IBGE_2!K$713/100</f>
        <v>94</v>
      </c>
      <c r="L713" s="142" t="s">
        <v>3047</v>
      </c>
      <c r="M713" s="142" t="s">
        <v>3047</v>
      </c>
      <c r="N713" s="142">
        <f>B713*IBGE_2!N$713/100</f>
        <v>12</v>
      </c>
      <c r="O713" s="142">
        <f>B713*IBGE_2!O$713/100</f>
        <v>15</v>
      </c>
      <c r="P713" s="142">
        <f>B713*IBGE_2!P$713/100</f>
        <v>1.3000000000000001E-2</v>
      </c>
      <c r="Q713" s="142">
        <f>B713*IBGE_2!Q$713/100</f>
        <v>162</v>
      </c>
      <c r="R713" s="142">
        <f>B713*IBGE_2!R$713/100</f>
        <v>2.31</v>
      </c>
      <c r="S713" s="142">
        <f>B713*IBGE_2!S$713/100</f>
        <v>50</v>
      </c>
      <c r="T713" s="142">
        <f>B713*IBGE_2!T$713/100</f>
        <v>224</v>
      </c>
      <c r="U713" s="142">
        <f>B713*IBGE_2!U$713/100</f>
        <v>9.9000000000000005E-2</v>
      </c>
      <c r="V713" s="142">
        <f>B713*IBGE_2!V$713/100</f>
        <v>4.88</v>
      </c>
      <c r="W713" s="142" t="s">
        <v>3047</v>
      </c>
      <c r="X713" s="142">
        <f>B713*IBGE_2!X$713/100</f>
        <v>0.05</v>
      </c>
      <c r="Y713" s="142">
        <f>B713*IBGE_2!Y$713/100</f>
        <v>0.15</v>
      </c>
      <c r="Z713" s="142">
        <f>B713*IBGE_2!Z$713/100</f>
        <v>0.22</v>
      </c>
      <c r="AA713" s="142">
        <f>B713*IBGE_2!AA$713/100</f>
        <v>2.452</v>
      </c>
      <c r="AB713" s="142" t="s">
        <v>3047</v>
      </c>
      <c r="AC713" s="142">
        <f>B713*IBGE_2!AC$713/100</f>
        <v>4.819</v>
      </c>
      <c r="AD713" s="142">
        <f>B713*IBGE_2!AD$713/100</f>
        <v>2.62</v>
      </c>
      <c r="AE713" s="142">
        <f>B713*IBGE_2!AE$713/100</f>
        <v>5</v>
      </c>
      <c r="AF713" s="142">
        <f>B713*IBGE_2!AF$713/100</f>
        <v>0.6</v>
      </c>
      <c r="AG713" s="142">
        <f>B713*IBGE_2!AG$713/100</f>
        <v>0.28999999999999998</v>
      </c>
      <c r="AH713" s="142">
        <f>B713*IBGE_2!AH$713/100</f>
        <v>1.91</v>
      </c>
      <c r="AI713" s="142">
        <f>B713*IBGE_2!AI$713/100</f>
        <v>333</v>
      </c>
      <c r="AJ713" s="142">
        <f>B713*IBGE_2!AJ$713/100</f>
        <v>20.8</v>
      </c>
      <c r="AK713" s="142" t="s">
        <v>3047</v>
      </c>
      <c r="AL713" s="142" t="s">
        <v>3047</v>
      </c>
      <c r="AM713" s="142" t="s">
        <v>3047</v>
      </c>
      <c r="AN713" s="161"/>
    </row>
    <row r="714" spans="1:40">
      <c r="A714" s="143" t="s">
        <v>1774</v>
      </c>
      <c r="B714" s="141">
        <v>100</v>
      </c>
      <c r="C714" s="142">
        <f>B714*IBGE_2!C$714/100</f>
        <v>471</v>
      </c>
      <c r="D714" s="142">
        <f>B714*IBGE_2!D$714/100</f>
        <v>21.57</v>
      </c>
      <c r="E714" s="142">
        <f>B714*IBGE_2!E$714/100</f>
        <v>41.98</v>
      </c>
      <c r="F714" s="142">
        <f>B714*IBGE_2!F$714/100</f>
        <v>17.8</v>
      </c>
      <c r="G714" s="142">
        <f>B714*IBGE_2!G$714/100</f>
        <v>18.88</v>
      </c>
      <c r="H714" s="142">
        <f>B714*IBGE_2!H$714/100</f>
        <v>1.53</v>
      </c>
      <c r="I714" s="142">
        <f>B714*IBGE_2!I$714/100</f>
        <v>0.98</v>
      </c>
      <c r="J714" s="142">
        <f>B714*IBGE_2!J$714/100</f>
        <v>0.5</v>
      </c>
      <c r="K714" s="142">
        <f>B714*IBGE_2!K$714/100</f>
        <v>94</v>
      </c>
      <c r="L714" s="142" t="s">
        <v>3047</v>
      </c>
      <c r="M714" s="142" t="s">
        <v>3047</v>
      </c>
      <c r="N714" s="142">
        <f>B714*IBGE_2!N$714/100</f>
        <v>12</v>
      </c>
      <c r="O714" s="142">
        <f>B714*IBGE_2!O$714/100</f>
        <v>15</v>
      </c>
      <c r="P714" s="142">
        <f>B714*IBGE_2!P$714/100</f>
        <v>1.3000000000000001E-2</v>
      </c>
      <c r="Q714" s="142">
        <f>B714*IBGE_2!Q$714/100</f>
        <v>162</v>
      </c>
      <c r="R714" s="142">
        <f>B714*IBGE_2!R$714/100</f>
        <v>2.31</v>
      </c>
      <c r="S714" s="142">
        <f>B714*IBGE_2!S$714/100</f>
        <v>50</v>
      </c>
      <c r="T714" s="142">
        <f>B714*IBGE_2!T$714/100</f>
        <v>224</v>
      </c>
      <c r="U714" s="142">
        <f>B714*IBGE_2!U$714/100</f>
        <v>9.9000000000000005E-2</v>
      </c>
      <c r="V714" s="142">
        <f>B714*IBGE_2!V$714/100</f>
        <v>4.88</v>
      </c>
      <c r="W714" s="142" t="s">
        <v>3047</v>
      </c>
      <c r="X714" s="142">
        <f>B714*IBGE_2!X$714/100</f>
        <v>0.05</v>
      </c>
      <c r="Y714" s="142">
        <f>B714*IBGE_2!Y$714/100</f>
        <v>0.15</v>
      </c>
      <c r="Z714" s="142">
        <f>B714*IBGE_2!Z$714/100</f>
        <v>0.22</v>
      </c>
      <c r="AA714" s="142">
        <f>B714*IBGE_2!AA$714/100</f>
        <v>2.452</v>
      </c>
      <c r="AB714" s="142" t="s">
        <v>3047</v>
      </c>
      <c r="AC714" s="142">
        <f>B714*IBGE_2!AC$714/100</f>
        <v>4.819</v>
      </c>
      <c r="AD714" s="142">
        <f>B714*IBGE_2!AD$714/100</f>
        <v>2.62</v>
      </c>
      <c r="AE714" s="142">
        <f>B714*IBGE_2!AE$714/100</f>
        <v>5</v>
      </c>
      <c r="AF714" s="142">
        <f>B714*IBGE_2!AF$714/100</f>
        <v>0.6</v>
      </c>
      <c r="AG714" s="142">
        <f>B714*IBGE_2!AG$714/100</f>
        <v>0.28999999999999998</v>
      </c>
      <c r="AH714" s="142">
        <f>B714*IBGE_2!AH$714/100</f>
        <v>1.91</v>
      </c>
      <c r="AI714" s="142">
        <f>B714*IBGE_2!AI$714/100</f>
        <v>333</v>
      </c>
      <c r="AJ714" s="142">
        <f>B714*IBGE_2!AJ$714/100</f>
        <v>20.8</v>
      </c>
      <c r="AK714" s="142" t="s">
        <v>3047</v>
      </c>
      <c r="AL714" s="142" t="s">
        <v>3047</v>
      </c>
      <c r="AM714" s="142" t="s">
        <v>3047</v>
      </c>
      <c r="AN714" s="161"/>
    </row>
    <row r="715" spans="1:40">
      <c r="A715" s="143" t="s">
        <v>1775</v>
      </c>
      <c r="B715" s="141">
        <v>100</v>
      </c>
      <c r="C715" s="142">
        <f>B715*IBGE_2!C$715/100</f>
        <v>471</v>
      </c>
      <c r="D715" s="142">
        <f>B715*IBGE_2!D$715/100</f>
        <v>21.57</v>
      </c>
      <c r="E715" s="142">
        <f>B715*IBGE_2!E$715/100</f>
        <v>41.98</v>
      </c>
      <c r="F715" s="142">
        <f>B715*IBGE_2!F$715/100</f>
        <v>17.8</v>
      </c>
      <c r="G715" s="142">
        <f>B715*IBGE_2!G$715/100</f>
        <v>18.88</v>
      </c>
      <c r="H715" s="142">
        <f>B715*IBGE_2!H$715/100</f>
        <v>1.53</v>
      </c>
      <c r="I715" s="142">
        <f>B715*IBGE_2!I$715/100</f>
        <v>0.98</v>
      </c>
      <c r="J715" s="142">
        <f>B715*IBGE_2!J$715/100</f>
        <v>0.5</v>
      </c>
      <c r="K715" s="142">
        <f>B715*IBGE_2!K$715/100</f>
        <v>94</v>
      </c>
      <c r="L715" s="142" t="s">
        <v>3047</v>
      </c>
      <c r="M715" s="142" t="s">
        <v>3047</v>
      </c>
      <c r="N715" s="142">
        <f>B715*IBGE_2!N$715/100</f>
        <v>12</v>
      </c>
      <c r="O715" s="142">
        <f>B715*IBGE_2!O$715/100</f>
        <v>15</v>
      </c>
      <c r="P715" s="142">
        <f>B715*IBGE_2!P$715/100</f>
        <v>1.3000000000000001E-2</v>
      </c>
      <c r="Q715" s="142">
        <f>B715*IBGE_2!Q$715/100</f>
        <v>162</v>
      </c>
      <c r="R715" s="142">
        <f>B715*IBGE_2!R$715/100</f>
        <v>2.31</v>
      </c>
      <c r="S715" s="142">
        <f>B715*IBGE_2!S$715/100</f>
        <v>50</v>
      </c>
      <c r="T715" s="142">
        <f>B715*IBGE_2!T$715/100</f>
        <v>224</v>
      </c>
      <c r="U715" s="142">
        <f>B715*IBGE_2!U$715/100</f>
        <v>9.9000000000000005E-2</v>
      </c>
      <c r="V715" s="142">
        <f>B715*IBGE_2!V$715/100</f>
        <v>4.88</v>
      </c>
      <c r="W715" s="142" t="s">
        <v>3047</v>
      </c>
      <c r="X715" s="142">
        <f>B715*IBGE_2!X$715/100</f>
        <v>0.05</v>
      </c>
      <c r="Y715" s="142">
        <f>B715*IBGE_2!Y$715/100</f>
        <v>0.15</v>
      </c>
      <c r="Z715" s="142">
        <f>B715*IBGE_2!Z$715/100</f>
        <v>0.22</v>
      </c>
      <c r="AA715" s="142">
        <f>B715*IBGE_2!AA$715/100</f>
        <v>2.452</v>
      </c>
      <c r="AB715" s="142" t="s">
        <v>3047</v>
      </c>
      <c r="AC715" s="142">
        <f>B715*IBGE_2!AC$715/100</f>
        <v>4.819</v>
      </c>
      <c r="AD715" s="142">
        <f>B715*IBGE_2!AD$715/100</f>
        <v>2.62</v>
      </c>
      <c r="AE715" s="142">
        <f>B715*IBGE_2!AE$715/100</f>
        <v>5</v>
      </c>
      <c r="AF715" s="142">
        <f>B715*IBGE_2!AF$715/100</f>
        <v>0.6</v>
      </c>
      <c r="AG715" s="142">
        <f>B715*IBGE_2!AG$715/100</f>
        <v>0.28999999999999998</v>
      </c>
      <c r="AH715" s="142">
        <f>B715*IBGE_2!AH$715/100</f>
        <v>1.91</v>
      </c>
      <c r="AI715" s="142">
        <f>B715*IBGE_2!AI$715/100</f>
        <v>333</v>
      </c>
      <c r="AJ715" s="142">
        <f>B715*IBGE_2!AJ$715/100</f>
        <v>20.8</v>
      </c>
      <c r="AK715" s="142" t="s">
        <v>3047</v>
      </c>
      <c r="AL715" s="142" t="s">
        <v>3047</v>
      </c>
      <c r="AM715" s="142" t="s">
        <v>3047</v>
      </c>
      <c r="AN715" s="161"/>
    </row>
    <row r="716" spans="1:40">
      <c r="A716" s="143" t="s">
        <v>1776</v>
      </c>
      <c r="B716" s="141">
        <v>100</v>
      </c>
      <c r="C716" s="142">
        <f>B716*IBGE_2!C$716/100</f>
        <v>471</v>
      </c>
      <c r="D716" s="142">
        <f>B716*IBGE_2!D$716/100</f>
        <v>21.57</v>
      </c>
      <c r="E716" s="142">
        <f>B716*IBGE_2!E$716/100</f>
        <v>41.98</v>
      </c>
      <c r="F716" s="142">
        <f>B716*IBGE_2!F$716/100</f>
        <v>17.8</v>
      </c>
      <c r="G716" s="142">
        <f>B716*IBGE_2!G$716/100</f>
        <v>18.88</v>
      </c>
      <c r="H716" s="142">
        <f>B716*IBGE_2!H$716/100</f>
        <v>1.53</v>
      </c>
      <c r="I716" s="142">
        <f>B716*IBGE_2!I$716/100</f>
        <v>0.98</v>
      </c>
      <c r="J716" s="142">
        <f>B716*IBGE_2!J$716/100</f>
        <v>0.5</v>
      </c>
      <c r="K716" s="142">
        <f>B716*IBGE_2!K$716/100</f>
        <v>94</v>
      </c>
      <c r="L716" s="142" t="s">
        <v>3047</v>
      </c>
      <c r="M716" s="142" t="s">
        <v>3047</v>
      </c>
      <c r="N716" s="142">
        <f>B716*IBGE_2!N$716/100</f>
        <v>12</v>
      </c>
      <c r="O716" s="142">
        <f>B716*IBGE_2!O$716/100</f>
        <v>15</v>
      </c>
      <c r="P716" s="142">
        <f>B716*IBGE_2!P$716/100</f>
        <v>1.3000000000000001E-2</v>
      </c>
      <c r="Q716" s="142">
        <f>B716*IBGE_2!Q$716/100</f>
        <v>162</v>
      </c>
      <c r="R716" s="142">
        <f>B716*IBGE_2!R$716/100</f>
        <v>2.31</v>
      </c>
      <c r="S716" s="142">
        <f>B716*IBGE_2!S$716/100</f>
        <v>50</v>
      </c>
      <c r="T716" s="142">
        <f>B716*IBGE_2!T$716/100</f>
        <v>224</v>
      </c>
      <c r="U716" s="142">
        <f>B716*IBGE_2!U$716/100</f>
        <v>9.9000000000000005E-2</v>
      </c>
      <c r="V716" s="142">
        <f>B716*IBGE_2!V$716/100</f>
        <v>4.88</v>
      </c>
      <c r="W716" s="142" t="s">
        <v>3047</v>
      </c>
      <c r="X716" s="142">
        <f>B716*IBGE_2!X$716/100</f>
        <v>0.05</v>
      </c>
      <c r="Y716" s="142">
        <f>B716*IBGE_2!Y$716/100</f>
        <v>0.15</v>
      </c>
      <c r="Z716" s="142">
        <f>B716*IBGE_2!Z$716/100</f>
        <v>0.22</v>
      </c>
      <c r="AA716" s="142">
        <f>B716*IBGE_2!AA$716/100</f>
        <v>2.452</v>
      </c>
      <c r="AB716" s="142" t="s">
        <v>3047</v>
      </c>
      <c r="AC716" s="142">
        <f>B716*IBGE_2!AC$716/100</f>
        <v>4.819</v>
      </c>
      <c r="AD716" s="142">
        <f>B716*IBGE_2!AD$716/100</f>
        <v>2.62</v>
      </c>
      <c r="AE716" s="142">
        <f>B716*IBGE_2!AE$716/100</f>
        <v>5</v>
      </c>
      <c r="AF716" s="142">
        <f>B716*IBGE_2!AF$716/100</f>
        <v>0.6</v>
      </c>
      <c r="AG716" s="142">
        <f>B716*IBGE_2!AG$716/100</f>
        <v>0.28999999999999998</v>
      </c>
      <c r="AH716" s="142">
        <f>B716*IBGE_2!AH$716/100</f>
        <v>1.91</v>
      </c>
      <c r="AI716" s="142">
        <f>B716*IBGE_2!AI$716/100</f>
        <v>333</v>
      </c>
      <c r="AJ716" s="142">
        <f>B716*IBGE_2!AJ$716/100</f>
        <v>20.8</v>
      </c>
      <c r="AK716" s="142" t="s">
        <v>3047</v>
      </c>
      <c r="AL716" s="142" t="s">
        <v>3047</v>
      </c>
      <c r="AM716" s="142" t="s">
        <v>3047</v>
      </c>
      <c r="AN716" s="161"/>
    </row>
    <row r="717" spans="1:40">
      <c r="A717" s="143" t="s">
        <v>1777</v>
      </c>
      <c r="B717" s="141">
        <v>100</v>
      </c>
      <c r="C717" s="142">
        <f>B717*IBGE_2!C$717/100</f>
        <v>329.83699999999999</v>
      </c>
      <c r="D717" s="142">
        <f>B717*IBGE_2!D$717/100</f>
        <v>26.309000000000001</v>
      </c>
      <c r="E717" s="142">
        <f>B717*IBGE_2!E$717/100</f>
        <v>22.646999999999998</v>
      </c>
      <c r="F717" s="142">
        <f>B717*IBGE_2!F$717/100</f>
        <v>8.3019999999999996</v>
      </c>
      <c r="G717" s="142">
        <f>B717*IBGE_2!G$717/100</f>
        <v>9.2430000000000003</v>
      </c>
      <c r="H717" s="142">
        <f>B717*IBGE_2!H$717/100</f>
        <v>2.2400000000000002</v>
      </c>
      <c r="I717" s="142">
        <f>B717*IBGE_2!I$717/100</f>
        <v>1.8420000000000001</v>
      </c>
      <c r="J717" s="142">
        <f>B717*IBGE_2!J$717/100</f>
        <v>0.35299999999999998</v>
      </c>
      <c r="K717" s="142">
        <f>B717*IBGE_2!K$717/100</f>
        <v>105</v>
      </c>
      <c r="L717" s="142">
        <f>B717*IBGE_2!L$717/100</f>
        <v>3.3919999999999999</v>
      </c>
      <c r="M717" s="142">
        <f>B717*IBGE_2!M$717/100</f>
        <v>0.13500000000000001</v>
      </c>
      <c r="N717" s="142">
        <f>B717*IBGE_2!N$717/100</f>
        <v>19.667000000000002</v>
      </c>
      <c r="O717" s="142">
        <f>B717*IBGE_2!O$717/100</f>
        <v>22.978000000000002</v>
      </c>
      <c r="P717" s="142">
        <f>B717*IBGE_2!P$717/100</f>
        <v>3.9E-2</v>
      </c>
      <c r="Q717" s="142">
        <f>B717*IBGE_2!Q$717/100</f>
        <v>205.8</v>
      </c>
      <c r="R717" s="142">
        <f>B717*IBGE_2!R$717/100</f>
        <v>1.8680000000000001</v>
      </c>
      <c r="S717" s="142">
        <f>B717*IBGE_2!S$717/100</f>
        <v>53.088999999999999</v>
      </c>
      <c r="T717" s="142">
        <f>B717*IBGE_2!T$717/100</f>
        <v>327.75599999999997</v>
      </c>
      <c r="U717" s="142">
        <f>B717*IBGE_2!U$717/100</f>
        <v>8.4000000000000005E-2</v>
      </c>
      <c r="V717" s="142">
        <f>B717*IBGE_2!V$717/100</f>
        <v>4.7009999999999996</v>
      </c>
      <c r="W717" s="142" t="s">
        <v>3047</v>
      </c>
      <c r="X717" s="142">
        <f>B717*IBGE_2!X$717/100</f>
        <v>0.105</v>
      </c>
      <c r="Y717" s="142">
        <f>B717*IBGE_2!Y$717/100</f>
        <v>0.14699999999999999</v>
      </c>
      <c r="Z717" s="142">
        <f>B717*IBGE_2!Z$717/100</f>
        <v>0.54300000000000004</v>
      </c>
      <c r="AA717" s="142">
        <f>B717*IBGE_2!AA$717/100</f>
        <v>7.1429999999999998</v>
      </c>
      <c r="AB717" s="142" t="s">
        <v>3047</v>
      </c>
      <c r="AC717" s="142">
        <f>B717*IBGE_2!AC$717/100</f>
        <v>10.071</v>
      </c>
      <c r="AD717" s="142">
        <f>B717*IBGE_2!AD$717/100</f>
        <v>1.52</v>
      </c>
      <c r="AE717" s="142">
        <f>B717*IBGE_2!AE$717/100</f>
        <v>17.067</v>
      </c>
      <c r="AF717" s="142">
        <f>B717*IBGE_2!AF$717/100</f>
        <v>0.6</v>
      </c>
      <c r="AG717" s="142">
        <f>B717*IBGE_2!AG$717/100</f>
        <v>0.70199999999999985</v>
      </c>
      <c r="AH717" s="142">
        <f>B717*IBGE_2!AH$717/100</f>
        <v>0.92400000000000004</v>
      </c>
      <c r="AI717" s="142">
        <f>B717*IBGE_2!AI$717/100</f>
        <v>333</v>
      </c>
      <c r="AJ717" s="142">
        <f>B717*IBGE_2!AJ$717/100</f>
        <v>30.680999999999997</v>
      </c>
      <c r="AK717" s="145" t="s">
        <v>3047</v>
      </c>
      <c r="AL717" s="142">
        <f>B717*IBGE_2!AL$717/100</f>
        <v>1.4000000000000002E-2</v>
      </c>
      <c r="AM717" s="142" t="s">
        <v>3047</v>
      </c>
      <c r="AN717" s="161"/>
    </row>
    <row r="718" spans="1:40">
      <c r="A718" s="143" t="s">
        <v>1778</v>
      </c>
      <c r="B718" s="141">
        <v>100</v>
      </c>
      <c r="C718" s="142">
        <f>B718*IBGE_2!C$718/100</f>
        <v>471</v>
      </c>
      <c r="D718" s="142">
        <f>B718*IBGE_2!D$718/100</f>
        <v>21.57</v>
      </c>
      <c r="E718" s="142">
        <f>B718*IBGE_2!E$718/100</f>
        <v>41.98</v>
      </c>
      <c r="F718" s="142">
        <f>B718*IBGE_2!F$718/100</f>
        <v>17.8</v>
      </c>
      <c r="G718" s="142">
        <f>B718*IBGE_2!G$718/100</f>
        <v>18.88</v>
      </c>
      <c r="H718" s="142">
        <f>B718*IBGE_2!H$718/100</f>
        <v>1.53</v>
      </c>
      <c r="I718" s="142">
        <f>B718*IBGE_2!I$718/100</f>
        <v>0.98</v>
      </c>
      <c r="J718" s="142">
        <f>B718*IBGE_2!J$718/100</f>
        <v>0.5</v>
      </c>
      <c r="K718" s="142">
        <f>B718*IBGE_2!K$718/100</f>
        <v>94</v>
      </c>
      <c r="L718" s="142" t="s">
        <v>3047</v>
      </c>
      <c r="M718" s="142" t="s">
        <v>3047</v>
      </c>
      <c r="N718" s="142">
        <f>B718*IBGE_2!N$718/100</f>
        <v>12</v>
      </c>
      <c r="O718" s="142">
        <f>B718*IBGE_2!O$718/100</f>
        <v>15</v>
      </c>
      <c r="P718" s="142">
        <f>B718*IBGE_2!P$718/100</f>
        <v>1.3000000000000001E-2</v>
      </c>
      <c r="Q718" s="142">
        <f>B718*IBGE_2!Q$718/100</f>
        <v>162</v>
      </c>
      <c r="R718" s="142">
        <f>B718*IBGE_2!R$718/100</f>
        <v>2.31</v>
      </c>
      <c r="S718" s="142">
        <f>B718*IBGE_2!S$718/100</f>
        <v>50</v>
      </c>
      <c r="T718" s="142">
        <f>B718*IBGE_2!T$718/100</f>
        <v>224</v>
      </c>
      <c r="U718" s="142">
        <f>B718*IBGE_2!U$718/100</f>
        <v>9.9000000000000005E-2</v>
      </c>
      <c r="V718" s="142">
        <f>B718*IBGE_2!V$718/100</f>
        <v>4.88</v>
      </c>
      <c r="W718" s="142" t="s">
        <v>3047</v>
      </c>
      <c r="X718" s="142">
        <f>B718*IBGE_2!X$718/100</f>
        <v>0.05</v>
      </c>
      <c r="Y718" s="142">
        <f>B718*IBGE_2!Y$718/100</f>
        <v>0.15</v>
      </c>
      <c r="Z718" s="142">
        <f>B718*IBGE_2!Z$718/100</f>
        <v>0.22</v>
      </c>
      <c r="AA718" s="142">
        <f>B718*IBGE_2!AA$718/100</f>
        <v>2.452</v>
      </c>
      <c r="AB718" s="142" t="s">
        <v>3047</v>
      </c>
      <c r="AC718" s="142">
        <f>B718*IBGE_2!AC$718/100</f>
        <v>4.819</v>
      </c>
      <c r="AD718" s="142">
        <f>B718*IBGE_2!AD$718/100</f>
        <v>2.62</v>
      </c>
      <c r="AE718" s="142">
        <f>B718*IBGE_2!AE$718/100</f>
        <v>5</v>
      </c>
      <c r="AF718" s="142">
        <f>B718*IBGE_2!AF$718/100</f>
        <v>0.6</v>
      </c>
      <c r="AG718" s="142">
        <f>B718*IBGE_2!AG$718/100</f>
        <v>0.28999999999999998</v>
      </c>
      <c r="AH718" s="142">
        <f>B718*IBGE_2!AH$718/100</f>
        <v>1.91</v>
      </c>
      <c r="AI718" s="142">
        <f>B718*IBGE_2!AI$718/100</f>
        <v>333</v>
      </c>
      <c r="AJ718" s="142">
        <f>B718*IBGE_2!AJ$718/100</f>
        <v>20.8</v>
      </c>
      <c r="AK718" s="145" t="s">
        <v>3047</v>
      </c>
      <c r="AL718" s="145" t="s">
        <v>3047</v>
      </c>
      <c r="AM718" s="142" t="s">
        <v>3047</v>
      </c>
      <c r="AN718" s="161"/>
    </row>
    <row r="719" spans="1:40">
      <c r="A719" s="143" t="s">
        <v>1779</v>
      </c>
      <c r="B719" s="141">
        <v>100</v>
      </c>
      <c r="C719" s="142">
        <f>B719*IBGE_2!C$719/100</f>
        <v>381.6</v>
      </c>
      <c r="D719" s="142">
        <f>B719*IBGE_2!D$719/100</f>
        <v>17.52</v>
      </c>
      <c r="E719" s="142">
        <f>B719*IBGE_2!E$719/100</f>
        <v>33.619999999999997</v>
      </c>
      <c r="F719" s="142">
        <f>B719*IBGE_2!F$719/100</f>
        <v>14.244999999999999</v>
      </c>
      <c r="G719" s="142">
        <f>B719*IBGE_2!G$719/100</f>
        <v>15.109000000000002</v>
      </c>
      <c r="H719" s="142">
        <f>B719*IBGE_2!H$719/100</f>
        <v>1.2390000000000001</v>
      </c>
      <c r="I719" s="142">
        <f>B719*IBGE_2!I$719/100</f>
        <v>0.79800000000000015</v>
      </c>
      <c r="J719" s="142">
        <f>B719*IBGE_2!J$719/100</f>
        <v>0.40100000000000002</v>
      </c>
      <c r="K719" s="142">
        <f>B719*IBGE_2!K$719/100</f>
        <v>75.2</v>
      </c>
      <c r="L719" s="142">
        <f>B719*IBGE_2!L$719/100</f>
        <v>1.0760000000000001</v>
      </c>
      <c r="M719" s="142">
        <f>B719*IBGE_2!M$719/100</f>
        <v>0.3</v>
      </c>
      <c r="N719" s="142">
        <f>B719*IBGE_2!N$719/100</f>
        <v>12.2</v>
      </c>
      <c r="O719" s="142">
        <f>B719*IBGE_2!O$719/100</f>
        <v>15.2</v>
      </c>
      <c r="P719" s="142">
        <f>B719*IBGE_2!P$719/100</f>
        <v>3.2000000000000001E-2</v>
      </c>
      <c r="Q719" s="142">
        <f>B719*IBGE_2!Q$719/100</f>
        <v>134.80000000000001</v>
      </c>
      <c r="R719" s="142">
        <f>B719*IBGE_2!R$719/100</f>
        <v>2.052</v>
      </c>
      <c r="S719" s="142">
        <f>B719*IBGE_2!S$719/100</f>
        <v>144.80000000000001</v>
      </c>
      <c r="T719" s="142">
        <f>B719*IBGE_2!T$719/100</f>
        <v>245.4</v>
      </c>
      <c r="U719" s="142">
        <f>B719*IBGE_2!U$719/100</f>
        <v>0.10299999999999999</v>
      </c>
      <c r="V719" s="142">
        <f>B719*IBGE_2!V$719/100</f>
        <v>3.944</v>
      </c>
      <c r="W719" s="142" t="s">
        <v>3047</v>
      </c>
      <c r="X719" s="142">
        <f>B719*IBGE_2!X$719/100</f>
        <v>4.4999999999999998E-2</v>
      </c>
      <c r="Y719" s="142">
        <f>B719*IBGE_2!Y$719/100</f>
        <v>0.13300000000000001</v>
      </c>
      <c r="Z719" s="142">
        <f>B719*IBGE_2!Z$719/100</f>
        <v>0.19500000000000001</v>
      </c>
      <c r="AA719" s="142">
        <f>B719*IBGE_2!AA$719/100</f>
        <v>2.157</v>
      </c>
      <c r="AB719" s="142">
        <f>B719*IBGE_2!AB$719/100</f>
        <v>1.4</v>
      </c>
      <c r="AC719" s="142">
        <f>B719*IBGE_2!AC$719/100</f>
        <v>4.0830000000000002</v>
      </c>
      <c r="AD719" s="142">
        <f>B719*IBGE_2!AD$719/100</f>
        <v>2.0960000000000001</v>
      </c>
      <c r="AE719" s="142">
        <f>B719*IBGE_2!AE$719/100</f>
        <v>6.2</v>
      </c>
      <c r="AF719" s="142">
        <f>B719*IBGE_2!AF$719/100</f>
        <v>0.48</v>
      </c>
      <c r="AG719" s="142">
        <f>B719*IBGE_2!AG$719/100</f>
        <v>0.51600000000000001</v>
      </c>
      <c r="AH719" s="142">
        <f>B719*IBGE_2!AH$719/100</f>
        <v>1.528</v>
      </c>
      <c r="AI719" s="142">
        <f>B719*IBGE_2!AI$719/100</f>
        <v>333</v>
      </c>
      <c r="AJ719" s="142">
        <f>B719*IBGE_2!AJ$719/100</f>
        <v>16.68</v>
      </c>
      <c r="AK719" s="142">
        <f>B719*IBGE_2!AK$719/100</f>
        <v>3.4830000000000001</v>
      </c>
      <c r="AL719" s="142">
        <f>B719*IBGE_2!AL$719/100</f>
        <v>0.85</v>
      </c>
      <c r="AM719" s="142" t="s">
        <v>3047</v>
      </c>
      <c r="AN719" s="161"/>
    </row>
    <row r="720" spans="1:40">
      <c r="A720" s="143" t="s">
        <v>1780</v>
      </c>
      <c r="B720" s="141">
        <v>100</v>
      </c>
      <c r="C720" s="142">
        <f>B720*IBGE_2!C$720/100</f>
        <v>204</v>
      </c>
      <c r="D720" s="142">
        <f>B720*IBGE_2!D$720/100</f>
        <v>30.67</v>
      </c>
      <c r="E720" s="142">
        <f>B720*IBGE_2!E$720/100</f>
        <v>9</v>
      </c>
      <c r="F720" s="142">
        <f>B720*IBGE_2!F$720/100</f>
        <v>3.415</v>
      </c>
      <c r="G720" s="142">
        <f>B720*IBGE_2!G$720/100</f>
        <v>3.9180000000000001</v>
      </c>
      <c r="H720" s="142">
        <f>B720*IBGE_2!H$720/100</f>
        <v>0.34699999999999998</v>
      </c>
      <c r="I720" s="142">
        <f>B720*IBGE_2!I$720/100</f>
        <v>0.23799999999999996</v>
      </c>
      <c r="J720" s="142">
        <f>B720*IBGE_2!J$720/100</f>
        <v>8.6999999999999994E-2</v>
      </c>
      <c r="K720" s="142">
        <f>B720*IBGE_2!K$720/100</f>
        <v>58</v>
      </c>
      <c r="L720" s="142" t="s">
        <v>3047</v>
      </c>
      <c r="M720" s="142" t="s">
        <v>3047</v>
      </c>
      <c r="N720" s="142">
        <f>B720*IBGE_2!N$720/100</f>
        <v>7</v>
      </c>
      <c r="O720" s="142">
        <f>B720*IBGE_2!O$720/100</f>
        <v>20</v>
      </c>
      <c r="P720" s="142">
        <f>B720*IBGE_2!P$720/100</f>
        <v>1.0999999999999999E-2</v>
      </c>
      <c r="Q720" s="142">
        <f>B720*IBGE_2!Q$720/100</f>
        <v>193</v>
      </c>
      <c r="R720" s="142">
        <f>B720*IBGE_2!R$720/100</f>
        <v>2.5299999999999998</v>
      </c>
      <c r="S720" s="142">
        <f>B720*IBGE_2!S$720/100</f>
        <v>41</v>
      </c>
      <c r="T720" s="142">
        <f>B720*IBGE_2!T$720/100</f>
        <v>252</v>
      </c>
      <c r="U720" s="142">
        <f>B720*IBGE_2!U$720/100</f>
        <v>7.3999999999999996E-2</v>
      </c>
      <c r="V720" s="142">
        <f>B720*IBGE_2!V$720/100</f>
        <v>5.2</v>
      </c>
      <c r="W720" s="142" t="s">
        <v>3047</v>
      </c>
      <c r="X720" s="142">
        <f>B720*IBGE_2!X$720/100</f>
        <v>7.0000000000000007E-2</v>
      </c>
      <c r="Y720" s="142">
        <f>B720*IBGE_2!Y$720/100</f>
        <v>0.16300000000000001</v>
      </c>
      <c r="Z720" s="142">
        <f>B720*IBGE_2!Z$720/100</f>
        <v>0.40300000000000002</v>
      </c>
      <c r="AA720" s="142">
        <f>B720*IBGE_2!AA$720/100</f>
        <v>5.36</v>
      </c>
      <c r="AB720" s="142" t="s">
        <v>3047</v>
      </c>
      <c r="AC720" s="142">
        <f>B720*IBGE_2!AC$720/100</f>
        <v>8.7270000000000003</v>
      </c>
      <c r="AD720" s="142">
        <f>B720*IBGE_2!AD$720/100</f>
        <v>1.71</v>
      </c>
      <c r="AE720" s="142">
        <f>B720*IBGE_2!AE$720/100</f>
        <v>10</v>
      </c>
      <c r="AF720" s="142">
        <f>B720*IBGE_2!AF$720/100</f>
        <v>0.6</v>
      </c>
      <c r="AG720" s="142">
        <f>B720*IBGE_2!AG$720/100</f>
        <v>0.43</v>
      </c>
      <c r="AH720" s="142">
        <f>B720*IBGE_2!AH$720/100</f>
        <v>0.40899999999999997</v>
      </c>
      <c r="AI720" s="142">
        <f>B720*IBGE_2!AI$720/100</f>
        <v>333</v>
      </c>
      <c r="AJ720" s="142">
        <f>B720*IBGE_2!AJ$720/100</f>
        <v>31.7</v>
      </c>
      <c r="AK720" s="142" t="s">
        <v>3047</v>
      </c>
      <c r="AL720" s="142" t="s">
        <v>3047</v>
      </c>
      <c r="AM720" s="142" t="s">
        <v>3047</v>
      </c>
      <c r="AN720" s="161"/>
    </row>
    <row r="721" spans="1:40">
      <c r="A721" s="143" t="s">
        <v>1781</v>
      </c>
      <c r="B721" s="141">
        <v>100</v>
      </c>
      <c r="C721" s="142">
        <f>B721*IBGE_2!C$721/100</f>
        <v>204</v>
      </c>
      <c r="D721" s="142">
        <f>B721*IBGE_2!D$721/100</f>
        <v>30.67</v>
      </c>
      <c r="E721" s="142">
        <f>B721*IBGE_2!E$721/100</f>
        <v>9</v>
      </c>
      <c r="F721" s="142">
        <f>B721*IBGE_2!F$721/100</f>
        <v>3.415</v>
      </c>
      <c r="G721" s="142">
        <f>B721*IBGE_2!G$721/100</f>
        <v>3.9180000000000001</v>
      </c>
      <c r="H721" s="142">
        <f>B721*IBGE_2!H$721/100</f>
        <v>0.34699999999999998</v>
      </c>
      <c r="I721" s="142">
        <f>B721*IBGE_2!I$721/100</f>
        <v>0.23799999999999996</v>
      </c>
      <c r="J721" s="142">
        <f>B721*IBGE_2!J$721/100</f>
        <v>8.6999999999999994E-2</v>
      </c>
      <c r="K721" s="142">
        <f>B721*IBGE_2!K$721/100</f>
        <v>58</v>
      </c>
      <c r="L721" s="142" t="s">
        <v>3047</v>
      </c>
      <c r="M721" s="142" t="s">
        <v>3047</v>
      </c>
      <c r="N721" s="142">
        <f>B721*IBGE_2!N$721/100</f>
        <v>7</v>
      </c>
      <c r="O721" s="142">
        <f>B721*IBGE_2!O$721/100</f>
        <v>20</v>
      </c>
      <c r="P721" s="142">
        <f>B721*IBGE_2!P$721/100</f>
        <v>1.0999999999999999E-2</v>
      </c>
      <c r="Q721" s="142">
        <f>B721*IBGE_2!Q$721/100</f>
        <v>193</v>
      </c>
      <c r="R721" s="142">
        <f>B721*IBGE_2!R$721/100</f>
        <v>2.5299999999999998</v>
      </c>
      <c r="S721" s="142">
        <f>B721*IBGE_2!S$721/100</f>
        <v>41</v>
      </c>
      <c r="T721" s="142">
        <f>B721*IBGE_2!T$721/100</f>
        <v>252</v>
      </c>
      <c r="U721" s="142">
        <f>B721*IBGE_2!U$721/100</f>
        <v>7.3999999999999996E-2</v>
      </c>
      <c r="V721" s="142">
        <f>B721*IBGE_2!V$721/100</f>
        <v>5.2</v>
      </c>
      <c r="W721" s="142" t="s">
        <v>3047</v>
      </c>
      <c r="X721" s="142">
        <f>B721*IBGE_2!X$721/100</f>
        <v>7.0000000000000007E-2</v>
      </c>
      <c r="Y721" s="142">
        <f>B721*IBGE_2!Y$721/100</f>
        <v>0.16300000000000001</v>
      </c>
      <c r="Z721" s="142">
        <f>B721*IBGE_2!Z$721/100</f>
        <v>0.40300000000000002</v>
      </c>
      <c r="AA721" s="142">
        <f>B721*IBGE_2!AA$721/100</f>
        <v>5.36</v>
      </c>
      <c r="AB721" s="142" t="s">
        <v>3047</v>
      </c>
      <c r="AC721" s="142">
        <f>B721*IBGE_2!AC$721/100</f>
        <v>8.7270000000000003</v>
      </c>
      <c r="AD721" s="142">
        <f>B721*IBGE_2!AD$721/100</f>
        <v>1.71</v>
      </c>
      <c r="AE721" s="142">
        <f>B721*IBGE_2!AE$721/100</f>
        <v>10</v>
      </c>
      <c r="AF721" s="142">
        <f>B721*IBGE_2!AF$721/100</f>
        <v>0.6</v>
      </c>
      <c r="AG721" s="142">
        <f>B721*IBGE_2!AG$721/100</f>
        <v>0.43</v>
      </c>
      <c r="AH721" s="142">
        <f>B721*IBGE_2!AH$721/100</f>
        <v>0.40899999999999997</v>
      </c>
      <c r="AI721" s="142">
        <f>B721*IBGE_2!AI$721/100</f>
        <v>333</v>
      </c>
      <c r="AJ721" s="142">
        <f>B721*IBGE_2!AJ$721/100</f>
        <v>31.7</v>
      </c>
      <c r="AK721" s="142" t="s">
        <v>3047</v>
      </c>
      <c r="AL721" s="142" t="s">
        <v>3047</v>
      </c>
      <c r="AM721" s="142" t="s">
        <v>3047</v>
      </c>
      <c r="AN721" s="161"/>
    </row>
    <row r="722" spans="1:40">
      <c r="A722" s="143" t="s">
        <v>1782</v>
      </c>
      <c r="B722" s="141">
        <v>100</v>
      </c>
      <c r="C722" s="142">
        <f>B722*IBGE_2!C$722/100</f>
        <v>204</v>
      </c>
      <c r="D722" s="142">
        <f>B722*IBGE_2!D$722/100</f>
        <v>30.67</v>
      </c>
      <c r="E722" s="142">
        <f>B722*IBGE_2!E$722/100</f>
        <v>9</v>
      </c>
      <c r="F722" s="142">
        <f>B722*IBGE_2!F$722/100</f>
        <v>3.415</v>
      </c>
      <c r="G722" s="142">
        <f>B722*IBGE_2!G$722/100</f>
        <v>3.9180000000000001</v>
      </c>
      <c r="H722" s="142">
        <f>B722*IBGE_2!H$722/100</f>
        <v>0.34699999999999998</v>
      </c>
      <c r="I722" s="142">
        <f>B722*IBGE_2!I$722/100</f>
        <v>0.23799999999999996</v>
      </c>
      <c r="J722" s="142">
        <f>B722*IBGE_2!J$722/100</f>
        <v>8.6999999999999994E-2</v>
      </c>
      <c r="K722" s="142">
        <f>B722*IBGE_2!K$722/100</f>
        <v>58</v>
      </c>
      <c r="L722" s="142" t="s">
        <v>3047</v>
      </c>
      <c r="M722" s="142" t="s">
        <v>3047</v>
      </c>
      <c r="N722" s="142">
        <f>B722*IBGE_2!N$722/100</f>
        <v>7</v>
      </c>
      <c r="O722" s="142">
        <f>B722*IBGE_2!O$722/100</f>
        <v>20</v>
      </c>
      <c r="P722" s="142">
        <f>B722*IBGE_2!P$722/100</f>
        <v>1.0999999999999999E-2</v>
      </c>
      <c r="Q722" s="142">
        <f>B722*IBGE_2!Q$722/100</f>
        <v>193</v>
      </c>
      <c r="R722" s="142">
        <f>B722*IBGE_2!R$722/100</f>
        <v>2.5299999999999998</v>
      </c>
      <c r="S722" s="142">
        <f>B722*IBGE_2!S$722/100</f>
        <v>41</v>
      </c>
      <c r="T722" s="142">
        <f>B722*IBGE_2!T$722/100</f>
        <v>252</v>
      </c>
      <c r="U722" s="142">
        <f>B722*IBGE_2!U$722/100</f>
        <v>7.3999999999999996E-2</v>
      </c>
      <c r="V722" s="142">
        <f>B722*IBGE_2!V$722/100</f>
        <v>5.2</v>
      </c>
      <c r="W722" s="142" t="s">
        <v>3047</v>
      </c>
      <c r="X722" s="142">
        <f>B722*IBGE_2!X$722/100</f>
        <v>7.0000000000000007E-2</v>
      </c>
      <c r="Y722" s="142">
        <f>B722*IBGE_2!Y$722/100</f>
        <v>0.16300000000000001</v>
      </c>
      <c r="Z722" s="142">
        <f>B722*IBGE_2!Z$722/100</f>
        <v>0.40300000000000002</v>
      </c>
      <c r="AA722" s="142">
        <f>B722*IBGE_2!AA$722/100</f>
        <v>5.36</v>
      </c>
      <c r="AB722" s="142" t="s">
        <v>3047</v>
      </c>
      <c r="AC722" s="142">
        <f>B722*IBGE_2!AC$722/100</f>
        <v>8.7270000000000003</v>
      </c>
      <c r="AD722" s="142">
        <f>B722*IBGE_2!AD$722/100</f>
        <v>1.71</v>
      </c>
      <c r="AE722" s="142">
        <f>B722*IBGE_2!AE$722/100</f>
        <v>10</v>
      </c>
      <c r="AF722" s="142">
        <f>B722*IBGE_2!AF$722/100</f>
        <v>0.6</v>
      </c>
      <c r="AG722" s="142">
        <f>B722*IBGE_2!AG$722/100</f>
        <v>0.43</v>
      </c>
      <c r="AH722" s="142">
        <f>B722*IBGE_2!AH$722/100</f>
        <v>0.40899999999999997</v>
      </c>
      <c r="AI722" s="142">
        <f>B722*IBGE_2!AI$722/100</f>
        <v>333</v>
      </c>
      <c r="AJ722" s="142">
        <f>B722*IBGE_2!AJ$722/100</f>
        <v>31.7</v>
      </c>
      <c r="AK722" s="142" t="s">
        <v>3047</v>
      </c>
      <c r="AL722" s="142" t="s">
        <v>3047</v>
      </c>
      <c r="AM722" s="142" t="s">
        <v>3047</v>
      </c>
      <c r="AN722" s="161"/>
    </row>
    <row r="723" spans="1:40">
      <c r="A723" s="143" t="s">
        <v>1783</v>
      </c>
      <c r="B723" s="141">
        <v>100</v>
      </c>
      <c r="C723" s="142">
        <f>B723*IBGE_2!C$723/100</f>
        <v>204</v>
      </c>
      <c r="D723" s="142">
        <f>B723*IBGE_2!D$723/100</f>
        <v>30.67</v>
      </c>
      <c r="E723" s="142">
        <f>B723*IBGE_2!E$723/100</f>
        <v>9</v>
      </c>
      <c r="F723" s="142">
        <f>B723*IBGE_2!F$723/100</f>
        <v>3.415</v>
      </c>
      <c r="G723" s="142">
        <f>B723*IBGE_2!G$723/100</f>
        <v>3.9180000000000001</v>
      </c>
      <c r="H723" s="142">
        <f>B723*IBGE_2!H$723/100</f>
        <v>0.34699999999999998</v>
      </c>
      <c r="I723" s="142">
        <f>B723*IBGE_2!I$723/100</f>
        <v>0.23799999999999996</v>
      </c>
      <c r="J723" s="142">
        <f>B723*IBGE_2!J$723/100</f>
        <v>8.6999999999999994E-2</v>
      </c>
      <c r="K723" s="142">
        <f>B723*IBGE_2!K$723/100</f>
        <v>58</v>
      </c>
      <c r="L723" s="142" t="s">
        <v>3047</v>
      </c>
      <c r="M723" s="142" t="s">
        <v>3047</v>
      </c>
      <c r="N723" s="142">
        <f>B723*IBGE_2!N$723/100</f>
        <v>7</v>
      </c>
      <c r="O723" s="142">
        <f>B723*IBGE_2!O$723/100</f>
        <v>20</v>
      </c>
      <c r="P723" s="142">
        <f>B723*IBGE_2!P$723/100</f>
        <v>1.0999999999999999E-2</v>
      </c>
      <c r="Q723" s="142">
        <f>B723*IBGE_2!Q$723/100</f>
        <v>193</v>
      </c>
      <c r="R723" s="142">
        <f>B723*IBGE_2!R$723/100</f>
        <v>2.5299999999999998</v>
      </c>
      <c r="S723" s="142">
        <f>B723*IBGE_2!S$723/100</f>
        <v>41</v>
      </c>
      <c r="T723" s="142">
        <f>B723*IBGE_2!T$723/100</f>
        <v>252</v>
      </c>
      <c r="U723" s="142">
        <f>B723*IBGE_2!U$723/100</f>
        <v>7.3999999999999996E-2</v>
      </c>
      <c r="V723" s="142">
        <f>B723*IBGE_2!V$723/100</f>
        <v>5.2</v>
      </c>
      <c r="W723" s="142" t="s">
        <v>3047</v>
      </c>
      <c r="X723" s="142">
        <f>B723*IBGE_2!X$723/100</f>
        <v>7.0000000000000007E-2</v>
      </c>
      <c r="Y723" s="142">
        <f>B723*IBGE_2!Y$723/100</f>
        <v>0.16300000000000001</v>
      </c>
      <c r="Z723" s="142">
        <f>B723*IBGE_2!Z$723/100</f>
        <v>0.40300000000000002</v>
      </c>
      <c r="AA723" s="142">
        <f>B723*IBGE_2!AA$723/100</f>
        <v>5.36</v>
      </c>
      <c r="AB723" s="142" t="s">
        <v>3047</v>
      </c>
      <c r="AC723" s="142">
        <f>B723*IBGE_2!AC$723/100</f>
        <v>8.7270000000000003</v>
      </c>
      <c r="AD723" s="142">
        <f>B723*IBGE_2!AD$723/100</f>
        <v>1.71</v>
      </c>
      <c r="AE723" s="142">
        <f>B723*IBGE_2!AE$723/100</f>
        <v>10</v>
      </c>
      <c r="AF723" s="142">
        <f>B723*IBGE_2!AF$723/100</f>
        <v>0.6</v>
      </c>
      <c r="AG723" s="142">
        <f>B723*IBGE_2!AG$723/100</f>
        <v>0.43</v>
      </c>
      <c r="AH723" s="142">
        <f>B723*IBGE_2!AH$723/100</f>
        <v>0.40899999999999997</v>
      </c>
      <c r="AI723" s="142">
        <f>B723*IBGE_2!AI$723/100</f>
        <v>333</v>
      </c>
      <c r="AJ723" s="142">
        <f>B723*IBGE_2!AJ$723/100</f>
        <v>31.7</v>
      </c>
      <c r="AK723" s="142" t="s">
        <v>3047</v>
      </c>
      <c r="AL723" s="142" t="s">
        <v>3047</v>
      </c>
      <c r="AM723" s="142" t="s">
        <v>3047</v>
      </c>
      <c r="AN723" s="161"/>
    </row>
    <row r="724" spans="1:40">
      <c r="A724" s="143" t="s">
        <v>1784</v>
      </c>
      <c r="B724" s="141">
        <v>100</v>
      </c>
      <c r="C724" s="142">
        <f>B724*IBGE_2!C$724/100</f>
        <v>253.56700000000001</v>
      </c>
      <c r="D724" s="142">
        <f>B724*IBGE_2!D$724/100</f>
        <v>30.67</v>
      </c>
      <c r="E724" s="142">
        <f>B724*IBGE_2!E$724/100</f>
        <v>14.606999999999998</v>
      </c>
      <c r="F724" s="142">
        <f>B724*IBGE_2!F$724/100</f>
        <v>4.2930000000000001</v>
      </c>
      <c r="G724" s="142">
        <f>B724*IBGE_2!G$724/100</f>
        <v>5.1950000000000003</v>
      </c>
      <c r="H724" s="142">
        <f>B724*IBGE_2!H$724/100</f>
        <v>3.585</v>
      </c>
      <c r="I724" s="142">
        <f>B724*IBGE_2!I$724/100</f>
        <v>3.0950000000000002</v>
      </c>
      <c r="J724" s="142">
        <f>B724*IBGE_2!J$724/100</f>
        <v>0.46800000000000003</v>
      </c>
      <c r="K724" s="142">
        <f>B724*IBGE_2!K$724/100</f>
        <v>58</v>
      </c>
      <c r="L724" s="142" t="s">
        <v>3047</v>
      </c>
      <c r="M724" s="142" t="s">
        <v>3047</v>
      </c>
      <c r="N724" s="142">
        <f>B724*IBGE_2!N$724/100</f>
        <v>7</v>
      </c>
      <c r="O724" s="142">
        <f>B724*IBGE_2!O$724/100</f>
        <v>20</v>
      </c>
      <c r="P724" s="142">
        <f>B724*IBGE_2!P$724/100</f>
        <v>1.0999999999999999E-2</v>
      </c>
      <c r="Q724" s="142">
        <f>B724*IBGE_2!Q$724/100</f>
        <v>193</v>
      </c>
      <c r="R724" s="142">
        <f>B724*IBGE_2!R$724/100</f>
        <v>2.5329999999999999</v>
      </c>
      <c r="S724" s="142">
        <f>B724*IBGE_2!S$724/100</f>
        <v>41</v>
      </c>
      <c r="T724" s="142">
        <f>B724*IBGE_2!T$724/100</f>
        <v>252</v>
      </c>
      <c r="U724" s="142">
        <f>B724*IBGE_2!U$724/100</f>
        <v>7.3999999999999996E-2</v>
      </c>
      <c r="V724" s="142">
        <f>B724*IBGE_2!V$724/100</f>
        <v>5.2009999999999987</v>
      </c>
      <c r="W724" s="142" t="s">
        <v>3047</v>
      </c>
      <c r="X724" s="142">
        <f>B724*IBGE_2!X$724/100</f>
        <v>7.0000000000000007E-2</v>
      </c>
      <c r="Y724" s="142">
        <f>B724*IBGE_2!Y$724/100</f>
        <v>0.16300000000000001</v>
      </c>
      <c r="Z724" s="142">
        <f>B724*IBGE_2!Z$724/100</f>
        <v>0.40300000000000002</v>
      </c>
      <c r="AA724" s="142">
        <f>B724*IBGE_2!AA$724/100</f>
        <v>5.36</v>
      </c>
      <c r="AB724" s="142" t="s">
        <v>3047</v>
      </c>
      <c r="AC724" s="142">
        <f>B724*IBGE_2!AC$724/100</f>
        <v>8.7270000000000003</v>
      </c>
      <c r="AD724" s="142">
        <f>B724*IBGE_2!AD$724/100</f>
        <v>1.71</v>
      </c>
      <c r="AE724" s="142">
        <f>B724*IBGE_2!AE$724/100</f>
        <v>10</v>
      </c>
      <c r="AF724" s="142">
        <f>B724*IBGE_2!AF$724/100</f>
        <v>0.6</v>
      </c>
      <c r="AG724" s="142">
        <f>B724*IBGE_2!AG$724/100</f>
        <v>0.88900000000000001</v>
      </c>
      <c r="AH724" s="142">
        <f>B724*IBGE_2!AH$724/100</f>
        <v>0.439</v>
      </c>
      <c r="AI724" s="142">
        <f>B724*IBGE_2!AI$724/100</f>
        <v>333</v>
      </c>
      <c r="AJ724" s="142">
        <f>B724*IBGE_2!AJ$724/100</f>
        <v>34.270000000000003</v>
      </c>
      <c r="AK724" s="142" t="s">
        <v>3047</v>
      </c>
      <c r="AL724" s="142" t="s">
        <v>3047</v>
      </c>
      <c r="AM724" s="142" t="s">
        <v>3047</v>
      </c>
      <c r="AN724" s="161"/>
    </row>
    <row r="725" spans="1:40">
      <c r="A725" s="143" t="s">
        <v>1785</v>
      </c>
      <c r="B725" s="141">
        <v>100</v>
      </c>
      <c r="C725" s="142">
        <f>B725*IBGE_2!C$725/100</f>
        <v>253.56700000000001</v>
      </c>
      <c r="D725" s="142">
        <f>B725*IBGE_2!D$725/100</f>
        <v>30.67</v>
      </c>
      <c r="E725" s="142">
        <f>B725*IBGE_2!E$725/100</f>
        <v>14.606999999999998</v>
      </c>
      <c r="F725" s="142">
        <f>B725*IBGE_2!F$725/100</f>
        <v>4.2930000000000001</v>
      </c>
      <c r="G725" s="142">
        <f>B725*IBGE_2!G$725/100</f>
        <v>5.1950000000000003</v>
      </c>
      <c r="H725" s="142">
        <f>B725*IBGE_2!H$725/100</f>
        <v>3.585</v>
      </c>
      <c r="I725" s="142">
        <f>B725*IBGE_2!I$725/100</f>
        <v>3.0950000000000002</v>
      </c>
      <c r="J725" s="142">
        <f>B725*IBGE_2!J$725/100</f>
        <v>0.46800000000000003</v>
      </c>
      <c r="K725" s="142">
        <f>B725*IBGE_2!K$725/100</f>
        <v>58</v>
      </c>
      <c r="L725" s="142" t="s">
        <v>3047</v>
      </c>
      <c r="M725" s="142" t="s">
        <v>3047</v>
      </c>
      <c r="N725" s="142">
        <f>B725*IBGE_2!N$725/100</f>
        <v>7</v>
      </c>
      <c r="O725" s="142">
        <f>B725*IBGE_2!O$725/100</f>
        <v>20</v>
      </c>
      <c r="P725" s="142">
        <f>B725*IBGE_2!P$725/100</f>
        <v>1.0999999999999999E-2</v>
      </c>
      <c r="Q725" s="142">
        <f>B725*IBGE_2!Q$725/100</f>
        <v>193</v>
      </c>
      <c r="R725" s="142">
        <f>B725*IBGE_2!R$725/100</f>
        <v>2.5329999999999999</v>
      </c>
      <c r="S725" s="142">
        <f>B725*IBGE_2!S$725/100</f>
        <v>41</v>
      </c>
      <c r="T725" s="142">
        <f>B725*IBGE_2!T$725/100</f>
        <v>252</v>
      </c>
      <c r="U725" s="142">
        <f>B725*IBGE_2!U$725/100</f>
        <v>7.3999999999999996E-2</v>
      </c>
      <c r="V725" s="142">
        <f>B725*IBGE_2!V$725/100</f>
        <v>5.2009999999999987</v>
      </c>
      <c r="W725" s="142" t="s">
        <v>3047</v>
      </c>
      <c r="X725" s="142">
        <f>B725*IBGE_2!X$725/100</f>
        <v>7.0000000000000007E-2</v>
      </c>
      <c r="Y725" s="142">
        <f>B725*IBGE_2!Y$725/100</f>
        <v>0.16300000000000001</v>
      </c>
      <c r="Z725" s="142">
        <f>B725*IBGE_2!Z$725/100</f>
        <v>0.40300000000000002</v>
      </c>
      <c r="AA725" s="142">
        <f>B725*IBGE_2!AA$725/100</f>
        <v>5.36</v>
      </c>
      <c r="AB725" s="142" t="s">
        <v>3047</v>
      </c>
      <c r="AC725" s="142">
        <f>B725*IBGE_2!AC$725/100</f>
        <v>8.7270000000000003</v>
      </c>
      <c r="AD725" s="142">
        <f>B725*IBGE_2!AD$725/100</f>
        <v>1.71</v>
      </c>
      <c r="AE725" s="142">
        <f>B725*IBGE_2!AE$725/100</f>
        <v>10</v>
      </c>
      <c r="AF725" s="142">
        <f>B725*IBGE_2!AF$725/100</f>
        <v>0.6</v>
      </c>
      <c r="AG725" s="142">
        <f>B725*IBGE_2!AG$725/100</f>
        <v>0.88900000000000001</v>
      </c>
      <c r="AH725" s="142">
        <f>B725*IBGE_2!AH$725/100</f>
        <v>0.439</v>
      </c>
      <c r="AI725" s="142">
        <f>B725*IBGE_2!AI$725/100</f>
        <v>333</v>
      </c>
      <c r="AJ725" s="142">
        <f>B725*IBGE_2!AJ$725/100</f>
        <v>34.270000000000003</v>
      </c>
      <c r="AK725" s="142" t="s">
        <v>3047</v>
      </c>
      <c r="AL725" s="142" t="s">
        <v>3047</v>
      </c>
      <c r="AM725" s="142" t="s">
        <v>3047</v>
      </c>
      <c r="AN725" s="161"/>
    </row>
    <row r="726" spans="1:40">
      <c r="A726" s="143" t="s">
        <v>1786</v>
      </c>
      <c r="B726" s="141">
        <v>100</v>
      </c>
      <c r="C726" s="142">
        <f>B726*IBGE_2!C$726/100</f>
        <v>253.56700000000001</v>
      </c>
      <c r="D726" s="142">
        <f>B726*IBGE_2!D$726/100</f>
        <v>30.67</v>
      </c>
      <c r="E726" s="142">
        <f>B726*IBGE_2!E$726/100</f>
        <v>14.606999999999998</v>
      </c>
      <c r="F726" s="142">
        <f>B726*IBGE_2!F$726/100</f>
        <v>4.2930000000000001</v>
      </c>
      <c r="G726" s="142">
        <f>B726*IBGE_2!G$726/100</f>
        <v>5.1950000000000003</v>
      </c>
      <c r="H726" s="142">
        <f>B726*IBGE_2!H$726/100</f>
        <v>3.585</v>
      </c>
      <c r="I726" s="142">
        <f>B726*IBGE_2!I$726/100</f>
        <v>3.0950000000000002</v>
      </c>
      <c r="J726" s="142">
        <f>B726*IBGE_2!J$726/100</f>
        <v>0.46800000000000003</v>
      </c>
      <c r="K726" s="142">
        <f>B726*IBGE_2!K$726/100</f>
        <v>58</v>
      </c>
      <c r="L726" s="142" t="s">
        <v>3047</v>
      </c>
      <c r="M726" s="142" t="s">
        <v>3047</v>
      </c>
      <c r="N726" s="142">
        <f>B726*IBGE_2!N$726/100</f>
        <v>7</v>
      </c>
      <c r="O726" s="142">
        <f>B726*IBGE_2!O$726/100</f>
        <v>20</v>
      </c>
      <c r="P726" s="142">
        <f>B726*IBGE_2!P$726/100</f>
        <v>1.0999999999999999E-2</v>
      </c>
      <c r="Q726" s="142">
        <f>B726*IBGE_2!Q$726/100</f>
        <v>193</v>
      </c>
      <c r="R726" s="142">
        <f>B726*IBGE_2!R$726/100</f>
        <v>2.5329999999999999</v>
      </c>
      <c r="S726" s="142">
        <f>B726*IBGE_2!S$726/100</f>
        <v>41</v>
      </c>
      <c r="T726" s="142">
        <f>B726*IBGE_2!T$726/100</f>
        <v>252</v>
      </c>
      <c r="U726" s="142">
        <f>B726*IBGE_2!U$726/100</f>
        <v>7.3999999999999996E-2</v>
      </c>
      <c r="V726" s="142">
        <f>B726*IBGE_2!V$726/100</f>
        <v>5.2009999999999987</v>
      </c>
      <c r="W726" s="142" t="s">
        <v>3047</v>
      </c>
      <c r="X726" s="142">
        <f>B726*IBGE_2!X$726/100</f>
        <v>7.0000000000000007E-2</v>
      </c>
      <c r="Y726" s="142">
        <f>B726*IBGE_2!Y$726/100</f>
        <v>0.16300000000000001</v>
      </c>
      <c r="Z726" s="142">
        <f>B726*IBGE_2!Z$726/100</f>
        <v>0.40300000000000002</v>
      </c>
      <c r="AA726" s="142">
        <f>B726*IBGE_2!AA$726/100</f>
        <v>5.36</v>
      </c>
      <c r="AB726" s="142" t="s">
        <v>3047</v>
      </c>
      <c r="AC726" s="142">
        <f>B726*IBGE_2!AC$726/100</f>
        <v>8.7270000000000003</v>
      </c>
      <c r="AD726" s="142">
        <f>B726*IBGE_2!AD$726/100</f>
        <v>1.71</v>
      </c>
      <c r="AE726" s="142">
        <f>B726*IBGE_2!AE$726/100</f>
        <v>10</v>
      </c>
      <c r="AF726" s="142">
        <f>B726*IBGE_2!AF$726/100</f>
        <v>0.6</v>
      </c>
      <c r="AG726" s="142">
        <f>B726*IBGE_2!AG$726/100</f>
        <v>0.88900000000000001</v>
      </c>
      <c r="AH726" s="142">
        <f>B726*IBGE_2!AH$726/100</f>
        <v>0.439</v>
      </c>
      <c r="AI726" s="142">
        <f>B726*IBGE_2!AI$726/100</f>
        <v>333</v>
      </c>
      <c r="AJ726" s="142">
        <f>B726*IBGE_2!AJ$726/100</f>
        <v>34.270000000000003</v>
      </c>
      <c r="AK726" s="142" t="s">
        <v>3047</v>
      </c>
      <c r="AL726" s="142" t="s">
        <v>3047</v>
      </c>
      <c r="AM726" s="142" t="s">
        <v>3047</v>
      </c>
      <c r="AN726" s="161"/>
    </row>
    <row r="727" spans="1:40">
      <c r="A727" s="143" t="s">
        <v>1787</v>
      </c>
      <c r="B727" s="141">
        <v>100</v>
      </c>
      <c r="C727" s="142">
        <f>B727*IBGE_2!C$727/100</f>
        <v>168</v>
      </c>
      <c r="D727" s="142">
        <f>B727*IBGE_2!D$727/100</f>
        <v>24.8</v>
      </c>
      <c r="E727" s="142">
        <f>B727*IBGE_2!E$727/100</f>
        <v>7.2360000000000007</v>
      </c>
      <c r="F727" s="142">
        <f>B727*IBGE_2!F$727/100</f>
        <v>2.7370000000000001</v>
      </c>
      <c r="G727" s="142">
        <f>B727*IBGE_2!G$727/100</f>
        <v>3.14</v>
      </c>
      <c r="H727" s="142">
        <f>B727*IBGE_2!H$727/100</f>
        <v>0.29199999999999998</v>
      </c>
      <c r="I727" s="142">
        <f>B727*IBGE_2!I$727/100</f>
        <v>0.20399999999999999</v>
      </c>
      <c r="J727" s="142">
        <f>B727*IBGE_2!J$727/100</f>
        <v>7.0000000000000007E-2</v>
      </c>
      <c r="K727" s="142">
        <f>B727*IBGE_2!K$727/100</f>
        <v>46.4</v>
      </c>
      <c r="L727" s="142">
        <f>B727*IBGE_2!L$727/100</f>
        <v>1.0760000000000001</v>
      </c>
      <c r="M727" s="142">
        <f>B727*IBGE_2!M$727/100</f>
        <v>0.3</v>
      </c>
      <c r="N727" s="142">
        <f>B727*IBGE_2!N$727/100</f>
        <v>8.1999999999999993</v>
      </c>
      <c r="O727" s="142">
        <f>B727*IBGE_2!O$727/100</f>
        <v>19.2</v>
      </c>
      <c r="P727" s="142">
        <f>B727*IBGE_2!P$727/100</f>
        <v>0.03</v>
      </c>
      <c r="Q727" s="142">
        <f>B727*IBGE_2!Q$727/100</f>
        <v>159.6</v>
      </c>
      <c r="R727" s="142">
        <f>B727*IBGE_2!R$727/100</f>
        <v>2.2280000000000002</v>
      </c>
      <c r="S727" s="142">
        <f>B727*IBGE_2!S$727/100</f>
        <v>137.6</v>
      </c>
      <c r="T727" s="142">
        <f>B727*IBGE_2!T$727/100</f>
        <v>267.8</v>
      </c>
      <c r="U727" s="142">
        <f>B727*IBGE_2!U$727/100</f>
        <v>8.3000000000000004E-2</v>
      </c>
      <c r="V727" s="142">
        <f>B727*IBGE_2!V$727/100</f>
        <v>4.2</v>
      </c>
      <c r="W727" s="142" t="s">
        <v>3047</v>
      </c>
      <c r="X727" s="142">
        <f>B727*IBGE_2!X$727/100</f>
        <v>6.0999999999999999E-2</v>
      </c>
      <c r="Y727" s="142">
        <f>B727*IBGE_2!Y$727/100</f>
        <v>0.14399999999999999</v>
      </c>
      <c r="Z727" s="142">
        <f>B727*IBGE_2!Z$727/100</f>
        <v>0.34200000000000003</v>
      </c>
      <c r="AA727" s="142">
        <f>B727*IBGE_2!AA$727/100</f>
        <v>4.4829999999999997</v>
      </c>
      <c r="AB727" s="142">
        <f>B727*IBGE_2!AB$727/100</f>
        <v>1.4</v>
      </c>
      <c r="AC727" s="142">
        <f>B727*IBGE_2!AC$727/100</f>
        <v>7.21</v>
      </c>
      <c r="AD727" s="142">
        <f>B727*IBGE_2!AD$727/100</f>
        <v>1.3680000000000001</v>
      </c>
      <c r="AE727" s="142">
        <f>B727*IBGE_2!AE$727/100</f>
        <v>10.199999999999999</v>
      </c>
      <c r="AF727" s="142">
        <f>B727*IBGE_2!AF$727/100</f>
        <v>0.48</v>
      </c>
      <c r="AG727" s="142">
        <f>B727*IBGE_2!AG$727/100</f>
        <v>0.628</v>
      </c>
      <c r="AH727" s="142">
        <f>B727*IBGE_2!AH$727/100</f>
        <v>0.32700000000000001</v>
      </c>
      <c r="AI727" s="142">
        <f>B727*IBGE_2!AI$727/100</f>
        <v>333</v>
      </c>
      <c r="AJ727" s="142">
        <f>B727*IBGE_2!AJ$727/100</f>
        <v>25.4</v>
      </c>
      <c r="AK727" s="142">
        <f>B727*IBGE_2!AK$727/100</f>
        <v>3.4830000000000001</v>
      </c>
      <c r="AL727" s="142">
        <f>B727*IBGE_2!AL$727/100</f>
        <v>0.85</v>
      </c>
      <c r="AM727" s="142" t="s">
        <v>3047</v>
      </c>
      <c r="AN727" s="161"/>
    </row>
    <row r="728" spans="1:40">
      <c r="A728" s="143" t="s">
        <v>1788</v>
      </c>
      <c r="B728" s="141">
        <v>100</v>
      </c>
      <c r="C728" s="142">
        <f>B728*IBGE_2!C$728/100</f>
        <v>204</v>
      </c>
      <c r="D728" s="142">
        <f>B728*IBGE_2!D$728/100</f>
        <v>30.67</v>
      </c>
      <c r="E728" s="142">
        <f>B728*IBGE_2!E$728/100</f>
        <v>9</v>
      </c>
      <c r="F728" s="142">
        <f>B728*IBGE_2!F$728/100</f>
        <v>3.415</v>
      </c>
      <c r="G728" s="142">
        <f>B728*IBGE_2!G$728/100</f>
        <v>3.9180000000000001</v>
      </c>
      <c r="H728" s="142">
        <f>B728*IBGE_2!H$728/100</f>
        <v>0.34699999999999998</v>
      </c>
      <c r="I728" s="142">
        <f>B728*IBGE_2!I$728/100</f>
        <v>0.23799999999999996</v>
      </c>
      <c r="J728" s="142">
        <f>B728*IBGE_2!J$728/100</f>
        <v>8.6999999999999994E-2</v>
      </c>
      <c r="K728" s="142">
        <f>B728*IBGE_2!K$728/100</f>
        <v>58</v>
      </c>
      <c r="L728" s="142" t="s">
        <v>3047</v>
      </c>
      <c r="M728" s="142" t="s">
        <v>3047</v>
      </c>
      <c r="N728" s="142">
        <f>B728*IBGE_2!N$728/100</f>
        <v>7</v>
      </c>
      <c r="O728" s="142">
        <f>B728*IBGE_2!O$728/100</f>
        <v>20</v>
      </c>
      <c r="P728" s="142">
        <f>B728*IBGE_2!P$728/100</f>
        <v>1.0999999999999999E-2</v>
      </c>
      <c r="Q728" s="142">
        <f>B728*IBGE_2!Q$728/100</f>
        <v>193</v>
      </c>
      <c r="R728" s="142">
        <f>B728*IBGE_2!R$728/100</f>
        <v>2.5299999999999998</v>
      </c>
      <c r="S728" s="142">
        <f>B728*IBGE_2!S$728/100</f>
        <v>41</v>
      </c>
      <c r="T728" s="142">
        <f>B728*IBGE_2!T$728/100</f>
        <v>252</v>
      </c>
      <c r="U728" s="142">
        <f>B728*IBGE_2!U$728/100</f>
        <v>7.3999999999999996E-2</v>
      </c>
      <c r="V728" s="142">
        <f>B728*IBGE_2!V$728/100</f>
        <v>5.2</v>
      </c>
      <c r="W728" s="142" t="s">
        <v>3047</v>
      </c>
      <c r="X728" s="142">
        <f>B728*IBGE_2!X$728/100</f>
        <v>7.0000000000000007E-2</v>
      </c>
      <c r="Y728" s="142">
        <f>B728*IBGE_2!Y$728/100</f>
        <v>0.16300000000000001</v>
      </c>
      <c r="Z728" s="142">
        <f>B728*IBGE_2!Z$728/100</f>
        <v>0.40300000000000002</v>
      </c>
      <c r="AA728" s="142">
        <f>B728*IBGE_2!AA$728/100</f>
        <v>5.36</v>
      </c>
      <c r="AB728" s="142" t="s">
        <v>3047</v>
      </c>
      <c r="AC728" s="142">
        <f>B728*IBGE_2!AC$728/100</f>
        <v>8.7270000000000003</v>
      </c>
      <c r="AD728" s="142">
        <f>B728*IBGE_2!AD$728/100</f>
        <v>1.71</v>
      </c>
      <c r="AE728" s="142">
        <f>B728*IBGE_2!AE$728/100</f>
        <v>10</v>
      </c>
      <c r="AF728" s="142">
        <f>B728*IBGE_2!AF$728/100</f>
        <v>0.6</v>
      </c>
      <c r="AG728" s="142">
        <f>B728*IBGE_2!AG$728/100</f>
        <v>0.43</v>
      </c>
      <c r="AH728" s="142">
        <f>B728*IBGE_2!AH$728/100</f>
        <v>0.40899999999999997</v>
      </c>
      <c r="AI728" s="142">
        <f>B728*IBGE_2!AI$728/100</f>
        <v>333</v>
      </c>
      <c r="AJ728" s="142">
        <f>B728*IBGE_2!AJ$728/100</f>
        <v>31.7</v>
      </c>
      <c r="AK728" s="142" t="s">
        <v>3047</v>
      </c>
      <c r="AL728" s="142" t="s">
        <v>3047</v>
      </c>
      <c r="AM728" s="142" t="s">
        <v>3047</v>
      </c>
      <c r="AN728" s="161"/>
    </row>
    <row r="729" spans="1:40">
      <c r="A729" s="143" t="s">
        <v>1789</v>
      </c>
      <c r="B729" s="141">
        <v>100</v>
      </c>
      <c r="C729" s="142">
        <f>B729*IBGE_2!C$729/100</f>
        <v>253.56700000000001</v>
      </c>
      <c r="D729" s="142">
        <f>B729*IBGE_2!D$729/100</f>
        <v>30.67</v>
      </c>
      <c r="E729" s="142">
        <f>B729*IBGE_2!E$729/100</f>
        <v>14.606999999999998</v>
      </c>
      <c r="F729" s="142">
        <f>B729*IBGE_2!F$729/100</f>
        <v>4.2930000000000001</v>
      </c>
      <c r="G729" s="142">
        <f>B729*IBGE_2!G$729/100</f>
        <v>5.1950000000000003</v>
      </c>
      <c r="H729" s="142">
        <f>B729*IBGE_2!H$729/100</f>
        <v>3.585</v>
      </c>
      <c r="I729" s="142">
        <f>B729*IBGE_2!I$729/100</f>
        <v>3.0950000000000002</v>
      </c>
      <c r="J729" s="142">
        <f>B729*IBGE_2!J$729/100</f>
        <v>0.46800000000000003</v>
      </c>
      <c r="K729" s="142">
        <f>B729*IBGE_2!K$729/100</f>
        <v>58</v>
      </c>
      <c r="L729" s="142" t="s">
        <v>3047</v>
      </c>
      <c r="M729" s="142" t="s">
        <v>3047</v>
      </c>
      <c r="N729" s="142">
        <f>B729*IBGE_2!N$729/100</f>
        <v>7</v>
      </c>
      <c r="O729" s="142">
        <f>B729*IBGE_2!O$729/100</f>
        <v>20</v>
      </c>
      <c r="P729" s="142">
        <f>B729*IBGE_2!P$729/100</f>
        <v>1.0999999999999999E-2</v>
      </c>
      <c r="Q729" s="142">
        <f>B729*IBGE_2!Q$729/100</f>
        <v>193</v>
      </c>
      <c r="R729" s="142">
        <f>B729*IBGE_2!R$729/100</f>
        <v>2.5329999999999999</v>
      </c>
      <c r="S729" s="142">
        <f>B729*IBGE_2!S$729/100</f>
        <v>41</v>
      </c>
      <c r="T729" s="142">
        <f>B729*IBGE_2!T$729/100</f>
        <v>252</v>
      </c>
      <c r="U729" s="142">
        <f>B729*IBGE_2!U$729/100</f>
        <v>7.3999999999999996E-2</v>
      </c>
      <c r="V729" s="142">
        <f>B729*IBGE_2!V$729/100</f>
        <v>5.2009999999999987</v>
      </c>
      <c r="W729" s="142" t="s">
        <v>3047</v>
      </c>
      <c r="X729" s="142">
        <f>B729*IBGE_2!X$729/100</f>
        <v>7.0000000000000007E-2</v>
      </c>
      <c r="Y729" s="142">
        <f>B729*IBGE_2!Y$729/100</f>
        <v>0.16300000000000001</v>
      </c>
      <c r="Z729" s="142">
        <f>B729*IBGE_2!Z$729/100</f>
        <v>0.40300000000000002</v>
      </c>
      <c r="AA729" s="142">
        <f>B729*IBGE_2!AA$729/100</f>
        <v>5.36</v>
      </c>
      <c r="AB729" s="142" t="s">
        <v>3047</v>
      </c>
      <c r="AC729" s="142">
        <f>B729*IBGE_2!AC$729/100</f>
        <v>8.7270000000000003</v>
      </c>
      <c r="AD729" s="142">
        <f>B729*IBGE_2!AD$729/100</f>
        <v>1.71</v>
      </c>
      <c r="AE729" s="142">
        <f>B729*IBGE_2!AE$729/100</f>
        <v>10</v>
      </c>
      <c r="AF729" s="142">
        <f>B729*IBGE_2!AF$729/100</f>
        <v>0.6</v>
      </c>
      <c r="AG729" s="142">
        <f>B729*IBGE_2!AG$729/100</f>
        <v>0.88900000000000001</v>
      </c>
      <c r="AH729" s="142">
        <f>B729*IBGE_2!AH$729/100</f>
        <v>0.439</v>
      </c>
      <c r="AI729" s="142">
        <f>B729*IBGE_2!AI$729/100</f>
        <v>333</v>
      </c>
      <c r="AJ729" s="142">
        <f>B729*IBGE_2!AJ$729/100</f>
        <v>34.270000000000003</v>
      </c>
      <c r="AK729" s="142" t="s">
        <v>3047</v>
      </c>
      <c r="AL729" s="142" t="s">
        <v>3047</v>
      </c>
      <c r="AM729" s="142" t="s">
        <v>3047</v>
      </c>
      <c r="AN729" s="161"/>
    </row>
    <row r="730" spans="1:40">
      <c r="A730" s="143" t="s">
        <v>1790</v>
      </c>
      <c r="B730" s="141">
        <v>100</v>
      </c>
      <c r="C730" s="142">
        <f>B730*IBGE_2!C$730/100</f>
        <v>199</v>
      </c>
      <c r="D730" s="142">
        <f>B730*IBGE_2!D$730/100</f>
        <v>36.119999999999997</v>
      </c>
      <c r="E730" s="142">
        <f>B730*IBGE_2!E$730/100</f>
        <v>5</v>
      </c>
      <c r="F730" s="142">
        <f>B730*IBGE_2!F$730/100</f>
        <v>1.72</v>
      </c>
      <c r="G730" s="142">
        <f>B730*IBGE_2!G$730/100</f>
        <v>2</v>
      </c>
      <c r="H730" s="142">
        <f>B730*IBGE_2!H$730/100</f>
        <v>0.22</v>
      </c>
      <c r="I730" s="142">
        <f>B730*IBGE_2!I$730/100</f>
        <v>0.17</v>
      </c>
      <c r="J730" s="142">
        <f>B730*IBGE_2!J$730/100</f>
        <v>0.02</v>
      </c>
      <c r="K730" s="142">
        <f>B730*IBGE_2!K$730/100</f>
        <v>90</v>
      </c>
      <c r="L730" s="142" t="s">
        <v>3047</v>
      </c>
      <c r="M730" s="142" t="s">
        <v>3047</v>
      </c>
      <c r="N730" s="142">
        <f>B730*IBGE_2!N$730/100</f>
        <v>4</v>
      </c>
      <c r="O730" s="142">
        <f>B730*IBGE_2!O$730/100</f>
        <v>26</v>
      </c>
      <c r="P730" s="142">
        <f>B730*IBGE_2!P$730/100</f>
        <v>1.7999999999999999E-2</v>
      </c>
      <c r="Q730" s="142">
        <f>B730*IBGE_2!Q$730/100</f>
        <v>226</v>
      </c>
      <c r="R730" s="142">
        <f>B730*IBGE_2!R$730/100</f>
        <v>3.32</v>
      </c>
      <c r="S730" s="142">
        <f>B730*IBGE_2!S$730/100</f>
        <v>45</v>
      </c>
      <c r="T730" s="142">
        <f>B730*IBGE_2!T$730/100</f>
        <v>334</v>
      </c>
      <c r="U730" s="142">
        <f>B730*IBGE_2!U$730/100</f>
        <v>0.124</v>
      </c>
      <c r="V730" s="142">
        <f>B730*IBGE_2!V$730/100</f>
        <v>4.5599999999999996</v>
      </c>
      <c r="W730" s="142" t="s">
        <v>3047</v>
      </c>
      <c r="X730" s="142">
        <f>B730*IBGE_2!X$730/100</f>
        <v>7.0000000000000007E-2</v>
      </c>
      <c r="Y730" s="142">
        <f>B730*IBGE_2!Y$730/100</f>
        <v>0.25</v>
      </c>
      <c r="Z730" s="142">
        <f>B730*IBGE_2!Z$730/100</f>
        <v>0.28000000000000003</v>
      </c>
      <c r="AA730" s="142">
        <f>B730*IBGE_2!AA$730/100</f>
        <v>3.81</v>
      </c>
      <c r="AB730" s="142" t="s">
        <v>3047</v>
      </c>
      <c r="AC730" s="142">
        <f>B730*IBGE_2!AC$730/100</f>
        <v>7.76</v>
      </c>
      <c r="AD730" s="142">
        <f>B730*IBGE_2!AD$730/100</f>
        <v>2.7</v>
      </c>
      <c r="AE730" s="142">
        <f>B730*IBGE_2!AE$730/100</f>
        <v>9</v>
      </c>
      <c r="AF730" s="142">
        <f>B730*IBGE_2!AF$730/100</f>
        <v>0.7</v>
      </c>
      <c r="AG730" s="142">
        <f>B730*IBGE_2!AG$730/100</f>
        <v>0.14000000000000001</v>
      </c>
      <c r="AH730" s="142">
        <f>B730*IBGE_2!AH$730/100</f>
        <v>0.22699999999999998</v>
      </c>
      <c r="AI730" s="142">
        <f>B730*IBGE_2!AI$730/100</f>
        <v>333</v>
      </c>
      <c r="AJ730" s="142">
        <f>B730*IBGE_2!AJ$730/100</f>
        <v>33</v>
      </c>
      <c r="AK730" s="142" t="s">
        <v>3047</v>
      </c>
      <c r="AL730" s="142" t="s">
        <v>3047</v>
      </c>
      <c r="AM730" s="142" t="s">
        <v>3047</v>
      </c>
      <c r="AN730" s="161"/>
    </row>
    <row r="731" spans="1:40">
      <c r="A731" s="143" t="s">
        <v>1791</v>
      </c>
      <c r="B731" s="141">
        <v>100</v>
      </c>
      <c r="C731" s="142">
        <f>B731*IBGE_2!C$731/100</f>
        <v>199</v>
      </c>
      <c r="D731" s="142">
        <f>B731*IBGE_2!D$731/100</f>
        <v>36.119999999999997</v>
      </c>
      <c r="E731" s="142">
        <f>B731*IBGE_2!E$731/100</f>
        <v>5</v>
      </c>
      <c r="F731" s="142">
        <f>B731*IBGE_2!F$731/100</f>
        <v>1.72</v>
      </c>
      <c r="G731" s="142">
        <f>B731*IBGE_2!G$731/100</f>
        <v>2</v>
      </c>
      <c r="H731" s="142">
        <f>B731*IBGE_2!H$731/100</f>
        <v>0.22</v>
      </c>
      <c r="I731" s="142">
        <f>B731*IBGE_2!I$731/100</f>
        <v>0.17</v>
      </c>
      <c r="J731" s="142">
        <f>B731*IBGE_2!J$731/100</f>
        <v>0.02</v>
      </c>
      <c r="K731" s="142">
        <f>B731*IBGE_2!K$731/100</f>
        <v>90</v>
      </c>
      <c r="L731" s="142" t="s">
        <v>3047</v>
      </c>
      <c r="M731" s="142" t="s">
        <v>3047</v>
      </c>
      <c r="N731" s="142">
        <f>B731*IBGE_2!N$731/100</f>
        <v>4</v>
      </c>
      <c r="O731" s="142">
        <f>B731*IBGE_2!O$731/100</f>
        <v>26</v>
      </c>
      <c r="P731" s="142">
        <f>B731*IBGE_2!P$731/100</f>
        <v>1.7999999999999999E-2</v>
      </c>
      <c r="Q731" s="142">
        <f>B731*IBGE_2!Q$731/100</f>
        <v>226</v>
      </c>
      <c r="R731" s="142">
        <f>B731*IBGE_2!R$731/100</f>
        <v>3.32</v>
      </c>
      <c r="S731" s="142">
        <f>B731*IBGE_2!S$731/100</f>
        <v>45</v>
      </c>
      <c r="T731" s="142">
        <f>B731*IBGE_2!T$731/100</f>
        <v>334</v>
      </c>
      <c r="U731" s="142">
        <f>B731*IBGE_2!U$731/100</f>
        <v>0.124</v>
      </c>
      <c r="V731" s="142">
        <f>B731*IBGE_2!V$731/100</f>
        <v>4.5599999999999996</v>
      </c>
      <c r="W731" s="142" t="s">
        <v>3047</v>
      </c>
      <c r="X731" s="142">
        <f>B731*IBGE_2!X$731/100</f>
        <v>7.0000000000000007E-2</v>
      </c>
      <c r="Y731" s="142">
        <f>B731*IBGE_2!Y$731/100</f>
        <v>0.25</v>
      </c>
      <c r="Z731" s="142">
        <f>B731*IBGE_2!Z$731/100</f>
        <v>0.28000000000000003</v>
      </c>
      <c r="AA731" s="142">
        <f>B731*IBGE_2!AA$731/100</f>
        <v>3.81</v>
      </c>
      <c r="AB731" s="142" t="s">
        <v>3047</v>
      </c>
      <c r="AC731" s="142">
        <f>B731*IBGE_2!AC$731/100</f>
        <v>7.76</v>
      </c>
      <c r="AD731" s="142">
        <f>B731*IBGE_2!AD$731/100</f>
        <v>2.7</v>
      </c>
      <c r="AE731" s="142">
        <f>B731*IBGE_2!AE$731/100</f>
        <v>9</v>
      </c>
      <c r="AF731" s="142">
        <f>B731*IBGE_2!AF$731/100</f>
        <v>0.7</v>
      </c>
      <c r="AG731" s="142">
        <f>B731*IBGE_2!AG$731/100</f>
        <v>0.14000000000000001</v>
      </c>
      <c r="AH731" s="142">
        <f>B731*IBGE_2!AH$731/100</f>
        <v>0.22699999999999998</v>
      </c>
      <c r="AI731" s="142">
        <f>B731*IBGE_2!AI$731/100</f>
        <v>333</v>
      </c>
      <c r="AJ731" s="142">
        <f>B731*IBGE_2!AJ$731/100</f>
        <v>33</v>
      </c>
      <c r="AK731" s="142" t="s">
        <v>3047</v>
      </c>
      <c r="AL731" s="142" t="s">
        <v>3047</v>
      </c>
      <c r="AM731" s="142" t="s">
        <v>3047</v>
      </c>
      <c r="AN731" s="161"/>
    </row>
    <row r="732" spans="1:40">
      <c r="A732" s="143" t="s">
        <v>1792</v>
      </c>
      <c r="B732" s="141">
        <v>100</v>
      </c>
      <c r="C732" s="142">
        <f>B732*IBGE_2!C$732/100</f>
        <v>248.56700000000001</v>
      </c>
      <c r="D732" s="142">
        <f>B732*IBGE_2!D$732/100</f>
        <v>36.119999999999997</v>
      </c>
      <c r="E732" s="142">
        <f>B732*IBGE_2!E$732/100</f>
        <v>10.606999999999998</v>
      </c>
      <c r="F732" s="142">
        <f>B732*IBGE_2!F$732/100</f>
        <v>2.5980000000000003</v>
      </c>
      <c r="G732" s="142">
        <f>B732*IBGE_2!G$732/100</f>
        <v>3.2769999999999997</v>
      </c>
      <c r="H732" s="142">
        <f>B732*IBGE_2!H$732/100</f>
        <v>3.4580000000000002</v>
      </c>
      <c r="I732" s="142">
        <f>B732*IBGE_2!I$732/100</f>
        <v>3.0269999999999997</v>
      </c>
      <c r="J732" s="142">
        <f>B732*IBGE_2!J$732/100</f>
        <v>0.40100000000000002</v>
      </c>
      <c r="K732" s="142">
        <f>B732*IBGE_2!K$732/100</f>
        <v>90</v>
      </c>
      <c r="L732" s="142" t="s">
        <v>3047</v>
      </c>
      <c r="M732" s="142" t="s">
        <v>3047</v>
      </c>
      <c r="N732" s="142">
        <f>B732*IBGE_2!N$732/100</f>
        <v>4</v>
      </c>
      <c r="O732" s="142">
        <f>B732*IBGE_2!O$732/100</f>
        <v>26</v>
      </c>
      <c r="P732" s="142">
        <f>B732*IBGE_2!P$732/100</f>
        <v>1.7999999999999999E-2</v>
      </c>
      <c r="Q732" s="142">
        <f>B732*IBGE_2!Q$732/100</f>
        <v>226</v>
      </c>
      <c r="R732" s="142">
        <f>B732*IBGE_2!R$732/100</f>
        <v>3.323</v>
      </c>
      <c r="S732" s="142">
        <f>B732*IBGE_2!S$732/100</f>
        <v>45</v>
      </c>
      <c r="T732" s="142">
        <f>B732*IBGE_2!T$732/100</f>
        <v>334</v>
      </c>
      <c r="U732" s="142">
        <f>B732*IBGE_2!U$732/100</f>
        <v>0.124</v>
      </c>
      <c r="V732" s="142">
        <f>B732*IBGE_2!V$732/100</f>
        <v>4.5609999999999999</v>
      </c>
      <c r="W732" s="142" t="s">
        <v>3047</v>
      </c>
      <c r="X732" s="142">
        <f>B732*IBGE_2!X$732/100</f>
        <v>7.0000000000000007E-2</v>
      </c>
      <c r="Y732" s="142">
        <f>B732*IBGE_2!Y$732/100</f>
        <v>0.25</v>
      </c>
      <c r="Z732" s="142">
        <f>B732*IBGE_2!Z$732/100</f>
        <v>0.28000000000000003</v>
      </c>
      <c r="AA732" s="142">
        <f>B732*IBGE_2!AA$732/100</f>
        <v>3.81</v>
      </c>
      <c r="AB732" s="142" t="s">
        <v>3047</v>
      </c>
      <c r="AC732" s="142">
        <f>B732*IBGE_2!AC$732/100</f>
        <v>7.76</v>
      </c>
      <c r="AD732" s="142">
        <f>B732*IBGE_2!AD$732/100</f>
        <v>2.7</v>
      </c>
      <c r="AE732" s="142">
        <f>B732*IBGE_2!AE$732/100</f>
        <v>9</v>
      </c>
      <c r="AF732" s="142">
        <f>B732*IBGE_2!AF$732/100</f>
        <v>0.7</v>
      </c>
      <c r="AG732" s="142">
        <f>B732*IBGE_2!AG$732/100</f>
        <v>0.59899999999999998</v>
      </c>
      <c r="AH732" s="142">
        <f>B732*IBGE_2!AH$732/100</f>
        <v>0.25700000000000001</v>
      </c>
      <c r="AI732" s="142">
        <f>B732*IBGE_2!AI$732/100</f>
        <v>333</v>
      </c>
      <c r="AJ732" s="142">
        <f>B732*IBGE_2!AJ$732/100</f>
        <v>35.57</v>
      </c>
      <c r="AK732" s="142" t="s">
        <v>3047</v>
      </c>
      <c r="AL732" s="142" t="s">
        <v>3047</v>
      </c>
      <c r="AM732" s="142" t="s">
        <v>3047</v>
      </c>
      <c r="AN732" s="161"/>
    </row>
    <row r="733" spans="1:40">
      <c r="A733" s="143" t="s">
        <v>1793</v>
      </c>
      <c r="B733" s="141">
        <v>100</v>
      </c>
      <c r="C733" s="142">
        <f>B733*IBGE_2!C$733/100</f>
        <v>164</v>
      </c>
      <c r="D733" s="142">
        <f>B733*IBGE_2!D$733/100</f>
        <v>29.16</v>
      </c>
      <c r="E733" s="142">
        <f>B733*IBGE_2!E$733/100</f>
        <v>4.0359999999999996</v>
      </c>
      <c r="F733" s="142">
        <f>B733*IBGE_2!F$733/100</f>
        <v>1.381</v>
      </c>
      <c r="G733" s="142">
        <f>B733*IBGE_2!G$733/100</f>
        <v>1.605</v>
      </c>
      <c r="H733" s="142">
        <f>B733*IBGE_2!H$733/100</f>
        <v>0.191</v>
      </c>
      <c r="I733" s="142">
        <f>B733*IBGE_2!I$733/100</f>
        <v>0.15</v>
      </c>
      <c r="J733" s="142">
        <f>B733*IBGE_2!J$733/100</f>
        <v>1.7000000000000001E-2</v>
      </c>
      <c r="K733" s="142">
        <f>B733*IBGE_2!K$733/100</f>
        <v>72</v>
      </c>
      <c r="L733" s="142">
        <f>B733*IBGE_2!L$733/100</f>
        <v>1.0760000000000001</v>
      </c>
      <c r="M733" s="142">
        <f>B733*IBGE_2!M$733/100</f>
        <v>0.3</v>
      </c>
      <c r="N733" s="142">
        <f>B733*IBGE_2!N$733/100</f>
        <v>5.8</v>
      </c>
      <c r="O733" s="142">
        <f>B733*IBGE_2!O$733/100</f>
        <v>24</v>
      </c>
      <c r="P733" s="142">
        <f>B733*IBGE_2!P$733/100</f>
        <v>3.5999999999999997E-2</v>
      </c>
      <c r="Q733" s="142">
        <f>B733*IBGE_2!Q$733/100</f>
        <v>186</v>
      </c>
      <c r="R733" s="142">
        <f>B733*IBGE_2!R$733/100</f>
        <v>2.86</v>
      </c>
      <c r="S733" s="142">
        <f>B733*IBGE_2!S$733/100</f>
        <v>140.80000000000001</v>
      </c>
      <c r="T733" s="142">
        <f>B733*IBGE_2!T$733/100</f>
        <v>333.4</v>
      </c>
      <c r="U733" s="142">
        <f>B733*IBGE_2!U$733/100</f>
        <v>0.12300000000000001</v>
      </c>
      <c r="V733" s="142">
        <f>B733*IBGE_2!V$733/100</f>
        <v>3.6880000000000002</v>
      </c>
      <c r="W733" s="142" t="s">
        <v>3047</v>
      </c>
      <c r="X733" s="142">
        <f>B733*IBGE_2!X$733/100</f>
        <v>6.0999999999999999E-2</v>
      </c>
      <c r="Y733" s="142">
        <f>B733*IBGE_2!Y$733/100</f>
        <v>0.21299999999999999</v>
      </c>
      <c r="Z733" s="142">
        <f>B733*IBGE_2!Z$733/100</f>
        <v>0.24299999999999999</v>
      </c>
      <c r="AA733" s="142">
        <f>B733*IBGE_2!AA$733/100</f>
        <v>3.2430000000000003</v>
      </c>
      <c r="AB733" s="142">
        <f>B733*IBGE_2!AB$733/100</f>
        <v>1.4</v>
      </c>
      <c r="AC733" s="142">
        <f>B733*IBGE_2!AC$733/100</f>
        <v>6.4359999999999999</v>
      </c>
      <c r="AD733" s="142">
        <f>B733*IBGE_2!AD$733/100</f>
        <v>2.16</v>
      </c>
      <c r="AE733" s="142">
        <f>B733*IBGE_2!AE$733/100</f>
        <v>9.4</v>
      </c>
      <c r="AF733" s="142">
        <f>B733*IBGE_2!AF$733/100</f>
        <v>0.56000000000000005</v>
      </c>
      <c r="AG733" s="142">
        <f>B733*IBGE_2!AG$733/100</f>
        <v>0.39600000000000002</v>
      </c>
      <c r="AH733" s="142">
        <f>B733*IBGE_2!AH$733/100</f>
        <v>0.182</v>
      </c>
      <c r="AI733" s="142">
        <f>B733*IBGE_2!AI$733/100</f>
        <v>333</v>
      </c>
      <c r="AJ733" s="142">
        <f>B733*IBGE_2!AJ$733/100</f>
        <v>26.44</v>
      </c>
      <c r="AK733" s="142">
        <f>B733*IBGE_2!AK$733/100</f>
        <v>3.4830000000000001</v>
      </c>
      <c r="AL733" s="142">
        <f>B733*IBGE_2!AL$733/100</f>
        <v>0.85</v>
      </c>
      <c r="AM733" s="142" t="s">
        <v>3047</v>
      </c>
      <c r="AN733" s="161"/>
    </row>
    <row r="734" spans="1:40">
      <c r="A734" s="143" t="s">
        <v>1794</v>
      </c>
      <c r="B734" s="141">
        <v>100</v>
      </c>
      <c r="C734" s="142">
        <f>B734*IBGE_2!C$734/100</f>
        <v>204</v>
      </c>
      <c r="D734" s="142">
        <f>B734*IBGE_2!D$734/100</f>
        <v>30.67</v>
      </c>
      <c r="E734" s="142">
        <f>B734*IBGE_2!E$734/100</f>
        <v>9</v>
      </c>
      <c r="F734" s="142">
        <f>B734*IBGE_2!F$734/100</f>
        <v>3.415</v>
      </c>
      <c r="G734" s="142">
        <f>B734*IBGE_2!G$734/100</f>
        <v>3.9180000000000001</v>
      </c>
      <c r="H734" s="142">
        <f>B734*IBGE_2!H$734/100</f>
        <v>0.34699999999999998</v>
      </c>
      <c r="I734" s="142">
        <f>B734*IBGE_2!I$734/100</f>
        <v>0.23799999999999996</v>
      </c>
      <c r="J734" s="142">
        <f>B734*IBGE_2!J$734/100</f>
        <v>8.6999999999999994E-2</v>
      </c>
      <c r="K734" s="142">
        <f>B734*IBGE_2!K$734/100</f>
        <v>58</v>
      </c>
      <c r="L734" s="142" t="s">
        <v>3047</v>
      </c>
      <c r="M734" s="142" t="s">
        <v>3047</v>
      </c>
      <c r="N734" s="142">
        <f>B734*IBGE_2!N$734/100</f>
        <v>7</v>
      </c>
      <c r="O734" s="142">
        <f>B734*IBGE_2!O$734/100</f>
        <v>20</v>
      </c>
      <c r="P734" s="142">
        <f>B734*IBGE_2!P$734/100</f>
        <v>1.0999999999999999E-2</v>
      </c>
      <c r="Q734" s="142">
        <f>B734*IBGE_2!Q$734/100</f>
        <v>193</v>
      </c>
      <c r="R734" s="142">
        <f>B734*IBGE_2!R$734/100</f>
        <v>2.5299999999999998</v>
      </c>
      <c r="S734" s="142">
        <f>B734*IBGE_2!S$734/100</f>
        <v>41</v>
      </c>
      <c r="T734" s="142">
        <f>B734*IBGE_2!T$734/100</f>
        <v>252</v>
      </c>
      <c r="U734" s="142">
        <f>B734*IBGE_2!U$734/100</f>
        <v>7.3999999999999996E-2</v>
      </c>
      <c r="V734" s="142">
        <f>B734*IBGE_2!V$734/100</f>
        <v>5.2</v>
      </c>
      <c r="W734" s="142" t="s">
        <v>3047</v>
      </c>
      <c r="X734" s="142">
        <f>B734*IBGE_2!X$734/100</f>
        <v>7.0000000000000007E-2</v>
      </c>
      <c r="Y734" s="142">
        <f>B734*IBGE_2!Y$734/100</f>
        <v>0.16300000000000001</v>
      </c>
      <c r="Z734" s="142">
        <f>B734*IBGE_2!Z$734/100</f>
        <v>0.40300000000000002</v>
      </c>
      <c r="AA734" s="142">
        <f>B734*IBGE_2!AA$734/100</f>
        <v>5.36</v>
      </c>
      <c r="AB734" s="142" t="s">
        <v>3047</v>
      </c>
      <c r="AC734" s="142">
        <f>B734*IBGE_2!AC$734/100</f>
        <v>8.7270000000000003</v>
      </c>
      <c r="AD734" s="142">
        <f>B734*IBGE_2!AD$734/100</f>
        <v>1.71</v>
      </c>
      <c r="AE734" s="142">
        <f>B734*IBGE_2!AE$734/100</f>
        <v>10</v>
      </c>
      <c r="AF734" s="142">
        <f>B734*IBGE_2!AF$734/100</f>
        <v>0.6</v>
      </c>
      <c r="AG734" s="142">
        <f>B734*IBGE_2!AG$734/100</f>
        <v>0.43</v>
      </c>
      <c r="AH734" s="142">
        <f>B734*IBGE_2!AH$734/100</f>
        <v>0.40899999999999997</v>
      </c>
      <c r="AI734" s="142">
        <f>B734*IBGE_2!AI$734/100</f>
        <v>333</v>
      </c>
      <c r="AJ734" s="142">
        <f>B734*IBGE_2!AJ$734/100</f>
        <v>31.7</v>
      </c>
      <c r="AK734" s="142" t="s">
        <v>3047</v>
      </c>
      <c r="AL734" s="142" t="s">
        <v>3047</v>
      </c>
      <c r="AM734" s="142" t="s">
        <v>3047</v>
      </c>
      <c r="AN734" s="161"/>
    </row>
    <row r="735" spans="1:40">
      <c r="A735" s="143" t="s">
        <v>1795</v>
      </c>
      <c r="B735" s="141">
        <v>100</v>
      </c>
      <c r="C735" s="142">
        <f>B735*IBGE_2!C$735/100</f>
        <v>204</v>
      </c>
      <c r="D735" s="142">
        <f>B735*IBGE_2!D$735/100</f>
        <v>30.67</v>
      </c>
      <c r="E735" s="142">
        <f>B735*IBGE_2!E$735/100</f>
        <v>9</v>
      </c>
      <c r="F735" s="142">
        <f>B735*IBGE_2!F$735/100</f>
        <v>3.415</v>
      </c>
      <c r="G735" s="142">
        <f>B735*IBGE_2!G$735/100</f>
        <v>3.9180000000000001</v>
      </c>
      <c r="H735" s="142">
        <f>B735*IBGE_2!H$735/100</f>
        <v>0.34699999999999998</v>
      </c>
      <c r="I735" s="142">
        <f>B735*IBGE_2!I$735/100</f>
        <v>0.23799999999999996</v>
      </c>
      <c r="J735" s="142">
        <f>B735*IBGE_2!J$735/100</f>
        <v>8.6999999999999994E-2</v>
      </c>
      <c r="K735" s="142">
        <f>B735*IBGE_2!K$735/100</f>
        <v>58</v>
      </c>
      <c r="L735" s="142" t="s">
        <v>3047</v>
      </c>
      <c r="M735" s="142" t="s">
        <v>3047</v>
      </c>
      <c r="N735" s="142">
        <f>B735*IBGE_2!N$735/100</f>
        <v>7</v>
      </c>
      <c r="O735" s="142">
        <f>B735*IBGE_2!O$735/100</f>
        <v>20</v>
      </c>
      <c r="P735" s="142">
        <f>B735*IBGE_2!P$735/100</f>
        <v>1.0999999999999999E-2</v>
      </c>
      <c r="Q735" s="142">
        <f>B735*IBGE_2!Q$735/100</f>
        <v>193</v>
      </c>
      <c r="R735" s="142">
        <f>B735*IBGE_2!R$735/100</f>
        <v>2.5299999999999998</v>
      </c>
      <c r="S735" s="142">
        <f>B735*IBGE_2!S$735/100</f>
        <v>41</v>
      </c>
      <c r="T735" s="142">
        <f>B735*IBGE_2!T$735/100</f>
        <v>252</v>
      </c>
      <c r="U735" s="142">
        <f>B735*IBGE_2!U$735/100</f>
        <v>7.3999999999999996E-2</v>
      </c>
      <c r="V735" s="142">
        <f>B735*IBGE_2!V$735/100</f>
        <v>5.2</v>
      </c>
      <c r="W735" s="142" t="s">
        <v>3047</v>
      </c>
      <c r="X735" s="142">
        <f>B735*IBGE_2!X$735/100</f>
        <v>7.0000000000000007E-2</v>
      </c>
      <c r="Y735" s="142">
        <f>B735*IBGE_2!Y$735/100</f>
        <v>0.16300000000000001</v>
      </c>
      <c r="Z735" s="142">
        <f>B735*IBGE_2!Z$735/100</f>
        <v>0.40300000000000002</v>
      </c>
      <c r="AA735" s="142">
        <f>B735*IBGE_2!AA$735/100</f>
        <v>5.36</v>
      </c>
      <c r="AB735" s="142" t="s">
        <v>3047</v>
      </c>
      <c r="AC735" s="142">
        <f>B735*IBGE_2!AC$735/100</f>
        <v>8.7270000000000003</v>
      </c>
      <c r="AD735" s="142">
        <f>B735*IBGE_2!AD$735/100</f>
        <v>1.71</v>
      </c>
      <c r="AE735" s="142">
        <f>B735*IBGE_2!AE$735/100</f>
        <v>10</v>
      </c>
      <c r="AF735" s="142">
        <f>B735*IBGE_2!AF$735/100</f>
        <v>0.6</v>
      </c>
      <c r="AG735" s="142">
        <f>B735*IBGE_2!AG$735/100</f>
        <v>0.43</v>
      </c>
      <c r="AH735" s="142">
        <f>B735*IBGE_2!AH$735/100</f>
        <v>0.40899999999999997</v>
      </c>
      <c r="AI735" s="142">
        <f>B735*IBGE_2!AI$735/100</f>
        <v>333</v>
      </c>
      <c r="AJ735" s="142">
        <f>B735*IBGE_2!AJ$735/100</f>
        <v>31.7</v>
      </c>
      <c r="AK735" s="142" t="s">
        <v>3047</v>
      </c>
      <c r="AL735" s="142" t="s">
        <v>3047</v>
      </c>
      <c r="AM735" s="142" t="s">
        <v>3047</v>
      </c>
      <c r="AN735" s="161"/>
    </row>
    <row r="736" spans="1:40">
      <c r="A736" s="143" t="s">
        <v>1796</v>
      </c>
      <c r="B736" s="141">
        <v>100</v>
      </c>
      <c r="C736" s="142">
        <f>B736*IBGE_2!C$736/100</f>
        <v>204</v>
      </c>
      <c r="D736" s="142">
        <f>B736*IBGE_2!D$736/100</f>
        <v>30.67</v>
      </c>
      <c r="E736" s="142">
        <f>B736*IBGE_2!E$736/100</f>
        <v>9</v>
      </c>
      <c r="F736" s="142">
        <f>B736*IBGE_2!F$736/100</f>
        <v>3.415</v>
      </c>
      <c r="G736" s="142">
        <f>B736*IBGE_2!G$736/100</f>
        <v>3.9180000000000001</v>
      </c>
      <c r="H736" s="142">
        <f>B736*IBGE_2!H$736/100</f>
        <v>0.34699999999999998</v>
      </c>
      <c r="I736" s="142">
        <f>B736*IBGE_2!I$736/100</f>
        <v>0.23799999999999996</v>
      </c>
      <c r="J736" s="142">
        <f>B736*IBGE_2!J$736/100</f>
        <v>8.6999999999999994E-2</v>
      </c>
      <c r="K736" s="142">
        <f>B736*IBGE_2!K$736/100</f>
        <v>58</v>
      </c>
      <c r="L736" s="142" t="s">
        <v>3047</v>
      </c>
      <c r="M736" s="142" t="s">
        <v>3047</v>
      </c>
      <c r="N736" s="142">
        <f>B736*IBGE_2!N$736/100</f>
        <v>7</v>
      </c>
      <c r="O736" s="142">
        <f>B736*IBGE_2!O$736/100</f>
        <v>20</v>
      </c>
      <c r="P736" s="142">
        <f>B736*IBGE_2!P$736/100</f>
        <v>1.0999999999999999E-2</v>
      </c>
      <c r="Q736" s="142">
        <f>B736*IBGE_2!Q$736/100</f>
        <v>193</v>
      </c>
      <c r="R736" s="142">
        <f>B736*IBGE_2!R$736/100</f>
        <v>2.5299999999999998</v>
      </c>
      <c r="S736" s="142">
        <f>B736*IBGE_2!S$736/100</f>
        <v>41</v>
      </c>
      <c r="T736" s="142">
        <f>B736*IBGE_2!T$736/100</f>
        <v>252</v>
      </c>
      <c r="U736" s="142">
        <f>B736*IBGE_2!U$736/100</f>
        <v>7.3999999999999996E-2</v>
      </c>
      <c r="V736" s="142">
        <f>B736*IBGE_2!V$736/100</f>
        <v>5.2</v>
      </c>
      <c r="W736" s="142" t="s">
        <v>3047</v>
      </c>
      <c r="X736" s="142">
        <f>B736*IBGE_2!X$736/100</f>
        <v>7.0000000000000007E-2</v>
      </c>
      <c r="Y736" s="142">
        <f>B736*IBGE_2!Y$736/100</f>
        <v>0.16300000000000001</v>
      </c>
      <c r="Z736" s="142">
        <f>B736*IBGE_2!Z$736/100</f>
        <v>0.40300000000000002</v>
      </c>
      <c r="AA736" s="142">
        <f>B736*IBGE_2!AA$736/100</f>
        <v>5.36</v>
      </c>
      <c r="AB736" s="142" t="s">
        <v>3047</v>
      </c>
      <c r="AC736" s="142">
        <f>B736*IBGE_2!AC$736/100</f>
        <v>8.7270000000000003</v>
      </c>
      <c r="AD736" s="142">
        <f>B736*IBGE_2!AD$736/100</f>
        <v>1.71</v>
      </c>
      <c r="AE736" s="142">
        <f>B736*IBGE_2!AE$736/100</f>
        <v>10</v>
      </c>
      <c r="AF736" s="142">
        <f>B736*IBGE_2!AF$736/100</f>
        <v>0.6</v>
      </c>
      <c r="AG736" s="142">
        <f>B736*IBGE_2!AG$736/100</f>
        <v>0.43</v>
      </c>
      <c r="AH736" s="142">
        <f>B736*IBGE_2!AH$736/100</f>
        <v>0.40899999999999997</v>
      </c>
      <c r="AI736" s="142">
        <f>B736*IBGE_2!AI$736/100</f>
        <v>333</v>
      </c>
      <c r="AJ736" s="142">
        <f>B736*IBGE_2!AJ$736/100</f>
        <v>31.7</v>
      </c>
      <c r="AK736" s="142" t="s">
        <v>3047</v>
      </c>
      <c r="AL736" s="142" t="s">
        <v>3047</v>
      </c>
      <c r="AM736" s="142" t="s">
        <v>3047</v>
      </c>
      <c r="AN736" s="161"/>
    </row>
    <row r="737" spans="1:40">
      <c r="A737" s="143" t="s">
        <v>1797</v>
      </c>
      <c r="B737" s="141">
        <v>100</v>
      </c>
      <c r="C737" s="142">
        <f>B737*IBGE_2!C$737/100</f>
        <v>253.56700000000001</v>
      </c>
      <c r="D737" s="142">
        <f>B737*IBGE_2!D$737/100</f>
        <v>30.67</v>
      </c>
      <c r="E737" s="142">
        <f>B737*IBGE_2!E$737/100</f>
        <v>14.606999999999998</v>
      </c>
      <c r="F737" s="142">
        <f>B737*IBGE_2!F$737/100</f>
        <v>4.2930000000000001</v>
      </c>
      <c r="G737" s="142">
        <f>B737*IBGE_2!G$737/100</f>
        <v>5.1950000000000003</v>
      </c>
      <c r="H737" s="142">
        <f>B737*IBGE_2!H$737/100</f>
        <v>3.585</v>
      </c>
      <c r="I737" s="142">
        <f>B737*IBGE_2!I$737/100</f>
        <v>3.0950000000000002</v>
      </c>
      <c r="J737" s="142">
        <f>B737*IBGE_2!J$737/100</f>
        <v>0.46800000000000003</v>
      </c>
      <c r="K737" s="142">
        <f>B737*IBGE_2!K$737/100</f>
        <v>58</v>
      </c>
      <c r="L737" s="142" t="s">
        <v>3047</v>
      </c>
      <c r="M737" s="142" t="s">
        <v>3047</v>
      </c>
      <c r="N737" s="142">
        <f>B737*IBGE_2!N$737/100</f>
        <v>7</v>
      </c>
      <c r="O737" s="142">
        <f>B737*IBGE_2!O$737/100</f>
        <v>20</v>
      </c>
      <c r="P737" s="142">
        <f>B737*IBGE_2!P$737/100</f>
        <v>1.0999999999999999E-2</v>
      </c>
      <c r="Q737" s="142">
        <f>B737*IBGE_2!Q$737/100</f>
        <v>193</v>
      </c>
      <c r="R737" s="142">
        <f>B737*IBGE_2!R$737/100</f>
        <v>2.5329999999999999</v>
      </c>
      <c r="S737" s="142">
        <f>B737*IBGE_2!S$737/100</f>
        <v>41</v>
      </c>
      <c r="T737" s="142">
        <f>B737*IBGE_2!T$737/100</f>
        <v>252</v>
      </c>
      <c r="U737" s="142">
        <f>B737*IBGE_2!U$737/100</f>
        <v>7.3999999999999996E-2</v>
      </c>
      <c r="V737" s="142">
        <f>B737*IBGE_2!V$737/100</f>
        <v>5.2009999999999987</v>
      </c>
      <c r="W737" s="142" t="s">
        <v>3047</v>
      </c>
      <c r="X737" s="142">
        <f>B737*IBGE_2!X$737/100</f>
        <v>7.0000000000000007E-2</v>
      </c>
      <c r="Y737" s="142">
        <f>B737*IBGE_2!Y$737/100</f>
        <v>0.16300000000000001</v>
      </c>
      <c r="Z737" s="142">
        <f>B737*IBGE_2!Z$737/100</f>
        <v>0.40300000000000002</v>
      </c>
      <c r="AA737" s="142">
        <f>B737*IBGE_2!AA$737/100</f>
        <v>5.36</v>
      </c>
      <c r="AB737" s="142" t="s">
        <v>3047</v>
      </c>
      <c r="AC737" s="142">
        <f>B737*IBGE_2!AC$737/100</f>
        <v>8.7270000000000003</v>
      </c>
      <c r="AD737" s="142">
        <f>B737*IBGE_2!AD$737/100</f>
        <v>1.71</v>
      </c>
      <c r="AE737" s="142">
        <f>B737*IBGE_2!AE$737/100</f>
        <v>10</v>
      </c>
      <c r="AF737" s="142">
        <f>B737*IBGE_2!AF$737/100</f>
        <v>0.6</v>
      </c>
      <c r="AG737" s="142">
        <f>B737*IBGE_2!AG$737/100</f>
        <v>0.88900000000000001</v>
      </c>
      <c r="AH737" s="142">
        <f>B737*IBGE_2!AH$737/100</f>
        <v>0.439</v>
      </c>
      <c r="AI737" s="142">
        <f>B737*IBGE_2!AI$737/100</f>
        <v>333</v>
      </c>
      <c r="AJ737" s="142">
        <f>B737*IBGE_2!AJ$737/100</f>
        <v>34.270000000000003</v>
      </c>
      <c r="AK737" s="142" t="s">
        <v>3047</v>
      </c>
      <c r="AL737" s="142" t="s">
        <v>3047</v>
      </c>
      <c r="AM737" s="142" t="s">
        <v>3047</v>
      </c>
      <c r="AN737" s="161"/>
    </row>
    <row r="738" spans="1:40">
      <c r="A738" s="143" t="s">
        <v>1798</v>
      </c>
      <c r="B738" s="141">
        <v>100</v>
      </c>
      <c r="C738" s="142">
        <f>B738*IBGE_2!C$738/100</f>
        <v>253.56700000000001</v>
      </c>
      <c r="D738" s="142">
        <f>B738*IBGE_2!D$738/100</f>
        <v>30.67</v>
      </c>
      <c r="E738" s="142">
        <f>B738*IBGE_2!E$738/100</f>
        <v>14.606999999999998</v>
      </c>
      <c r="F738" s="142">
        <f>B738*IBGE_2!F$738/100</f>
        <v>4.2930000000000001</v>
      </c>
      <c r="G738" s="142">
        <f>B738*IBGE_2!G$738/100</f>
        <v>5.1950000000000003</v>
      </c>
      <c r="H738" s="142">
        <f>B738*IBGE_2!H$738/100</f>
        <v>3.585</v>
      </c>
      <c r="I738" s="142">
        <f>B738*IBGE_2!I$738/100</f>
        <v>3.0950000000000002</v>
      </c>
      <c r="J738" s="142">
        <f>B738*IBGE_2!J$738/100</f>
        <v>0.46800000000000003</v>
      </c>
      <c r="K738" s="142">
        <f>B738*IBGE_2!K$738/100</f>
        <v>58</v>
      </c>
      <c r="L738" s="142" t="s">
        <v>3047</v>
      </c>
      <c r="M738" s="142" t="s">
        <v>3047</v>
      </c>
      <c r="N738" s="142">
        <f>B738*IBGE_2!N$738/100</f>
        <v>7</v>
      </c>
      <c r="O738" s="142">
        <f>B738*IBGE_2!O$738/100</f>
        <v>20</v>
      </c>
      <c r="P738" s="142">
        <f>B738*IBGE_2!P$738/100</f>
        <v>1.0999999999999999E-2</v>
      </c>
      <c r="Q738" s="142">
        <f>B738*IBGE_2!Q$738/100</f>
        <v>193</v>
      </c>
      <c r="R738" s="142">
        <f>B738*IBGE_2!R$738/100</f>
        <v>2.5329999999999999</v>
      </c>
      <c r="S738" s="142">
        <f>B738*IBGE_2!S$738/100</f>
        <v>41</v>
      </c>
      <c r="T738" s="142">
        <f>B738*IBGE_2!T$738/100</f>
        <v>252</v>
      </c>
      <c r="U738" s="142">
        <f>B738*IBGE_2!U$738/100</f>
        <v>7.3999999999999996E-2</v>
      </c>
      <c r="V738" s="142">
        <f>B738*IBGE_2!V$738/100</f>
        <v>5.2009999999999987</v>
      </c>
      <c r="W738" s="142" t="s">
        <v>3047</v>
      </c>
      <c r="X738" s="142">
        <f>B738*IBGE_2!X$738/100</f>
        <v>7.0000000000000007E-2</v>
      </c>
      <c r="Y738" s="142">
        <f>B738*IBGE_2!Y$738/100</f>
        <v>0.16300000000000001</v>
      </c>
      <c r="Z738" s="142">
        <f>B738*IBGE_2!Z$738/100</f>
        <v>0.40300000000000002</v>
      </c>
      <c r="AA738" s="142">
        <f>B738*IBGE_2!AA$738/100</f>
        <v>5.36</v>
      </c>
      <c r="AB738" s="142" t="s">
        <v>3047</v>
      </c>
      <c r="AC738" s="142">
        <f>B738*IBGE_2!AC$738/100</f>
        <v>8.7270000000000003</v>
      </c>
      <c r="AD738" s="142">
        <f>B738*IBGE_2!AD$738/100</f>
        <v>1.71</v>
      </c>
      <c r="AE738" s="142">
        <f>B738*IBGE_2!AE$738/100</f>
        <v>10</v>
      </c>
      <c r="AF738" s="142">
        <f>B738*IBGE_2!AF$738/100</f>
        <v>0.6</v>
      </c>
      <c r="AG738" s="142">
        <f>B738*IBGE_2!AG$738/100</f>
        <v>0.88900000000000001</v>
      </c>
      <c r="AH738" s="142">
        <f>B738*IBGE_2!AH$738/100</f>
        <v>0.439</v>
      </c>
      <c r="AI738" s="142">
        <f>B738*IBGE_2!AI$738/100</f>
        <v>333</v>
      </c>
      <c r="AJ738" s="142">
        <f>B738*IBGE_2!AJ$738/100</f>
        <v>34.270000000000003</v>
      </c>
      <c r="AK738" s="142" t="s">
        <v>3047</v>
      </c>
      <c r="AL738" s="142" t="s">
        <v>3047</v>
      </c>
      <c r="AM738" s="142" t="s">
        <v>3047</v>
      </c>
      <c r="AN738" s="161"/>
    </row>
    <row r="739" spans="1:40">
      <c r="A739" s="143" t="s">
        <v>1799</v>
      </c>
      <c r="B739" s="141">
        <v>100</v>
      </c>
      <c r="C739" s="142">
        <f>B739*IBGE_2!C$739/100</f>
        <v>199</v>
      </c>
      <c r="D739" s="142">
        <f>B739*IBGE_2!D$739/100</f>
        <v>36.119999999999997</v>
      </c>
      <c r="E739" s="142">
        <f>B739*IBGE_2!E$739/100</f>
        <v>5</v>
      </c>
      <c r="F739" s="142">
        <f>B739*IBGE_2!F$739/100</f>
        <v>1.72</v>
      </c>
      <c r="G739" s="142">
        <f>B739*IBGE_2!G$739/100</f>
        <v>2</v>
      </c>
      <c r="H739" s="142">
        <f>B739*IBGE_2!H$739/100</f>
        <v>0.22</v>
      </c>
      <c r="I739" s="142">
        <f>B739*IBGE_2!I$739/100</f>
        <v>0.17</v>
      </c>
      <c r="J739" s="142">
        <f>B739*IBGE_2!J$739/100</f>
        <v>0.02</v>
      </c>
      <c r="K739" s="142">
        <f>B739*IBGE_2!K$739/100</f>
        <v>90</v>
      </c>
      <c r="L739" s="142" t="s">
        <v>3047</v>
      </c>
      <c r="M739" s="142" t="s">
        <v>3047</v>
      </c>
      <c r="N739" s="142">
        <f>B739*IBGE_2!N$739/100</f>
        <v>4</v>
      </c>
      <c r="O739" s="142">
        <f>B739*IBGE_2!O$739/100</f>
        <v>26</v>
      </c>
      <c r="P739" s="142">
        <f>B739*IBGE_2!P$739/100</f>
        <v>1.7999999999999999E-2</v>
      </c>
      <c r="Q739" s="142">
        <f>B739*IBGE_2!Q$739/100</f>
        <v>226</v>
      </c>
      <c r="R739" s="142">
        <f>B739*IBGE_2!R$739/100</f>
        <v>3.32</v>
      </c>
      <c r="S739" s="142">
        <f>B739*IBGE_2!S$739/100</f>
        <v>45</v>
      </c>
      <c r="T739" s="142">
        <f>B739*IBGE_2!T$739/100</f>
        <v>334</v>
      </c>
      <c r="U739" s="142">
        <f>B739*IBGE_2!U$739/100</f>
        <v>0.124</v>
      </c>
      <c r="V739" s="142">
        <f>B739*IBGE_2!V$739/100</f>
        <v>4.5599999999999996</v>
      </c>
      <c r="W739" s="142" t="s">
        <v>3047</v>
      </c>
      <c r="X739" s="142">
        <f>B739*IBGE_2!X$739/100</f>
        <v>7.0000000000000007E-2</v>
      </c>
      <c r="Y739" s="142">
        <f>B739*IBGE_2!Y$739/100</f>
        <v>0.25</v>
      </c>
      <c r="Z739" s="142">
        <f>B739*IBGE_2!Z$739/100</f>
        <v>0.28000000000000003</v>
      </c>
      <c r="AA739" s="142">
        <f>B739*IBGE_2!AA$739/100</f>
        <v>3.81</v>
      </c>
      <c r="AB739" s="142" t="s">
        <v>3047</v>
      </c>
      <c r="AC739" s="142">
        <f>B739*IBGE_2!AC$739/100</f>
        <v>7.76</v>
      </c>
      <c r="AD739" s="142">
        <f>B739*IBGE_2!AD$739/100</f>
        <v>2.7</v>
      </c>
      <c r="AE739" s="142">
        <f>B739*IBGE_2!AE$739/100</f>
        <v>9</v>
      </c>
      <c r="AF739" s="142">
        <f>B739*IBGE_2!AF$739/100</f>
        <v>0.7</v>
      </c>
      <c r="AG739" s="142">
        <f>B739*IBGE_2!AG$739/100</f>
        <v>0.14000000000000001</v>
      </c>
      <c r="AH739" s="142">
        <f>B739*IBGE_2!AH$739/100</f>
        <v>0.22699999999999998</v>
      </c>
      <c r="AI739" s="142">
        <f>B739*IBGE_2!AI$739/100</f>
        <v>333</v>
      </c>
      <c r="AJ739" s="142">
        <f>B739*IBGE_2!AJ$739/100</f>
        <v>33</v>
      </c>
      <c r="AK739" s="142" t="s">
        <v>3047</v>
      </c>
      <c r="AL739" s="142" t="s">
        <v>3047</v>
      </c>
      <c r="AM739" s="142" t="s">
        <v>3047</v>
      </c>
      <c r="AN739" s="161"/>
    </row>
    <row r="740" spans="1:40">
      <c r="A740" s="143" t="s">
        <v>1800</v>
      </c>
      <c r="B740" s="141">
        <v>100</v>
      </c>
      <c r="C740" s="142">
        <f>B740*IBGE_2!C$740/100</f>
        <v>199</v>
      </c>
      <c r="D740" s="142">
        <f>B740*IBGE_2!D$740/100</f>
        <v>36.119999999999997</v>
      </c>
      <c r="E740" s="142">
        <f>B740*IBGE_2!E$740/100</f>
        <v>5</v>
      </c>
      <c r="F740" s="142">
        <f>B740*IBGE_2!F$740/100</f>
        <v>1.72</v>
      </c>
      <c r="G740" s="142">
        <f>B740*IBGE_2!G$740/100</f>
        <v>2</v>
      </c>
      <c r="H740" s="142">
        <f>B740*IBGE_2!H$740/100</f>
        <v>0.22</v>
      </c>
      <c r="I740" s="142">
        <f>B740*IBGE_2!I$740/100</f>
        <v>0.17</v>
      </c>
      <c r="J740" s="142">
        <f>B740*IBGE_2!J$740/100</f>
        <v>0.02</v>
      </c>
      <c r="K740" s="142">
        <f>B740*IBGE_2!K$740/100</f>
        <v>90</v>
      </c>
      <c r="L740" s="142" t="s">
        <v>3047</v>
      </c>
      <c r="M740" s="142" t="s">
        <v>3047</v>
      </c>
      <c r="N740" s="142">
        <f>B740*IBGE_2!N$740/100</f>
        <v>4</v>
      </c>
      <c r="O740" s="142">
        <f>B740*IBGE_2!O$740/100</f>
        <v>26</v>
      </c>
      <c r="P740" s="142">
        <f>B740*IBGE_2!P$740/100</f>
        <v>1.7999999999999999E-2</v>
      </c>
      <c r="Q740" s="142">
        <f>B740*IBGE_2!Q$740/100</f>
        <v>226</v>
      </c>
      <c r="R740" s="142">
        <f>B740*IBGE_2!R$740/100</f>
        <v>3.32</v>
      </c>
      <c r="S740" s="142">
        <f>B740*IBGE_2!S$740/100</f>
        <v>45</v>
      </c>
      <c r="T740" s="142">
        <f>B740*IBGE_2!T$740/100</f>
        <v>334</v>
      </c>
      <c r="U740" s="142">
        <f>B740*IBGE_2!U$740/100</f>
        <v>0.124</v>
      </c>
      <c r="V740" s="142">
        <f>B740*IBGE_2!V$740/100</f>
        <v>4.5599999999999996</v>
      </c>
      <c r="W740" s="142" t="s">
        <v>3047</v>
      </c>
      <c r="X740" s="142">
        <f>B740*IBGE_2!X$740/100</f>
        <v>7.0000000000000007E-2</v>
      </c>
      <c r="Y740" s="142">
        <f>B740*IBGE_2!Y$740/100</f>
        <v>0.25</v>
      </c>
      <c r="Z740" s="142">
        <f>B740*IBGE_2!Z$740/100</f>
        <v>0.28000000000000003</v>
      </c>
      <c r="AA740" s="142">
        <f>B740*IBGE_2!AA$740/100</f>
        <v>3.81</v>
      </c>
      <c r="AB740" s="142" t="s">
        <v>3047</v>
      </c>
      <c r="AC740" s="142">
        <f>B740*IBGE_2!AC$740/100</f>
        <v>7.76</v>
      </c>
      <c r="AD740" s="142">
        <f>B740*IBGE_2!AD$740/100</f>
        <v>2.7</v>
      </c>
      <c r="AE740" s="142">
        <f>B740*IBGE_2!AE$740/100</f>
        <v>9</v>
      </c>
      <c r="AF740" s="142">
        <f>B740*IBGE_2!AF$740/100</f>
        <v>0.7</v>
      </c>
      <c r="AG740" s="142">
        <f>B740*IBGE_2!AG$740/100</f>
        <v>0.14000000000000001</v>
      </c>
      <c r="AH740" s="142">
        <f>B740*IBGE_2!AH$740/100</f>
        <v>0.22699999999999998</v>
      </c>
      <c r="AI740" s="142">
        <f>B740*IBGE_2!AI$740/100</f>
        <v>333</v>
      </c>
      <c r="AJ740" s="142">
        <f>B740*IBGE_2!AJ$740/100</f>
        <v>33</v>
      </c>
      <c r="AK740" s="142" t="s">
        <v>3047</v>
      </c>
      <c r="AL740" s="142" t="s">
        <v>3047</v>
      </c>
      <c r="AM740" s="142" t="s">
        <v>3047</v>
      </c>
      <c r="AN740" s="161"/>
    </row>
    <row r="741" spans="1:40">
      <c r="A741" s="143" t="s">
        <v>1801</v>
      </c>
      <c r="B741" s="141">
        <v>100</v>
      </c>
      <c r="C741" s="142">
        <f>B741*IBGE_2!C$741/100</f>
        <v>199</v>
      </c>
      <c r="D741" s="142">
        <f>B741*IBGE_2!D$741/100</f>
        <v>36.119999999999997</v>
      </c>
      <c r="E741" s="142">
        <f>B741*IBGE_2!E$741/100</f>
        <v>5</v>
      </c>
      <c r="F741" s="142">
        <f>B741*IBGE_2!F$741/100</f>
        <v>1.72</v>
      </c>
      <c r="G741" s="142">
        <f>B741*IBGE_2!G$741/100</f>
        <v>2</v>
      </c>
      <c r="H741" s="142">
        <f>B741*IBGE_2!H$741/100</f>
        <v>0.22</v>
      </c>
      <c r="I741" s="142">
        <f>B741*IBGE_2!I$741/100</f>
        <v>0.17</v>
      </c>
      <c r="J741" s="142">
        <f>B741*IBGE_2!J$741/100</f>
        <v>0.02</v>
      </c>
      <c r="K741" s="142">
        <f>B741*IBGE_2!K$741/100</f>
        <v>90</v>
      </c>
      <c r="L741" s="142" t="s">
        <v>3047</v>
      </c>
      <c r="M741" s="142" t="s">
        <v>3047</v>
      </c>
      <c r="N741" s="142">
        <f>B741*IBGE_2!N$741/100</f>
        <v>4</v>
      </c>
      <c r="O741" s="142">
        <f>B741*IBGE_2!O$741/100</f>
        <v>26</v>
      </c>
      <c r="P741" s="142">
        <f>B741*IBGE_2!P$741/100</f>
        <v>1.7999999999999999E-2</v>
      </c>
      <c r="Q741" s="142">
        <f>B741*IBGE_2!Q$741/100</f>
        <v>226</v>
      </c>
      <c r="R741" s="142">
        <f>B741*IBGE_2!R$741/100</f>
        <v>3.32</v>
      </c>
      <c r="S741" s="142">
        <f>B741*IBGE_2!S$741/100</f>
        <v>45</v>
      </c>
      <c r="T741" s="142">
        <f>B741*IBGE_2!T$741/100</f>
        <v>334</v>
      </c>
      <c r="U741" s="142">
        <f>B741*IBGE_2!U$741/100</f>
        <v>0.124</v>
      </c>
      <c r="V741" s="142">
        <f>B741*IBGE_2!V$741/100</f>
        <v>4.5599999999999996</v>
      </c>
      <c r="W741" s="142" t="s">
        <v>3047</v>
      </c>
      <c r="X741" s="142">
        <f>B741*IBGE_2!X$741/100</f>
        <v>7.0000000000000007E-2</v>
      </c>
      <c r="Y741" s="142">
        <f>B741*IBGE_2!Y$741/100</f>
        <v>0.25</v>
      </c>
      <c r="Z741" s="142">
        <f>B741*IBGE_2!Z$741/100</f>
        <v>0.28000000000000003</v>
      </c>
      <c r="AA741" s="142">
        <f>B741*IBGE_2!AA$741/100</f>
        <v>3.81</v>
      </c>
      <c r="AB741" s="142" t="s">
        <v>3047</v>
      </c>
      <c r="AC741" s="142">
        <f>B741*IBGE_2!AC$741/100</f>
        <v>7.76</v>
      </c>
      <c r="AD741" s="142">
        <f>B741*IBGE_2!AD$741/100</f>
        <v>2.7</v>
      </c>
      <c r="AE741" s="142">
        <f>B741*IBGE_2!AE$741/100</f>
        <v>9</v>
      </c>
      <c r="AF741" s="142">
        <f>B741*IBGE_2!AF$741/100</f>
        <v>0.7</v>
      </c>
      <c r="AG741" s="142">
        <f>B741*IBGE_2!AG$741/100</f>
        <v>0.14000000000000001</v>
      </c>
      <c r="AH741" s="142">
        <f>B741*IBGE_2!AH$741/100</f>
        <v>0.22699999999999998</v>
      </c>
      <c r="AI741" s="142">
        <f>B741*IBGE_2!AI$741/100</f>
        <v>333</v>
      </c>
      <c r="AJ741" s="142">
        <f>B741*IBGE_2!AJ$741/100</f>
        <v>33</v>
      </c>
      <c r="AK741" s="142" t="s">
        <v>3047</v>
      </c>
      <c r="AL741" s="142" t="s">
        <v>3047</v>
      </c>
      <c r="AM741" s="142" t="s">
        <v>3047</v>
      </c>
      <c r="AN741" s="161"/>
    </row>
    <row r="742" spans="1:40">
      <c r="A742" s="143" t="s">
        <v>1802</v>
      </c>
      <c r="B742" s="141">
        <v>100</v>
      </c>
      <c r="C742" s="142">
        <f>B742*IBGE_2!C$742/100</f>
        <v>248.56700000000001</v>
      </c>
      <c r="D742" s="142">
        <f>B742*IBGE_2!D$742/100</f>
        <v>36.119999999999997</v>
      </c>
      <c r="E742" s="142">
        <f>B742*IBGE_2!E$742/100</f>
        <v>10.606999999999998</v>
      </c>
      <c r="F742" s="142">
        <f>B742*IBGE_2!F$742/100</f>
        <v>2.5980000000000003</v>
      </c>
      <c r="G742" s="142">
        <f>B742*IBGE_2!G$742/100</f>
        <v>3.2769999999999997</v>
      </c>
      <c r="H742" s="142">
        <f>B742*IBGE_2!H$742/100</f>
        <v>3.4580000000000002</v>
      </c>
      <c r="I742" s="142">
        <f>B742*IBGE_2!I$742/100</f>
        <v>3.0269999999999997</v>
      </c>
      <c r="J742" s="142">
        <f>B742*IBGE_2!J$742/100</f>
        <v>0.40100000000000002</v>
      </c>
      <c r="K742" s="142">
        <f>B742*IBGE_2!K$742/100</f>
        <v>90</v>
      </c>
      <c r="L742" s="142" t="s">
        <v>3047</v>
      </c>
      <c r="M742" s="142" t="s">
        <v>3047</v>
      </c>
      <c r="N742" s="142">
        <f>B742*IBGE_2!N$742/100</f>
        <v>4</v>
      </c>
      <c r="O742" s="142">
        <f>B742*IBGE_2!O$742/100</f>
        <v>26</v>
      </c>
      <c r="P742" s="142">
        <f>B742*IBGE_2!P$742/100</f>
        <v>1.7999999999999999E-2</v>
      </c>
      <c r="Q742" s="142">
        <f>B742*IBGE_2!Q$742/100</f>
        <v>226</v>
      </c>
      <c r="R742" s="142">
        <f>B742*IBGE_2!R$742/100</f>
        <v>3.323</v>
      </c>
      <c r="S742" s="142">
        <f>B742*IBGE_2!S$742/100</f>
        <v>45</v>
      </c>
      <c r="T742" s="142">
        <f>B742*IBGE_2!T$742/100</f>
        <v>334</v>
      </c>
      <c r="U742" s="142">
        <f>B742*IBGE_2!U$742/100</f>
        <v>0.124</v>
      </c>
      <c r="V742" s="142">
        <f>B742*IBGE_2!V$742/100</f>
        <v>4.5609999999999999</v>
      </c>
      <c r="W742" s="142" t="s">
        <v>3047</v>
      </c>
      <c r="X742" s="142">
        <f>B742*IBGE_2!X$742/100</f>
        <v>7.0000000000000007E-2</v>
      </c>
      <c r="Y742" s="142">
        <f>B742*IBGE_2!Y$742/100</f>
        <v>0.25</v>
      </c>
      <c r="Z742" s="142">
        <f>B742*IBGE_2!Z$742/100</f>
        <v>0.28000000000000003</v>
      </c>
      <c r="AA742" s="142">
        <f>B742*IBGE_2!AA$742/100</f>
        <v>3.81</v>
      </c>
      <c r="AB742" s="142" t="s">
        <v>3047</v>
      </c>
      <c r="AC742" s="142">
        <f>B742*IBGE_2!AC$742/100</f>
        <v>7.76</v>
      </c>
      <c r="AD742" s="142">
        <f>B742*IBGE_2!AD$742/100</f>
        <v>2.7</v>
      </c>
      <c r="AE742" s="142">
        <f>B742*IBGE_2!AE$742/100</f>
        <v>9</v>
      </c>
      <c r="AF742" s="142">
        <f>B742*IBGE_2!AF$742/100</f>
        <v>0.7</v>
      </c>
      <c r="AG742" s="142">
        <f>B742*IBGE_2!AG$742/100</f>
        <v>0.59899999999999998</v>
      </c>
      <c r="AH742" s="142">
        <f>B742*IBGE_2!AH$742/100</f>
        <v>0.25700000000000001</v>
      </c>
      <c r="AI742" s="142">
        <f>B742*IBGE_2!AI$742/100</f>
        <v>333</v>
      </c>
      <c r="AJ742" s="142">
        <f>B742*IBGE_2!AJ$742/100</f>
        <v>35.57</v>
      </c>
      <c r="AK742" s="142" t="s">
        <v>3047</v>
      </c>
      <c r="AL742" s="142" t="s">
        <v>3047</v>
      </c>
      <c r="AM742" s="142" t="s">
        <v>3047</v>
      </c>
      <c r="AN742" s="161"/>
    </row>
    <row r="743" spans="1:40">
      <c r="A743" s="143" t="s">
        <v>1803</v>
      </c>
      <c r="B743" s="141">
        <v>100</v>
      </c>
      <c r="C743" s="142">
        <f>B743*IBGE_2!C$743/100</f>
        <v>248.56700000000001</v>
      </c>
      <c r="D743" s="142">
        <f>B743*IBGE_2!D$743/100</f>
        <v>36.119999999999997</v>
      </c>
      <c r="E743" s="142">
        <f>B743*IBGE_2!E$743/100</f>
        <v>10.606999999999998</v>
      </c>
      <c r="F743" s="142">
        <f>B743*IBGE_2!F$743/100</f>
        <v>2.5980000000000003</v>
      </c>
      <c r="G743" s="142">
        <f>B743*IBGE_2!G$743/100</f>
        <v>3.2769999999999997</v>
      </c>
      <c r="H743" s="142">
        <f>B743*IBGE_2!H$743/100</f>
        <v>3.4580000000000002</v>
      </c>
      <c r="I743" s="142">
        <f>B743*IBGE_2!I$743/100</f>
        <v>3.0269999999999997</v>
      </c>
      <c r="J743" s="142">
        <f>B743*IBGE_2!J$743/100</f>
        <v>0.40100000000000002</v>
      </c>
      <c r="K743" s="142">
        <f>B743*IBGE_2!K$743/100</f>
        <v>90</v>
      </c>
      <c r="L743" s="142" t="s">
        <v>3047</v>
      </c>
      <c r="M743" s="142" t="s">
        <v>3047</v>
      </c>
      <c r="N743" s="142">
        <f>B743*IBGE_2!N$743/100</f>
        <v>4</v>
      </c>
      <c r="O743" s="142">
        <f>B743*IBGE_2!O$743/100</f>
        <v>26</v>
      </c>
      <c r="P743" s="142">
        <f>B743*IBGE_2!P$743/100</f>
        <v>1.7999999999999999E-2</v>
      </c>
      <c r="Q743" s="142">
        <f>B743*IBGE_2!Q$743/100</f>
        <v>226</v>
      </c>
      <c r="R743" s="142">
        <f>B743*IBGE_2!R$743/100</f>
        <v>3.323</v>
      </c>
      <c r="S743" s="142">
        <f>B743*IBGE_2!S$743/100</f>
        <v>45</v>
      </c>
      <c r="T743" s="142">
        <f>B743*IBGE_2!T$743/100</f>
        <v>334</v>
      </c>
      <c r="U743" s="142">
        <f>B743*IBGE_2!U$743/100</f>
        <v>0.124</v>
      </c>
      <c r="V743" s="142">
        <f>B743*IBGE_2!V$743/100</f>
        <v>4.5609999999999999</v>
      </c>
      <c r="W743" s="142" t="s">
        <v>3047</v>
      </c>
      <c r="X743" s="142">
        <f>B743*IBGE_2!X$743/100</f>
        <v>7.0000000000000007E-2</v>
      </c>
      <c r="Y743" s="142">
        <f>B743*IBGE_2!Y$743/100</f>
        <v>0.25</v>
      </c>
      <c r="Z743" s="142">
        <f>B743*IBGE_2!Z$743/100</f>
        <v>0.28000000000000003</v>
      </c>
      <c r="AA743" s="142">
        <f>B743*IBGE_2!AA$743/100</f>
        <v>3.81</v>
      </c>
      <c r="AB743" s="142" t="s">
        <v>3047</v>
      </c>
      <c r="AC743" s="142">
        <f>B743*IBGE_2!AC$743/100</f>
        <v>7.76</v>
      </c>
      <c r="AD743" s="142">
        <f>B743*IBGE_2!AD$743/100</f>
        <v>2.7</v>
      </c>
      <c r="AE743" s="142">
        <f>B743*IBGE_2!AE$743/100</f>
        <v>9</v>
      </c>
      <c r="AF743" s="142">
        <f>B743*IBGE_2!AF$743/100</f>
        <v>0.7</v>
      </c>
      <c r="AG743" s="142">
        <f>B743*IBGE_2!AG$743/100</f>
        <v>0.59899999999999998</v>
      </c>
      <c r="AH743" s="142">
        <f>B743*IBGE_2!AH$743/100</f>
        <v>0.25700000000000001</v>
      </c>
      <c r="AI743" s="142">
        <f>B743*IBGE_2!AI$743/100</f>
        <v>333</v>
      </c>
      <c r="AJ743" s="142">
        <f>B743*IBGE_2!AJ$743/100</f>
        <v>35.57</v>
      </c>
      <c r="AK743" s="142" t="s">
        <v>3047</v>
      </c>
      <c r="AL743" s="142" t="s">
        <v>3047</v>
      </c>
      <c r="AM743" s="142" t="s">
        <v>3047</v>
      </c>
      <c r="AN743" s="161"/>
    </row>
    <row r="744" spans="1:40">
      <c r="A744" s="143" t="s">
        <v>1804</v>
      </c>
      <c r="B744" s="141">
        <v>100</v>
      </c>
      <c r="C744" s="142">
        <f>B744*IBGE_2!C$744/100</f>
        <v>164</v>
      </c>
      <c r="D744" s="142">
        <f>B744*IBGE_2!D$744/100</f>
        <v>29.16</v>
      </c>
      <c r="E744" s="142">
        <f>B744*IBGE_2!E$744/100</f>
        <v>4.0359999999999996</v>
      </c>
      <c r="F744" s="142">
        <f>B744*IBGE_2!F$744/100</f>
        <v>1.381</v>
      </c>
      <c r="G744" s="142">
        <f>B744*IBGE_2!G$744/100</f>
        <v>1.605</v>
      </c>
      <c r="H744" s="142">
        <f>B744*IBGE_2!H$744/100</f>
        <v>0.191</v>
      </c>
      <c r="I744" s="142">
        <f>B744*IBGE_2!I$744/100</f>
        <v>0.15</v>
      </c>
      <c r="J744" s="142">
        <f>B744*IBGE_2!J$744/100</f>
        <v>1.7000000000000001E-2</v>
      </c>
      <c r="K744" s="142">
        <f>B744*IBGE_2!K$744/100</f>
        <v>72</v>
      </c>
      <c r="L744" s="142">
        <f>B744*IBGE_2!L$744/100</f>
        <v>1.0760000000000001</v>
      </c>
      <c r="M744" s="142">
        <f>B744*IBGE_2!M$744/100</f>
        <v>0.3</v>
      </c>
      <c r="N744" s="142">
        <f>B744*IBGE_2!N$744/100</f>
        <v>5.8</v>
      </c>
      <c r="O744" s="142">
        <f>B744*IBGE_2!O$744/100</f>
        <v>24</v>
      </c>
      <c r="P744" s="142">
        <f>B744*IBGE_2!P$744/100</f>
        <v>3.5999999999999997E-2</v>
      </c>
      <c r="Q744" s="142">
        <f>B744*IBGE_2!Q$744/100</f>
        <v>186</v>
      </c>
      <c r="R744" s="142">
        <f>B744*IBGE_2!R$744/100</f>
        <v>2.86</v>
      </c>
      <c r="S744" s="142">
        <f>B744*IBGE_2!S$744/100</f>
        <v>140.80000000000001</v>
      </c>
      <c r="T744" s="142">
        <f>B744*IBGE_2!T$744/100</f>
        <v>333.4</v>
      </c>
      <c r="U744" s="142">
        <f>B744*IBGE_2!U$744/100</f>
        <v>0.12300000000000001</v>
      </c>
      <c r="V744" s="142">
        <f>B744*IBGE_2!V$744/100</f>
        <v>3.6880000000000002</v>
      </c>
      <c r="W744" s="142" t="s">
        <v>3047</v>
      </c>
      <c r="X744" s="142">
        <f>B744*IBGE_2!X$744/100</f>
        <v>6.0999999999999999E-2</v>
      </c>
      <c r="Y744" s="142">
        <f>B744*IBGE_2!Y$744/100</f>
        <v>0.21299999999999999</v>
      </c>
      <c r="Z744" s="142">
        <f>B744*IBGE_2!Z$744/100</f>
        <v>0.24299999999999999</v>
      </c>
      <c r="AA744" s="142">
        <f>B744*IBGE_2!AA$744/100</f>
        <v>3.2430000000000003</v>
      </c>
      <c r="AB744" s="142">
        <f>B744*IBGE_2!AB$744/100</f>
        <v>1.4</v>
      </c>
      <c r="AC744" s="142">
        <f>B744*IBGE_2!AC$744/100</f>
        <v>6.4359999999999999</v>
      </c>
      <c r="AD744" s="142">
        <f>B744*IBGE_2!AD$744/100</f>
        <v>2.16</v>
      </c>
      <c r="AE744" s="142">
        <f>B744*IBGE_2!AE$744/100</f>
        <v>9.4</v>
      </c>
      <c r="AF744" s="142">
        <f>B744*IBGE_2!AF$744/100</f>
        <v>0.56000000000000005</v>
      </c>
      <c r="AG744" s="142">
        <f>B744*IBGE_2!AG$744/100</f>
        <v>0.39600000000000002</v>
      </c>
      <c r="AH744" s="142">
        <f>B744*IBGE_2!AH$744/100</f>
        <v>0.182</v>
      </c>
      <c r="AI744" s="142">
        <f>B744*IBGE_2!AI$744/100</f>
        <v>333</v>
      </c>
      <c r="AJ744" s="142">
        <f>B744*IBGE_2!AJ$744/100</f>
        <v>26.44</v>
      </c>
      <c r="AK744" s="142">
        <f>B744*IBGE_2!AK$744/100</f>
        <v>3.4830000000000001</v>
      </c>
      <c r="AL744" s="142">
        <f>B744*IBGE_2!AL$744/100</f>
        <v>0.85</v>
      </c>
      <c r="AM744" s="142" t="s">
        <v>3047</v>
      </c>
      <c r="AN744" s="161"/>
    </row>
    <row r="745" spans="1:40">
      <c r="A745" s="143" t="s">
        <v>1805</v>
      </c>
      <c r="B745" s="141">
        <v>100</v>
      </c>
      <c r="C745" s="142">
        <f>B745*IBGE_2!C$745/100</f>
        <v>248.56700000000001</v>
      </c>
      <c r="D745" s="142">
        <f>B745*IBGE_2!D$745/100</f>
        <v>36.119999999999997</v>
      </c>
      <c r="E745" s="142">
        <f>B745*IBGE_2!E$745/100</f>
        <v>10.606999999999998</v>
      </c>
      <c r="F745" s="142">
        <f>B745*IBGE_2!F$745/100</f>
        <v>2.5980000000000003</v>
      </c>
      <c r="G745" s="142">
        <f>B745*IBGE_2!G$745/100</f>
        <v>3.2769999999999997</v>
      </c>
      <c r="H745" s="142">
        <f>B745*IBGE_2!H$745/100</f>
        <v>3.4580000000000002</v>
      </c>
      <c r="I745" s="142">
        <f>B745*IBGE_2!I$745/100</f>
        <v>3.0269999999999997</v>
      </c>
      <c r="J745" s="142">
        <f>B745*IBGE_2!J$745/100</f>
        <v>0.40100000000000002</v>
      </c>
      <c r="K745" s="142">
        <f>B745*IBGE_2!K$745/100</f>
        <v>90</v>
      </c>
      <c r="L745" s="142" t="s">
        <v>3047</v>
      </c>
      <c r="M745" s="142" t="s">
        <v>3047</v>
      </c>
      <c r="N745" s="142">
        <f>B745*IBGE_2!N$745/100</f>
        <v>4</v>
      </c>
      <c r="O745" s="142">
        <f>B745*IBGE_2!O$745/100</f>
        <v>26</v>
      </c>
      <c r="P745" s="142">
        <f>B745*IBGE_2!P$745/100</f>
        <v>1.7999999999999999E-2</v>
      </c>
      <c r="Q745" s="142">
        <f>B745*IBGE_2!Q$745/100</f>
        <v>226</v>
      </c>
      <c r="R745" s="142">
        <f>B745*IBGE_2!R$745/100</f>
        <v>3.323</v>
      </c>
      <c r="S745" s="142">
        <f>B745*IBGE_2!S$745/100</f>
        <v>45</v>
      </c>
      <c r="T745" s="142">
        <f>B745*IBGE_2!T$745/100</f>
        <v>334</v>
      </c>
      <c r="U745" s="142">
        <f>B745*IBGE_2!U$745/100</f>
        <v>0.124</v>
      </c>
      <c r="V745" s="142">
        <f>B745*IBGE_2!V$745/100</f>
        <v>4.5609999999999999</v>
      </c>
      <c r="W745" s="142" t="s">
        <v>3047</v>
      </c>
      <c r="X745" s="142">
        <f>B745*IBGE_2!X$745/100</f>
        <v>7.0000000000000007E-2</v>
      </c>
      <c r="Y745" s="142">
        <f>B745*IBGE_2!Y$745/100</f>
        <v>0.25</v>
      </c>
      <c r="Z745" s="142">
        <f>B745*IBGE_2!Z$745/100</f>
        <v>0.28000000000000003</v>
      </c>
      <c r="AA745" s="142">
        <f>B745*IBGE_2!AA$745/100</f>
        <v>3.81</v>
      </c>
      <c r="AB745" s="142" t="s">
        <v>3047</v>
      </c>
      <c r="AC745" s="142">
        <f>B745*IBGE_2!AC$745/100</f>
        <v>7.76</v>
      </c>
      <c r="AD745" s="142">
        <f>B745*IBGE_2!AD$745/100</f>
        <v>2.7</v>
      </c>
      <c r="AE745" s="142">
        <f>B745*IBGE_2!AE$745/100</f>
        <v>9</v>
      </c>
      <c r="AF745" s="142">
        <f>B745*IBGE_2!AF$745/100</f>
        <v>0.7</v>
      </c>
      <c r="AG745" s="142">
        <f>B745*IBGE_2!AG$745/100</f>
        <v>0.59899999999999998</v>
      </c>
      <c r="AH745" s="142">
        <f>B745*IBGE_2!AH$745/100</f>
        <v>0.25700000000000001</v>
      </c>
      <c r="AI745" s="142">
        <f>B745*IBGE_2!AI$745/100</f>
        <v>333</v>
      </c>
      <c r="AJ745" s="142">
        <f>B745*IBGE_2!AJ$745/100</f>
        <v>35.57</v>
      </c>
      <c r="AK745" s="142" t="s">
        <v>3047</v>
      </c>
      <c r="AL745" s="142" t="s">
        <v>3047</v>
      </c>
      <c r="AM745" s="142" t="s">
        <v>3047</v>
      </c>
      <c r="AN745" s="161"/>
    </row>
    <row r="746" spans="1:40">
      <c r="A746" s="143" t="s">
        <v>1806</v>
      </c>
      <c r="B746" s="141">
        <v>100</v>
      </c>
      <c r="C746" s="142">
        <f>B746*IBGE_2!C$746/100</f>
        <v>199</v>
      </c>
      <c r="D746" s="142">
        <f>B746*IBGE_2!D$746/100</f>
        <v>36.119999999999997</v>
      </c>
      <c r="E746" s="142">
        <f>B746*IBGE_2!E$746/100</f>
        <v>5</v>
      </c>
      <c r="F746" s="142">
        <f>B746*IBGE_2!F$746/100</f>
        <v>1.72</v>
      </c>
      <c r="G746" s="142">
        <f>B746*IBGE_2!G$746/100</f>
        <v>2</v>
      </c>
      <c r="H746" s="142">
        <f>B746*IBGE_2!H$746/100</f>
        <v>0.22</v>
      </c>
      <c r="I746" s="142">
        <f>B746*IBGE_2!I$746/100</f>
        <v>0.17</v>
      </c>
      <c r="J746" s="142">
        <f>B746*IBGE_2!J$746/100</f>
        <v>0.02</v>
      </c>
      <c r="K746" s="142">
        <f>B746*IBGE_2!K$746/100</f>
        <v>90</v>
      </c>
      <c r="L746" s="142" t="s">
        <v>3047</v>
      </c>
      <c r="M746" s="142" t="s">
        <v>3047</v>
      </c>
      <c r="N746" s="142">
        <f>B746*IBGE_2!N$746/100</f>
        <v>4</v>
      </c>
      <c r="O746" s="142">
        <f>B746*IBGE_2!O$746/100</f>
        <v>26</v>
      </c>
      <c r="P746" s="142">
        <f>B746*IBGE_2!P$746/100</f>
        <v>1.7999999999999999E-2</v>
      </c>
      <c r="Q746" s="142">
        <f>B746*IBGE_2!Q$746/100</f>
        <v>226</v>
      </c>
      <c r="R746" s="142">
        <f>B746*IBGE_2!R$746/100</f>
        <v>3.32</v>
      </c>
      <c r="S746" s="142">
        <f>B746*IBGE_2!S$746/100</f>
        <v>45</v>
      </c>
      <c r="T746" s="142">
        <f>B746*IBGE_2!T$746/100</f>
        <v>334</v>
      </c>
      <c r="U746" s="142">
        <f>B746*IBGE_2!U$746/100</f>
        <v>0.124</v>
      </c>
      <c r="V746" s="142">
        <f>B746*IBGE_2!V$746/100</f>
        <v>4.5599999999999996</v>
      </c>
      <c r="W746" s="142" t="s">
        <v>3047</v>
      </c>
      <c r="X746" s="142">
        <f>B746*IBGE_2!X$746/100</f>
        <v>7.0000000000000007E-2</v>
      </c>
      <c r="Y746" s="142">
        <f>B746*IBGE_2!Y$746/100</f>
        <v>0.25</v>
      </c>
      <c r="Z746" s="142">
        <f>B746*IBGE_2!Z$746/100</f>
        <v>0.28000000000000003</v>
      </c>
      <c r="AA746" s="142">
        <f>B746*IBGE_2!AA$746/100</f>
        <v>3.81</v>
      </c>
      <c r="AB746" s="142" t="s">
        <v>3047</v>
      </c>
      <c r="AC746" s="142">
        <f>B746*IBGE_2!AC$746/100</f>
        <v>7.76</v>
      </c>
      <c r="AD746" s="142">
        <f>B746*IBGE_2!AD$746/100</f>
        <v>2.7</v>
      </c>
      <c r="AE746" s="142">
        <f>B746*IBGE_2!AE$746/100</f>
        <v>9</v>
      </c>
      <c r="AF746" s="142">
        <f>B746*IBGE_2!AF$746/100</f>
        <v>0.7</v>
      </c>
      <c r="AG746" s="142">
        <f>B746*IBGE_2!AG$746/100</f>
        <v>0.14000000000000001</v>
      </c>
      <c r="AH746" s="142">
        <f>B746*IBGE_2!AH$746/100</f>
        <v>0.22699999999999998</v>
      </c>
      <c r="AI746" s="142">
        <f>B746*IBGE_2!AI$746/100</f>
        <v>333</v>
      </c>
      <c r="AJ746" s="142">
        <f>B746*IBGE_2!AJ$746/100</f>
        <v>33</v>
      </c>
      <c r="AK746" s="142" t="s">
        <v>3047</v>
      </c>
      <c r="AL746" s="142" t="s">
        <v>3047</v>
      </c>
      <c r="AM746" s="142" t="s">
        <v>3047</v>
      </c>
      <c r="AN746" s="161"/>
    </row>
    <row r="747" spans="1:40">
      <c r="A747" s="143" t="s">
        <v>1807</v>
      </c>
      <c r="B747" s="141">
        <v>100</v>
      </c>
      <c r="C747" s="142">
        <f>B747*IBGE_2!C$747/100</f>
        <v>199</v>
      </c>
      <c r="D747" s="142">
        <f>B747*IBGE_2!D$747/100</f>
        <v>36.119999999999997</v>
      </c>
      <c r="E747" s="142">
        <f>B747*IBGE_2!E$747/100</f>
        <v>5</v>
      </c>
      <c r="F747" s="142">
        <f>B747*IBGE_2!F$747/100</f>
        <v>1.72</v>
      </c>
      <c r="G747" s="142">
        <f>B747*IBGE_2!G$747/100</f>
        <v>2</v>
      </c>
      <c r="H747" s="142">
        <f>B747*IBGE_2!H$747/100</f>
        <v>0.22</v>
      </c>
      <c r="I747" s="142">
        <f>B747*IBGE_2!I$747/100</f>
        <v>0.17</v>
      </c>
      <c r="J747" s="142">
        <f>B747*IBGE_2!J$747/100</f>
        <v>0.02</v>
      </c>
      <c r="K747" s="142">
        <f>B747*IBGE_2!K$747/100</f>
        <v>90</v>
      </c>
      <c r="L747" s="142" t="s">
        <v>3047</v>
      </c>
      <c r="M747" s="142" t="s">
        <v>3047</v>
      </c>
      <c r="N747" s="142">
        <f>B747*IBGE_2!N$747/100</f>
        <v>4</v>
      </c>
      <c r="O747" s="142">
        <f>B747*IBGE_2!O$747/100</f>
        <v>26</v>
      </c>
      <c r="P747" s="142">
        <f>B747*IBGE_2!P$747/100</f>
        <v>1.7999999999999999E-2</v>
      </c>
      <c r="Q747" s="142">
        <f>B747*IBGE_2!Q$747/100</f>
        <v>226</v>
      </c>
      <c r="R747" s="142">
        <f>B747*IBGE_2!R$747/100</f>
        <v>3.32</v>
      </c>
      <c r="S747" s="142">
        <f>B747*IBGE_2!S$747/100</f>
        <v>45</v>
      </c>
      <c r="T747" s="142">
        <f>B747*IBGE_2!T$747/100</f>
        <v>334</v>
      </c>
      <c r="U747" s="142">
        <f>B747*IBGE_2!U$747/100</f>
        <v>0.124</v>
      </c>
      <c r="V747" s="142">
        <f>B747*IBGE_2!V$747/100</f>
        <v>4.5599999999999996</v>
      </c>
      <c r="W747" s="142" t="s">
        <v>3047</v>
      </c>
      <c r="X747" s="142">
        <f>B747*IBGE_2!X$747/100</f>
        <v>7.0000000000000007E-2</v>
      </c>
      <c r="Y747" s="142">
        <f>B747*IBGE_2!Y$747/100</f>
        <v>0.25</v>
      </c>
      <c r="Z747" s="142">
        <f>B747*IBGE_2!Z$747/100</f>
        <v>0.28000000000000003</v>
      </c>
      <c r="AA747" s="142">
        <f>B747*IBGE_2!AA$747/100</f>
        <v>3.81</v>
      </c>
      <c r="AB747" s="142" t="s">
        <v>3047</v>
      </c>
      <c r="AC747" s="142">
        <f>B747*IBGE_2!AC$747/100</f>
        <v>7.76</v>
      </c>
      <c r="AD747" s="142">
        <f>B747*IBGE_2!AD$747/100</f>
        <v>2.7</v>
      </c>
      <c r="AE747" s="142">
        <f>B747*IBGE_2!AE$747/100</f>
        <v>9</v>
      </c>
      <c r="AF747" s="142">
        <f>B747*IBGE_2!AF$747/100</f>
        <v>0.7</v>
      </c>
      <c r="AG747" s="142">
        <f>B747*IBGE_2!AG$747/100</f>
        <v>0.14000000000000001</v>
      </c>
      <c r="AH747" s="142">
        <f>B747*IBGE_2!AH$747/100</f>
        <v>0.22699999999999998</v>
      </c>
      <c r="AI747" s="142">
        <f>B747*IBGE_2!AI$747/100</f>
        <v>333</v>
      </c>
      <c r="AJ747" s="142">
        <f>B747*IBGE_2!AJ$747/100</f>
        <v>33</v>
      </c>
      <c r="AK747" s="142" t="s">
        <v>3047</v>
      </c>
      <c r="AL747" s="142" t="s">
        <v>3047</v>
      </c>
      <c r="AM747" s="142" t="s">
        <v>3047</v>
      </c>
      <c r="AN747" s="161"/>
    </row>
    <row r="748" spans="1:40">
      <c r="A748" s="143" t="s">
        <v>1808</v>
      </c>
      <c r="B748" s="141">
        <v>100</v>
      </c>
      <c r="C748" s="142">
        <f>B748*IBGE_2!C$748/100</f>
        <v>199</v>
      </c>
      <c r="D748" s="142">
        <f>B748*IBGE_2!D$748/100</f>
        <v>36.119999999999997</v>
      </c>
      <c r="E748" s="142">
        <f>B748*IBGE_2!E$748/100</f>
        <v>5</v>
      </c>
      <c r="F748" s="142">
        <f>B748*IBGE_2!F$748/100</f>
        <v>1.72</v>
      </c>
      <c r="G748" s="142">
        <f>B748*IBGE_2!G$748/100</f>
        <v>2</v>
      </c>
      <c r="H748" s="142">
        <f>B748*IBGE_2!H$748/100</f>
        <v>0.22</v>
      </c>
      <c r="I748" s="142">
        <f>B748*IBGE_2!I$748/100</f>
        <v>0.17</v>
      </c>
      <c r="J748" s="142">
        <f>B748*IBGE_2!J$748/100</f>
        <v>0.02</v>
      </c>
      <c r="K748" s="142">
        <f>B748*IBGE_2!K$748/100</f>
        <v>90</v>
      </c>
      <c r="L748" s="142" t="s">
        <v>3047</v>
      </c>
      <c r="M748" s="142" t="s">
        <v>3047</v>
      </c>
      <c r="N748" s="142">
        <f>B748*IBGE_2!N$748/100</f>
        <v>4</v>
      </c>
      <c r="O748" s="142">
        <f>B748*IBGE_2!O$748/100</f>
        <v>26</v>
      </c>
      <c r="P748" s="142">
        <f>B748*IBGE_2!P$748/100</f>
        <v>1.7999999999999999E-2</v>
      </c>
      <c r="Q748" s="142">
        <f>B748*IBGE_2!Q$748/100</f>
        <v>226</v>
      </c>
      <c r="R748" s="142">
        <f>B748*IBGE_2!R$748/100</f>
        <v>3.32</v>
      </c>
      <c r="S748" s="142">
        <f>B748*IBGE_2!S$748/100</f>
        <v>45</v>
      </c>
      <c r="T748" s="142">
        <f>B748*IBGE_2!T$748/100</f>
        <v>334</v>
      </c>
      <c r="U748" s="142">
        <f>B748*IBGE_2!U$748/100</f>
        <v>0.124</v>
      </c>
      <c r="V748" s="142">
        <f>B748*IBGE_2!V$748/100</f>
        <v>4.5599999999999996</v>
      </c>
      <c r="W748" s="142" t="s">
        <v>3047</v>
      </c>
      <c r="X748" s="142">
        <f>B748*IBGE_2!X$748/100</f>
        <v>7.0000000000000007E-2</v>
      </c>
      <c r="Y748" s="142">
        <f>B748*IBGE_2!Y$748/100</f>
        <v>0.25</v>
      </c>
      <c r="Z748" s="142">
        <f>B748*IBGE_2!Z$748/100</f>
        <v>0.28000000000000003</v>
      </c>
      <c r="AA748" s="142">
        <f>B748*IBGE_2!AA$748/100</f>
        <v>3.81</v>
      </c>
      <c r="AB748" s="142" t="s">
        <v>3047</v>
      </c>
      <c r="AC748" s="142">
        <f>B748*IBGE_2!AC$748/100</f>
        <v>7.76</v>
      </c>
      <c r="AD748" s="142">
        <f>B748*IBGE_2!AD$748/100</f>
        <v>2.7</v>
      </c>
      <c r="AE748" s="142">
        <f>B748*IBGE_2!AE$748/100</f>
        <v>9</v>
      </c>
      <c r="AF748" s="142">
        <f>B748*IBGE_2!AF$748/100</f>
        <v>0.7</v>
      </c>
      <c r="AG748" s="142">
        <f>B748*IBGE_2!AG$748/100</f>
        <v>0.14000000000000001</v>
      </c>
      <c r="AH748" s="142">
        <f>B748*IBGE_2!AH$748/100</f>
        <v>0.22699999999999998</v>
      </c>
      <c r="AI748" s="142">
        <f>B748*IBGE_2!AI$748/100</f>
        <v>333</v>
      </c>
      <c r="AJ748" s="142">
        <f>B748*IBGE_2!AJ$748/100</f>
        <v>33</v>
      </c>
      <c r="AK748" s="142" t="s">
        <v>3047</v>
      </c>
      <c r="AL748" s="142" t="s">
        <v>3047</v>
      </c>
      <c r="AM748" s="142" t="s">
        <v>3047</v>
      </c>
      <c r="AN748" s="161"/>
    </row>
    <row r="749" spans="1:40">
      <c r="A749" s="143" t="s">
        <v>1809</v>
      </c>
      <c r="B749" s="141">
        <v>100</v>
      </c>
      <c r="C749" s="142">
        <f>B749*IBGE_2!C$749/100</f>
        <v>248.56700000000001</v>
      </c>
      <c r="D749" s="142">
        <f>B749*IBGE_2!D$749/100</f>
        <v>36.119999999999997</v>
      </c>
      <c r="E749" s="142">
        <f>B749*IBGE_2!E$749/100</f>
        <v>10.606999999999998</v>
      </c>
      <c r="F749" s="142">
        <f>B749*IBGE_2!F$749/100</f>
        <v>2.5980000000000003</v>
      </c>
      <c r="G749" s="142">
        <f>B749*IBGE_2!G$749/100</f>
        <v>3.2769999999999997</v>
      </c>
      <c r="H749" s="142">
        <f>B749*IBGE_2!H$749/100</f>
        <v>3.4580000000000002</v>
      </c>
      <c r="I749" s="142">
        <f>B749*IBGE_2!I$749/100</f>
        <v>3.0269999999999997</v>
      </c>
      <c r="J749" s="142">
        <f>B749*IBGE_2!J$749/100</f>
        <v>0.40100000000000002</v>
      </c>
      <c r="K749" s="142">
        <f>B749*IBGE_2!K$749/100</f>
        <v>90</v>
      </c>
      <c r="L749" s="142" t="s">
        <v>3047</v>
      </c>
      <c r="M749" s="142" t="s">
        <v>3047</v>
      </c>
      <c r="N749" s="142">
        <f>B749*IBGE_2!N$749/100</f>
        <v>4</v>
      </c>
      <c r="O749" s="142">
        <f>B749*IBGE_2!O$749/100</f>
        <v>26</v>
      </c>
      <c r="P749" s="142">
        <f>B749*IBGE_2!P$749/100</f>
        <v>1.7999999999999999E-2</v>
      </c>
      <c r="Q749" s="142">
        <f>B749*IBGE_2!Q$749/100</f>
        <v>226</v>
      </c>
      <c r="R749" s="142">
        <f>B749*IBGE_2!R$749/100</f>
        <v>3.323</v>
      </c>
      <c r="S749" s="142">
        <f>B749*IBGE_2!S$749/100</f>
        <v>45</v>
      </c>
      <c r="T749" s="142">
        <f>B749*IBGE_2!T$749/100</f>
        <v>334</v>
      </c>
      <c r="U749" s="142">
        <f>B749*IBGE_2!U$749/100</f>
        <v>0.124</v>
      </c>
      <c r="V749" s="142">
        <f>B749*IBGE_2!V$749/100</f>
        <v>4.5609999999999999</v>
      </c>
      <c r="W749" s="142" t="s">
        <v>3047</v>
      </c>
      <c r="X749" s="142">
        <f>B749*IBGE_2!X$749/100</f>
        <v>7.0000000000000007E-2</v>
      </c>
      <c r="Y749" s="142">
        <f>B749*IBGE_2!Y$749/100</f>
        <v>0.25</v>
      </c>
      <c r="Z749" s="142">
        <f>B749*IBGE_2!Z$749/100</f>
        <v>0.28000000000000003</v>
      </c>
      <c r="AA749" s="142">
        <f>B749*IBGE_2!AA$749/100</f>
        <v>3.81</v>
      </c>
      <c r="AB749" s="142" t="s">
        <v>3047</v>
      </c>
      <c r="AC749" s="142">
        <f>B749*IBGE_2!AC$749/100</f>
        <v>7.76</v>
      </c>
      <c r="AD749" s="142">
        <f>B749*IBGE_2!AD$749/100</f>
        <v>2.7</v>
      </c>
      <c r="AE749" s="142">
        <f>B749*IBGE_2!AE$749/100</f>
        <v>9</v>
      </c>
      <c r="AF749" s="142">
        <f>B749*IBGE_2!AF$749/100</f>
        <v>0.7</v>
      </c>
      <c r="AG749" s="142">
        <f>B749*IBGE_2!AG$749/100</f>
        <v>0.59899999999999998</v>
      </c>
      <c r="AH749" s="142">
        <f>B749*IBGE_2!AH$749/100</f>
        <v>0.25700000000000001</v>
      </c>
      <c r="AI749" s="142">
        <f>B749*IBGE_2!AI$749/100</f>
        <v>333</v>
      </c>
      <c r="AJ749" s="142">
        <f>B749*IBGE_2!AJ$749/100</f>
        <v>35.57</v>
      </c>
      <c r="AK749" s="142" t="s">
        <v>3047</v>
      </c>
      <c r="AL749" s="142" t="s">
        <v>3047</v>
      </c>
      <c r="AM749" s="142" t="s">
        <v>3047</v>
      </c>
      <c r="AN749" s="161"/>
    </row>
    <row r="750" spans="1:40">
      <c r="A750" s="143" t="s">
        <v>1810</v>
      </c>
      <c r="B750" s="141">
        <v>100</v>
      </c>
      <c r="C750" s="142">
        <f>B750*IBGE_2!C$750/100</f>
        <v>248.56700000000001</v>
      </c>
      <c r="D750" s="142">
        <f>B750*IBGE_2!D$750/100</f>
        <v>36.119999999999997</v>
      </c>
      <c r="E750" s="142">
        <f>B750*IBGE_2!E$750/100</f>
        <v>10.606999999999998</v>
      </c>
      <c r="F750" s="142">
        <f>B750*IBGE_2!F$750/100</f>
        <v>2.5980000000000003</v>
      </c>
      <c r="G750" s="142">
        <f>B750*IBGE_2!G$750/100</f>
        <v>3.2769999999999997</v>
      </c>
      <c r="H750" s="142">
        <f>B750*IBGE_2!H$750/100</f>
        <v>3.4580000000000002</v>
      </c>
      <c r="I750" s="142">
        <f>B750*IBGE_2!I$750/100</f>
        <v>3.0269999999999997</v>
      </c>
      <c r="J750" s="142">
        <f>B750*IBGE_2!J$750/100</f>
        <v>0.40100000000000002</v>
      </c>
      <c r="K750" s="142">
        <f>B750*IBGE_2!K$750/100</f>
        <v>90</v>
      </c>
      <c r="L750" s="142" t="s">
        <v>3047</v>
      </c>
      <c r="M750" s="142" t="s">
        <v>3047</v>
      </c>
      <c r="N750" s="142">
        <f>B750*IBGE_2!N$750/100</f>
        <v>4</v>
      </c>
      <c r="O750" s="142">
        <f>B750*IBGE_2!O$750/100</f>
        <v>26</v>
      </c>
      <c r="P750" s="142">
        <f>B750*IBGE_2!P$750/100</f>
        <v>1.7999999999999999E-2</v>
      </c>
      <c r="Q750" s="142">
        <f>B750*IBGE_2!Q$750/100</f>
        <v>226</v>
      </c>
      <c r="R750" s="142">
        <f>B750*IBGE_2!R$750/100</f>
        <v>3.323</v>
      </c>
      <c r="S750" s="142">
        <f>B750*IBGE_2!S$750/100</f>
        <v>45</v>
      </c>
      <c r="T750" s="142">
        <f>B750*IBGE_2!T$750/100</f>
        <v>334</v>
      </c>
      <c r="U750" s="142">
        <f>B750*IBGE_2!U$750/100</f>
        <v>0.124</v>
      </c>
      <c r="V750" s="142">
        <f>B750*IBGE_2!V$750/100</f>
        <v>4.5609999999999999</v>
      </c>
      <c r="W750" s="142" t="s">
        <v>3047</v>
      </c>
      <c r="X750" s="142">
        <f>B750*IBGE_2!X$750/100</f>
        <v>7.0000000000000007E-2</v>
      </c>
      <c r="Y750" s="142">
        <f>B750*IBGE_2!Y$750/100</f>
        <v>0.25</v>
      </c>
      <c r="Z750" s="142">
        <f>B750*IBGE_2!Z$750/100</f>
        <v>0.28000000000000003</v>
      </c>
      <c r="AA750" s="142">
        <f>B750*IBGE_2!AA$750/100</f>
        <v>3.81</v>
      </c>
      <c r="AB750" s="142" t="s">
        <v>3047</v>
      </c>
      <c r="AC750" s="142">
        <f>B750*IBGE_2!AC$750/100</f>
        <v>7.76</v>
      </c>
      <c r="AD750" s="142">
        <f>B750*IBGE_2!AD$750/100</f>
        <v>2.7</v>
      </c>
      <c r="AE750" s="142">
        <f>B750*IBGE_2!AE$750/100</f>
        <v>9</v>
      </c>
      <c r="AF750" s="142">
        <f>B750*IBGE_2!AF$750/100</f>
        <v>0.7</v>
      </c>
      <c r="AG750" s="142">
        <f>B750*IBGE_2!AG$750/100</f>
        <v>0.59899999999999998</v>
      </c>
      <c r="AH750" s="142">
        <f>B750*IBGE_2!AH$750/100</f>
        <v>0.25700000000000001</v>
      </c>
      <c r="AI750" s="142">
        <f>B750*IBGE_2!AI$750/100</f>
        <v>333</v>
      </c>
      <c r="AJ750" s="142">
        <f>B750*IBGE_2!AJ$750/100</f>
        <v>35.57</v>
      </c>
      <c r="AK750" s="142" t="s">
        <v>3047</v>
      </c>
      <c r="AL750" s="142" t="s">
        <v>3047</v>
      </c>
      <c r="AM750" s="142" t="s">
        <v>3047</v>
      </c>
      <c r="AN750" s="161"/>
    </row>
    <row r="751" spans="1:40">
      <c r="A751" s="143" t="s">
        <v>1811</v>
      </c>
      <c r="B751" s="141">
        <v>100</v>
      </c>
      <c r="C751" s="142">
        <f>B751*IBGE_2!C$751/100</f>
        <v>248.56700000000001</v>
      </c>
      <c r="D751" s="142">
        <f>B751*IBGE_2!D$751/100</f>
        <v>36.119999999999997</v>
      </c>
      <c r="E751" s="142">
        <f>B751*IBGE_2!E$751/100</f>
        <v>10.606999999999998</v>
      </c>
      <c r="F751" s="142">
        <f>B751*IBGE_2!F$751/100</f>
        <v>2.5980000000000003</v>
      </c>
      <c r="G751" s="142">
        <f>B751*IBGE_2!G$751/100</f>
        <v>3.2769999999999997</v>
      </c>
      <c r="H751" s="142">
        <f>B751*IBGE_2!H$751/100</f>
        <v>3.4580000000000002</v>
      </c>
      <c r="I751" s="142">
        <f>B751*IBGE_2!I$751/100</f>
        <v>3.0269999999999997</v>
      </c>
      <c r="J751" s="142">
        <f>B751*IBGE_2!J$751/100</f>
        <v>0.40100000000000002</v>
      </c>
      <c r="K751" s="142">
        <f>B751*IBGE_2!K$751/100</f>
        <v>90</v>
      </c>
      <c r="L751" s="142" t="s">
        <v>3047</v>
      </c>
      <c r="M751" s="142" t="s">
        <v>3047</v>
      </c>
      <c r="N751" s="142">
        <f>B751*IBGE_2!N$751/100</f>
        <v>4</v>
      </c>
      <c r="O751" s="142">
        <f>B751*IBGE_2!O$751/100</f>
        <v>26</v>
      </c>
      <c r="P751" s="142">
        <f>B751*IBGE_2!P$751/100</f>
        <v>1.7999999999999999E-2</v>
      </c>
      <c r="Q751" s="142">
        <f>B751*IBGE_2!Q$751/100</f>
        <v>226</v>
      </c>
      <c r="R751" s="142">
        <f>B751*IBGE_2!R$751/100</f>
        <v>3.323</v>
      </c>
      <c r="S751" s="142">
        <f>B751*IBGE_2!S$751/100</f>
        <v>45</v>
      </c>
      <c r="T751" s="142">
        <f>B751*IBGE_2!T$751/100</f>
        <v>334</v>
      </c>
      <c r="U751" s="142">
        <f>B751*IBGE_2!U$751/100</f>
        <v>0.124</v>
      </c>
      <c r="V751" s="142">
        <f>B751*IBGE_2!V$751/100</f>
        <v>4.5609999999999999</v>
      </c>
      <c r="W751" s="142" t="s">
        <v>3047</v>
      </c>
      <c r="X751" s="142">
        <f>B751*IBGE_2!X$751/100</f>
        <v>7.0000000000000007E-2</v>
      </c>
      <c r="Y751" s="142">
        <f>B751*IBGE_2!Y$751/100</f>
        <v>0.25</v>
      </c>
      <c r="Z751" s="142">
        <f>B751*IBGE_2!Z$751/100</f>
        <v>0.28000000000000003</v>
      </c>
      <c r="AA751" s="142">
        <f>B751*IBGE_2!AA$751/100</f>
        <v>3.81</v>
      </c>
      <c r="AB751" s="142" t="s">
        <v>3047</v>
      </c>
      <c r="AC751" s="142">
        <f>B751*IBGE_2!AC$751/100</f>
        <v>7.76</v>
      </c>
      <c r="AD751" s="142">
        <f>B751*IBGE_2!AD$751/100</f>
        <v>2.7</v>
      </c>
      <c r="AE751" s="142">
        <f>B751*IBGE_2!AE$751/100</f>
        <v>9</v>
      </c>
      <c r="AF751" s="142">
        <f>B751*IBGE_2!AF$751/100</f>
        <v>0.7</v>
      </c>
      <c r="AG751" s="142">
        <f>B751*IBGE_2!AG$751/100</f>
        <v>0.59899999999999998</v>
      </c>
      <c r="AH751" s="142">
        <f>B751*IBGE_2!AH$751/100</f>
        <v>0.25700000000000001</v>
      </c>
      <c r="AI751" s="142">
        <f>B751*IBGE_2!AI$751/100</f>
        <v>333</v>
      </c>
      <c r="AJ751" s="142">
        <f>B751*IBGE_2!AJ$751/100</f>
        <v>35.57</v>
      </c>
      <c r="AK751" s="142" t="s">
        <v>3047</v>
      </c>
      <c r="AL751" s="142" t="s">
        <v>3047</v>
      </c>
      <c r="AM751" s="142" t="s">
        <v>3047</v>
      </c>
      <c r="AN751" s="161"/>
    </row>
    <row r="752" spans="1:40">
      <c r="A752" s="143" t="s">
        <v>1812</v>
      </c>
      <c r="B752" s="141">
        <v>100</v>
      </c>
      <c r="C752" s="142">
        <f>B752*IBGE_2!C$752/100</f>
        <v>199</v>
      </c>
      <c r="D752" s="142">
        <f>B752*IBGE_2!D$752/100</f>
        <v>36.119999999999997</v>
      </c>
      <c r="E752" s="142">
        <f>B752*IBGE_2!E$752/100</f>
        <v>5</v>
      </c>
      <c r="F752" s="142">
        <f>B752*IBGE_2!F$752/100</f>
        <v>1.72</v>
      </c>
      <c r="G752" s="142">
        <f>B752*IBGE_2!G$752/100</f>
        <v>2</v>
      </c>
      <c r="H752" s="142">
        <f>B752*IBGE_2!H$752/100</f>
        <v>0.22</v>
      </c>
      <c r="I752" s="142">
        <f>B752*IBGE_2!I$752/100</f>
        <v>0.17</v>
      </c>
      <c r="J752" s="142">
        <f>B752*IBGE_2!J$752/100</f>
        <v>0.02</v>
      </c>
      <c r="K752" s="142">
        <f>B752*IBGE_2!K$752/100</f>
        <v>90</v>
      </c>
      <c r="L752" s="142" t="s">
        <v>3047</v>
      </c>
      <c r="M752" s="142" t="s">
        <v>3047</v>
      </c>
      <c r="N752" s="142">
        <f>B752*IBGE_2!N$752/100</f>
        <v>4</v>
      </c>
      <c r="O752" s="142">
        <f>B752*IBGE_2!O$752/100</f>
        <v>26</v>
      </c>
      <c r="P752" s="142">
        <f>B752*IBGE_2!P$752/100</f>
        <v>1.7999999999999999E-2</v>
      </c>
      <c r="Q752" s="142">
        <f>B752*IBGE_2!Q$752/100</f>
        <v>226</v>
      </c>
      <c r="R752" s="142">
        <f>B752*IBGE_2!R$752/100</f>
        <v>3.32</v>
      </c>
      <c r="S752" s="142">
        <f>B752*IBGE_2!S$752/100</f>
        <v>45</v>
      </c>
      <c r="T752" s="142">
        <f>B752*IBGE_2!T$752/100</f>
        <v>334</v>
      </c>
      <c r="U752" s="142">
        <f>B752*IBGE_2!U$752/100</f>
        <v>0.124</v>
      </c>
      <c r="V752" s="142">
        <f>B752*IBGE_2!V$752/100</f>
        <v>4.5599999999999996</v>
      </c>
      <c r="W752" s="142" t="s">
        <v>3047</v>
      </c>
      <c r="X752" s="142">
        <f>B752*IBGE_2!X$752/100</f>
        <v>7.0000000000000007E-2</v>
      </c>
      <c r="Y752" s="142">
        <f>B752*IBGE_2!Y$752/100</f>
        <v>0.25</v>
      </c>
      <c r="Z752" s="142">
        <f>B752*IBGE_2!Z$752/100</f>
        <v>0.28000000000000003</v>
      </c>
      <c r="AA752" s="142">
        <f>B752*IBGE_2!AA$752/100</f>
        <v>3.81</v>
      </c>
      <c r="AB752" s="142" t="s">
        <v>3047</v>
      </c>
      <c r="AC752" s="142">
        <f>B752*IBGE_2!AC$752/100</f>
        <v>7.76</v>
      </c>
      <c r="AD752" s="142">
        <f>B752*IBGE_2!AD$752/100</f>
        <v>2.7</v>
      </c>
      <c r="AE752" s="142">
        <f>B752*IBGE_2!AE$752/100</f>
        <v>9</v>
      </c>
      <c r="AF752" s="142">
        <f>B752*IBGE_2!AF$752/100</f>
        <v>0.7</v>
      </c>
      <c r="AG752" s="142">
        <f>B752*IBGE_2!AG$752/100</f>
        <v>0.14000000000000001</v>
      </c>
      <c r="AH752" s="142">
        <f>B752*IBGE_2!AH$752/100</f>
        <v>0.22699999999999998</v>
      </c>
      <c r="AI752" s="142">
        <f>B752*IBGE_2!AI$752/100</f>
        <v>333</v>
      </c>
      <c r="AJ752" s="142">
        <f>B752*IBGE_2!AJ$752/100</f>
        <v>33</v>
      </c>
      <c r="AK752" s="142" t="s">
        <v>3047</v>
      </c>
      <c r="AL752" s="142" t="s">
        <v>3047</v>
      </c>
      <c r="AM752" s="142" t="s">
        <v>3047</v>
      </c>
      <c r="AN752" s="161"/>
    </row>
    <row r="753" spans="1:40">
      <c r="A753" s="143" t="s">
        <v>1813</v>
      </c>
      <c r="B753" s="141">
        <v>100</v>
      </c>
      <c r="C753" s="142">
        <f>B753*IBGE_2!C$753/100</f>
        <v>248.56700000000001</v>
      </c>
      <c r="D753" s="142">
        <f>B753*IBGE_2!D$753/100</f>
        <v>36.119999999999997</v>
      </c>
      <c r="E753" s="142">
        <f>B753*IBGE_2!E$753/100</f>
        <v>10.606999999999998</v>
      </c>
      <c r="F753" s="142">
        <f>B753*IBGE_2!F$753/100</f>
        <v>2.5980000000000003</v>
      </c>
      <c r="G753" s="142">
        <f>B753*IBGE_2!G$753/100</f>
        <v>3.2769999999999997</v>
      </c>
      <c r="H753" s="142">
        <f>B753*IBGE_2!H$753/100</f>
        <v>3.4580000000000002</v>
      </c>
      <c r="I753" s="142">
        <f>B753*IBGE_2!I$753/100</f>
        <v>3.0269999999999997</v>
      </c>
      <c r="J753" s="142">
        <f>B753*IBGE_2!J$753/100</f>
        <v>0.40100000000000002</v>
      </c>
      <c r="K753" s="142">
        <f>B753*IBGE_2!K$753/100</f>
        <v>90</v>
      </c>
      <c r="L753" s="142" t="s">
        <v>3047</v>
      </c>
      <c r="M753" s="142" t="s">
        <v>3047</v>
      </c>
      <c r="N753" s="142">
        <f>B753*IBGE_2!N$753/100</f>
        <v>4</v>
      </c>
      <c r="O753" s="142">
        <f>B753*IBGE_2!O$753/100</f>
        <v>26</v>
      </c>
      <c r="P753" s="142">
        <f>B753*IBGE_2!P$753/100</f>
        <v>1.7999999999999999E-2</v>
      </c>
      <c r="Q753" s="142">
        <f>B753*IBGE_2!Q$753/100</f>
        <v>226</v>
      </c>
      <c r="R753" s="142">
        <f>B753*IBGE_2!R$753/100</f>
        <v>3.323</v>
      </c>
      <c r="S753" s="142">
        <f>B753*IBGE_2!S$753/100</f>
        <v>45</v>
      </c>
      <c r="T753" s="142">
        <f>B753*IBGE_2!T$753/100</f>
        <v>334</v>
      </c>
      <c r="U753" s="142">
        <f>B753*IBGE_2!U$753/100</f>
        <v>0.124</v>
      </c>
      <c r="V753" s="142">
        <f>B753*IBGE_2!V$753/100</f>
        <v>4.5609999999999999</v>
      </c>
      <c r="W753" s="142" t="s">
        <v>3047</v>
      </c>
      <c r="X753" s="142">
        <f>B753*IBGE_2!X$753/100</f>
        <v>7.0000000000000007E-2</v>
      </c>
      <c r="Y753" s="142">
        <f>B753*IBGE_2!Y$753/100</f>
        <v>0.25</v>
      </c>
      <c r="Z753" s="142">
        <f>B753*IBGE_2!Z$753/100</f>
        <v>0.28000000000000003</v>
      </c>
      <c r="AA753" s="142">
        <f>B753*IBGE_2!AA$753/100</f>
        <v>3.81</v>
      </c>
      <c r="AB753" s="142" t="s">
        <v>3047</v>
      </c>
      <c r="AC753" s="142">
        <f>B753*IBGE_2!AC$753/100</f>
        <v>7.76</v>
      </c>
      <c r="AD753" s="142">
        <f>B753*IBGE_2!AD$753/100</f>
        <v>2.7</v>
      </c>
      <c r="AE753" s="142">
        <f>B753*IBGE_2!AE$753/100</f>
        <v>9</v>
      </c>
      <c r="AF753" s="142">
        <f>B753*IBGE_2!AF$753/100</f>
        <v>0.7</v>
      </c>
      <c r="AG753" s="142">
        <f>B753*IBGE_2!AG$753/100</f>
        <v>0.59899999999999998</v>
      </c>
      <c r="AH753" s="142">
        <f>B753*IBGE_2!AH$753/100</f>
        <v>0.25700000000000001</v>
      </c>
      <c r="AI753" s="142">
        <f>B753*IBGE_2!AI$753/100</f>
        <v>333</v>
      </c>
      <c r="AJ753" s="142">
        <f>B753*IBGE_2!AJ$753/100</f>
        <v>35.57</v>
      </c>
      <c r="AK753" s="142" t="s">
        <v>3047</v>
      </c>
      <c r="AL753" s="142" t="s">
        <v>3047</v>
      </c>
      <c r="AM753" s="142" t="s">
        <v>3047</v>
      </c>
      <c r="AN753" s="161"/>
    </row>
    <row r="754" spans="1:40">
      <c r="A754" s="143" t="s">
        <v>1814</v>
      </c>
      <c r="B754" s="141">
        <v>100</v>
      </c>
      <c r="C754" s="142">
        <f>B754*IBGE_2!C$754/100</f>
        <v>164</v>
      </c>
      <c r="D754" s="142">
        <f>B754*IBGE_2!D$754/100</f>
        <v>29.16</v>
      </c>
      <c r="E754" s="142">
        <f>B754*IBGE_2!E$754/100</f>
        <v>4.0359999999999996</v>
      </c>
      <c r="F754" s="142">
        <f>B754*IBGE_2!F$754/100</f>
        <v>1.381</v>
      </c>
      <c r="G754" s="142">
        <f>B754*IBGE_2!G$754/100</f>
        <v>1.605</v>
      </c>
      <c r="H754" s="142">
        <f>B754*IBGE_2!H$754/100</f>
        <v>0.191</v>
      </c>
      <c r="I754" s="142">
        <f>B754*IBGE_2!I$754/100</f>
        <v>0.15</v>
      </c>
      <c r="J754" s="142">
        <f>B754*IBGE_2!J$754/100</f>
        <v>1.7000000000000001E-2</v>
      </c>
      <c r="K754" s="142">
        <f>B754*IBGE_2!K$754/100</f>
        <v>72</v>
      </c>
      <c r="L754" s="142">
        <f>B754*IBGE_2!L$754/100</f>
        <v>1.0760000000000001</v>
      </c>
      <c r="M754" s="142">
        <f>B754*IBGE_2!M$754/100</f>
        <v>0.3</v>
      </c>
      <c r="N754" s="142">
        <f>B754*IBGE_2!N$754/100</f>
        <v>5.8</v>
      </c>
      <c r="O754" s="142">
        <f>B754*IBGE_2!O$754/100</f>
        <v>24</v>
      </c>
      <c r="P754" s="142">
        <f>B754*IBGE_2!P$754/100</f>
        <v>3.5999999999999997E-2</v>
      </c>
      <c r="Q754" s="142">
        <f>B754*IBGE_2!Q$754/100</f>
        <v>186</v>
      </c>
      <c r="R754" s="142">
        <f>B754*IBGE_2!R$754/100</f>
        <v>2.86</v>
      </c>
      <c r="S754" s="142">
        <f>B754*IBGE_2!S$754/100</f>
        <v>140.80000000000001</v>
      </c>
      <c r="T754" s="142">
        <f>B754*IBGE_2!T$754/100</f>
        <v>333.4</v>
      </c>
      <c r="U754" s="142">
        <f>B754*IBGE_2!U$754/100</f>
        <v>0.12300000000000001</v>
      </c>
      <c r="V754" s="142">
        <f>B754*IBGE_2!V$754/100</f>
        <v>3.6880000000000002</v>
      </c>
      <c r="W754" s="142" t="s">
        <v>3047</v>
      </c>
      <c r="X754" s="142">
        <f>B754*IBGE_2!X$754/100</f>
        <v>6.0999999999999999E-2</v>
      </c>
      <c r="Y754" s="142">
        <f>B754*IBGE_2!Y$754/100</f>
        <v>0.21299999999999999</v>
      </c>
      <c r="Z754" s="142">
        <f>B754*IBGE_2!Z$754/100</f>
        <v>0.24299999999999999</v>
      </c>
      <c r="AA754" s="142">
        <f>B754*IBGE_2!AA$754/100</f>
        <v>3.2430000000000003</v>
      </c>
      <c r="AB754" s="142">
        <f>B754*IBGE_2!AB$754/100</f>
        <v>1.4</v>
      </c>
      <c r="AC754" s="142">
        <f>B754*IBGE_2!AC$754/100</f>
        <v>6.4359999999999999</v>
      </c>
      <c r="AD754" s="142">
        <f>B754*IBGE_2!AD$754/100</f>
        <v>2.16</v>
      </c>
      <c r="AE754" s="142">
        <f>B754*IBGE_2!AE$754/100</f>
        <v>9.4</v>
      </c>
      <c r="AF754" s="142">
        <f>B754*IBGE_2!AF$754/100</f>
        <v>0.56000000000000005</v>
      </c>
      <c r="AG754" s="142">
        <f>B754*IBGE_2!AG$754/100</f>
        <v>0.39600000000000002</v>
      </c>
      <c r="AH754" s="142">
        <f>B754*IBGE_2!AH$754/100</f>
        <v>0.182</v>
      </c>
      <c r="AI754" s="142">
        <f>B754*IBGE_2!AI$754/100</f>
        <v>333</v>
      </c>
      <c r="AJ754" s="142">
        <f>B754*IBGE_2!AJ$754/100</f>
        <v>26.44</v>
      </c>
      <c r="AK754" s="142">
        <f>B754*IBGE_2!AK$754/100</f>
        <v>3.4830000000000001</v>
      </c>
      <c r="AL754" s="142">
        <f>B754*IBGE_2!AL$754/100</f>
        <v>0.85</v>
      </c>
      <c r="AM754" s="142" t="s">
        <v>3047</v>
      </c>
      <c r="AN754" s="161"/>
    </row>
    <row r="755" spans="1:40">
      <c r="A755" s="143" t="s">
        <v>1815</v>
      </c>
      <c r="B755" s="141">
        <v>100</v>
      </c>
      <c r="C755" s="142">
        <f>B755*IBGE_2!C$755/100</f>
        <v>199</v>
      </c>
      <c r="D755" s="142">
        <f>B755*IBGE_2!D$755/100</f>
        <v>36.119999999999997</v>
      </c>
      <c r="E755" s="142">
        <f>B755*IBGE_2!E$755/100</f>
        <v>5</v>
      </c>
      <c r="F755" s="142">
        <f>B755*IBGE_2!F$755/100</f>
        <v>1.72</v>
      </c>
      <c r="G755" s="142">
        <f>B755*IBGE_2!G$755/100</f>
        <v>2</v>
      </c>
      <c r="H755" s="142">
        <f>B755*IBGE_2!H$755/100</f>
        <v>0.22</v>
      </c>
      <c r="I755" s="142">
        <f>B755*IBGE_2!I$755/100</f>
        <v>0.17</v>
      </c>
      <c r="J755" s="142">
        <f>B755*IBGE_2!J$755/100</f>
        <v>0.02</v>
      </c>
      <c r="K755" s="142">
        <f>B755*IBGE_2!K$755/100</f>
        <v>90</v>
      </c>
      <c r="L755" s="142" t="s">
        <v>3047</v>
      </c>
      <c r="M755" s="142" t="s">
        <v>3047</v>
      </c>
      <c r="N755" s="142">
        <f>B755*IBGE_2!N$755/100</f>
        <v>4</v>
      </c>
      <c r="O755" s="142">
        <f>B755*IBGE_2!O$755/100</f>
        <v>26</v>
      </c>
      <c r="P755" s="142">
        <f>B755*IBGE_2!P$755/100</f>
        <v>1.7999999999999999E-2</v>
      </c>
      <c r="Q755" s="142">
        <f>B755*IBGE_2!Q$755/100</f>
        <v>226</v>
      </c>
      <c r="R755" s="142">
        <f>B755*IBGE_2!R$755/100</f>
        <v>3.32</v>
      </c>
      <c r="S755" s="142">
        <f>B755*IBGE_2!S$755/100</f>
        <v>45</v>
      </c>
      <c r="T755" s="142">
        <f>B755*IBGE_2!T$755/100</f>
        <v>334</v>
      </c>
      <c r="U755" s="142">
        <f>B755*IBGE_2!U$755/100</f>
        <v>0.124</v>
      </c>
      <c r="V755" s="142">
        <f>B755*IBGE_2!V$755/100</f>
        <v>4.5599999999999996</v>
      </c>
      <c r="W755" s="142" t="s">
        <v>3047</v>
      </c>
      <c r="X755" s="142">
        <f>B755*IBGE_2!X$755/100</f>
        <v>7.0000000000000007E-2</v>
      </c>
      <c r="Y755" s="142">
        <f>B755*IBGE_2!Y$755/100</f>
        <v>0.25</v>
      </c>
      <c r="Z755" s="142">
        <f>B755*IBGE_2!Z$755/100</f>
        <v>0.28000000000000003</v>
      </c>
      <c r="AA755" s="142">
        <f>B755*IBGE_2!AA$755/100</f>
        <v>3.81</v>
      </c>
      <c r="AB755" s="142" t="s">
        <v>3047</v>
      </c>
      <c r="AC755" s="142">
        <f>B755*IBGE_2!AC$755/100</f>
        <v>7.76</v>
      </c>
      <c r="AD755" s="142">
        <f>B755*IBGE_2!AD$755/100</f>
        <v>2.7</v>
      </c>
      <c r="AE755" s="142">
        <f>B755*IBGE_2!AE$755/100</f>
        <v>9</v>
      </c>
      <c r="AF755" s="142">
        <f>B755*IBGE_2!AF$755/100</f>
        <v>0.7</v>
      </c>
      <c r="AG755" s="142">
        <f>B755*IBGE_2!AG$755/100</f>
        <v>0.14000000000000001</v>
      </c>
      <c r="AH755" s="142">
        <f>B755*IBGE_2!AH$755/100</f>
        <v>0.22699999999999998</v>
      </c>
      <c r="AI755" s="142">
        <f>B755*IBGE_2!AI$755/100</f>
        <v>333</v>
      </c>
      <c r="AJ755" s="142">
        <f>B755*IBGE_2!AJ$755/100</f>
        <v>33</v>
      </c>
      <c r="AK755" s="142" t="s">
        <v>3047</v>
      </c>
      <c r="AL755" s="142" t="s">
        <v>3047</v>
      </c>
      <c r="AM755" s="142" t="s">
        <v>3047</v>
      </c>
      <c r="AN755" s="161"/>
    </row>
    <row r="756" spans="1:40">
      <c r="A756" s="143" t="s">
        <v>1816</v>
      </c>
      <c r="B756" s="141">
        <v>100</v>
      </c>
      <c r="C756" s="142">
        <f>B756*IBGE_2!C$756/100</f>
        <v>199</v>
      </c>
      <c r="D756" s="142">
        <f>B756*IBGE_2!D$756/100</f>
        <v>36.119999999999997</v>
      </c>
      <c r="E756" s="142">
        <f>B756*IBGE_2!E$756/100</f>
        <v>5</v>
      </c>
      <c r="F756" s="142">
        <f>B756*IBGE_2!F$756/100</f>
        <v>1.72</v>
      </c>
      <c r="G756" s="142">
        <f>B756*IBGE_2!G$756/100</f>
        <v>2</v>
      </c>
      <c r="H756" s="142">
        <f>B756*IBGE_2!H$756/100</f>
        <v>0.22</v>
      </c>
      <c r="I756" s="142">
        <f>B756*IBGE_2!I$756/100</f>
        <v>0.17</v>
      </c>
      <c r="J756" s="142">
        <f>B756*IBGE_2!J$756/100</f>
        <v>0.02</v>
      </c>
      <c r="K756" s="142">
        <f>B756*IBGE_2!K$756/100</f>
        <v>90</v>
      </c>
      <c r="L756" s="142" t="s">
        <v>3047</v>
      </c>
      <c r="M756" s="142" t="s">
        <v>3047</v>
      </c>
      <c r="N756" s="142">
        <f>B756*IBGE_2!N$756/100</f>
        <v>4</v>
      </c>
      <c r="O756" s="142">
        <f>B756*IBGE_2!O$756/100</f>
        <v>26</v>
      </c>
      <c r="P756" s="142">
        <f>B756*IBGE_2!P$756/100</f>
        <v>1.7999999999999999E-2</v>
      </c>
      <c r="Q756" s="142">
        <f>B756*IBGE_2!Q$756/100</f>
        <v>226</v>
      </c>
      <c r="R756" s="142">
        <f>B756*IBGE_2!R$756/100</f>
        <v>3.32</v>
      </c>
      <c r="S756" s="142">
        <f>B756*IBGE_2!S$756/100</f>
        <v>45</v>
      </c>
      <c r="T756" s="142">
        <f>B756*IBGE_2!T$756/100</f>
        <v>334</v>
      </c>
      <c r="U756" s="142">
        <f>B756*IBGE_2!U$756/100</f>
        <v>0.124</v>
      </c>
      <c r="V756" s="142">
        <f>B756*IBGE_2!V$756/100</f>
        <v>4.5599999999999996</v>
      </c>
      <c r="W756" s="142" t="s">
        <v>3047</v>
      </c>
      <c r="X756" s="142">
        <f>B756*IBGE_2!X$756/100</f>
        <v>7.0000000000000007E-2</v>
      </c>
      <c r="Y756" s="142">
        <f>B756*IBGE_2!Y$756/100</f>
        <v>0.25</v>
      </c>
      <c r="Z756" s="142">
        <f>B756*IBGE_2!Z$756/100</f>
        <v>0.28000000000000003</v>
      </c>
      <c r="AA756" s="142">
        <f>B756*IBGE_2!AA$756/100</f>
        <v>3.81</v>
      </c>
      <c r="AB756" s="142" t="s">
        <v>3047</v>
      </c>
      <c r="AC756" s="142">
        <f>B756*IBGE_2!AC$756/100</f>
        <v>7.76</v>
      </c>
      <c r="AD756" s="142">
        <f>B756*IBGE_2!AD$756/100</f>
        <v>2.7</v>
      </c>
      <c r="AE756" s="142">
        <f>B756*IBGE_2!AE$756/100</f>
        <v>9</v>
      </c>
      <c r="AF756" s="142">
        <f>B756*IBGE_2!AF$756/100</f>
        <v>0.7</v>
      </c>
      <c r="AG756" s="142">
        <f>B756*IBGE_2!AG$756/100</f>
        <v>0.14000000000000001</v>
      </c>
      <c r="AH756" s="142">
        <f>B756*IBGE_2!AH$756/100</f>
        <v>0.22699999999999998</v>
      </c>
      <c r="AI756" s="142">
        <f>B756*IBGE_2!AI$756/100</f>
        <v>333</v>
      </c>
      <c r="AJ756" s="142">
        <f>B756*IBGE_2!AJ$756/100</f>
        <v>33</v>
      </c>
      <c r="AK756" s="142" t="s">
        <v>3047</v>
      </c>
      <c r="AL756" s="142" t="s">
        <v>3047</v>
      </c>
      <c r="AM756" s="142" t="s">
        <v>3047</v>
      </c>
      <c r="AN756" s="161"/>
    </row>
    <row r="757" spans="1:40">
      <c r="A757" s="143" t="s">
        <v>1817</v>
      </c>
      <c r="B757" s="141">
        <v>100</v>
      </c>
      <c r="C757" s="142">
        <f>B757*IBGE_2!C$757/100</f>
        <v>248.56700000000001</v>
      </c>
      <c r="D757" s="142">
        <f>B757*IBGE_2!D$757/100</f>
        <v>36.119999999999997</v>
      </c>
      <c r="E757" s="142">
        <f>B757*IBGE_2!E$757/100</f>
        <v>10.606999999999998</v>
      </c>
      <c r="F757" s="142">
        <f>B757*IBGE_2!F$757/100</f>
        <v>2.5980000000000003</v>
      </c>
      <c r="G757" s="142">
        <f>B757*IBGE_2!G$757/100</f>
        <v>3.2769999999999997</v>
      </c>
      <c r="H757" s="142">
        <f>B757*IBGE_2!H$757/100</f>
        <v>3.4580000000000002</v>
      </c>
      <c r="I757" s="142">
        <f>B757*IBGE_2!I$757/100</f>
        <v>3.0269999999999997</v>
      </c>
      <c r="J757" s="142">
        <f>B757*IBGE_2!J$757/100</f>
        <v>0.40100000000000002</v>
      </c>
      <c r="K757" s="142">
        <f>B757*IBGE_2!K$757/100</f>
        <v>90</v>
      </c>
      <c r="L757" s="142" t="s">
        <v>3047</v>
      </c>
      <c r="M757" s="142" t="s">
        <v>3047</v>
      </c>
      <c r="N757" s="142">
        <f>B757*IBGE_2!N$757/100</f>
        <v>4</v>
      </c>
      <c r="O757" s="142">
        <f>B757*IBGE_2!O$757/100</f>
        <v>26</v>
      </c>
      <c r="P757" s="142">
        <f>B757*IBGE_2!P$757/100</f>
        <v>1.7999999999999999E-2</v>
      </c>
      <c r="Q757" s="142">
        <f>B757*IBGE_2!Q$757/100</f>
        <v>226</v>
      </c>
      <c r="R757" s="142">
        <f>B757*IBGE_2!R$757/100</f>
        <v>3.323</v>
      </c>
      <c r="S757" s="142">
        <f>B757*IBGE_2!S$757/100</f>
        <v>45</v>
      </c>
      <c r="T757" s="142">
        <f>B757*IBGE_2!T$757/100</f>
        <v>334</v>
      </c>
      <c r="U757" s="142">
        <f>B757*IBGE_2!U$757/100</f>
        <v>0.124</v>
      </c>
      <c r="V757" s="142">
        <f>B757*IBGE_2!V$757/100</f>
        <v>4.5609999999999999</v>
      </c>
      <c r="W757" s="142" t="s">
        <v>3047</v>
      </c>
      <c r="X757" s="142">
        <f>B757*IBGE_2!X$757/100</f>
        <v>7.0000000000000007E-2</v>
      </c>
      <c r="Y757" s="142">
        <f>B757*IBGE_2!Y$757/100</f>
        <v>0.25</v>
      </c>
      <c r="Z757" s="142">
        <f>B757*IBGE_2!Z$757/100</f>
        <v>0.28000000000000003</v>
      </c>
      <c r="AA757" s="142">
        <f>B757*IBGE_2!AA$757/100</f>
        <v>3.81</v>
      </c>
      <c r="AB757" s="142" t="s">
        <v>3047</v>
      </c>
      <c r="AC757" s="142">
        <f>B757*IBGE_2!AC$757/100</f>
        <v>7.76</v>
      </c>
      <c r="AD757" s="142">
        <f>B757*IBGE_2!AD$757/100</f>
        <v>2.7</v>
      </c>
      <c r="AE757" s="142">
        <f>B757*IBGE_2!AE$757/100</f>
        <v>9</v>
      </c>
      <c r="AF757" s="142">
        <f>B757*IBGE_2!AF$757/100</f>
        <v>0.7</v>
      </c>
      <c r="AG757" s="142">
        <f>B757*IBGE_2!AG$757/100</f>
        <v>0.59899999999999998</v>
      </c>
      <c r="AH757" s="142">
        <f>B757*IBGE_2!AH$757/100</f>
        <v>0.25700000000000001</v>
      </c>
      <c r="AI757" s="142">
        <f>B757*IBGE_2!AI$757/100</f>
        <v>333</v>
      </c>
      <c r="AJ757" s="142">
        <f>B757*IBGE_2!AJ$757/100</f>
        <v>35.57</v>
      </c>
      <c r="AK757" s="142" t="s">
        <v>3047</v>
      </c>
      <c r="AL757" s="142" t="s">
        <v>3047</v>
      </c>
      <c r="AM757" s="142" t="s">
        <v>3047</v>
      </c>
      <c r="AN757" s="161"/>
    </row>
    <row r="758" spans="1:40">
      <c r="A758" s="143" t="s">
        <v>1818</v>
      </c>
      <c r="B758" s="141">
        <v>100</v>
      </c>
      <c r="C758" s="142">
        <f>B758*IBGE_2!C$758/100</f>
        <v>199</v>
      </c>
      <c r="D758" s="142">
        <f>B758*IBGE_2!D$758/100</f>
        <v>36.119999999999997</v>
      </c>
      <c r="E758" s="142">
        <f>B758*IBGE_2!E$758/100</f>
        <v>5</v>
      </c>
      <c r="F758" s="142">
        <f>B758*IBGE_2!F$758/100</f>
        <v>1.72</v>
      </c>
      <c r="G758" s="142">
        <f>B758*IBGE_2!G$758/100</f>
        <v>2</v>
      </c>
      <c r="H758" s="142">
        <f>B758*IBGE_2!H$758/100</f>
        <v>0.22</v>
      </c>
      <c r="I758" s="142">
        <f>B758*IBGE_2!I$758/100</f>
        <v>0.17</v>
      </c>
      <c r="J758" s="142">
        <f>B758*IBGE_2!J$758/100</f>
        <v>0.02</v>
      </c>
      <c r="K758" s="142">
        <f>B758*IBGE_2!K$758/100</f>
        <v>90</v>
      </c>
      <c r="L758" s="142" t="s">
        <v>3047</v>
      </c>
      <c r="M758" s="142" t="s">
        <v>3047</v>
      </c>
      <c r="N758" s="142">
        <f>B758*IBGE_2!N$758/100</f>
        <v>4</v>
      </c>
      <c r="O758" s="142">
        <f>B758*IBGE_2!O$758/100</f>
        <v>26</v>
      </c>
      <c r="P758" s="142">
        <f>B758*IBGE_2!P$758/100</f>
        <v>1.7999999999999999E-2</v>
      </c>
      <c r="Q758" s="142">
        <f>B758*IBGE_2!Q$758/100</f>
        <v>226</v>
      </c>
      <c r="R758" s="142">
        <f>B758*IBGE_2!R$758/100</f>
        <v>3.32</v>
      </c>
      <c r="S758" s="142">
        <f>B758*IBGE_2!S$758/100</f>
        <v>45</v>
      </c>
      <c r="T758" s="142">
        <f>B758*IBGE_2!T$758/100</f>
        <v>334</v>
      </c>
      <c r="U758" s="142">
        <f>B758*IBGE_2!U$758/100</f>
        <v>0.124</v>
      </c>
      <c r="V758" s="142">
        <f>B758*IBGE_2!V$758/100</f>
        <v>4.5599999999999996</v>
      </c>
      <c r="W758" s="142" t="s">
        <v>3047</v>
      </c>
      <c r="X758" s="142">
        <f>B758*IBGE_2!X$758/100</f>
        <v>7.0000000000000007E-2</v>
      </c>
      <c r="Y758" s="142">
        <f>B758*IBGE_2!Y$758/100</f>
        <v>0.25</v>
      </c>
      <c r="Z758" s="142">
        <f>B758*IBGE_2!Z$758/100</f>
        <v>0.28000000000000003</v>
      </c>
      <c r="AA758" s="142">
        <f>B758*IBGE_2!AA$758/100</f>
        <v>3.81</v>
      </c>
      <c r="AB758" s="142" t="s">
        <v>3047</v>
      </c>
      <c r="AC758" s="142">
        <f>B758*IBGE_2!AC$758/100</f>
        <v>7.76</v>
      </c>
      <c r="AD758" s="142">
        <f>B758*IBGE_2!AD$758/100</f>
        <v>2.7</v>
      </c>
      <c r="AE758" s="142">
        <f>B758*IBGE_2!AE$758/100</f>
        <v>9</v>
      </c>
      <c r="AF758" s="142">
        <f>B758*IBGE_2!AF$758/100</f>
        <v>0.7</v>
      </c>
      <c r="AG758" s="142">
        <f>B758*IBGE_2!AG$758/100</f>
        <v>0.14000000000000001</v>
      </c>
      <c r="AH758" s="142">
        <f>B758*IBGE_2!AH$758/100</f>
        <v>0.22699999999999998</v>
      </c>
      <c r="AI758" s="142">
        <f>B758*IBGE_2!AI$758/100</f>
        <v>333</v>
      </c>
      <c r="AJ758" s="142">
        <f>B758*IBGE_2!AJ$758/100</f>
        <v>33</v>
      </c>
      <c r="AK758" s="142" t="s">
        <v>3047</v>
      </c>
      <c r="AL758" s="142" t="s">
        <v>3047</v>
      </c>
      <c r="AM758" s="142" t="s">
        <v>3047</v>
      </c>
      <c r="AN758" s="161"/>
    </row>
    <row r="759" spans="1:40">
      <c r="A759" s="143" t="s">
        <v>1819</v>
      </c>
      <c r="B759" s="141">
        <v>100</v>
      </c>
      <c r="C759" s="142">
        <f>B759*IBGE_2!C$759/100</f>
        <v>199</v>
      </c>
      <c r="D759" s="142">
        <f>B759*IBGE_2!D$759/100</f>
        <v>36.119999999999997</v>
      </c>
      <c r="E759" s="142">
        <f>B759*IBGE_2!E$759/100</f>
        <v>5</v>
      </c>
      <c r="F759" s="142">
        <f>B759*IBGE_2!F$759/100</f>
        <v>1.72</v>
      </c>
      <c r="G759" s="142">
        <f>B759*IBGE_2!G$759/100</f>
        <v>2</v>
      </c>
      <c r="H759" s="142">
        <f>B759*IBGE_2!H$759/100</f>
        <v>0.22</v>
      </c>
      <c r="I759" s="142">
        <f>B759*IBGE_2!I$759/100</f>
        <v>0.17</v>
      </c>
      <c r="J759" s="142">
        <f>B759*IBGE_2!J$759/100</f>
        <v>0.02</v>
      </c>
      <c r="K759" s="142">
        <f>B759*IBGE_2!K$759/100</f>
        <v>90</v>
      </c>
      <c r="L759" s="142" t="s">
        <v>3047</v>
      </c>
      <c r="M759" s="142" t="s">
        <v>3047</v>
      </c>
      <c r="N759" s="142">
        <f>B759*IBGE_2!N$759/100</f>
        <v>4</v>
      </c>
      <c r="O759" s="142">
        <f>B759*IBGE_2!O$759/100</f>
        <v>26</v>
      </c>
      <c r="P759" s="142">
        <f>B759*IBGE_2!P$759/100</f>
        <v>1.7999999999999999E-2</v>
      </c>
      <c r="Q759" s="142">
        <f>B759*IBGE_2!Q$759/100</f>
        <v>226</v>
      </c>
      <c r="R759" s="142">
        <f>B759*IBGE_2!R$759/100</f>
        <v>3.32</v>
      </c>
      <c r="S759" s="142">
        <f>B759*IBGE_2!S$759/100</f>
        <v>45</v>
      </c>
      <c r="T759" s="142">
        <f>B759*IBGE_2!T$759/100</f>
        <v>334</v>
      </c>
      <c r="U759" s="142">
        <f>B759*IBGE_2!U$759/100</f>
        <v>0.124</v>
      </c>
      <c r="V759" s="142">
        <f>B759*IBGE_2!V$759/100</f>
        <v>4.5599999999999996</v>
      </c>
      <c r="W759" s="142" t="s">
        <v>3047</v>
      </c>
      <c r="X759" s="142">
        <f>B759*IBGE_2!X$759/100</f>
        <v>7.0000000000000007E-2</v>
      </c>
      <c r="Y759" s="142">
        <f>B759*IBGE_2!Y$759/100</f>
        <v>0.25</v>
      </c>
      <c r="Z759" s="142">
        <f>B759*IBGE_2!Z$759/100</f>
        <v>0.28000000000000003</v>
      </c>
      <c r="AA759" s="142">
        <f>B759*IBGE_2!AA$759/100</f>
        <v>3.81</v>
      </c>
      <c r="AB759" s="142" t="s">
        <v>3047</v>
      </c>
      <c r="AC759" s="142">
        <f>B759*IBGE_2!AC$759/100</f>
        <v>7.76</v>
      </c>
      <c r="AD759" s="142">
        <f>B759*IBGE_2!AD$759/100</f>
        <v>2.7</v>
      </c>
      <c r="AE759" s="142">
        <f>B759*IBGE_2!AE$759/100</f>
        <v>9</v>
      </c>
      <c r="AF759" s="142">
        <f>B759*IBGE_2!AF$759/100</f>
        <v>0.7</v>
      </c>
      <c r="AG759" s="142">
        <f>B759*IBGE_2!AG$759/100</f>
        <v>0.14000000000000001</v>
      </c>
      <c r="AH759" s="142">
        <f>B759*IBGE_2!AH$759/100</f>
        <v>0.22699999999999998</v>
      </c>
      <c r="AI759" s="142">
        <f>B759*IBGE_2!AI$759/100</f>
        <v>333</v>
      </c>
      <c r="AJ759" s="142">
        <f>B759*IBGE_2!AJ$759/100</f>
        <v>33</v>
      </c>
      <c r="AK759" s="142" t="s">
        <v>3047</v>
      </c>
      <c r="AL759" s="142" t="s">
        <v>3047</v>
      </c>
      <c r="AM759" s="142" t="s">
        <v>3047</v>
      </c>
      <c r="AN759" s="161"/>
    </row>
    <row r="760" spans="1:40">
      <c r="A760" s="143" t="s">
        <v>1820</v>
      </c>
      <c r="B760" s="141">
        <v>100</v>
      </c>
      <c r="C760" s="142">
        <f>B760*IBGE_2!C$760/100</f>
        <v>199</v>
      </c>
      <c r="D760" s="142">
        <f>B760*IBGE_2!D$760/100</f>
        <v>36.119999999999997</v>
      </c>
      <c r="E760" s="142">
        <f>B760*IBGE_2!E$760/100</f>
        <v>5</v>
      </c>
      <c r="F760" s="142">
        <f>B760*IBGE_2!F$760/100</f>
        <v>1.72</v>
      </c>
      <c r="G760" s="142">
        <f>B760*IBGE_2!G$760/100</f>
        <v>2</v>
      </c>
      <c r="H760" s="142">
        <f>B760*IBGE_2!H$760/100</f>
        <v>0.22</v>
      </c>
      <c r="I760" s="142">
        <f>B760*IBGE_2!I$760/100</f>
        <v>0.17</v>
      </c>
      <c r="J760" s="142">
        <f>B760*IBGE_2!J$760/100</f>
        <v>0.02</v>
      </c>
      <c r="K760" s="142">
        <f>B760*IBGE_2!K$760/100</f>
        <v>90</v>
      </c>
      <c r="L760" s="142" t="s">
        <v>3047</v>
      </c>
      <c r="M760" s="142" t="s">
        <v>3047</v>
      </c>
      <c r="N760" s="142">
        <f>B760*IBGE_2!N$760/100</f>
        <v>4</v>
      </c>
      <c r="O760" s="142">
        <f>B760*IBGE_2!O$760/100</f>
        <v>26</v>
      </c>
      <c r="P760" s="142">
        <f>B760*IBGE_2!P$760/100</f>
        <v>1.7999999999999999E-2</v>
      </c>
      <c r="Q760" s="142">
        <f>B760*IBGE_2!Q$760/100</f>
        <v>226</v>
      </c>
      <c r="R760" s="142">
        <f>B760*IBGE_2!R$760/100</f>
        <v>3.32</v>
      </c>
      <c r="S760" s="142">
        <f>B760*IBGE_2!S$760/100</f>
        <v>45</v>
      </c>
      <c r="T760" s="142">
        <f>B760*IBGE_2!T$760/100</f>
        <v>334</v>
      </c>
      <c r="U760" s="142">
        <f>B760*IBGE_2!U$760/100</f>
        <v>0.124</v>
      </c>
      <c r="V760" s="142">
        <f>B760*IBGE_2!V$760/100</f>
        <v>4.5599999999999996</v>
      </c>
      <c r="W760" s="142" t="s">
        <v>3047</v>
      </c>
      <c r="X760" s="142">
        <f>B760*IBGE_2!X$760/100</f>
        <v>7.0000000000000007E-2</v>
      </c>
      <c r="Y760" s="142">
        <f>B760*IBGE_2!Y$760/100</f>
        <v>0.25</v>
      </c>
      <c r="Z760" s="142">
        <f>B760*IBGE_2!Z$760/100</f>
        <v>0.28000000000000003</v>
      </c>
      <c r="AA760" s="142">
        <f>B760*IBGE_2!AA$760/100</f>
        <v>3.81</v>
      </c>
      <c r="AB760" s="142" t="s">
        <v>3047</v>
      </c>
      <c r="AC760" s="142">
        <f>B760*IBGE_2!AC$760/100</f>
        <v>7.76</v>
      </c>
      <c r="AD760" s="142">
        <f>B760*IBGE_2!AD$760/100</f>
        <v>2.7</v>
      </c>
      <c r="AE760" s="142">
        <f>B760*IBGE_2!AE$760/100</f>
        <v>9</v>
      </c>
      <c r="AF760" s="142">
        <f>B760*IBGE_2!AF$760/100</f>
        <v>0.7</v>
      </c>
      <c r="AG760" s="142">
        <f>B760*IBGE_2!AG$760/100</f>
        <v>0.14000000000000001</v>
      </c>
      <c r="AH760" s="142">
        <f>B760*IBGE_2!AH$760/100</f>
        <v>0.22699999999999998</v>
      </c>
      <c r="AI760" s="142">
        <f>B760*IBGE_2!AI$760/100</f>
        <v>333</v>
      </c>
      <c r="AJ760" s="142">
        <f>B760*IBGE_2!AJ$760/100</f>
        <v>33</v>
      </c>
      <c r="AK760" s="142" t="s">
        <v>3047</v>
      </c>
      <c r="AL760" s="142" t="s">
        <v>3047</v>
      </c>
      <c r="AM760" s="142" t="s">
        <v>3047</v>
      </c>
      <c r="AN760" s="161"/>
    </row>
    <row r="761" spans="1:40">
      <c r="A761" s="143" t="s">
        <v>1821</v>
      </c>
      <c r="B761" s="141">
        <v>100</v>
      </c>
      <c r="C761" s="142">
        <f>B761*IBGE_2!C$761/100</f>
        <v>199</v>
      </c>
      <c r="D761" s="142">
        <f>B761*IBGE_2!D$761/100</f>
        <v>36.119999999999997</v>
      </c>
      <c r="E761" s="142">
        <f>B761*IBGE_2!E$761/100</f>
        <v>5</v>
      </c>
      <c r="F761" s="142">
        <f>B761*IBGE_2!F$761/100</f>
        <v>1.72</v>
      </c>
      <c r="G761" s="142">
        <f>B761*IBGE_2!G$761/100</f>
        <v>2</v>
      </c>
      <c r="H761" s="142">
        <f>B761*IBGE_2!H$761/100</f>
        <v>0.22</v>
      </c>
      <c r="I761" s="142">
        <f>B761*IBGE_2!I$761/100</f>
        <v>0.17</v>
      </c>
      <c r="J761" s="142">
        <f>B761*IBGE_2!J$761/100</f>
        <v>0.02</v>
      </c>
      <c r="K761" s="142">
        <f>B761*IBGE_2!K$761/100</f>
        <v>90</v>
      </c>
      <c r="L761" s="142" t="s">
        <v>3047</v>
      </c>
      <c r="M761" s="142" t="s">
        <v>3047</v>
      </c>
      <c r="N761" s="142">
        <f>B761*IBGE_2!N$761/100</f>
        <v>4</v>
      </c>
      <c r="O761" s="142">
        <f>B761*IBGE_2!O$761/100</f>
        <v>26</v>
      </c>
      <c r="P761" s="142">
        <f>B761*IBGE_2!P$761/100</f>
        <v>1.7999999999999999E-2</v>
      </c>
      <c r="Q761" s="142">
        <f>B761*IBGE_2!Q$761/100</f>
        <v>226</v>
      </c>
      <c r="R761" s="142">
        <f>B761*IBGE_2!R$761/100</f>
        <v>3.32</v>
      </c>
      <c r="S761" s="142">
        <f>B761*IBGE_2!S$761/100</f>
        <v>45</v>
      </c>
      <c r="T761" s="142">
        <f>B761*IBGE_2!T$761/100</f>
        <v>334</v>
      </c>
      <c r="U761" s="142">
        <f>B761*IBGE_2!U$761/100</f>
        <v>0.124</v>
      </c>
      <c r="V761" s="142">
        <f>B761*IBGE_2!V$761/100</f>
        <v>4.5599999999999996</v>
      </c>
      <c r="W761" s="142" t="s">
        <v>3047</v>
      </c>
      <c r="X761" s="142">
        <f>B761*IBGE_2!X$761/100</f>
        <v>7.0000000000000007E-2</v>
      </c>
      <c r="Y761" s="142">
        <f>B761*IBGE_2!Y$761/100</f>
        <v>0.25</v>
      </c>
      <c r="Z761" s="142">
        <f>B761*IBGE_2!Z$761/100</f>
        <v>0.28000000000000003</v>
      </c>
      <c r="AA761" s="142">
        <f>B761*IBGE_2!AA$761/100</f>
        <v>3.81</v>
      </c>
      <c r="AB761" s="142" t="s">
        <v>3047</v>
      </c>
      <c r="AC761" s="142">
        <f>B761*IBGE_2!AC$761/100</f>
        <v>7.76</v>
      </c>
      <c r="AD761" s="142">
        <f>B761*IBGE_2!AD$761/100</f>
        <v>2.7</v>
      </c>
      <c r="AE761" s="142">
        <f>B761*IBGE_2!AE$761/100</f>
        <v>9</v>
      </c>
      <c r="AF761" s="142">
        <f>B761*IBGE_2!AF$761/100</f>
        <v>0.7</v>
      </c>
      <c r="AG761" s="142">
        <f>B761*IBGE_2!AG$761/100</f>
        <v>0.14000000000000001</v>
      </c>
      <c r="AH761" s="142">
        <f>B761*IBGE_2!AH$761/100</f>
        <v>0.22699999999999998</v>
      </c>
      <c r="AI761" s="142">
        <f>B761*IBGE_2!AI$761/100</f>
        <v>333</v>
      </c>
      <c r="AJ761" s="142">
        <f>B761*IBGE_2!AJ$761/100</f>
        <v>33</v>
      </c>
      <c r="AK761" s="142" t="s">
        <v>3047</v>
      </c>
      <c r="AL761" s="142" t="s">
        <v>3047</v>
      </c>
      <c r="AM761" s="142" t="s">
        <v>3047</v>
      </c>
      <c r="AN761" s="161"/>
    </row>
    <row r="762" spans="1:40">
      <c r="A762" s="143" t="s">
        <v>1822</v>
      </c>
      <c r="B762" s="141">
        <v>100</v>
      </c>
      <c r="C762" s="142">
        <f>B762*IBGE_2!C$762/100</f>
        <v>199</v>
      </c>
      <c r="D762" s="142">
        <f>B762*IBGE_2!D$762/100</f>
        <v>36.119999999999997</v>
      </c>
      <c r="E762" s="142">
        <f>B762*IBGE_2!E$762/100</f>
        <v>5</v>
      </c>
      <c r="F762" s="142">
        <f>B762*IBGE_2!F$762/100</f>
        <v>1.72</v>
      </c>
      <c r="G762" s="142">
        <f>B762*IBGE_2!G$762/100</f>
        <v>2</v>
      </c>
      <c r="H762" s="142">
        <f>B762*IBGE_2!H$762/100</f>
        <v>0.22</v>
      </c>
      <c r="I762" s="142">
        <f>B762*IBGE_2!I$762/100</f>
        <v>0.17</v>
      </c>
      <c r="J762" s="142">
        <f>B762*IBGE_2!J$762/100</f>
        <v>0.02</v>
      </c>
      <c r="K762" s="142">
        <f>B762*IBGE_2!K$762/100</f>
        <v>90</v>
      </c>
      <c r="L762" s="142" t="s">
        <v>3047</v>
      </c>
      <c r="M762" s="142" t="s">
        <v>3047</v>
      </c>
      <c r="N762" s="142">
        <f>B762*IBGE_2!N$762/100</f>
        <v>4</v>
      </c>
      <c r="O762" s="142">
        <f>B762*IBGE_2!O$762/100</f>
        <v>26</v>
      </c>
      <c r="P762" s="142">
        <f>B762*IBGE_2!P$762/100</f>
        <v>1.7999999999999999E-2</v>
      </c>
      <c r="Q762" s="142">
        <f>B762*IBGE_2!Q$762/100</f>
        <v>226</v>
      </c>
      <c r="R762" s="142">
        <f>B762*IBGE_2!R$762/100</f>
        <v>3.32</v>
      </c>
      <c r="S762" s="142">
        <f>B762*IBGE_2!S$762/100</f>
        <v>45</v>
      </c>
      <c r="T762" s="142">
        <f>B762*IBGE_2!T$762/100</f>
        <v>334</v>
      </c>
      <c r="U762" s="142">
        <f>B762*IBGE_2!U$762/100</f>
        <v>0.124</v>
      </c>
      <c r="V762" s="142">
        <f>B762*IBGE_2!V$762/100</f>
        <v>4.5599999999999996</v>
      </c>
      <c r="W762" s="142" t="s">
        <v>3047</v>
      </c>
      <c r="X762" s="142">
        <f>B762*IBGE_2!X$762/100</f>
        <v>7.0000000000000007E-2</v>
      </c>
      <c r="Y762" s="142">
        <f>B762*IBGE_2!Y$762/100</f>
        <v>0.25</v>
      </c>
      <c r="Z762" s="142">
        <f>B762*IBGE_2!Z$762/100</f>
        <v>0.28000000000000003</v>
      </c>
      <c r="AA762" s="142">
        <f>B762*IBGE_2!AA$762/100</f>
        <v>3.81</v>
      </c>
      <c r="AB762" s="142" t="s">
        <v>3047</v>
      </c>
      <c r="AC762" s="142">
        <f>B762*IBGE_2!AC$762/100</f>
        <v>7.76</v>
      </c>
      <c r="AD762" s="142">
        <f>B762*IBGE_2!AD$762/100</f>
        <v>2.7</v>
      </c>
      <c r="AE762" s="142">
        <f>B762*IBGE_2!AE$762/100</f>
        <v>9</v>
      </c>
      <c r="AF762" s="142">
        <f>B762*IBGE_2!AF$762/100</f>
        <v>0.7</v>
      </c>
      <c r="AG762" s="142">
        <f>B762*IBGE_2!AG$762/100</f>
        <v>0.14000000000000001</v>
      </c>
      <c r="AH762" s="142">
        <f>B762*IBGE_2!AH$762/100</f>
        <v>0.22699999999999998</v>
      </c>
      <c r="AI762" s="142">
        <f>B762*IBGE_2!AI$762/100</f>
        <v>333</v>
      </c>
      <c r="AJ762" s="142">
        <f>B762*IBGE_2!AJ$762/100</f>
        <v>33</v>
      </c>
      <c r="AK762" s="142" t="s">
        <v>3047</v>
      </c>
      <c r="AL762" s="142" t="s">
        <v>3047</v>
      </c>
      <c r="AM762" s="142" t="s">
        <v>3047</v>
      </c>
      <c r="AN762" s="161"/>
    </row>
    <row r="763" spans="1:40">
      <c r="A763" s="143" t="s">
        <v>1823</v>
      </c>
      <c r="B763" s="141">
        <v>100</v>
      </c>
      <c r="C763" s="142">
        <f>B763*IBGE_2!C$763/100</f>
        <v>248.56700000000001</v>
      </c>
      <c r="D763" s="142">
        <f>B763*IBGE_2!D$763/100</f>
        <v>36.119999999999997</v>
      </c>
      <c r="E763" s="142">
        <f>B763*IBGE_2!E$763/100</f>
        <v>10.606999999999998</v>
      </c>
      <c r="F763" s="142">
        <f>B763*IBGE_2!F$763/100</f>
        <v>2.5980000000000003</v>
      </c>
      <c r="G763" s="142">
        <f>B763*IBGE_2!G$763/100</f>
        <v>3.2769999999999997</v>
      </c>
      <c r="H763" s="142">
        <f>B763*IBGE_2!H$763/100</f>
        <v>3.4580000000000002</v>
      </c>
      <c r="I763" s="142">
        <f>B763*IBGE_2!I$763/100</f>
        <v>3.0269999999999997</v>
      </c>
      <c r="J763" s="142">
        <f>B763*IBGE_2!J$763/100</f>
        <v>0.40100000000000002</v>
      </c>
      <c r="K763" s="142">
        <f>B763*IBGE_2!K$763/100</f>
        <v>90</v>
      </c>
      <c r="L763" s="142" t="s">
        <v>3047</v>
      </c>
      <c r="M763" s="142" t="s">
        <v>3047</v>
      </c>
      <c r="N763" s="142">
        <f>B763*IBGE_2!N$763/100</f>
        <v>4</v>
      </c>
      <c r="O763" s="142">
        <f>B763*IBGE_2!O$763/100</f>
        <v>26</v>
      </c>
      <c r="P763" s="142">
        <f>B763*IBGE_2!P$763/100</f>
        <v>1.7999999999999999E-2</v>
      </c>
      <c r="Q763" s="142">
        <f>B763*IBGE_2!Q$763/100</f>
        <v>226</v>
      </c>
      <c r="R763" s="142">
        <f>B763*IBGE_2!R$763/100</f>
        <v>3.323</v>
      </c>
      <c r="S763" s="142">
        <f>B763*IBGE_2!S$763/100</f>
        <v>45</v>
      </c>
      <c r="T763" s="142">
        <f>B763*IBGE_2!T$763/100</f>
        <v>334</v>
      </c>
      <c r="U763" s="142">
        <f>B763*IBGE_2!U$763/100</f>
        <v>0.124</v>
      </c>
      <c r="V763" s="142">
        <f>B763*IBGE_2!V$763/100</f>
        <v>4.5609999999999999</v>
      </c>
      <c r="W763" s="142" t="s">
        <v>3047</v>
      </c>
      <c r="X763" s="142">
        <f>B763*IBGE_2!X$763/100</f>
        <v>7.0000000000000007E-2</v>
      </c>
      <c r="Y763" s="142">
        <f>B763*IBGE_2!Y$763/100</f>
        <v>0.25</v>
      </c>
      <c r="Z763" s="142">
        <f>B763*IBGE_2!Z$763/100</f>
        <v>0.28000000000000003</v>
      </c>
      <c r="AA763" s="142">
        <f>B763*IBGE_2!AA$763/100</f>
        <v>3.81</v>
      </c>
      <c r="AB763" s="142" t="s">
        <v>3047</v>
      </c>
      <c r="AC763" s="142">
        <f>B763*IBGE_2!AC$763/100</f>
        <v>7.76</v>
      </c>
      <c r="AD763" s="142">
        <f>B763*IBGE_2!AD$763/100</f>
        <v>2.7</v>
      </c>
      <c r="AE763" s="142">
        <f>B763*IBGE_2!AE$763/100</f>
        <v>9</v>
      </c>
      <c r="AF763" s="142">
        <f>B763*IBGE_2!AF$763/100</f>
        <v>0.7</v>
      </c>
      <c r="AG763" s="142">
        <f>B763*IBGE_2!AG$763/100</f>
        <v>0.59899999999999998</v>
      </c>
      <c r="AH763" s="142">
        <f>B763*IBGE_2!AH$763/100</f>
        <v>0.25700000000000001</v>
      </c>
      <c r="AI763" s="142">
        <f>B763*IBGE_2!AI$763/100</f>
        <v>333</v>
      </c>
      <c r="AJ763" s="142">
        <f>B763*IBGE_2!AJ$763/100</f>
        <v>35.57</v>
      </c>
      <c r="AK763" s="142" t="s">
        <v>3047</v>
      </c>
      <c r="AL763" s="142" t="s">
        <v>3047</v>
      </c>
      <c r="AM763" s="142" t="s">
        <v>3047</v>
      </c>
      <c r="AN763" s="161"/>
    </row>
    <row r="764" spans="1:40">
      <c r="A764" s="143" t="s">
        <v>1824</v>
      </c>
      <c r="B764" s="141">
        <v>100</v>
      </c>
      <c r="C764" s="142">
        <f>B764*IBGE_2!C$764/100</f>
        <v>248.56700000000001</v>
      </c>
      <c r="D764" s="142">
        <f>B764*IBGE_2!D$764/100</f>
        <v>36.119999999999997</v>
      </c>
      <c r="E764" s="142">
        <f>B764*IBGE_2!E$764/100</f>
        <v>10.606999999999998</v>
      </c>
      <c r="F764" s="142">
        <f>B764*IBGE_2!F$764/100</f>
        <v>2.5980000000000003</v>
      </c>
      <c r="G764" s="142">
        <f>B764*IBGE_2!G$764/100</f>
        <v>3.2769999999999997</v>
      </c>
      <c r="H764" s="142">
        <f>B764*IBGE_2!H$764/100</f>
        <v>3.4580000000000002</v>
      </c>
      <c r="I764" s="142">
        <f>B764*IBGE_2!I$764/100</f>
        <v>3.0269999999999997</v>
      </c>
      <c r="J764" s="142">
        <f>B764*IBGE_2!J$764/100</f>
        <v>0.40100000000000002</v>
      </c>
      <c r="K764" s="142">
        <f>B764*IBGE_2!K$764/100</f>
        <v>90</v>
      </c>
      <c r="L764" s="142" t="s">
        <v>3047</v>
      </c>
      <c r="M764" s="142" t="s">
        <v>3047</v>
      </c>
      <c r="N764" s="142">
        <f>B764*IBGE_2!N$764/100</f>
        <v>4</v>
      </c>
      <c r="O764" s="142">
        <f>B764*IBGE_2!O$764/100</f>
        <v>26</v>
      </c>
      <c r="P764" s="142">
        <f>B764*IBGE_2!P$764/100</f>
        <v>1.7999999999999999E-2</v>
      </c>
      <c r="Q764" s="142">
        <f>B764*IBGE_2!Q$764/100</f>
        <v>226</v>
      </c>
      <c r="R764" s="142">
        <f>B764*IBGE_2!R$764/100</f>
        <v>3.323</v>
      </c>
      <c r="S764" s="142">
        <f>B764*IBGE_2!S$764/100</f>
        <v>45</v>
      </c>
      <c r="T764" s="142">
        <f>B764*IBGE_2!T$764/100</f>
        <v>334</v>
      </c>
      <c r="U764" s="142">
        <f>B764*IBGE_2!U$764/100</f>
        <v>0.124</v>
      </c>
      <c r="V764" s="142">
        <f>B764*IBGE_2!V$764/100</f>
        <v>4.5609999999999999</v>
      </c>
      <c r="W764" s="142" t="s">
        <v>3047</v>
      </c>
      <c r="X764" s="142">
        <f>B764*IBGE_2!X$764/100</f>
        <v>7.0000000000000007E-2</v>
      </c>
      <c r="Y764" s="142">
        <f>B764*IBGE_2!Y$764/100</f>
        <v>0.25</v>
      </c>
      <c r="Z764" s="142">
        <f>B764*IBGE_2!Z$764/100</f>
        <v>0.28000000000000003</v>
      </c>
      <c r="AA764" s="142">
        <f>B764*IBGE_2!AA$764/100</f>
        <v>3.81</v>
      </c>
      <c r="AB764" s="142" t="s">
        <v>3047</v>
      </c>
      <c r="AC764" s="142">
        <f>B764*IBGE_2!AC$764/100</f>
        <v>7.76</v>
      </c>
      <c r="AD764" s="142">
        <f>B764*IBGE_2!AD$764/100</f>
        <v>2.7</v>
      </c>
      <c r="AE764" s="142">
        <f>B764*IBGE_2!AE$764/100</f>
        <v>9</v>
      </c>
      <c r="AF764" s="142">
        <f>B764*IBGE_2!AF$764/100</f>
        <v>0.7</v>
      </c>
      <c r="AG764" s="142">
        <f>B764*IBGE_2!AG$764/100</f>
        <v>0.59899999999999998</v>
      </c>
      <c r="AH764" s="142">
        <f>B764*IBGE_2!AH$764/100</f>
        <v>0.25700000000000001</v>
      </c>
      <c r="AI764" s="142">
        <f>B764*IBGE_2!AI$764/100</f>
        <v>333</v>
      </c>
      <c r="AJ764" s="142">
        <f>B764*IBGE_2!AJ$764/100</f>
        <v>35.57</v>
      </c>
      <c r="AK764" s="142" t="s">
        <v>3047</v>
      </c>
      <c r="AL764" s="142" t="s">
        <v>3047</v>
      </c>
      <c r="AM764" s="142" t="s">
        <v>3047</v>
      </c>
      <c r="AN764" s="161"/>
    </row>
    <row r="765" spans="1:40">
      <c r="A765" s="143" t="s">
        <v>1825</v>
      </c>
      <c r="B765" s="141">
        <v>100</v>
      </c>
      <c r="C765" s="142">
        <f>B765*IBGE_2!C$765/100</f>
        <v>199</v>
      </c>
      <c r="D765" s="142">
        <f>B765*IBGE_2!D$765/100</f>
        <v>36.119999999999997</v>
      </c>
      <c r="E765" s="142">
        <f>B765*IBGE_2!E$765/100</f>
        <v>5</v>
      </c>
      <c r="F765" s="142">
        <f>B765*IBGE_2!F$765/100</f>
        <v>1.72</v>
      </c>
      <c r="G765" s="142">
        <f>B765*IBGE_2!G$765/100</f>
        <v>2</v>
      </c>
      <c r="H765" s="142">
        <f>B765*IBGE_2!H$765/100</f>
        <v>0.22</v>
      </c>
      <c r="I765" s="142">
        <f>B765*IBGE_2!I$765/100</f>
        <v>0.17</v>
      </c>
      <c r="J765" s="142">
        <f>B765*IBGE_2!J$765/100</f>
        <v>0.02</v>
      </c>
      <c r="K765" s="142">
        <f>B765*IBGE_2!K$765/100</f>
        <v>90</v>
      </c>
      <c r="L765" s="142" t="s">
        <v>3047</v>
      </c>
      <c r="M765" s="142" t="s">
        <v>3047</v>
      </c>
      <c r="N765" s="142">
        <f>B765*IBGE_2!N$765/100</f>
        <v>4</v>
      </c>
      <c r="O765" s="142">
        <f>B765*IBGE_2!O$765/100</f>
        <v>26</v>
      </c>
      <c r="P765" s="142">
        <f>B765*IBGE_2!P$765/100</f>
        <v>1.7999999999999999E-2</v>
      </c>
      <c r="Q765" s="142">
        <f>B765*IBGE_2!Q$765/100</f>
        <v>226</v>
      </c>
      <c r="R765" s="142">
        <f>B765*IBGE_2!R$765/100</f>
        <v>3.32</v>
      </c>
      <c r="S765" s="142">
        <f>B765*IBGE_2!S$765/100</f>
        <v>45</v>
      </c>
      <c r="T765" s="142">
        <f>B765*IBGE_2!T$765/100</f>
        <v>334</v>
      </c>
      <c r="U765" s="142">
        <f>B765*IBGE_2!U$765/100</f>
        <v>0.124</v>
      </c>
      <c r="V765" s="142">
        <f>B765*IBGE_2!V$765/100</f>
        <v>4.5599999999999996</v>
      </c>
      <c r="W765" s="142" t="s">
        <v>3047</v>
      </c>
      <c r="X765" s="142">
        <f>B765*IBGE_2!X$765/100</f>
        <v>7.0000000000000007E-2</v>
      </c>
      <c r="Y765" s="142">
        <f>B765*IBGE_2!Y$765/100</f>
        <v>0.25</v>
      </c>
      <c r="Z765" s="142">
        <f>B765*IBGE_2!Z$765/100</f>
        <v>0.28000000000000003</v>
      </c>
      <c r="AA765" s="142">
        <f>B765*IBGE_2!AA$765/100</f>
        <v>3.81</v>
      </c>
      <c r="AB765" s="142" t="s">
        <v>3047</v>
      </c>
      <c r="AC765" s="142">
        <f>B765*IBGE_2!AC$765/100</f>
        <v>7.76</v>
      </c>
      <c r="AD765" s="142">
        <f>B765*IBGE_2!AD$765/100</f>
        <v>2.7</v>
      </c>
      <c r="AE765" s="142">
        <f>B765*IBGE_2!AE$765/100</f>
        <v>9</v>
      </c>
      <c r="AF765" s="142">
        <f>B765*IBGE_2!AF$765/100</f>
        <v>0.7</v>
      </c>
      <c r="AG765" s="142">
        <f>B765*IBGE_2!AG$765/100</f>
        <v>0.14000000000000001</v>
      </c>
      <c r="AH765" s="142">
        <f>B765*IBGE_2!AH$765/100</f>
        <v>0.22699999999999998</v>
      </c>
      <c r="AI765" s="142">
        <f>B765*IBGE_2!AI$765/100</f>
        <v>333</v>
      </c>
      <c r="AJ765" s="142">
        <f>B765*IBGE_2!AJ$765/100</f>
        <v>33</v>
      </c>
      <c r="AK765" s="142" t="s">
        <v>3047</v>
      </c>
      <c r="AL765" s="142" t="s">
        <v>3047</v>
      </c>
      <c r="AM765" s="142" t="s">
        <v>3047</v>
      </c>
      <c r="AN765" s="161"/>
    </row>
    <row r="766" spans="1:40">
      <c r="A766" s="143" t="s">
        <v>1826</v>
      </c>
      <c r="B766" s="141">
        <v>100</v>
      </c>
      <c r="C766" s="142">
        <f>B766*IBGE_2!C$766/100</f>
        <v>242</v>
      </c>
      <c r="D766" s="142">
        <f>B766*IBGE_2!D$766/100</f>
        <v>24.22</v>
      </c>
      <c r="E766" s="142">
        <f>B766*IBGE_2!E$766/100</f>
        <v>15.42</v>
      </c>
      <c r="F766" s="142">
        <f>B766*IBGE_2!F$766/100</f>
        <v>5.7380000000000004</v>
      </c>
      <c r="G766" s="142">
        <f>B766*IBGE_2!G$766/100</f>
        <v>7.0019999999999989</v>
      </c>
      <c r="H766" s="142">
        <f>B766*IBGE_2!H$766/100</f>
        <v>0.61299999999999999</v>
      </c>
      <c r="I766" s="142">
        <f>B766*IBGE_2!I$766/100</f>
        <v>0.41600000000000004</v>
      </c>
      <c r="J766" s="142">
        <f>B766*IBGE_2!J$766/100</f>
        <v>0.16400000000000003</v>
      </c>
      <c r="K766" s="142">
        <f>B766*IBGE_2!K$766/100</f>
        <v>75</v>
      </c>
      <c r="L766" s="142" t="s">
        <v>3047</v>
      </c>
      <c r="M766" s="142" t="s">
        <v>3047</v>
      </c>
      <c r="N766" s="142">
        <f>B766*IBGE_2!N$766/100</f>
        <v>8</v>
      </c>
      <c r="O766" s="142">
        <f>B766*IBGE_2!O$766/100</f>
        <v>20</v>
      </c>
      <c r="P766" s="142">
        <f>B766*IBGE_2!P$766/100</f>
        <v>1E-3</v>
      </c>
      <c r="Q766" s="142">
        <f>B766*IBGE_2!Q$766/100</f>
        <v>196</v>
      </c>
      <c r="R766" s="142">
        <f>B766*IBGE_2!R$766/100</f>
        <v>2.81</v>
      </c>
      <c r="S766" s="142">
        <f>B766*IBGE_2!S$766/100</f>
        <v>67</v>
      </c>
      <c r="T766" s="142">
        <f>B766*IBGE_2!T$766/100</f>
        <v>337</v>
      </c>
      <c r="U766" s="142">
        <f>B766*IBGE_2!U$766/100</f>
        <v>9.3000000000000013E-2</v>
      </c>
      <c r="V766" s="142">
        <f>B766*IBGE_2!V$766/100</f>
        <v>5.71</v>
      </c>
      <c r="W766" s="142" t="s">
        <v>3047</v>
      </c>
      <c r="X766" s="142">
        <f>B766*IBGE_2!X$766/100</f>
        <v>8.1000000000000003E-2</v>
      </c>
      <c r="Y766" s="142">
        <f>B766*IBGE_2!Y$766/100</f>
        <v>0.22600000000000001</v>
      </c>
      <c r="Z766" s="142">
        <f>B766*IBGE_2!Z$766/100</f>
        <v>0.255</v>
      </c>
      <c r="AA766" s="142">
        <f>B766*IBGE_2!AA$766/100</f>
        <v>3.2069999999999999</v>
      </c>
      <c r="AB766" s="142" t="s">
        <v>3047</v>
      </c>
      <c r="AC766" s="142">
        <f>B766*IBGE_2!AC$766/100</f>
        <v>7.5739999999999998</v>
      </c>
      <c r="AD766" s="142">
        <f>B766*IBGE_2!AD$766/100</f>
        <v>2.83</v>
      </c>
      <c r="AE766" s="142">
        <f>B766*IBGE_2!AE$766/100</f>
        <v>9</v>
      </c>
      <c r="AF766" s="142">
        <f>B766*IBGE_2!AF$766/100</f>
        <v>0.7</v>
      </c>
      <c r="AG766" s="142">
        <f>B766*IBGE_2!AG$766/100</f>
        <v>0.14000000000000001</v>
      </c>
      <c r="AH766" s="142">
        <f>B766*IBGE_2!AH$766/100</f>
        <v>0.68</v>
      </c>
      <c r="AI766" s="142">
        <f>B766*IBGE_2!AI$766/100</f>
        <v>333</v>
      </c>
      <c r="AJ766" s="142">
        <f>B766*IBGE_2!AJ$766/100</f>
        <v>28.3</v>
      </c>
      <c r="AK766" s="142" t="s">
        <v>3047</v>
      </c>
      <c r="AL766" s="142" t="s">
        <v>3047</v>
      </c>
      <c r="AM766" s="142" t="s">
        <v>3047</v>
      </c>
      <c r="AN766" s="161"/>
    </row>
    <row r="767" spans="1:40">
      <c r="A767" s="143" t="s">
        <v>1827</v>
      </c>
      <c r="B767" s="141">
        <v>100</v>
      </c>
      <c r="C767" s="142">
        <f>B767*IBGE_2!C$767/100</f>
        <v>242</v>
      </c>
      <c r="D767" s="142">
        <f>B767*IBGE_2!D$767/100</f>
        <v>24.22</v>
      </c>
      <c r="E767" s="142">
        <f>B767*IBGE_2!E$767/100</f>
        <v>15.42</v>
      </c>
      <c r="F767" s="142">
        <f>B767*IBGE_2!F$767/100</f>
        <v>5.7380000000000004</v>
      </c>
      <c r="G767" s="142">
        <f>B767*IBGE_2!G$767/100</f>
        <v>7.0019999999999989</v>
      </c>
      <c r="H767" s="142">
        <f>B767*IBGE_2!H$767/100</f>
        <v>0.61299999999999999</v>
      </c>
      <c r="I767" s="142">
        <f>B767*IBGE_2!I$767/100</f>
        <v>0.41600000000000004</v>
      </c>
      <c r="J767" s="142">
        <f>B767*IBGE_2!J$767/100</f>
        <v>0.16400000000000003</v>
      </c>
      <c r="K767" s="142">
        <f>B767*IBGE_2!K$767/100</f>
        <v>75</v>
      </c>
      <c r="L767" s="142" t="s">
        <v>3047</v>
      </c>
      <c r="M767" s="142" t="s">
        <v>3047</v>
      </c>
      <c r="N767" s="142">
        <f>B767*IBGE_2!N$767/100</f>
        <v>8</v>
      </c>
      <c r="O767" s="142">
        <f>B767*IBGE_2!O$767/100</f>
        <v>20</v>
      </c>
      <c r="P767" s="142">
        <f>B767*IBGE_2!P$767/100</f>
        <v>1E-3</v>
      </c>
      <c r="Q767" s="142">
        <f>B767*IBGE_2!Q$767/100</f>
        <v>196</v>
      </c>
      <c r="R767" s="142">
        <f>B767*IBGE_2!R$767/100</f>
        <v>2.81</v>
      </c>
      <c r="S767" s="142">
        <f>B767*IBGE_2!S$767/100</f>
        <v>67</v>
      </c>
      <c r="T767" s="142">
        <f>B767*IBGE_2!T$767/100</f>
        <v>337</v>
      </c>
      <c r="U767" s="142">
        <f>B767*IBGE_2!U$767/100</f>
        <v>9.3000000000000013E-2</v>
      </c>
      <c r="V767" s="142">
        <f>B767*IBGE_2!V$767/100</f>
        <v>5.71</v>
      </c>
      <c r="W767" s="142" t="s">
        <v>3047</v>
      </c>
      <c r="X767" s="142">
        <f>B767*IBGE_2!X$767/100</f>
        <v>8.1000000000000003E-2</v>
      </c>
      <c r="Y767" s="142">
        <f>B767*IBGE_2!Y$767/100</f>
        <v>0.22600000000000001</v>
      </c>
      <c r="Z767" s="142">
        <f>B767*IBGE_2!Z$767/100</f>
        <v>0.255</v>
      </c>
      <c r="AA767" s="142">
        <f>B767*IBGE_2!AA$767/100</f>
        <v>3.2069999999999999</v>
      </c>
      <c r="AB767" s="142" t="s">
        <v>3047</v>
      </c>
      <c r="AC767" s="142">
        <f>B767*IBGE_2!AC$767/100</f>
        <v>7.5739999999999998</v>
      </c>
      <c r="AD767" s="142">
        <f>B767*IBGE_2!AD$767/100</f>
        <v>2.83</v>
      </c>
      <c r="AE767" s="142">
        <f>B767*IBGE_2!AE$767/100</f>
        <v>9</v>
      </c>
      <c r="AF767" s="142">
        <f>B767*IBGE_2!AF$767/100</f>
        <v>0.7</v>
      </c>
      <c r="AG767" s="142">
        <f>B767*IBGE_2!AG$767/100</f>
        <v>0.14000000000000001</v>
      </c>
      <c r="AH767" s="142">
        <f>B767*IBGE_2!AH$767/100</f>
        <v>0.68</v>
      </c>
      <c r="AI767" s="142">
        <f>B767*IBGE_2!AI$767/100</f>
        <v>333</v>
      </c>
      <c r="AJ767" s="142">
        <f>B767*IBGE_2!AJ$767/100</f>
        <v>28.3</v>
      </c>
      <c r="AK767" s="142" t="s">
        <v>3047</v>
      </c>
      <c r="AL767" s="142" t="s">
        <v>3047</v>
      </c>
      <c r="AM767" s="142" t="s">
        <v>3047</v>
      </c>
      <c r="AN767" s="161"/>
    </row>
    <row r="768" spans="1:40">
      <c r="A768" s="143" t="s">
        <v>1828</v>
      </c>
      <c r="B768" s="141">
        <v>100</v>
      </c>
      <c r="C768" s="142">
        <f>B768*IBGE_2!C$768/100</f>
        <v>264.65899999999999</v>
      </c>
      <c r="D768" s="142">
        <f>B768*IBGE_2!D$768/100</f>
        <v>24.22</v>
      </c>
      <c r="E768" s="142">
        <f>B768*IBGE_2!E$768/100</f>
        <v>17.983000000000001</v>
      </c>
      <c r="F768" s="142">
        <f>B768*IBGE_2!F$768/100</f>
        <v>6.1389999999999993</v>
      </c>
      <c r="G768" s="142">
        <f>B768*IBGE_2!G$768/100</f>
        <v>7.5860000000000003</v>
      </c>
      <c r="H768" s="142">
        <f>B768*IBGE_2!H$768/100</f>
        <v>2.093</v>
      </c>
      <c r="I768" s="142">
        <f>B768*IBGE_2!I$768/100</f>
        <v>1.722</v>
      </c>
      <c r="J768" s="142">
        <f>B768*IBGE_2!J$768/100</f>
        <v>0.33800000000000002</v>
      </c>
      <c r="K768" s="142">
        <f>B768*IBGE_2!K$768/100</f>
        <v>75</v>
      </c>
      <c r="L768" s="142" t="s">
        <v>3047</v>
      </c>
      <c r="M768" s="142" t="s">
        <v>3047</v>
      </c>
      <c r="N768" s="142">
        <f>B768*IBGE_2!N$768/100</f>
        <v>8</v>
      </c>
      <c r="O768" s="142">
        <f>B768*IBGE_2!O$768/100</f>
        <v>20</v>
      </c>
      <c r="P768" s="142">
        <f>B768*IBGE_2!P$768/100</f>
        <v>1E-3</v>
      </c>
      <c r="Q768" s="142">
        <f>B768*IBGE_2!Q$768/100</f>
        <v>196</v>
      </c>
      <c r="R768" s="142">
        <f>B768*IBGE_2!R$768/100</f>
        <v>2.8110000000000004</v>
      </c>
      <c r="S768" s="142">
        <f>B768*IBGE_2!S$768/100</f>
        <v>67</v>
      </c>
      <c r="T768" s="142">
        <f>B768*IBGE_2!T$768/100</f>
        <v>337</v>
      </c>
      <c r="U768" s="142">
        <f>B768*IBGE_2!U$768/100</f>
        <v>9.3000000000000013E-2</v>
      </c>
      <c r="V768" s="142">
        <f>B768*IBGE_2!V$768/100</f>
        <v>5.71</v>
      </c>
      <c r="W768" s="142" t="s">
        <v>3047</v>
      </c>
      <c r="X768" s="142">
        <f>B768*IBGE_2!X$768/100</f>
        <v>8.1000000000000003E-2</v>
      </c>
      <c r="Y768" s="142">
        <f>B768*IBGE_2!Y$768/100</f>
        <v>0.22600000000000001</v>
      </c>
      <c r="Z768" s="142">
        <f>B768*IBGE_2!Z$768/100</f>
        <v>0.255</v>
      </c>
      <c r="AA768" s="142">
        <f>B768*IBGE_2!AA$768/100</f>
        <v>3.2069999999999999</v>
      </c>
      <c r="AB768" s="142" t="s">
        <v>3047</v>
      </c>
      <c r="AC768" s="142">
        <f>B768*IBGE_2!AC$768/100</f>
        <v>7.5739999999999998</v>
      </c>
      <c r="AD768" s="142">
        <f>B768*IBGE_2!AD$768/100</f>
        <v>2.83</v>
      </c>
      <c r="AE768" s="142">
        <f>B768*IBGE_2!AE$768/100</f>
        <v>9</v>
      </c>
      <c r="AF768" s="142">
        <f>B768*IBGE_2!AF$768/100</f>
        <v>0.7</v>
      </c>
      <c r="AG768" s="142">
        <f>B768*IBGE_2!AG$768/100</f>
        <v>0.35</v>
      </c>
      <c r="AH768" s="142">
        <f>B768*IBGE_2!AH$768/100</f>
        <v>0.69399999999999995</v>
      </c>
      <c r="AI768" s="142">
        <f>B768*IBGE_2!AI$768/100</f>
        <v>333</v>
      </c>
      <c r="AJ768" s="142">
        <f>B768*IBGE_2!AJ$768/100</f>
        <v>29.475000000000001</v>
      </c>
      <c r="AK768" s="142" t="s">
        <v>3047</v>
      </c>
      <c r="AL768" s="142" t="s">
        <v>3047</v>
      </c>
      <c r="AM768" s="142" t="s">
        <v>3047</v>
      </c>
      <c r="AN768" s="161"/>
    </row>
    <row r="769" spans="1:40">
      <c r="A769" s="143" t="s">
        <v>1829</v>
      </c>
      <c r="B769" s="141">
        <v>100</v>
      </c>
      <c r="C769" s="142">
        <f>B769*IBGE_2!C$769/100</f>
        <v>280.83699999999999</v>
      </c>
      <c r="D769" s="142">
        <f>B769*IBGE_2!D$769/100</f>
        <v>24.678999999999995</v>
      </c>
      <c r="E769" s="142">
        <f>B769*IBGE_2!E$769/100</f>
        <v>18.027000000000001</v>
      </c>
      <c r="F769" s="142">
        <f>B769*IBGE_2!F$769/100</f>
        <v>6.1459999999999999</v>
      </c>
      <c r="G769" s="142">
        <f>B769*IBGE_2!G$769/100</f>
        <v>7.59</v>
      </c>
      <c r="H769" s="142">
        <f>B769*IBGE_2!H$769/100</f>
        <v>2.1110000000000002</v>
      </c>
      <c r="I769" s="142">
        <f>B769*IBGE_2!I$769/100</f>
        <v>1.7390000000000001</v>
      </c>
      <c r="J769" s="142">
        <f>B769*IBGE_2!J$769/100</f>
        <v>0.33900000000000008</v>
      </c>
      <c r="K769" s="142">
        <f>B769*IBGE_2!K$769/100</f>
        <v>75</v>
      </c>
      <c r="L769" s="142">
        <f>B769*IBGE_2!L$769/100</f>
        <v>3.3919999999999999</v>
      </c>
      <c r="M769" s="142">
        <f>B769*IBGE_2!M$769/100</f>
        <v>0.13500000000000001</v>
      </c>
      <c r="N769" s="142">
        <f>B769*IBGE_2!N$769/100</f>
        <v>8.6669999999999998</v>
      </c>
      <c r="O769" s="142">
        <f>B769*IBGE_2!O$769/100</f>
        <v>20.978000000000002</v>
      </c>
      <c r="P769" s="142">
        <f>B769*IBGE_2!P$769/100</f>
        <v>3.1E-2</v>
      </c>
      <c r="Q769" s="142">
        <f>B769*IBGE_2!Q$769/100</f>
        <v>200.8</v>
      </c>
      <c r="R769" s="142">
        <f>B769*IBGE_2!R$769/100</f>
        <v>3.0179999999999993</v>
      </c>
      <c r="S769" s="142">
        <f>B769*IBGE_2!S$769/100</f>
        <v>67.088999999999999</v>
      </c>
      <c r="T769" s="142">
        <f>B769*IBGE_2!T$769/100</f>
        <v>341.75599999999997</v>
      </c>
      <c r="U769" s="142">
        <f>B769*IBGE_2!U$769/100</f>
        <v>9.9000000000000005E-2</v>
      </c>
      <c r="V769" s="142">
        <f>B769*IBGE_2!V$769/100</f>
        <v>5.7409999999999988</v>
      </c>
      <c r="W769" s="142" t="s">
        <v>3047</v>
      </c>
      <c r="X769" s="142">
        <f>B769*IBGE_2!X$769/100</f>
        <v>0.11600000000000002</v>
      </c>
      <c r="Y769" s="142">
        <f>B769*IBGE_2!Y$769/100</f>
        <v>0.248</v>
      </c>
      <c r="Z769" s="142">
        <f>B769*IBGE_2!Z$769/100</f>
        <v>0.25700000000000001</v>
      </c>
      <c r="AA769" s="142">
        <f>B769*IBGE_2!AA$769/100</f>
        <v>3.4689999999999999</v>
      </c>
      <c r="AB769" s="142" t="s">
        <v>3047</v>
      </c>
      <c r="AC769" s="142">
        <f>B769*IBGE_2!AC$769/100</f>
        <v>7.93</v>
      </c>
      <c r="AD769" s="142">
        <f>B769*IBGE_2!AD$769/100</f>
        <v>2.83</v>
      </c>
      <c r="AE769" s="142">
        <f>B769*IBGE_2!AE$769/100</f>
        <v>18.067</v>
      </c>
      <c r="AF769" s="142">
        <f>B769*IBGE_2!AF$769/100</f>
        <v>0.7</v>
      </c>
      <c r="AG769" s="142">
        <f>B769*IBGE_2!AG$769/100</f>
        <v>0.35199999999999998</v>
      </c>
      <c r="AH769" s="142">
        <f>B769*IBGE_2!AH$769/100</f>
        <v>0.69399999999999995</v>
      </c>
      <c r="AI769" s="142">
        <f>B769*IBGE_2!AI$769/100</f>
        <v>333</v>
      </c>
      <c r="AJ769" s="142">
        <f>B769*IBGE_2!AJ$769/100</f>
        <v>30.981000000000005</v>
      </c>
      <c r="AK769" s="142" t="s">
        <v>3047</v>
      </c>
      <c r="AL769" s="142">
        <f>B769*IBGE_2!AL$769/100</f>
        <v>1.4000000000000002E-2</v>
      </c>
      <c r="AM769" s="142" t="s">
        <v>3047</v>
      </c>
      <c r="AN769" s="161"/>
    </row>
    <row r="770" spans="1:40">
      <c r="A770" s="143" t="s">
        <v>1830</v>
      </c>
      <c r="B770" s="141">
        <v>100</v>
      </c>
      <c r="C770" s="142">
        <f>B770*IBGE_2!C$770/100</f>
        <v>264.65899999999999</v>
      </c>
      <c r="D770" s="142">
        <f>B770*IBGE_2!D$770/100</f>
        <v>24.22</v>
      </c>
      <c r="E770" s="142">
        <f>B770*IBGE_2!E$770/100</f>
        <v>17.983000000000001</v>
      </c>
      <c r="F770" s="142">
        <f>B770*IBGE_2!F$770/100</f>
        <v>6.1389999999999993</v>
      </c>
      <c r="G770" s="142">
        <f>B770*IBGE_2!G$770/100</f>
        <v>7.5860000000000003</v>
      </c>
      <c r="H770" s="142">
        <f>B770*IBGE_2!H$770/100</f>
        <v>2.093</v>
      </c>
      <c r="I770" s="142">
        <f>B770*IBGE_2!I$770/100</f>
        <v>1.722</v>
      </c>
      <c r="J770" s="142">
        <f>B770*IBGE_2!J$770/100</f>
        <v>0.33800000000000002</v>
      </c>
      <c r="K770" s="142">
        <f>B770*IBGE_2!K$770/100</f>
        <v>75</v>
      </c>
      <c r="L770" s="142" t="s">
        <v>3047</v>
      </c>
      <c r="M770" s="142" t="s">
        <v>3047</v>
      </c>
      <c r="N770" s="142">
        <f>B770*IBGE_2!N$770/100</f>
        <v>8</v>
      </c>
      <c r="O770" s="142">
        <f>B770*IBGE_2!O$770/100</f>
        <v>20</v>
      </c>
      <c r="P770" s="142">
        <f>B770*IBGE_2!P$770/100</f>
        <v>1E-3</v>
      </c>
      <c r="Q770" s="142">
        <f>B770*IBGE_2!Q$770/100</f>
        <v>196</v>
      </c>
      <c r="R770" s="142">
        <f>B770*IBGE_2!R$770/100</f>
        <v>2.8110000000000004</v>
      </c>
      <c r="S770" s="142">
        <f>B770*IBGE_2!S$770/100</f>
        <v>67</v>
      </c>
      <c r="T770" s="142">
        <f>B770*IBGE_2!T$770/100</f>
        <v>337</v>
      </c>
      <c r="U770" s="142">
        <f>B770*IBGE_2!U$770/100</f>
        <v>9.3000000000000013E-2</v>
      </c>
      <c r="V770" s="142">
        <f>B770*IBGE_2!V$770/100</f>
        <v>5.71</v>
      </c>
      <c r="W770" s="142" t="s">
        <v>3047</v>
      </c>
      <c r="X770" s="142">
        <f>B770*IBGE_2!X$770/100</f>
        <v>8.1000000000000003E-2</v>
      </c>
      <c r="Y770" s="142">
        <f>B770*IBGE_2!Y$770/100</f>
        <v>0.22600000000000001</v>
      </c>
      <c r="Z770" s="142">
        <f>B770*IBGE_2!Z$770/100</f>
        <v>0.255</v>
      </c>
      <c r="AA770" s="142">
        <f>B770*IBGE_2!AA$770/100</f>
        <v>3.2069999999999999</v>
      </c>
      <c r="AB770" s="142" t="s">
        <v>3047</v>
      </c>
      <c r="AC770" s="142">
        <f>B770*IBGE_2!AC$770/100</f>
        <v>7.5739999999999998</v>
      </c>
      <c r="AD770" s="142">
        <f>B770*IBGE_2!AD$770/100</f>
        <v>2.83</v>
      </c>
      <c r="AE770" s="142">
        <f>B770*IBGE_2!AE$770/100</f>
        <v>9</v>
      </c>
      <c r="AF770" s="142">
        <f>B770*IBGE_2!AF$770/100</f>
        <v>0.7</v>
      </c>
      <c r="AG770" s="142">
        <f>B770*IBGE_2!AG$770/100</f>
        <v>0.35</v>
      </c>
      <c r="AH770" s="142">
        <f>B770*IBGE_2!AH$770/100</f>
        <v>0.69399999999999995</v>
      </c>
      <c r="AI770" s="142">
        <f>B770*IBGE_2!AI$770/100</f>
        <v>333</v>
      </c>
      <c r="AJ770" s="142">
        <f>B770*IBGE_2!AJ$770/100</f>
        <v>29.475000000000001</v>
      </c>
      <c r="AK770" s="142" t="s">
        <v>3047</v>
      </c>
      <c r="AL770" s="142" t="s">
        <v>3047</v>
      </c>
      <c r="AM770" s="142" t="s">
        <v>3047</v>
      </c>
      <c r="AN770" s="161"/>
    </row>
    <row r="771" spans="1:40">
      <c r="A771" s="143" t="s">
        <v>1831</v>
      </c>
      <c r="B771" s="141">
        <v>100</v>
      </c>
      <c r="C771" s="142">
        <f>B771*IBGE_2!C$771/100</f>
        <v>264.65899999999999</v>
      </c>
      <c r="D771" s="142">
        <f>B771*IBGE_2!D$771/100</f>
        <v>24.22</v>
      </c>
      <c r="E771" s="142">
        <f>B771*IBGE_2!E$771/100</f>
        <v>17.983000000000001</v>
      </c>
      <c r="F771" s="142">
        <f>B771*IBGE_2!F$771/100</f>
        <v>6.1389999999999993</v>
      </c>
      <c r="G771" s="142">
        <f>B771*IBGE_2!G$771/100</f>
        <v>7.5860000000000003</v>
      </c>
      <c r="H771" s="142">
        <f>B771*IBGE_2!H$771/100</f>
        <v>2.093</v>
      </c>
      <c r="I771" s="142">
        <f>B771*IBGE_2!I$771/100</f>
        <v>1.722</v>
      </c>
      <c r="J771" s="142">
        <f>B771*IBGE_2!J$771/100</f>
        <v>0.33800000000000002</v>
      </c>
      <c r="K771" s="142">
        <f>B771*IBGE_2!K$771/100</f>
        <v>75</v>
      </c>
      <c r="L771" s="142" t="s">
        <v>3047</v>
      </c>
      <c r="M771" s="142" t="s">
        <v>3047</v>
      </c>
      <c r="N771" s="142">
        <f>B771*IBGE_2!N$771/100</f>
        <v>8</v>
      </c>
      <c r="O771" s="142">
        <f>B771*IBGE_2!O$771/100</f>
        <v>20</v>
      </c>
      <c r="P771" s="142">
        <f>B771*IBGE_2!P$771/100</f>
        <v>1E-3</v>
      </c>
      <c r="Q771" s="142">
        <f>B771*IBGE_2!Q$771/100</f>
        <v>196</v>
      </c>
      <c r="R771" s="142">
        <f>B771*IBGE_2!R$771/100</f>
        <v>2.8110000000000004</v>
      </c>
      <c r="S771" s="142">
        <f>B771*IBGE_2!S$771/100</f>
        <v>67</v>
      </c>
      <c r="T771" s="142">
        <f>B771*IBGE_2!T$771/100</f>
        <v>337</v>
      </c>
      <c r="U771" s="142">
        <f>B771*IBGE_2!U$771/100</f>
        <v>9.3000000000000013E-2</v>
      </c>
      <c r="V771" s="142">
        <f>B771*IBGE_2!V$771/100</f>
        <v>5.71</v>
      </c>
      <c r="W771" s="142" t="s">
        <v>3047</v>
      </c>
      <c r="X771" s="142">
        <f>B771*IBGE_2!X$771/100</f>
        <v>8.1000000000000003E-2</v>
      </c>
      <c r="Y771" s="142">
        <f>B771*IBGE_2!Y$771/100</f>
        <v>0.22600000000000001</v>
      </c>
      <c r="Z771" s="142">
        <f>B771*IBGE_2!Z$771/100</f>
        <v>0.255</v>
      </c>
      <c r="AA771" s="142">
        <f>B771*IBGE_2!AA$771/100</f>
        <v>3.2069999999999999</v>
      </c>
      <c r="AB771" s="142" t="s">
        <v>3047</v>
      </c>
      <c r="AC771" s="142">
        <f>B771*IBGE_2!AC$771/100</f>
        <v>7.5739999999999998</v>
      </c>
      <c r="AD771" s="142">
        <f>B771*IBGE_2!AD$771/100</f>
        <v>2.83</v>
      </c>
      <c r="AE771" s="142">
        <f>B771*IBGE_2!AE$771/100</f>
        <v>9</v>
      </c>
      <c r="AF771" s="142">
        <f>B771*IBGE_2!AF$771/100</f>
        <v>0.7</v>
      </c>
      <c r="AG771" s="142">
        <f>B771*IBGE_2!AG$771/100</f>
        <v>0.35</v>
      </c>
      <c r="AH771" s="142">
        <f>B771*IBGE_2!AH$771/100</f>
        <v>0.69399999999999995</v>
      </c>
      <c r="AI771" s="142">
        <f>B771*IBGE_2!AI$771/100</f>
        <v>333</v>
      </c>
      <c r="AJ771" s="142">
        <f>B771*IBGE_2!AJ$771/100</f>
        <v>29.475000000000001</v>
      </c>
      <c r="AK771" s="142" t="s">
        <v>3047</v>
      </c>
      <c r="AL771" s="142" t="s">
        <v>3047</v>
      </c>
      <c r="AM771" s="142" t="s">
        <v>3047</v>
      </c>
      <c r="AN771" s="161"/>
    </row>
    <row r="772" spans="1:40">
      <c r="A772" s="143" t="s">
        <v>1832</v>
      </c>
      <c r="B772" s="141">
        <v>100</v>
      </c>
      <c r="C772" s="142">
        <f>B772*IBGE_2!C$772/100</f>
        <v>242</v>
      </c>
      <c r="D772" s="142">
        <f>B772*IBGE_2!D$772/100</f>
        <v>24.22</v>
      </c>
      <c r="E772" s="142">
        <f>B772*IBGE_2!E$772/100</f>
        <v>15.42</v>
      </c>
      <c r="F772" s="142">
        <f>B772*IBGE_2!F$772/100</f>
        <v>5.7380000000000004</v>
      </c>
      <c r="G772" s="142">
        <f>B772*IBGE_2!G$772/100</f>
        <v>7.0019999999999989</v>
      </c>
      <c r="H772" s="142">
        <f>B772*IBGE_2!H$772/100</f>
        <v>0.61299999999999999</v>
      </c>
      <c r="I772" s="142">
        <f>B772*IBGE_2!I$772/100</f>
        <v>0.41600000000000004</v>
      </c>
      <c r="J772" s="142">
        <f>B772*IBGE_2!J$772/100</f>
        <v>0.16400000000000003</v>
      </c>
      <c r="K772" s="142">
        <f>B772*IBGE_2!K$772/100</f>
        <v>75</v>
      </c>
      <c r="L772" s="142" t="s">
        <v>3047</v>
      </c>
      <c r="M772" s="142" t="s">
        <v>3047</v>
      </c>
      <c r="N772" s="142">
        <f>B772*IBGE_2!N$772/100</f>
        <v>8</v>
      </c>
      <c r="O772" s="142">
        <f>B772*IBGE_2!O$772/100</f>
        <v>20</v>
      </c>
      <c r="P772" s="142">
        <f>B772*IBGE_2!P$772/100</f>
        <v>1E-3</v>
      </c>
      <c r="Q772" s="142">
        <f>B772*IBGE_2!Q$772/100</f>
        <v>196</v>
      </c>
      <c r="R772" s="142">
        <f>B772*IBGE_2!R$772/100</f>
        <v>2.81</v>
      </c>
      <c r="S772" s="142">
        <f>B772*IBGE_2!S$772/100</f>
        <v>67</v>
      </c>
      <c r="T772" s="142">
        <f>B772*IBGE_2!T$772/100</f>
        <v>337</v>
      </c>
      <c r="U772" s="142">
        <f>B772*IBGE_2!U$772/100</f>
        <v>9.3000000000000013E-2</v>
      </c>
      <c r="V772" s="142">
        <f>B772*IBGE_2!V$772/100</f>
        <v>5.71</v>
      </c>
      <c r="W772" s="142" t="s">
        <v>3047</v>
      </c>
      <c r="X772" s="142">
        <f>B772*IBGE_2!X$772/100</f>
        <v>8.1000000000000003E-2</v>
      </c>
      <c r="Y772" s="142">
        <f>B772*IBGE_2!Y$772/100</f>
        <v>0.22600000000000001</v>
      </c>
      <c r="Z772" s="142">
        <f>B772*IBGE_2!Z$772/100</f>
        <v>0.255</v>
      </c>
      <c r="AA772" s="142">
        <f>B772*IBGE_2!AA$772/100</f>
        <v>3.2069999999999999</v>
      </c>
      <c r="AB772" s="142" t="s">
        <v>3047</v>
      </c>
      <c r="AC772" s="142">
        <f>B772*IBGE_2!AC$772/100</f>
        <v>7.5739999999999998</v>
      </c>
      <c r="AD772" s="142">
        <f>B772*IBGE_2!AD$772/100</f>
        <v>2.83</v>
      </c>
      <c r="AE772" s="142">
        <f>B772*IBGE_2!AE$772/100</f>
        <v>9</v>
      </c>
      <c r="AF772" s="142">
        <f>B772*IBGE_2!AF$772/100</f>
        <v>0.7</v>
      </c>
      <c r="AG772" s="142">
        <f>B772*IBGE_2!AG$772/100</f>
        <v>0.14000000000000001</v>
      </c>
      <c r="AH772" s="142">
        <f>B772*IBGE_2!AH$772/100</f>
        <v>0.68</v>
      </c>
      <c r="AI772" s="142">
        <f>B772*IBGE_2!AI$772/100</f>
        <v>333</v>
      </c>
      <c r="AJ772" s="142">
        <f>B772*IBGE_2!AJ$772/100</f>
        <v>28.3</v>
      </c>
      <c r="AK772" s="142" t="s">
        <v>3047</v>
      </c>
      <c r="AL772" s="142" t="s">
        <v>3047</v>
      </c>
      <c r="AM772" s="142" t="s">
        <v>3047</v>
      </c>
      <c r="AN772" s="161"/>
    </row>
    <row r="773" spans="1:40">
      <c r="A773" s="143" t="s">
        <v>1833</v>
      </c>
      <c r="B773" s="141">
        <v>100</v>
      </c>
      <c r="C773" s="142">
        <f>B773*IBGE_2!C$773/100</f>
        <v>242</v>
      </c>
      <c r="D773" s="142">
        <f>B773*IBGE_2!D$773/100</f>
        <v>24.22</v>
      </c>
      <c r="E773" s="142">
        <f>B773*IBGE_2!E$773/100</f>
        <v>15.42</v>
      </c>
      <c r="F773" s="142">
        <f>B773*IBGE_2!F$773/100</f>
        <v>5.7380000000000004</v>
      </c>
      <c r="G773" s="142">
        <f>B773*IBGE_2!G$773/100</f>
        <v>7.0019999999999989</v>
      </c>
      <c r="H773" s="142">
        <f>B773*IBGE_2!H$773/100</f>
        <v>0.61299999999999999</v>
      </c>
      <c r="I773" s="142">
        <f>B773*IBGE_2!I$773/100</f>
        <v>0.41600000000000004</v>
      </c>
      <c r="J773" s="142">
        <f>B773*IBGE_2!J$773/100</f>
        <v>0.16400000000000003</v>
      </c>
      <c r="K773" s="142">
        <f>B773*IBGE_2!K$773/100</f>
        <v>75</v>
      </c>
      <c r="L773" s="142" t="s">
        <v>3047</v>
      </c>
      <c r="M773" s="142" t="s">
        <v>3047</v>
      </c>
      <c r="N773" s="142">
        <f>B773*IBGE_2!N$773/100</f>
        <v>8</v>
      </c>
      <c r="O773" s="142">
        <f>B773*IBGE_2!O$773/100</f>
        <v>20</v>
      </c>
      <c r="P773" s="142">
        <f>B773*IBGE_2!P$773/100</f>
        <v>1E-3</v>
      </c>
      <c r="Q773" s="142">
        <f>B773*IBGE_2!Q$773/100</f>
        <v>196</v>
      </c>
      <c r="R773" s="142">
        <f>B773*IBGE_2!R$773/100</f>
        <v>2.81</v>
      </c>
      <c r="S773" s="142">
        <f>B773*IBGE_2!S$773/100</f>
        <v>67</v>
      </c>
      <c r="T773" s="142">
        <f>B773*IBGE_2!T$773/100</f>
        <v>337</v>
      </c>
      <c r="U773" s="142">
        <f>B773*IBGE_2!U$773/100</f>
        <v>9.3000000000000013E-2</v>
      </c>
      <c r="V773" s="142">
        <f>B773*IBGE_2!V$773/100</f>
        <v>5.71</v>
      </c>
      <c r="W773" s="142" t="s">
        <v>3047</v>
      </c>
      <c r="X773" s="142">
        <f>B773*IBGE_2!X$773/100</f>
        <v>8.1000000000000003E-2</v>
      </c>
      <c r="Y773" s="142">
        <f>B773*IBGE_2!Y$773/100</f>
        <v>0.22600000000000001</v>
      </c>
      <c r="Z773" s="142">
        <f>B773*IBGE_2!Z$773/100</f>
        <v>0.255</v>
      </c>
      <c r="AA773" s="142">
        <f>B773*IBGE_2!AA$773/100</f>
        <v>3.2069999999999999</v>
      </c>
      <c r="AB773" s="142" t="s">
        <v>3047</v>
      </c>
      <c r="AC773" s="142">
        <f>B773*IBGE_2!AC$773/100</f>
        <v>7.5739999999999998</v>
      </c>
      <c r="AD773" s="142">
        <f>B773*IBGE_2!AD$773/100</f>
        <v>2.83</v>
      </c>
      <c r="AE773" s="142">
        <f>B773*IBGE_2!AE$773/100</f>
        <v>9</v>
      </c>
      <c r="AF773" s="142">
        <f>B773*IBGE_2!AF$773/100</f>
        <v>0.7</v>
      </c>
      <c r="AG773" s="142">
        <f>B773*IBGE_2!AG$773/100</f>
        <v>0.14000000000000001</v>
      </c>
      <c r="AH773" s="142">
        <f>B773*IBGE_2!AH$773/100</f>
        <v>0.68</v>
      </c>
      <c r="AI773" s="142">
        <f>B773*IBGE_2!AI$773/100</f>
        <v>333</v>
      </c>
      <c r="AJ773" s="142">
        <f>B773*IBGE_2!AJ$773/100</f>
        <v>28.3</v>
      </c>
      <c r="AK773" s="142" t="s">
        <v>3047</v>
      </c>
      <c r="AL773" s="142" t="s">
        <v>3047</v>
      </c>
      <c r="AM773" s="142" t="s">
        <v>3047</v>
      </c>
      <c r="AN773" s="161"/>
    </row>
    <row r="774" spans="1:40">
      <c r="A774" s="143" t="s">
        <v>1834</v>
      </c>
      <c r="B774" s="141">
        <v>100</v>
      </c>
      <c r="C774" s="142">
        <f>B774*IBGE_2!C$774/100</f>
        <v>264.65899999999999</v>
      </c>
      <c r="D774" s="142">
        <f>B774*IBGE_2!D$774/100</f>
        <v>24.22</v>
      </c>
      <c r="E774" s="142">
        <f>B774*IBGE_2!E$774/100</f>
        <v>17.983000000000001</v>
      </c>
      <c r="F774" s="142">
        <f>B774*IBGE_2!F$774/100</f>
        <v>6.1389999999999993</v>
      </c>
      <c r="G774" s="142">
        <f>B774*IBGE_2!G$774/100</f>
        <v>7.5860000000000003</v>
      </c>
      <c r="H774" s="142">
        <f>B774*IBGE_2!H$774/100</f>
        <v>2.093</v>
      </c>
      <c r="I774" s="142">
        <f>B774*IBGE_2!I$774/100</f>
        <v>1.722</v>
      </c>
      <c r="J774" s="142">
        <f>B774*IBGE_2!J$774/100</f>
        <v>0.33800000000000002</v>
      </c>
      <c r="K774" s="142">
        <f>B774*IBGE_2!K$774/100</f>
        <v>75</v>
      </c>
      <c r="L774" s="142" t="s">
        <v>3047</v>
      </c>
      <c r="M774" s="142" t="s">
        <v>3047</v>
      </c>
      <c r="N774" s="142">
        <f>B774*IBGE_2!N$774/100</f>
        <v>8</v>
      </c>
      <c r="O774" s="142">
        <f>B774*IBGE_2!O$774/100</f>
        <v>20</v>
      </c>
      <c r="P774" s="142">
        <f>B774*IBGE_2!P$774/100</f>
        <v>1E-3</v>
      </c>
      <c r="Q774" s="142">
        <f>B774*IBGE_2!Q$774/100</f>
        <v>196</v>
      </c>
      <c r="R774" s="142">
        <f>B774*IBGE_2!R$774/100</f>
        <v>2.8110000000000004</v>
      </c>
      <c r="S774" s="142">
        <f>B774*IBGE_2!S$774/100</f>
        <v>67</v>
      </c>
      <c r="T774" s="142">
        <f>B774*IBGE_2!T$774/100</f>
        <v>337</v>
      </c>
      <c r="U774" s="142">
        <f>B774*IBGE_2!U$774/100</f>
        <v>9.3000000000000013E-2</v>
      </c>
      <c r="V774" s="142">
        <f>B774*IBGE_2!V$774/100</f>
        <v>5.71</v>
      </c>
      <c r="W774" s="142" t="s">
        <v>3047</v>
      </c>
      <c r="X774" s="142">
        <f>B774*IBGE_2!X$774/100</f>
        <v>8.1000000000000003E-2</v>
      </c>
      <c r="Y774" s="142">
        <f>B774*IBGE_2!Y$774/100</f>
        <v>0.22600000000000001</v>
      </c>
      <c r="Z774" s="142">
        <f>B774*IBGE_2!Z$774/100</f>
        <v>0.255</v>
      </c>
      <c r="AA774" s="142">
        <f>B774*IBGE_2!AA$774/100</f>
        <v>3.2069999999999999</v>
      </c>
      <c r="AB774" s="142" t="s">
        <v>3047</v>
      </c>
      <c r="AC774" s="142">
        <f>B774*IBGE_2!AC$774/100</f>
        <v>7.5739999999999998</v>
      </c>
      <c r="AD774" s="142">
        <f>B774*IBGE_2!AD$774/100</f>
        <v>2.83</v>
      </c>
      <c r="AE774" s="142">
        <f>B774*IBGE_2!AE$774/100</f>
        <v>9</v>
      </c>
      <c r="AF774" s="142">
        <f>B774*IBGE_2!AF$774/100</f>
        <v>0.7</v>
      </c>
      <c r="AG774" s="142">
        <f>B774*IBGE_2!AG$774/100</f>
        <v>0.35</v>
      </c>
      <c r="AH774" s="142">
        <f>B774*IBGE_2!AH$774/100</f>
        <v>0.69399999999999995</v>
      </c>
      <c r="AI774" s="142">
        <f>B774*IBGE_2!AI$774/100</f>
        <v>333</v>
      </c>
      <c r="AJ774" s="142">
        <f>B774*IBGE_2!AJ$774/100</f>
        <v>29.475000000000001</v>
      </c>
      <c r="AK774" s="142" t="s">
        <v>3047</v>
      </c>
      <c r="AL774" s="142" t="s">
        <v>3047</v>
      </c>
      <c r="AM774" s="142" t="s">
        <v>3047</v>
      </c>
      <c r="AN774" s="161"/>
    </row>
    <row r="775" spans="1:40">
      <c r="A775" s="143" t="s">
        <v>1835</v>
      </c>
      <c r="B775" s="141">
        <v>100</v>
      </c>
      <c r="C775" s="142">
        <f>B775*IBGE_2!C$775/100</f>
        <v>242</v>
      </c>
      <c r="D775" s="142">
        <f>B775*IBGE_2!D$775/100</f>
        <v>24.22</v>
      </c>
      <c r="E775" s="142">
        <f>B775*IBGE_2!E$775/100</f>
        <v>15.42</v>
      </c>
      <c r="F775" s="142">
        <f>B775*IBGE_2!F$775/100</f>
        <v>5.7380000000000004</v>
      </c>
      <c r="G775" s="142">
        <f>B775*IBGE_2!G$775/100</f>
        <v>7.0019999999999989</v>
      </c>
      <c r="H775" s="142">
        <f>B775*IBGE_2!H$775/100</f>
        <v>0.61299999999999999</v>
      </c>
      <c r="I775" s="142">
        <f>B775*IBGE_2!I$775/100</f>
        <v>0.41600000000000004</v>
      </c>
      <c r="J775" s="142">
        <f>B775*IBGE_2!J$775/100</f>
        <v>0.16400000000000003</v>
      </c>
      <c r="K775" s="142">
        <f>B775*IBGE_2!K$775/100</f>
        <v>75</v>
      </c>
      <c r="L775" s="142" t="s">
        <v>3047</v>
      </c>
      <c r="M775" s="142" t="s">
        <v>3047</v>
      </c>
      <c r="N775" s="142">
        <f>B775*IBGE_2!N$775/100</f>
        <v>8</v>
      </c>
      <c r="O775" s="142">
        <f>B775*IBGE_2!O$775/100</f>
        <v>20</v>
      </c>
      <c r="P775" s="142">
        <f>B775*IBGE_2!P$775/100</f>
        <v>1E-3</v>
      </c>
      <c r="Q775" s="142">
        <f>B775*IBGE_2!Q$775/100</f>
        <v>196</v>
      </c>
      <c r="R775" s="142">
        <f>B775*IBGE_2!R$775/100</f>
        <v>2.81</v>
      </c>
      <c r="S775" s="142">
        <f>B775*IBGE_2!S$775/100</f>
        <v>67</v>
      </c>
      <c r="T775" s="142">
        <f>B775*IBGE_2!T$775/100</f>
        <v>337</v>
      </c>
      <c r="U775" s="142">
        <f>B775*IBGE_2!U$775/100</f>
        <v>9.3000000000000013E-2</v>
      </c>
      <c r="V775" s="142">
        <f>B775*IBGE_2!V$775/100</f>
        <v>5.71</v>
      </c>
      <c r="W775" s="142" t="s">
        <v>3047</v>
      </c>
      <c r="X775" s="142">
        <f>B775*IBGE_2!X$775/100</f>
        <v>8.1000000000000003E-2</v>
      </c>
      <c r="Y775" s="142">
        <f>B775*IBGE_2!Y$775/100</f>
        <v>0.22600000000000001</v>
      </c>
      <c r="Z775" s="142">
        <f>B775*IBGE_2!Z$775/100</f>
        <v>0.255</v>
      </c>
      <c r="AA775" s="142">
        <f>B775*IBGE_2!AA$775/100</f>
        <v>3.2069999999999999</v>
      </c>
      <c r="AB775" s="142" t="s">
        <v>3047</v>
      </c>
      <c r="AC775" s="142">
        <f>B775*IBGE_2!AC$775/100</f>
        <v>7.5739999999999998</v>
      </c>
      <c r="AD775" s="142">
        <f>B775*IBGE_2!AD$775/100</f>
        <v>2.83</v>
      </c>
      <c r="AE775" s="142">
        <f>B775*IBGE_2!AE$775/100</f>
        <v>9</v>
      </c>
      <c r="AF775" s="142">
        <f>B775*IBGE_2!AF$775/100</f>
        <v>0.7</v>
      </c>
      <c r="AG775" s="142">
        <f>B775*IBGE_2!AG$775/100</f>
        <v>0.14000000000000001</v>
      </c>
      <c r="AH775" s="142">
        <f>B775*IBGE_2!AH$775/100</f>
        <v>0.68</v>
      </c>
      <c r="AI775" s="142">
        <f>B775*IBGE_2!AI$775/100</f>
        <v>333</v>
      </c>
      <c r="AJ775" s="142">
        <f>B775*IBGE_2!AJ$775/100</f>
        <v>28.3</v>
      </c>
      <c r="AK775" s="142" t="s">
        <v>3047</v>
      </c>
      <c r="AL775" s="142" t="s">
        <v>3047</v>
      </c>
      <c r="AM775" s="142" t="s">
        <v>3047</v>
      </c>
      <c r="AN775" s="161"/>
    </row>
    <row r="776" spans="1:40">
      <c r="A776" s="143" t="s">
        <v>1836</v>
      </c>
      <c r="B776" s="141">
        <v>100</v>
      </c>
      <c r="C776" s="142">
        <f>B776*IBGE_2!C$776/100</f>
        <v>264.65899999999999</v>
      </c>
      <c r="D776" s="142">
        <f>B776*IBGE_2!D$776/100</f>
        <v>24.22</v>
      </c>
      <c r="E776" s="142">
        <f>B776*IBGE_2!E$776/100</f>
        <v>17.983000000000001</v>
      </c>
      <c r="F776" s="142">
        <f>B776*IBGE_2!F$776/100</f>
        <v>6.1389999999999993</v>
      </c>
      <c r="G776" s="142">
        <f>B776*IBGE_2!G$776/100</f>
        <v>7.5860000000000003</v>
      </c>
      <c r="H776" s="142">
        <f>B776*IBGE_2!H$776/100</f>
        <v>2.093</v>
      </c>
      <c r="I776" s="142">
        <f>B776*IBGE_2!I$776/100</f>
        <v>1.722</v>
      </c>
      <c r="J776" s="142">
        <f>B776*IBGE_2!J$776/100</f>
        <v>0.33800000000000002</v>
      </c>
      <c r="K776" s="142">
        <f>B776*IBGE_2!K$776/100</f>
        <v>75</v>
      </c>
      <c r="L776" s="142" t="s">
        <v>3047</v>
      </c>
      <c r="M776" s="142" t="s">
        <v>3047</v>
      </c>
      <c r="N776" s="142">
        <f>B776*IBGE_2!N$776/100</f>
        <v>8</v>
      </c>
      <c r="O776" s="142">
        <f>B776*IBGE_2!O$776/100</f>
        <v>20</v>
      </c>
      <c r="P776" s="142">
        <f>B776*IBGE_2!P$776/100</f>
        <v>1E-3</v>
      </c>
      <c r="Q776" s="142">
        <f>B776*IBGE_2!Q$776/100</f>
        <v>196</v>
      </c>
      <c r="R776" s="142">
        <f>B776*IBGE_2!R$776/100</f>
        <v>2.8110000000000004</v>
      </c>
      <c r="S776" s="142">
        <f>B776*IBGE_2!S$776/100</f>
        <v>67</v>
      </c>
      <c r="T776" s="142">
        <f>B776*IBGE_2!T$776/100</f>
        <v>337</v>
      </c>
      <c r="U776" s="142">
        <f>B776*IBGE_2!U$776/100</f>
        <v>9.3000000000000013E-2</v>
      </c>
      <c r="V776" s="142">
        <f>B776*IBGE_2!V$776/100</f>
        <v>5.71</v>
      </c>
      <c r="W776" s="142" t="s">
        <v>3047</v>
      </c>
      <c r="X776" s="142">
        <f>B776*IBGE_2!X$776/100</f>
        <v>8.1000000000000003E-2</v>
      </c>
      <c r="Y776" s="142">
        <f>B776*IBGE_2!Y$776/100</f>
        <v>0.22600000000000001</v>
      </c>
      <c r="Z776" s="142">
        <f>B776*IBGE_2!Z$776/100</f>
        <v>0.255</v>
      </c>
      <c r="AA776" s="142">
        <f>B776*IBGE_2!AA$776/100</f>
        <v>3.2069999999999999</v>
      </c>
      <c r="AB776" s="142" t="s">
        <v>3047</v>
      </c>
      <c r="AC776" s="142">
        <f>B776*IBGE_2!AC$776/100</f>
        <v>7.5739999999999998</v>
      </c>
      <c r="AD776" s="142">
        <f>B776*IBGE_2!AD$776/100</f>
        <v>2.83</v>
      </c>
      <c r="AE776" s="142">
        <f>B776*IBGE_2!AE$776/100</f>
        <v>9</v>
      </c>
      <c r="AF776" s="142">
        <f>B776*IBGE_2!AF$776/100</f>
        <v>0.7</v>
      </c>
      <c r="AG776" s="142">
        <f>B776*IBGE_2!AG$776/100</f>
        <v>0.35</v>
      </c>
      <c r="AH776" s="142">
        <f>B776*IBGE_2!AH$776/100</f>
        <v>0.69399999999999995</v>
      </c>
      <c r="AI776" s="142">
        <f>B776*IBGE_2!AI$776/100</f>
        <v>333</v>
      </c>
      <c r="AJ776" s="142">
        <f>B776*IBGE_2!AJ$776/100</f>
        <v>29.475000000000001</v>
      </c>
      <c r="AK776" s="142" t="s">
        <v>3047</v>
      </c>
      <c r="AL776" s="142" t="s">
        <v>3047</v>
      </c>
      <c r="AM776" s="142" t="s">
        <v>3047</v>
      </c>
      <c r="AN776" s="161"/>
    </row>
    <row r="777" spans="1:40">
      <c r="A777" s="143" t="s">
        <v>1837</v>
      </c>
      <c r="B777" s="141">
        <v>100</v>
      </c>
      <c r="C777" s="142">
        <f>B777*IBGE_2!C$777/100</f>
        <v>198.4</v>
      </c>
      <c r="D777" s="142">
        <f>B777*IBGE_2!D$777/100</f>
        <v>19.64</v>
      </c>
      <c r="E777" s="142">
        <f>B777*IBGE_2!E$777/100</f>
        <v>12.372</v>
      </c>
      <c r="F777" s="142">
        <f>B777*IBGE_2!F$777/100</f>
        <v>4.5949999999999998</v>
      </c>
      <c r="G777" s="142">
        <f>B777*IBGE_2!G$777/100</f>
        <v>5.6070000000000002</v>
      </c>
      <c r="H777" s="142">
        <f>B777*IBGE_2!H$777/100</f>
        <v>0.505</v>
      </c>
      <c r="I777" s="142">
        <f>B777*IBGE_2!I$777/100</f>
        <v>0.34699999999999998</v>
      </c>
      <c r="J777" s="142">
        <f>B777*IBGE_2!J$777/100</f>
        <v>0.13200000000000001</v>
      </c>
      <c r="K777" s="142">
        <f>B777*IBGE_2!K$777/100</f>
        <v>60</v>
      </c>
      <c r="L777" s="142">
        <f>B777*IBGE_2!L$777/100</f>
        <v>1.0760000000000001</v>
      </c>
      <c r="M777" s="142">
        <f>B777*IBGE_2!M$777/100</f>
        <v>0.3</v>
      </c>
      <c r="N777" s="142">
        <f>B777*IBGE_2!N$777/100</f>
        <v>9</v>
      </c>
      <c r="O777" s="142">
        <f>B777*IBGE_2!O$777/100</f>
        <v>19.2</v>
      </c>
      <c r="P777" s="142">
        <f>B777*IBGE_2!P$777/100</f>
        <v>2.1999999999999999E-2</v>
      </c>
      <c r="Q777" s="142">
        <f>B777*IBGE_2!Q$777/100</f>
        <v>162</v>
      </c>
      <c r="R777" s="142">
        <f>B777*IBGE_2!R$777/100</f>
        <v>2.452</v>
      </c>
      <c r="S777" s="142">
        <f>B777*IBGE_2!S$777/100</f>
        <v>158.4</v>
      </c>
      <c r="T777" s="142">
        <f>B777*IBGE_2!T$777/100</f>
        <v>335.8</v>
      </c>
      <c r="U777" s="142">
        <f>B777*IBGE_2!U$777/100</f>
        <v>9.8000000000000004E-2</v>
      </c>
      <c r="V777" s="142">
        <f>B777*IBGE_2!V$777/100</f>
        <v>4.6079999999999997</v>
      </c>
      <c r="W777" s="142" t="s">
        <v>3047</v>
      </c>
      <c r="X777" s="142">
        <f>B777*IBGE_2!X$777/100</f>
        <v>7.0000000000000007E-2</v>
      </c>
      <c r="Y777" s="142">
        <f>B777*IBGE_2!Y$777/100</f>
        <v>0.19400000000000003</v>
      </c>
      <c r="Z777" s="142">
        <f>B777*IBGE_2!Z$777/100</f>
        <v>0.223</v>
      </c>
      <c r="AA777" s="142">
        <f>B777*IBGE_2!AA$777/100</f>
        <v>2.7610000000000001</v>
      </c>
      <c r="AB777" s="142">
        <f>B777*IBGE_2!AB$777/100</f>
        <v>1.4</v>
      </c>
      <c r="AC777" s="142">
        <f>B777*IBGE_2!AC$777/100</f>
        <v>6.2870000000000008</v>
      </c>
      <c r="AD777" s="142">
        <f>B777*IBGE_2!AD$777/100</f>
        <v>2.2639999999999998</v>
      </c>
      <c r="AE777" s="142">
        <f>B777*IBGE_2!AE$777/100</f>
        <v>9.4</v>
      </c>
      <c r="AF777" s="142">
        <f>B777*IBGE_2!AF$777/100</f>
        <v>0.56000000000000005</v>
      </c>
      <c r="AG777" s="142">
        <f>B777*IBGE_2!AG$777/100</f>
        <v>0.39600000000000002</v>
      </c>
      <c r="AH777" s="142">
        <f>B777*IBGE_2!AH$777/100</f>
        <v>0.54400000000000004</v>
      </c>
      <c r="AI777" s="142">
        <f>B777*IBGE_2!AI$777/100</f>
        <v>333</v>
      </c>
      <c r="AJ777" s="142">
        <f>B777*IBGE_2!AJ$777/100</f>
        <v>22.68</v>
      </c>
      <c r="AK777" s="142">
        <f>B777*IBGE_2!AK$777/100</f>
        <v>3.4830000000000001</v>
      </c>
      <c r="AL777" s="142">
        <f>B777*IBGE_2!AL$777/100</f>
        <v>0.85</v>
      </c>
      <c r="AM777" s="142" t="s">
        <v>3047</v>
      </c>
      <c r="AN777" s="161"/>
    </row>
    <row r="778" spans="1:40">
      <c r="A778" s="143" t="s">
        <v>1838</v>
      </c>
      <c r="B778" s="141">
        <v>100</v>
      </c>
      <c r="C778" s="142">
        <f>B778*IBGE_2!C$778/100</f>
        <v>264.65899999999999</v>
      </c>
      <c r="D778" s="142">
        <f>B778*IBGE_2!D$778/100</f>
        <v>24.22</v>
      </c>
      <c r="E778" s="142">
        <f>B778*IBGE_2!E$778/100</f>
        <v>17.983000000000001</v>
      </c>
      <c r="F778" s="142">
        <f>B778*IBGE_2!F$778/100</f>
        <v>6.1389999999999993</v>
      </c>
      <c r="G778" s="142">
        <f>B778*IBGE_2!G$778/100</f>
        <v>7.5860000000000003</v>
      </c>
      <c r="H778" s="142">
        <f>B778*IBGE_2!H$778/100</f>
        <v>2.093</v>
      </c>
      <c r="I778" s="142">
        <f>B778*IBGE_2!I$778/100</f>
        <v>1.722</v>
      </c>
      <c r="J778" s="142">
        <f>B778*IBGE_2!J$778/100</f>
        <v>0.33800000000000002</v>
      </c>
      <c r="K778" s="142">
        <f>B778*IBGE_2!K$778/100</f>
        <v>75</v>
      </c>
      <c r="L778" s="142" t="s">
        <v>3047</v>
      </c>
      <c r="M778" s="142" t="s">
        <v>3047</v>
      </c>
      <c r="N778" s="142">
        <f>B778*IBGE_2!N$778/100</f>
        <v>8</v>
      </c>
      <c r="O778" s="142">
        <f>B778*IBGE_2!O$778/100</f>
        <v>20</v>
      </c>
      <c r="P778" s="142">
        <f>B778*IBGE_2!P$778/100</f>
        <v>1E-3</v>
      </c>
      <c r="Q778" s="142">
        <f>B778*IBGE_2!Q$778/100</f>
        <v>196</v>
      </c>
      <c r="R778" s="142">
        <f>B778*IBGE_2!R$778/100</f>
        <v>2.8110000000000004</v>
      </c>
      <c r="S778" s="142">
        <f>B778*IBGE_2!S$778/100</f>
        <v>67</v>
      </c>
      <c r="T778" s="142">
        <f>B778*IBGE_2!T$778/100</f>
        <v>337</v>
      </c>
      <c r="U778" s="142">
        <f>B778*IBGE_2!U$778/100</f>
        <v>9.3000000000000013E-2</v>
      </c>
      <c r="V778" s="142">
        <f>B778*IBGE_2!V$778/100</f>
        <v>5.71</v>
      </c>
      <c r="W778" s="142" t="s">
        <v>3047</v>
      </c>
      <c r="X778" s="142">
        <f>B778*IBGE_2!X$778/100</f>
        <v>8.1000000000000003E-2</v>
      </c>
      <c r="Y778" s="142">
        <f>B778*IBGE_2!Y$778/100</f>
        <v>0.22600000000000001</v>
      </c>
      <c r="Z778" s="142">
        <f>B778*IBGE_2!Z$778/100</f>
        <v>0.255</v>
      </c>
      <c r="AA778" s="142">
        <f>B778*IBGE_2!AA$778/100</f>
        <v>3.2069999999999999</v>
      </c>
      <c r="AB778" s="142" t="s">
        <v>3047</v>
      </c>
      <c r="AC778" s="142">
        <f>B778*IBGE_2!AC$778/100</f>
        <v>7.5739999999999998</v>
      </c>
      <c r="AD778" s="142">
        <f>B778*IBGE_2!AD$778/100</f>
        <v>2.83</v>
      </c>
      <c r="AE778" s="142">
        <f>B778*IBGE_2!AE$778/100</f>
        <v>9</v>
      </c>
      <c r="AF778" s="142">
        <f>B778*IBGE_2!AF$778/100</f>
        <v>0.7</v>
      </c>
      <c r="AG778" s="142">
        <f>B778*IBGE_2!AG$778/100</f>
        <v>0.35</v>
      </c>
      <c r="AH778" s="142">
        <f>B778*IBGE_2!AH$778/100</f>
        <v>0.69399999999999995</v>
      </c>
      <c r="AI778" s="142">
        <f>B778*IBGE_2!AI$778/100</f>
        <v>333</v>
      </c>
      <c r="AJ778" s="142">
        <f>B778*IBGE_2!AJ$778/100</f>
        <v>29.475000000000001</v>
      </c>
      <c r="AK778" s="142" t="s">
        <v>3047</v>
      </c>
      <c r="AL778" s="142" t="s">
        <v>3047</v>
      </c>
      <c r="AM778" s="142" t="s">
        <v>3047</v>
      </c>
      <c r="AN778" s="161"/>
    </row>
    <row r="779" spans="1:40">
      <c r="A779" s="143" t="s">
        <v>1839</v>
      </c>
      <c r="B779" s="141">
        <v>100</v>
      </c>
      <c r="C779" s="142">
        <f>B779*IBGE_2!C$779/100</f>
        <v>242</v>
      </c>
      <c r="D779" s="142">
        <f>B779*IBGE_2!D$779/100</f>
        <v>24.22</v>
      </c>
      <c r="E779" s="142">
        <f>B779*IBGE_2!E$779/100</f>
        <v>15.42</v>
      </c>
      <c r="F779" s="142">
        <f>B779*IBGE_2!F$779/100</f>
        <v>5.7380000000000004</v>
      </c>
      <c r="G779" s="142">
        <f>B779*IBGE_2!G$779/100</f>
        <v>7.0019999999999989</v>
      </c>
      <c r="H779" s="142">
        <f>B779*IBGE_2!H$779/100</f>
        <v>0.61299999999999999</v>
      </c>
      <c r="I779" s="142">
        <f>B779*IBGE_2!I$779/100</f>
        <v>0.41600000000000004</v>
      </c>
      <c r="J779" s="142">
        <f>B779*IBGE_2!J$779/100</f>
        <v>0.16400000000000003</v>
      </c>
      <c r="K779" s="142">
        <f>B779*IBGE_2!K$779/100</f>
        <v>75</v>
      </c>
      <c r="L779" s="142" t="s">
        <v>3047</v>
      </c>
      <c r="M779" s="142" t="s">
        <v>3047</v>
      </c>
      <c r="N779" s="142">
        <f>B779*IBGE_2!N$779/100</f>
        <v>8</v>
      </c>
      <c r="O779" s="142">
        <f>B779*IBGE_2!O$779/100</f>
        <v>20</v>
      </c>
      <c r="P779" s="142">
        <f>B779*IBGE_2!P$779/100</f>
        <v>1E-3</v>
      </c>
      <c r="Q779" s="142">
        <f>B779*IBGE_2!Q$779/100</f>
        <v>196</v>
      </c>
      <c r="R779" s="142">
        <f>B779*IBGE_2!R$779/100</f>
        <v>2.81</v>
      </c>
      <c r="S779" s="142">
        <f>B779*IBGE_2!S$779/100</f>
        <v>67</v>
      </c>
      <c r="T779" s="142">
        <f>B779*IBGE_2!T$779/100</f>
        <v>337</v>
      </c>
      <c r="U779" s="142">
        <f>B779*IBGE_2!U$779/100</f>
        <v>9.3000000000000013E-2</v>
      </c>
      <c r="V779" s="142">
        <f>B779*IBGE_2!V$779/100</f>
        <v>5.71</v>
      </c>
      <c r="W779" s="142" t="s">
        <v>3047</v>
      </c>
      <c r="X779" s="142">
        <f>B779*IBGE_2!X$779/100</f>
        <v>8.1000000000000003E-2</v>
      </c>
      <c r="Y779" s="142">
        <f>B779*IBGE_2!Y$779/100</f>
        <v>0.22600000000000001</v>
      </c>
      <c r="Z779" s="142">
        <f>B779*IBGE_2!Z$779/100</f>
        <v>0.255</v>
      </c>
      <c r="AA779" s="142">
        <f>B779*IBGE_2!AA$779/100</f>
        <v>3.2069999999999999</v>
      </c>
      <c r="AB779" s="142" t="s">
        <v>3047</v>
      </c>
      <c r="AC779" s="142">
        <f>B779*IBGE_2!AC$779/100</f>
        <v>7.5739999999999998</v>
      </c>
      <c r="AD779" s="142">
        <f>B779*IBGE_2!AD$779/100</f>
        <v>2.83</v>
      </c>
      <c r="AE779" s="142">
        <f>B779*IBGE_2!AE$779/100</f>
        <v>9</v>
      </c>
      <c r="AF779" s="142">
        <f>B779*IBGE_2!AF$779/100</f>
        <v>0.7</v>
      </c>
      <c r="AG779" s="142">
        <f>B779*IBGE_2!AG$779/100</f>
        <v>0.14000000000000001</v>
      </c>
      <c r="AH779" s="142">
        <f>B779*IBGE_2!AH$779/100</f>
        <v>0.68</v>
      </c>
      <c r="AI779" s="142">
        <f>B779*IBGE_2!AI$779/100</f>
        <v>333</v>
      </c>
      <c r="AJ779" s="142">
        <f>B779*IBGE_2!AJ$779/100</f>
        <v>28.3</v>
      </c>
      <c r="AK779" s="142" t="s">
        <v>3047</v>
      </c>
      <c r="AL779" s="142" t="s">
        <v>3047</v>
      </c>
      <c r="AM779" s="142" t="s">
        <v>3047</v>
      </c>
      <c r="AN779" s="161"/>
    </row>
    <row r="780" spans="1:40">
      <c r="A780" s="143" t="s">
        <v>1840</v>
      </c>
      <c r="B780" s="141">
        <v>100</v>
      </c>
      <c r="C780" s="142">
        <f>B780*IBGE_2!C$780/100</f>
        <v>242</v>
      </c>
      <c r="D780" s="142">
        <f>B780*IBGE_2!D$780/100</f>
        <v>24.22</v>
      </c>
      <c r="E780" s="142">
        <f>B780*IBGE_2!E$780/100</f>
        <v>15.42</v>
      </c>
      <c r="F780" s="142">
        <f>B780*IBGE_2!F$780/100</f>
        <v>5.7380000000000004</v>
      </c>
      <c r="G780" s="142">
        <f>B780*IBGE_2!G$780/100</f>
        <v>7.0019999999999989</v>
      </c>
      <c r="H780" s="142">
        <f>B780*IBGE_2!H$780/100</f>
        <v>0.61299999999999999</v>
      </c>
      <c r="I780" s="142">
        <f>B780*IBGE_2!I$780/100</f>
        <v>0.41600000000000004</v>
      </c>
      <c r="J780" s="142">
        <f>B780*IBGE_2!J$780/100</f>
        <v>0.16400000000000003</v>
      </c>
      <c r="K780" s="142">
        <f>B780*IBGE_2!K$780/100</f>
        <v>75</v>
      </c>
      <c r="L780" s="142" t="s">
        <v>3047</v>
      </c>
      <c r="M780" s="142" t="s">
        <v>3047</v>
      </c>
      <c r="N780" s="142">
        <f>B780*IBGE_2!N$780/100</f>
        <v>8</v>
      </c>
      <c r="O780" s="142">
        <f>B780*IBGE_2!O$780/100</f>
        <v>20</v>
      </c>
      <c r="P780" s="142">
        <f>B780*IBGE_2!P$780/100</f>
        <v>1E-3</v>
      </c>
      <c r="Q780" s="142">
        <f>B780*IBGE_2!Q$780/100</f>
        <v>196</v>
      </c>
      <c r="R780" s="142">
        <f>B780*IBGE_2!R$780/100</f>
        <v>2.81</v>
      </c>
      <c r="S780" s="142">
        <f>B780*IBGE_2!S$780/100</f>
        <v>67</v>
      </c>
      <c r="T780" s="142">
        <f>B780*IBGE_2!T$780/100</f>
        <v>337</v>
      </c>
      <c r="U780" s="142">
        <f>B780*IBGE_2!U$780/100</f>
        <v>9.3000000000000013E-2</v>
      </c>
      <c r="V780" s="142">
        <f>B780*IBGE_2!V$780/100</f>
        <v>5.71</v>
      </c>
      <c r="W780" s="142" t="s">
        <v>3047</v>
      </c>
      <c r="X780" s="142">
        <f>B780*IBGE_2!X$780/100</f>
        <v>8.1000000000000003E-2</v>
      </c>
      <c r="Y780" s="142">
        <f>B780*IBGE_2!Y$780/100</f>
        <v>0.22600000000000001</v>
      </c>
      <c r="Z780" s="142">
        <f>B780*IBGE_2!Z$780/100</f>
        <v>0.255</v>
      </c>
      <c r="AA780" s="142">
        <f>B780*IBGE_2!AA$780/100</f>
        <v>3.2069999999999999</v>
      </c>
      <c r="AB780" s="142" t="s">
        <v>3047</v>
      </c>
      <c r="AC780" s="142">
        <f>B780*IBGE_2!AC$780/100</f>
        <v>7.5739999999999998</v>
      </c>
      <c r="AD780" s="142">
        <f>B780*IBGE_2!AD$780/100</f>
        <v>2.83</v>
      </c>
      <c r="AE780" s="142">
        <f>B780*IBGE_2!AE$780/100</f>
        <v>9</v>
      </c>
      <c r="AF780" s="142">
        <f>B780*IBGE_2!AF$780/100</f>
        <v>0.7</v>
      </c>
      <c r="AG780" s="142">
        <f>B780*IBGE_2!AG$780/100</f>
        <v>0.14000000000000001</v>
      </c>
      <c r="AH780" s="142">
        <f>B780*IBGE_2!AH$780/100</f>
        <v>0.68</v>
      </c>
      <c r="AI780" s="142">
        <f>B780*IBGE_2!AI$780/100</f>
        <v>333</v>
      </c>
      <c r="AJ780" s="142">
        <f>B780*IBGE_2!AJ$780/100</f>
        <v>28.3</v>
      </c>
      <c r="AK780" s="142" t="s">
        <v>3047</v>
      </c>
      <c r="AL780" s="142" t="s">
        <v>3047</v>
      </c>
      <c r="AM780" s="142" t="s">
        <v>3047</v>
      </c>
      <c r="AN780" s="161"/>
    </row>
    <row r="781" spans="1:40">
      <c r="A781" s="143" t="s">
        <v>1841</v>
      </c>
      <c r="B781" s="141">
        <v>100</v>
      </c>
      <c r="C781" s="142">
        <f>B781*IBGE_2!C$781/100</f>
        <v>242</v>
      </c>
      <c r="D781" s="142">
        <f>B781*IBGE_2!D$781/100</f>
        <v>24.22</v>
      </c>
      <c r="E781" s="142">
        <f>B781*IBGE_2!E$781/100</f>
        <v>15.42</v>
      </c>
      <c r="F781" s="142">
        <f>B781*IBGE_2!F$781/100</f>
        <v>5.7380000000000004</v>
      </c>
      <c r="G781" s="142">
        <f>B781*IBGE_2!G$781/100</f>
        <v>7.0019999999999989</v>
      </c>
      <c r="H781" s="142">
        <f>B781*IBGE_2!H$781/100</f>
        <v>0.61299999999999999</v>
      </c>
      <c r="I781" s="142">
        <f>B781*IBGE_2!I$781/100</f>
        <v>0.41600000000000004</v>
      </c>
      <c r="J781" s="142">
        <f>B781*IBGE_2!J$781/100</f>
        <v>0.16400000000000003</v>
      </c>
      <c r="K781" s="142">
        <f>B781*IBGE_2!K$781/100</f>
        <v>75</v>
      </c>
      <c r="L781" s="142" t="s">
        <v>3047</v>
      </c>
      <c r="M781" s="142" t="s">
        <v>3047</v>
      </c>
      <c r="N781" s="142">
        <f>B781*IBGE_2!N$781/100</f>
        <v>8</v>
      </c>
      <c r="O781" s="142">
        <f>B781*IBGE_2!O$781/100</f>
        <v>20</v>
      </c>
      <c r="P781" s="142">
        <f>B781*IBGE_2!P$781/100</f>
        <v>1E-3</v>
      </c>
      <c r="Q781" s="142">
        <f>B781*IBGE_2!Q$781/100</f>
        <v>196</v>
      </c>
      <c r="R781" s="142">
        <f>B781*IBGE_2!R$781/100</f>
        <v>2.81</v>
      </c>
      <c r="S781" s="142">
        <f>B781*IBGE_2!S$781/100</f>
        <v>67</v>
      </c>
      <c r="T781" s="142">
        <f>B781*IBGE_2!T$781/100</f>
        <v>337</v>
      </c>
      <c r="U781" s="142">
        <f>B781*IBGE_2!U$781/100</f>
        <v>9.3000000000000013E-2</v>
      </c>
      <c r="V781" s="142">
        <f>B781*IBGE_2!V$781/100</f>
        <v>5.71</v>
      </c>
      <c r="W781" s="142" t="s">
        <v>3047</v>
      </c>
      <c r="X781" s="142">
        <f>B781*IBGE_2!X$781/100</f>
        <v>8.1000000000000003E-2</v>
      </c>
      <c r="Y781" s="142">
        <f>B781*IBGE_2!Y$781/100</f>
        <v>0.22600000000000001</v>
      </c>
      <c r="Z781" s="142">
        <f>B781*IBGE_2!Z$781/100</f>
        <v>0.255</v>
      </c>
      <c r="AA781" s="142">
        <f>B781*IBGE_2!AA$781/100</f>
        <v>3.2069999999999999</v>
      </c>
      <c r="AB781" s="142" t="s">
        <v>3047</v>
      </c>
      <c r="AC781" s="142">
        <f>B781*IBGE_2!AC$781/100</f>
        <v>7.5739999999999998</v>
      </c>
      <c r="AD781" s="142">
        <f>B781*IBGE_2!AD$781/100</f>
        <v>2.83</v>
      </c>
      <c r="AE781" s="142">
        <f>B781*IBGE_2!AE$781/100</f>
        <v>9</v>
      </c>
      <c r="AF781" s="142">
        <f>B781*IBGE_2!AF$781/100</f>
        <v>0.7</v>
      </c>
      <c r="AG781" s="142">
        <f>B781*IBGE_2!AG$781/100</f>
        <v>0.14000000000000001</v>
      </c>
      <c r="AH781" s="142">
        <f>B781*IBGE_2!AH$781/100</f>
        <v>0.68</v>
      </c>
      <c r="AI781" s="142">
        <f>B781*IBGE_2!AI$781/100</f>
        <v>333</v>
      </c>
      <c r="AJ781" s="142">
        <f>B781*IBGE_2!AJ$781/100</f>
        <v>28.3</v>
      </c>
      <c r="AK781" s="142" t="s">
        <v>3047</v>
      </c>
      <c r="AL781" s="142" t="s">
        <v>3047</v>
      </c>
      <c r="AM781" s="142" t="s">
        <v>3047</v>
      </c>
      <c r="AN781" s="161"/>
    </row>
    <row r="782" spans="1:40">
      <c r="A782" s="143" t="s">
        <v>1842</v>
      </c>
      <c r="B782" s="141">
        <v>100</v>
      </c>
      <c r="C782" s="142">
        <f>B782*IBGE_2!C$782/100</f>
        <v>199</v>
      </c>
      <c r="D782" s="142">
        <f>B782*IBGE_2!D$782/100</f>
        <v>36.119999999999997</v>
      </c>
      <c r="E782" s="142">
        <f>B782*IBGE_2!E$782/100</f>
        <v>5</v>
      </c>
      <c r="F782" s="142">
        <f>B782*IBGE_2!F$782/100</f>
        <v>1.72</v>
      </c>
      <c r="G782" s="142">
        <f>B782*IBGE_2!G$782/100</f>
        <v>2</v>
      </c>
      <c r="H782" s="142">
        <f>B782*IBGE_2!H$782/100</f>
        <v>0.22</v>
      </c>
      <c r="I782" s="142">
        <f>B782*IBGE_2!I$782/100</f>
        <v>0.17</v>
      </c>
      <c r="J782" s="142">
        <f>B782*IBGE_2!J$782/100</f>
        <v>0.02</v>
      </c>
      <c r="K782" s="142">
        <f>B782*IBGE_2!K$782/100</f>
        <v>90</v>
      </c>
      <c r="L782" s="142" t="s">
        <v>3047</v>
      </c>
      <c r="M782" s="142" t="s">
        <v>3047</v>
      </c>
      <c r="N782" s="142">
        <f>B782*IBGE_2!N$782/100</f>
        <v>4</v>
      </c>
      <c r="O782" s="142">
        <f>B782*IBGE_2!O$782/100</f>
        <v>26</v>
      </c>
      <c r="P782" s="142">
        <f>B782*IBGE_2!P$782/100</f>
        <v>1.7999999999999999E-2</v>
      </c>
      <c r="Q782" s="142">
        <f>B782*IBGE_2!Q$782/100</f>
        <v>226</v>
      </c>
      <c r="R782" s="142">
        <f>B782*IBGE_2!R$782/100</f>
        <v>3.32</v>
      </c>
      <c r="S782" s="142">
        <f>B782*IBGE_2!S$782/100</f>
        <v>45</v>
      </c>
      <c r="T782" s="142">
        <f>B782*IBGE_2!T$782/100</f>
        <v>334</v>
      </c>
      <c r="U782" s="142">
        <f>B782*IBGE_2!U$782/100</f>
        <v>0.124</v>
      </c>
      <c r="V782" s="142">
        <f>B782*IBGE_2!V$782/100</f>
        <v>4.5599999999999996</v>
      </c>
      <c r="W782" s="142" t="s">
        <v>3047</v>
      </c>
      <c r="X782" s="142">
        <f>B782*IBGE_2!X$782/100</f>
        <v>7.0000000000000007E-2</v>
      </c>
      <c r="Y782" s="142">
        <f>B782*IBGE_2!Y$782/100</f>
        <v>0.25</v>
      </c>
      <c r="Z782" s="142">
        <f>B782*IBGE_2!Z$782/100</f>
        <v>0.28000000000000003</v>
      </c>
      <c r="AA782" s="142">
        <f>B782*IBGE_2!AA$782/100</f>
        <v>3.81</v>
      </c>
      <c r="AB782" s="142" t="s">
        <v>3047</v>
      </c>
      <c r="AC782" s="142">
        <f>B782*IBGE_2!AC$782/100</f>
        <v>7.76</v>
      </c>
      <c r="AD782" s="142">
        <f>B782*IBGE_2!AD$782/100</f>
        <v>2.7</v>
      </c>
      <c r="AE782" s="142">
        <f>B782*IBGE_2!AE$782/100</f>
        <v>9</v>
      </c>
      <c r="AF782" s="142">
        <f>B782*IBGE_2!AF$782/100</f>
        <v>0.7</v>
      </c>
      <c r="AG782" s="142">
        <f>B782*IBGE_2!AG$782/100</f>
        <v>0.14000000000000001</v>
      </c>
      <c r="AH782" s="142">
        <f>B782*IBGE_2!AH$782/100</f>
        <v>0.22699999999999998</v>
      </c>
      <c r="AI782" s="142">
        <f>B782*IBGE_2!AI$782/100</f>
        <v>333</v>
      </c>
      <c r="AJ782" s="142">
        <f>B782*IBGE_2!AJ$782/100</f>
        <v>33</v>
      </c>
      <c r="AK782" s="142" t="s">
        <v>3047</v>
      </c>
      <c r="AL782" s="142" t="s">
        <v>3047</v>
      </c>
      <c r="AM782" s="142" t="s">
        <v>3047</v>
      </c>
      <c r="AN782" s="161"/>
    </row>
    <row r="783" spans="1:40">
      <c r="A783" s="143" t="s">
        <v>1843</v>
      </c>
      <c r="B783" s="141">
        <v>100</v>
      </c>
      <c r="C783" s="142">
        <f>B783*IBGE_2!C$783/100</f>
        <v>199</v>
      </c>
      <c r="D783" s="142">
        <f>B783*IBGE_2!D$783/100</f>
        <v>36.119999999999997</v>
      </c>
      <c r="E783" s="142">
        <f>B783*IBGE_2!E$783/100</f>
        <v>5</v>
      </c>
      <c r="F783" s="142">
        <f>B783*IBGE_2!F$783/100</f>
        <v>1.72</v>
      </c>
      <c r="G783" s="142">
        <f>B783*IBGE_2!G$783/100</f>
        <v>2</v>
      </c>
      <c r="H783" s="142">
        <f>B783*IBGE_2!H$783/100</f>
        <v>0.22</v>
      </c>
      <c r="I783" s="142">
        <f>B783*IBGE_2!I$783/100</f>
        <v>0.17</v>
      </c>
      <c r="J783" s="142">
        <f>B783*IBGE_2!J$783/100</f>
        <v>0.02</v>
      </c>
      <c r="K783" s="142">
        <f>B783*IBGE_2!K$783/100</f>
        <v>90</v>
      </c>
      <c r="L783" s="142" t="s">
        <v>3047</v>
      </c>
      <c r="M783" s="142" t="s">
        <v>3047</v>
      </c>
      <c r="N783" s="142">
        <f>B783*IBGE_2!N$783/100</f>
        <v>4</v>
      </c>
      <c r="O783" s="142">
        <f>B783*IBGE_2!O$783/100</f>
        <v>26</v>
      </c>
      <c r="P783" s="142">
        <f>B783*IBGE_2!P$783/100</f>
        <v>1.7999999999999999E-2</v>
      </c>
      <c r="Q783" s="142">
        <f>B783*IBGE_2!Q$783/100</f>
        <v>226</v>
      </c>
      <c r="R783" s="142">
        <f>B783*IBGE_2!R$783/100</f>
        <v>3.32</v>
      </c>
      <c r="S783" s="142">
        <f>B783*IBGE_2!S$783/100</f>
        <v>45</v>
      </c>
      <c r="T783" s="142">
        <f>B783*IBGE_2!T$783/100</f>
        <v>334</v>
      </c>
      <c r="U783" s="142">
        <f>B783*IBGE_2!U$783/100</f>
        <v>0.124</v>
      </c>
      <c r="V783" s="142">
        <f>B783*IBGE_2!V$783/100</f>
        <v>4.5599999999999996</v>
      </c>
      <c r="W783" s="142" t="s">
        <v>3047</v>
      </c>
      <c r="X783" s="142">
        <f>B783*IBGE_2!X$783/100</f>
        <v>7.0000000000000007E-2</v>
      </c>
      <c r="Y783" s="142">
        <f>B783*IBGE_2!Y$783/100</f>
        <v>0.25</v>
      </c>
      <c r="Z783" s="142">
        <f>B783*IBGE_2!Z$783/100</f>
        <v>0.28000000000000003</v>
      </c>
      <c r="AA783" s="142">
        <f>B783*IBGE_2!AA$783/100</f>
        <v>3.81</v>
      </c>
      <c r="AB783" s="142" t="s">
        <v>3047</v>
      </c>
      <c r="AC783" s="142">
        <f>B783*IBGE_2!AC$783/100</f>
        <v>7.76</v>
      </c>
      <c r="AD783" s="142">
        <f>B783*IBGE_2!AD$783/100</f>
        <v>2.7</v>
      </c>
      <c r="AE783" s="142">
        <f>B783*IBGE_2!AE$783/100</f>
        <v>9</v>
      </c>
      <c r="AF783" s="142">
        <f>B783*IBGE_2!AF$783/100</f>
        <v>0.7</v>
      </c>
      <c r="AG783" s="142">
        <f>B783*IBGE_2!AG$783/100</f>
        <v>0.14000000000000001</v>
      </c>
      <c r="AH783" s="142">
        <f>B783*IBGE_2!AH$783/100</f>
        <v>0.22699999999999998</v>
      </c>
      <c r="AI783" s="142">
        <f>B783*IBGE_2!AI$783/100</f>
        <v>333</v>
      </c>
      <c r="AJ783" s="142">
        <f>B783*IBGE_2!AJ$783/100</f>
        <v>33</v>
      </c>
      <c r="AK783" s="142" t="s">
        <v>3047</v>
      </c>
      <c r="AL783" s="142" t="s">
        <v>3047</v>
      </c>
      <c r="AM783" s="142" t="s">
        <v>3047</v>
      </c>
      <c r="AN783" s="161"/>
    </row>
    <row r="784" spans="1:40">
      <c r="A784" s="143" t="s">
        <v>1844</v>
      </c>
      <c r="B784" s="141">
        <v>100</v>
      </c>
      <c r="C784" s="142">
        <f>B784*IBGE_2!C$784/100</f>
        <v>164</v>
      </c>
      <c r="D784" s="142">
        <f>B784*IBGE_2!D$784/100</f>
        <v>29.16</v>
      </c>
      <c r="E784" s="142">
        <f>B784*IBGE_2!E$784/100</f>
        <v>4.0359999999999996</v>
      </c>
      <c r="F784" s="142">
        <f>B784*IBGE_2!F$784/100</f>
        <v>1.381</v>
      </c>
      <c r="G784" s="142">
        <f>B784*IBGE_2!G$784/100</f>
        <v>1.605</v>
      </c>
      <c r="H784" s="142">
        <f>B784*IBGE_2!H$784/100</f>
        <v>0.191</v>
      </c>
      <c r="I784" s="142">
        <f>B784*IBGE_2!I$784/100</f>
        <v>0.15</v>
      </c>
      <c r="J784" s="142">
        <f>B784*IBGE_2!J$784/100</f>
        <v>1.7000000000000001E-2</v>
      </c>
      <c r="K784" s="142">
        <f>B784*IBGE_2!K$784/100</f>
        <v>72</v>
      </c>
      <c r="L784" s="142">
        <f>B784*IBGE_2!L$784/100</f>
        <v>1.0760000000000001</v>
      </c>
      <c r="M784" s="142">
        <f>B784*IBGE_2!M$784/100</f>
        <v>0.3</v>
      </c>
      <c r="N784" s="142">
        <f>B784*IBGE_2!N$784/100</f>
        <v>5.8</v>
      </c>
      <c r="O784" s="142">
        <f>B784*IBGE_2!O$784/100</f>
        <v>24</v>
      </c>
      <c r="P784" s="142">
        <f>B784*IBGE_2!P$784/100</f>
        <v>3.5999999999999997E-2</v>
      </c>
      <c r="Q784" s="142">
        <f>B784*IBGE_2!Q$784/100</f>
        <v>186</v>
      </c>
      <c r="R784" s="142">
        <f>B784*IBGE_2!R$784/100</f>
        <v>2.86</v>
      </c>
      <c r="S784" s="142">
        <f>B784*IBGE_2!S$784/100</f>
        <v>140.80000000000001</v>
      </c>
      <c r="T784" s="142">
        <f>B784*IBGE_2!T$784/100</f>
        <v>333.4</v>
      </c>
      <c r="U784" s="142">
        <f>B784*IBGE_2!U$784/100</f>
        <v>0.12300000000000001</v>
      </c>
      <c r="V784" s="142">
        <f>B784*IBGE_2!V$784/100</f>
        <v>3.6880000000000002</v>
      </c>
      <c r="W784" s="142" t="s">
        <v>3047</v>
      </c>
      <c r="X784" s="142">
        <f>B784*IBGE_2!X$784/100</f>
        <v>6.0999999999999999E-2</v>
      </c>
      <c r="Y784" s="142">
        <f>B784*IBGE_2!Y$784/100</f>
        <v>0.21299999999999999</v>
      </c>
      <c r="Z784" s="142">
        <f>B784*IBGE_2!Z$784/100</f>
        <v>0.24299999999999999</v>
      </c>
      <c r="AA784" s="142">
        <f>B784*IBGE_2!AA$784/100</f>
        <v>3.2430000000000003</v>
      </c>
      <c r="AB784" s="142">
        <f>B784*IBGE_2!AB$784/100</f>
        <v>1.4</v>
      </c>
      <c r="AC784" s="142">
        <f>B784*IBGE_2!AC$784/100</f>
        <v>6.4359999999999999</v>
      </c>
      <c r="AD784" s="142">
        <f>B784*IBGE_2!AD$784/100</f>
        <v>2.16</v>
      </c>
      <c r="AE784" s="142">
        <f>B784*IBGE_2!AE$784/100</f>
        <v>9.4</v>
      </c>
      <c r="AF784" s="142">
        <f>B784*IBGE_2!AF$784/100</f>
        <v>0.56000000000000005</v>
      </c>
      <c r="AG784" s="142">
        <f>B784*IBGE_2!AG$784/100</f>
        <v>0.39600000000000002</v>
      </c>
      <c r="AH784" s="142">
        <f>B784*IBGE_2!AH$784/100</f>
        <v>0.182</v>
      </c>
      <c r="AI784" s="142">
        <f>B784*IBGE_2!AI$784/100</f>
        <v>333</v>
      </c>
      <c r="AJ784" s="142">
        <f>B784*IBGE_2!AJ$784/100</f>
        <v>26.44</v>
      </c>
      <c r="AK784" s="142">
        <f>B784*IBGE_2!AK$784/100</f>
        <v>3.4830000000000001</v>
      </c>
      <c r="AL784" s="142">
        <f>B784*IBGE_2!AL$784/100</f>
        <v>0.85</v>
      </c>
      <c r="AM784" s="142" t="s">
        <v>3047</v>
      </c>
      <c r="AN784" s="161"/>
    </row>
    <row r="785" spans="1:40">
      <c r="A785" s="143" t="s">
        <v>1845</v>
      </c>
      <c r="B785" s="141">
        <v>100</v>
      </c>
      <c r="C785" s="142">
        <f>B785*IBGE_2!C$785/100</f>
        <v>221.65899999999999</v>
      </c>
      <c r="D785" s="142">
        <f>B785*IBGE_2!D$785/100</f>
        <v>36.119999999999997</v>
      </c>
      <c r="E785" s="142">
        <f>B785*IBGE_2!E$785/100</f>
        <v>7.5629999999999997</v>
      </c>
      <c r="F785" s="142">
        <f>B785*IBGE_2!F$785/100</f>
        <v>2.121</v>
      </c>
      <c r="G785" s="142">
        <f>B785*IBGE_2!G$785/100</f>
        <v>2.5840000000000005</v>
      </c>
      <c r="H785" s="142">
        <f>B785*IBGE_2!H$785/100</f>
        <v>1.7</v>
      </c>
      <c r="I785" s="142">
        <f>B785*IBGE_2!I$785/100</f>
        <v>1.476</v>
      </c>
      <c r="J785" s="142">
        <f>B785*IBGE_2!J$785/100</f>
        <v>0.19400000000000003</v>
      </c>
      <c r="K785" s="142">
        <f>B785*IBGE_2!K$785/100</f>
        <v>90</v>
      </c>
      <c r="L785" s="142" t="s">
        <v>3047</v>
      </c>
      <c r="M785" s="142" t="s">
        <v>3047</v>
      </c>
      <c r="N785" s="142">
        <f>B785*IBGE_2!N$785/100</f>
        <v>4</v>
      </c>
      <c r="O785" s="142">
        <f>B785*IBGE_2!O$785/100</f>
        <v>26</v>
      </c>
      <c r="P785" s="142">
        <f>B785*IBGE_2!P$785/100</f>
        <v>1.7999999999999999E-2</v>
      </c>
      <c r="Q785" s="142">
        <f>B785*IBGE_2!Q$785/100</f>
        <v>226</v>
      </c>
      <c r="R785" s="142">
        <f>B785*IBGE_2!R$785/100</f>
        <v>3.3210000000000002</v>
      </c>
      <c r="S785" s="142">
        <f>B785*IBGE_2!S$785/100</f>
        <v>45</v>
      </c>
      <c r="T785" s="142">
        <f>B785*IBGE_2!T$785/100</f>
        <v>334</v>
      </c>
      <c r="U785" s="142">
        <f>B785*IBGE_2!U$785/100</f>
        <v>0.124</v>
      </c>
      <c r="V785" s="142">
        <f>B785*IBGE_2!V$785/100</f>
        <v>4.5599999999999996</v>
      </c>
      <c r="W785" s="142" t="s">
        <v>3047</v>
      </c>
      <c r="X785" s="142">
        <f>B785*IBGE_2!X$785/100</f>
        <v>7.0000000000000007E-2</v>
      </c>
      <c r="Y785" s="142">
        <f>B785*IBGE_2!Y$785/100</f>
        <v>0.25</v>
      </c>
      <c r="Z785" s="142">
        <f>B785*IBGE_2!Z$785/100</f>
        <v>0.28000000000000003</v>
      </c>
      <c r="AA785" s="142">
        <f>B785*IBGE_2!AA$785/100</f>
        <v>3.81</v>
      </c>
      <c r="AB785" s="142" t="s">
        <v>3047</v>
      </c>
      <c r="AC785" s="142">
        <f>B785*IBGE_2!AC$785/100</f>
        <v>7.76</v>
      </c>
      <c r="AD785" s="142">
        <f>B785*IBGE_2!AD$785/100</f>
        <v>2.7</v>
      </c>
      <c r="AE785" s="142">
        <f>B785*IBGE_2!AE$785/100</f>
        <v>9</v>
      </c>
      <c r="AF785" s="142">
        <f>B785*IBGE_2!AF$785/100</f>
        <v>0.7</v>
      </c>
      <c r="AG785" s="142">
        <f>B785*IBGE_2!AG$785/100</f>
        <v>0.35</v>
      </c>
      <c r="AH785" s="142">
        <f>B785*IBGE_2!AH$785/100</f>
        <v>0.24099999999999999</v>
      </c>
      <c r="AI785" s="142">
        <f>B785*IBGE_2!AI$785/100</f>
        <v>333</v>
      </c>
      <c r="AJ785" s="142">
        <f>B785*IBGE_2!AJ$785/100</f>
        <v>34.174999999999997</v>
      </c>
      <c r="AK785" s="145" t="s">
        <v>3047</v>
      </c>
      <c r="AL785" s="145" t="s">
        <v>3047</v>
      </c>
      <c r="AM785" s="142" t="s">
        <v>3047</v>
      </c>
      <c r="AN785" s="161"/>
    </row>
    <row r="786" spans="1:40">
      <c r="A786" s="143" t="s">
        <v>1846</v>
      </c>
      <c r="B786" s="141">
        <v>100</v>
      </c>
      <c r="C786" s="142">
        <f>B786*IBGE_2!C$786/100</f>
        <v>63.941000000000003</v>
      </c>
      <c r="D786" s="142">
        <f>B786*IBGE_2!D$786/100</f>
        <v>3.8119999999999998</v>
      </c>
      <c r="E786" s="142">
        <f>B786*IBGE_2!E$786/100</f>
        <v>1.8069999999999999</v>
      </c>
      <c r="F786" s="142">
        <f>B786*IBGE_2!F$786/100</f>
        <v>0.67700000000000005</v>
      </c>
      <c r="G786" s="142">
        <f>B786*IBGE_2!G$786/100</f>
        <v>0.79200000000000004</v>
      </c>
      <c r="H786" s="142">
        <f>B786*IBGE_2!H$786/100</f>
        <v>9.4E-2</v>
      </c>
      <c r="I786" s="142">
        <f>B786*IBGE_2!I$786/100</f>
        <v>7.1999999999999995E-2</v>
      </c>
      <c r="J786" s="142">
        <f>B786*IBGE_2!J$786/100</f>
        <v>1.9E-2</v>
      </c>
      <c r="K786" s="142">
        <f>B786*IBGE_2!K$786/100</f>
        <v>7.86</v>
      </c>
      <c r="L786" s="142">
        <f>B786*IBGE_2!L$786/100</f>
        <v>7.7320000000000002</v>
      </c>
      <c r="M786" s="142">
        <f>B786*IBGE_2!M$786/100</f>
        <v>0.39200000000000002</v>
      </c>
      <c r="N786" s="142">
        <f>B786*IBGE_2!N$786/100</f>
        <v>6.6289999999999996</v>
      </c>
      <c r="O786" s="142">
        <f>B786*IBGE_2!O$786/100</f>
        <v>7.0270000000000001</v>
      </c>
      <c r="P786" s="142">
        <f>B786*IBGE_2!P$786/100</f>
        <v>5.2000000000000005E-2</v>
      </c>
      <c r="Q786" s="142">
        <f>B786*IBGE_2!Q$786/100</f>
        <v>39.854999999999997</v>
      </c>
      <c r="R786" s="142">
        <f>B786*IBGE_2!R$786/100</f>
        <v>0.65200000000000002</v>
      </c>
      <c r="S786" s="142">
        <f>B786*IBGE_2!S$786/100</f>
        <v>364.00900000000001</v>
      </c>
      <c r="T786" s="142">
        <f>B786*IBGE_2!T$786/100</f>
        <v>125.684</v>
      </c>
      <c r="U786" s="142">
        <f>B786*IBGE_2!U$786/100</f>
        <v>4.9000000000000002E-2</v>
      </c>
      <c r="V786" s="142">
        <f>B786*IBGE_2!V$786/100</f>
        <v>0.68200000000000005</v>
      </c>
      <c r="W786" s="142" t="s">
        <v>3047</v>
      </c>
      <c r="X786" s="142">
        <f>B786*IBGE_2!X$786/100</f>
        <v>4.7E-2</v>
      </c>
      <c r="Y786" s="142">
        <f>B786*IBGE_2!Y$786/100</f>
        <v>6.3E-2</v>
      </c>
      <c r="Z786" s="142">
        <f>B786*IBGE_2!Z$786/100</f>
        <v>6.9000000000000006E-2</v>
      </c>
      <c r="AA786" s="142">
        <f>B786*IBGE_2!AA$786/100</f>
        <v>1.2769999999999999</v>
      </c>
      <c r="AB786" s="142">
        <f>B786*IBGE_2!AB$786/100</f>
        <v>1.5740000000000001</v>
      </c>
      <c r="AC786" s="142">
        <f>B786*IBGE_2!AC$786/100</f>
        <v>1.962</v>
      </c>
      <c r="AD786" s="142">
        <f>B786*IBGE_2!AD$786/100</f>
        <v>0.33900000000000008</v>
      </c>
      <c r="AE786" s="142">
        <f>B786*IBGE_2!AE$786/100</f>
        <v>10.132999999999999</v>
      </c>
      <c r="AF786" s="142">
        <f>B786*IBGE_2!AF$786/100</f>
        <v>8.900000000000001E-2</v>
      </c>
      <c r="AG786" s="142">
        <f>B786*IBGE_2!AG$786/100</f>
        <v>3.9E-2</v>
      </c>
      <c r="AH786" s="142">
        <f>B786*IBGE_2!AH$786/100</f>
        <v>7.6999999999999999E-2</v>
      </c>
      <c r="AI786" s="145" t="s">
        <v>3047</v>
      </c>
      <c r="AJ786" s="142">
        <f>B786*IBGE_2!AJ$786/100</f>
        <v>4.8079999999999998</v>
      </c>
      <c r="AK786" s="142">
        <f>B786*IBGE_2!AK$786/100</f>
        <v>0.745</v>
      </c>
      <c r="AL786" s="142">
        <f>B786*IBGE_2!AL$786/100</f>
        <v>0.24199999999999999</v>
      </c>
      <c r="AM786" s="142" t="s">
        <v>3047</v>
      </c>
      <c r="AN786" s="161"/>
    </row>
    <row r="787" spans="1:40">
      <c r="A787" s="143" t="s">
        <v>1847</v>
      </c>
      <c r="B787" s="141">
        <v>100</v>
      </c>
      <c r="C787" s="142">
        <f>B787*IBGE_2!C$787/100</f>
        <v>242</v>
      </c>
      <c r="D787" s="142">
        <f>B787*IBGE_2!D$787/100</f>
        <v>24.22</v>
      </c>
      <c r="E787" s="142">
        <f>B787*IBGE_2!E$787/100</f>
        <v>15.42</v>
      </c>
      <c r="F787" s="142">
        <f>B787*IBGE_2!F$787/100</f>
        <v>5.7380000000000004</v>
      </c>
      <c r="G787" s="142">
        <f>B787*IBGE_2!G$787/100</f>
        <v>7.0019999999999989</v>
      </c>
      <c r="H787" s="142">
        <f>B787*IBGE_2!H$787/100</f>
        <v>0.61299999999999999</v>
      </c>
      <c r="I787" s="142">
        <f>B787*IBGE_2!I$787/100</f>
        <v>0.41600000000000004</v>
      </c>
      <c r="J787" s="142">
        <f>B787*IBGE_2!J$787/100</f>
        <v>0.16400000000000003</v>
      </c>
      <c r="K787" s="142">
        <f>B787*IBGE_2!K$787/100</f>
        <v>75</v>
      </c>
      <c r="L787" s="142" t="s">
        <v>3047</v>
      </c>
      <c r="M787" s="142" t="s">
        <v>3047</v>
      </c>
      <c r="N787" s="142">
        <f>B787*IBGE_2!N$787/100</f>
        <v>8</v>
      </c>
      <c r="O787" s="142">
        <f>B787*IBGE_2!O$787/100</f>
        <v>20</v>
      </c>
      <c r="P787" s="142">
        <f>B787*IBGE_2!P$787/100</f>
        <v>1E-3</v>
      </c>
      <c r="Q787" s="142">
        <f>B787*IBGE_2!Q$787/100</f>
        <v>196</v>
      </c>
      <c r="R787" s="142">
        <f>B787*IBGE_2!R$787/100</f>
        <v>2.81</v>
      </c>
      <c r="S787" s="142">
        <f>B787*IBGE_2!S$787/100</f>
        <v>67</v>
      </c>
      <c r="T787" s="142">
        <f>B787*IBGE_2!T$787/100</f>
        <v>337</v>
      </c>
      <c r="U787" s="142">
        <f>B787*IBGE_2!U$787/100</f>
        <v>9.3000000000000013E-2</v>
      </c>
      <c r="V787" s="142">
        <f>B787*IBGE_2!V$787/100</f>
        <v>5.71</v>
      </c>
      <c r="W787" s="142" t="s">
        <v>3047</v>
      </c>
      <c r="X787" s="142">
        <f>B787*IBGE_2!X$787/100</f>
        <v>8.1000000000000003E-2</v>
      </c>
      <c r="Y787" s="142">
        <f>B787*IBGE_2!Y$787/100</f>
        <v>0.22600000000000001</v>
      </c>
      <c r="Z787" s="142">
        <f>B787*IBGE_2!Z$787/100</f>
        <v>0.255</v>
      </c>
      <c r="AA787" s="142">
        <f>B787*IBGE_2!AA$787/100</f>
        <v>3.2069999999999999</v>
      </c>
      <c r="AB787" s="142" t="s">
        <v>3047</v>
      </c>
      <c r="AC787" s="142">
        <f>B787*IBGE_2!AC$787/100</f>
        <v>7.5739999999999998</v>
      </c>
      <c r="AD787" s="142">
        <f>B787*IBGE_2!AD$787/100</f>
        <v>2.83</v>
      </c>
      <c r="AE787" s="142">
        <f>B787*IBGE_2!AE$787/100</f>
        <v>9</v>
      </c>
      <c r="AF787" s="142">
        <f>B787*IBGE_2!AF$787/100</f>
        <v>0.7</v>
      </c>
      <c r="AG787" s="142">
        <f>B787*IBGE_2!AG$787/100</f>
        <v>0.14000000000000001</v>
      </c>
      <c r="AH787" s="142">
        <f>B787*IBGE_2!AH$787/100</f>
        <v>0.68</v>
      </c>
      <c r="AI787" s="142">
        <f>B787*IBGE_2!AI$787/100</f>
        <v>333</v>
      </c>
      <c r="AJ787" s="142">
        <f>B787*IBGE_2!AJ$787/100</f>
        <v>28.3</v>
      </c>
      <c r="AK787" s="142" t="s">
        <v>3047</v>
      </c>
      <c r="AL787" s="142" t="s">
        <v>3047</v>
      </c>
      <c r="AM787" s="142" t="s">
        <v>3047</v>
      </c>
      <c r="AN787" s="161"/>
    </row>
    <row r="788" spans="1:40">
      <c r="A788" s="143" t="s">
        <v>1848</v>
      </c>
      <c r="B788" s="141">
        <v>100</v>
      </c>
      <c r="C788" s="142">
        <f>B788*IBGE_2!C$788/100</f>
        <v>242</v>
      </c>
      <c r="D788" s="142">
        <f>B788*IBGE_2!D$788/100</f>
        <v>24.22</v>
      </c>
      <c r="E788" s="142">
        <f>B788*IBGE_2!E$788/100</f>
        <v>15.42</v>
      </c>
      <c r="F788" s="142">
        <f>B788*IBGE_2!F$788/100</f>
        <v>5.7380000000000004</v>
      </c>
      <c r="G788" s="142">
        <f>B788*IBGE_2!G$788/100</f>
        <v>7.0019999999999989</v>
      </c>
      <c r="H788" s="142">
        <f>B788*IBGE_2!H$788/100</f>
        <v>0.61299999999999999</v>
      </c>
      <c r="I788" s="142">
        <f>B788*IBGE_2!I$788/100</f>
        <v>0.41600000000000004</v>
      </c>
      <c r="J788" s="142">
        <f>B788*IBGE_2!J$788/100</f>
        <v>0.16400000000000003</v>
      </c>
      <c r="K788" s="142">
        <f>B788*IBGE_2!K$788/100</f>
        <v>75</v>
      </c>
      <c r="L788" s="142" t="s">
        <v>3047</v>
      </c>
      <c r="M788" s="142" t="s">
        <v>3047</v>
      </c>
      <c r="N788" s="142">
        <f>B788*IBGE_2!N$788/100</f>
        <v>8</v>
      </c>
      <c r="O788" s="142">
        <f>B788*IBGE_2!O$788/100</f>
        <v>20</v>
      </c>
      <c r="P788" s="142">
        <f>B788*IBGE_2!P$788/100</f>
        <v>1E-3</v>
      </c>
      <c r="Q788" s="142">
        <f>B788*IBGE_2!Q$788/100</f>
        <v>196</v>
      </c>
      <c r="R788" s="142">
        <f>B788*IBGE_2!R$788/100</f>
        <v>2.81</v>
      </c>
      <c r="S788" s="142">
        <f>B788*IBGE_2!S$788/100</f>
        <v>67</v>
      </c>
      <c r="T788" s="142">
        <f>B788*IBGE_2!T$788/100</f>
        <v>337</v>
      </c>
      <c r="U788" s="142">
        <f>B788*IBGE_2!U$788/100</f>
        <v>9.3000000000000013E-2</v>
      </c>
      <c r="V788" s="142">
        <f>B788*IBGE_2!V$788/100</f>
        <v>5.71</v>
      </c>
      <c r="W788" s="142" t="s">
        <v>3047</v>
      </c>
      <c r="X788" s="142">
        <f>B788*IBGE_2!X$788/100</f>
        <v>8.1000000000000003E-2</v>
      </c>
      <c r="Y788" s="142">
        <f>B788*IBGE_2!Y$788/100</f>
        <v>0.22600000000000001</v>
      </c>
      <c r="Z788" s="142">
        <f>B788*IBGE_2!Z$788/100</f>
        <v>0.255</v>
      </c>
      <c r="AA788" s="142">
        <f>B788*IBGE_2!AA$788/100</f>
        <v>3.2069999999999999</v>
      </c>
      <c r="AB788" s="142" t="s">
        <v>3047</v>
      </c>
      <c r="AC788" s="142">
        <f>B788*IBGE_2!AC$788/100</f>
        <v>7.5739999999999998</v>
      </c>
      <c r="AD788" s="142">
        <f>B788*IBGE_2!AD$788/100</f>
        <v>2.83</v>
      </c>
      <c r="AE788" s="142">
        <f>B788*IBGE_2!AE$788/100</f>
        <v>9</v>
      </c>
      <c r="AF788" s="142">
        <f>B788*IBGE_2!AF$788/100</f>
        <v>0.7</v>
      </c>
      <c r="AG788" s="142">
        <f>B788*IBGE_2!AG$788/100</f>
        <v>0.14000000000000001</v>
      </c>
      <c r="AH788" s="142">
        <f>B788*IBGE_2!AH$788/100</f>
        <v>0.68</v>
      </c>
      <c r="AI788" s="142">
        <f>B788*IBGE_2!AI$788/100</f>
        <v>333</v>
      </c>
      <c r="AJ788" s="142">
        <f>B788*IBGE_2!AJ$788/100</f>
        <v>28.3</v>
      </c>
      <c r="AK788" s="142" t="s">
        <v>3047</v>
      </c>
      <c r="AL788" s="142" t="s">
        <v>3047</v>
      </c>
      <c r="AM788" s="142" t="s">
        <v>3047</v>
      </c>
      <c r="AN788" s="161"/>
    </row>
    <row r="789" spans="1:40">
      <c r="A789" s="143" t="s">
        <v>1849</v>
      </c>
      <c r="B789" s="141">
        <v>100</v>
      </c>
      <c r="C789" s="142">
        <f>B789*IBGE_2!C$789/100</f>
        <v>264.65899999999999</v>
      </c>
      <c r="D789" s="142">
        <f>B789*IBGE_2!D$789/100</f>
        <v>24.22</v>
      </c>
      <c r="E789" s="142">
        <f>B789*IBGE_2!E$789/100</f>
        <v>17.983000000000001</v>
      </c>
      <c r="F789" s="142">
        <f>B789*IBGE_2!F$789/100</f>
        <v>6.1389999999999993</v>
      </c>
      <c r="G789" s="142">
        <f>B789*IBGE_2!G$789/100</f>
        <v>7.5860000000000003</v>
      </c>
      <c r="H789" s="142">
        <f>B789*IBGE_2!H$789/100</f>
        <v>2.093</v>
      </c>
      <c r="I789" s="142">
        <f>B789*IBGE_2!I$789/100</f>
        <v>1.722</v>
      </c>
      <c r="J789" s="142">
        <f>B789*IBGE_2!J$789/100</f>
        <v>0.33800000000000002</v>
      </c>
      <c r="K789" s="142">
        <f>B789*IBGE_2!K$789/100</f>
        <v>75</v>
      </c>
      <c r="L789" s="142" t="s">
        <v>3047</v>
      </c>
      <c r="M789" s="142" t="s">
        <v>3047</v>
      </c>
      <c r="N789" s="142">
        <f>B789*IBGE_2!N$789/100</f>
        <v>8</v>
      </c>
      <c r="O789" s="142">
        <f>B789*IBGE_2!O$789/100</f>
        <v>20</v>
      </c>
      <c r="P789" s="142">
        <f>B789*IBGE_2!P$789/100</f>
        <v>1E-3</v>
      </c>
      <c r="Q789" s="142">
        <f>B789*IBGE_2!Q$789/100</f>
        <v>196</v>
      </c>
      <c r="R789" s="142">
        <f>B789*IBGE_2!R$789/100</f>
        <v>2.8110000000000004</v>
      </c>
      <c r="S789" s="142">
        <f>B789*IBGE_2!S$789/100</f>
        <v>67</v>
      </c>
      <c r="T789" s="142">
        <f>B789*IBGE_2!T$789/100</f>
        <v>337</v>
      </c>
      <c r="U789" s="142">
        <f>B789*IBGE_2!U$789/100</f>
        <v>9.3000000000000013E-2</v>
      </c>
      <c r="V789" s="142">
        <f>B789*IBGE_2!V$789/100</f>
        <v>5.71</v>
      </c>
      <c r="W789" s="142" t="s">
        <v>3047</v>
      </c>
      <c r="X789" s="142">
        <f>B789*IBGE_2!X$789/100</f>
        <v>8.1000000000000003E-2</v>
      </c>
      <c r="Y789" s="142">
        <f>B789*IBGE_2!Y$789/100</f>
        <v>0.22600000000000001</v>
      </c>
      <c r="Z789" s="142">
        <f>B789*IBGE_2!Z$789/100</f>
        <v>0.255</v>
      </c>
      <c r="AA789" s="142">
        <f>B789*IBGE_2!AA$789/100</f>
        <v>3.2069999999999999</v>
      </c>
      <c r="AB789" s="142" t="s">
        <v>3047</v>
      </c>
      <c r="AC789" s="142">
        <f>B789*IBGE_2!AC$789/100</f>
        <v>7.5739999999999998</v>
      </c>
      <c r="AD789" s="142">
        <f>B789*IBGE_2!AD$789/100</f>
        <v>2.83</v>
      </c>
      <c r="AE789" s="142">
        <f>B789*IBGE_2!AE$789/100</f>
        <v>9</v>
      </c>
      <c r="AF789" s="142">
        <f>B789*IBGE_2!AF$789/100</f>
        <v>0.7</v>
      </c>
      <c r="AG789" s="142">
        <f>B789*IBGE_2!AG$789/100</f>
        <v>0.35</v>
      </c>
      <c r="AH789" s="142">
        <f>B789*IBGE_2!AH$789/100</f>
        <v>0.69399999999999995</v>
      </c>
      <c r="AI789" s="142">
        <f>B789*IBGE_2!AI$789/100</f>
        <v>333</v>
      </c>
      <c r="AJ789" s="142">
        <f>B789*IBGE_2!AJ$789/100</f>
        <v>29.475000000000001</v>
      </c>
      <c r="AK789" s="142" t="s">
        <v>3047</v>
      </c>
      <c r="AL789" s="142" t="s">
        <v>3047</v>
      </c>
      <c r="AM789" s="142" t="s">
        <v>3047</v>
      </c>
      <c r="AN789" s="161"/>
    </row>
    <row r="790" spans="1:40">
      <c r="A790" s="143" t="s">
        <v>1850</v>
      </c>
      <c r="B790" s="141">
        <v>100</v>
      </c>
      <c r="C790" s="142">
        <f>B790*IBGE_2!C$790/100</f>
        <v>199</v>
      </c>
      <c r="D790" s="142">
        <f>B790*IBGE_2!D$790/100</f>
        <v>36.119999999999997</v>
      </c>
      <c r="E790" s="142">
        <f>B790*IBGE_2!E$790/100</f>
        <v>5</v>
      </c>
      <c r="F790" s="142">
        <f>B790*IBGE_2!F$790/100</f>
        <v>1.72</v>
      </c>
      <c r="G790" s="142">
        <f>B790*IBGE_2!G$790/100</f>
        <v>2</v>
      </c>
      <c r="H790" s="142">
        <f>B790*IBGE_2!H$790/100</f>
        <v>0.22</v>
      </c>
      <c r="I790" s="142">
        <f>B790*IBGE_2!I$790/100</f>
        <v>0.17</v>
      </c>
      <c r="J790" s="142">
        <f>B790*IBGE_2!J$790/100</f>
        <v>0.02</v>
      </c>
      <c r="K790" s="142">
        <f>B790*IBGE_2!K$790/100</f>
        <v>90</v>
      </c>
      <c r="L790" s="142" t="s">
        <v>3047</v>
      </c>
      <c r="M790" s="142" t="s">
        <v>3047</v>
      </c>
      <c r="N790" s="142">
        <f>B790*IBGE_2!N$790/100</f>
        <v>4</v>
      </c>
      <c r="O790" s="142">
        <f>B790*IBGE_2!O$790/100</f>
        <v>26</v>
      </c>
      <c r="P790" s="142">
        <f>B790*IBGE_2!P$790/100</f>
        <v>1.7999999999999999E-2</v>
      </c>
      <c r="Q790" s="142">
        <f>B790*IBGE_2!Q$790/100</f>
        <v>226</v>
      </c>
      <c r="R790" s="142">
        <f>B790*IBGE_2!R$790/100</f>
        <v>3.32</v>
      </c>
      <c r="S790" s="142">
        <f>B790*IBGE_2!S$790/100</f>
        <v>45</v>
      </c>
      <c r="T790" s="142">
        <f>B790*IBGE_2!T$790/100</f>
        <v>334</v>
      </c>
      <c r="U790" s="142">
        <f>B790*IBGE_2!U$790/100</f>
        <v>0.124</v>
      </c>
      <c r="V790" s="142">
        <f>B790*IBGE_2!V$790/100</f>
        <v>4.5599999999999996</v>
      </c>
      <c r="W790" s="142" t="s">
        <v>3047</v>
      </c>
      <c r="X790" s="142">
        <f>B790*IBGE_2!X$790/100</f>
        <v>7.0000000000000007E-2</v>
      </c>
      <c r="Y790" s="142">
        <f>B790*IBGE_2!Y$790/100</f>
        <v>0.25</v>
      </c>
      <c r="Z790" s="142">
        <f>B790*IBGE_2!Z$790/100</f>
        <v>0.28000000000000003</v>
      </c>
      <c r="AA790" s="142">
        <f>B790*IBGE_2!AA$790/100</f>
        <v>3.81</v>
      </c>
      <c r="AB790" s="142" t="s">
        <v>3047</v>
      </c>
      <c r="AC790" s="142">
        <f>B790*IBGE_2!AC$790/100</f>
        <v>7.76</v>
      </c>
      <c r="AD790" s="142">
        <f>B790*IBGE_2!AD$790/100</f>
        <v>2.7</v>
      </c>
      <c r="AE790" s="142">
        <f>B790*IBGE_2!AE$790/100</f>
        <v>9</v>
      </c>
      <c r="AF790" s="142">
        <f>B790*IBGE_2!AF$790/100</f>
        <v>0.7</v>
      </c>
      <c r="AG790" s="142">
        <f>B790*IBGE_2!AG$790/100</f>
        <v>0.14000000000000001</v>
      </c>
      <c r="AH790" s="142">
        <f>B790*IBGE_2!AH$790/100</f>
        <v>0.22699999999999998</v>
      </c>
      <c r="AI790" s="142">
        <f>B790*IBGE_2!AI$790/100</f>
        <v>333</v>
      </c>
      <c r="AJ790" s="142">
        <f>B790*IBGE_2!AJ$790/100</f>
        <v>33</v>
      </c>
      <c r="AK790" s="142" t="s">
        <v>3047</v>
      </c>
      <c r="AL790" s="142" t="s">
        <v>3047</v>
      </c>
      <c r="AM790" s="142" t="s">
        <v>3047</v>
      </c>
      <c r="AN790" s="161"/>
    </row>
    <row r="791" spans="1:40">
      <c r="A791" s="143" t="s">
        <v>1851</v>
      </c>
      <c r="B791" s="141">
        <v>100</v>
      </c>
      <c r="C791" s="142">
        <f>B791*IBGE_2!C$791/100</f>
        <v>221.65899999999999</v>
      </c>
      <c r="D791" s="142">
        <f>B791*IBGE_2!D$791/100</f>
        <v>36.119999999999997</v>
      </c>
      <c r="E791" s="142">
        <f>B791*IBGE_2!E$791/100</f>
        <v>7.5629999999999997</v>
      </c>
      <c r="F791" s="142">
        <f>B791*IBGE_2!F$791/100</f>
        <v>2.121</v>
      </c>
      <c r="G791" s="142">
        <f>B791*IBGE_2!G$791/100</f>
        <v>2.5840000000000005</v>
      </c>
      <c r="H791" s="142">
        <f>B791*IBGE_2!H$791/100</f>
        <v>1.7</v>
      </c>
      <c r="I791" s="142">
        <f>B791*IBGE_2!I$791/100</f>
        <v>1.476</v>
      </c>
      <c r="J791" s="142">
        <f>B791*IBGE_2!J$791/100</f>
        <v>0.19400000000000003</v>
      </c>
      <c r="K791" s="142">
        <f>B791*IBGE_2!K$791/100</f>
        <v>90</v>
      </c>
      <c r="L791" s="142" t="s">
        <v>3047</v>
      </c>
      <c r="M791" s="142" t="s">
        <v>3047</v>
      </c>
      <c r="N791" s="142">
        <f>B791*IBGE_2!N$791/100</f>
        <v>4</v>
      </c>
      <c r="O791" s="142">
        <f>B791*IBGE_2!O$791/100</f>
        <v>26</v>
      </c>
      <c r="P791" s="142">
        <f>B791*IBGE_2!P$791/100</f>
        <v>1.7999999999999999E-2</v>
      </c>
      <c r="Q791" s="142">
        <f>B791*IBGE_2!Q$791/100</f>
        <v>226</v>
      </c>
      <c r="R791" s="142">
        <f>B791*IBGE_2!R$791/100</f>
        <v>3.3210000000000002</v>
      </c>
      <c r="S791" s="142">
        <f>B791*IBGE_2!S$791/100</f>
        <v>45</v>
      </c>
      <c r="T791" s="142">
        <f>B791*IBGE_2!T$791/100</f>
        <v>334</v>
      </c>
      <c r="U791" s="142">
        <f>B791*IBGE_2!U$791/100</f>
        <v>0.124</v>
      </c>
      <c r="V791" s="142">
        <f>B791*IBGE_2!V$791/100</f>
        <v>4.5599999999999996</v>
      </c>
      <c r="W791" s="142" t="s">
        <v>3047</v>
      </c>
      <c r="X791" s="142">
        <f>B791*IBGE_2!X$791/100</f>
        <v>7.0000000000000007E-2</v>
      </c>
      <c r="Y791" s="142">
        <f>B791*IBGE_2!Y$791/100</f>
        <v>0.25</v>
      </c>
      <c r="Z791" s="142">
        <f>B791*IBGE_2!Z$791/100</f>
        <v>0.28000000000000003</v>
      </c>
      <c r="AA791" s="142">
        <f>B791*IBGE_2!AA$791/100</f>
        <v>3.81</v>
      </c>
      <c r="AB791" s="142" t="s">
        <v>3047</v>
      </c>
      <c r="AC791" s="142">
        <f>B791*IBGE_2!AC$791/100</f>
        <v>7.76</v>
      </c>
      <c r="AD791" s="142">
        <f>B791*IBGE_2!AD$791/100</f>
        <v>2.7</v>
      </c>
      <c r="AE791" s="142">
        <f>B791*IBGE_2!AE$791/100</f>
        <v>9</v>
      </c>
      <c r="AF791" s="142">
        <f>B791*IBGE_2!AF$791/100</f>
        <v>0.7</v>
      </c>
      <c r="AG791" s="142">
        <f>B791*IBGE_2!AG$791/100</f>
        <v>0.35</v>
      </c>
      <c r="AH791" s="142">
        <f>B791*IBGE_2!AH$791/100</f>
        <v>0.24099999999999999</v>
      </c>
      <c r="AI791" s="142">
        <f>B791*IBGE_2!AI$791/100</f>
        <v>333</v>
      </c>
      <c r="AJ791" s="142">
        <f>B791*IBGE_2!AJ$791/100</f>
        <v>34.174999999999997</v>
      </c>
      <c r="AK791" s="142" t="s">
        <v>3047</v>
      </c>
      <c r="AL791" s="142" t="s">
        <v>3047</v>
      </c>
      <c r="AM791" s="142" t="s">
        <v>3047</v>
      </c>
      <c r="AN791" s="161"/>
    </row>
    <row r="792" spans="1:40">
      <c r="A792" s="143" t="s">
        <v>1852</v>
      </c>
      <c r="B792" s="141">
        <v>100</v>
      </c>
      <c r="C792" s="142">
        <f>B792*IBGE_2!C$792/100</f>
        <v>221.65899999999999</v>
      </c>
      <c r="D792" s="142">
        <f>B792*IBGE_2!D$792/100</f>
        <v>36.119999999999997</v>
      </c>
      <c r="E792" s="142">
        <f>B792*IBGE_2!E$792/100</f>
        <v>7.5629999999999997</v>
      </c>
      <c r="F792" s="142">
        <f>B792*IBGE_2!F$792/100</f>
        <v>2.121</v>
      </c>
      <c r="G792" s="142">
        <f>B792*IBGE_2!G$792/100</f>
        <v>2.5840000000000005</v>
      </c>
      <c r="H792" s="142">
        <f>B792*IBGE_2!H$792/100</f>
        <v>1.7</v>
      </c>
      <c r="I792" s="142">
        <f>B792*IBGE_2!I$792/100</f>
        <v>1.476</v>
      </c>
      <c r="J792" s="142">
        <f>B792*IBGE_2!J$792/100</f>
        <v>0.19400000000000003</v>
      </c>
      <c r="K792" s="142">
        <f>B792*IBGE_2!K$792/100</f>
        <v>90</v>
      </c>
      <c r="L792" s="142" t="s">
        <v>3047</v>
      </c>
      <c r="M792" s="142" t="s">
        <v>3047</v>
      </c>
      <c r="N792" s="142">
        <f>B792*IBGE_2!N$792/100</f>
        <v>4</v>
      </c>
      <c r="O792" s="142">
        <f>B792*IBGE_2!O$792/100</f>
        <v>26</v>
      </c>
      <c r="P792" s="142">
        <f>B792*IBGE_2!P$792/100</f>
        <v>1.7999999999999999E-2</v>
      </c>
      <c r="Q792" s="142">
        <f>B792*IBGE_2!Q$792/100</f>
        <v>226</v>
      </c>
      <c r="R792" s="142">
        <f>B792*IBGE_2!R$792/100</f>
        <v>3.3210000000000002</v>
      </c>
      <c r="S792" s="142">
        <f>B792*IBGE_2!S$792/100</f>
        <v>45</v>
      </c>
      <c r="T792" s="142">
        <f>B792*IBGE_2!T$792/100</f>
        <v>334</v>
      </c>
      <c r="U792" s="142">
        <f>B792*IBGE_2!U$792/100</f>
        <v>0.124</v>
      </c>
      <c r="V792" s="142">
        <f>B792*IBGE_2!V$792/100</f>
        <v>4.5599999999999996</v>
      </c>
      <c r="W792" s="142" t="s">
        <v>3047</v>
      </c>
      <c r="X792" s="142">
        <f>B792*IBGE_2!X$792/100</f>
        <v>7.0000000000000007E-2</v>
      </c>
      <c r="Y792" s="142">
        <f>B792*IBGE_2!Y$792/100</f>
        <v>0.25</v>
      </c>
      <c r="Z792" s="142">
        <f>B792*IBGE_2!Z$792/100</f>
        <v>0.28000000000000003</v>
      </c>
      <c r="AA792" s="142">
        <f>B792*IBGE_2!AA$792/100</f>
        <v>3.81</v>
      </c>
      <c r="AB792" s="142" t="s">
        <v>3047</v>
      </c>
      <c r="AC792" s="142">
        <f>B792*IBGE_2!AC$792/100</f>
        <v>7.76</v>
      </c>
      <c r="AD792" s="142">
        <f>B792*IBGE_2!AD$792/100</f>
        <v>2.7</v>
      </c>
      <c r="AE792" s="142">
        <f>B792*IBGE_2!AE$792/100</f>
        <v>9</v>
      </c>
      <c r="AF792" s="142">
        <f>B792*IBGE_2!AF$792/100</f>
        <v>0.7</v>
      </c>
      <c r="AG792" s="142">
        <f>B792*IBGE_2!AG$792/100</f>
        <v>0.35</v>
      </c>
      <c r="AH792" s="142">
        <f>B792*IBGE_2!AH$792/100</f>
        <v>0.24099999999999999</v>
      </c>
      <c r="AI792" s="142">
        <f>B792*IBGE_2!AI$792/100</f>
        <v>333</v>
      </c>
      <c r="AJ792" s="142">
        <f>B792*IBGE_2!AJ$792/100</f>
        <v>34.174999999999997</v>
      </c>
      <c r="AK792" s="142" t="s">
        <v>3047</v>
      </c>
      <c r="AL792" s="142" t="s">
        <v>3047</v>
      </c>
      <c r="AM792" s="142" t="s">
        <v>3047</v>
      </c>
      <c r="AN792" s="161"/>
    </row>
    <row r="793" spans="1:40">
      <c r="A793" s="143" t="s">
        <v>1853</v>
      </c>
      <c r="B793" s="141">
        <v>100</v>
      </c>
      <c r="C793" s="142">
        <f>B793*IBGE_2!C$793/100</f>
        <v>204</v>
      </c>
      <c r="D793" s="142">
        <f>B793*IBGE_2!D$793/100</f>
        <v>30.67</v>
      </c>
      <c r="E793" s="142">
        <f>B793*IBGE_2!E$793/100</f>
        <v>9</v>
      </c>
      <c r="F793" s="142">
        <f>B793*IBGE_2!F$793/100</f>
        <v>3.415</v>
      </c>
      <c r="G793" s="142">
        <f>B793*IBGE_2!G$793/100</f>
        <v>3.9180000000000001</v>
      </c>
      <c r="H793" s="142">
        <f>B793*IBGE_2!H$793/100</f>
        <v>0.34699999999999998</v>
      </c>
      <c r="I793" s="142">
        <f>B793*IBGE_2!I$793/100</f>
        <v>0.23799999999999996</v>
      </c>
      <c r="J793" s="142">
        <f>B793*IBGE_2!J$793/100</f>
        <v>8.6999999999999994E-2</v>
      </c>
      <c r="K793" s="142">
        <f>B793*IBGE_2!K$793/100</f>
        <v>58</v>
      </c>
      <c r="L793" s="142" t="s">
        <v>3047</v>
      </c>
      <c r="M793" s="142" t="s">
        <v>3047</v>
      </c>
      <c r="N793" s="142">
        <f>B793*IBGE_2!N$793/100</f>
        <v>7</v>
      </c>
      <c r="O793" s="142">
        <f>B793*IBGE_2!O$793/100</f>
        <v>20</v>
      </c>
      <c r="P793" s="142">
        <f>B793*IBGE_2!P$793/100</f>
        <v>1.0999999999999999E-2</v>
      </c>
      <c r="Q793" s="142">
        <f>B793*IBGE_2!Q$793/100</f>
        <v>193</v>
      </c>
      <c r="R793" s="142">
        <f>B793*IBGE_2!R$793/100</f>
        <v>2.5299999999999998</v>
      </c>
      <c r="S793" s="142">
        <f>B793*IBGE_2!S$793/100</f>
        <v>41</v>
      </c>
      <c r="T793" s="142">
        <f>B793*IBGE_2!T$793/100</f>
        <v>252</v>
      </c>
      <c r="U793" s="142">
        <f>B793*IBGE_2!U$793/100</f>
        <v>7.3999999999999996E-2</v>
      </c>
      <c r="V793" s="142">
        <f>B793*IBGE_2!V$793/100</f>
        <v>5.2</v>
      </c>
      <c r="W793" s="142" t="s">
        <v>3047</v>
      </c>
      <c r="X793" s="142">
        <f>B793*IBGE_2!X$793/100</f>
        <v>7.0000000000000007E-2</v>
      </c>
      <c r="Y793" s="142">
        <f>B793*IBGE_2!Y$793/100</f>
        <v>0.16300000000000001</v>
      </c>
      <c r="Z793" s="142">
        <f>B793*IBGE_2!Z$793/100</f>
        <v>0.40300000000000002</v>
      </c>
      <c r="AA793" s="142">
        <f>B793*IBGE_2!AA$793/100</f>
        <v>5.36</v>
      </c>
      <c r="AB793" s="142" t="s">
        <v>3047</v>
      </c>
      <c r="AC793" s="142">
        <f>B793*IBGE_2!AC$793/100</f>
        <v>8.7270000000000003</v>
      </c>
      <c r="AD793" s="142">
        <f>B793*IBGE_2!AD$793/100</f>
        <v>1.71</v>
      </c>
      <c r="AE793" s="142">
        <f>B793*IBGE_2!AE$793/100</f>
        <v>10</v>
      </c>
      <c r="AF793" s="142">
        <f>B793*IBGE_2!AF$793/100</f>
        <v>0.6</v>
      </c>
      <c r="AG793" s="142">
        <f>B793*IBGE_2!AG$793/100</f>
        <v>0.43</v>
      </c>
      <c r="AH793" s="142">
        <f>B793*IBGE_2!AH$793/100</f>
        <v>0.40899999999999997</v>
      </c>
      <c r="AI793" s="142">
        <f>B793*IBGE_2!AI$793/100</f>
        <v>333</v>
      </c>
      <c r="AJ793" s="142">
        <f>B793*IBGE_2!AJ$793/100</f>
        <v>31.7</v>
      </c>
      <c r="AK793" s="142" t="s">
        <v>3047</v>
      </c>
      <c r="AL793" s="142" t="s">
        <v>3047</v>
      </c>
      <c r="AM793" s="142" t="s">
        <v>3047</v>
      </c>
      <c r="AN793" s="161"/>
    </row>
    <row r="794" spans="1:40">
      <c r="A794" s="143" t="s">
        <v>1854</v>
      </c>
      <c r="B794" s="141">
        <v>100</v>
      </c>
      <c r="C794" s="142">
        <f>B794*IBGE_2!C$794/100</f>
        <v>204</v>
      </c>
      <c r="D794" s="142">
        <f>B794*IBGE_2!D$794/100</f>
        <v>30.67</v>
      </c>
      <c r="E794" s="142">
        <f>B794*IBGE_2!E$794/100</f>
        <v>9</v>
      </c>
      <c r="F794" s="142">
        <f>B794*IBGE_2!F$794/100</f>
        <v>3.415</v>
      </c>
      <c r="G794" s="142">
        <f>B794*IBGE_2!G$794/100</f>
        <v>3.9180000000000001</v>
      </c>
      <c r="H794" s="142">
        <f>B794*IBGE_2!H$794/100</f>
        <v>0.34699999999999998</v>
      </c>
      <c r="I794" s="142">
        <f>B794*IBGE_2!I$794/100</f>
        <v>0.23799999999999996</v>
      </c>
      <c r="J794" s="142">
        <f>B794*IBGE_2!J$794/100</f>
        <v>8.6999999999999994E-2</v>
      </c>
      <c r="K794" s="142">
        <f>B794*IBGE_2!K$794/100</f>
        <v>58</v>
      </c>
      <c r="L794" s="142" t="s">
        <v>3047</v>
      </c>
      <c r="M794" s="142" t="s">
        <v>3047</v>
      </c>
      <c r="N794" s="142">
        <f>B794*IBGE_2!N$794/100</f>
        <v>7</v>
      </c>
      <c r="O794" s="142">
        <f>B794*IBGE_2!O$794/100</f>
        <v>20</v>
      </c>
      <c r="P794" s="142">
        <f>B794*IBGE_2!P$794/100</f>
        <v>1.0999999999999999E-2</v>
      </c>
      <c r="Q794" s="142">
        <f>B794*IBGE_2!Q$794/100</f>
        <v>193</v>
      </c>
      <c r="R794" s="142">
        <f>B794*IBGE_2!R$794/100</f>
        <v>2.5299999999999998</v>
      </c>
      <c r="S794" s="142">
        <f>B794*IBGE_2!S$794/100</f>
        <v>41</v>
      </c>
      <c r="T794" s="142">
        <f>B794*IBGE_2!T$794/100</f>
        <v>252</v>
      </c>
      <c r="U794" s="142">
        <f>B794*IBGE_2!U$794/100</f>
        <v>7.3999999999999996E-2</v>
      </c>
      <c r="V794" s="142">
        <f>B794*IBGE_2!V$794/100</f>
        <v>5.2</v>
      </c>
      <c r="W794" s="142" t="s">
        <v>3047</v>
      </c>
      <c r="X794" s="142">
        <f>B794*IBGE_2!X$794/100</f>
        <v>7.0000000000000007E-2</v>
      </c>
      <c r="Y794" s="142">
        <f>B794*IBGE_2!Y$794/100</f>
        <v>0.16300000000000001</v>
      </c>
      <c r="Z794" s="142">
        <f>B794*IBGE_2!Z$794/100</f>
        <v>0.40300000000000002</v>
      </c>
      <c r="AA794" s="142">
        <f>B794*IBGE_2!AA$794/100</f>
        <v>5.36</v>
      </c>
      <c r="AB794" s="142" t="s">
        <v>3047</v>
      </c>
      <c r="AC794" s="142">
        <f>B794*IBGE_2!AC$794/100</f>
        <v>8.7270000000000003</v>
      </c>
      <c r="AD794" s="142">
        <f>B794*IBGE_2!AD$794/100</f>
        <v>1.71</v>
      </c>
      <c r="AE794" s="142">
        <f>B794*IBGE_2!AE$794/100</f>
        <v>10</v>
      </c>
      <c r="AF794" s="142">
        <f>B794*IBGE_2!AF$794/100</f>
        <v>0.6</v>
      </c>
      <c r="AG794" s="142">
        <f>B794*IBGE_2!AG$794/100</f>
        <v>0.43</v>
      </c>
      <c r="AH794" s="142">
        <f>B794*IBGE_2!AH$794/100</f>
        <v>0.40899999999999997</v>
      </c>
      <c r="AI794" s="142">
        <f>B794*IBGE_2!AI$794/100</f>
        <v>333</v>
      </c>
      <c r="AJ794" s="142">
        <f>B794*IBGE_2!AJ$794/100</f>
        <v>31.7</v>
      </c>
      <c r="AK794" s="142" t="s">
        <v>3047</v>
      </c>
      <c r="AL794" s="142" t="s">
        <v>3047</v>
      </c>
      <c r="AM794" s="142" t="s">
        <v>3047</v>
      </c>
      <c r="AN794" s="161"/>
    </row>
    <row r="795" spans="1:40">
      <c r="A795" s="143" t="s">
        <v>1855</v>
      </c>
      <c r="B795" s="141">
        <v>100</v>
      </c>
      <c r="C795" s="142">
        <f>B795*IBGE_2!C$795/100</f>
        <v>226.65899999999999</v>
      </c>
      <c r="D795" s="142">
        <f>B795*IBGE_2!D$795/100</f>
        <v>30.67</v>
      </c>
      <c r="E795" s="142">
        <f>B795*IBGE_2!E$795/100</f>
        <v>11.562999999999999</v>
      </c>
      <c r="F795" s="142">
        <f>B795*IBGE_2!F$795/100</f>
        <v>3.8159999999999998</v>
      </c>
      <c r="G795" s="142">
        <f>B795*IBGE_2!G$795/100</f>
        <v>4.5019999999999998</v>
      </c>
      <c r="H795" s="142">
        <f>B795*IBGE_2!H$795/100</f>
        <v>1.827</v>
      </c>
      <c r="I795" s="142">
        <f>B795*IBGE_2!I$795/100</f>
        <v>1.544</v>
      </c>
      <c r="J795" s="142">
        <f>B795*IBGE_2!J$795/100</f>
        <v>0.26100000000000001</v>
      </c>
      <c r="K795" s="142">
        <f>B795*IBGE_2!K$795/100</f>
        <v>58</v>
      </c>
      <c r="L795" s="142" t="s">
        <v>3047</v>
      </c>
      <c r="M795" s="142" t="s">
        <v>3047</v>
      </c>
      <c r="N795" s="142">
        <f>B795*IBGE_2!N$795/100</f>
        <v>7</v>
      </c>
      <c r="O795" s="142">
        <f>B795*IBGE_2!O$795/100</f>
        <v>20</v>
      </c>
      <c r="P795" s="142">
        <f>B795*IBGE_2!P$795/100</f>
        <v>1.0999999999999999E-2</v>
      </c>
      <c r="Q795" s="142">
        <f>B795*IBGE_2!Q$795/100</f>
        <v>193</v>
      </c>
      <c r="R795" s="142">
        <f>B795*IBGE_2!R$795/100</f>
        <v>2.5310000000000001</v>
      </c>
      <c r="S795" s="142">
        <f>B795*IBGE_2!S$795/100</f>
        <v>41</v>
      </c>
      <c r="T795" s="142">
        <f>B795*IBGE_2!T$795/100</f>
        <v>252</v>
      </c>
      <c r="U795" s="142">
        <f>B795*IBGE_2!U$795/100</f>
        <v>7.3999999999999996E-2</v>
      </c>
      <c r="V795" s="142">
        <f>B795*IBGE_2!V$795/100</f>
        <v>5.2</v>
      </c>
      <c r="W795" s="142" t="s">
        <v>3047</v>
      </c>
      <c r="X795" s="142">
        <f>B795*IBGE_2!X$795/100</f>
        <v>7.0000000000000007E-2</v>
      </c>
      <c r="Y795" s="142">
        <f>B795*IBGE_2!Y$795/100</f>
        <v>0.16300000000000001</v>
      </c>
      <c r="Z795" s="142">
        <f>B795*IBGE_2!Z$795/100</f>
        <v>0.40300000000000002</v>
      </c>
      <c r="AA795" s="142">
        <f>B795*IBGE_2!AA$795/100</f>
        <v>5.36</v>
      </c>
      <c r="AB795" s="142" t="s">
        <v>3047</v>
      </c>
      <c r="AC795" s="142">
        <f>B795*IBGE_2!AC$795/100</f>
        <v>8.7270000000000003</v>
      </c>
      <c r="AD795" s="142">
        <f>B795*IBGE_2!AD$795/100</f>
        <v>1.71</v>
      </c>
      <c r="AE795" s="142">
        <f>B795*IBGE_2!AE$795/100</f>
        <v>10</v>
      </c>
      <c r="AF795" s="142">
        <f>B795*IBGE_2!AF$795/100</f>
        <v>0.6</v>
      </c>
      <c r="AG795" s="142">
        <f>B795*IBGE_2!AG$795/100</f>
        <v>0.64</v>
      </c>
      <c r="AH795" s="142">
        <f>B795*IBGE_2!AH$795/100</f>
        <v>0.42299999999999999</v>
      </c>
      <c r="AI795" s="142">
        <f>B795*IBGE_2!AI$795/100</f>
        <v>333</v>
      </c>
      <c r="AJ795" s="142">
        <f>B795*IBGE_2!AJ$795/100</f>
        <v>32.875</v>
      </c>
      <c r="AK795" s="142" t="s">
        <v>3047</v>
      </c>
      <c r="AL795" s="142" t="s">
        <v>3047</v>
      </c>
      <c r="AM795" s="142" t="s">
        <v>3047</v>
      </c>
      <c r="AN795" s="161"/>
    </row>
    <row r="796" spans="1:40">
      <c r="A796" s="143" t="s">
        <v>1856</v>
      </c>
      <c r="B796" s="141">
        <v>100</v>
      </c>
      <c r="C796" s="142">
        <f>B796*IBGE_2!C$796/100</f>
        <v>204</v>
      </c>
      <c r="D796" s="142">
        <f>B796*IBGE_2!D$796/100</f>
        <v>30.67</v>
      </c>
      <c r="E796" s="142">
        <f>B796*IBGE_2!E$796/100</f>
        <v>9</v>
      </c>
      <c r="F796" s="142">
        <f>B796*IBGE_2!F$796/100</f>
        <v>3.415</v>
      </c>
      <c r="G796" s="142">
        <f>B796*IBGE_2!G$796/100</f>
        <v>3.9180000000000001</v>
      </c>
      <c r="H796" s="142">
        <f>B796*IBGE_2!H$796/100</f>
        <v>0.34699999999999998</v>
      </c>
      <c r="I796" s="142">
        <f>B796*IBGE_2!I$796/100</f>
        <v>0.23799999999999996</v>
      </c>
      <c r="J796" s="142">
        <f>B796*IBGE_2!J$796/100</f>
        <v>8.6999999999999994E-2</v>
      </c>
      <c r="K796" s="142">
        <f>B796*IBGE_2!K$796/100</f>
        <v>58</v>
      </c>
      <c r="L796" s="142" t="s">
        <v>3047</v>
      </c>
      <c r="M796" s="142" t="s">
        <v>3047</v>
      </c>
      <c r="N796" s="142">
        <f>B796*IBGE_2!N$796/100</f>
        <v>7</v>
      </c>
      <c r="O796" s="142">
        <f>B796*IBGE_2!O$796/100</f>
        <v>20</v>
      </c>
      <c r="P796" s="142">
        <f>B796*IBGE_2!P$796/100</f>
        <v>1.0999999999999999E-2</v>
      </c>
      <c r="Q796" s="142">
        <f>B796*IBGE_2!Q$796/100</f>
        <v>193</v>
      </c>
      <c r="R796" s="142">
        <f>B796*IBGE_2!R$796/100</f>
        <v>2.5299999999999998</v>
      </c>
      <c r="S796" s="142">
        <f>B796*IBGE_2!S$796/100</f>
        <v>41</v>
      </c>
      <c r="T796" s="142">
        <f>B796*IBGE_2!T$796/100</f>
        <v>252</v>
      </c>
      <c r="U796" s="142">
        <f>B796*IBGE_2!U$796/100</f>
        <v>7.3999999999999996E-2</v>
      </c>
      <c r="V796" s="142">
        <f>B796*IBGE_2!V$796/100</f>
        <v>5.2</v>
      </c>
      <c r="W796" s="142" t="s">
        <v>3047</v>
      </c>
      <c r="X796" s="142">
        <f>B796*IBGE_2!X$796/100</f>
        <v>7.0000000000000007E-2</v>
      </c>
      <c r="Y796" s="142">
        <f>B796*IBGE_2!Y$796/100</f>
        <v>0.16300000000000001</v>
      </c>
      <c r="Z796" s="142">
        <f>B796*IBGE_2!Z$796/100</f>
        <v>0.40300000000000002</v>
      </c>
      <c r="AA796" s="142">
        <f>B796*IBGE_2!AA$796/100</f>
        <v>5.36</v>
      </c>
      <c r="AB796" s="142" t="s">
        <v>3047</v>
      </c>
      <c r="AC796" s="142">
        <f>B796*IBGE_2!AC$796/100</f>
        <v>8.7270000000000003</v>
      </c>
      <c r="AD796" s="142">
        <f>B796*IBGE_2!AD$796/100</f>
        <v>1.71</v>
      </c>
      <c r="AE796" s="142">
        <f>B796*IBGE_2!AE$796/100</f>
        <v>10</v>
      </c>
      <c r="AF796" s="142">
        <f>B796*IBGE_2!AF$796/100</f>
        <v>0.6</v>
      </c>
      <c r="AG796" s="142">
        <f>B796*IBGE_2!AG$796/100</f>
        <v>0.43</v>
      </c>
      <c r="AH796" s="142">
        <f>B796*IBGE_2!AH$796/100</f>
        <v>0.40899999999999997</v>
      </c>
      <c r="AI796" s="142">
        <f>B796*IBGE_2!AI$796/100</f>
        <v>333</v>
      </c>
      <c r="AJ796" s="142">
        <f>B796*IBGE_2!AJ$796/100</f>
        <v>31.7</v>
      </c>
      <c r="AK796" s="142" t="s">
        <v>3047</v>
      </c>
      <c r="AL796" s="142" t="s">
        <v>3047</v>
      </c>
      <c r="AM796" s="142" t="s">
        <v>3047</v>
      </c>
      <c r="AN796" s="161"/>
    </row>
    <row r="797" spans="1:40">
      <c r="A797" s="143" t="s">
        <v>1857</v>
      </c>
      <c r="B797" s="141">
        <v>100</v>
      </c>
      <c r="C797" s="142">
        <f>B797*IBGE_2!C$797/100</f>
        <v>226.65899999999999</v>
      </c>
      <c r="D797" s="142">
        <f>B797*IBGE_2!D$797/100</f>
        <v>30.67</v>
      </c>
      <c r="E797" s="142">
        <f>B797*IBGE_2!E$797/100</f>
        <v>11.562999999999999</v>
      </c>
      <c r="F797" s="142">
        <f>B797*IBGE_2!F$797/100</f>
        <v>3.8159999999999998</v>
      </c>
      <c r="G797" s="142">
        <f>B797*IBGE_2!G$797/100</f>
        <v>4.5019999999999998</v>
      </c>
      <c r="H797" s="142">
        <f>B797*IBGE_2!H$797/100</f>
        <v>1.827</v>
      </c>
      <c r="I797" s="142">
        <f>B797*IBGE_2!I$797/100</f>
        <v>1.544</v>
      </c>
      <c r="J797" s="142">
        <f>B797*IBGE_2!J$797/100</f>
        <v>0.26100000000000001</v>
      </c>
      <c r="K797" s="142">
        <f>B797*IBGE_2!K$797/100</f>
        <v>58</v>
      </c>
      <c r="L797" s="142" t="s">
        <v>3047</v>
      </c>
      <c r="M797" s="142" t="s">
        <v>3047</v>
      </c>
      <c r="N797" s="142">
        <f>B797*IBGE_2!N$797/100</f>
        <v>7</v>
      </c>
      <c r="O797" s="142">
        <f>B797*IBGE_2!O$797/100</f>
        <v>20</v>
      </c>
      <c r="P797" s="142">
        <f>B797*IBGE_2!P$797/100</f>
        <v>1.0999999999999999E-2</v>
      </c>
      <c r="Q797" s="142">
        <f>B797*IBGE_2!Q$797/100</f>
        <v>193</v>
      </c>
      <c r="R797" s="142">
        <f>B797*IBGE_2!R$797/100</f>
        <v>2.5310000000000001</v>
      </c>
      <c r="S797" s="142">
        <f>B797*IBGE_2!S$797/100</f>
        <v>41</v>
      </c>
      <c r="T797" s="142">
        <f>B797*IBGE_2!T$797/100</f>
        <v>252</v>
      </c>
      <c r="U797" s="142">
        <f>B797*IBGE_2!U$797/100</f>
        <v>7.3999999999999996E-2</v>
      </c>
      <c r="V797" s="142">
        <f>B797*IBGE_2!V$797/100</f>
        <v>5.2</v>
      </c>
      <c r="W797" s="142" t="s">
        <v>3047</v>
      </c>
      <c r="X797" s="142">
        <f>B797*IBGE_2!X$797/100</f>
        <v>7.0000000000000007E-2</v>
      </c>
      <c r="Y797" s="142">
        <f>B797*IBGE_2!Y$797/100</f>
        <v>0.16300000000000001</v>
      </c>
      <c r="Z797" s="142">
        <f>B797*IBGE_2!Z$797/100</f>
        <v>0.40300000000000002</v>
      </c>
      <c r="AA797" s="142">
        <f>B797*IBGE_2!AA$797/100</f>
        <v>5.36</v>
      </c>
      <c r="AB797" s="142" t="s">
        <v>3047</v>
      </c>
      <c r="AC797" s="142">
        <f>B797*IBGE_2!AC$797/100</f>
        <v>8.7270000000000003</v>
      </c>
      <c r="AD797" s="142">
        <f>B797*IBGE_2!AD$797/100</f>
        <v>1.71</v>
      </c>
      <c r="AE797" s="142">
        <f>B797*IBGE_2!AE$797/100</f>
        <v>10</v>
      </c>
      <c r="AF797" s="142">
        <f>B797*IBGE_2!AF$797/100</f>
        <v>0.6</v>
      </c>
      <c r="AG797" s="142">
        <f>B797*IBGE_2!AG$797/100</f>
        <v>0.64</v>
      </c>
      <c r="AH797" s="142">
        <f>B797*IBGE_2!AH$797/100</f>
        <v>0.42299999999999999</v>
      </c>
      <c r="AI797" s="142">
        <f>B797*IBGE_2!AI$797/100</f>
        <v>333</v>
      </c>
      <c r="AJ797" s="142">
        <f>B797*IBGE_2!AJ$797/100</f>
        <v>32.875</v>
      </c>
      <c r="AK797" s="142" t="s">
        <v>3047</v>
      </c>
      <c r="AL797" s="142" t="s">
        <v>3047</v>
      </c>
      <c r="AM797" s="142" t="s">
        <v>3047</v>
      </c>
      <c r="AN797" s="161"/>
    </row>
    <row r="798" spans="1:40">
      <c r="A798" s="143" t="s">
        <v>1858</v>
      </c>
      <c r="B798" s="141">
        <v>100</v>
      </c>
      <c r="C798" s="142">
        <f>B798*IBGE_2!C$798/100</f>
        <v>199</v>
      </c>
      <c r="D798" s="142">
        <f>B798*IBGE_2!D$798/100</f>
        <v>36.119999999999997</v>
      </c>
      <c r="E798" s="142">
        <f>B798*IBGE_2!E$798/100</f>
        <v>5</v>
      </c>
      <c r="F798" s="142">
        <f>B798*IBGE_2!F$798/100</f>
        <v>1.72</v>
      </c>
      <c r="G798" s="142">
        <f>B798*IBGE_2!G$798/100</f>
        <v>2</v>
      </c>
      <c r="H798" s="142">
        <f>B798*IBGE_2!H$798/100</f>
        <v>0.22</v>
      </c>
      <c r="I798" s="142">
        <f>B798*IBGE_2!I$798/100</f>
        <v>0.17</v>
      </c>
      <c r="J798" s="142">
        <f>B798*IBGE_2!J$798/100</f>
        <v>0.02</v>
      </c>
      <c r="K798" s="142">
        <f>B798*IBGE_2!K$798/100</f>
        <v>90</v>
      </c>
      <c r="L798" s="142" t="s">
        <v>3047</v>
      </c>
      <c r="M798" s="142" t="s">
        <v>3047</v>
      </c>
      <c r="N798" s="142">
        <f>B798*IBGE_2!N$798/100</f>
        <v>4</v>
      </c>
      <c r="O798" s="142">
        <f>B798*IBGE_2!O$798/100</f>
        <v>26</v>
      </c>
      <c r="P798" s="142">
        <f>B798*IBGE_2!P$798/100</f>
        <v>1.7999999999999999E-2</v>
      </c>
      <c r="Q798" s="142">
        <f>B798*IBGE_2!Q$798/100</f>
        <v>226</v>
      </c>
      <c r="R798" s="142">
        <f>B798*IBGE_2!R$798/100</f>
        <v>3.32</v>
      </c>
      <c r="S798" s="142">
        <f>B798*IBGE_2!S$798/100</f>
        <v>45</v>
      </c>
      <c r="T798" s="142">
        <f>B798*IBGE_2!T$798/100</f>
        <v>334</v>
      </c>
      <c r="U798" s="142">
        <f>B798*IBGE_2!U$798/100</f>
        <v>0.124</v>
      </c>
      <c r="V798" s="142">
        <f>B798*IBGE_2!V$798/100</f>
        <v>4.5599999999999996</v>
      </c>
      <c r="W798" s="142" t="s">
        <v>3047</v>
      </c>
      <c r="X798" s="142">
        <f>B798*IBGE_2!X$798/100</f>
        <v>7.0000000000000007E-2</v>
      </c>
      <c r="Y798" s="142">
        <f>B798*IBGE_2!Y$798/100</f>
        <v>0.25</v>
      </c>
      <c r="Z798" s="142">
        <f>B798*IBGE_2!Z$798/100</f>
        <v>0.28000000000000003</v>
      </c>
      <c r="AA798" s="142">
        <f>B798*IBGE_2!AA$798/100</f>
        <v>3.81</v>
      </c>
      <c r="AB798" s="142" t="s">
        <v>3047</v>
      </c>
      <c r="AC798" s="142">
        <f>B798*IBGE_2!AC$798/100</f>
        <v>7.76</v>
      </c>
      <c r="AD798" s="142">
        <f>B798*IBGE_2!AD$798/100</f>
        <v>2.7</v>
      </c>
      <c r="AE798" s="142">
        <f>B798*IBGE_2!AE$798/100</f>
        <v>9</v>
      </c>
      <c r="AF798" s="142">
        <f>B798*IBGE_2!AF$798/100</f>
        <v>0.7</v>
      </c>
      <c r="AG798" s="142">
        <f>B798*IBGE_2!AG$798/100</f>
        <v>0.14000000000000001</v>
      </c>
      <c r="AH798" s="142">
        <f>B798*IBGE_2!AH$798/100</f>
        <v>0.22699999999999998</v>
      </c>
      <c r="AI798" s="142">
        <f>B798*IBGE_2!AI$798/100</f>
        <v>333</v>
      </c>
      <c r="AJ798" s="142">
        <f>B798*IBGE_2!AJ$798/100</f>
        <v>33</v>
      </c>
      <c r="AK798" s="142" t="s">
        <v>3047</v>
      </c>
      <c r="AL798" s="142" t="s">
        <v>3047</v>
      </c>
      <c r="AM798" s="142" t="s">
        <v>3047</v>
      </c>
      <c r="AN798" s="161"/>
    </row>
    <row r="799" spans="1:40">
      <c r="A799" s="143" t="s">
        <v>1859</v>
      </c>
      <c r="B799" s="141">
        <v>100</v>
      </c>
      <c r="C799" s="142">
        <f>B799*IBGE_2!C$799/100</f>
        <v>199</v>
      </c>
      <c r="D799" s="142">
        <f>B799*IBGE_2!D$799/100</f>
        <v>36.119999999999997</v>
      </c>
      <c r="E799" s="142">
        <f>B799*IBGE_2!E$799/100</f>
        <v>5</v>
      </c>
      <c r="F799" s="142">
        <f>B799*IBGE_2!F$799/100</f>
        <v>1.72</v>
      </c>
      <c r="G799" s="142">
        <f>B799*IBGE_2!G$799/100</f>
        <v>2</v>
      </c>
      <c r="H799" s="142">
        <f>B799*IBGE_2!H$799/100</f>
        <v>0.22</v>
      </c>
      <c r="I799" s="142">
        <f>B799*IBGE_2!I$799/100</f>
        <v>0.17</v>
      </c>
      <c r="J799" s="142">
        <f>B799*IBGE_2!J$799/100</f>
        <v>0.02</v>
      </c>
      <c r="K799" s="142">
        <f>B799*IBGE_2!K$799/100</f>
        <v>90</v>
      </c>
      <c r="L799" s="142" t="s">
        <v>3047</v>
      </c>
      <c r="M799" s="142" t="s">
        <v>3047</v>
      </c>
      <c r="N799" s="142">
        <f>B799*IBGE_2!N$799/100</f>
        <v>4</v>
      </c>
      <c r="O799" s="142">
        <f>B799*IBGE_2!O$799/100</f>
        <v>26</v>
      </c>
      <c r="P799" s="142">
        <f>B799*IBGE_2!P$799/100</f>
        <v>1.7999999999999999E-2</v>
      </c>
      <c r="Q799" s="142">
        <f>B799*IBGE_2!Q$799/100</f>
        <v>226</v>
      </c>
      <c r="R799" s="142">
        <f>B799*IBGE_2!R$799/100</f>
        <v>3.32</v>
      </c>
      <c r="S799" s="142">
        <f>B799*IBGE_2!S$799/100</f>
        <v>45</v>
      </c>
      <c r="T799" s="142">
        <f>B799*IBGE_2!T$799/100</f>
        <v>334</v>
      </c>
      <c r="U799" s="142">
        <f>B799*IBGE_2!U$799/100</f>
        <v>0.124</v>
      </c>
      <c r="V799" s="142">
        <f>B799*IBGE_2!V$799/100</f>
        <v>4.5599999999999996</v>
      </c>
      <c r="W799" s="142" t="s">
        <v>3047</v>
      </c>
      <c r="X799" s="142">
        <f>B799*IBGE_2!X$799/100</f>
        <v>7.0000000000000007E-2</v>
      </c>
      <c r="Y799" s="142">
        <f>B799*IBGE_2!Y$799/100</f>
        <v>0.25</v>
      </c>
      <c r="Z799" s="142">
        <f>B799*IBGE_2!Z$799/100</f>
        <v>0.28000000000000003</v>
      </c>
      <c r="AA799" s="142">
        <f>B799*IBGE_2!AA$799/100</f>
        <v>3.81</v>
      </c>
      <c r="AB799" s="142" t="s">
        <v>3047</v>
      </c>
      <c r="AC799" s="142">
        <f>B799*IBGE_2!AC$799/100</f>
        <v>7.76</v>
      </c>
      <c r="AD799" s="142">
        <f>B799*IBGE_2!AD$799/100</f>
        <v>2.7</v>
      </c>
      <c r="AE799" s="142">
        <f>B799*IBGE_2!AE$799/100</f>
        <v>9</v>
      </c>
      <c r="AF799" s="142">
        <f>B799*IBGE_2!AF$799/100</f>
        <v>0.7</v>
      </c>
      <c r="AG799" s="142">
        <f>B799*IBGE_2!AG$799/100</f>
        <v>0.14000000000000001</v>
      </c>
      <c r="AH799" s="142">
        <f>B799*IBGE_2!AH$799/100</f>
        <v>0.22699999999999998</v>
      </c>
      <c r="AI799" s="142">
        <f>B799*IBGE_2!AI$799/100</f>
        <v>333</v>
      </c>
      <c r="AJ799" s="142">
        <f>B799*IBGE_2!AJ$799/100</f>
        <v>33</v>
      </c>
      <c r="AK799" s="142" t="s">
        <v>3047</v>
      </c>
      <c r="AL799" s="142" t="s">
        <v>3047</v>
      </c>
      <c r="AM799" s="142" t="s">
        <v>3047</v>
      </c>
      <c r="AN799" s="161"/>
    </row>
    <row r="800" spans="1:40">
      <c r="A800" s="143" t="s">
        <v>1860</v>
      </c>
      <c r="B800" s="141">
        <v>100</v>
      </c>
      <c r="C800" s="142">
        <f>B800*IBGE_2!C$800/100</f>
        <v>199</v>
      </c>
      <c r="D800" s="142">
        <f>B800*IBGE_2!D$800/100</f>
        <v>36.119999999999997</v>
      </c>
      <c r="E800" s="142">
        <f>B800*IBGE_2!E$800/100</f>
        <v>5</v>
      </c>
      <c r="F800" s="142">
        <f>B800*IBGE_2!F$800/100</f>
        <v>1.72</v>
      </c>
      <c r="G800" s="142">
        <f>B800*IBGE_2!G$800/100</f>
        <v>2</v>
      </c>
      <c r="H800" s="142">
        <f>B800*IBGE_2!H$800/100</f>
        <v>0.22</v>
      </c>
      <c r="I800" s="142">
        <f>B800*IBGE_2!I$800/100</f>
        <v>0.17</v>
      </c>
      <c r="J800" s="142">
        <f>B800*IBGE_2!J$800/100</f>
        <v>0.02</v>
      </c>
      <c r="K800" s="142">
        <f>B800*IBGE_2!K$800/100</f>
        <v>90</v>
      </c>
      <c r="L800" s="142" t="s">
        <v>3047</v>
      </c>
      <c r="M800" s="142" t="s">
        <v>3047</v>
      </c>
      <c r="N800" s="142">
        <f>B800*IBGE_2!N$800/100</f>
        <v>4</v>
      </c>
      <c r="O800" s="142">
        <f>B800*IBGE_2!O$800/100</f>
        <v>26</v>
      </c>
      <c r="P800" s="142">
        <f>B800*IBGE_2!P$800/100</f>
        <v>1.7999999999999999E-2</v>
      </c>
      <c r="Q800" s="142">
        <f>B800*IBGE_2!Q$800/100</f>
        <v>226</v>
      </c>
      <c r="R800" s="142">
        <f>B800*IBGE_2!R$800/100</f>
        <v>3.32</v>
      </c>
      <c r="S800" s="142">
        <f>B800*IBGE_2!S$800/100</f>
        <v>45</v>
      </c>
      <c r="T800" s="142">
        <f>B800*IBGE_2!T$800/100</f>
        <v>334</v>
      </c>
      <c r="U800" s="142">
        <f>B800*IBGE_2!U$800/100</f>
        <v>0.124</v>
      </c>
      <c r="V800" s="142">
        <f>B800*IBGE_2!V$800/100</f>
        <v>4.5599999999999996</v>
      </c>
      <c r="W800" s="142" t="s">
        <v>3047</v>
      </c>
      <c r="X800" s="142">
        <f>B800*IBGE_2!X$800/100</f>
        <v>7.0000000000000007E-2</v>
      </c>
      <c r="Y800" s="142">
        <f>B800*IBGE_2!Y$800/100</f>
        <v>0.25</v>
      </c>
      <c r="Z800" s="142">
        <f>B800*IBGE_2!Z$800/100</f>
        <v>0.28000000000000003</v>
      </c>
      <c r="AA800" s="142">
        <f>B800*IBGE_2!AA$800/100</f>
        <v>3.81</v>
      </c>
      <c r="AB800" s="142" t="s">
        <v>3047</v>
      </c>
      <c r="AC800" s="142">
        <f>B800*IBGE_2!AC$800/100</f>
        <v>7.76</v>
      </c>
      <c r="AD800" s="142">
        <f>B800*IBGE_2!AD$800/100</f>
        <v>2.7</v>
      </c>
      <c r="AE800" s="142">
        <f>B800*IBGE_2!AE$800/100</f>
        <v>9</v>
      </c>
      <c r="AF800" s="142">
        <f>B800*IBGE_2!AF$800/100</f>
        <v>0.7</v>
      </c>
      <c r="AG800" s="142">
        <f>B800*IBGE_2!AG$800/100</f>
        <v>0.14000000000000001</v>
      </c>
      <c r="AH800" s="142">
        <f>B800*IBGE_2!AH$800/100</f>
        <v>0.22699999999999998</v>
      </c>
      <c r="AI800" s="142">
        <f>B800*IBGE_2!AI$800/100</f>
        <v>333</v>
      </c>
      <c r="AJ800" s="142">
        <f>B800*IBGE_2!AJ$800/100</f>
        <v>33</v>
      </c>
      <c r="AK800" s="142" t="s">
        <v>3047</v>
      </c>
      <c r="AL800" s="142" t="s">
        <v>3047</v>
      </c>
      <c r="AM800" s="142" t="s">
        <v>3047</v>
      </c>
      <c r="AN800" s="161"/>
    </row>
    <row r="801" spans="1:40">
      <c r="A801" s="143" t="s">
        <v>1861</v>
      </c>
      <c r="B801" s="141">
        <v>100</v>
      </c>
      <c r="C801" s="142">
        <f>B801*IBGE_2!C$801/100</f>
        <v>221.65899999999999</v>
      </c>
      <c r="D801" s="142">
        <f>B801*IBGE_2!D$801/100</f>
        <v>36.119999999999997</v>
      </c>
      <c r="E801" s="142">
        <f>B801*IBGE_2!E$801/100</f>
        <v>7.5629999999999997</v>
      </c>
      <c r="F801" s="142">
        <f>B801*IBGE_2!F$801/100</f>
        <v>2.121</v>
      </c>
      <c r="G801" s="142">
        <f>B801*IBGE_2!G$801/100</f>
        <v>2.5840000000000005</v>
      </c>
      <c r="H801" s="142">
        <f>B801*IBGE_2!H$801/100</f>
        <v>1.7</v>
      </c>
      <c r="I801" s="142">
        <f>B801*IBGE_2!I$801/100</f>
        <v>1.476</v>
      </c>
      <c r="J801" s="142">
        <f>B801*IBGE_2!J$801/100</f>
        <v>0.19400000000000003</v>
      </c>
      <c r="K801" s="142">
        <f>B801*IBGE_2!K$801/100</f>
        <v>90</v>
      </c>
      <c r="L801" s="142" t="s">
        <v>3047</v>
      </c>
      <c r="M801" s="142" t="s">
        <v>3047</v>
      </c>
      <c r="N801" s="142">
        <f>B801*IBGE_2!N$801/100</f>
        <v>4</v>
      </c>
      <c r="O801" s="142">
        <f>B801*IBGE_2!O$801/100</f>
        <v>26</v>
      </c>
      <c r="P801" s="142">
        <f>B801*IBGE_2!P$801/100</f>
        <v>1.7999999999999999E-2</v>
      </c>
      <c r="Q801" s="142">
        <f>B801*IBGE_2!Q$801/100</f>
        <v>226</v>
      </c>
      <c r="R801" s="142">
        <f>B801*IBGE_2!R$801/100</f>
        <v>3.3210000000000002</v>
      </c>
      <c r="S801" s="142">
        <f>B801*IBGE_2!S$801/100</f>
        <v>45</v>
      </c>
      <c r="T801" s="142">
        <f>B801*IBGE_2!T$801/100</f>
        <v>334</v>
      </c>
      <c r="U801" s="142">
        <f>B801*IBGE_2!U$801/100</f>
        <v>0.124</v>
      </c>
      <c r="V801" s="142">
        <f>B801*IBGE_2!V$801/100</f>
        <v>4.5599999999999996</v>
      </c>
      <c r="W801" s="142" t="s">
        <v>3047</v>
      </c>
      <c r="X801" s="142">
        <f>B801*IBGE_2!X$801/100</f>
        <v>7.0000000000000007E-2</v>
      </c>
      <c r="Y801" s="142">
        <f>B801*IBGE_2!Y$801/100</f>
        <v>0.25</v>
      </c>
      <c r="Z801" s="142">
        <f>B801*IBGE_2!Z$801/100</f>
        <v>0.28000000000000003</v>
      </c>
      <c r="AA801" s="142">
        <f>B801*IBGE_2!AA$801/100</f>
        <v>3.81</v>
      </c>
      <c r="AB801" s="142" t="s">
        <v>3047</v>
      </c>
      <c r="AC801" s="142">
        <f>B801*IBGE_2!AC$801/100</f>
        <v>7.76</v>
      </c>
      <c r="AD801" s="142">
        <f>B801*IBGE_2!AD$801/100</f>
        <v>2.7</v>
      </c>
      <c r="AE801" s="142">
        <f>B801*IBGE_2!AE$801/100</f>
        <v>9</v>
      </c>
      <c r="AF801" s="142">
        <f>B801*IBGE_2!AF$801/100</f>
        <v>0.7</v>
      </c>
      <c r="AG801" s="142">
        <f>B801*IBGE_2!AG$801/100</f>
        <v>0.35</v>
      </c>
      <c r="AH801" s="142">
        <f>B801*IBGE_2!AH$801/100</f>
        <v>0.24099999999999999</v>
      </c>
      <c r="AI801" s="142">
        <f>B801*IBGE_2!AI$801/100</f>
        <v>333</v>
      </c>
      <c r="AJ801" s="142">
        <f>B801*IBGE_2!AJ$801/100</f>
        <v>34.174999999999997</v>
      </c>
      <c r="AK801" s="142" t="s">
        <v>3047</v>
      </c>
      <c r="AL801" s="142" t="s">
        <v>3047</v>
      </c>
      <c r="AM801" s="142" t="s">
        <v>3047</v>
      </c>
      <c r="AN801" s="161"/>
    </row>
    <row r="802" spans="1:40">
      <c r="A802" s="143" t="s">
        <v>1862</v>
      </c>
      <c r="B802" s="141">
        <v>100</v>
      </c>
      <c r="C802" s="142">
        <f>B802*IBGE_2!C$802/100</f>
        <v>242</v>
      </c>
      <c r="D802" s="142">
        <f>B802*IBGE_2!D$802/100</f>
        <v>24.22</v>
      </c>
      <c r="E802" s="142">
        <f>B802*IBGE_2!E$802/100</f>
        <v>15.42</v>
      </c>
      <c r="F802" s="142">
        <f>B802*IBGE_2!F$802/100</f>
        <v>5.7380000000000004</v>
      </c>
      <c r="G802" s="142">
        <f>B802*IBGE_2!G$802/100</f>
        <v>7.0019999999999989</v>
      </c>
      <c r="H802" s="142">
        <f>B802*IBGE_2!H$802/100</f>
        <v>0.61299999999999999</v>
      </c>
      <c r="I802" s="142">
        <f>B802*IBGE_2!I$802/100</f>
        <v>0.41600000000000004</v>
      </c>
      <c r="J802" s="142">
        <f>B802*IBGE_2!J$802/100</f>
        <v>0.16400000000000003</v>
      </c>
      <c r="K802" s="142">
        <f>B802*IBGE_2!K$802/100</f>
        <v>75</v>
      </c>
      <c r="L802" s="142" t="s">
        <v>3047</v>
      </c>
      <c r="M802" s="142" t="s">
        <v>3047</v>
      </c>
      <c r="N802" s="142">
        <f>B802*IBGE_2!N$802/100</f>
        <v>8</v>
      </c>
      <c r="O802" s="142">
        <f>B802*IBGE_2!O$802/100</f>
        <v>20</v>
      </c>
      <c r="P802" s="142">
        <f>B802*IBGE_2!P$802/100</f>
        <v>1E-3</v>
      </c>
      <c r="Q802" s="142">
        <f>B802*IBGE_2!Q$802/100</f>
        <v>196</v>
      </c>
      <c r="R802" s="142">
        <f>B802*IBGE_2!R$802/100</f>
        <v>2.81</v>
      </c>
      <c r="S802" s="142">
        <f>B802*IBGE_2!S$802/100</f>
        <v>67</v>
      </c>
      <c r="T802" s="142">
        <f>B802*IBGE_2!T$802/100</f>
        <v>337</v>
      </c>
      <c r="U802" s="142">
        <f>B802*IBGE_2!U$802/100</f>
        <v>9.3000000000000013E-2</v>
      </c>
      <c r="V802" s="142">
        <f>B802*IBGE_2!V$802/100</f>
        <v>5.71</v>
      </c>
      <c r="W802" s="142" t="s">
        <v>3047</v>
      </c>
      <c r="X802" s="142">
        <f>B802*IBGE_2!X$802/100</f>
        <v>8.1000000000000003E-2</v>
      </c>
      <c r="Y802" s="142">
        <f>B802*IBGE_2!Y$802/100</f>
        <v>0.22600000000000001</v>
      </c>
      <c r="Z802" s="142">
        <f>B802*IBGE_2!Z$802/100</f>
        <v>0.255</v>
      </c>
      <c r="AA802" s="142">
        <f>B802*IBGE_2!AA$802/100</f>
        <v>3.2069999999999999</v>
      </c>
      <c r="AB802" s="142" t="s">
        <v>3047</v>
      </c>
      <c r="AC802" s="142">
        <f>B802*IBGE_2!AC$802/100</f>
        <v>7.5739999999999998</v>
      </c>
      <c r="AD802" s="142">
        <f>B802*IBGE_2!AD$802/100</f>
        <v>2.83</v>
      </c>
      <c r="AE802" s="142">
        <f>B802*IBGE_2!AE$802/100</f>
        <v>9</v>
      </c>
      <c r="AF802" s="142">
        <f>B802*IBGE_2!AF$802/100</f>
        <v>0.7</v>
      </c>
      <c r="AG802" s="142">
        <f>B802*IBGE_2!AG$802/100</f>
        <v>0.14000000000000001</v>
      </c>
      <c r="AH802" s="142">
        <f>B802*IBGE_2!AH$802/100</f>
        <v>0.68</v>
      </c>
      <c r="AI802" s="142">
        <f>B802*IBGE_2!AI$802/100</f>
        <v>333</v>
      </c>
      <c r="AJ802" s="142">
        <f>B802*IBGE_2!AJ$802/100</f>
        <v>28.3</v>
      </c>
      <c r="AK802" s="142" t="s">
        <v>3047</v>
      </c>
      <c r="AL802" s="142" t="s">
        <v>3047</v>
      </c>
      <c r="AM802" s="142" t="s">
        <v>3047</v>
      </c>
      <c r="AN802" s="161"/>
    </row>
    <row r="803" spans="1:40">
      <c r="A803" s="143" t="s">
        <v>1863</v>
      </c>
      <c r="B803" s="141">
        <v>100</v>
      </c>
      <c r="C803" s="142">
        <f>B803*IBGE_2!C$803/100</f>
        <v>242</v>
      </c>
      <c r="D803" s="142">
        <f>B803*IBGE_2!D$803/100</f>
        <v>24.22</v>
      </c>
      <c r="E803" s="142">
        <f>B803*IBGE_2!E$803/100</f>
        <v>15.42</v>
      </c>
      <c r="F803" s="142">
        <f>B803*IBGE_2!F$803/100</f>
        <v>5.7380000000000004</v>
      </c>
      <c r="G803" s="142">
        <f>B803*IBGE_2!G$803/100</f>
        <v>7.0019999999999989</v>
      </c>
      <c r="H803" s="142">
        <f>B803*IBGE_2!H$803/100</f>
        <v>0.61299999999999999</v>
      </c>
      <c r="I803" s="142">
        <f>B803*IBGE_2!I$803/100</f>
        <v>0.41600000000000004</v>
      </c>
      <c r="J803" s="142">
        <f>B803*IBGE_2!J$803/100</f>
        <v>0.16400000000000003</v>
      </c>
      <c r="K803" s="142">
        <f>B803*IBGE_2!K$803/100</f>
        <v>75</v>
      </c>
      <c r="L803" s="142" t="s">
        <v>3047</v>
      </c>
      <c r="M803" s="142" t="s">
        <v>3047</v>
      </c>
      <c r="N803" s="142">
        <f>B803*IBGE_2!N$803/100</f>
        <v>8</v>
      </c>
      <c r="O803" s="142">
        <f>B803*IBGE_2!O$803/100</f>
        <v>20</v>
      </c>
      <c r="P803" s="142">
        <f>B803*IBGE_2!P$803/100</f>
        <v>1E-3</v>
      </c>
      <c r="Q803" s="142">
        <f>B803*IBGE_2!Q$803/100</f>
        <v>196</v>
      </c>
      <c r="R803" s="142">
        <f>B803*IBGE_2!R$803/100</f>
        <v>2.81</v>
      </c>
      <c r="S803" s="142">
        <f>B803*IBGE_2!S$803/100</f>
        <v>67</v>
      </c>
      <c r="T803" s="142">
        <f>B803*IBGE_2!T$803/100</f>
        <v>337</v>
      </c>
      <c r="U803" s="142">
        <f>B803*IBGE_2!U$803/100</f>
        <v>9.3000000000000013E-2</v>
      </c>
      <c r="V803" s="142">
        <f>B803*IBGE_2!V$803/100</f>
        <v>5.71</v>
      </c>
      <c r="W803" s="142" t="s">
        <v>3047</v>
      </c>
      <c r="X803" s="142">
        <f>B803*IBGE_2!X$803/100</f>
        <v>8.1000000000000003E-2</v>
      </c>
      <c r="Y803" s="142">
        <f>B803*IBGE_2!Y$803/100</f>
        <v>0.22600000000000001</v>
      </c>
      <c r="Z803" s="142">
        <f>B803*IBGE_2!Z$803/100</f>
        <v>0.255</v>
      </c>
      <c r="AA803" s="142">
        <f>B803*IBGE_2!AA$803/100</f>
        <v>3.2069999999999999</v>
      </c>
      <c r="AB803" s="142" t="s">
        <v>3047</v>
      </c>
      <c r="AC803" s="142">
        <f>B803*IBGE_2!AC$803/100</f>
        <v>7.5739999999999998</v>
      </c>
      <c r="AD803" s="142">
        <f>B803*IBGE_2!AD$803/100</f>
        <v>2.83</v>
      </c>
      <c r="AE803" s="142">
        <f>B803*IBGE_2!AE$803/100</f>
        <v>9</v>
      </c>
      <c r="AF803" s="142">
        <f>B803*IBGE_2!AF$803/100</f>
        <v>0.7</v>
      </c>
      <c r="AG803" s="142">
        <f>B803*IBGE_2!AG$803/100</f>
        <v>0.14000000000000001</v>
      </c>
      <c r="AH803" s="142">
        <f>B803*IBGE_2!AH$803/100</f>
        <v>0.68</v>
      </c>
      <c r="AI803" s="142">
        <f>B803*IBGE_2!AI$803/100</f>
        <v>333</v>
      </c>
      <c r="AJ803" s="142">
        <f>B803*IBGE_2!AJ$803/100</f>
        <v>28.3</v>
      </c>
      <c r="AK803" s="142" t="s">
        <v>3047</v>
      </c>
      <c r="AL803" s="142" t="s">
        <v>3047</v>
      </c>
      <c r="AM803" s="142" t="s">
        <v>3047</v>
      </c>
      <c r="AN803" s="161"/>
    </row>
    <row r="804" spans="1:40">
      <c r="A804" s="143" t="s">
        <v>1864</v>
      </c>
      <c r="B804" s="141">
        <v>100</v>
      </c>
      <c r="C804" s="142">
        <f>B804*IBGE_2!C$804/100</f>
        <v>264.65899999999999</v>
      </c>
      <c r="D804" s="142">
        <f>B804*IBGE_2!D$804/100</f>
        <v>24.22</v>
      </c>
      <c r="E804" s="142">
        <f>B804*IBGE_2!E$804/100</f>
        <v>17.983000000000001</v>
      </c>
      <c r="F804" s="142">
        <f>B804*IBGE_2!F$804/100</f>
        <v>6.1389999999999993</v>
      </c>
      <c r="G804" s="142">
        <f>B804*IBGE_2!G$804/100</f>
        <v>7.5860000000000003</v>
      </c>
      <c r="H804" s="142">
        <f>B804*IBGE_2!H$804/100</f>
        <v>2.093</v>
      </c>
      <c r="I804" s="142">
        <f>B804*IBGE_2!I$804/100</f>
        <v>1.722</v>
      </c>
      <c r="J804" s="142">
        <f>B804*IBGE_2!J$804/100</f>
        <v>0.33800000000000002</v>
      </c>
      <c r="K804" s="142">
        <f>B804*IBGE_2!K$804/100</f>
        <v>75</v>
      </c>
      <c r="L804" s="142" t="s">
        <v>3047</v>
      </c>
      <c r="M804" s="142" t="s">
        <v>3047</v>
      </c>
      <c r="N804" s="142">
        <f>B804*IBGE_2!N$804/100</f>
        <v>8</v>
      </c>
      <c r="O804" s="142">
        <f>B804*IBGE_2!O$804/100</f>
        <v>20</v>
      </c>
      <c r="P804" s="142">
        <f>B804*IBGE_2!P$804/100</f>
        <v>1E-3</v>
      </c>
      <c r="Q804" s="142">
        <f>B804*IBGE_2!Q$804/100</f>
        <v>196</v>
      </c>
      <c r="R804" s="142">
        <f>B804*IBGE_2!R$804/100</f>
        <v>2.8110000000000004</v>
      </c>
      <c r="S804" s="142">
        <f>B804*IBGE_2!S$804/100</f>
        <v>67</v>
      </c>
      <c r="T804" s="142">
        <f>B804*IBGE_2!T$804/100</f>
        <v>337</v>
      </c>
      <c r="U804" s="142">
        <f>B804*IBGE_2!U$804/100</f>
        <v>9.3000000000000013E-2</v>
      </c>
      <c r="V804" s="142">
        <f>B804*IBGE_2!V$804/100</f>
        <v>5.71</v>
      </c>
      <c r="W804" s="142" t="s">
        <v>3047</v>
      </c>
      <c r="X804" s="142">
        <f>B804*IBGE_2!X$804/100</f>
        <v>8.1000000000000003E-2</v>
      </c>
      <c r="Y804" s="142">
        <f>B804*IBGE_2!Y$804/100</f>
        <v>0.22600000000000001</v>
      </c>
      <c r="Z804" s="142">
        <f>B804*IBGE_2!Z$804/100</f>
        <v>0.255</v>
      </c>
      <c r="AA804" s="142">
        <f>B804*IBGE_2!AA$804/100</f>
        <v>3.2069999999999999</v>
      </c>
      <c r="AB804" s="142" t="s">
        <v>3047</v>
      </c>
      <c r="AC804" s="142">
        <f>B804*IBGE_2!AC$804/100</f>
        <v>7.5739999999999998</v>
      </c>
      <c r="AD804" s="142">
        <f>B804*IBGE_2!AD$804/100</f>
        <v>2.83</v>
      </c>
      <c r="AE804" s="142">
        <f>B804*IBGE_2!AE$804/100</f>
        <v>9</v>
      </c>
      <c r="AF804" s="142">
        <f>B804*IBGE_2!AF$804/100</f>
        <v>0.7</v>
      </c>
      <c r="AG804" s="142">
        <f>B804*IBGE_2!AG$804/100</f>
        <v>0.35</v>
      </c>
      <c r="AH804" s="142">
        <f>B804*IBGE_2!AH$804/100</f>
        <v>0.69399999999999995</v>
      </c>
      <c r="AI804" s="142">
        <f>B804*IBGE_2!AI$804/100</f>
        <v>333</v>
      </c>
      <c r="AJ804" s="142">
        <f>B804*IBGE_2!AJ$804/100</f>
        <v>29.475000000000001</v>
      </c>
      <c r="AK804" s="142" t="s">
        <v>3047</v>
      </c>
      <c r="AL804" s="142" t="s">
        <v>3047</v>
      </c>
      <c r="AM804" s="142" t="s">
        <v>3047</v>
      </c>
      <c r="AN804" s="161"/>
    </row>
    <row r="805" spans="1:40">
      <c r="A805" s="143" t="s">
        <v>1865</v>
      </c>
      <c r="B805" s="141">
        <v>100</v>
      </c>
      <c r="C805" s="142">
        <f>B805*IBGE_2!C$805/100</f>
        <v>365</v>
      </c>
      <c r="D805" s="142">
        <f>B805*IBGE_2!D$805/100</f>
        <v>22.6</v>
      </c>
      <c r="E805" s="142">
        <f>B805*IBGE_2!E$805/100</f>
        <v>29.79</v>
      </c>
      <c r="F805" s="142">
        <f>B805*IBGE_2!F$805/100</f>
        <v>12.01</v>
      </c>
      <c r="G805" s="142">
        <f>B805*IBGE_2!G$805/100</f>
        <v>12.8</v>
      </c>
      <c r="H805" s="142">
        <f>B805*IBGE_2!H$805/100</f>
        <v>1.05</v>
      </c>
      <c r="I805" s="142">
        <f>B805*IBGE_2!I$805/100</f>
        <v>0.7</v>
      </c>
      <c r="J805" s="142">
        <f>B805*IBGE_2!J$805/100</f>
        <v>0.33</v>
      </c>
      <c r="K805" s="142">
        <f>B805*IBGE_2!K$805/100</f>
        <v>84</v>
      </c>
      <c r="L805" s="142" t="s">
        <v>3047</v>
      </c>
      <c r="M805" s="142" t="s">
        <v>3047</v>
      </c>
      <c r="N805" s="142">
        <f>B805*IBGE_2!N$805/100</f>
        <v>11</v>
      </c>
      <c r="O805" s="142">
        <f>B805*IBGE_2!O$805/100</f>
        <v>20</v>
      </c>
      <c r="P805" s="142">
        <f>B805*IBGE_2!P$805/100</f>
        <v>1.3000000000000001E-2</v>
      </c>
      <c r="Q805" s="142">
        <f>B805*IBGE_2!Q$805/100</f>
        <v>176</v>
      </c>
      <c r="R805" s="142">
        <f>B805*IBGE_2!R$805/100</f>
        <v>2.35</v>
      </c>
      <c r="S805" s="142">
        <f>B805*IBGE_2!S$805/100</f>
        <v>64</v>
      </c>
      <c r="T805" s="142">
        <f>B805*IBGE_2!T$805/100</f>
        <v>302</v>
      </c>
      <c r="U805" s="142">
        <f>B805*IBGE_2!U$805/100</f>
        <v>8.4000000000000005E-2</v>
      </c>
      <c r="V805" s="142">
        <f>B805*IBGE_2!V$805/100</f>
        <v>5.4</v>
      </c>
      <c r="W805" s="142" t="s">
        <v>3047</v>
      </c>
      <c r="X805" s="142">
        <f>B805*IBGE_2!X$805/100</f>
        <v>7.0000000000000007E-2</v>
      </c>
      <c r="Y805" s="142">
        <f>B805*IBGE_2!Y$805/100</f>
        <v>0.17</v>
      </c>
      <c r="Z805" s="142">
        <f>B805*IBGE_2!Z$805/100</f>
        <v>0.23</v>
      </c>
      <c r="AA805" s="142">
        <f>B805*IBGE_2!AA$805/100</f>
        <v>3.43</v>
      </c>
      <c r="AB805" s="142" t="s">
        <v>3047</v>
      </c>
      <c r="AC805" s="142">
        <f>B805*IBGE_2!AC$805/100</f>
        <v>7.6470000000000002</v>
      </c>
      <c r="AD805" s="142">
        <f>B805*IBGE_2!AD$805/100</f>
        <v>2.5499999999999998</v>
      </c>
      <c r="AE805" s="142">
        <f>B805*IBGE_2!AE$805/100</f>
        <v>7</v>
      </c>
      <c r="AF805" s="142">
        <f>B805*IBGE_2!AF$805/100</f>
        <v>0.6</v>
      </c>
      <c r="AG805" s="142">
        <f>B805*IBGE_2!AG$805/100</f>
        <v>0.24</v>
      </c>
      <c r="AH805" s="142">
        <f>B805*IBGE_2!AH$805/100</f>
        <v>1.35</v>
      </c>
      <c r="AI805" s="142">
        <f>B805*IBGE_2!AI$805/100</f>
        <v>333</v>
      </c>
      <c r="AJ805" s="142">
        <f>B805*IBGE_2!AJ$805/100</f>
        <v>22.4</v>
      </c>
      <c r="AK805" s="142" t="s">
        <v>3047</v>
      </c>
      <c r="AL805" s="142" t="s">
        <v>3047</v>
      </c>
      <c r="AM805" s="142" t="s">
        <v>3047</v>
      </c>
      <c r="AN805" s="161"/>
    </row>
    <row r="806" spans="1:40">
      <c r="A806" s="143" t="s">
        <v>1866</v>
      </c>
      <c r="B806" s="141">
        <v>100</v>
      </c>
      <c r="C806" s="142">
        <f>B806*IBGE_2!C$806/100</f>
        <v>365</v>
      </c>
      <c r="D806" s="142">
        <f>B806*IBGE_2!D$806/100</f>
        <v>22.6</v>
      </c>
      <c r="E806" s="142">
        <f>B806*IBGE_2!E$806/100</f>
        <v>29.79</v>
      </c>
      <c r="F806" s="142">
        <f>B806*IBGE_2!F$806/100</f>
        <v>12.01</v>
      </c>
      <c r="G806" s="142">
        <f>B806*IBGE_2!G$806/100</f>
        <v>12.8</v>
      </c>
      <c r="H806" s="142">
        <f>B806*IBGE_2!H$806/100</f>
        <v>1.05</v>
      </c>
      <c r="I806" s="142">
        <f>B806*IBGE_2!I$806/100</f>
        <v>0.7</v>
      </c>
      <c r="J806" s="142">
        <f>B806*IBGE_2!J$806/100</f>
        <v>0.33</v>
      </c>
      <c r="K806" s="142">
        <f>B806*IBGE_2!K$806/100</f>
        <v>84</v>
      </c>
      <c r="L806" s="142" t="s">
        <v>3047</v>
      </c>
      <c r="M806" s="142" t="s">
        <v>3047</v>
      </c>
      <c r="N806" s="142">
        <f>B806*IBGE_2!N$806/100</f>
        <v>11</v>
      </c>
      <c r="O806" s="142">
        <f>B806*IBGE_2!O$806/100</f>
        <v>20</v>
      </c>
      <c r="P806" s="142">
        <f>B806*IBGE_2!P$806/100</f>
        <v>1.3000000000000001E-2</v>
      </c>
      <c r="Q806" s="142">
        <f>B806*IBGE_2!Q$806/100</f>
        <v>176</v>
      </c>
      <c r="R806" s="142">
        <f>B806*IBGE_2!R$806/100</f>
        <v>2.35</v>
      </c>
      <c r="S806" s="142">
        <f>B806*IBGE_2!S$806/100</f>
        <v>64</v>
      </c>
      <c r="T806" s="142">
        <f>B806*IBGE_2!T$806/100</f>
        <v>302</v>
      </c>
      <c r="U806" s="142">
        <f>B806*IBGE_2!U$806/100</f>
        <v>8.4000000000000005E-2</v>
      </c>
      <c r="V806" s="142">
        <f>B806*IBGE_2!V$806/100</f>
        <v>5.4</v>
      </c>
      <c r="W806" s="142" t="s">
        <v>3047</v>
      </c>
      <c r="X806" s="142">
        <f>B806*IBGE_2!X$806/100</f>
        <v>7.0000000000000007E-2</v>
      </c>
      <c r="Y806" s="142">
        <f>B806*IBGE_2!Y$806/100</f>
        <v>0.17</v>
      </c>
      <c r="Z806" s="142">
        <f>B806*IBGE_2!Z$806/100</f>
        <v>0.23</v>
      </c>
      <c r="AA806" s="142">
        <f>B806*IBGE_2!AA$806/100</f>
        <v>3.43</v>
      </c>
      <c r="AB806" s="142" t="s">
        <v>3047</v>
      </c>
      <c r="AC806" s="142">
        <f>B806*IBGE_2!AC$806/100</f>
        <v>7.6470000000000002</v>
      </c>
      <c r="AD806" s="142">
        <f>B806*IBGE_2!AD$806/100</f>
        <v>2.5499999999999998</v>
      </c>
      <c r="AE806" s="142">
        <f>B806*IBGE_2!AE$806/100</f>
        <v>7</v>
      </c>
      <c r="AF806" s="142">
        <f>B806*IBGE_2!AF$806/100</f>
        <v>0.6</v>
      </c>
      <c r="AG806" s="142">
        <f>B806*IBGE_2!AG$806/100</f>
        <v>0.24</v>
      </c>
      <c r="AH806" s="142">
        <f>B806*IBGE_2!AH$806/100</f>
        <v>1.35</v>
      </c>
      <c r="AI806" s="142">
        <f>B806*IBGE_2!AI$806/100</f>
        <v>333</v>
      </c>
      <c r="AJ806" s="142">
        <f>B806*IBGE_2!AJ$806/100</f>
        <v>22.4</v>
      </c>
      <c r="AK806" s="142" t="s">
        <v>3047</v>
      </c>
      <c r="AL806" s="142" t="s">
        <v>3047</v>
      </c>
      <c r="AM806" s="142" t="s">
        <v>3047</v>
      </c>
      <c r="AN806" s="161"/>
    </row>
    <row r="807" spans="1:40">
      <c r="A807" s="143" t="s">
        <v>1867</v>
      </c>
      <c r="B807" s="141">
        <v>100</v>
      </c>
      <c r="C807" s="142">
        <f>B807*IBGE_2!C$807/100</f>
        <v>365</v>
      </c>
      <c r="D807" s="142">
        <f>B807*IBGE_2!D$807/100</f>
        <v>22.6</v>
      </c>
      <c r="E807" s="142">
        <f>B807*IBGE_2!E$807/100</f>
        <v>29.79</v>
      </c>
      <c r="F807" s="142">
        <f>B807*IBGE_2!F$807/100</f>
        <v>12.01</v>
      </c>
      <c r="G807" s="142">
        <f>B807*IBGE_2!G$807/100</f>
        <v>12.8</v>
      </c>
      <c r="H807" s="142">
        <f>B807*IBGE_2!H$807/100</f>
        <v>1.05</v>
      </c>
      <c r="I807" s="142">
        <f>B807*IBGE_2!I$807/100</f>
        <v>0.7</v>
      </c>
      <c r="J807" s="142">
        <f>B807*IBGE_2!J$807/100</f>
        <v>0.33</v>
      </c>
      <c r="K807" s="142">
        <f>B807*IBGE_2!K$807/100</f>
        <v>84</v>
      </c>
      <c r="L807" s="142" t="s">
        <v>3047</v>
      </c>
      <c r="M807" s="142" t="s">
        <v>3047</v>
      </c>
      <c r="N807" s="142">
        <f>B807*IBGE_2!N$807/100</f>
        <v>11</v>
      </c>
      <c r="O807" s="142">
        <f>B807*IBGE_2!O$807/100</f>
        <v>20</v>
      </c>
      <c r="P807" s="142">
        <f>B807*IBGE_2!P$807/100</f>
        <v>1.3000000000000001E-2</v>
      </c>
      <c r="Q807" s="142">
        <f>B807*IBGE_2!Q$807/100</f>
        <v>176</v>
      </c>
      <c r="R807" s="142">
        <f>B807*IBGE_2!R$807/100</f>
        <v>2.35</v>
      </c>
      <c r="S807" s="142">
        <f>B807*IBGE_2!S$807/100</f>
        <v>64</v>
      </c>
      <c r="T807" s="142">
        <f>B807*IBGE_2!T$807/100</f>
        <v>302</v>
      </c>
      <c r="U807" s="142">
        <f>B807*IBGE_2!U$807/100</f>
        <v>8.4000000000000005E-2</v>
      </c>
      <c r="V807" s="142">
        <f>B807*IBGE_2!V$807/100</f>
        <v>5.4</v>
      </c>
      <c r="W807" s="142" t="s">
        <v>3047</v>
      </c>
      <c r="X807" s="142">
        <f>B807*IBGE_2!X$807/100</f>
        <v>7.0000000000000007E-2</v>
      </c>
      <c r="Y807" s="142">
        <f>B807*IBGE_2!Y$807/100</f>
        <v>0.17</v>
      </c>
      <c r="Z807" s="142">
        <f>B807*IBGE_2!Z$807/100</f>
        <v>0.23</v>
      </c>
      <c r="AA807" s="142">
        <f>B807*IBGE_2!AA$807/100</f>
        <v>3.43</v>
      </c>
      <c r="AB807" s="142" t="s">
        <v>3047</v>
      </c>
      <c r="AC807" s="142">
        <f>B807*IBGE_2!AC$807/100</f>
        <v>7.6470000000000002</v>
      </c>
      <c r="AD807" s="142">
        <f>B807*IBGE_2!AD$807/100</f>
        <v>2.5499999999999998</v>
      </c>
      <c r="AE807" s="142">
        <f>B807*IBGE_2!AE$807/100</f>
        <v>7</v>
      </c>
      <c r="AF807" s="142">
        <f>B807*IBGE_2!AF$807/100</f>
        <v>0.6</v>
      </c>
      <c r="AG807" s="142">
        <f>B807*IBGE_2!AG$807/100</f>
        <v>0.24</v>
      </c>
      <c r="AH807" s="142">
        <f>B807*IBGE_2!AH$807/100</f>
        <v>1.35</v>
      </c>
      <c r="AI807" s="142">
        <f>B807*IBGE_2!AI$807/100</f>
        <v>333</v>
      </c>
      <c r="AJ807" s="142">
        <f>B807*IBGE_2!AJ$807/100</f>
        <v>22.4</v>
      </c>
      <c r="AK807" s="142" t="s">
        <v>3047</v>
      </c>
      <c r="AL807" s="142" t="s">
        <v>3047</v>
      </c>
      <c r="AM807" s="142" t="s">
        <v>3047</v>
      </c>
      <c r="AN807" s="161"/>
    </row>
    <row r="808" spans="1:40">
      <c r="A808" s="143" t="s">
        <v>1868</v>
      </c>
      <c r="B808" s="141">
        <v>100</v>
      </c>
      <c r="C808" s="142">
        <f>B808*IBGE_2!C$808/100</f>
        <v>365</v>
      </c>
      <c r="D808" s="142">
        <f>B808*IBGE_2!D$808/100</f>
        <v>22.6</v>
      </c>
      <c r="E808" s="142">
        <f>B808*IBGE_2!E$808/100</f>
        <v>29.79</v>
      </c>
      <c r="F808" s="142">
        <f>B808*IBGE_2!F$808/100</f>
        <v>12.01</v>
      </c>
      <c r="G808" s="142">
        <f>B808*IBGE_2!G$808/100</f>
        <v>12.8</v>
      </c>
      <c r="H808" s="142">
        <f>B808*IBGE_2!H$808/100</f>
        <v>1.05</v>
      </c>
      <c r="I808" s="142">
        <f>B808*IBGE_2!I$808/100</f>
        <v>0.7</v>
      </c>
      <c r="J808" s="142">
        <f>B808*IBGE_2!J$808/100</f>
        <v>0.33</v>
      </c>
      <c r="K808" s="142">
        <f>B808*IBGE_2!K$808/100</f>
        <v>84</v>
      </c>
      <c r="L808" s="142" t="s">
        <v>3047</v>
      </c>
      <c r="M808" s="142" t="s">
        <v>3047</v>
      </c>
      <c r="N808" s="142">
        <f>B808*IBGE_2!N$808/100</f>
        <v>11</v>
      </c>
      <c r="O808" s="142">
        <f>B808*IBGE_2!O$808/100</f>
        <v>20</v>
      </c>
      <c r="P808" s="142">
        <f>B808*IBGE_2!P$808/100</f>
        <v>1.3000000000000001E-2</v>
      </c>
      <c r="Q808" s="142">
        <f>B808*IBGE_2!Q$808/100</f>
        <v>176</v>
      </c>
      <c r="R808" s="142">
        <f>B808*IBGE_2!R$808/100</f>
        <v>2.35</v>
      </c>
      <c r="S808" s="142">
        <f>B808*IBGE_2!S$808/100</f>
        <v>64</v>
      </c>
      <c r="T808" s="142">
        <f>B808*IBGE_2!T$808/100</f>
        <v>302</v>
      </c>
      <c r="U808" s="142">
        <f>B808*IBGE_2!U$808/100</f>
        <v>8.4000000000000005E-2</v>
      </c>
      <c r="V808" s="142">
        <f>B808*IBGE_2!V$808/100</f>
        <v>5.4</v>
      </c>
      <c r="W808" s="142" t="s">
        <v>3047</v>
      </c>
      <c r="X808" s="142">
        <f>B808*IBGE_2!X$808/100</f>
        <v>7.0000000000000007E-2</v>
      </c>
      <c r="Y808" s="142">
        <f>B808*IBGE_2!Y$808/100</f>
        <v>0.17</v>
      </c>
      <c r="Z808" s="142">
        <f>B808*IBGE_2!Z$808/100</f>
        <v>0.23</v>
      </c>
      <c r="AA808" s="142">
        <f>B808*IBGE_2!AA$808/100</f>
        <v>3.43</v>
      </c>
      <c r="AB808" s="142" t="s">
        <v>3047</v>
      </c>
      <c r="AC808" s="142">
        <f>B808*IBGE_2!AC$808/100</f>
        <v>7.6470000000000002</v>
      </c>
      <c r="AD808" s="142">
        <f>B808*IBGE_2!AD$808/100</f>
        <v>2.5499999999999998</v>
      </c>
      <c r="AE808" s="142">
        <f>B808*IBGE_2!AE$808/100</f>
        <v>7</v>
      </c>
      <c r="AF808" s="142">
        <f>B808*IBGE_2!AF$808/100</f>
        <v>0.6</v>
      </c>
      <c r="AG808" s="142">
        <f>B808*IBGE_2!AG$808/100</f>
        <v>0.24</v>
      </c>
      <c r="AH808" s="142">
        <f>B808*IBGE_2!AH$808/100</f>
        <v>1.35</v>
      </c>
      <c r="AI808" s="142">
        <f>B808*IBGE_2!AI$808/100</f>
        <v>333</v>
      </c>
      <c r="AJ808" s="142">
        <f>B808*IBGE_2!AJ$808/100</f>
        <v>22.4</v>
      </c>
      <c r="AK808" s="142" t="s">
        <v>3047</v>
      </c>
      <c r="AL808" s="142" t="s">
        <v>3047</v>
      </c>
      <c r="AM808" s="142" t="s">
        <v>3047</v>
      </c>
      <c r="AN808" s="161"/>
    </row>
    <row r="809" spans="1:40">
      <c r="A809" s="143" t="s">
        <v>1869</v>
      </c>
      <c r="B809" s="141">
        <v>100</v>
      </c>
      <c r="C809" s="142">
        <f>B809*IBGE_2!C$809/100</f>
        <v>365</v>
      </c>
      <c r="D809" s="142">
        <f>B809*IBGE_2!D$809/100</f>
        <v>22.6</v>
      </c>
      <c r="E809" s="142">
        <f>B809*IBGE_2!E$809/100</f>
        <v>29.79</v>
      </c>
      <c r="F809" s="142">
        <f>B809*IBGE_2!F$809/100</f>
        <v>12.01</v>
      </c>
      <c r="G809" s="142">
        <f>B809*IBGE_2!G$809/100</f>
        <v>12.8</v>
      </c>
      <c r="H809" s="142">
        <f>B809*IBGE_2!H$809/100</f>
        <v>1.05</v>
      </c>
      <c r="I809" s="142">
        <f>B809*IBGE_2!I$809/100</f>
        <v>0.7</v>
      </c>
      <c r="J809" s="142">
        <f>B809*IBGE_2!J$809/100</f>
        <v>0.33</v>
      </c>
      <c r="K809" s="142">
        <f>B809*IBGE_2!K$809/100</f>
        <v>84</v>
      </c>
      <c r="L809" s="142" t="s">
        <v>3047</v>
      </c>
      <c r="M809" s="142" t="s">
        <v>3047</v>
      </c>
      <c r="N809" s="142">
        <f>B809*IBGE_2!N$809/100</f>
        <v>11</v>
      </c>
      <c r="O809" s="142">
        <f>B809*IBGE_2!O$809/100</f>
        <v>20</v>
      </c>
      <c r="P809" s="142">
        <f>B809*IBGE_2!P$809/100</f>
        <v>1.3000000000000001E-2</v>
      </c>
      <c r="Q809" s="142">
        <f>B809*IBGE_2!Q$809/100</f>
        <v>176</v>
      </c>
      <c r="R809" s="142">
        <f>B809*IBGE_2!R$809/100</f>
        <v>2.35</v>
      </c>
      <c r="S809" s="142">
        <f>B809*IBGE_2!S$809/100</f>
        <v>64</v>
      </c>
      <c r="T809" s="142">
        <f>B809*IBGE_2!T$809/100</f>
        <v>302</v>
      </c>
      <c r="U809" s="142">
        <f>B809*IBGE_2!U$809/100</f>
        <v>8.4000000000000005E-2</v>
      </c>
      <c r="V809" s="142">
        <f>B809*IBGE_2!V$809/100</f>
        <v>5.4</v>
      </c>
      <c r="W809" s="142" t="s">
        <v>3047</v>
      </c>
      <c r="X809" s="142">
        <f>B809*IBGE_2!X$809/100</f>
        <v>7.0000000000000007E-2</v>
      </c>
      <c r="Y809" s="142">
        <f>B809*IBGE_2!Y$809/100</f>
        <v>0.17</v>
      </c>
      <c r="Z809" s="142">
        <f>B809*IBGE_2!Z$809/100</f>
        <v>0.23</v>
      </c>
      <c r="AA809" s="142">
        <f>B809*IBGE_2!AA$809/100</f>
        <v>3.43</v>
      </c>
      <c r="AB809" s="142" t="s">
        <v>3047</v>
      </c>
      <c r="AC809" s="142">
        <f>B809*IBGE_2!AC$809/100</f>
        <v>7.6470000000000002</v>
      </c>
      <c r="AD809" s="142">
        <f>B809*IBGE_2!AD$809/100</f>
        <v>2.5499999999999998</v>
      </c>
      <c r="AE809" s="142">
        <f>B809*IBGE_2!AE$809/100</f>
        <v>7</v>
      </c>
      <c r="AF809" s="142">
        <f>B809*IBGE_2!AF$809/100</f>
        <v>0.6</v>
      </c>
      <c r="AG809" s="142">
        <f>B809*IBGE_2!AG$809/100</f>
        <v>0.24</v>
      </c>
      <c r="AH809" s="142">
        <f>B809*IBGE_2!AH$809/100</f>
        <v>1.35</v>
      </c>
      <c r="AI809" s="142">
        <f>B809*IBGE_2!AI$809/100</f>
        <v>333</v>
      </c>
      <c r="AJ809" s="142">
        <f>B809*IBGE_2!AJ$809/100</f>
        <v>22.4</v>
      </c>
      <c r="AK809" s="142" t="s">
        <v>3047</v>
      </c>
      <c r="AL809" s="142" t="s">
        <v>3047</v>
      </c>
      <c r="AM809" s="142" t="s">
        <v>3047</v>
      </c>
      <c r="AN809" s="161"/>
    </row>
    <row r="810" spans="1:40">
      <c r="A810" s="143" t="s">
        <v>1870</v>
      </c>
      <c r="B810" s="141">
        <v>100</v>
      </c>
      <c r="C810" s="142">
        <f>B810*IBGE_2!C$810/100</f>
        <v>365</v>
      </c>
      <c r="D810" s="142">
        <f>B810*IBGE_2!D$810/100</f>
        <v>22.6</v>
      </c>
      <c r="E810" s="142">
        <f>B810*IBGE_2!E$810/100</f>
        <v>29.79</v>
      </c>
      <c r="F810" s="142">
        <f>B810*IBGE_2!F$810/100</f>
        <v>12.01</v>
      </c>
      <c r="G810" s="142">
        <f>B810*IBGE_2!G$810/100</f>
        <v>12.8</v>
      </c>
      <c r="H810" s="142">
        <f>B810*IBGE_2!H$810/100</f>
        <v>1.05</v>
      </c>
      <c r="I810" s="142">
        <f>B810*IBGE_2!I$810/100</f>
        <v>0.7</v>
      </c>
      <c r="J810" s="142">
        <f>B810*IBGE_2!J$810/100</f>
        <v>0.33</v>
      </c>
      <c r="K810" s="142">
        <f>B810*IBGE_2!K$810/100</f>
        <v>84</v>
      </c>
      <c r="L810" s="142" t="s">
        <v>3047</v>
      </c>
      <c r="M810" s="142" t="s">
        <v>3047</v>
      </c>
      <c r="N810" s="142">
        <f>B810*IBGE_2!N$810/100</f>
        <v>11</v>
      </c>
      <c r="O810" s="142">
        <f>B810*IBGE_2!O$810/100</f>
        <v>20</v>
      </c>
      <c r="P810" s="142">
        <f>B810*IBGE_2!P$810/100</f>
        <v>1.3000000000000001E-2</v>
      </c>
      <c r="Q810" s="142">
        <f>B810*IBGE_2!Q$810/100</f>
        <v>176</v>
      </c>
      <c r="R810" s="142">
        <f>B810*IBGE_2!R$810/100</f>
        <v>2.35</v>
      </c>
      <c r="S810" s="142">
        <f>B810*IBGE_2!S$810/100</f>
        <v>64</v>
      </c>
      <c r="T810" s="142">
        <f>B810*IBGE_2!T$810/100</f>
        <v>302</v>
      </c>
      <c r="U810" s="142">
        <f>B810*IBGE_2!U$810/100</f>
        <v>8.4000000000000005E-2</v>
      </c>
      <c r="V810" s="142">
        <f>B810*IBGE_2!V$810/100</f>
        <v>5.4</v>
      </c>
      <c r="W810" s="142" t="s">
        <v>3047</v>
      </c>
      <c r="X810" s="142">
        <f>B810*IBGE_2!X$810/100</f>
        <v>7.0000000000000007E-2</v>
      </c>
      <c r="Y810" s="142">
        <f>B810*IBGE_2!Y$810/100</f>
        <v>0.17</v>
      </c>
      <c r="Z810" s="142">
        <f>B810*IBGE_2!Z$810/100</f>
        <v>0.23</v>
      </c>
      <c r="AA810" s="142">
        <f>B810*IBGE_2!AA$810/100</f>
        <v>3.43</v>
      </c>
      <c r="AB810" s="142" t="s">
        <v>3047</v>
      </c>
      <c r="AC810" s="142">
        <f>B810*IBGE_2!AC$810/100</f>
        <v>7.6470000000000002</v>
      </c>
      <c r="AD810" s="142">
        <f>B810*IBGE_2!AD$810/100</f>
        <v>2.5499999999999998</v>
      </c>
      <c r="AE810" s="142">
        <f>B810*IBGE_2!AE$810/100</f>
        <v>7</v>
      </c>
      <c r="AF810" s="142">
        <f>B810*IBGE_2!AF$810/100</f>
        <v>0.6</v>
      </c>
      <c r="AG810" s="142">
        <f>B810*IBGE_2!AG$810/100</f>
        <v>0.24</v>
      </c>
      <c r="AH810" s="142">
        <f>B810*IBGE_2!AH$810/100</f>
        <v>1.35</v>
      </c>
      <c r="AI810" s="142">
        <f>B810*IBGE_2!AI$810/100</f>
        <v>333</v>
      </c>
      <c r="AJ810" s="142">
        <f>B810*IBGE_2!AJ$810/100</f>
        <v>22.4</v>
      </c>
      <c r="AK810" s="142" t="s">
        <v>3047</v>
      </c>
      <c r="AL810" s="142" t="s">
        <v>3047</v>
      </c>
      <c r="AM810" s="142" t="s">
        <v>3047</v>
      </c>
      <c r="AN810" s="161"/>
    </row>
    <row r="811" spans="1:40">
      <c r="A811" s="143" t="s">
        <v>1871</v>
      </c>
      <c r="B811" s="141">
        <v>100</v>
      </c>
      <c r="C811" s="142">
        <f>B811*IBGE_2!C$811/100</f>
        <v>365</v>
      </c>
      <c r="D811" s="142">
        <f>B811*IBGE_2!D$811/100</f>
        <v>22.6</v>
      </c>
      <c r="E811" s="142">
        <f>B811*IBGE_2!E$811/100</f>
        <v>29.79</v>
      </c>
      <c r="F811" s="142">
        <f>B811*IBGE_2!F$811/100</f>
        <v>12.01</v>
      </c>
      <c r="G811" s="142">
        <f>B811*IBGE_2!G$811/100</f>
        <v>12.8</v>
      </c>
      <c r="H811" s="142">
        <f>B811*IBGE_2!H$811/100</f>
        <v>1.05</v>
      </c>
      <c r="I811" s="142">
        <f>B811*IBGE_2!I$811/100</f>
        <v>0.7</v>
      </c>
      <c r="J811" s="142">
        <f>B811*IBGE_2!J$811/100</f>
        <v>0.33</v>
      </c>
      <c r="K811" s="142">
        <f>B811*IBGE_2!K$811/100</f>
        <v>84</v>
      </c>
      <c r="L811" s="142" t="s">
        <v>3047</v>
      </c>
      <c r="M811" s="142" t="s">
        <v>3047</v>
      </c>
      <c r="N811" s="142">
        <f>B811*IBGE_2!N$811/100</f>
        <v>11</v>
      </c>
      <c r="O811" s="142">
        <f>B811*IBGE_2!O$811/100</f>
        <v>20</v>
      </c>
      <c r="P811" s="142">
        <f>B811*IBGE_2!P$811/100</f>
        <v>1.3000000000000001E-2</v>
      </c>
      <c r="Q811" s="142">
        <f>B811*IBGE_2!Q$811/100</f>
        <v>176</v>
      </c>
      <c r="R811" s="142">
        <f>B811*IBGE_2!R$811/100</f>
        <v>2.35</v>
      </c>
      <c r="S811" s="142">
        <f>B811*IBGE_2!S$811/100</f>
        <v>64</v>
      </c>
      <c r="T811" s="142">
        <f>B811*IBGE_2!T$811/100</f>
        <v>302</v>
      </c>
      <c r="U811" s="142">
        <f>B811*IBGE_2!U$811/100</f>
        <v>8.4000000000000005E-2</v>
      </c>
      <c r="V811" s="142">
        <f>B811*IBGE_2!V$811/100</f>
        <v>5.4</v>
      </c>
      <c r="W811" s="142" t="s">
        <v>3047</v>
      </c>
      <c r="X811" s="142">
        <f>B811*IBGE_2!X$811/100</f>
        <v>7.0000000000000007E-2</v>
      </c>
      <c r="Y811" s="142">
        <f>B811*IBGE_2!Y$811/100</f>
        <v>0.17</v>
      </c>
      <c r="Z811" s="142">
        <f>B811*IBGE_2!Z$811/100</f>
        <v>0.23</v>
      </c>
      <c r="AA811" s="142">
        <f>B811*IBGE_2!AA$811/100</f>
        <v>3.43</v>
      </c>
      <c r="AB811" s="142" t="s">
        <v>3047</v>
      </c>
      <c r="AC811" s="142">
        <f>B811*IBGE_2!AC$811/100</f>
        <v>7.6470000000000002</v>
      </c>
      <c r="AD811" s="142">
        <f>B811*IBGE_2!AD$811/100</f>
        <v>2.5499999999999998</v>
      </c>
      <c r="AE811" s="142">
        <f>B811*IBGE_2!AE$811/100</f>
        <v>7</v>
      </c>
      <c r="AF811" s="142">
        <f>B811*IBGE_2!AF$811/100</f>
        <v>0.6</v>
      </c>
      <c r="AG811" s="142">
        <f>B811*IBGE_2!AG$811/100</f>
        <v>0.24</v>
      </c>
      <c r="AH811" s="142">
        <f>B811*IBGE_2!AH$811/100</f>
        <v>1.35</v>
      </c>
      <c r="AI811" s="142">
        <f>B811*IBGE_2!AI$811/100</f>
        <v>333</v>
      </c>
      <c r="AJ811" s="142">
        <f>B811*IBGE_2!AJ$811/100</f>
        <v>22.4</v>
      </c>
      <c r="AK811" s="142" t="s">
        <v>3047</v>
      </c>
      <c r="AL811" s="142" t="s">
        <v>3047</v>
      </c>
      <c r="AM811" s="142" t="s">
        <v>3047</v>
      </c>
      <c r="AN811" s="161"/>
    </row>
    <row r="812" spans="1:40">
      <c r="A812" s="143" t="s">
        <v>1872</v>
      </c>
      <c r="B812" s="141">
        <v>100</v>
      </c>
      <c r="C812" s="142">
        <f>B812*IBGE_2!C$812/100</f>
        <v>242</v>
      </c>
      <c r="D812" s="142">
        <f>B812*IBGE_2!D$812/100</f>
        <v>24.22</v>
      </c>
      <c r="E812" s="142">
        <f>B812*IBGE_2!E$812/100</f>
        <v>15.42</v>
      </c>
      <c r="F812" s="142">
        <f>B812*IBGE_2!F$812/100</f>
        <v>5.7380000000000004</v>
      </c>
      <c r="G812" s="142">
        <f>B812*IBGE_2!G$812/100</f>
        <v>7.0019999999999989</v>
      </c>
      <c r="H812" s="142">
        <f>B812*IBGE_2!H$812/100</f>
        <v>0.61299999999999999</v>
      </c>
      <c r="I812" s="142">
        <f>B812*IBGE_2!I$812/100</f>
        <v>0.41600000000000004</v>
      </c>
      <c r="J812" s="142">
        <f>B812*IBGE_2!J$812/100</f>
        <v>0.16400000000000003</v>
      </c>
      <c r="K812" s="142">
        <f>B812*IBGE_2!K$812/100</f>
        <v>75</v>
      </c>
      <c r="L812" s="142" t="s">
        <v>3047</v>
      </c>
      <c r="M812" s="142" t="s">
        <v>3047</v>
      </c>
      <c r="N812" s="142">
        <f>B812*IBGE_2!N$812/100</f>
        <v>8</v>
      </c>
      <c r="O812" s="142">
        <f>B812*IBGE_2!O$812/100</f>
        <v>20</v>
      </c>
      <c r="P812" s="142">
        <f>B812*IBGE_2!P$812/100</f>
        <v>1E-3</v>
      </c>
      <c r="Q812" s="142">
        <f>B812*IBGE_2!Q$812/100</f>
        <v>196</v>
      </c>
      <c r="R812" s="142">
        <f>B812*IBGE_2!R$812/100</f>
        <v>2.81</v>
      </c>
      <c r="S812" s="142">
        <f>B812*IBGE_2!S$812/100</f>
        <v>67</v>
      </c>
      <c r="T812" s="142">
        <f>B812*IBGE_2!T$812/100</f>
        <v>337</v>
      </c>
      <c r="U812" s="142">
        <f>B812*IBGE_2!U$812/100</f>
        <v>9.3000000000000013E-2</v>
      </c>
      <c r="V812" s="142">
        <f>B812*IBGE_2!V$812/100</f>
        <v>5.71</v>
      </c>
      <c r="W812" s="142" t="s">
        <v>3047</v>
      </c>
      <c r="X812" s="142">
        <f>B812*IBGE_2!X$812/100</f>
        <v>8.1000000000000003E-2</v>
      </c>
      <c r="Y812" s="142">
        <f>B812*IBGE_2!Y$812/100</f>
        <v>0.22600000000000001</v>
      </c>
      <c r="Z812" s="142">
        <f>B812*IBGE_2!Z$812/100</f>
        <v>0.255</v>
      </c>
      <c r="AA812" s="142">
        <f>B812*IBGE_2!AA$812/100</f>
        <v>3.2069999999999999</v>
      </c>
      <c r="AB812" s="142" t="s">
        <v>3047</v>
      </c>
      <c r="AC812" s="142">
        <f>B812*IBGE_2!AC$812/100</f>
        <v>7.5739999999999998</v>
      </c>
      <c r="AD812" s="142">
        <f>B812*IBGE_2!AD$812/100</f>
        <v>2.83</v>
      </c>
      <c r="AE812" s="142">
        <f>B812*IBGE_2!AE$812/100</f>
        <v>9</v>
      </c>
      <c r="AF812" s="142">
        <f>B812*IBGE_2!AF$812/100</f>
        <v>0.7</v>
      </c>
      <c r="AG812" s="142">
        <f>B812*IBGE_2!AG$812/100</f>
        <v>0.14000000000000001</v>
      </c>
      <c r="AH812" s="142">
        <f>B812*IBGE_2!AH$812/100</f>
        <v>0.68</v>
      </c>
      <c r="AI812" s="142">
        <f>B812*IBGE_2!AI$812/100</f>
        <v>333</v>
      </c>
      <c r="AJ812" s="142">
        <f>B812*IBGE_2!AJ$812/100</f>
        <v>28.3</v>
      </c>
      <c r="AK812" s="142" t="s">
        <v>3047</v>
      </c>
      <c r="AL812" s="142" t="s">
        <v>3047</v>
      </c>
      <c r="AM812" s="142" t="s">
        <v>3047</v>
      </c>
      <c r="AN812" s="161"/>
    </row>
    <row r="813" spans="1:40">
      <c r="A813" s="143" t="s">
        <v>1873</v>
      </c>
      <c r="B813" s="141">
        <v>100</v>
      </c>
      <c r="C813" s="142">
        <f>B813*IBGE_2!C$813/100</f>
        <v>242</v>
      </c>
      <c r="D813" s="142">
        <f>B813*IBGE_2!D$813/100</f>
        <v>24.22</v>
      </c>
      <c r="E813" s="142">
        <f>B813*IBGE_2!E$813/100</f>
        <v>15.42</v>
      </c>
      <c r="F813" s="142">
        <f>B813*IBGE_2!F$813/100</f>
        <v>5.7380000000000004</v>
      </c>
      <c r="G813" s="142">
        <f>B813*IBGE_2!G$813/100</f>
        <v>7.0019999999999989</v>
      </c>
      <c r="H813" s="142">
        <f>B813*IBGE_2!H$813/100</f>
        <v>0.61299999999999999</v>
      </c>
      <c r="I813" s="142">
        <f>B813*IBGE_2!I$813/100</f>
        <v>0.41600000000000004</v>
      </c>
      <c r="J813" s="142">
        <f>B813*IBGE_2!J$813/100</f>
        <v>0.16400000000000003</v>
      </c>
      <c r="K813" s="142">
        <f>B813*IBGE_2!K$813/100</f>
        <v>75</v>
      </c>
      <c r="L813" s="142" t="s">
        <v>3047</v>
      </c>
      <c r="M813" s="142" t="s">
        <v>3047</v>
      </c>
      <c r="N813" s="142">
        <f>B813*IBGE_2!N$813/100</f>
        <v>8</v>
      </c>
      <c r="O813" s="142">
        <f>B813*IBGE_2!O$813/100</f>
        <v>20</v>
      </c>
      <c r="P813" s="142">
        <f>B813*IBGE_2!P$813/100</f>
        <v>1E-3</v>
      </c>
      <c r="Q813" s="142">
        <f>B813*IBGE_2!Q$813/100</f>
        <v>196</v>
      </c>
      <c r="R813" s="142">
        <f>B813*IBGE_2!R$813/100</f>
        <v>2.81</v>
      </c>
      <c r="S813" s="142">
        <f>B813*IBGE_2!S$813/100</f>
        <v>67</v>
      </c>
      <c r="T813" s="142">
        <f>B813*IBGE_2!T$813/100</f>
        <v>337</v>
      </c>
      <c r="U813" s="142">
        <f>B813*IBGE_2!U$813/100</f>
        <v>9.3000000000000013E-2</v>
      </c>
      <c r="V813" s="142">
        <f>B813*IBGE_2!V$813/100</f>
        <v>5.71</v>
      </c>
      <c r="W813" s="142" t="s">
        <v>3047</v>
      </c>
      <c r="X813" s="142">
        <f>B813*IBGE_2!X$813/100</f>
        <v>8.1000000000000003E-2</v>
      </c>
      <c r="Y813" s="142">
        <f>B813*IBGE_2!Y$813/100</f>
        <v>0.22600000000000001</v>
      </c>
      <c r="Z813" s="142">
        <f>B813*IBGE_2!Z$813/100</f>
        <v>0.255</v>
      </c>
      <c r="AA813" s="142">
        <f>B813*IBGE_2!AA$813/100</f>
        <v>3.2069999999999999</v>
      </c>
      <c r="AB813" s="142" t="s">
        <v>3047</v>
      </c>
      <c r="AC813" s="142">
        <f>B813*IBGE_2!AC$813/100</f>
        <v>7.5739999999999998</v>
      </c>
      <c r="AD813" s="142">
        <f>B813*IBGE_2!AD$813/100</f>
        <v>2.83</v>
      </c>
      <c r="AE813" s="142">
        <f>B813*IBGE_2!AE$813/100</f>
        <v>9</v>
      </c>
      <c r="AF813" s="142">
        <f>B813*IBGE_2!AF$813/100</f>
        <v>0.7</v>
      </c>
      <c r="AG813" s="142">
        <f>B813*IBGE_2!AG$813/100</f>
        <v>0.14000000000000001</v>
      </c>
      <c r="AH813" s="142">
        <f>B813*IBGE_2!AH$813/100</f>
        <v>0.68</v>
      </c>
      <c r="AI813" s="142">
        <f>B813*IBGE_2!AI$813/100</f>
        <v>333</v>
      </c>
      <c r="AJ813" s="142">
        <f>B813*IBGE_2!AJ$813/100</f>
        <v>28.3</v>
      </c>
      <c r="AK813" s="142" t="s">
        <v>3047</v>
      </c>
      <c r="AL813" s="142" t="s">
        <v>3047</v>
      </c>
      <c r="AM813" s="142" t="s">
        <v>3047</v>
      </c>
      <c r="AN813" s="161"/>
    </row>
    <row r="814" spans="1:40">
      <c r="A814" s="143" t="s">
        <v>1874</v>
      </c>
      <c r="B814" s="141">
        <v>100</v>
      </c>
      <c r="C814" s="142">
        <f>B814*IBGE_2!C$814/100</f>
        <v>264.65899999999999</v>
      </c>
      <c r="D814" s="142">
        <f>B814*IBGE_2!D$814/100</f>
        <v>24.22</v>
      </c>
      <c r="E814" s="142">
        <f>B814*IBGE_2!E$814/100</f>
        <v>17.983000000000001</v>
      </c>
      <c r="F814" s="142">
        <f>B814*IBGE_2!F$814/100</f>
        <v>6.1389999999999993</v>
      </c>
      <c r="G814" s="142">
        <f>B814*IBGE_2!G$814/100</f>
        <v>7.5860000000000003</v>
      </c>
      <c r="H814" s="142">
        <f>B814*IBGE_2!H$814/100</f>
        <v>2.093</v>
      </c>
      <c r="I814" s="142">
        <f>B814*IBGE_2!I$814/100</f>
        <v>1.722</v>
      </c>
      <c r="J814" s="142">
        <f>B814*IBGE_2!J$814/100</f>
        <v>0.33800000000000002</v>
      </c>
      <c r="K814" s="142">
        <f>B814*IBGE_2!K$814/100</f>
        <v>75</v>
      </c>
      <c r="L814" s="142" t="s">
        <v>3047</v>
      </c>
      <c r="M814" s="142" t="s">
        <v>3047</v>
      </c>
      <c r="N814" s="142">
        <f>B814*IBGE_2!N$814/100</f>
        <v>8</v>
      </c>
      <c r="O814" s="142">
        <f>B814*IBGE_2!O$814/100</f>
        <v>20</v>
      </c>
      <c r="P814" s="142">
        <f>B814*IBGE_2!P$814/100</f>
        <v>1E-3</v>
      </c>
      <c r="Q814" s="142">
        <f>B814*IBGE_2!Q$814/100</f>
        <v>196</v>
      </c>
      <c r="R814" s="142">
        <f>B814*IBGE_2!R$814/100</f>
        <v>2.8110000000000004</v>
      </c>
      <c r="S814" s="142">
        <f>B814*IBGE_2!S$814/100</f>
        <v>67</v>
      </c>
      <c r="T814" s="142">
        <f>B814*IBGE_2!T$814/100</f>
        <v>337</v>
      </c>
      <c r="U814" s="142">
        <f>B814*IBGE_2!U$814/100</f>
        <v>9.3000000000000013E-2</v>
      </c>
      <c r="V814" s="142">
        <f>B814*IBGE_2!V$814/100</f>
        <v>5.71</v>
      </c>
      <c r="W814" s="142" t="s">
        <v>3047</v>
      </c>
      <c r="X814" s="142">
        <f>B814*IBGE_2!X$814/100</f>
        <v>8.1000000000000003E-2</v>
      </c>
      <c r="Y814" s="142">
        <f>B814*IBGE_2!Y$814/100</f>
        <v>0.22600000000000001</v>
      </c>
      <c r="Z814" s="142">
        <f>B814*IBGE_2!Z$814/100</f>
        <v>0.255</v>
      </c>
      <c r="AA814" s="142">
        <f>B814*IBGE_2!AA$814/100</f>
        <v>3.2069999999999999</v>
      </c>
      <c r="AB814" s="142" t="s">
        <v>3047</v>
      </c>
      <c r="AC814" s="142">
        <f>B814*IBGE_2!AC$814/100</f>
        <v>7.5739999999999998</v>
      </c>
      <c r="AD814" s="142">
        <f>B814*IBGE_2!AD$814/100</f>
        <v>2.83</v>
      </c>
      <c r="AE814" s="142">
        <f>B814*IBGE_2!AE$814/100</f>
        <v>9</v>
      </c>
      <c r="AF814" s="142">
        <f>B814*IBGE_2!AF$814/100</f>
        <v>0.7</v>
      </c>
      <c r="AG814" s="142">
        <f>B814*IBGE_2!AG$814/100</f>
        <v>0.35</v>
      </c>
      <c r="AH814" s="142">
        <f>B814*IBGE_2!AH$814/100</f>
        <v>0.69399999999999995</v>
      </c>
      <c r="AI814" s="142">
        <f>B814*IBGE_2!AI$814/100</f>
        <v>333</v>
      </c>
      <c r="AJ814" s="142">
        <f>B814*IBGE_2!AJ$814/100</f>
        <v>29.475000000000001</v>
      </c>
      <c r="AK814" s="142" t="s">
        <v>3047</v>
      </c>
      <c r="AL814" s="142" t="s">
        <v>3047</v>
      </c>
      <c r="AM814" s="142" t="s">
        <v>3047</v>
      </c>
      <c r="AN814" s="161"/>
    </row>
    <row r="815" spans="1:40">
      <c r="A815" s="143" t="s">
        <v>1875</v>
      </c>
      <c r="B815" s="141">
        <v>100</v>
      </c>
      <c r="C815" s="142">
        <f>B815*IBGE_2!C$815/100</f>
        <v>280.83699999999999</v>
      </c>
      <c r="D815" s="142">
        <f>B815*IBGE_2!D$815/100</f>
        <v>24.678999999999995</v>
      </c>
      <c r="E815" s="142">
        <f>B815*IBGE_2!E$815/100</f>
        <v>18.027000000000001</v>
      </c>
      <c r="F815" s="142">
        <f>B815*IBGE_2!F$815/100</f>
        <v>6.1459999999999999</v>
      </c>
      <c r="G815" s="142">
        <f>B815*IBGE_2!G$815/100</f>
        <v>7.59</v>
      </c>
      <c r="H815" s="142">
        <f>B815*IBGE_2!H$815/100</f>
        <v>2.1110000000000002</v>
      </c>
      <c r="I815" s="142">
        <f>B815*IBGE_2!I$815/100</f>
        <v>1.7390000000000001</v>
      </c>
      <c r="J815" s="142">
        <f>B815*IBGE_2!J$815/100</f>
        <v>0.33900000000000008</v>
      </c>
      <c r="K815" s="142">
        <f>B815*IBGE_2!K$815/100</f>
        <v>75</v>
      </c>
      <c r="L815" s="142">
        <f>B815*IBGE_2!L$815/100</f>
        <v>3.3919999999999999</v>
      </c>
      <c r="M815" s="142">
        <f>B815*IBGE_2!M$815/100</f>
        <v>0.13500000000000001</v>
      </c>
      <c r="N815" s="142">
        <f>B815*IBGE_2!N$815/100</f>
        <v>8.6669999999999998</v>
      </c>
      <c r="O815" s="142">
        <f>B815*IBGE_2!O$815/100</f>
        <v>20.978000000000002</v>
      </c>
      <c r="P815" s="142">
        <f>B815*IBGE_2!P$815/100</f>
        <v>3.1E-2</v>
      </c>
      <c r="Q815" s="142">
        <f>B815*IBGE_2!Q$815/100</f>
        <v>200.8</v>
      </c>
      <c r="R815" s="142">
        <f>B815*IBGE_2!R$815/100</f>
        <v>3.0179999999999993</v>
      </c>
      <c r="S815" s="142">
        <f>B815*IBGE_2!S$815/100</f>
        <v>67.088999999999999</v>
      </c>
      <c r="T815" s="142">
        <f>B815*IBGE_2!T$815/100</f>
        <v>341.75599999999997</v>
      </c>
      <c r="U815" s="142">
        <f>B815*IBGE_2!U$815/100</f>
        <v>9.9000000000000005E-2</v>
      </c>
      <c r="V815" s="142">
        <f>B815*IBGE_2!V$815/100</f>
        <v>5.7409999999999988</v>
      </c>
      <c r="W815" s="142" t="s">
        <v>3047</v>
      </c>
      <c r="X815" s="142">
        <f>B815*IBGE_2!X$815/100</f>
        <v>0.11600000000000002</v>
      </c>
      <c r="Y815" s="142">
        <f>B815*IBGE_2!Y$815/100</f>
        <v>0.248</v>
      </c>
      <c r="Z815" s="142">
        <f>B815*IBGE_2!Z$815/100</f>
        <v>0.25700000000000001</v>
      </c>
      <c r="AA815" s="142">
        <f>B815*IBGE_2!AA$815/100</f>
        <v>3.4689999999999999</v>
      </c>
      <c r="AB815" s="142" t="s">
        <v>3047</v>
      </c>
      <c r="AC815" s="142">
        <f>B815*IBGE_2!AC$815/100</f>
        <v>7.93</v>
      </c>
      <c r="AD815" s="142">
        <f>B815*IBGE_2!AD$815/100</f>
        <v>2.83</v>
      </c>
      <c r="AE815" s="142">
        <f>B815*IBGE_2!AE$815/100</f>
        <v>18.067</v>
      </c>
      <c r="AF815" s="142">
        <f>B815*IBGE_2!AF$815/100</f>
        <v>0.7</v>
      </c>
      <c r="AG815" s="142">
        <f>B815*IBGE_2!AG$815/100</f>
        <v>0.35199999999999998</v>
      </c>
      <c r="AH815" s="142">
        <f>B815*IBGE_2!AH$815/100</f>
        <v>0.69399999999999995</v>
      </c>
      <c r="AI815" s="142">
        <f>B815*IBGE_2!AI$815/100</f>
        <v>333</v>
      </c>
      <c r="AJ815" s="142">
        <f>B815*IBGE_2!AJ$815/100</f>
        <v>30.981000000000005</v>
      </c>
      <c r="AK815" s="145" t="s">
        <v>3047</v>
      </c>
      <c r="AL815" s="142">
        <f>B815*IBGE_2!AL$815/100</f>
        <v>1.4000000000000002E-2</v>
      </c>
      <c r="AM815" s="142" t="s">
        <v>3047</v>
      </c>
      <c r="AN815" s="161"/>
    </row>
    <row r="816" spans="1:40">
      <c r="A816" s="143" t="s">
        <v>1876</v>
      </c>
      <c r="B816" s="141">
        <v>100</v>
      </c>
      <c r="C816" s="142">
        <f>B816*IBGE_2!C$816/100</f>
        <v>264.65899999999999</v>
      </c>
      <c r="D816" s="142">
        <f>B816*IBGE_2!D$816/100</f>
        <v>24.22</v>
      </c>
      <c r="E816" s="142">
        <f>B816*IBGE_2!E$816/100</f>
        <v>17.983000000000001</v>
      </c>
      <c r="F816" s="142">
        <f>B816*IBGE_2!F$816/100</f>
        <v>6.1389999999999993</v>
      </c>
      <c r="G816" s="142">
        <f>B816*IBGE_2!G$816/100</f>
        <v>7.5860000000000003</v>
      </c>
      <c r="H816" s="142">
        <f>B816*IBGE_2!H$816/100</f>
        <v>2.093</v>
      </c>
      <c r="I816" s="142">
        <f>B816*IBGE_2!I$816/100</f>
        <v>1.722</v>
      </c>
      <c r="J816" s="142">
        <f>B816*IBGE_2!J$816/100</f>
        <v>0.33800000000000002</v>
      </c>
      <c r="K816" s="142">
        <f>B816*IBGE_2!K$816/100</f>
        <v>75</v>
      </c>
      <c r="L816" s="142" t="s">
        <v>3047</v>
      </c>
      <c r="M816" s="142" t="s">
        <v>3047</v>
      </c>
      <c r="N816" s="142">
        <f>B816*IBGE_2!N$816/100</f>
        <v>8</v>
      </c>
      <c r="O816" s="142">
        <f>B816*IBGE_2!O$816/100</f>
        <v>20</v>
      </c>
      <c r="P816" s="142">
        <f>B816*IBGE_2!P$816/100</f>
        <v>1E-3</v>
      </c>
      <c r="Q816" s="142">
        <f>B816*IBGE_2!Q$816/100</f>
        <v>196</v>
      </c>
      <c r="R816" s="142">
        <f>B816*IBGE_2!R$816/100</f>
        <v>2.8110000000000004</v>
      </c>
      <c r="S816" s="142">
        <f>B816*IBGE_2!S$816/100</f>
        <v>67</v>
      </c>
      <c r="T816" s="142">
        <f>B816*IBGE_2!T$816/100</f>
        <v>337</v>
      </c>
      <c r="U816" s="142">
        <f>B816*IBGE_2!U$816/100</f>
        <v>9.3000000000000013E-2</v>
      </c>
      <c r="V816" s="142">
        <f>B816*IBGE_2!V$816/100</f>
        <v>5.71</v>
      </c>
      <c r="W816" s="142" t="s">
        <v>3047</v>
      </c>
      <c r="X816" s="142">
        <f>B816*IBGE_2!X$816/100</f>
        <v>8.1000000000000003E-2</v>
      </c>
      <c r="Y816" s="142">
        <f>B816*IBGE_2!Y$816/100</f>
        <v>0.22600000000000001</v>
      </c>
      <c r="Z816" s="142">
        <f>B816*IBGE_2!Z$816/100</f>
        <v>0.255</v>
      </c>
      <c r="AA816" s="142">
        <f>B816*IBGE_2!AA$816/100</f>
        <v>3.2069999999999999</v>
      </c>
      <c r="AB816" s="142" t="s">
        <v>3047</v>
      </c>
      <c r="AC816" s="142">
        <f>B816*IBGE_2!AC$816/100</f>
        <v>7.5739999999999998</v>
      </c>
      <c r="AD816" s="142">
        <f>B816*IBGE_2!AD$816/100</f>
        <v>2.83</v>
      </c>
      <c r="AE816" s="142">
        <f>B816*IBGE_2!AE$816/100</f>
        <v>9</v>
      </c>
      <c r="AF816" s="142">
        <f>B816*IBGE_2!AF$816/100</f>
        <v>0.7</v>
      </c>
      <c r="AG816" s="142">
        <f>B816*IBGE_2!AG$816/100</f>
        <v>0.35</v>
      </c>
      <c r="AH816" s="142">
        <f>B816*IBGE_2!AH$816/100</f>
        <v>0.69399999999999995</v>
      </c>
      <c r="AI816" s="142">
        <f>B816*IBGE_2!AI$816/100</f>
        <v>333</v>
      </c>
      <c r="AJ816" s="142">
        <f>B816*IBGE_2!AJ$816/100</f>
        <v>29.475000000000001</v>
      </c>
      <c r="AK816" s="145" t="s">
        <v>3047</v>
      </c>
      <c r="AL816" s="145" t="s">
        <v>3047</v>
      </c>
      <c r="AM816" s="142" t="s">
        <v>3047</v>
      </c>
      <c r="AN816" s="161"/>
    </row>
    <row r="817" spans="1:40">
      <c r="A817" s="143" t="s">
        <v>1877</v>
      </c>
      <c r="B817" s="141">
        <v>100</v>
      </c>
      <c r="C817" s="142">
        <f>B817*IBGE_2!C$817/100</f>
        <v>191</v>
      </c>
      <c r="D817" s="142">
        <f>B817*IBGE_2!D$817/100</f>
        <v>29.08</v>
      </c>
      <c r="E817" s="142">
        <f>B817*IBGE_2!E$817/100</f>
        <v>5.26</v>
      </c>
      <c r="F817" s="142">
        <f>B817*IBGE_2!F$817/100</f>
        <v>1.696</v>
      </c>
      <c r="G817" s="142">
        <f>B817*IBGE_2!G$817/100</f>
        <v>0.64700000000000002</v>
      </c>
      <c r="H817" s="142">
        <f>B817*IBGE_2!H$817/100</f>
        <v>0.63900000000000001</v>
      </c>
      <c r="I817" s="142" t="s">
        <v>3047</v>
      </c>
      <c r="J817" s="142" t="s">
        <v>3047</v>
      </c>
      <c r="K817" s="142">
        <f>B817*IBGE_2!K$817/100</f>
        <v>396</v>
      </c>
      <c r="L817" s="142">
        <f>B817*IBGE_2!L$817/100</f>
        <v>5.13</v>
      </c>
      <c r="M817" s="142" t="s">
        <v>3047</v>
      </c>
      <c r="N817" s="142">
        <f>B817*IBGE_2!N$817/100</f>
        <v>6</v>
      </c>
      <c r="O817" s="142">
        <f>B817*IBGE_2!O$817/100</f>
        <v>21</v>
      </c>
      <c r="P817" s="142">
        <f>B817*IBGE_2!P$817/100</f>
        <v>0.35600000000000004</v>
      </c>
      <c r="Q817" s="142">
        <f>B817*IBGE_2!Q$817/100</f>
        <v>497</v>
      </c>
      <c r="R817" s="142">
        <f>B817*IBGE_2!R$817/100</f>
        <v>6.54</v>
      </c>
      <c r="S817" s="142">
        <f>B817*IBGE_2!S$817/100</f>
        <v>79</v>
      </c>
      <c r="T817" s="142">
        <f>B817*IBGE_2!T$817/100</f>
        <v>352</v>
      </c>
      <c r="U817" s="142">
        <f>B817*IBGE_2!U$817/100</f>
        <v>14.282999999999999</v>
      </c>
      <c r="V817" s="142">
        <f>B817*IBGE_2!V$817/100</f>
        <v>5.3</v>
      </c>
      <c r="W817" s="142">
        <f>B817*IBGE_2!W$817/100</f>
        <v>9428</v>
      </c>
      <c r="X817" s="142">
        <f>B817*IBGE_2!X$817/100</f>
        <v>0.19400000000000003</v>
      </c>
      <c r="Y817" s="142">
        <f>B817*IBGE_2!Y$817/100</f>
        <v>3.4249999999999998</v>
      </c>
      <c r="Z817" s="142">
        <f>B817*IBGE_2!Z$817/100</f>
        <v>1.0169999999999999</v>
      </c>
      <c r="AA817" s="142">
        <f>B817*IBGE_2!AA$817/100</f>
        <v>17.524999999999999</v>
      </c>
      <c r="AB817" s="142">
        <f>B817*IBGE_2!AB$817/100</f>
        <v>1.9</v>
      </c>
      <c r="AC817" s="142">
        <f>B817*IBGE_2!AC$817/100</f>
        <v>23.658000000000001</v>
      </c>
      <c r="AD817" s="142">
        <f>B817*IBGE_2!AD$817/100</f>
        <v>70.58</v>
      </c>
      <c r="AE817" s="142">
        <f>B817*IBGE_2!AE$817/100</f>
        <v>253</v>
      </c>
      <c r="AF817" s="142">
        <f>B817*IBGE_2!AF$817/100</f>
        <v>0.4</v>
      </c>
      <c r="AG817" s="142">
        <f>B817*IBGE_2!AG$817/100</f>
        <v>0.51</v>
      </c>
      <c r="AH817" s="142">
        <f>B817*IBGE_2!AH$817/100</f>
        <v>0.21</v>
      </c>
      <c r="AI817" s="142">
        <f>B817*IBGE_2!AI$817/100</f>
        <v>333</v>
      </c>
      <c r="AJ817" s="142">
        <f>B817*IBGE_2!AJ$817/100</f>
        <v>36.1</v>
      </c>
      <c r="AK817" s="142">
        <f>B817*IBGE_2!AK$817/100</f>
        <v>9442.4169999999995</v>
      </c>
      <c r="AL817" s="145" t="s">
        <v>3047</v>
      </c>
      <c r="AM817" s="142" t="s">
        <v>3047</v>
      </c>
      <c r="AN817" s="161"/>
    </row>
    <row r="818" spans="1:40">
      <c r="A818" s="143" t="s">
        <v>1878</v>
      </c>
      <c r="B818" s="141">
        <v>100</v>
      </c>
      <c r="C818" s="142">
        <f>B818*IBGE_2!C$818/100</f>
        <v>213.65899999999999</v>
      </c>
      <c r="D818" s="142">
        <f>B818*IBGE_2!D$818/100</f>
        <v>29.08</v>
      </c>
      <c r="E818" s="142">
        <f>B818*IBGE_2!E$818/100</f>
        <v>7.8230000000000004</v>
      </c>
      <c r="F818" s="142">
        <f>B818*IBGE_2!F$818/100</f>
        <v>2.097</v>
      </c>
      <c r="G818" s="142">
        <f>B818*IBGE_2!G$818/100</f>
        <v>1.2310000000000001</v>
      </c>
      <c r="H818" s="142">
        <f>B818*IBGE_2!H$818/100</f>
        <v>2.1190000000000002</v>
      </c>
      <c r="I818" s="142">
        <f>B818*IBGE_2!I$818/100</f>
        <v>1.306</v>
      </c>
      <c r="J818" s="142">
        <f>B818*IBGE_2!J$818/100</f>
        <v>0.17399999999999999</v>
      </c>
      <c r="K818" s="142">
        <f>B818*IBGE_2!K$818/100</f>
        <v>396</v>
      </c>
      <c r="L818" s="142">
        <f>B818*IBGE_2!L$818/100</f>
        <v>5.13</v>
      </c>
      <c r="M818" s="142" t="s">
        <v>3047</v>
      </c>
      <c r="N818" s="142">
        <f>B818*IBGE_2!N$818/100</f>
        <v>6</v>
      </c>
      <c r="O818" s="142">
        <f>B818*IBGE_2!O$818/100</f>
        <v>21</v>
      </c>
      <c r="P818" s="142">
        <f>B818*IBGE_2!P$818/100</f>
        <v>0.35600000000000004</v>
      </c>
      <c r="Q818" s="142">
        <f>B818*IBGE_2!Q$818/100</f>
        <v>497</v>
      </c>
      <c r="R818" s="142">
        <f>B818*IBGE_2!R$818/100</f>
        <v>6.5410000000000004</v>
      </c>
      <c r="S818" s="142">
        <f>B818*IBGE_2!S$818/100</f>
        <v>79</v>
      </c>
      <c r="T818" s="142">
        <f>B818*IBGE_2!T$818/100</f>
        <v>352</v>
      </c>
      <c r="U818" s="142">
        <f>B818*IBGE_2!U$818/100</f>
        <v>14.282999999999999</v>
      </c>
      <c r="V818" s="142">
        <f>B818*IBGE_2!V$818/100</f>
        <v>5.3</v>
      </c>
      <c r="W818" s="142">
        <f>B818*IBGE_2!W$818/100</f>
        <v>9428</v>
      </c>
      <c r="X818" s="142">
        <f>B818*IBGE_2!X$818/100</f>
        <v>0.19400000000000003</v>
      </c>
      <c r="Y818" s="142">
        <f>B818*IBGE_2!Y$818/100</f>
        <v>3.4249999999999998</v>
      </c>
      <c r="Z818" s="142">
        <f>B818*IBGE_2!Z$818/100</f>
        <v>1.0169999999999999</v>
      </c>
      <c r="AA818" s="142">
        <f>B818*IBGE_2!AA$818/100</f>
        <v>17.524999999999999</v>
      </c>
      <c r="AB818" s="142">
        <f>B818*IBGE_2!AB$818/100</f>
        <v>1.9</v>
      </c>
      <c r="AC818" s="142">
        <f>B818*IBGE_2!AC$818/100</f>
        <v>23.658000000000001</v>
      </c>
      <c r="AD818" s="142">
        <f>B818*IBGE_2!AD$818/100</f>
        <v>70.58</v>
      </c>
      <c r="AE818" s="142">
        <f>B818*IBGE_2!AE$818/100</f>
        <v>253</v>
      </c>
      <c r="AF818" s="142">
        <f>B818*IBGE_2!AF$818/100</f>
        <v>0.4</v>
      </c>
      <c r="AG818" s="142">
        <f>B818*IBGE_2!AG$818/100</f>
        <v>0.72</v>
      </c>
      <c r="AH818" s="142">
        <f>B818*IBGE_2!AH$818/100</f>
        <v>0.22400000000000003</v>
      </c>
      <c r="AI818" s="142">
        <f>B818*IBGE_2!AI$818/100</f>
        <v>333</v>
      </c>
      <c r="AJ818" s="142">
        <f>B818*IBGE_2!AJ$818/100</f>
        <v>37.274999999999999</v>
      </c>
      <c r="AK818" s="142">
        <f>B818*IBGE_2!AK$818/100</f>
        <v>9442.4169999999995</v>
      </c>
      <c r="AL818" s="145" t="s">
        <v>3047</v>
      </c>
      <c r="AM818" s="142" t="s">
        <v>3047</v>
      </c>
      <c r="AN818" s="161"/>
    </row>
    <row r="819" spans="1:40">
      <c r="A819" s="143" t="s">
        <v>1879</v>
      </c>
      <c r="B819" s="141">
        <v>100</v>
      </c>
      <c r="C819" s="142">
        <f>B819*IBGE_2!C$819/100</f>
        <v>100.041</v>
      </c>
      <c r="D819" s="142">
        <f>B819*IBGE_2!D$819/100</f>
        <v>13.982999999999999</v>
      </c>
      <c r="E819" s="142">
        <f>B819*IBGE_2!E$819/100</f>
        <v>2.9630000000000001</v>
      </c>
      <c r="F819" s="142">
        <f>B819*IBGE_2!F$819/100</f>
        <v>0.89900000000000002</v>
      </c>
      <c r="G819" s="142">
        <f>B819*IBGE_2!G$819/100</f>
        <v>0.626</v>
      </c>
      <c r="H819" s="142">
        <f>B819*IBGE_2!H$819/100</f>
        <v>0.86</v>
      </c>
      <c r="I819" s="142">
        <f>B819*IBGE_2!I$819/100</f>
        <v>0.34699999999999998</v>
      </c>
      <c r="J819" s="142">
        <f>B819*IBGE_2!J$819/100</f>
        <v>6.0000000000000001E-3</v>
      </c>
      <c r="K819" s="142">
        <f>B819*IBGE_2!K$819/100</f>
        <v>265.67700000000002</v>
      </c>
      <c r="L819" s="142">
        <f>B819*IBGE_2!L$819/100</f>
        <v>4.18</v>
      </c>
      <c r="M819" s="142">
        <f>B819*IBGE_2!M$819/100</f>
        <v>0.621</v>
      </c>
      <c r="N819" s="142">
        <f>B819*IBGE_2!N$819/100</f>
        <v>15.865</v>
      </c>
      <c r="O819" s="142">
        <f>B819*IBGE_2!O$819/100</f>
        <v>15.946999999999997</v>
      </c>
      <c r="P819" s="142">
        <f>B819*IBGE_2!P$819/100</f>
        <v>0.222</v>
      </c>
      <c r="Q819" s="142">
        <f>B819*IBGE_2!Q$819/100</f>
        <v>195.69399999999999</v>
      </c>
      <c r="R819" s="142">
        <f>B819*IBGE_2!R$819/100</f>
        <v>5.1870000000000003</v>
      </c>
      <c r="S819" s="142">
        <f>B819*IBGE_2!S$819/100</f>
        <v>340.83499999999998</v>
      </c>
      <c r="T819" s="142">
        <f>B819*IBGE_2!T$819/100</f>
        <v>224.90899999999999</v>
      </c>
      <c r="U819" s="142">
        <f>B819*IBGE_2!U$819/100</f>
        <v>0.254</v>
      </c>
      <c r="V819" s="142">
        <f>B819*IBGE_2!V$819/100</f>
        <v>2.202</v>
      </c>
      <c r="W819" s="142">
        <f>B819*IBGE_2!W$819/100</f>
        <v>1539.8710000000001</v>
      </c>
      <c r="X819" s="142">
        <f>B819*IBGE_2!X$819/100</f>
        <v>0.14199999999999999</v>
      </c>
      <c r="Y819" s="142">
        <f>B819*IBGE_2!Y$819/100</f>
        <v>0.81299999999999994</v>
      </c>
      <c r="Z819" s="142">
        <f>B819*IBGE_2!Z$819/100</f>
        <v>0.39</v>
      </c>
      <c r="AA819" s="142">
        <f>B819*IBGE_2!AA$819/100</f>
        <v>4.9000000000000004</v>
      </c>
      <c r="AB819" s="142">
        <f>B819*IBGE_2!AB$819/100</f>
        <v>34.222999999999999</v>
      </c>
      <c r="AC819" s="142">
        <f>B819*IBGE_2!AC$819/100</f>
        <v>7.3630000000000004</v>
      </c>
      <c r="AD819" s="142">
        <f>B819*IBGE_2!AD$819/100</f>
        <v>6.657</v>
      </c>
      <c r="AE819" s="142">
        <f>B819*IBGE_2!AE$819/100</f>
        <v>232.50899999999999</v>
      </c>
      <c r="AF819" s="142">
        <f>B819*IBGE_2!AF$819/100</f>
        <v>0.10299999999999999</v>
      </c>
      <c r="AG819" s="142">
        <f>B819*IBGE_2!AG$819/100</f>
        <v>0.57599999999999996</v>
      </c>
      <c r="AH819" s="142">
        <f>B819*IBGE_2!AH$819/100</f>
        <v>5.2000000000000005E-2</v>
      </c>
      <c r="AI819" s="145" t="s">
        <v>3047</v>
      </c>
      <c r="AJ819" s="142">
        <f>B819*IBGE_2!AJ$819/100</f>
        <v>37.481999999999999</v>
      </c>
      <c r="AK819" s="142">
        <f>B819*IBGE_2!AK$819/100</f>
        <v>1553.6020000000001</v>
      </c>
      <c r="AL819" s="142">
        <f>B819*IBGE_2!AL$819/100</f>
        <v>1.952</v>
      </c>
      <c r="AM819" s="142" t="s">
        <v>3047</v>
      </c>
      <c r="AN819" s="161"/>
    </row>
    <row r="820" spans="1:40">
      <c r="A820" s="143" t="s">
        <v>1880</v>
      </c>
      <c r="B820" s="141">
        <v>100</v>
      </c>
      <c r="C820" s="142">
        <f>B820*IBGE_2!C$820/100</f>
        <v>100.041</v>
      </c>
      <c r="D820" s="142">
        <f>B820*IBGE_2!D$820/100</f>
        <v>13.982999999999999</v>
      </c>
      <c r="E820" s="142">
        <f>B820*IBGE_2!E$820/100</f>
        <v>2.9630000000000001</v>
      </c>
      <c r="F820" s="142">
        <f>B820*IBGE_2!F$820/100</f>
        <v>0.89900000000000002</v>
      </c>
      <c r="G820" s="142">
        <f>B820*IBGE_2!G$820/100</f>
        <v>0.626</v>
      </c>
      <c r="H820" s="142">
        <f>B820*IBGE_2!H$820/100</f>
        <v>0.86</v>
      </c>
      <c r="I820" s="142">
        <f>B820*IBGE_2!I$820/100</f>
        <v>0.34699999999999998</v>
      </c>
      <c r="J820" s="142">
        <f>B820*IBGE_2!J$820/100</f>
        <v>6.0000000000000001E-3</v>
      </c>
      <c r="K820" s="142">
        <f>B820*IBGE_2!K$820/100</f>
        <v>265.67700000000002</v>
      </c>
      <c r="L820" s="142">
        <f>B820*IBGE_2!L$820/100</f>
        <v>4.18</v>
      </c>
      <c r="M820" s="142">
        <f>B820*IBGE_2!M$820/100</f>
        <v>0.621</v>
      </c>
      <c r="N820" s="142">
        <f>B820*IBGE_2!N$820/100</f>
        <v>15.865</v>
      </c>
      <c r="O820" s="142">
        <f>B820*IBGE_2!O$820/100</f>
        <v>15.946999999999997</v>
      </c>
      <c r="P820" s="142">
        <f>B820*IBGE_2!P$820/100</f>
        <v>0.222</v>
      </c>
      <c r="Q820" s="142">
        <f>B820*IBGE_2!Q$820/100</f>
        <v>195.69399999999999</v>
      </c>
      <c r="R820" s="142">
        <f>B820*IBGE_2!R$820/100</f>
        <v>5.1870000000000003</v>
      </c>
      <c r="S820" s="142">
        <f>B820*IBGE_2!S$820/100</f>
        <v>340.83499999999998</v>
      </c>
      <c r="T820" s="142">
        <f>B820*IBGE_2!T$820/100</f>
        <v>224.90899999999999</v>
      </c>
      <c r="U820" s="142">
        <f>B820*IBGE_2!U$820/100</f>
        <v>0.254</v>
      </c>
      <c r="V820" s="142">
        <f>B820*IBGE_2!V$820/100</f>
        <v>2.202</v>
      </c>
      <c r="W820" s="142">
        <f>B820*IBGE_2!W$820/100</f>
        <v>1539.8710000000001</v>
      </c>
      <c r="X820" s="142">
        <f>B820*IBGE_2!X$820/100</f>
        <v>0.14199999999999999</v>
      </c>
      <c r="Y820" s="142">
        <f>B820*IBGE_2!Y$820/100</f>
        <v>0.81299999999999994</v>
      </c>
      <c r="Z820" s="142">
        <f>B820*IBGE_2!Z$820/100</f>
        <v>0.39</v>
      </c>
      <c r="AA820" s="142">
        <f>B820*IBGE_2!AA$820/100</f>
        <v>4.9000000000000004</v>
      </c>
      <c r="AB820" s="142">
        <f>B820*IBGE_2!AB$820/100</f>
        <v>34.222999999999999</v>
      </c>
      <c r="AC820" s="142">
        <f>B820*IBGE_2!AC$820/100</f>
        <v>7.3630000000000004</v>
      </c>
      <c r="AD820" s="142">
        <f>B820*IBGE_2!AD$820/100</f>
        <v>6.657</v>
      </c>
      <c r="AE820" s="142">
        <f>B820*IBGE_2!AE$820/100</f>
        <v>232.50899999999999</v>
      </c>
      <c r="AF820" s="142">
        <f>B820*IBGE_2!AF$820/100</f>
        <v>0.10299999999999999</v>
      </c>
      <c r="AG820" s="142">
        <f>B820*IBGE_2!AG$820/100</f>
        <v>0.57599999999999996</v>
      </c>
      <c r="AH820" s="142">
        <f>B820*IBGE_2!AH$820/100</f>
        <v>5.2000000000000005E-2</v>
      </c>
      <c r="AI820" s="145" t="s">
        <v>3047</v>
      </c>
      <c r="AJ820" s="142">
        <f>B820*IBGE_2!AJ$820/100</f>
        <v>37.481999999999999</v>
      </c>
      <c r="AK820" s="142">
        <f>B820*IBGE_2!AK$820/100</f>
        <v>1553.6020000000001</v>
      </c>
      <c r="AL820" s="142">
        <f>B820*IBGE_2!AL$820/100</f>
        <v>1.952</v>
      </c>
      <c r="AM820" s="142" t="s">
        <v>3047</v>
      </c>
      <c r="AN820" s="161"/>
    </row>
    <row r="821" spans="1:40">
      <c r="A821" s="143" t="s">
        <v>1881</v>
      </c>
      <c r="B821" s="141">
        <v>100</v>
      </c>
      <c r="C821" s="142">
        <f>B821*IBGE_2!C$821/100</f>
        <v>165</v>
      </c>
      <c r="D821" s="142">
        <f>B821*IBGE_2!D$821/100</f>
        <v>28.48</v>
      </c>
      <c r="E821" s="142">
        <f>B821*IBGE_2!E$821/100</f>
        <v>4.7300000000000004</v>
      </c>
      <c r="F821" s="142">
        <f>B821*IBGE_2!F$821/100</f>
        <v>1.4039999999999997</v>
      </c>
      <c r="G821" s="142">
        <f>B821*IBGE_2!G$821/100</f>
        <v>1.0109999999999999</v>
      </c>
      <c r="H821" s="142">
        <f>B821*IBGE_2!H$821/100</f>
        <v>0.98499999999999999</v>
      </c>
      <c r="I821" s="142">
        <f>B821*IBGE_2!I$821/100</f>
        <v>0.73599999999999999</v>
      </c>
      <c r="J821" s="142">
        <f>B821*IBGE_2!J$821/100</f>
        <v>1.9E-2</v>
      </c>
      <c r="K821" s="142">
        <f>B821*IBGE_2!K$821/100</f>
        <v>212</v>
      </c>
      <c r="L821" s="142">
        <f>B821*IBGE_2!L$821/100</f>
        <v>0.15</v>
      </c>
      <c r="M821" s="142" t="s">
        <v>3047</v>
      </c>
      <c r="N821" s="142">
        <f>B821*IBGE_2!N$821/100</f>
        <v>5</v>
      </c>
      <c r="O821" s="142">
        <f>B821*IBGE_2!O$821/100</f>
        <v>21</v>
      </c>
      <c r="P821" s="142">
        <f>B821*IBGE_2!P$821/100</f>
        <v>3.3000000000000002E-2</v>
      </c>
      <c r="Q821" s="142">
        <f>B821*IBGE_2!Q$821/100</f>
        <v>254</v>
      </c>
      <c r="R821" s="142">
        <f>B821*IBGE_2!R$821/100</f>
        <v>6.38</v>
      </c>
      <c r="S821" s="142">
        <f>B821*IBGE_2!S$821/100</f>
        <v>59</v>
      </c>
      <c r="T821" s="142">
        <f>B821*IBGE_2!T$821/100</f>
        <v>219</v>
      </c>
      <c r="U821" s="142">
        <f>B821*IBGE_2!U$821/100</f>
        <v>0.55900000000000005</v>
      </c>
      <c r="V821" s="142">
        <f>B821*IBGE_2!V$821/100</f>
        <v>2.87</v>
      </c>
      <c r="W821" s="142" t="s">
        <v>3047</v>
      </c>
      <c r="X821" s="142">
        <f>B821*IBGE_2!X$821/100</f>
        <v>0.10100000000000002</v>
      </c>
      <c r="Y821" s="142">
        <f>B821*IBGE_2!Y$821/100</f>
        <v>1.21</v>
      </c>
      <c r="Z821" s="142">
        <f>B821*IBGE_2!Z$821/100</f>
        <v>0.245</v>
      </c>
      <c r="AA821" s="142">
        <f>B821*IBGE_2!AA$821/100</f>
        <v>6.68</v>
      </c>
      <c r="AB821" s="142" t="s">
        <v>3047</v>
      </c>
      <c r="AC821" s="142">
        <f>B821*IBGE_2!AC$821/100</f>
        <v>12.047000000000001</v>
      </c>
      <c r="AD821" s="142">
        <f>B821*IBGE_2!AD$821/100</f>
        <v>10.8</v>
      </c>
      <c r="AE821" s="142">
        <f>B821*IBGE_2!AE$821/100</f>
        <v>5</v>
      </c>
      <c r="AF821" s="145" t="s">
        <v>3047</v>
      </c>
      <c r="AG821" s="142">
        <f>B821*IBGE_2!AG$821/100</f>
        <v>0.28999999999999998</v>
      </c>
      <c r="AH821" s="142">
        <f>B821*IBGE_2!AH$821/100</f>
        <v>0.16</v>
      </c>
      <c r="AI821" s="142">
        <f>B821*IBGE_2!AI$821/100</f>
        <v>333</v>
      </c>
      <c r="AJ821" s="142">
        <f>B821*IBGE_2!AJ$821/100</f>
        <v>38.9</v>
      </c>
      <c r="AK821" s="142" t="s">
        <v>3047</v>
      </c>
      <c r="AL821" s="142" t="s">
        <v>3047</v>
      </c>
      <c r="AM821" s="142" t="s">
        <v>3047</v>
      </c>
      <c r="AN821" s="161"/>
    </row>
    <row r="822" spans="1:40">
      <c r="A822" s="143" t="s">
        <v>1882</v>
      </c>
      <c r="B822" s="141">
        <v>100</v>
      </c>
      <c r="C822" s="142">
        <f>B822*IBGE_2!C$822/100</f>
        <v>165</v>
      </c>
      <c r="D822" s="142">
        <f>B822*IBGE_2!D$822/100</f>
        <v>28.48</v>
      </c>
      <c r="E822" s="142">
        <f>B822*IBGE_2!E$822/100</f>
        <v>4.7300000000000004</v>
      </c>
      <c r="F822" s="142">
        <f>B822*IBGE_2!F$822/100</f>
        <v>1.4039999999999997</v>
      </c>
      <c r="G822" s="142">
        <f>B822*IBGE_2!G$822/100</f>
        <v>1.0109999999999999</v>
      </c>
      <c r="H822" s="142">
        <f>B822*IBGE_2!H$822/100</f>
        <v>0.98499999999999999</v>
      </c>
      <c r="I822" s="142">
        <f>B822*IBGE_2!I$822/100</f>
        <v>0.73599999999999999</v>
      </c>
      <c r="J822" s="142">
        <f>B822*IBGE_2!J$822/100</f>
        <v>1.9E-2</v>
      </c>
      <c r="K822" s="142">
        <f>B822*IBGE_2!K$822/100</f>
        <v>212</v>
      </c>
      <c r="L822" s="142">
        <f>B822*IBGE_2!L$822/100</f>
        <v>0.15</v>
      </c>
      <c r="M822" s="142" t="s">
        <v>3047</v>
      </c>
      <c r="N822" s="142">
        <f>B822*IBGE_2!N$822/100</f>
        <v>5</v>
      </c>
      <c r="O822" s="142">
        <f>B822*IBGE_2!O$822/100</f>
        <v>21</v>
      </c>
      <c r="P822" s="142">
        <f>B822*IBGE_2!P$822/100</f>
        <v>3.3000000000000002E-2</v>
      </c>
      <c r="Q822" s="142">
        <f>B822*IBGE_2!Q$822/100</f>
        <v>254</v>
      </c>
      <c r="R822" s="142">
        <f>B822*IBGE_2!R$822/100</f>
        <v>6.38</v>
      </c>
      <c r="S822" s="142">
        <f>B822*IBGE_2!S$822/100</f>
        <v>59</v>
      </c>
      <c r="T822" s="142">
        <f>B822*IBGE_2!T$822/100</f>
        <v>219</v>
      </c>
      <c r="U822" s="142">
        <f>B822*IBGE_2!U$822/100</f>
        <v>0.55900000000000005</v>
      </c>
      <c r="V822" s="142">
        <f>B822*IBGE_2!V$822/100</f>
        <v>2.87</v>
      </c>
      <c r="W822" s="142" t="s">
        <v>3047</v>
      </c>
      <c r="X822" s="142">
        <f>B822*IBGE_2!X$822/100</f>
        <v>0.10100000000000002</v>
      </c>
      <c r="Y822" s="142">
        <f>B822*IBGE_2!Y$822/100</f>
        <v>1.21</v>
      </c>
      <c r="Z822" s="142">
        <f>B822*IBGE_2!Z$822/100</f>
        <v>0.245</v>
      </c>
      <c r="AA822" s="142">
        <f>B822*IBGE_2!AA$822/100</f>
        <v>6.68</v>
      </c>
      <c r="AB822" s="142" t="s">
        <v>3047</v>
      </c>
      <c r="AC822" s="142">
        <f>B822*IBGE_2!AC$822/100</f>
        <v>12.047000000000001</v>
      </c>
      <c r="AD822" s="142">
        <f>B822*IBGE_2!AD$822/100</f>
        <v>10.8</v>
      </c>
      <c r="AE822" s="142">
        <f>B822*IBGE_2!AE$822/100</f>
        <v>5</v>
      </c>
      <c r="AF822" s="145" t="s">
        <v>3047</v>
      </c>
      <c r="AG822" s="142">
        <f>B822*IBGE_2!AG$822/100</f>
        <v>0.28999999999999998</v>
      </c>
      <c r="AH822" s="142">
        <f>B822*IBGE_2!AH$822/100</f>
        <v>0.16</v>
      </c>
      <c r="AI822" s="142">
        <f>B822*IBGE_2!AI$822/100</f>
        <v>333</v>
      </c>
      <c r="AJ822" s="142">
        <f>B822*IBGE_2!AJ$822/100</f>
        <v>38.9</v>
      </c>
      <c r="AK822" s="142" t="s">
        <v>3047</v>
      </c>
      <c r="AL822" s="142" t="s">
        <v>3047</v>
      </c>
      <c r="AM822" s="142" t="s">
        <v>3047</v>
      </c>
      <c r="AN822" s="161"/>
    </row>
    <row r="823" spans="1:40">
      <c r="A823" s="143" t="s">
        <v>1883</v>
      </c>
      <c r="B823" s="141">
        <v>100</v>
      </c>
      <c r="C823" s="142">
        <f>B823*IBGE_2!C$823/100</f>
        <v>165</v>
      </c>
      <c r="D823" s="142">
        <f>B823*IBGE_2!D$823/100</f>
        <v>28.48</v>
      </c>
      <c r="E823" s="142">
        <f>B823*IBGE_2!E$823/100</f>
        <v>4.7300000000000004</v>
      </c>
      <c r="F823" s="142">
        <f>B823*IBGE_2!F$823/100</f>
        <v>1.4039999999999997</v>
      </c>
      <c r="G823" s="142">
        <f>B823*IBGE_2!G$823/100</f>
        <v>1.0109999999999999</v>
      </c>
      <c r="H823" s="142">
        <f>B823*IBGE_2!H$823/100</f>
        <v>0.98499999999999999</v>
      </c>
      <c r="I823" s="142">
        <f>B823*IBGE_2!I$823/100</f>
        <v>0.73599999999999999</v>
      </c>
      <c r="J823" s="142">
        <f>B823*IBGE_2!J$823/100</f>
        <v>1.9E-2</v>
      </c>
      <c r="K823" s="142">
        <f>B823*IBGE_2!K$823/100</f>
        <v>212</v>
      </c>
      <c r="L823" s="142">
        <f>B823*IBGE_2!L$823/100</f>
        <v>0.15</v>
      </c>
      <c r="M823" s="142" t="s">
        <v>3047</v>
      </c>
      <c r="N823" s="142">
        <f>B823*IBGE_2!N$823/100</f>
        <v>5</v>
      </c>
      <c r="O823" s="142">
        <f>B823*IBGE_2!O$823/100</f>
        <v>21</v>
      </c>
      <c r="P823" s="142">
        <f>B823*IBGE_2!P$823/100</f>
        <v>3.3000000000000002E-2</v>
      </c>
      <c r="Q823" s="142">
        <f>B823*IBGE_2!Q$823/100</f>
        <v>254</v>
      </c>
      <c r="R823" s="142">
        <f>B823*IBGE_2!R$823/100</f>
        <v>6.38</v>
      </c>
      <c r="S823" s="142">
        <f>B823*IBGE_2!S$823/100</f>
        <v>59</v>
      </c>
      <c r="T823" s="142">
        <f>B823*IBGE_2!T$823/100</f>
        <v>219</v>
      </c>
      <c r="U823" s="142">
        <f>B823*IBGE_2!U$823/100</f>
        <v>0.55900000000000005</v>
      </c>
      <c r="V823" s="142">
        <f>B823*IBGE_2!V$823/100</f>
        <v>2.87</v>
      </c>
      <c r="W823" s="142" t="s">
        <v>3047</v>
      </c>
      <c r="X823" s="142">
        <f>B823*IBGE_2!X$823/100</f>
        <v>0.10100000000000002</v>
      </c>
      <c r="Y823" s="142">
        <f>B823*IBGE_2!Y$823/100</f>
        <v>1.21</v>
      </c>
      <c r="Z823" s="142">
        <f>B823*IBGE_2!Z$823/100</f>
        <v>0.245</v>
      </c>
      <c r="AA823" s="142">
        <f>B823*IBGE_2!AA$823/100</f>
        <v>6.68</v>
      </c>
      <c r="AB823" s="142" t="s">
        <v>3047</v>
      </c>
      <c r="AC823" s="142">
        <f>B823*IBGE_2!AC$823/100</f>
        <v>12.047000000000001</v>
      </c>
      <c r="AD823" s="142">
        <f>B823*IBGE_2!AD$823/100</f>
        <v>10.8</v>
      </c>
      <c r="AE823" s="142">
        <f>B823*IBGE_2!AE$823/100</f>
        <v>5</v>
      </c>
      <c r="AF823" s="145" t="s">
        <v>3047</v>
      </c>
      <c r="AG823" s="142">
        <f>B823*IBGE_2!AG$823/100</f>
        <v>0.28999999999999998</v>
      </c>
      <c r="AH823" s="142">
        <f>B823*IBGE_2!AH$823/100</f>
        <v>0.16</v>
      </c>
      <c r="AI823" s="142">
        <f>B823*IBGE_2!AI$823/100</f>
        <v>333</v>
      </c>
      <c r="AJ823" s="142">
        <f>B823*IBGE_2!AJ$823/100</f>
        <v>38.9</v>
      </c>
      <c r="AK823" s="142" t="s">
        <v>3047</v>
      </c>
      <c r="AL823" s="142" t="s">
        <v>3047</v>
      </c>
      <c r="AM823" s="142" t="s">
        <v>3047</v>
      </c>
      <c r="AN823" s="161"/>
    </row>
    <row r="824" spans="1:40">
      <c r="A824" s="143" t="s">
        <v>1884</v>
      </c>
      <c r="B824" s="141">
        <v>100</v>
      </c>
      <c r="C824" s="142">
        <f>B824*IBGE_2!C$824/100</f>
        <v>187.65899999999999</v>
      </c>
      <c r="D824" s="142">
        <f>B824*IBGE_2!D$824/100</f>
        <v>28.48</v>
      </c>
      <c r="E824" s="142">
        <f>B824*IBGE_2!E$824/100</f>
        <v>7.293000000000001</v>
      </c>
      <c r="F824" s="142">
        <f>B824*IBGE_2!F$824/100</f>
        <v>1.8049999999999999</v>
      </c>
      <c r="G824" s="142">
        <f>B824*IBGE_2!G$824/100</f>
        <v>1.595</v>
      </c>
      <c r="H824" s="142">
        <f>B824*IBGE_2!H$824/100</f>
        <v>2.4649999999999999</v>
      </c>
      <c r="I824" s="142">
        <f>B824*IBGE_2!I$824/100</f>
        <v>2.0419999999999998</v>
      </c>
      <c r="J824" s="142">
        <f>B824*IBGE_2!J$824/100</f>
        <v>0.193</v>
      </c>
      <c r="K824" s="142">
        <f>B824*IBGE_2!K$824/100</f>
        <v>212</v>
      </c>
      <c r="L824" s="142">
        <f>B824*IBGE_2!L$824/100</f>
        <v>0.15</v>
      </c>
      <c r="M824" s="142" t="s">
        <v>3047</v>
      </c>
      <c r="N824" s="142">
        <f>B824*IBGE_2!N$824/100</f>
        <v>5</v>
      </c>
      <c r="O824" s="142">
        <f>B824*IBGE_2!O$824/100</f>
        <v>21</v>
      </c>
      <c r="P824" s="142">
        <f>B824*IBGE_2!P$824/100</f>
        <v>3.3000000000000002E-2</v>
      </c>
      <c r="Q824" s="142">
        <f>B824*IBGE_2!Q$824/100</f>
        <v>254</v>
      </c>
      <c r="R824" s="142">
        <f>B824*IBGE_2!R$824/100</f>
        <v>6.3810000000000002</v>
      </c>
      <c r="S824" s="142">
        <f>B824*IBGE_2!S$824/100</f>
        <v>59</v>
      </c>
      <c r="T824" s="142">
        <f>B824*IBGE_2!T$824/100</f>
        <v>219</v>
      </c>
      <c r="U824" s="142">
        <f>B824*IBGE_2!U$824/100</f>
        <v>0.55900000000000005</v>
      </c>
      <c r="V824" s="142">
        <f>B824*IBGE_2!V$824/100</f>
        <v>2.87</v>
      </c>
      <c r="W824" s="142" t="s">
        <v>3047</v>
      </c>
      <c r="X824" s="142">
        <f>B824*IBGE_2!X$824/100</f>
        <v>0.10100000000000002</v>
      </c>
      <c r="Y824" s="142">
        <f>B824*IBGE_2!Y$824/100</f>
        <v>1.21</v>
      </c>
      <c r="Z824" s="142">
        <f>B824*IBGE_2!Z$824/100</f>
        <v>0.245</v>
      </c>
      <c r="AA824" s="142">
        <f>B824*IBGE_2!AA$824/100</f>
        <v>6.68</v>
      </c>
      <c r="AB824" s="142" t="s">
        <v>3047</v>
      </c>
      <c r="AC824" s="142">
        <f>B824*IBGE_2!AC$824/100</f>
        <v>12.047000000000001</v>
      </c>
      <c r="AD824" s="142">
        <f>B824*IBGE_2!AD$824/100</f>
        <v>10.8</v>
      </c>
      <c r="AE824" s="142">
        <f>B824*IBGE_2!AE$824/100</f>
        <v>5</v>
      </c>
      <c r="AF824" s="145" t="s">
        <v>3047</v>
      </c>
      <c r="AG824" s="142">
        <f>B824*IBGE_2!AG$824/100</f>
        <v>0.5</v>
      </c>
      <c r="AH824" s="142">
        <f>B824*IBGE_2!AH$824/100</f>
        <v>0.17399999999999999</v>
      </c>
      <c r="AI824" s="142">
        <f>B824*IBGE_2!AI$824/100</f>
        <v>333</v>
      </c>
      <c r="AJ824" s="142">
        <f>B824*IBGE_2!AJ$824/100</f>
        <v>40.075000000000003</v>
      </c>
      <c r="AK824" s="142" t="s">
        <v>3047</v>
      </c>
      <c r="AL824" s="142" t="s">
        <v>3047</v>
      </c>
      <c r="AM824" s="142" t="s">
        <v>3047</v>
      </c>
      <c r="AN824" s="161"/>
    </row>
    <row r="825" spans="1:40">
      <c r="A825" s="143" t="s">
        <v>1885</v>
      </c>
      <c r="B825" s="141">
        <v>100</v>
      </c>
      <c r="C825" s="142">
        <f>B825*IBGE_2!C$825/100</f>
        <v>158</v>
      </c>
      <c r="D825" s="142">
        <f>B825*IBGE_2!D$825/100</f>
        <v>27.27</v>
      </c>
      <c r="E825" s="142">
        <f>B825*IBGE_2!E$825/100</f>
        <v>4.6500000000000004</v>
      </c>
      <c r="F825" s="142">
        <f>B825*IBGE_2!F$825/100</f>
        <v>1.0660000000000001</v>
      </c>
      <c r="G825" s="142">
        <f>B825*IBGE_2!G$825/100</f>
        <v>0.71099999999999997</v>
      </c>
      <c r="H825" s="142">
        <f>B825*IBGE_2!H$825/100</f>
        <v>0.82699999999999985</v>
      </c>
      <c r="I825" s="142">
        <f>B825*IBGE_2!I$825/100</f>
        <v>0.46400000000000008</v>
      </c>
      <c r="J825" s="142">
        <f>B825*IBGE_2!J$825/100</f>
        <v>1.6E-2</v>
      </c>
      <c r="K825" s="142">
        <f>B825*IBGE_2!K$825/100</f>
        <v>716</v>
      </c>
      <c r="L825" s="142" t="s">
        <v>3047</v>
      </c>
      <c r="M825" s="142" t="s">
        <v>3047</v>
      </c>
      <c r="N825" s="142">
        <f>B825*IBGE_2!N$825/100</f>
        <v>19</v>
      </c>
      <c r="O825" s="142">
        <f>B825*IBGE_2!O$825/100</f>
        <v>12</v>
      </c>
      <c r="P825" s="142">
        <f>B825*IBGE_2!P$825/100</f>
        <v>0.185</v>
      </c>
      <c r="Q825" s="142">
        <f>B825*IBGE_2!Q$825/100</f>
        <v>304</v>
      </c>
      <c r="R825" s="142">
        <f>B825*IBGE_2!R$825/100</f>
        <v>5.8</v>
      </c>
      <c r="S825" s="142">
        <f>B825*IBGE_2!S$825/100</f>
        <v>94</v>
      </c>
      <c r="T825" s="142">
        <f>B825*IBGE_2!T$825/100</f>
        <v>135</v>
      </c>
      <c r="U825" s="142">
        <f>B825*IBGE_2!U$825/100</f>
        <v>0.56399999999999995</v>
      </c>
      <c r="V825" s="142">
        <f>B825*IBGE_2!V$825/100</f>
        <v>2.84</v>
      </c>
      <c r="W825" s="142" t="s">
        <v>3047</v>
      </c>
      <c r="X825" s="142">
        <f>B825*IBGE_2!X$825/100</f>
        <v>0.16</v>
      </c>
      <c r="Y825" s="142">
        <f>B825*IBGE_2!Y$825/100</f>
        <v>2.97</v>
      </c>
      <c r="Z825" s="142">
        <f>B825*IBGE_2!Z$825/100</f>
        <v>0.39100000000000001</v>
      </c>
      <c r="AA825" s="142">
        <f>B825*IBGE_2!AA$825/100</f>
        <v>3.92</v>
      </c>
      <c r="AB825" s="142" t="s">
        <v>3047</v>
      </c>
      <c r="AC825" s="142">
        <f>B825*IBGE_2!AC$825/100</f>
        <v>8.92</v>
      </c>
      <c r="AD825" s="142">
        <f>B825*IBGE_2!AD$825/100</f>
        <v>24.9</v>
      </c>
      <c r="AE825" s="142">
        <f>B825*IBGE_2!AE$825/100</f>
        <v>83</v>
      </c>
      <c r="AF825" s="142">
        <f>B825*IBGE_2!AF$825/100</f>
        <v>0.8</v>
      </c>
      <c r="AG825" s="142">
        <f>B825*IBGE_2!AG$825/100</f>
        <v>0.08</v>
      </c>
      <c r="AH825" s="142">
        <f>B825*IBGE_2!AH$825/100</f>
        <v>0.2</v>
      </c>
      <c r="AI825" s="142">
        <f>B825*IBGE_2!AI$825/100</f>
        <v>333</v>
      </c>
      <c r="AJ825" s="142">
        <f>B825*IBGE_2!AJ$825/100</f>
        <v>168</v>
      </c>
      <c r="AK825" s="142" t="s">
        <v>3047</v>
      </c>
      <c r="AL825" s="142" t="s">
        <v>3047</v>
      </c>
      <c r="AM825" s="142" t="s">
        <v>3047</v>
      </c>
      <c r="AN825" s="161"/>
    </row>
    <row r="826" spans="1:40">
      <c r="A826" s="143" t="s">
        <v>1886</v>
      </c>
      <c r="B826" s="141">
        <v>100</v>
      </c>
      <c r="C826" s="142">
        <f>B826*IBGE_2!C$826/100</f>
        <v>158</v>
      </c>
      <c r="D826" s="142">
        <f>B826*IBGE_2!D$826/100</f>
        <v>27.27</v>
      </c>
      <c r="E826" s="142">
        <f>B826*IBGE_2!E$826/100</f>
        <v>4.6500000000000004</v>
      </c>
      <c r="F826" s="142">
        <f>B826*IBGE_2!F$826/100</f>
        <v>1.0660000000000001</v>
      </c>
      <c r="G826" s="142">
        <f>B826*IBGE_2!G$826/100</f>
        <v>0.71099999999999997</v>
      </c>
      <c r="H826" s="142">
        <f>B826*IBGE_2!H$826/100</f>
        <v>0.82699999999999985</v>
      </c>
      <c r="I826" s="142">
        <f>B826*IBGE_2!I$826/100</f>
        <v>0.46400000000000008</v>
      </c>
      <c r="J826" s="142">
        <f>B826*IBGE_2!J$826/100</f>
        <v>1.6E-2</v>
      </c>
      <c r="K826" s="142">
        <f>B826*IBGE_2!K$826/100</f>
        <v>716</v>
      </c>
      <c r="L826" s="142" t="s">
        <v>3047</v>
      </c>
      <c r="M826" s="142" t="s">
        <v>3047</v>
      </c>
      <c r="N826" s="142">
        <f>B826*IBGE_2!N$826/100</f>
        <v>19</v>
      </c>
      <c r="O826" s="142">
        <f>B826*IBGE_2!O$826/100</f>
        <v>12</v>
      </c>
      <c r="P826" s="142">
        <f>B826*IBGE_2!P$826/100</f>
        <v>0.185</v>
      </c>
      <c r="Q826" s="142">
        <f>B826*IBGE_2!Q$826/100</f>
        <v>304</v>
      </c>
      <c r="R826" s="142">
        <f>B826*IBGE_2!R$826/100</f>
        <v>5.8</v>
      </c>
      <c r="S826" s="142">
        <f>B826*IBGE_2!S$826/100</f>
        <v>94</v>
      </c>
      <c r="T826" s="142">
        <f>B826*IBGE_2!T$826/100</f>
        <v>135</v>
      </c>
      <c r="U826" s="142">
        <f>B826*IBGE_2!U$826/100</f>
        <v>0.56399999999999995</v>
      </c>
      <c r="V826" s="142">
        <f>B826*IBGE_2!V$826/100</f>
        <v>2.84</v>
      </c>
      <c r="W826" s="142" t="s">
        <v>3047</v>
      </c>
      <c r="X826" s="142">
        <f>B826*IBGE_2!X$826/100</f>
        <v>0.16</v>
      </c>
      <c r="Y826" s="142">
        <f>B826*IBGE_2!Y$826/100</f>
        <v>2.97</v>
      </c>
      <c r="Z826" s="142">
        <f>B826*IBGE_2!Z$826/100</f>
        <v>0.39100000000000001</v>
      </c>
      <c r="AA826" s="142">
        <f>B826*IBGE_2!AA$826/100</f>
        <v>3.92</v>
      </c>
      <c r="AB826" s="142" t="s">
        <v>3047</v>
      </c>
      <c r="AC826" s="142">
        <f>B826*IBGE_2!AC$826/100</f>
        <v>8.92</v>
      </c>
      <c r="AD826" s="142">
        <f>B826*IBGE_2!AD$826/100</f>
        <v>24.9</v>
      </c>
      <c r="AE826" s="142">
        <f>B826*IBGE_2!AE$826/100</f>
        <v>83</v>
      </c>
      <c r="AF826" s="142">
        <f>B826*IBGE_2!AF$826/100</f>
        <v>0.8</v>
      </c>
      <c r="AG826" s="142">
        <f>B826*IBGE_2!AG$826/100</f>
        <v>0.08</v>
      </c>
      <c r="AH826" s="142">
        <f>B826*IBGE_2!AH$826/100</f>
        <v>0.2</v>
      </c>
      <c r="AI826" s="142">
        <f>B826*IBGE_2!AI$826/100</f>
        <v>333</v>
      </c>
      <c r="AJ826" s="142">
        <f>B826*IBGE_2!AJ$826/100</f>
        <v>168</v>
      </c>
      <c r="AK826" s="142" t="s">
        <v>3047</v>
      </c>
      <c r="AL826" s="142" t="s">
        <v>3047</v>
      </c>
      <c r="AM826" s="142" t="s">
        <v>3047</v>
      </c>
      <c r="AN826" s="161"/>
    </row>
    <row r="827" spans="1:40">
      <c r="A827" s="143" t="s">
        <v>1887</v>
      </c>
      <c r="B827" s="141">
        <v>100</v>
      </c>
      <c r="C827" s="142">
        <f>B827*IBGE_2!C$827/100</f>
        <v>180.65899999999999</v>
      </c>
      <c r="D827" s="142">
        <f>B827*IBGE_2!D$827/100</f>
        <v>27.27</v>
      </c>
      <c r="E827" s="142">
        <f>B827*IBGE_2!E$827/100</f>
        <v>7.2129999999999992</v>
      </c>
      <c r="F827" s="142">
        <f>B827*IBGE_2!F$827/100</f>
        <v>1.4670000000000001</v>
      </c>
      <c r="G827" s="142">
        <f>B827*IBGE_2!G$827/100</f>
        <v>1.2949999999999999</v>
      </c>
      <c r="H827" s="142">
        <f>B827*IBGE_2!H$827/100</f>
        <v>2.3069999999999999</v>
      </c>
      <c r="I827" s="142">
        <f>B827*IBGE_2!I$827/100</f>
        <v>1.77</v>
      </c>
      <c r="J827" s="142">
        <f>B827*IBGE_2!J$827/100</f>
        <v>0.19</v>
      </c>
      <c r="K827" s="142">
        <f>B827*IBGE_2!K$827/100</f>
        <v>716</v>
      </c>
      <c r="L827" s="142" t="s">
        <v>3047</v>
      </c>
      <c r="M827" s="142" t="s">
        <v>3047</v>
      </c>
      <c r="N827" s="142">
        <f>B827*IBGE_2!N$827/100</f>
        <v>19</v>
      </c>
      <c r="O827" s="142">
        <f>B827*IBGE_2!O$827/100</f>
        <v>12</v>
      </c>
      <c r="P827" s="142">
        <f>B827*IBGE_2!P$827/100</f>
        <v>0.185</v>
      </c>
      <c r="Q827" s="142">
        <f>B827*IBGE_2!Q$827/100</f>
        <v>304</v>
      </c>
      <c r="R827" s="142">
        <f>B827*IBGE_2!R$827/100</f>
        <v>5.8010000000000002</v>
      </c>
      <c r="S827" s="142">
        <f>B827*IBGE_2!S$827/100</f>
        <v>94</v>
      </c>
      <c r="T827" s="142">
        <f>B827*IBGE_2!T$827/100</f>
        <v>135</v>
      </c>
      <c r="U827" s="142">
        <f>B827*IBGE_2!U$827/100</f>
        <v>0.56399999999999995</v>
      </c>
      <c r="V827" s="142">
        <f>B827*IBGE_2!V$827/100</f>
        <v>2.84</v>
      </c>
      <c r="W827" s="142" t="s">
        <v>3047</v>
      </c>
      <c r="X827" s="142">
        <f>B827*IBGE_2!X$827/100</f>
        <v>0.16</v>
      </c>
      <c r="Y827" s="142">
        <f>B827*IBGE_2!Y$827/100</f>
        <v>2.97</v>
      </c>
      <c r="Z827" s="142">
        <f>B827*IBGE_2!Z$827/100</f>
        <v>0.39100000000000001</v>
      </c>
      <c r="AA827" s="142">
        <f>B827*IBGE_2!AA$827/100</f>
        <v>3.92</v>
      </c>
      <c r="AB827" s="142" t="s">
        <v>3047</v>
      </c>
      <c r="AC827" s="142">
        <f>B827*IBGE_2!AC$827/100</f>
        <v>8.92</v>
      </c>
      <c r="AD827" s="142">
        <f>B827*IBGE_2!AD$827/100</f>
        <v>24.9</v>
      </c>
      <c r="AE827" s="142">
        <f>B827*IBGE_2!AE$827/100</f>
        <v>83</v>
      </c>
      <c r="AF827" s="142">
        <f>B827*IBGE_2!AF$827/100</f>
        <v>0.8</v>
      </c>
      <c r="AG827" s="142">
        <f>B827*IBGE_2!AG$827/100</f>
        <v>0.28999999999999998</v>
      </c>
      <c r="AH827" s="142">
        <f>B827*IBGE_2!AH$827/100</f>
        <v>0.214</v>
      </c>
      <c r="AI827" s="142">
        <f>B827*IBGE_2!AI$827/100</f>
        <v>333</v>
      </c>
      <c r="AJ827" s="142">
        <f>B827*IBGE_2!AJ$827/100</f>
        <v>169.17500000000001</v>
      </c>
      <c r="AK827" s="142" t="s">
        <v>3047</v>
      </c>
      <c r="AL827" s="142" t="s">
        <v>3047</v>
      </c>
      <c r="AM827" s="142" t="s">
        <v>3047</v>
      </c>
      <c r="AN827" s="161"/>
    </row>
    <row r="828" spans="1:40">
      <c r="A828" s="143" t="s">
        <v>1888</v>
      </c>
      <c r="B828" s="141">
        <v>100</v>
      </c>
      <c r="C828" s="142">
        <f>B828*IBGE_2!C$828/100</f>
        <v>180.65899999999999</v>
      </c>
      <c r="D828" s="142">
        <f>B828*IBGE_2!D$828/100</f>
        <v>27.27</v>
      </c>
      <c r="E828" s="142">
        <f>B828*IBGE_2!E$828/100</f>
        <v>7.2129999999999992</v>
      </c>
      <c r="F828" s="142">
        <f>B828*IBGE_2!F$828/100</f>
        <v>1.4670000000000001</v>
      </c>
      <c r="G828" s="142">
        <f>B828*IBGE_2!G$828/100</f>
        <v>1.2949999999999999</v>
      </c>
      <c r="H828" s="142">
        <f>B828*IBGE_2!H$828/100</f>
        <v>2.3069999999999999</v>
      </c>
      <c r="I828" s="142">
        <f>B828*IBGE_2!I$828/100</f>
        <v>1.77</v>
      </c>
      <c r="J828" s="142">
        <f>B828*IBGE_2!J$828/100</f>
        <v>0.19</v>
      </c>
      <c r="K828" s="142">
        <f>B828*IBGE_2!K$828/100</f>
        <v>716</v>
      </c>
      <c r="L828" s="142" t="s">
        <v>3047</v>
      </c>
      <c r="M828" s="142" t="s">
        <v>3047</v>
      </c>
      <c r="N828" s="142">
        <f>B828*IBGE_2!N$828/100</f>
        <v>19</v>
      </c>
      <c r="O828" s="142">
        <f>B828*IBGE_2!O$828/100</f>
        <v>12</v>
      </c>
      <c r="P828" s="142">
        <f>B828*IBGE_2!P$828/100</f>
        <v>0.185</v>
      </c>
      <c r="Q828" s="142">
        <f>B828*IBGE_2!Q$828/100</f>
        <v>304</v>
      </c>
      <c r="R828" s="142">
        <f>B828*IBGE_2!R$828/100</f>
        <v>5.8010000000000002</v>
      </c>
      <c r="S828" s="142">
        <f>B828*IBGE_2!S$828/100</f>
        <v>94</v>
      </c>
      <c r="T828" s="142">
        <f>B828*IBGE_2!T$828/100</f>
        <v>135</v>
      </c>
      <c r="U828" s="142">
        <f>B828*IBGE_2!U$828/100</f>
        <v>0.56399999999999995</v>
      </c>
      <c r="V828" s="142">
        <f>B828*IBGE_2!V$828/100</f>
        <v>2.84</v>
      </c>
      <c r="W828" s="142" t="s">
        <v>3047</v>
      </c>
      <c r="X828" s="142">
        <f>B828*IBGE_2!X$828/100</f>
        <v>0.16</v>
      </c>
      <c r="Y828" s="142">
        <f>B828*IBGE_2!Y$828/100</f>
        <v>2.97</v>
      </c>
      <c r="Z828" s="142">
        <f>B828*IBGE_2!Z$828/100</f>
        <v>0.39100000000000001</v>
      </c>
      <c r="AA828" s="142">
        <f>B828*IBGE_2!AA$828/100</f>
        <v>3.92</v>
      </c>
      <c r="AB828" s="142" t="s">
        <v>3047</v>
      </c>
      <c r="AC828" s="142">
        <f>B828*IBGE_2!AC$828/100</f>
        <v>8.92</v>
      </c>
      <c r="AD828" s="142">
        <f>B828*IBGE_2!AD$828/100</f>
        <v>24.9</v>
      </c>
      <c r="AE828" s="142">
        <f>B828*IBGE_2!AE$828/100</f>
        <v>83</v>
      </c>
      <c r="AF828" s="142">
        <f>B828*IBGE_2!AF$828/100</f>
        <v>0.8</v>
      </c>
      <c r="AG828" s="142">
        <f>B828*IBGE_2!AG$828/100</f>
        <v>0.28999999999999998</v>
      </c>
      <c r="AH828" s="142">
        <f>B828*IBGE_2!AH$828/100</f>
        <v>0.214</v>
      </c>
      <c r="AI828" s="142">
        <f>B828*IBGE_2!AI$828/100</f>
        <v>333</v>
      </c>
      <c r="AJ828" s="142">
        <f>B828*IBGE_2!AJ$828/100</f>
        <v>169.17500000000001</v>
      </c>
      <c r="AK828" s="142" t="s">
        <v>3047</v>
      </c>
      <c r="AL828" s="142" t="s">
        <v>3047</v>
      </c>
      <c r="AM828" s="142" t="s">
        <v>3047</v>
      </c>
      <c r="AN828" s="161"/>
    </row>
    <row r="829" spans="1:40">
      <c r="A829" s="143" t="s">
        <v>1889</v>
      </c>
      <c r="B829" s="141">
        <v>100</v>
      </c>
      <c r="C829" s="142">
        <f>B829*IBGE_2!C$829/100</f>
        <v>151</v>
      </c>
      <c r="D829" s="142">
        <f>B829*IBGE_2!D$829/100</f>
        <v>11.67</v>
      </c>
      <c r="E829" s="142">
        <f>B829*IBGE_2!E$829/100</f>
        <v>10.53</v>
      </c>
      <c r="F829" s="142">
        <f>B829*IBGE_2!F$829/100</f>
        <v>2.3940000000000001</v>
      </c>
      <c r="G829" s="142">
        <f>B829*IBGE_2!G$829/100</f>
        <v>1.8819999999999999</v>
      </c>
      <c r="H829" s="142">
        <f>B829*IBGE_2!H$829/100</f>
        <v>1.6319999999999999</v>
      </c>
      <c r="I829" s="142">
        <f>B829*IBGE_2!I$829/100</f>
        <v>3.9E-2</v>
      </c>
      <c r="J829" s="142" t="s">
        <v>3047</v>
      </c>
      <c r="K829" s="142">
        <f>B829*IBGE_2!K$829/100</f>
        <v>3100</v>
      </c>
      <c r="L829" s="142">
        <f>B829*IBGE_2!L$829/100</f>
        <v>1.48</v>
      </c>
      <c r="M829" s="142" t="s">
        <v>3047</v>
      </c>
      <c r="N829" s="142">
        <f>B829*IBGE_2!N$829/100</f>
        <v>9</v>
      </c>
      <c r="O829" s="142">
        <f>B829*IBGE_2!O$829/100</f>
        <v>12</v>
      </c>
      <c r="P829" s="142">
        <f>B829*IBGE_2!P$829/100</f>
        <v>2.8000000000000004E-2</v>
      </c>
      <c r="Q829" s="142">
        <f>B829*IBGE_2!Q$829/100</f>
        <v>335</v>
      </c>
      <c r="R829" s="142">
        <f>B829*IBGE_2!R$829/100</f>
        <v>2.2999999999999998</v>
      </c>
      <c r="S829" s="142">
        <f>B829*IBGE_2!S$829/100</f>
        <v>108</v>
      </c>
      <c r="T829" s="142">
        <f>B829*IBGE_2!T$829/100</f>
        <v>244</v>
      </c>
      <c r="U829" s="142">
        <f>B829*IBGE_2!U$829/100</f>
        <v>0.23</v>
      </c>
      <c r="V829" s="142">
        <f>B829*IBGE_2!V$829/100</f>
        <v>1.0900000000000001</v>
      </c>
      <c r="W829" s="142" t="s">
        <v>3047</v>
      </c>
      <c r="X829" s="142">
        <f>B829*IBGE_2!X$829/100</f>
        <v>6.9000000000000006E-2</v>
      </c>
      <c r="Y829" s="142">
        <f>B829*IBGE_2!Y$829/100</f>
        <v>0.217</v>
      </c>
      <c r="Z829" s="142">
        <f>B829*IBGE_2!Z$829/100</f>
        <v>0.14299999999999999</v>
      </c>
      <c r="AA829" s="142">
        <f>B829*IBGE_2!AA$829/100</f>
        <v>3.62</v>
      </c>
      <c r="AB829" s="142">
        <f>B829*IBGE_2!AB$829/100</f>
        <v>10.5</v>
      </c>
      <c r="AC829" s="142">
        <f>B829*IBGE_2!AC$829/100</f>
        <v>5.12</v>
      </c>
      <c r="AD829" s="142">
        <f>B829*IBGE_2!AD$829/100</f>
        <v>10.1</v>
      </c>
      <c r="AE829" s="142">
        <f>B829*IBGE_2!AE$829/100</f>
        <v>5</v>
      </c>
      <c r="AF829" s="142" t="s">
        <v>3047</v>
      </c>
      <c r="AG829" s="142">
        <f>B829*IBGE_2!AG$829/100</f>
        <v>1.67</v>
      </c>
      <c r="AH829" s="142">
        <f>B829*IBGE_2!AH$829/100</f>
        <v>0.51</v>
      </c>
      <c r="AI829" s="142">
        <f>B829*IBGE_2!AI$829/100</f>
        <v>333</v>
      </c>
      <c r="AJ829" s="142">
        <f>B829*IBGE_2!AJ$829/100</f>
        <v>21.8</v>
      </c>
      <c r="AK829" s="142">
        <f>B829*IBGE_2!AK$829/100</f>
        <v>5.8330000000000011</v>
      </c>
      <c r="AL829" s="142" t="s">
        <v>3047</v>
      </c>
      <c r="AM829" s="142" t="s">
        <v>3047</v>
      </c>
      <c r="AN829" s="161"/>
    </row>
    <row r="830" spans="1:40">
      <c r="A830" s="143" t="s">
        <v>1890</v>
      </c>
      <c r="B830" s="141">
        <v>100</v>
      </c>
      <c r="C830" s="142">
        <f>B830*IBGE_2!C$830/100</f>
        <v>94</v>
      </c>
      <c r="D830" s="142">
        <f>B830*IBGE_2!D$830/100</f>
        <v>11.71</v>
      </c>
      <c r="E830" s="142">
        <f>B830*IBGE_2!E$830/100</f>
        <v>4.05</v>
      </c>
      <c r="F830" s="142">
        <f>B830*IBGE_2!F$830/100</f>
        <v>1.357</v>
      </c>
      <c r="G830" s="142">
        <f>B830*IBGE_2!G$830/100</f>
        <v>1.6040000000000001</v>
      </c>
      <c r="H830" s="142">
        <f>B830*IBGE_2!H$830/100</f>
        <v>0.20800000000000002</v>
      </c>
      <c r="I830" s="142">
        <f>B830*IBGE_2!I$830/100</f>
        <v>0.13700000000000001</v>
      </c>
      <c r="J830" s="142">
        <f>B830*IBGE_2!J$830/100</f>
        <v>8.0000000000000002E-3</v>
      </c>
      <c r="K830" s="142">
        <f>B830*IBGE_2!K$830/100</f>
        <v>157</v>
      </c>
      <c r="L830" s="142">
        <f>B830*IBGE_2!L$830/100</f>
        <v>1.99</v>
      </c>
      <c r="M830" s="142" t="s">
        <v>3047</v>
      </c>
      <c r="N830" s="142">
        <f>B830*IBGE_2!N$830/100</f>
        <v>81</v>
      </c>
      <c r="O830" s="142">
        <f>B830*IBGE_2!O$830/100</f>
        <v>15</v>
      </c>
      <c r="P830" s="142">
        <f>B830*IBGE_2!P$830/100</f>
        <v>0.10299999999999999</v>
      </c>
      <c r="Q830" s="142">
        <f>B830*IBGE_2!Q$830/100</f>
        <v>66</v>
      </c>
      <c r="R830" s="142">
        <f>B830*IBGE_2!R$830/100</f>
        <v>0.66</v>
      </c>
      <c r="S830" s="142">
        <f>B830*IBGE_2!S$830/100</f>
        <v>68</v>
      </c>
      <c r="T830" s="142">
        <f>B830*IBGE_2!T$830/100</f>
        <v>42</v>
      </c>
      <c r="U830" s="142" t="s">
        <v>3047</v>
      </c>
      <c r="V830" s="142">
        <f>B830*IBGE_2!V$830/100</f>
        <v>1.71</v>
      </c>
      <c r="W830" s="142" t="s">
        <v>3047</v>
      </c>
      <c r="X830" s="142" t="s">
        <v>3047</v>
      </c>
      <c r="Y830" s="142">
        <f>B830*IBGE_2!Y$830/100</f>
        <v>2.5000000000000001E-2</v>
      </c>
      <c r="Z830" s="142" t="s">
        <v>3047</v>
      </c>
      <c r="AA830" s="142">
        <f>B830*IBGE_2!AA$830/100</f>
        <v>0.46100000000000002</v>
      </c>
      <c r="AB830" s="142" t="s">
        <v>3047</v>
      </c>
      <c r="AC830" s="142">
        <f>B830*IBGE_2!AC$830/100</f>
        <v>1.744</v>
      </c>
      <c r="AD830" s="142">
        <f>B830*IBGE_2!AD$830/100</f>
        <v>0.72</v>
      </c>
      <c r="AE830" s="142">
        <f>B830*IBGE_2!AE$830/100</f>
        <v>3</v>
      </c>
      <c r="AF830" s="142" t="s">
        <v>3047</v>
      </c>
      <c r="AG830" s="142">
        <f>B830*IBGE_2!AG$830/100</f>
        <v>0.14000000000000001</v>
      </c>
      <c r="AH830" s="142">
        <f>B830*IBGE_2!AH$830/100</f>
        <v>0.2</v>
      </c>
      <c r="AI830" s="142">
        <f>B830*IBGE_2!AI$830/100</f>
        <v>333</v>
      </c>
      <c r="AJ830" s="142">
        <f>B830*IBGE_2!AJ$830/100</f>
        <v>11.8</v>
      </c>
      <c r="AK830" s="142" t="s">
        <v>3047</v>
      </c>
      <c r="AL830" s="142" t="s">
        <v>3047</v>
      </c>
      <c r="AM830" s="142" t="s">
        <v>3047</v>
      </c>
      <c r="AN830" s="161"/>
    </row>
    <row r="831" spans="1:40">
      <c r="A831" s="143" t="s">
        <v>1891</v>
      </c>
      <c r="B831" s="141">
        <v>100</v>
      </c>
      <c r="C831" s="142">
        <f>B831*IBGE_2!C$831/100</f>
        <v>94</v>
      </c>
      <c r="D831" s="142">
        <f>B831*IBGE_2!D$831/100</f>
        <v>11.71</v>
      </c>
      <c r="E831" s="142">
        <f>B831*IBGE_2!E$831/100</f>
        <v>4.05</v>
      </c>
      <c r="F831" s="142">
        <f>B831*IBGE_2!F$831/100</f>
        <v>1.357</v>
      </c>
      <c r="G831" s="142">
        <f>B831*IBGE_2!G$831/100</f>
        <v>1.6040000000000001</v>
      </c>
      <c r="H831" s="142">
        <f>B831*IBGE_2!H$831/100</f>
        <v>0.20800000000000002</v>
      </c>
      <c r="I831" s="142">
        <f>B831*IBGE_2!I$831/100</f>
        <v>0.13700000000000001</v>
      </c>
      <c r="J831" s="142">
        <f>B831*IBGE_2!J$831/100</f>
        <v>8.0000000000000002E-3</v>
      </c>
      <c r="K831" s="142">
        <f>B831*IBGE_2!K$831/100</f>
        <v>157</v>
      </c>
      <c r="L831" s="142">
        <f>B831*IBGE_2!L$831/100</f>
        <v>1.99</v>
      </c>
      <c r="M831" s="142" t="s">
        <v>3047</v>
      </c>
      <c r="N831" s="142">
        <f>B831*IBGE_2!N$831/100</f>
        <v>81</v>
      </c>
      <c r="O831" s="142">
        <f>B831*IBGE_2!O$831/100</f>
        <v>15</v>
      </c>
      <c r="P831" s="142">
        <f>B831*IBGE_2!P$831/100</f>
        <v>0.10299999999999999</v>
      </c>
      <c r="Q831" s="142">
        <f>B831*IBGE_2!Q$831/100</f>
        <v>66</v>
      </c>
      <c r="R831" s="142">
        <f>B831*IBGE_2!R$831/100</f>
        <v>0.66</v>
      </c>
      <c r="S831" s="142">
        <f>B831*IBGE_2!S$831/100</f>
        <v>68</v>
      </c>
      <c r="T831" s="142">
        <f>B831*IBGE_2!T$831/100</f>
        <v>42</v>
      </c>
      <c r="U831" s="142" t="s">
        <v>3047</v>
      </c>
      <c r="V831" s="142">
        <f>B831*IBGE_2!V$831/100</f>
        <v>1.71</v>
      </c>
      <c r="W831" s="142" t="s">
        <v>3047</v>
      </c>
      <c r="X831" s="142" t="s">
        <v>3047</v>
      </c>
      <c r="Y831" s="142">
        <f>B831*IBGE_2!Y$831/100</f>
        <v>2.5000000000000001E-2</v>
      </c>
      <c r="Z831" s="142" t="s">
        <v>3047</v>
      </c>
      <c r="AA831" s="142">
        <f>B831*IBGE_2!AA$831/100</f>
        <v>0.46100000000000002</v>
      </c>
      <c r="AB831" s="142" t="s">
        <v>3047</v>
      </c>
      <c r="AC831" s="142">
        <f>B831*IBGE_2!AC$831/100</f>
        <v>1.744</v>
      </c>
      <c r="AD831" s="142">
        <f>B831*IBGE_2!AD$831/100</f>
        <v>0.72</v>
      </c>
      <c r="AE831" s="142">
        <f>B831*IBGE_2!AE$831/100</f>
        <v>3</v>
      </c>
      <c r="AF831" s="142" t="s">
        <v>3047</v>
      </c>
      <c r="AG831" s="142">
        <f>B831*IBGE_2!AG$831/100</f>
        <v>0.14000000000000001</v>
      </c>
      <c r="AH831" s="142">
        <f>B831*IBGE_2!AH$831/100</f>
        <v>0.2</v>
      </c>
      <c r="AI831" s="142">
        <f>B831*IBGE_2!AI$831/100</f>
        <v>333</v>
      </c>
      <c r="AJ831" s="142">
        <f>B831*IBGE_2!AJ$831/100</f>
        <v>11.8</v>
      </c>
      <c r="AK831" s="142" t="s">
        <v>3047</v>
      </c>
      <c r="AL831" s="142" t="s">
        <v>3047</v>
      </c>
      <c r="AM831" s="142" t="s">
        <v>3047</v>
      </c>
      <c r="AN831" s="161"/>
    </row>
    <row r="832" spans="1:40">
      <c r="A832" s="143" t="s">
        <v>1892</v>
      </c>
      <c r="B832" s="141">
        <v>100</v>
      </c>
      <c r="C832" s="142">
        <f>B832*IBGE_2!C$832/100</f>
        <v>94</v>
      </c>
      <c r="D832" s="142">
        <f>B832*IBGE_2!D$832/100</f>
        <v>11.71</v>
      </c>
      <c r="E832" s="142">
        <f>B832*IBGE_2!E$832/100</f>
        <v>4.05</v>
      </c>
      <c r="F832" s="142">
        <f>B832*IBGE_2!F$832/100</f>
        <v>1.357</v>
      </c>
      <c r="G832" s="142">
        <f>B832*IBGE_2!G$832/100</f>
        <v>1.6040000000000001</v>
      </c>
      <c r="H832" s="142">
        <f>B832*IBGE_2!H$832/100</f>
        <v>0.20800000000000002</v>
      </c>
      <c r="I832" s="142">
        <f>B832*IBGE_2!I$832/100</f>
        <v>0.13700000000000001</v>
      </c>
      <c r="J832" s="142">
        <f>B832*IBGE_2!J$832/100</f>
        <v>8.0000000000000002E-3</v>
      </c>
      <c r="K832" s="142">
        <f>B832*IBGE_2!K$832/100</f>
        <v>157</v>
      </c>
      <c r="L832" s="142">
        <f>B832*IBGE_2!L$832/100</f>
        <v>1.99</v>
      </c>
      <c r="M832" s="142" t="s">
        <v>3047</v>
      </c>
      <c r="N832" s="142">
        <f>B832*IBGE_2!N$832/100</f>
        <v>81</v>
      </c>
      <c r="O832" s="142">
        <f>B832*IBGE_2!O$832/100</f>
        <v>15</v>
      </c>
      <c r="P832" s="142">
        <f>B832*IBGE_2!P$832/100</f>
        <v>0.10299999999999999</v>
      </c>
      <c r="Q832" s="142">
        <f>B832*IBGE_2!Q$832/100</f>
        <v>66</v>
      </c>
      <c r="R832" s="142">
        <f>B832*IBGE_2!R$832/100</f>
        <v>0.66</v>
      </c>
      <c r="S832" s="142">
        <f>B832*IBGE_2!S$832/100</f>
        <v>68</v>
      </c>
      <c r="T832" s="142">
        <f>B832*IBGE_2!T$832/100</f>
        <v>42</v>
      </c>
      <c r="U832" s="142" t="s">
        <v>3047</v>
      </c>
      <c r="V832" s="142">
        <f>B832*IBGE_2!V$832/100</f>
        <v>1.71</v>
      </c>
      <c r="W832" s="142" t="s">
        <v>3047</v>
      </c>
      <c r="X832" s="142" t="s">
        <v>3047</v>
      </c>
      <c r="Y832" s="142">
        <f>B832*IBGE_2!Y$832/100</f>
        <v>2.5000000000000001E-2</v>
      </c>
      <c r="Z832" s="142" t="s">
        <v>3047</v>
      </c>
      <c r="AA832" s="142">
        <f>B832*IBGE_2!AA$832/100</f>
        <v>0.46100000000000002</v>
      </c>
      <c r="AB832" s="142" t="s">
        <v>3047</v>
      </c>
      <c r="AC832" s="142">
        <f>B832*IBGE_2!AC$832/100</f>
        <v>1.744</v>
      </c>
      <c r="AD832" s="142">
        <f>B832*IBGE_2!AD$832/100</f>
        <v>0.72</v>
      </c>
      <c r="AE832" s="142">
        <f>B832*IBGE_2!AE$832/100</f>
        <v>3</v>
      </c>
      <c r="AF832" s="142" t="s">
        <v>3047</v>
      </c>
      <c r="AG832" s="142">
        <f>B832*IBGE_2!AG$832/100</f>
        <v>0.14000000000000001</v>
      </c>
      <c r="AH832" s="142">
        <f>B832*IBGE_2!AH$832/100</f>
        <v>0.2</v>
      </c>
      <c r="AI832" s="142">
        <f>B832*IBGE_2!AI$832/100</f>
        <v>333</v>
      </c>
      <c r="AJ832" s="142">
        <f>B832*IBGE_2!AJ$832/100</f>
        <v>11.8</v>
      </c>
      <c r="AK832" s="142" t="s">
        <v>3047</v>
      </c>
      <c r="AL832" s="142" t="s">
        <v>3047</v>
      </c>
      <c r="AM832" s="142" t="s">
        <v>3047</v>
      </c>
      <c r="AN832" s="161"/>
    </row>
    <row r="833" spans="1:40">
      <c r="A833" s="143" t="s">
        <v>1893</v>
      </c>
      <c r="B833" s="141">
        <v>100</v>
      </c>
      <c r="C833" s="142">
        <f>B833*IBGE_2!C$833/100</f>
        <v>116.65900000000002</v>
      </c>
      <c r="D833" s="142">
        <f>B833*IBGE_2!D$833/100</f>
        <v>11.71</v>
      </c>
      <c r="E833" s="142">
        <f>B833*IBGE_2!E$833/100</f>
        <v>6.6130000000000004</v>
      </c>
      <c r="F833" s="142">
        <f>B833*IBGE_2!F$833/100</f>
        <v>1.758</v>
      </c>
      <c r="G833" s="142">
        <f>B833*IBGE_2!G$833/100</f>
        <v>2.1880000000000002</v>
      </c>
      <c r="H833" s="142">
        <f>B833*IBGE_2!H$833/100</f>
        <v>1.6879999999999997</v>
      </c>
      <c r="I833" s="142">
        <f>B833*IBGE_2!I$833/100</f>
        <v>1.4430000000000001</v>
      </c>
      <c r="J833" s="142">
        <f>B833*IBGE_2!J$833/100</f>
        <v>0.182</v>
      </c>
      <c r="K833" s="142">
        <f>B833*IBGE_2!K$833/100</f>
        <v>157</v>
      </c>
      <c r="L833" s="142">
        <f>B833*IBGE_2!L$833/100</f>
        <v>1.99</v>
      </c>
      <c r="M833" s="142" t="s">
        <v>3047</v>
      </c>
      <c r="N833" s="142">
        <f>B833*IBGE_2!N$833/100</f>
        <v>81</v>
      </c>
      <c r="O833" s="142">
        <f>B833*IBGE_2!O$833/100</f>
        <v>15</v>
      </c>
      <c r="P833" s="142">
        <f>B833*IBGE_2!P$833/100</f>
        <v>0.10299999999999999</v>
      </c>
      <c r="Q833" s="142">
        <f>B833*IBGE_2!Q$833/100</f>
        <v>66</v>
      </c>
      <c r="R833" s="142">
        <f>B833*IBGE_2!R$833/100</f>
        <v>0.66100000000000003</v>
      </c>
      <c r="S833" s="142">
        <f>B833*IBGE_2!S$833/100</f>
        <v>68</v>
      </c>
      <c r="T833" s="142">
        <f>B833*IBGE_2!T$833/100</f>
        <v>42</v>
      </c>
      <c r="U833" s="142" t="s">
        <v>3047</v>
      </c>
      <c r="V833" s="142">
        <f>B833*IBGE_2!V$833/100</f>
        <v>1.71</v>
      </c>
      <c r="W833" s="142" t="s">
        <v>3047</v>
      </c>
      <c r="X833" s="142" t="s">
        <v>3047</v>
      </c>
      <c r="Y833" s="142">
        <f>B833*IBGE_2!Y$833/100</f>
        <v>2.5000000000000001E-2</v>
      </c>
      <c r="Z833" s="142" t="s">
        <v>3047</v>
      </c>
      <c r="AA833" s="142">
        <f>B833*IBGE_2!AA$833/100</f>
        <v>0.46100000000000002</v>
      </c>
      <c r="AB833" s="142" t="s">
        <v>3047</v>
      </c>
      <c r="AC833" s="142">
        <f>B833*IBGE_2!AC$833/100</f>
        <v>1.744</v>
      </c>
      <c r="AD833" s="142">
        <f>B833*IBGE_2!AD$833/100</f>
        <v>0.72</v>
      </c>
      <c r="AE833" s="142">
        <f>B833*IBGE_2!AE$833/100</f>
        <v>3</v>
      </c>
      <c r="AF833" s="142" t="s">
        <v>3047</v>
      </c>
      <c r="AG833" s="142">
        <f>B833*IBGE_2!AG$833/100</f>
        <v>0.35</v>
      </c>
      <c r="AH833" s="142">
        <f>B833*IBGE_2!AH$833/100</f>
        <v>0.214</v>
      </c>
      <c r="AI833" s="142">
        <f>B833*IBGE_2!AI$833/100</f>
        <v>333</v>
      </c>
      <c r="AJ833" s="142">
        <f>B833*IBGE_2!AJ$833/100</f>
        <v>12.975</v>
      </c>
      <c r="AK833" s="142" t="s">
        <v>3047</v>
      </c>
      <c r="AL833" s="142" t="s">
        <v>3047</v>
      </c>
      <c r="AM833" s="142" t="s">
        <v>3047</v>
      </c>
      <c r="AN833" s="161"/>
    </row>
    <row r="834" spans="1:40">
      <c r="A834" s="143" t="s">
        <v>1894</v>
      </c>
      <c r="B834" s="141">
        <v>100</v>
      </c>
      <c r="C834" s="142">
        <f>B834*IBGE_2!C$834/100</f>
        <v>94</v>
      </c>
      <c r="D834" s="142">
        <f>B834*IBGE_2!D$834/100</f>
        <v>11.71</v>
      </c>
      <c r="E834" s="142">
        <f>B834*IBGE_2!E$834/100</f>
        <v>4.05</v>
      </c>
      <c r="F834" s="142">
        <f>B834*IBGE_2!F$834/100</f>
        <v>1.357</v>
      </c>
      <c r="G834" s="142">
        <f>B834*IBGE_2!G$834/100</f>
        <v>1.6040000000000001</v>
      </c>
      <c r="H834" s="142">
        <f>B834*IBGE_2!H$834/100</f>
        <v>0.20800000000000002</v>
      </c>
      <c r="I834" s="142">
        <f>B834*IBGE_2!I$834/100</f>
        <v>0.13700000000000001</v>
      </c>
      <c r="J834" s="142">
        <f>B834*IBGE_2!J$834/100</f>
        <v>8.0000000000000002E-3</v>
      </c>
      <c r="K834" s="142">
        <f>B834*IBGE_2!K$834/100</f>
        <v>157</v>
      </c>
      <c r="L834" s="142">
        <f>B834*IBGE_2!L$834/100</f>
        <v>1.99</v>
      </c>
      <c r="M834" s="142" t="s">
        <v>3047</v>
      </c>
      <c r="N834" s="142">
        <f>B834*IBGE_2!N$834/100</f>
        <v>81</v>
      </c>
      <c r="O834" s="142">
        <f>B834*IBGE_2!O$834/100</f>
        <v>15</v>
      </c>
      <c r="P834" s="142">
        <f>B834*IBGE_2!P$834/100</f>
        <v>0.10299999999999999</v>
      </c>
      <c r="Q834" s="142">
        <f>B834*IBGE_2!Q$834/100</f>
        <v>66</v>
      </c>
      <c r="R834" s="142">
        <f>B834*IBGE_2!R$834/100</f>
        <v>0.66</v>
      </c>
      <c r="S834" s="142">
        <f>B834*IBGE_2!S$834/100</f>
        <v>68</v>
      </c>
      <c r="T834" s="142">
        <f>B834*IBGE_2!T$834/100</f>
        <v>42</v>
      </c>
      <c r="U834" s="142" t="s">
        <v>3047</v>
      </c>
      <c r="V834" s="142">
        <f>B834*IBGE_2!V$834/100</f>
        <v>1.71</v>
      </c>
      <c r="W834" s="142" t="s">
        <v>3047</v>
      </c>
      <c r="X834" s="142" t="s">
        <v>3047</v>
      </c>
      <c r="Y834" s="142">
        <f>B834*IBGE_2!Y$834/100</f>
        <v>2.5000000000000001E-2</v>
      </c>
      <c r="Z834" s="142" t="s">
        <v>3047</v>
      </c>
      <c r="AA834" s="142">
        <f>B834*IBGE_2!AA$834/100</f>
        <v>0.46100000000000002</v>
      </c>
      <c r="AB834" s="142" t="s">
        <v>3047</v>
      </c>
      <c r="AC834" s="142">
        <f>B834*IBGE_2!AC$834/100</f>
        <v>1.744</v>
      </c>
      <c r="AD834" s="142">
        <f>B834*IBGE_2!AD$834/100</f>
        <v>0.72</v>
      </c>
      <c r="AE834" s="142">
        <f>B834*IBGE_2!AE$834/100</f>
        <v>3</v>
      </c>
      <c r="AF834" s="142" t="s">
        <v>3047</v>
      </c>
      <c r="AG834" s="142">
        <f>B834*IBGE_2!AG$834/100</f>
        <v>0.14000000000000001</v>
      </c>
      <c r="AH834" s="142">
        <f>B834*IBGE_2!AH$834/100</f>
        <v>0.2</v>
      </c>
      <c r="AI834" s="142">
        <f>B834*IBGE_2!AI$834/100</f>
        <v>333</v>
      </c>
      <c r="AJ834" s="142">
        <f>B834*IBGE_2!AJ$834/100</f>
        <v>11.8</v>
      </c>
      <c r="AK834" s="142" t="s">
        <v>3047</v>
      </c>
      <c r="AL834" s="142" t="s">
        <v>3047</v>
      </c>
      <c r="AM834" s="142" t="s">
        <v>3047</v>
      </c>
      <c r="AN834" s="161"/>
    </row>
    <row r="835" spans="1:40">
      <c r="A835" s="143" t="s">
        <v>1895</v>
      </c>
      <c r="B835" s="141">
        <v>100</v>
      </c>
      <c r="C835" s="142">
        <f>B835*IBGE_2!C$835/100</f>
        <v>94</v>
      </c>
      <c r="D835" s="142">
        <f>B835*IBGE_2!D$835/100</f>
        <v>11.71</v>
      </c>
      <c r="E835" s="142">
        <f>B835*IBGE_2!E$835/100</f>
        <v>4.05</v>
      </c>
      <c r="F835" s="142">
        <f>B835*IBGE_2!F$835/100</f>
        <v>1.357</v>
      </c>
      <c r="G835" s="142">
        <f>B835*IBGE_2!G$835/100</f>
        <v>1.6040000000000001</v>
      </c>
      <c r="H835" s="142">
        <f>B835*IBGE_2!H$835/100</f>
        <v>0.20800000000000002</v>
      </c>
      <c r="I835" s="142">
        <f>B835*IBGE_2!I$835/100</f>
        <v>0.13700000000000001</v>
      </c>
      <c r="J835" s="142">
        <f>B835*IBGE_2!J$835/100</f>
        <v>8.0000000000000002E-3</v>
      </c>
      <c r="K835" s="142">
        <f>B835*IBGE_2!K$835/100</f>
        <v>157</v>
      </c>
      <c r="L835" s="142">
        <f>B835*IBGE_2!L$835/100</f>
        <v>1.99</v>
      </c>
      <c r="M835" s="142" t="s">
        <v>3047</v>
      </c>
      <c r="N835" s="142">
        <f>B835*IBGE_2!N$835/100</f>
        <v>81</v>
      </c>
      <c r="O835" s="142">
        <f>B835*IBGE_2!O$835/100</f>
        <v>15</v>
      </c>
      <c r="P835" s="142">
        <f>B835*IBGE_2!P$835/100</f>
        <v>0.10299999999999999</v>
      </c>
      <c r="Q835" s="142">
        <f>B835*IBGE_2!Q$835/100</f>
        <v>66</v>
      </c>
      <c r="R835" s="142">
        <f>B835*IBGE_2!R$835/100</f>
        <v>0.66</v>
      </c>
      <c r="S835" s="142">
        <f>B835*IBGE_2!S$835/100</f>
        <v>68</v>
      </c>
      <c r="T835" s="142">
        <f>B835*IBGE_2!T$835/100</f>
        <v>42</v>
      </c>
      <c r="U835" s="142" t="s">
        <v>3047</v>
      </c>
      <c r="V835" s="142">
        <f>B835*IBGE_2!V$835/100</f>
        <v>1.71</v>
      </c>
      <c r="W835" s="142" t="s">
        <v>3047</v>
      </c>
      <c r="X835" s="142" t="s">
        <v>3047</v>
      </c>
      <c r="Y835" s="142">
        <f>B835*IBGE_2!Y$835/100</f>
        <v>2.5000000000000001E-2</v>
      </c>
      <c r="Z835" s="142" t="s">
        <v>3047</v>
      </c>
      <c r="AA835" s="142">
        <f>B835*IBGE_2!AA$835/100</f>
        <v>0.46100000000000002</v>
      </c>
      <c r="AB835" s="142" t="s">
        <v>3047</v>
      </c>
      <c r="AC835" s="142">
        <f>B835*IBGE_2!AC$835/100</f>
        <v>1.744</v>
      </c>
      <c r="AD835" s="142">
        <f>B835*IBGE_2!AD$835/100</f>
        <v>0.72</v>
      </c>
      <c r="AE835" s="142">
        <f>B835*IBGE_2!AE$835/100</f>
        <v>3</v>
      </c>
      <c r="AF835" s="142" t="s">
        <v>3047</v>
      </c>
      <c r="AG835" s="142">
        <f>B835*IBGE_2!AG$835/100</f>
        <v>0.14000000000000001</v>
      </c>
      <c r="AH835" s="142">
        <f>B835*IBGE_2!AH$835/100</f>
        <v>0.2</v>
      </c>
      <c r="AI835" s="142">
        <f>B835*IBGE_2!AI$835/100</f>
        <v>333</v>
      </c>
      <c r="AJ835" s="142">
        <f>B835*IBGE_2!AJ$835/100</f>
        <v>11.8</v>
      </c>
      <c r="AK835" s="142" t="s">
        <v>3047</v>
      </c>
      <c r="AL835" s="142" t="s">
        <v>3047</v>
      </c>
      <c r="AM835" s="142" t="s">
        <v>3047</v>
      </c>
      <c r="AN835" s="161"/>
    </row>
    <row r="836" spans="1:40">
      <c r="A836" s="143" t="s">
        <v>1896</v>
      </c>
      <c r="B836" s="141">
        <v>100</v>
      </c>
      <c r="C836" s="142">
        <f>B836*IBGE_2!C$836/100</f>
        <v>80</v>
      </c>
      <c r="D836" s="142">
        <f>B836*IBGE_2!D$836/100</f>
        <v>9.6319999999999997</v>
      </c>
      <c r="E836" s="142">
        <f>B836*IBGE_2!E$836/100</f>
        <v>3.2759999999999998</v>
      </c>
      <c r="F836" s="142">
        <f>B836*IBGE_2!F$836/100</f>
        <v>1.091</v>
      </c>
      <c r="G836" s="142">
        <f>B836*IBGE_2!G$836/100</f>
        <v>1.2890000000000001</v>
      </c>
      <c r="H836" s="142">
        <f>B836*IBGE_2!H$836/100</f>
        <v>0.18099999999999997</v>
      </c>
      <c r="I836" s="142">
        <f>B836*IBGE_2!I$836/100</f>
        <v>0.12300000000000001</v>
      </c>
      <c r="J836" s="142">
        <f>B836*IBGE_2!J$836/100</f>
        <v>7.000000000000001E-3</v>
      </c>
      <c r="K836" s="142">
        <f>B836*IBGE_2!K$836/100</f>
        <v>125.6</v>
      </c>
      <c r="L836" s="142">
        <f>B836*IBGE_2!L$836/100</f>
        <v>2.6680000000000001</v>
      </c>
      <c r="M836" s="142">
        <f>B836*IBGE_2!M$836/100</f>
        <v>0.3</v>
      </c>
      <c r="N836" s="142">
        <f>B836*IBGE_2!N$836/100</f>
        <v>67.400000000000006</v>
      </c>
      <c r="O836" s="142">
        <f>B836*IBGE_2!O$836/100</f>
        <v>15.2</v>
      </c>
      <c r="P836" s="142">
        <f>B836*IBGE_2!P$836/100</f>
        <v>0.10400000000000001</v>
      </c>
      <c r="Q836" s="142">
        <f>B836*IBGE_2!Q$836/100</f>
        <v>58</v>
      </c>
      <c r="R836" s="142">
        <f>B836*IBGE_2!R$836/100</f>
        <v>0.73199999999999998</v>
      </c>
      <c r="S836" s="142">
        <f>B836*IBGE_2!S$836/100</f>
        <v>159.19999999999999</v>
      </c>
      <c r="T836" s="142">
        <f>B836*IBGE_2!T$836/100</f>
        <v>99.8</v>
      </c>
      <c r="U836" s="142">
        <f>B836*IBGE_2!U$836/100</f>
        <v>2.3E-2</v>
      </c>
      <c r="V836" s="142">
        <f>B836*IBGE_2!V$836/100</f>
        <v>1.4079999999999999</v>
      </c>
      <c r="W836" s="142" t="s">
        <v>3047</v>
      </c>
      <c r="X836" s="142">
        <f>B836*IBGE_2!X$836/100</f>
        <v>5.0000000000000001E-3</v>
      </c>
      <c r="Y836" s="142">
        <f>B836*IBGE_2!Y$836/100</f>
        <v>3.3000000000000002E-2</v>
      </c>
      <c r="Z836" s="142">
        <f>B836*IBGE_2!Z$836/100</f>
        <v>1.9E-2</v>
      </c>
      <c r="AA836" s="142">
        <f>B836*IBGE_2!AA$836/100</f>
        <v>0.56399999999999995</v>
      </c>
      <c r="AB836" s="142">
        <f>B836*IBGE_2!AB$836/100</f>
        <v>1.4</v>
      </c>
      <c r="AC836" s="142">
        <f>B836*IBGE_2!AC$836/100</f>
        <v>1.6240000000000001</v>
      </c>
      <c r="AD836" s="142">
        <f>B836*IBGE_2!AD$836/100</f>
        <v>0.57599999999999996</v>
      </c>
      <c r="AE836" s="142">
        <f>B836*IBGE_2!AE$836/100</f>
        <v>4.5999999999999996</v>
      </c>
      <c r="AF836" s="142" t="s">
        <v>3047</v>
      </c>
      <c r="AG836" s="142">
        <f>B836*IBGE_2!AG$836/100</f>
        <v>0.39600000000000002</v>
      </c>
      <c r="AH836" s="142">
        <f>B836*IBGE_2!AH$836/100</f>
        <v>0.16</v>
      </c>
      <c r="AI836" s="142">
        <f>B836*IBGE_2!AI$836/100</f>
        <v>333</v>
      </c>
      <c r="AJ836" s="142">
        <f>B836*IBGE_2!AJ$836/100</f>
        <v>9.48</v>
      </c>
      <c r="AK836" s="142">
        <f>B836*IBGE_2!AK$836/100</f>
        <v>3.4830000000000001</v>
      </c>
      <c r="AL836" s="142">
        <f>B836*IBGE_2!AL$836/100</f>
        <v>0.85</v>
      </c>
      <c r="AM836" s="142" t="s">
        <v>3047</v>
      </c>
      <c r="AN836" s="161"/>
    </row>
    <row r="837" spans="1:40">
      <c r="A837" s="143" t="s">
        <v>1897</v>
      </c>
      <c r="B837" s="141">
        <v>100</v>
      </c>
      <c r="C837" s="142">
        <f>B837*IBGE_2!C$837/100</f>
        <v>116.65900000000002</v>
      </c>
      <c r="D837" s="142">
        <f>B837*IBGE_2!D$837/100</f>
        <v>11.71</v>
      </c>
      <c r="E837" s="142">
        <f>B837*IBGE_2!E$837/100</f>
        <v>6.6130000000000004</v>
      </c>
      <c r="F837" s="142">
        <f>B837*IBGE_2!F$837/100</f>
        <v>1.758</v>
      </c>
      <c r="G837" s="142">
        <f>B837*IBGE_2!G$837/100</f>
        <v>2.1880000000000002</v>
      </c>
      <c r="H837" s="142">
        <f>B837*IBGE_2!H$837/100</f>
        <v>1.6879999999999997</v>
      </c>
      <c r="I837" s="142">
        <f>B837*IBGE_2!I$837/100</f>
        <v>1.4430000000000001</v>
      </c>
      <c r="J837" s="142">
        <f>B837*IBGE_2!J$837/100</f>
        <v>0.182</v>
      </c>
      <c r="K837" s="142">
        <f>B837*IBGE_2!K$837/100</f>
        <v>157</v>
      </c>
      <c r="L837" s="142">
        <f>B837*IBGE_2!L$837/100</f>
        <v>1.99</v>
      </c>
      <c r="M837" s="142" t="s">
        <v>3047</v>
      </c>
      <c r="N837" s="142">
        <f>B837*IBGE_2!N$837/100</f>
        <v>81</v>
      </c>
      <c r="O837" s="142">
        <f>B837*IBGE_2!O$837/100</f>
        <v>15</v>
      </c>
      <c r="P837" s="142">
        <f>B837*IBGE_2!P$837/100</f>
        <v>0.10299999999999999</v>
      </c>
      <c r="Q837" s="142">
        <f>B837*IBGE_2!Q$837/100</f>
        <v>66</v>
      </c>
      <c r="R837" s="142">
        <f>B837*IBGE_2!R$837/100</f>
        <v>0.66100000000000003</v>
      </c>
      <c r="S837" s="142">
        <f>B837*IBGE_2!S$837/100</f>
        <v>68</v>
      </c>
      <c r="T837" s="142">
        <f>B837*IBGE_2!T$837/100</f>
        <v>42</v>
      </c>
      <c r="U837" s="142" t="s">
        <v>3047</v>
      </c>
      <c r="V837" s="142">
        <f>B837*IBGE_2!V$837/100</f>
        <v>1.71</v>
      </c>
      <c r="W837" s="142" t="s">
        <v>3047</v>
      </c>
      <c r="X837" s="142" t="s">
        <v>3047</v>
      </c>
      <c r="Y837" s="142">
        <f>B837*IBGE_2!Y$837/100</f>
        <v>2.5000000000000001E-2</v>
      </c>
      <c r="Z837" s="142" t="s">
        <v>3047</v>
      </c>
      <c r="AA837" s="142">
        <f>B837*IBGE_2!AA$837/100</f>
        <v>0.46100000000000002</v>
      </c>
      <c r="AB837" s="142" t="s">
        <v>3047</v>
      </c>
      <c r="AC837" s="142">
        <f>B837*IBGE_2!AC$837/100</f>
        <v>1.744</v>
      </c>
      <c r="AD837" s="142">
        <f>B837*IBGE_2!AD$837/100</f>
        <v>0.72</v>
      </c>
      <c r="AE837" s="142">
        <f>B837*IBGE_2!AE$837/100</f>
        <v>3</v>
      </c>
      <c r="AF837" s="142" t="s">
        <v>3047</v>
      </c>
      <c r="AG837" s="142">
        <f>B837*IBGE_2!AG$837/100</f>
        <v>0.35</v>
      </c>
      <c r="AH837" s="142">
        <f>B837*IBGE_2!AH$837/100</f>
        <v>0.214</v>
      </c>
      <c r="AI837" s="142">
        <f>B837*IBGE_2!AI$837/100</f>
        <v>333</v>
      </c>
      <c r="AJ837" s="142">
        <f>B837*IBGE_2!AJ$837/100</f>
        <v>12.975</v>
      </c>
      <c r="AK837" s="142" t="s">
        <v>3047</v>
      </c>
      <c r="AL837" s="142" t="s">
        <v>3047</v>
      </c>
      <c r="AM837" s="142" t="s">
        <v>3047</v>
      </c>
      <c r="AN837" s="161"/>
    </row>
    <row r="838" spans="1:40">
      <c r="A838" s="143" t="s">
        <v>1898</v>
      </c>
      <c r="B838" s="141">
        <v>100</v>
      </c>
      <c r="C838" s="142">
        <f>B838*IBGE_2!C$838/100</f>
        <v>94</v>
      </c>
      <c r="D838" s="142">
        <f>B838*IBGE_2!D$838/100</f>
        <v>11.71</v>
      </c>
      <c r="E838" s="142">
        <f>B838*IBGE_2!E$838/100</f>
        <v>4.05</v>
      </c>
      <c r="F838" s="142">
        <f>B838*IBGE_2!F$838/100</f>
        <v>1.357</v>
      </c>
      <c r="G838" s="142">
        <f>B838*IBGE_2!G$838/100</f>
        <v>1.6040000000000001</v>
      </c>
      <c r="H838" s="142">
        <f>B838*IBGE_2!H$838/100</f>
        <v>0.20800000000000002</v>
      </c>
      <c r="I838" s="142">
        <f>B838*IBGE_2!I$838/100</f>
        <v>0.13700000000000001</v>
      </c>
      <c r="J838" s="142">
        <f>B838*IBGE_2!J$838/100</f>
        <v>8.0000000000000002E-3</v>
      </c>
      <c r="K838" s="142">
        <f>B838*IBGE_2!K$838/100</f>
        <v>157</v>
      </c>
      <c r="L838" s="142">
        <f>B838*IBGE_2!L$838/100</f>
        <v>1.99</v>
      </c>
      <c r="M838" s="142" t="s">
        <v>3047</v>
      </c>
      <c r="N838" s="142">
        <f>B838*IBGE_2!N$838/100</f>
        <v>81</v>
      </c>
      <c r="O838" s="142">
        <f>B838*IBGE_2!O$838/100</f>
        <v>15</v>
      </c>
      <c r="P838" s="142">
        <f>B838*IBGE_2!P$838/100</f>
        <v>0.10299999999999999</v>
      </c>
      <c r="Q838" s="142">
        <f>B838*IBGE_2!Q$838/100</f>
        <v>66</v>
      </c>
      <c r="R838" s="142">
        <f>B838*IBGE_2!R$838/100</f>
        <v>0.66</v>
      </c>
      <c r="S838" s="142">
        <f>B838*IBGE_2!S$838/100</f>
        <v>68</v>
      </c>
      <c r="T838" s="142">
        <f>B838*IBGE_2!T$838/100</f>
        <v>42</v>
      </c>
      <c r="U838" s="142" t="s">
        <v>3047</v>
      </c>
      <c r="V838" s="142">
        <f>B838*IBGE_2!V$838/100</f>
        <v>1.71</v>
      </c>
      <c r="W838" s="142" t="s">
        <v>3047</v>
      </c>
      <c r="X838" s="142" t="s">
        <v>3047</v>
      </c>
      <c r="Y838" s="142">
        <f>B838*IBGE_2!Y$838/100</f>
        <v>2.5000000000000001E-2</v>
      </c>
      <c r="Z838" s="142" t="s">
        <v>3047</v>
      </c>
      <c r="AA838" s="142">
        <f>B838*IBGE_2!AA$838/100</f>
        <v>0.46100000000000002</v>
      </c>
      <c r="AB838" s="142" t="s">
        <v>3047</v>
      </c>
      <c r="AC838" s="142">
        <f>B838*IBGE_2!AC$838/100</f>
        <v>1.744</v>
      </c>
      <c r="AD838" s="142">
        <f>B838*IBGE_2!AD$838/100</f>
        <v>0.72</v>
      </c>
      <c r="AE838" s="142">
        <f>B838*IBGE_2!AE$838/100</f>
        <v>3</v>
      </c>
      <c r="AF838" s="142" t="s">
        <v>3047</v>
      </c>
      <c r="AG838" s="142">
        <f>B838*IBGE_2!AG$838/100</f>
        <v>0.14000000000000001</v>
      </c>
      <c r="AH838" s="142">
        <f>B838*IBGE_2!AH$838/100</f>
        <v>0.2</v>
      </c>
      <c r="AI838" s="142">
        <f>B838*IBGE_2!AI$838/100</f>
        <v>333</v>
      </c>
      <c r="AJ838" s="142">
        <f>B838*IBGE_2!AJ$838/100</f>
        <v>11.8</v>
      </c>
      <c r="AK838" s="142" t="s">
        <v>3047</v>
      </c>
      <c r="AL838" s="142" t="s">
        <v>3047</v>
      </c>
      <c r="AM838" s="142" t="s">
        <v>3047</v>
      </c>
      <c r="AN838" s="161"/>
    </row>
    <row r="839" spans="1:40">
      <c r="A839" s="143" t="s">
        <v>1899</v>
      </c>
      <c r="B839" s="141">
        <v>100</v>
      </c>
      <c r="C839" s="142">
        <f>B839*IBGE_2!C$839/100</f>
        <v>94</v>
      </c>
      <c r="D839" s="142">
        <f>B839*IBGE_2!D$839/100</f>
        <v>11.71</v>
      </c>
      <c r="E839" s="142">
        <f>B839*IBGE_2!E$839/100</f>
        <v>4.05</v>
      </c>
      <c r="F839" s="142">
        <f>B839*IBGE_2!F$839/100</f>
        <v>1.357</v>
      </c>
      <c r="G839" s="142">
        <f>B839*IBGE_2!G$839/100</f>
        <v>1.6040000000000001</v>
      </c>
      <c r="H839" s="142">
        <f>B839*IBGE_2!H$839/100</f>
        <v>0.20800000000000002</v>
      </c>
      <c r="I839" s="142">
        <f>B839*IBGE_2!I$839/100</f>
        <v>0.13700000000000001</v>
      </c>
      <c r="J839" s="142">
        <f>B839*IBGE_2!J$839/100</f>
        <v>8.0000000000000002E-3</v>
      </c>
      <c r="K839" s="142">
        <f>B839*IBGE_2!K$839/100</f>
        <v>157</v>
      </c>
      <c r="L839" s="142">
        <f>B839*IBGE_2!L$839/100</f>
        <v>1.99</v>
      </c>
      <c r="M839" s="142" t="s">
        <v>3047</v>
      </c>
      <c r="N839" s="142">
        <f>B839*IBGE_2!N$839/100</f>
        <v>81</v>
      </c>
      <c r="O839" s="142">
        <f>B839*IBGE_2!O$839/100</f>
        <v>15</v>
      </c>
      <c r="P839" s="142">
        <f>B839*IBGE_2!P$839/100</f>
        <v>0.10299999999999999</v>
      </c>
      <c r="Q839" s="142">
        <f>B839*IBGE_2!Q$839/100</f>
        <v>66</v>
      </c>
      <c r="R839" s="142">
        <f>B839*IBGE_2!R$839/100</f>
        <v>0.66</v>
      </c>
      <c r="S839" s="142">
        <f>B839*IBGE_2!S$839/100</f>
        <v>68</v>
      </c>
      <c r="T839" s="142">
        <f>B839*IBGE_2!T$839/100</f>
        <v>42</v>
      </c>
      <c r="U839" s="142" t="s">
        <v>3047</v>
      </c>
      <c r="V839" s="142">
        <f>B839*IBGE_2!V$839/100</f>
        <v>1.71</v>
      </c>
      <c r="W839" s="142" t="s">
        <v>3047</v>
      </c>
      <c r="X839" s="142" t="s">
        <v>3047</v>
      </c>
      <c r="Y839" s="142">
        <f>B839*IBGE_2!Y$839/100</f>
        <v>2.5000000000000001E-2</v>
      </c>
      <c r="Z839" s="142" t="s">
        <v>3047</v>
      </c>
      <c r="AA839" s="142">
        <f>B839*IBGE_2!AA$839/100</f>
        <v>0.46100000000000002</v>
      </c>
      <c r="AB839" s="142" t="s">
        <v>3047</v>
      </c>
      <c r="AC839" s="142">
        <f>B839*IBGE_2!AC$839/100</f>
        <v>1.744</v>
      </c>
      <c r="AD839" s="142">
        <f>B839*IBGE_2!AD$839/100</f>
        <v>0.72</v>
      </c>
      <c r="AE839" s="142">
        <f>B839*IBGE_2!AE$839/100</f>
        <v>3</v>
      </c>
      <c r="AF839" s="142" t="s">
        <v>3047</v>
      </c>
      <c r="AG839" s="142">
        <f>B839*IBGE_2!AG$839/100</f>
        <v>0.14000000000000001</v>
      </c>
      <c r="AH839" s="142">
        <f>B839*IBGE_2!AH$839/100</f>
        <v>0.2</v>
      </c>
      <c r="AI839" s="142">
        <f>B839*IBGE_2!AI$839/100</f>
        <v>333</v>
      </c>
      <c r="AJ839" s="142">
        <f>B839*IBGE_2!AJ$839/100</f>
        <v>11.8</v>
      </c>
      <c r="AK839" s="142" t="s">
        <v>3047</v>
      </c>
      <c r="AL839" s="142" t="s">
        <v>3047</v>
      </c>
      <c r="AM839" s="142" t="s">
        <v>3047</v>
      </c>
      <c r="AN839" s="161"/>
    </row>
    <row r="840" spans="1:40">
      <c r="A840" s="143" t="s">
        <v>1900</v>
      </c>
      <c r="B840" s="141">
        <v>100</v>
      </c>
      <c r="C840" s="142">
        <f>B840*IBGE_2!C$840/100</f>
        <v>116.65900000000002</v>
      </c>
      <c r="D840" s="142">
        <f>B840*IBGE_2!D$840/100</f>
        <v>11.71</v>
      </c>
      <c r="E840" s="142">
        <f>B840*IBGE_2!E$840/100</f>
        <v>6.6130000000000004</v>
      </c>
      <c r="F840" s="142">
        <f>B840*IBGE_2!F$840/100</f>
        <v>1.758</v>
      </c>
      <c r="G840" s="142">
        <f>B840*IBGE_2!G$840/100</f>
        <v>2.1880000000000002</v>
      </c>
      <c r="H840" s="142">
        <f>B840*IBGE_2!H$840/100</f>
        <v>1.6879999999999997</v>
      </c>
      <c r="I840" s="142">
        <f>B840*IBGE_2!I$840/100</f>
        <v>1.4430000000000001</v>
      </c>
      <c r="J840" s="142">
        <f>B840*IBGE_2!J$840/100</f>
        <v>0.182</v>
      </c>
      <c r="K840" s="142">
        <f>B840*IBGE_2!K$840/100</f>
        <v>157</v>
      </c>
      <c r="L840" s="142">
        <f>B840*IBGE_2!L$840/100</f>
        <v>1.99</v>
      </c>
      <c r="M840" s="142" t="s">
        <v>3047</v>
      </c>
      <c r="N840" s="142">
        <f>B840*IBGE_2!N$840/100</f>
        <v>81</v>
      </c>
      <c r="O840" s="142">
        <f>B840*IBGE_2!O$840/100</f>
        <v>15</v>
      </c>
      <c r="P840" s="142">
        <f>B840*IBGE_2!P$840/100</f>
        <v>0.10299999999999999</v>
      </c>
      <c r="Q840" s="142">
        <f>B840*IBGE_2!Q$840/100</f>
        <v>66</v>
      </c>
      <c r="R840" s="142">
        <f>B840*IBGE_2!R$840/100</f>
        <v>0.66100000000000003</v>
      </c>
      <c r="S840" s="142">
        <f>B840*IBGE_2!S$840/100</f>
        <v>68</v>
      </c>
      <c r="T840" s="142">
        <f>B840*IBGE_2!T$840/100</f>
        <v>42</v>
      </c>
      <c r="U840" s="142" t="s">
        <v>3047</v>
      </c>
      <c r="V840" s="142">
        <f>B840*IBGE_2!V$840/100</f>
        <v>1.71</v>
      </c>
      <c r="W840" s="142" t="s">
        <v>3047</v>
      </c>
      <c r="X840" s="142" t="s">
        <v>3047</v>
      </c>
      <c r="Y840" s="142">
        <f>B840*IBGE_2!Y$840/100</f>
        <v>2.5000000000000001E-2</v>
      </c>
      <c r="Z840" s="142" t="s">
        <v>3047</v>
      </c>
      <c r="AA840" s="142">
        <f>B840*IBGE_2!AA$840/100</f>
        <v>0.46100000000000002</v>
      </c>
      <c r="AB840" s="142" t="s">
        <v>3047</v>
      </c>
      <c r="AC840" s="142">
        <f>B840*IBGE_2!AC$840/100</f>
        <v>1.744</v>
      </c>
      <c r="AD840" s="142">
        <f>B840*IBGE_2!AD$840/100</f>
        <v>0.72</v>
      </c>
      <c r="AE840" s="142">
        <f>B840*IBGE_2!AE$840/100</f>
        <v>3</v>
      </c>
      <c r="AF840" s="142" t="s">
        <v>3047</v>
      </c>
      <c r="AG840" s="142">
        <f>B840*IBGE_2!AG$840/100</f>
        <v>0.35</v>
      </c>
      <c r="AH840" s="142">
        <f>B840*IBGE_2!AH$840/100</f>
        <v>0.214</v>
      </c>
      <c r="AI840" s="142">
        <f>B840*IBGE_2!AI$840/100</f>
        <v>333</v>
      </c>
      <c r="AJ840" s="142">
        <f>B840*IBGE_2!AJ$840/100</f>
        <v>12.975</v>
      </c>
      <c r="AK840" s="142" t="s">
        <v>3047</v>
      </c>
      <c r="AL840" s="142" t="s">
        <v>3047</v>
      </c>
      <c r="AM840" s="142" t="s">
        <v>3047</v>
      </c>
      <c r="AN840" s="161"/>
    </row>
    <row r="841" spans="1:40">
      <c r="A841" s="143" t="s">
        <v>1901</v>
      </c>
      <c r="B841" s="141">
        <v>100</v>
      </c>
      <c r="C841" s="142">
        <f>B841*IBGE_2!C$841/100</f>
        <v>94</v>
      </c>
      <c r="D841" s="142">
        <f>B841*IBGE_2!D$841/100</f>
        <v>11.71</v>
      </c>
      <c r="E841" s="142">
        <f>B841*IBGE_2!E$841/100</f>
        <v>4.05</v>
      </c>
      <c r="F841" s="142">
        <f>B841*IBGE_2!F$841/100</f>
        <v>1.357</v>
      </c>
      <c r="G841" s="142">
        <f>B841*IBGE_2!G$841/100</f>
        <v>1.6040000000000001</v>
      </c>
      <c r="H841" s="142">
        <f>B841*IBGE_2!H$841/100</f>
        <v>0.20800000000000002</v>
      </c>
      <c r="I841" s="142">
        <f>B841*IBGE_2!I$841/100</f>
        <v>0.13700000000000001</v>
      </c>
      <c r="J841" s="142">
        <f>B841*IBGE_2!J$841/100</f>
        <v>8.0000000000000002E-3</v>
      </c>
      <c r="K841" s="142">
        <f>B841*IBGE_2!K$841/100</f>
        <v>157</v>
      </c>
      <c r="L841" s="142">
        <f>B841*IBGE_2!L$841/100</f>
        <v>1.99</v>
      </c>
      <c r="M841" s="142" t="s">
        <v>3047</v>
      </c>
      <c r="N841" s="142">
        <f>B841*IBGE_2!N$841/100</f>
        <v>81</v>
      </c>
      <c r="O841" s="142">
        <f>B841*IBGE_2!O$841/100</f>
        <v>15</v>
      </c>
      <c r="P841" s="142">
        <f>B841*IBGE_2!P$841/100</f>
        <v>0.10299999999999999</v>
      </c>
      <c r="Q841" s="142">
        <f>B841*IBGE_2!Q$841/100</f>
        <v>66</v>
      </c>
      <c r="R841" s="142">
        <f>B841*IBGE_2!R$841/100</f>
        <v>0.66</v>
      </c>
      <c r="S841" s="142">
        <f>B841*IBGE_2!S$841/100</f>
        <v>68</v>
      </c>
      <c r="T841" s="142">
        <f>B841*IBGE_2!T$841/100</f>
        <v>42</v>
      </c>
      <c r="U841" s="142" t="s">
        <v>3047</v>
      </c>
      <c r="V841" s="142">
        <f>B841*IBGE_2!V$841/100</f>
        <v>1.71</v>
      </c>
      <c r="W841" s="142" t="s">
        <v>3047</v>
      </c>
      <c r="X841" s="142" t="s">
        <v>3047</v>
      </c>
      <c r="Y841" s="142">
        <f>B841*IBGE_2!Y$841/100</f>
        <v>2.5000000000000001E-2</v>
      </c>
      <c r="Z841" s="142" t="s">
        <v>3047</v>
      </c>
      <c r="AA841" s="142">
        <f>B841*IBGE_2!AA$841/100</f>
        <v>0.46100000000000002</v>
      </c>
      <c r="AB841" s="142" t="s">
        <v>3047</v>
      </c>
      <c r="AC841" s="142">
        <f>B841*IBGE_2!AC$841/100</f>
        <v>1.744</v>
      </c>
      <c r="AD841" s="142">
        <f>B841*IBGE_2!AD$841/100</f>
        <v>0.72</v>
      </c>
      <c r="AE841" s="142">
        <f>B841*IBGE_2!AE$841/100</f>
        <v>3</v>
      </c>
      <c r="AF841" s="142" t="s">
        <v>3047</v>
      </c>
      <c r="AG841" s="142">
        <f>B841*IBGE_2!AG$841/100</f>
        <v>0.14000000000000001</v>
      </c>
      <c r="AH841" s="142">
        <f>B841*IBGE_2!AH$841/100</f>
        <v>0.2</v>
      </c>
      <c r="AI841" s="142">
        <f>B841*IBGE_2!AI$841/100</f>
        <v>333</v>
      </c>
      <c r="AJ841" s="142">
        <f>B841*IBGE_2!AJ$841/100</f>
        <v>11.8</v>
      </c>
      <c r="AK841" s="142" t="s">
        <v>3047</v>
      </c>
      <c r="AL841" s="142" t="s">
        <v>3047</v>
      </c>
      <c r="AM841" s="142" t="s">
        <v>3047</v>
      </c>
      <c r="AN841" s="161"/>
    </row>
    <row r="842" spans="1:40">
      <c r="A842" s="143" t="s">
        <v>1902</v>
      </c>
      <c r="B842" s="141">
        <v>100</v>
      </c>
      <c r="C842" s="142">
        <f>B842*IBGE_2!C$842/100</f>
        <v>191</v>
      </c>
      <c r="D842" s="142">
        <f>B842*IBGE_2!D$842/100</f>
        <v>29.08</v>
      </c>
      <c r="E842" s="142">
        <f>B842*IBGE_2!E$842/100</f>
        <v>5.26</v>
      </c>
      <c r="F842" s="142">
        <f>B842*IBGE_2!F$842/100</f>
        <v>1.696</v>
      </c>
      <c r="G842" s="142">
        <f>B842*IBGE_2!G$842/100</f>
        <v>0.64700000000000002</v>
      </c>
      <c r="H842" s="142">
        <f>B842*IBGE_2!H$842/100</f>
        <v>0.63900000000000001</v>
      </c>
      <c r="I842" s="142" t="s">
        <v>3047</v>
      </c>
      <c r="J842" s="142" t="s">
        <v>3047</v>
      </c>
      <c r="K842" s="142">
        <f>B842*IBGE_2!K$842/100</f>
        <v>396</v>
      </c>
      <c r="L842" s="142">
        <f>B842*IBGE_2!L$842/100</f>
        <v>5.13</v>
      </c>
      <c r="M842" s="142" t="s">
        <v>3047</v>
      </c>
      <c r="N842" s="142">
        <f>B842*IBGE_2!N$842/100</f>
        <v>6</v>
      </c>
      <c r="O842" s="142">
        <f>B842*IBGE_2!O$842/100</f>
        <v>21</v>
      </c>
      <c r="P842" s="142">
        <f>B842*IBGE_2!P$842/100</f>
        <v>0.35600000000000004</v>
      </c>
      <c r="Q842" s="142">
        <f>B842*IBGE_2!Q$842/100</f>
        <v>497</v>
      </c>
      <c r="R842" s="142">
        <f>B842*IBGE_2!R$842/100</f>
        <v>6.54</v>
      </c>
      <c r="S842" s="142">
        <f>B842*IBGE_2!S$842/100</f>
        <v>79</v>
      </c>
      <c r="T842" s="142">
        <f>B842*IBGE_2!T$842/100</f>
        <v>352</v>
      </c>
      <c r="U842" s="142">
        <f>B842*IBGE_2!U$842/100</f>
        <v>14.282999999999999</v>
      </c>
      <c r="V842" s="142">
        <f>B842*IBGE_2!V$842/100</f>
        <v>5.3</v>
      </c>
      <c r="W842" s="142">
        <f>B842*IBGE_2!W$842/100</f>
        <v>9428</v>
      </c>
      <c r="X842" s="142">
        <f>B842*IBGE_2!X$842/100</f>
        <v>0.19400000000000003</v>
      </c>
      <c r="Y842" s="142">
        <f>B842*IBGE_2!Y$842/100</f>
        <v>3.4249999999999998</v>
      </c>
      <c r="Z842" s="142">
        <f>B842*IBGE_2!Z$842/100</f>
        <v>1.0169999999999999</v>
      </c>
      <c r="AA842" s="142">
        <f>B842*IBGE_2!AA$842/100</f>
        <v>17.524999999999999</v>
      </c>
      <c r="AB842" s="142">
        <f>B842*IBGE_2!AB$842/100</f>
        <v>1.9</v>
      </c>
      <c r="AC842" s="142">
        <f>B842*IBGE_2!AC$842/100</f>
        <v>23.658000000000001</v>
      </c>
      <c r="AD842" s="142">
        <f>B842*IBGE_2!AD$842/100</f>
        <v>70.58</v>
      </c>
      <c r="AE842" s="142">
        <f>B842*IBGE_2!AE$842/100</f>
        <v>253</v>
      </c>
      <c r="AF842" s="142">
        <f>B842*IBGE_2!AF$842/100</f>
        <v>0.4</v>
      </c>
      <c r="AG842" s="142">
        <f>B842*IBGE_2!AG$842/100</f>
        <v>0.51</v>
      </c>
      <c r="AH842" s="142">
        <f>B842*IBGE_2!AH$842/100</f>
        <v>0.21</v>
      </c>
      <c r="AI842" s="142">
        <f>B842*IBGE_2!AI$842/100</f>
        <v>333</v>
      </c>
      <c r="AJ842" s="142">
        <f>B842*IBGE_2!AJ$842/100</f>
        <v>36.1</v>
      </c>
      <c r="AK842" s="142">
        <f>B842*IBGE_2!AK$842/100</f>
        <v>9442.4169999999995</v>
      </c>
      <c r="AL842" s="142" t="s">
        <v>3047</v>
      </c>
      <c r="AM842" s="142" t="s">
        <v>3047</v>
      </c>
      <c r="AN842" s="161"/>
    </row>
    <row r="843" spans="1:40">
      <c r="A843" s="143" t="s">
        <v>1903</v>
      </c>
      <c r="B843" s="141">
        <v>100</v>
      </c>
      <c r="C843" s="142">
        <f>B843*IBGE_2!C$843/100</f>
        <v>191</v>
      </c>
      <c r="D843" s="142">
        <f>B843*IBGE_2!D$843/100</f>
        <v>29.08</v>
      </c>
      <c r="E843" s="142">
        <f>B843*IBGE_2!E$843/100</f>
        <v>5.26</v>
      </c>
      <c r="F843" s="142">
        <f>B843*IBGE_2!F$843/100</f>
        <v>1.696</v>
      </c>
      <c r="G843" s="142">
        <f>B843*IBGE_2!G$843/100</f>
        <v>0.64700000000000002</v>
      </c>
      <c r="H843" s="142">
        <f>B843*IBGE_2!H$843/100</f>
        <v>0.63900000000000001</v>
      </c>
      <c r="I843" s="142" t="s">
        <v>3047</v>
      </c>
      <c r="J843" s="142" t="s">
        <v>3047</v>
      </c>
      <c r="K843" s="142">
        <f>B843*IBGE_2!K$843/100</f>
        <v>396</v>
      </c>
      <c r="L843" s="142">
        <f>B843*IBGE_2!L$843/100</f>
        <v>5.13</v>
      </c>
      <c r="M843" s="142" t="s">
        <v>3047</v>
      </c>
      <c r="N843" s="142">
        <f>B843*IBGE_2!N$843/100</f>
        <v>6</v>
      </c>
      <c r="O843" s="142">
        <f>B843*IBGE_2!O$843/100</f>
        <v>21</v>
      </c>
      <c r="P843" s="142">
        <f>B843*IBGE_2!P$843/100</f>
        <v>0.35600000000000004</v>
      </c>
      <c r="Q843" s="142">
        <f>B843*IBGE_2!Q$843/100</f>
        <v>497</v>
      </c>
      <c r="R843" s="142">
        <f>B843*IBGE_2!R$843/100</f>
        <v>6.54</v>
      </c>
      <c r="S843" s="142">
        <f>B843*IBGE_2!S$843/100</f>
        <v>79</v>
      </c>
      <c r="T843" s="142">
        <f>B843*IBGE_2!T$843/100</f>
        <v>352</v>
      </c>
      <c r="U843" s="142">
        <f>B843*IBGE_2!U$843/100</f>
        <v>14.282999999999999</v>
      </c>
      <c r="V843" s="142">
        <f>B843*IBGE_2!V$843/100</f>
        <v>5.3</v>
      </c>
      <c r="W843" s="142">
        <f>B843*IBGE_2!W$843/100</f>
        <v>9428</v>
      </c>
      <c r="X843" s="142">
        <f>B843*IBGE_2!X$843/100</f>
        <v>0.19400000000000003</v>
      </c>
      <c r="Y843" s="142">
        <f>B843*IBGE_2!Y$843/100</f>
        <v>3.4249999999999998</v>
      </c>
      <c r="Z843" s="142">
        <f>B843*IBGE_2!Z$843/100</f>
        <v>1.0169999999999999</v>
      </c>
      <c r="AA843" s="142">
        <f>B843*IBGE_2!AA$843/100</f>
        <v>17.524999999999999</v>
      </c>
      <c r="AB843" s="142">
        <f>B843*IBGE_2!AB$843/100</f>
        <v>1.9</v>
      </c>
      <c r="AC843" s="142">
        <f>B843*IBGE_2!AC$843/100</f>
        <v>23.658000000000001</v>
      </c>
      <c r="AD843" s="142">
        <f>B843*IBGE_2!AD$843/100</f>
        <v>70.58</v>
      </c>
      <c r="AE843" s="142">
        <f>B843*IBGE_2!AE$843/100</f>
        <v>253</v>
      </c>
      <c r="AF843" s="142">
        <f>B843*IBGE_2!AF$843/100</f>
        <v>0.4</v>
      </c>
      <c r="AG843" s="142">
        <f>B843*IBGE_2!AG$843/100</f>
        <v>0.51</v>
      </c>
      <c r="AH843" s="142">
        <f>B843*IBGE_2!AH$843/100</f>
        <v>0.21</v>
      </c>
      <c r="AI843" s="142">
        <f>B843*IBGE_2!AI$843/100</f>
        <v>333</v>
      </c>
      <c r="AJ843" s="142">
        <f>B843*IBGE_2!AJ$843/100</f>
        <v>36.1</v>
      </c>
      <c r="AK843" s="142">
        <f>B843*IBGE_2!AK$843/100</f>
        <v>9442.4169999999995</v>
      </c>
      <c r="AL843" s="142" t="s">
        <v>3047</v>
      </c>
      <c r="AM843" s="142" t="s">
        <v>3047</v>
      </c>
      <c r="AN843" s="161"/>
    </row>
    <row r="844" spans="1:40">
      <c r="A844" s="143" t="s">
        <v>1904</v>
      </c>
      <c r="B844" s="141">
        <v>100</v>
      </c>
      <c r="C844" s="142">
        <f>B844*IBGE_2!C$844/100</f>
        <v>191</v>
      </c>
      <c r="D844" s="142">
        <f>B844*IBGE_2!D$844/100</f>
        <v>29.08</v>
      </c>
      <c r="E844" s="142">
        <f>B844*IBGE_2!E$844/100</f>
        <v>5.26</v>
      </c>
      <c r="F844" s="142">
        <f>B844*IBGE_2!F$844/100</f>
        <v>1.696</v>
      </c>
      <c r="G844" s="142">
        <f>B844*IBGE_2!G$844/100</f>
        <v>0.64700000000000002</v>
      </c>
      <c r="H844" s="142">
        <f>B844*IBGE_2!H$844/100</f>
        <v>0.63900000000000001</v>
      </c>
      <c r="I844" s="142" t="s">
        <v>3047</v>
      </c>
      <c r="J844" s="142" t="s">
        <v>3047</v>
      </c>
      <c r="K844" s="142">
        <f>B844*IBGE_2!K$844/100</f>
        <v>396</v>
      </c>
      <c r="L844" s="142">
        <f>B844*IBGE_2!L$844/100</f>
        <v>5.13</v>
      </c>
      <c r="M844" s="142" t="s">
        <v>3047</v>
      </c>
      <c r="N844" s="142">
        <f>B844*IBGE_2!N$844/100</f>
        <v>6</v>
      </c>
      <c r="O844" s="142">
        <f>B844*IBGE_2!O$844/100</f>
        <v>21</v>
      </c>
      <c r="P844" s="142">
        <f>B844*IBGE_2!P$844/100</f>
        <v>0.35600000000000004</v>
      </c>
      <c r="Q844" s="142">
        <f>B844*IBGE_2!Q$844/100</f>
        <v>497</v>
      </c>
      <c r="R844" s="142">
        <f>B844*IBGE_2!R$844/100</f>
        <v>6.54</v>
      </c>
      <c r="S844" s="142">
        <f>B844*IBGE_2!S$844/100</f>
        <v>79</v>
      </c>
      <c r="T844" s="142">
        <f>B844*IBGE_2!T$844/100</f>
        <v>352</v>
      </c>
      <c r="U844" s="142">
        <f>B844*IBGE_2!U$844/100</f>
        <v>14.282999999999999</v>
      </c>
      <c r="V844" s="142">
        <f>B844*IBGE_2!V$844/100</f>
        <v>5.3</v>
      </c>
      <c r="W844" s="142">
        <f>B844*IBGE_2!W$844/100</f>
        <v>9428</v>
      </c>
      <c r="X844" s="142">
        <f>B844*IBGE_2!X$844/100</f>
        <v>0.19400000000000003</v>
      </c>
      <c r="Y844" s="142">
        <f>B844*IBGE_2!Y$844/100</f>
        <v>3.4249999999999998</v>
      </c>
      <c r="Z844" s="142">
        <f>B844*IBGE_2!Z$844/100</f>
        <v>1.0169999999999999</v>
      </c>
      <c r="AA844" s="142">
        <f>B844*IBGE_2!AA$844/100</f>
        <v>17.524999999999999</v>
      </c>
      <c r="AB844" s="142">
        <f>B844*IBGE_2!AB$844/100</f>
        <v>1.9</v>
      </c>
      <c r="AC844" s="142">
        <f>B844*IBGE_2!AC$844/100</f>
        <v>23.658000000000001</v>
      </c>
      <c r="AD844" s="142">
        <f>B844*IBGE_2!AD$844/100</f>
        <v>70.58</v>
      </c>
      <c r="AE844" s="142">
        <f>B844*IBGE_2!AE$844/100</f>
        <v>253</v>
      </c>
      <c r="AF844" s="142">
        <f>B844*IBGE_2!AF$844/100</f>
        <v>0.4</v>
      </c>
      <c r="AG844" s="142">
        <f>B844*IBGE_2!AG$844/100</f>
        <v>0.51</v>
      </c>
      <c r="AH844" s="142">
        <f>B844*IBGE_2!AH$844/100</f>
        <v>0.21</v>
      </c>
      <c r="AI844" s="142">
        <f>B844*IBGE_2!AI$844/100</f>
        <v>333</v>
      </c>
      <c r="AJ844" s="142">
        <f>B844*IBGE_2!AJ$844/100</f>
        <v>36.1</v>
      </c>
      <c r="AK844" s="142">
        <f>B844*IBGE_2!AK$844/100</f>
        <v>9442.4169999999995</v>
      </c>
      <c r="AL844" s="142" t="s">
        <v>3047</v>
      </c>
      <c r="AM844" s="142" t="s">
        <v>3047</v>
      </c>
      <c r="AN844" s="161"/>
    </row>
    <row r="845" spans="1:40">
      <c r="A845" s="143" t="s">
        <v>1905</v>
      </c>
      <c r="B845" s="141">
        <v>100</v>
      </c>
      <c r="C845" s="142">
        <f>B845*IBGE_2!C$845/100</f>
        <v>191</v>
      </c>
      <c r="D845" s="142">
        <f>B845*IBGE_2!D$845/100</f>
        <v>29.08</v>
      </c>
      <c r="E845" s="142">
        <f>B845*IBGE_2!E$845/100</f>
        <v>5.26</v>
      </c>
      <c r="F845" s="142">
        <f>B845*IBGE_2!F$845/100</f>
        <v>1.696</v>
      </c>
      <c r="G845" s="142">
        <f>B845*IBGE_2!G$845/100</f>
        <v>0.64700000000000002</v>
      </c>
      <c r="H845" s="142">
        <f>B845*IBGE_2!H$845/100</f>
        <v>0.63900000000000001</v>
      </c>
      <c r="I845" s="142" t="s">
        <v>3047</v>
      </c>
      <c r="J845" s="142" t="s">
        <v>3047</v>
      </c>
      <c r="K845" s="142">
        <f>B845*IBGE_2!K$845/100</f>
        <v>396</v>
      </c>
      <c r="L845" s="142">
        <f>B845*IBGE_2!L$845/100</f>
        <v>5.13</v>
      </c>
      <c r="M845" s="142" t="s">
        <v>3047</v>
      </c>
      <c r="N845" s="142">
        <f>B845*IBGE_2!N$845/100</f>
        <v>6</v>
      </c>
      <c r="O845" s="142">
        <f>B845*IBGE_2!O$845/100</f>
        <v>21</v>
      </c>
      <c r="P845" s="142">
        <f>B845*IBGE_2!P$845/100</f>
        <v>0.35600000000000004</v>
      </c>
      <c r="Q845" s="142">
        <f>B845*IBGE_2!Q$845/100</f>
        <v>497</v>
      </c>
      <c r="R845" s="142">
        <f>B845*IBGE_2!R$845/100</f>
        <v>6.54</v>
      </c>
      <c r="S845" s="142">
        <f>B845*IBGE_2!S$845/100</f>
        <v>79</v>
      </c>
      <c r="T845" s="142">
        <f>B845*IBGE_2!T$845/100</f>
        <v>352</v>
      </c>
      <c r="U845" s="142">
        <f>B845*IBGE_2!U$845/100</f>
        <v>14.282999999999999</v>
      </c>
      <c r="V845" s="142">
        <f>B845*IBGE_2!V$845/100</f>
        <v>5.3</v>
      </c>
      <c r="W845" s="142">
        <f>B845*IBGE_2!W$845/100</f>
        <v>9428</v>
      </c>
      <c r="X845" s="142">
        <f>B845*IBGE_2!X$845/100</f>
        <v>0.19400000000000003</v>
      </c>
      <c r="Y845" s="142">
        <f>B845*IBGE_2!Y$845/100</f>
        <v>3.4249999999999998</v>
      </c>
      <c r="Z845" s="142">
        <f>B845*IBGE_2!Z$845/100</f>
        <v>1.0169999999999999</v>
      </c>
      <c r="AA845" s="142">
        <f>B845*IBGE_2!AA$845/100</f>
        <v>17.524999999999999</v>
      </c>
      <c r="AB845" s="142">
        <f>B845*IBGE_2!AB$845/100</f>
        <v>1.9</v>
      </c>
      <c r="AC845" s="142">
        <f>B845*IBGE_2!AC$845/100</f>
        <v>23.658000000000001</v>
      </c>
      <c r="AD845" s="142">
        <f>B845*IBGE_2!AD$845/100</f>
        <v>70.58</v>
      </c>
      <c r="AE845" s="142">
        <f>B845*IBGE_2!AE$845/100</f>
        <v>253</v>
      </c>
      <c r="AF845" s="142">
        <f>B845*IBGE_2!AF$845/100</f>
        <v>0.4</v>
      </c>
      <c r="AG845" s="142">
        <f>B845*IBGE_2!AG$845/100</f>
        <v>0.51</v>
      </c>
      <c r="AH845" s="142">
        <f>B845*IBGE_2!AH$845/100</f>
        <v>0.21</v>
      </c>
      <c r="AI845" s="142">
        <f>B845*IBGE_2!AI$845/100</f>
        <v>333</v>
      </c>
      <c r="AJ845" s="142">
        <f>B845*IBGE_2!AJ$845/100</f>
        <v>36.1</v>
      </c>
      <c r="AK845" s="142">
        <f>B845*IBGE_2!AK$845/100</f>
        <v>9442.4169999999995</v>
      </c>
      <c r="AL845" s="142" t="s">
        <v>3047</v>
      </c>
      <c r="AM845" s="142" t="s">
        <v>3047</v>
      </c>
      <c r="AN845" s="161"/>
    </row>
    <row r="846" spans="1:40">
      <c r="A846" s="143" t="s">
        <v>1906</v>
      </c>
      <c r="B846" s="141">
        <v>100</v>
      </c>
      <c r="C846" s="142">
        <f>B846*IBGE_2!C$846/100</f>
        <v>213.65899999999999</v>
      </c>
      <c r="D846" s="142">
        <f>B846*IBGE_2!D$846/100</f>
        <v>29.08</v>
      </c>
      <c r="E846" s="142">
        <f>B846*IBGE_2!E$846/100</f>
        <v>7.8230000000000004</v>
      </c>
      <c r="F846" s="142">
        <f>B846*IBGE_2!F$846/100</f>
        <v>2.097</v>
      </c>
      <c r="G846" s="142">
        <f>B846*IBGE_2!G$846/100</f>
        <v>1.2310000000000001</v>
      </c>
      <c r="H846" s="142">
        <f>B846*IBGE_2!H$846/100</f>
        <v>2.1190000000000002</v>
      </c>
      <c r="I846" s="142">
        <f>B846*IBGE_2!I$846/100</f>
        <v>1.306</v>
      </c>
      <c r="J846" s="142">
        <f>B846*IBGE_2!J$846/100</f>
        <v>0.17399999999999999</v>
      </c>
      <c r="K846" s="142">
        <f>B846*IBGE_2!K$846/100</f>
        <v>396</v>
      </c>
      <c r="L846" s="142">
        <f>B846*IBGE_2!L$846/100</f>
        <v>5.13</v>
      </c>
      <c r="M846" s="142" t="s">
        <v>3047</v>
      </c>
      <c r="N846" s="142">
        <f>B846*IBGE_2!N$846/100</f>
        <v>6</v>
      </c>
      <c r="O846" s="142">
        <f>B846*IBGE_2!O$846/100</f>
        <v>21</v>
      </c>
      <c r="P846" s="142">
        <f>B846*IBGE_2!P$846/100</f>
        <v>0.35600000000000004</v>
      </c>
      <c r="Q846" s="142">
        <f>B846*IBGE_2!Q$846/100</f>
        <v>497</v>
      </c>
      <c r="R846" s="142">
        <f>B846*IBGE_2!R$846/100</f>
        <v>6.5410000000000004</v>
      </c>
      <c r="S846" s="142">
        <f>B846*IBGE_2!S$846/100</f>
        <v>79</v>
      </c>
      <c r="T846" s="142">
        <f>B846*IBGE_2!T$846/100</f>
        <v>352</v>
      </c>
      <c r="U846" s="142">
        <f>B846*IBGE_2!U$846/100</f>
        <v>14.282999999999999</v>
      </c>
      <c r="V846" s="142">
        <f>B846*IBGE_2!V$846/100</f>
        <v>5.3</v>
      </c>
      <c r="W846" s="142">
        <f>B846*IBGE_2!W$846/100</f>
        <v>9428</v>
      </c>
      <c r="X846" s="142">
        <f>B846*IBGE_2!X$846/100</f>
        <v>0.19400000000000003</v>
      </c>
      <c r="Y846" s="142">
        <f>B846*IBGE_2!Y$846/100</f>
        <v>3.4249999999999998</v>
      </c>
      <c r="Z846" s="142">
        <f>B846*IBGE_2!Z$846/100</f>
        <v>1.0169999999999999</v>
      </c>
      <c r="AA846" s="142">
        <f>B846*IBGE_2!AA$846/100</f>
        <v>17.524999999999999</v>
      </c>
      <c r="AB846" s="142">
        <f>B846*IBGE_2!AB$846/100</f>
        <v>1.9</v>
      </c>
      <c r="AC846" s="142">
        <f>B846*IBGE_2!AC$846/100</f>
        <v>23.658000000000001</v>
      </c>
      <c r="AD846" s="142">
        <f>B846*IBGE_2!AD$846/100</f>
        <v>70.58</v>
      </c>
      <c r="AE846" s="142">
        <f>B846*IBGE_2!AE$846/100</f>
        <v>253</v>
      </c>
      <c r="AF846" s="142">
        <f>B846*IBGE_2!AF$846/100</f>
        <v>0.4</v>
      </c>
      <c r="AG846" s="142">
        <f>B846*IBGE_2!AG$846/100</f>
        <v>0.72</v>
      </c>
      <c r="AH846" s="142">
        <f>B846*IBGE_2!AH$846/100</f>
        <v>0.22400000000000003</v>
      </c>
      <c r="AI846" s="142">
        <f>B846*IBGE_2!AI$846/100</f>
        <v>333</v>
      </c>
      <c r="AJ846" s="142">
        <f>B846*IBGE_2!AJ$846/100</f>
        <v>37.274999999999999</v>
      </c>
      <c r="AK846" s="142">
        <f>B846*IBGE_2!AK$846/100</f>
        <v>9442.4169999999995</v>
      </c>
      <c r="AL846" s="142" t="s">
        <v>3047</v>
      </c>
      <c r="AM846" s="142" t="s">
        <v>3047</v>
      </c>
      <c r="AN846" s="161"/>
    </row>
    <row r="847" spans="1:40">
      <c r="A847" s="143" t="s">
        <v>1907</v>
      </c>
      <c r="B847" s="141">
        <v>100</v>
      </c>
      <c r="C847" s="142">
        <f>B847*IBGE_2!C$847/100</f>
        <v>229.83699999999996</v>
      </c>
      <c r="D847" s="142">
        <f>B847*IBGE_2!D$847/100</f>
        <v>29.539000000000001</v>
      </c>
      <c r="E847" s="142">
        <f>B847*IBGE_2!E$847/100</f>
        <v>7.8670000000000009</v>
      </c>
      <c r="F847" s="142">
        <f>B847*IBGE_2!F$847/100</f>
        <v>2.1040000000000001</v>
      </c>
      <c r="G847" s="142">
        <f>B847*IBGE_2!G$847/100</f>
        <v>1.2350000000000001</v>
      </c>
      <c r="H847" s="142">
        <f>B847*IBGE_2!H$847/100</f>
        <v>2.137</v>
      </c>
      <c r="I847" s="142">
        <f>B847*IBGE_2!I$847/100</f>
        <v>1.3229999999999997</v>
      </c>
      <c r="J847" s="142">
        <f>B847*IBGE_2!J$847/100</f>
        <v>0.17499999999999999</v>
      </c>
      <c r="K847" s="142">
        <f>B847*IBGE_2!K$847/100</f>
        <v>396</v>
      </c>
      <c r="L847" s="142">
        <f>B847*IBGE_2!L$847/100</f>
        <v>8.5220000000000002</v>
      </c>
      <c r="M847" s="142">
        <f>B847*IBGE_2!M$847/100</f>
        <v>0.13500000000000001</v>
      </c>
      <c r="N847" s="142">
        <f>B847*IBGE_2!N$847/100</f>
        <v>6.6669999999999989</v>
      </c>
      <c r="O847" s="142">
        <f>B847*IBGE_2!O$847/100</f>
        <v>21.978000000000002</v>
      </c>
      <c r="P847" s="142">
        <f>B847*IBGE_2!P$847/100</f>
        <v>0.38600000000000001</v>
      </c>
      <c r="Q847" s="142">
        <f>B847*IBGE_2!Q$847/100</f>
        <v>501.8</v>
      </c>
      <c r="R847" s="142">
        <f>B847*IBGE_2!R$847/100</f>
        <v>6.7480000000000011</v>
      </c>
      <c r="S847" s="142">
        <f>B847*IBGE_2!S$847/100</f>
        <v>79.088999999999999</v>
      </c>
      <c r="T847" s="142">
        <f>B847*IBGE_2!T$847/100</f>
        <v>356.75599999999997</v>
      </c>
      <c r="U847" s="142">
        <f>B847*IBGE_2!U$847/100</f>
        <v>14.288999999999998</v>
      </c>
      <c r="V847" s="142">
        <f>B847*IBGE_2!V$847/100</f>
        <v>5.3310000000000004</v>
      </c>
      <c r="W847" s="142">
        <f>B847*IBGE_2!W$847/100</f>
        <v>9428</v>
      </c>
      <c r="X847" s="142">
        <f>B847*IBGE_2!X$847/100</f>
        <v>0.22900000000000001</v>
      </c>
      <c r="Y847" s="142">
        <f>B847*IBGE_2!Y$847/100</f>
        <v>3.4470000000000001</v>
      </c>
      <c r="Z847" s="142">
        <f>B847*IBGE_2!Z$847/100</f>
        <v>1.0189999999999999</v>
      </c>
      <c r="AA847" s="142">
        <f>B847*IBGE_2!AA$847/100</f>
        <v>17.786999999999999</v>
      </c>
      <c r="AB847" s="142">
        <f>B847*IBGE_2!AB$847/100</f>
        <v>1.9</v>
      </c>
      <c r="AC847" s="142">
        <f>B847*IBGE_2!AC$847/100</f>
        <v>24.015000000000001</v>
      </c>
      <c r="AD847" s="142">
        <f>B847*IBGE_2!AD$847/100</f>
        <v>70.58</v>
      </c>
      <c r="AE847" s="142">
        <f>B847*IBGE_2!AE$847/100</f>
        <v>262.06700000000001</v>
      </c>
      <c r="AF847" s="142">
        <f>B847*IBGE_2!AF$847/100</f>
        <v>0.4</v>
      </c>
      <c r="AG847" s="142">
        <f>B847*IBGE_2!AG$847/100</f>
        <v>0.72199999999999998</v>
      </c>
      <c r="AH847" s="142">
        <f>B847*IBGE_2!AH$847/100</f>
        <v>0.22400000000000003</v>
      </c>
      <c r="AI847" s="142">
        <f>B847*IBGE_2!AI$847/100</f>
        <v>333</v>
      </c>
      <c r="AJ847" s="142">
        <f>B847*IBGE_2!AJ$847/100</f>
        <v>38.780999999999999</v>
      </c>
      <c r="AK847" s="142">
        <f>B847*IBGE_2!AK$847/100</f>
        <v>9442.4169999999995</v>
      </c>
      <c r="AL847" s="142">
        <f>B847*IBGE_2!AL$847/100</f>
        <v>1.4000000000000002E-2</v>
      </c>
      <c r="AM847" s="142" t="s">
        <v>3047</v>
      </c>
      <c r="AN847" s="161"/>
    </row>
    <row r="848" spans="1:40">
      <c r="A848" s="143" t="s">
        <v>1908</v>
      </c>
      <c r="B848" s="141">
        <v>100</v>
      </c>
      <c r="C848" s="142">
        <f>B848*IBGE_2!C$848/100</f>
        <v>213.65899999999999</v>
      </c>
      <c r="D848" s="142">
        <f>B848*IBGE_2!D$848/100</f>
        <v>29.08</v>
      </c>
      <c r="E848" s="142">
        <f>B848*IBGE_2!E$848/100</f>
        <v>7.8230000000000004</v>
      </c>
      <c r="F848" s="142">
        <f>B848*IBGE_2!F$848/100</f>
        <v>2.097</v>
      </c>
      <c r="G848" s="142">
        <f>B848*IBGE_2!G$848/100</f>
        <v>1.2310000000000001</v>
      </c>
      <c r="H848" s="142">
        <f>B848*IBGE_2!H$848/100</f>
        <v>2.1190000000000002</v>
      </c>
      <c r="I848" s="142">
        <f>B848*IBGE_2!I$848/100</f>
        <v>1.306</v>
      </c>
      <c r="J848" s="142">
        <f>B848*IBGE_2!J$848/100</f>
        <v>0.17399999999999999</v>
      </c>
      <c r="K848" s="142">
        <f>B848*IBGE_2!K$848/100</f>
        <v>396</v>
      </c>
      <c r="L848" s="142">
        <f>B848*IBGE_2!L$848/100</f>
        <v>5.13</v>
      </c>
      <c r="M848" s="142" t="s">
        <v>3047</v>
      </c>
      <c r="N848" s="142">
        <f>B848*IBGE_2!N$848/100</f>
        <v>6</v>
      </c>
      <c r="O848" s="142">
        <f>B848*IBGE_2!O$848/100</f>
        <v>21</v>
      </c>
      <c r="P848" s="142">
        <f>B848*IBGE_2!P$848/100</f>
        <v>0.35600000000000004</v>
      </c>
      <c r="Q848" s="142">
        <f>B848*IBGE_2!Q$848/100</f>
        <v>497</v>
      </c>
      <c r="R848" s="142">
        <f>B848*IBGE_2!R$848/100</f>
        <v>6.5410000000000004</v>
      </c>
      <c r="S848" s="142">
        <f>B848*IBGE_2!S$848/100</f>
        <v>79</v>
      </c>
      <c r="T848" s="142">
        <f>B848*IBGE_2!T$848/100</f>
        <v>352</v>
      </c>
      <c r="U848" s="142">
        <f>B848*IBGE_2!U$848/100</f>
        <v>14.282999999999999</v>
      </c>
      <c r="V848" s="142">
        <f>B848*IBGE_2!V$848/100</f>
        <v>5.3</v>
      </c>
      <c r="W848" s="142">
        <f>B848*IBGE_2!W$848/100</f>
        <v>9428</v>
      </c>
      <c r="X848" s="142">
        <f>B848*IBGE_2!X$848/100</f>
        <v>0.19400000000000003</v>
      </c>
      <c r="Y848" s="142">
        <f>B848*IBGE_2!Y$848/100</f>
        <v>3.4249999999999998</v>
      </c>
      <c r="Z848" s="142">
        <f>B848*IBGE_2!Z$848/100</f>
        <v>1.0169999999999999</v>
      </c>
      <c r="AA848" s="142">
        <f>B848*IBGE_2!AA$848/100</f>
        <v>17.524999999999999</v>
      </c>
      <c r="AB848" s="142">
        <f>B848*IBGE_2!AB$848/100</f>
        <v>1.9</v>
      </c>
      <c r="AC848" s="142">
        <f>B848*IBGE_2!AC$848/100</f>
        <v>23.658000000000001</v>
      </c>
      <c r="AD848" s="142">
        <f>B848*IBGE_2!AD$848/100</f>
        <v>70.58</v>
      </c>
      <c r="AE848" s="142">
        <f>B848*IBGE_2!AE$848/100</f>
        <v>253</v>
      </c>
      <c r="AF848" s="142">
        <f>B848*IBGE_2!AF$848/100</f>
        <v>0.4</v>
      </c>
      <c r="AG848" s="142">
        <f>B848*IBGE_2!AG$848/100</f>
        <v>0.72</v>
      </c>
      <c r="AH848" s="142">
        <f>B848*IBGE_2!AH$848/100</f>
        <v>0.22400000000000003</v>
      </c>
      <c r="AI848" s="142">
        <f>B848*IBGE_2!AI$848/100</f>
        <v>333</v>
      </c>
      <c r="AJ848" s="142">
        <f>B848*IBGE_2!AJ$848/100</f>
        <v>37.274999999999999</v>
      </c>
      <c r="AK848" s="142">
        <f>B848*IBGE_2!AK$848/100</f>
        <v>9442.4169999999995</v>
      </c>
      <c r="AL848" s="145" t="s">
        <v>3047</v>
      </c>
      <c r="AM848" s="142" t="s">
        <v>3047</v>
      </c>
      <c r="AN848" s="161"/>
    </row>
    <row r="849" spans="1:40">
      <c r="A849" s="143" t="s">
        <v>1909</v>
      </c>
      <c r="B849" s="141">
        <v>100</v>
      </c>
      <c r="C849" s="142">
        <f>B849*IBGE_2!C$849/100</f>
        <v>157.6</v>
      </c>
      <c r="D849" s="142">
        <f>B849*IBGE_2!D$849/100</f>
        <v>23.527999999999999</v>
      </c>
      <c r="E849" s="142">
        <f>B849*IBGE_2!E$849/100</f>
        <v>4.2439999999999998</v>
      </c>
      <c r="F849" s="142">
        <f>B849*IBGE_2!F$849/100</f>
        <v>1.3620000000000001</v>
      </c>
      <c r="G849" s="142">
        <f>B849*IBGE_2!G$849/100</f>
        <v>0.52300000000000002</v>
      </c>
      <c r="H849" s="142">
        <f>B849*IBGE_2!H$849/100</f>
        <v>0.52600000000000002</v>
      </c>
      <c r="I849" s="142">
        <f>B849*IBGE_2!I$849/100</f>
        <v>1.4000000000000002E-2</v>
      </c>
      <c r="J849" s="142">
        <f>B849*IBGE_2!J$849/100</f>
        <v>1E-3</v>
      </c>
      <c r="K849" s="142">
        <f>B849*IBGE_2!K$849/100</f>
        <v>316.8</v>
      </c>
      <c r="L849" s="142">
        <f>B849*IBGE_2!L$849/100</f>
        <v>5.18</v>
      </c>
      <c r="M849" s="142">
        <f>B849*IBGE_2!M$849/100</f>
        <v>0.3</v>
      </c>
      <c r="N849" s="142">
        <f>B849*IBGE_2!N$849/100</f>
        <v>7.4</v>
      </c>
      <c r="O849" s="142">
        <f>B849*IBGE_2!O$849/100</f>
        <v>20</v>
      </c>
      <c r="P849" s="142">
        <f>B849*IBGE_2!P$849/100</f>
        <v>0.30599999999999999</v>
      </c>
      <c r="Q849" s="142">
        <f>B849*IBGE_2!Q$849/100</f>
        <v>402.8</v>
      </c>
      <c r="R849" s="142">
        <f>B849*IBGE_2!R$849/100</f>
        <v>5.4359999999999999</v>
      </c>
      <c r="S849" s="142">
        <f>B849*IBGE_2!S$849/100</f>
        <v>168</v>
      </c>
      <c r="T849" s="142">
        <f>B849*IBGE_2!T$849/100</f>
        <v>347.8</v>
      </c>
      <c r="U849" s="142">
        <f>B849*IBGE_2!U$849/100</f>
        <v>11.45</v>
      </c>
      <c r="V849" s="142">
        <f>B849*IBGE_2!V$849/100</f>
        <v>4.28</v>
      </c>
      <c r="W849" s="142">
        <f>B849*IBGE_2!W$849/100</f>
        <v>7542.4</v>
      </c>
      <c r="X849" s="142">
        <f>B849*IBGE_2!X$849/100</f>
        <v>0.16</v>
      </c>
      <c r="Y849" s="142">
        <f>B849*IBGE_2!Y$849/100</f>
        <v>2.7530000000000001</v>
      </c>
      <c r="Z849" s="142">
        <f>B849*IBGE_2!Z$849/100</f>
        <v>0.83299999999999996</v>
      </c>
      <c r="AA849" s="142">
        <f>B849*IBGE_2!AA$849/100</f>
        <v>14.215</v>
      </c>
      <c r="AB849" s="142">
        <f>B849*IBGE_2!AB$849/100</f>
        <v>2.92</v>
      </c>
      <c r="AC849" s="142">
        <f>B849*IBGE_2!AC$849/100</f>
        <v>19.155000000000001</v>
      </c>
      <c r="AD849" s="142">
        <f>B849*IBGE_2!AD$849/100</f>
        <v>56.463999999999999</v>
      </c>
      <c r="AE849" s="142">
        <f>B849*IBGE_2!AE$849/100</f>
        <v>204.6</v>
      </c>
      <c r="AF849" s="142">
        <f>B849*IBGE_2!AF$849/100</f>
        <v>0.32</v>
      </c>
      <c r="AG849" s="142">
        <f>B849*IBGE_2!AG$849/100</f>
        <v>0.69199999999999984</v>
      </c>
      <c r="AH849" s="142">
        <f>B849*IBGE_2!AH$849/100</f>
        <v>0.16800000000000001</v>
      </c>
      <c r="AI849" s="142">
        <f>B849*IBGE_2!AI$849/100</f>
        <v>333</v>
      </c>
      <c r="AJ849" s="142">
        <f>B849*IBGE_2!AJ$849/100</f>
        <v>28.92</v>
      </c>
      <c r="AK849" s="142">
        <f>B849*IBGE_2!AK$849/100</f>
        <v>7557.4170000000004</v>
      </c>
      <c r="AL849" s="142">
        <f>B849*IBGE_2!AL$849/100</f>
        <v>0.85</v>
      </c>
      <c r="AM849" s="142" t="s">
        <v>3047</v>
      </c>
      <c r="AN849" s="161"/>
    </row>
    <row r="850" spans="1:40">
      <c r="A850" s="143" t="s">
        <v>1910</v>
      </c>
      <c r="B850" s="141">
        <v>100</v>
      </c>
      <c r="C850" s="142">
        <f>B850*IBGE_2!C$850/100</f>
        <v>213.65899999999999</v>
      </c>
      <c r="D850" s="142">
        <f>B850*IBGE_2!D$850/100</f>
        <v>29.08</v>
      </c>
      <c r="E850" s="142">
        <f>B850*IBGE_2!E$850/100</f>
        <v>7.8230000000000004</v>
      </c>
      <c r="F850" s="142">
        <f>B850*IBGE_2!F$850/100</f>
        <v>2.097</v>
      </c>
      <c r="G850" s="142">
        <f>B850*IBGE_2!G$850/100</f>
        <v>1.2310000000000001</v>
      </c>
      <c r="H850" s="142">
        <f>B850*IBGE_2!H$850/100</f>
        <v>2.1190000000000002</v>
      </c>
      <c r="I850" s="142">
        <f>B850*IBGE_2!I$850/100</f>
        <v>1.306</v>
      </c>
      <c r="J850" s="142">
        <f>B850*IBGE_2!J$850/100</f>
        <v>0.17399999999999999</v>
      </c>
      <c r="K850" s="142">
        <f>B850*IBGE_2!K$850/100</f>
        <v>396</v>
      </c>
      <c r="L850" s="142">
        <f>B850*IBGE_2!L$850/100</f>
        <v>5.13</v>
      </c>
      <c r="M850" s="142" t="s">
        <v>3047</v>
      </c>
      <c r="N850" s="142">
        <f>B850*IBGE_2!N$850/100</f>
        <v>6</v>
      </c>
      <c r="O850" s="142">
        <f>B850*IBGE_2!O$850/100</f>
        <v>21</v>
      </c>
      <c r="P850" s="142">
        <f>B850*IBGE_2!P$850/100</f>
        <v>0.35600000000000004</v>
      </c>
      <c r="Q850" s="142">
        <f>B850*IBGE_2!Q$850/100</f>
        <v>497</v>
      </c>
      <c r="R850" s="142">
        <f>B850*IBGE_2!R$850/100</f>
        <v>6.5410000000000004</v>
      </c>
      <c r="S850" s="142">
        <f>B850*IBGE_2!S$850/100</f>
        <v>79</v>
      </c>
      <c r="T850" s="142">
        <f>B850*IBGE_2!T$850/100</f>
        <v>352</v>
      </c>
      <c r="U850" s="142">
        <f>B850*IBGE_2!U$850/100</f>
        <v>14.282999999999999</v>
      </c>
      <c r="V850" s="142">
        <f>B850*IBGE_2!V$850/100</f>
        <v>5.3</v>
      </c>
      <c r="W850" s="142">
        <f>B850*IBGE_2!W$850/100</f>
        <v>9428</v>
      </c>
      <c r="X850" s="142">
        <f>B850*IBGE_2!X$850/100</f>
        <v>0.19400000000000003</v>
      </c>
      <c r="Y850" s="142">
        <f>B850*IBGE_2!Y$850/100</f>
        <v>3.4249999999999998</v>
      </c>
      <c r="Z850" s="142">
        <f>B850*IBGE_2!Z$850/100</f>
        <v>1.0169999999999999</v>
      </c>
      <c r="AA850" s="142">
        <f>B850*IBGE_2!AA$850/100</f>
        <v>17.524999999999999</v>
      </c>
      <c r="AB850" s="142">
        <f>B850*IBGE_2!AB$850/100</f>
        <v>1.9</v>
      </c>
      <c r="AC850" s="142">
        <f>B850*IBGE_2!AC$850/100</f>
        <v>23.658000000000001</v>
      </c>
      <c r="AD850" s="142">
        <f>B850*IBGE_2!AD$850/100</f>
        <v>70.58</v>
      </c>
      <c r="AE850" s="142">
        <f>B850*IBGE_2!AE$850/100</f>
        <v>253</v>
      </c>
      <c r="AF850" s="142">
        <f>B850*IBGE_2!AF$850/100</f>
        <v>0.4</v>
      </c>
      <c r="AG850" s="142">
        <f>B850*IBGE_2!AG$850/100</f>
        <v>0.72</v>
      </c>
      <c r="AH850" s="142">
        <f>B850*IBGE_2!AH$850/100</f>
        <v>0.22400000000000003</v>
      </c>
      <c r="AI850" s="142">
        <f>B850*IBGE_2!AI$850/100</f>
        <v>333</v>
      </c>
      <c r="AJ850" s="142">
        <f>B850*IBGE_2!AJ$850/100</f>
        <v>37.274999999999999</v>
      </c>
      <c r="AK850" s="142">
        <f>B850*IBGE_2!AK$850/100</f>
        <v>9442.4169999999995</v>
      </c>
      <c r="AL850" s="142" t="s">
        <v>3047</v>
      </c>
      <c r="AM850" s="142" t="s">
        <v>3047</v>
      </c>
      <c r="AN850" s="161"/>
    </row>
    <row r="851" spans="1:40">
      <c r="A851" s="143" t="s">
        <v>1911</v>
      </c>
      <c r="B851" s="141">
        <v>100</v>
      </c>
      <c r="C851" s="142">
        <f>B851*IBGE_2!C$851/100</f>
        <v>213.65899999999999</v>
      </c>
      <c r="D851" s="142">
        <f>B851*IBGE_2!D$851/100</f>
        <v>29.08</v>
      </c>
      <c r="E851" s="142">
        <f>B851*IBGE_2!E$851/100</f>
        <v>7.8230000000000004</v>
      </c>
      <c r="F851" s="142">
        <f>B851*IBGE_2!F$851/100</f>
        <v>2.097</v>
      </c>
      <c r="G851" s="142">
        <f>B851*IBGE_2!G$851/100</f>
        <v>1.2310000000000001</v>
      </c>
      <c r="H851" s="142">
        <f>B851*IBGE_2!H$851/100</f>
        <v>2.1190000000000002</v>
      </c>
      <c r="I851" s="142">
        <f>B851*IBGE_2!I$851/100</f>
        <v>1.306</v>
      </c>
      <c r="J851" s="142">
        <f>B851*IBGE_2!J$851/100</f>
        <v>0.17399999999999999</v>
      </c>
      <c r="K851" s="142">
        <f>B851*IBGE_2!K$851/100</f>
        <v>396</v>
      </c>
      <c r="L851" s="142">
        <f>B851*IBGE_2!L$851/100</f>
        <v>5.13</v>
      </c>
      <c r="M851" s="142" t="s">
        <v>3047</v>
      </c>
      <c r="N851" s="142">
        <f>B851*IBGE_2!N$851/100</f>
        <v>6</v>
      </c>
      <c r="O851" s="142">
        <f>B851*IBGE_2!O$851/100</f>
        <v>21</v>
      </c>
      <c r="P851" s="142">
        <f>B851*IBGE_2!P$851/100</f>
        <v>0.35600000000000004</v>
      </c>
      <c r="Q851" s="142">
        <f>B851*IBGE_2!Q$851/100</f>
        <v>497</v>
      </c>
      <c r="R851" s="142">
        <f>B851*IBGE_2!R$851/100</f>
        <v>6.5410000000000004</v>
      </c>
      <c r="S851" s="142">
        <f>B851*IBGE_2!S$851/100</f>
        <v>79</v>
      </c>
      <c r="T851" s="142">
        <f>B851*IBGE_2!T$851/100</f>
        <v>352</v>
      </c>
      <c r="U851" s="142">
        <f>B851*IBGE_2!U$851/100</f>
        <v>14.282999999999999</v>
      </c>
      <c r="V851" s="142">
        <f>B851*IBGE_2!V$851/100</f>
        <v>5.3</v>
      </c>
      <c r="W851" s="142">
        <f>B851*IBGE_2!W$851/100</f>
        <v>9428</v>
      </c>
      <c r="X851" s="142">
        <f>B851*IBGE_2!X$851/100</f>
        <v>0.19400000000000003</v>
      </c>
      <c r="Y851" s="142">
        <f>B851*IBGE_2!Y$851/100</f>
        <v>3.4249999999999998</v>
      </c>
      <c r="Z851" s="142">
        <f>B851*IBGE_2!Z$851/100</f>
        <v>1.0169999999999999</v>
      </c>
      <c r="AA851" s="142">
        <f>B851*IBGE_2!AA$851/100</f>
        <v>17.524999999999999</v>
      </c>
      <c r="AB851" s="142">
        <f>B851*IBGE_2!AB$851/100</f>
        <v>1.9</v>
      </c>
      <c r="AC851" s="142">
        <f>B851*IBGE_2!AC$851/100</f>
        <v>23.658000000000001</v>
      </c>
      <c r="AD851" s="142">
        <f>B851*IBGE_2!AD$851/100</f>
        <v>70.58</v>
      </c>
      <c r="AE851" s="142">
        <f>B851*IBGE_2!AE$851/100</f>
        <v>253</v>
      </c>
      <c r="AF851" s="142">
        <f>B851*IBGE_2!AF$851/100</f>
        <v>0.4</v>
      </c>
      <c r="AG851" s="142">
        <f>B851*IBGE_2!AG$851/100</f>
        <v>0.72</v>
      </c>
      <c r="AH851" s="142">
        <f>B851*IBGE_2!AH$851/100</f>
        <v>0.22400000000000003</v>
      </c>
      <c r="AI851" s="142">
        <f>B851*IBGE_2!AI$851/100</f>
        <v>333</v>
      </c>
      <c r="AJ851" s="142">
        <f>B851*IBGE_2!AJ$851/100</f>
        <v>37.274999999999999</v>
      </c>
      <c r="AK851" s="142">
        <f>B851*IBGE_2!AK$851/100</f>
        <v>9442.4169999999995</v>
      </c>
      <c r="AL851" s="142" t="s">
        <v>3047</v>
      </c>
      <c r="AM851" s="142" t="s">
        <v>3047</v>
      </c>
      <c r="AN851" s="161"/>
    </row>
    <row r="852" spans="1:40">
      <c r="A852" s="143" t="s">
        <v>1912</v>
      </c>
      <c r="B852" s="141">
        <v>100</v>
      </c>
      <c r="C852" s="142">
        <f>B852*IBGE_2!C$852/100</f>
        <v>330.10029083333325</v>
      </c>
      <c r="D852" s="142">
        <f>B852*IBGE_2!D$852/100</f>
        <v>28.631250000000001</v>
      </c>
      <c r="E852" s="142">
        <f>B852*IBGE_2!E$852/100</f>
        <v>23.042666666666666</v>
      </c>
      <c r="F852" s="142">
        <f>B852*IBGE_2!F$852/100</f>
        <v>5.5</v>
      </c>
      <c r="G852" s="142">
        <f>B852*IBGE_2!G$852/100</f>
        <v>5.4</v>
      </c>
      <c r="H852" s="142">
        <f>B852*IBGE_2!H$852/100</f>
        <v>0.2</v>
      </c>
      <c r="I852" s="142">
        <f>B852*IBGE_2!I$852/100</f>
        <v>0.16</v>
      </c>
      <c r="J852" s="142">
        <f>B852*IBGE_2!J$852/100</f>
        <v>0.03</v>
      </c>
      <c r="K852" s="142">
        <f>B852*IBGE_2!K$852/100</f>
        <v>90.8</v>
      </c>
      <c r="L852" s="142" t="s">
        <v>3047</v>
      </c>
      <c r="M852" s="142" t="s">
        <v>3047</v>
      </c>
      <c r="N852" s="142">
        <f>B852*IBGE_2!N$852/100</f>
        <v>7.6233333333333322</v>
      </c>
      <c r="O852" s="142">
        <f>B852*IBGE_2!O$852/100</f>
        <v>18.206666666666667</v>
      </c>
      <c r="P852" s="142" t="s">
        <v>3047</v>
      </c>
      <c r="Q852" s="142">
        <f>B852*IBGE_2!Q$852/100</f>
        <v>212.27</v>
      </c>
      <c r="R852" s="142">
        <f>B852*IBGE_2!R$852/100</f>
        <v>2.7033333333333331</v>
      </c>
      <c r="S852" s="142">
        <f>B852*IBGE_2!S$852/100</f>
        <v>71.586666666666673</v>
      </c>
      <c r="T852" s="142">
        <f>B852*IBGE_2!T$852/100</f>
        <v>321.07333333333332</v>
      </c>
      <c r="U852" s="142">
        <f>B852*IBGE_2!U$852/100</f>
        <v>0.08</v>
      </c>
      <c r="V852" s="142">
        <f>B852*IBGE_2!V$852/100</f>
        <v>5.2866666666666662</v>
      </c>
      <c r="W852" s="142" t="s">
        <v>3047</v>
      </c>
      <c r="X852" s="142" t="s">
        <v>3047</v>
      </c>
      <c r="Y852" s="142">
        <f>B852*IBGE_2!Y$852/100</f>
        <v>7.6666666666666675E-2</v>
      </c>
      <c r="Z852" s="142">
        <f>B852*IBGE_2!Z$852/100</f>
        <v>0.14000000000000001</v>
      </c>
      <c r="AA852" s="142">
        <f>B852*IBGE_2!AA$852/100</f>
        <v>2.1633333333333336</v>
      </c>
      <c r="AB852" s="142" t="s">
        <v>3047</v>
      </c>
      <c r="AC852" s="142" t="s">
        <v>3047</v>
      </c>
      <c r="AD852" s="142" t="s">
        <v>3047</v>
      </c>
      <c r="AE852" s="142" t="s">
        <v>3047</v>
      </c>
      <c r="AF852" s="142" t="s">
        <v>3047</v>
      </c>
      <c r="AG852" s="142" t="s">
        <v>3047</v>
      </c>
      <c r="AH852" s="142" t="s">
        <v>3047</v>
      </c>
      <c r="AI852" s="142">
        <f>B852*IBGE_2!AI$852/100</f>
        <v>333</v>
      </c>
      <c r="AJ852" s="145" t="s">
        <v>3047</v>
      </c>
      <c r="AK852" s="145" t="s">
        <v>3047</v>
      </c>
      <c r="AL852" s="142" t="s">
        <v>3047</v>
      </c>
      <c r="AM852" s="142" t="s">
        <v>3047</v>
      </c>
      <c r="AN852" s="161"/>
    </row>
    <row r="853" spans="1:40">
      <c r="A853" s="143" t="s">
        <v>1913</v>
      </c>
      <c r="B853" s="141">
        <v>100</v>
      </c>
      <c r="C853" s="142">
        <f>B853*IBGE_2!C$853/100</f>
        <v>330.10029083333325</v>
      </c>
      <c r="D853" s="142">
        <f>B853*IBGE_2!D$853/100</f>
        <v>28.631250000000001</v>
      </c>
      <c r="E853" s="142">
        <f>B853*IBGE_2!E$853/100</f>
        <v>23.042666666666666</v>
      </c>
      <c r="F853" s="142">
        <f>B853*IBGE_2!F$853/100</f>
        <v>5.5</v>
      </c>
      <c r="G853" s="142">
        <f>B853*IBGE_2!G$853/100</f>
        <v>5.4</v>
      </c>
      <c r="H853" s="142">
        <f>B853*IBGE_2!H$853/100</f>
        <v>0.2</v>
      </c>
      <c r="I853" s="142">
        <f>B853*IBGE_2!I$853/100</f>
        <v>0.16</v>
      </c>
      <c r="J853" s="142">
        <f>B853*IBGE_2!J$853/100</f>
        <v>0.03</v>
      </c>
      <c r="K853" s="142">
        <f>B853*IBGE_2!K$853/100</f>
        <v>90.8</v>
      </c>
      <c r="L853" s="142" t="s">
        <v>3047</v>
      </c>
      <c r="M853" s="142" t="s">
        <v>3047</v>
      </c>
      <c r="N853" s="142">
        <f>B853*IBGE_2!N$853/100</f>
        <v>7.6233333333333322</v>
      </c>
      <c r="O853" s="142">
        <f>B853*IBGE_2!O$853/100</f>
        <v>18.206666666666667</v>
      </c>
      <c r="P853" s="142" t="s">
        <v>3047</v>
      </c>
      <c r="Q853" s="142">
        <f>B853*IBGE_2!Q$853/100</f>
        <v>212.27</v>
      </c>
      <c r="R853" s="142">
        <f>B853*IBGE_2!R$853/100</f>
        <v>2.7033333333333331</v>
      </c>
      <c r="S853" s="142">
        <f>B853*IBGE_2!S$853/100</f>
        <v>71.586666666666673</v>
      </c>
      <c r="T853" s="142">
        <f>B853*IBGE_2!T$853/100</f>
        <v>321.07333333333332</v>
      </c>
      <c r="U853" s="142">
        <f>B853*IBGE_2!U$853/100</f>
        <v>0.08</v>
      </c>
      <c r="V853" s="142">
        <f>B853*IBGE_2!V$853/100</f>
        <v>5.2866666666666662</v>
      </c>
      <c r="W853" s="142" t="s">
        <v>3047</v>
      </c>
      <c r="X853" s="142" t="s">
        <v>3047</v>
      </c>
      <c r="Y853" s="142">
        <f>B853*IBGE_2!Y$853/100</f>
        <v>7.6666666666666675E-2</v>
      </c>
      <c r="Z853" s="142">
        <f>B853*IBGE_2!Z$853/100</f>
        <v>0.14000000000000001</v>
      </c>
      <c r="AA853" s="142">
        <f>B853*IBGE_2!AA$853/100</f>
        <v>2.1633333333333336</v>
      </c>
      <c r="AB853" s="142" t="s">
        <v>3047</v>
      </c>
      <c r="AC853" s="142" t="s">
        <v>3047</v>
      </c>
      <c r="AD853" s="142" t="s">
        <v>3047</v>
      </c>
      <c r="AE853" s="142" t="s">
        <v>3047</v>
      </c>
      <c r="AF853" s="142" t="s">
        <v>3047</v>
      </c>
      <c r="AG853" s="142" t="s">
        <v>3047</v>
      </c>
      <c r="AH853" s="142" t="s">
        <v>3047</v>
      </c>
      <c r="AI853" s="142">
        <f>B853*IBGE_2!AI$853/100</f>
        <v>333</v>
      </c>
      <c r="AJ853" s="145" t="s">
        <v>3047</v>
      </c>
      <c r="AK853" s="142" t="s">
        <v>3047</v>
      </c>
      <c r="AL853" s="142" t="s">
        <v>3047</v>
      </c>
      <c r="AM853" s="142" t="s">
        <v>3047</v>
      </c>
      <c r="AN853" s="161"/>
    </row>
    <row r="854" spans="1:40">
      <c r="A854" s="143" t="s">
        <v>1914</v>
      </c>
      <c r="B854" s="141">
        <v>100</v>
      </c>
      <c r="C854" s="142">
        <f>B854*IBGE_2!C$854/100</f>
        <v>363.0783133833333</v>
      </c>
      <c r="D854" s="142">
        <f>B854*IBGE_2!D$854/100</f>
        <v>26.913374999999995</v>
      </c>
      <c r="E854" s="142">
        <f>B854*IBGE_2!E$854/100</f>
        <v>27.631126666666663</v>
      </c>
      <c r="F854" s="142">
        <f>B854*IBGE_2!F$854/100</f>
        <v>6.1044400000000003</v>
      </c>
      <c r="G854" s="142">
        <f>B854*IBGE_2!G$854/100</f>
        <v>6.4363799999999989</v>
      </c>
      <c r="H854" s="142">
        <f>B854*IBGE_2!H$854/100</f>
        <v>3.6356600000000001</v>
      </c>
      <c r="I854" s="142">
        <f>B854*IBGE_2!I$854/100</f>
        <v>3.1927599999999994</v>
      </c>
      <c r="J854" s="142">
        <f>B854*IBGE_2!J$854/100</f>
        <v>0.43356</v>
      </c>
      <c r="K854" s="142">
        <f>B854*IBGE_2!K$854/100</f>
        <v>85.35199999999999</v>
      </c>
      <c r="L854" s="142" t="s">
        <v>3047</v>
      </c>
      <c r="M854" s="142" t="s">
        <v>3047</v>
      </c>
      <c r="N854" s="142">
        <f>B854*IBGE_2!N$854/100</f>
        <v>7.1659333333333315</v>
      </c>
      <c r="O854" s="142">
        <f>B854*IBGE_2!O$854/100</f>
        <v>17.114266666666666</v>
      </c>
      <c r="P854" s="142" t="s">
        <v>3047</v>
      </c>
      <c r="Q854" s="142">
        <f>B854*IBGE_2!Q$854/100</f>
        <v>199.53379999999999</v>
      </c>
      <c r="R854" s="142">
        <f>B854*IBGE_2!R$854/100</f>
        <v>2.5441333333333329</v>
      </c>
      <c r="S854" s="142">
        <f>B854*IBGE_2!S$854/100</f>
        <v>67.291466666666665</v>
      </c>
      <c r="T854" s="142">
        <f>B854*IBGE_2!T$854/100</f>
        <v>301.8089333333333</v>
      </c>
      <c r="U854" s="142">
        <f>B854*IBGE_2!U$854/100</f>
        <v>7.5200000000000003E-2</v>
      </c>
      <c r="V854" s="142">
        <f>B854*IBGE_2!V$854/100</f>
        <v>4.970066666666666</v>
      </c>
      <c r="W854" s="142" t="s">
        <v>3047</v>
      </c>
      <c r="X854" s="142" t="s">
        <v>3047</v>
      </c>
      <c r="Y854" s="142">
        <f>B854*IBGE_2!Y$854/100</f>
        <v>7.2066666666666668E-2</v>
      </c>
      <c r="Z854" s="142">
        <f>B854*IBGE_2!Z$854/100</f>
        <v>0.13159999999999999</v>
      </c>
      <c r="AA854" s="142">
        <f>B854*IBGE_2!AA$854/100</f>
        <v>2.0335333333333336</v>
      </c>
      <c r="AB854" s="142" t="s">
        <v>3047</v>
      </c>
      <c r="AC854" s="142" t="s">
        <v>3047</v>
      </c>
      <c r="AD854" s="142" t="s">
        <v>3047</v>
      </c>
      <c r="AE854" s="142" t="s">
        <v>3047</v>
      </c>
      <c r="AF854" s="142" t="s">
        <v>3047</v>
      </c>
      <c r="AG854" s="142">
        <f>B854*IBGE_2!AG$854/100</f>
        <v>0.48846000000000006</v>
      </c>
      <c r="AH854" s="142">
        <f>B854*IBGE_2!AH$854/100</f>
        <v>3.1800000000000002E-2</v>
      </c>
      <c r="AI854" s="142">
        <f>B854*IBGE_2!AI$854/100</f>
        <v>333</v>
      </c>
      <c r="AJ854" s="142">
        <f>B854*IBGE_2!AJ$854/100</f>
        <v>2.7365399999999998</v>
      </c>
      <c r="AK854" s="142" t="s">
        <v>3047</v>
      </c>
      <c r="AL854" s="142" t="s">
        <v>3047</v>
      </c>
      <c r="AM854" s="142" t="s">
        <v>3047</v>
      </c>
      <c r="AN854" s="161"/>
    </row>
    <row r="855" spans="1:40">
      <c r="A855" s="143" t="s">
        <v>1915</v>
      </c>
      <c r="B855" s="141">
        <v>100</v>
      </c>
      <c r="C855" s="142">
        <f>B855*IBGE_2!C$855/100</f>
        <v>284</v>
      </c>
      <c r="D855" s="142">
        <f>B855*IBGE_2!D$855/100</f>
        <v>19.29</v>
      </c>
      <c r="E855" s="142">
        <f>B855*IBGE_2!E$855/100</f>
        <v>22.3</v>
      </c>
      <c r="F855" s="142">
        <f>B855*IBGE_2!F$855/100</f>
        <v>8.125</v>
      </c>
      <c r="G855" s="142">
        <f>B855*IBGE_2!G$855/100</f>
        <v>10.102</v>
      </c>
      <c r="H855" s="142">
        <f>B855*IBGE_2!H$855/100</f>
        <v>0.746</v>
      </c>
      <c r="I855" s="142">
        <f>B855*IBGE_2!I$855/100</f>
        <v>0.52600000000000002</v>
      </c>
      <c r="J855" s="142">
        <f>B855*IBGE_2!J$855/100</f>
        <v>9.0999999999999998E-2</v>
      </c>
      <c r="K855" s="142">
        <f>B855*IBGE_2!K$855/100</f>
        <v>132</v>
      </c>
      <c r="L855" s="142" t="s">
        <v>3047</v>
      </c>
      <c r="M855" s="142" t="s">
        <v>3047</v>
      </c>
      <c r="N855" s="142">
        <f>B855*IBGE_2!N$855/100</f>
        <v>5</v>
      </c>
      <c r="O855" s="142">
        <f>B855*IBGE_2!O$855/100</f>
        <v>15</v>
      </c>
      <c r="P855" s="142">
        <f>B855*IBGE_2!P$855/100</f>
        <v>1.7999999999999999E-2</v>
      </c>
      <c r="Q855" s="142">
        <f>B855*IBGE_2!Q$855/100</f>
        <v>145</v>
      </c>
      <c r="R855" s="142">
        <f>B855*IBGE_2!R$855/100</f>
        <v>2.61</v>
      </c>
      <c r="S855" s="142">
        <f>B855*IBGE_2!S$855/100</f>
        <v>65</v>
      </c>
      <c r="T855" s="142">
        <f>B855*IBGE_2!T$855/100</f>
        <v>184</v>
      </c>
      <c r="U855" s="142">
        <f>B855*IBGE_2!U$855/100</f>
        <v>0.14799999999999999</v>
      </c>
      <c r="V855" s="142">
        <f>B855*IBGE_2!V$855/100</f>
        <v>4.09</v>
      </c>
      <c r="W855" s="142" t="s">
        <v>3047</v>
      </c>
      <c r="X855" s="142">
        <f>B855*IBGE_2!X$855/100</f>
        <v>2.1999999999999999E-2</v>
      </c>
      <c r="Y855" s="142">
        <f>B855*IBGE_2!Y$855/100</f>
        <v>0.29399999999999998</v>
      </c>
      <c r="Z855" s="142">
        <f>B855*IBGE_2!Z$855/100</f>
        <v>0.155</v>
      </c>
      <c r="AA855" s="142">
        <f>B855*IBGE_2!AA$855/100</f>
        <v>3.49</v>
      </c>
      <c r="AB855" s="142">
        <f>B855*IBGE_2!AB$855/100</f>
        <v>1.3</v>
      </c>
      <c r="AC855" s="142">
        <f>B855*IBGE_2!AC$855/100</f>
        <v>6.3230000000000004</v>
      </c>
      <c r="AD855" s="142">
        <f>B855*IBGE_2!AD$855/100</f>
        <v>3.13</v>
      </c>
      <c r="AE855" s="142">
        <f>B855*IBGE_2!AE$855/100</f>
        <v>7</v>
      </c>
      <c r="AF855" s="142" t="s">
        <v>3047</v>
      </c>
      <c r="AG855" s="142">
        <f>B855*IBGE_2!AG$855/100</f>
        <v>0.3</v>
      </c>
      <c r="AH855" s="142">
        <f>B855*IBGE_2!AH$855/100</f>
        <v>0.84</v>
      </c>
      <c r="AI855" s="142">
        <f>B855*IBGE_2!AI$855/100</f>
        <v>333</v>
      </c>
      <c r="AJ855" s="142">
        <f>B855*IBGE_2!AJ$855/100</f>
        <v>13.2</v>
      </c>
      <c r="AK855" s="142" t="s">
        <v>3047</v>
      </c>
      <c r="AL855" s="142" t="s">
        <v>3047</v>
      </c>
      <c r="AM855" s="142" t="s">
        <v>3047</v>
      </c>
      <c r="AN855" s="161"/>
    </row>
    <row r="856" spans="1:40">
      <c r="A856" s="143" t="s">
        <v>1916</v>
      </c>
      <c r="B856" s="141">
        <v>100</v>
      </c>
      <c r="C856" s="142">
        <f>B856*IBGE_2!C$856/100</f>
        <v>284</v>
      </c>
      <c r="D856" s="142">
        <f>B856*IBGE_2!D$856/100</f>
        <v>19.29</v>
      </c>
      <c r="E856" s="142">
        <f>B856*IBGE_2!E$856/100</f>
        <v>22.3</v>
      </c>
      <c r="F856" s="142">
        <f>B856*IBGE_2!F$856/100</f>
        <v>8.125</v>
      </c>
      <c r="G856" s="142">
        <f>B856*IBGE_2!G$856/100</f>
        <v>10.102</v>
      </c>
      <c r="H856" s="142">
        <f>B856*IBGE_2!H$856/100</f>
        <v>0.746</v>
      </c>
      <c r="I856" s="142">
        <f>B856*IBGE_2!I$856/100</f>
        <v>0.52600000000000002</v>
      </c>
      <c r="J856" s="142">
        <f>B856*IBGE_2!J$856/100</f>
        <v>9.0999999999999998E-2</v>
      </c>
      <c r="K856" s="142">
        <f>B856*IBGE_2!K$856/100</f>
        <v>132</v>
      </c>
      <c r="L856" s="142" t="s">
        <v>3047</v>
      </c>
      <c r="M856" s="142" t="s">
        <v>3047</v>
      </c>
      <c r="N856" s="142">
        <f>B856*IBGE_2!N$856/100</f>
        <v>5</v>
      </c>
      <c r="O856" s="142">
        <f>B856*IBGE_2!O$856/100</f>
        <v>15</v>
      </c>
      <c r="P856" s="142">
        <f>B856*IBGE_2!P$856/100</f>
        <v>1.7999999999999999E-2</v>
      </c>
      <c r="Q856" s="142">
        <f>B856*IBGE_2!Q$856/100</f>
        <v>145</v>
      </c>
      <c r="R856" s="142">
        <f>B856*IBGE_2!R$856/100</f>
        <v>2.61</v>
      </c>
      <c r="S856" s="142">
        <f>B856*IBGE_2!S$856/100</f>
        <v>65</v>
      </c>
      <c r="T856" s="142">
        <f>B856*IBGE_2!T$856/100</f>
        <v>184</v>
      </c>
      <c r="U856" s="142">
        <f>B856*IBGE_2!U$856/100</f>
        <v>0.14799999999999999</v>
      </c>
      <c r="V856" s="142">
        <f>B856*IBGE_2!V$856/100</f>
        <v>4.09</v>
      </c>
      <c r="W856" s="142" t="s">
        <v>3047</v>
      </c>
      <c r="X856" s="142">
        <f>B856*IBGE_2!X$856/100</f>
        <v>2.1999999999999999E-2</v>
      </c>
      <c r="Y856" s="142">
        <f>B856*IBGE_2!Y$856/100</f>
        <v>0.29399999999999998</v>
      </c>
      <c r="Z856" s="142">
        <f>B856*IBGE_2!Z$856/100</f>
        <v>0.155</v>
      </c>
      <c r="AA856" s="142">
        <f>B856*IBGE_2!AA$856/100</f>
        <v>3.49</v>
      </c>
      <c r="AB856" s="142">
        <f>B856*IBGE_2!AB$856/100</f>
        <v>1.3</v>
      </c>
      <c r="AC856" s="142">
        <f>B856*IBGE_2!AC$856/100</f>
        <v>6.3230000000000004</v>
      </c>
      <c r="AD856" s="142">
        <f>B856*IBGE_2!AD$856/100</f>
        <v>3.13</v>
      </c>
      <c r="AE856" s="142">
        <f>B856*IBGE_2!AE$856/100</f>
        <v>7</v>
      </c>
      <c r="AF856" s="142" t="s">
        <v>3047</v>
      </c>
      <c r="AG856" s="142">
        <f>B856*IBGE_2!AG$856/100</f>
        <v>0.3</v>
      </c>
      <c r="AH856" s="142">
        <f>B856*IBGE_2!AH$856/100</f>
        <v>0.84</v>
      </c>
      <c r="AI856" s="142">
        <f>B856*IBGE_2!AI$856/100</f>
        <v>333</v>
      </c>
      <c r="AJ856" s="142">
        <f>B856*IBGE_2!AJ$856/100</f>
        <v>13.2</v>
      </c>
      <c r="AK856" s="142" t="s">
        <v>3047</v>
      </c>
      <c r="AL856" s="142" t="s">
        <v>3047</v>
      </c>
      <c r="AM856" s="142" t="s">
        <v>3047</v>
      </c>
      <c r="AN856" s="161"/>
    </row>
    <row r="857" spans="1:40">
      <c r="A857" s="143" t="s">
        <v>1917</v>
      </c>
      <c r="B857" s="141">
        <v>100</v>
      </c>
      <c r="C857" s="142">
        <f>B857*IBGE_2!C$857/100</f>
        <v>284</v>
      </c>
      <c r="D857" s="142">
        <f>B857*IBGE_2!D$857/100</f>
        <v>19.29</v>
      </c>
      <c r="E857" s="142">
        <f>B857*IBGE_2!E$857/100</f>
        <v>22.3</v>
      </c>
      <c r="F857" s="142">
        <f>B857*IBGE_2!F$857/100</f>
        <v>8.125</v>
      </c>
      <c r="G857" s="142">
        <f>B857*IBGE_2!G$857/100</f>
        <v>10.102</v>
      </c>
      <c r="H857" s="142">
        <f>B857*IBGE_2!H$857/100</f>
        <v>0.746</v>
      </c>
      <c r="I857" s="142">
        <f>B857*IBGE_2!I$857/100</f>
        <v>0.52600000000000002</v>
      </c>
      <c r="J857" s="142">
        <f>B857*IBGE_2!J$857/100</f>
        <v>9.0999999999999998E-2</v>
      </c>
      <c r="K857" s="142">
        <f>B857*IBGE_2!K$857/100</f>
        <v>132</v>
      </c>
      <c r="L857" s="142" t="s">
        <v>3047</v>
      </c>
      <c r="M857" s="142" t="s">
        <v>3047</v>
      </c>
      <c r="N857" s="142">
        <f>B857*IBGE_2!N$857/100</f>
        <v>5</v>
      </c>
      <c r="O857" s="142">
        <f>B857*IBGE_2!O$857/100</f>
        <v>15</v>
      </c>
      <c r="P857" s="142">
        <f>B857*IBGE_2!P$857/100</f>
        <v>1.7999999999999999E-2</v>
      </c>
      <c r="Q857" s="142">
        <f>B857*IBGE_2!Q$857/100</f>
        <v>145</v>
      </c>
      <c r="R857" s="142">
        <f>B857*IBGE_2!R$857/100</f>
        <v>2.61</v>
      </c>
      <c r="S857" s="142">
        <f>B857*IBGE_2!S$857/100</f>
        <v>65</v>
      </c>
      <c r="T857" s="142">
        <f>B857*IBGE_2!T$857/100</f>
        <v>184</v>
      </c>
      <c r="U857" s="142">
        <f>B857*IBGE_2!U$857/100</f>
        <v>0.14799999999999999</v>
      </c>
      <c r="V857" s="142">
        <f>B857*IBGE_2!V$857/100</f>
        <v>4.09</v>
      </c>
      <c r="W857" s="142" t="s">
        <v>3047</v>
      </c>
      <c r="X857" s="142">
        <f>B857*IBGE_2!X$857/100</f>
        <v>2.1999999999999999E-2</v>
      </c>
      <c r="Y857" s="142">
        <f>B857*IBGE_2!Y$857/100</f>
        <v>0.29399999999999998</v>
      </c>
      <c r="Z857" s="142">
        <f>B857*IBGE_2!Z$857/100</f>
        <v>0.155</v>
      </c>
      <c r="AA857" s="142">
        <f>B857*IBGE_2!AA$857/100</f>
        <v>3.49</v>
      </c>
      <c r="AB857" s="142">
        <f>B857*IBGE_2!AB$857/100</f>
        <v>1.3</v>
      </c>
      <c r="AC857" s="142">
        <f>B857*IBGE_2!AC$857/100</f>
        <v>6.3230000000000004</v>
      </c>
      <c r="AD857" s="142">
        <f>B857*IBGE_2!AD$857/100</f>
        <v>3.13</v>
      </c>
      <c r="AE857" s="142">
        <f>B857*IBGE_2!AE$857/100</f>
        <v>7</v>
      </c>
      <c r="AF857" s="142" t="s">
        <v>3047</v>
      </c>
      <c r="AG857" s="142">
        <f>B857*IBGE_2!AG$857/100</f>
        <v>0.3</v>
      </c>
      <c r="AH857" s="142">
        <f>B857*IBGE_2!AH$857/100</f>
        <v>0.84</v>
      </c>
      <c r="AI857" s="142">
        <f>B857*IBGE_2!AI$857/100</f>
        <v>333</v>
      </c>
      <c r="AJ857" s="142">
        <f>B857*IBGE_2!AJ$857/100</f>
        <v>13.2</v>
      </c>
      <c r="AK857" s="142" t="s">
        <v>3047</v>
      </c>
      <c r="AL857" s="142" t="s">
        <v>3047</v>
      </c>
      <c r="AM857" s="142" t="s">
        <v>3047</v>
      </c>
      <c r="AN857" s="161"/>
    </row>
    <row r="858" spans="1:40">
      <c r="A858" s="143" t="s">
        <v>1918</v>
      </c>
      <c r="B858" s="141">
        <v>100</v>
      </c>
      <c r="C858" s="142">
        <f>B858*IBGE_2!C$858/100</f>
        <v>306.65899999999999</v>
      </c>
      <c r="D858" s="142">
        <f>B858*IBGE_2!D$858/100</f>
        <v>19.29</v>
      </c>
      <c r="E858" s="142">
        <f>B858*IBGE_2!E$858/100</f>
        <v>24.863000000000003</v>
      </c>
      <c r="F858" s="142">
        <f>B858*IBGE_2!F$858/100</f>
        <v>8.5259999999999998</v>
      </c>
      <c r="G858" s="142">
        <f>B858*IBGE_2!G$858/100</f>
        <v>10.686</v>
      </c>
      <c r="H858" s="142">
        <f>B858*IBGE_2!H$858/100</f>
        <v>2.226</v>
      </c>
      <c r="I858" s="142">
        <f>B858*IBGE_2!I$858/100</f>
        <v>1.8320000000000001</v>
      </c>
      <c r="J858" s="142">
        <f>B858*IBGE_2!J$858/100</f>
        <v>0.26500000000000001</v>
      </c>
      <c r="K858" s="142">
        <f>B858*IBGE_2!K$858/100</f>
        <v>132</v>
      </c>
      <c r="L858" s="142" t="s">
        <v>3047</v>
      </c>
      <c r="M858" s="142" t="s">
        <v>3047</v>
      </c>
      <c r="N858" s="142">
        <f>B858*IBGE_2!N$858/100</f>
        <v>5</v>
      </c>
      <c r="O858" s="142">
        <f>B858*IBGE_2!O$858/100</f>
        <v>15</v>
      </c>
      <c r="P858" s="142">
        <f>B858*IBGE_2!P$858/100</f>
        <v>1.7999999999999999E-2</v>
      </c>
      <c r="Q858" s="142">
        <f>B858*IBGE_2!Q$858/100</f>
        <v>145</v>
      </c>
      <c r="R858" s="142">
        <f>B858*IBGE_2!R$858/100</f>
        <v>2.6110000000000002</v>
      </c>
      <c r="S858" s="142">
        <f>B858*IBGE_2!S$858/100</f>
        <v>65</v>
      </c>
      <c r="T858" s="142">
        <f>B858*IBGE_2!T$858/100</f>
        <v>184</v>
      </c>
      <c r="U858" s="142">
        <f>B858*IBGE_2!U$858/100</f>
        <v>0.14799999999999999</v>
      </c>
      <c r="V858" s="142">
        <f>B858*IBGE_2!V$858/100</f>
        <v>4.09</v>
      </c>
      <c r="W858" s="142" t="s">
        <v>3047</v>
      </c>
      <c r="X858" s="142">
        <f>B858*IBGE_2!X$858/100</f>
        <v>2.1999999999999999E-2</v>
      </c>
      <c r="Y858" s="142">
        <f>B858*IBGE_2!Y$858/100</f>
        <v>0.29399999999999998</v>
      </c>
      <c r="Z858" s="142">
        <f>B858*IBGE_2!Z$858/100</f>
        <v>0.155</v>
      </c>
      <c r="AA858" s="142">
        <f>B858*IBGE_2!AA$858/100</f>
        <v>3.49</v>
      </c>
      <c r="AB858" s="142">
        <f>B858*IBGE_2!AB$858/100</f>
        <v>1.3</v>
      </c>
      <c r="AC858" s="142">
        <f>B858*IBGE_2!AC$858/100</f>
        <v>6.3230000000000004</v>
      </c>
      <c r="AD858" s="142">
        <f>B858*IBGE_2!AD$858/100</f>
        <v>3.13</v>
      </c>
      <c r="AE858" s="142">
        <f>B858*IBGE_2!AE$858/100</f>
        <v>7</v>
      </c>
      <c r="AF858" s="142" t="s">
        <v>3047</v>
      </c>
      <c r="AG858" s="142">
        <f>B858*IBGE_2!AG$858/100</f>
        <v>0.51</v>
      </c>
      <c r="AH858" s="142">
        <f>B858*IBGE_2!AH$858/100</f>
        <v>0.85399999999999987</v>
      </c>
      <c r="AI858" s="142">
        <f>B858*IBGE_2!AI$858/100</f>
        <v>333</v>
      </c>
      <c r="AJ858" s="142">
        <f>B858*IBGE_2!AJ$858/100</f>
        <v>14.375</v>
      </c>
      <c r="AK858" s="142" t="s">
        <v>3047</v>
      </c>
      <c r="AL858" s="142" t="s">
        <v>3047</v>
      </c>
      <c r="AM858" s="142" t="s">
        <v>3047</v>
      </c>
      <c r="AN858" s="161"/>
    </row>
    <row r="859" spans="1:40">
      <c r="A859" s="143" t="s">
        <v>1919</v>
      </c>
      <c r="B859" s="141">
        <v>100</v>
      </c>
      <c r="C859" s="142">
        <f>B859*IBGE_2!C$859/100</f>
        <v>232</v>
      </c>
      <c r="D859" s="142">
        <f>B859*IBGE_2!D$859/100</f>
        <v>15.696</v>
      </c>
      <c r="E859" s="142">
        <f>B859*IBGE_2!E$859/100</f>
        <v>17.876000000000001</v>
      </c>
      <c r="F859" s="142">
        <f>B859*IBGE_2!F$859/100</f>
        <v>6.5049999999999999</v>
      </c>
      <c r="G859" s="142">
        <f>B859*IBGE_2!G$859/100</f>
        <v>8.0869999999999997</v>
      </c>
      <c r="H859" s="142">
        <f>B859*IBGE_2!H$859/100</f>
        <v>0.61099999999999999</v>
      </c>
      <c r="I859" s="142">
        <f>B859*IBGE_2!I$859/100</f>
        <v>0.435</v>
      </c>
      <c r="J859" s="142">
        <f>B859*IBGE_2!J$859/100</f>
        <v>7.2999999999999995E-2</v>
      </c>
      <c r="K859" s="142">
        <f>B859*IBGE_2!K$859/100</f>
        <v>105.6</v>
      </c>
      <c r="L859" s="142">
        <f>B859*IBGE_2!L$859/100</f>
        <v>1.0760000000000001</v>
      </c>
      <c r="M859" s="142">
        <f>B859*IBGE_2!M$859/100</f>
        <v>0.3</v>
      </c>
      <c r="N859" s="142">
        <f>B859*IBGE_2!N$859/100</f>
        <v>6.6</v>
      </c>
      <c r="O859" s="142">
        <f>B859*IBGE_2!O$859/100</f>
        <v>15.2</v>
      </c>
      <c r="P859" s="142">
        <f>B859*IBGE_2!P$859/100</f>
        <v>3.5999999999999997E-2</v>
      </c>
      <c r="Q859" s="142">
        <f>B859*IBGE_2!Q$859/100</f>
        <v>121.2</v>
      </c>
      <c r="R859" s="142">
        <f>B859*IBGE_2!R$859/100</f>
        <v>2.2919999999999998</v>
      </c>
      <c r="S859" s="142">
        <f>B859*IBGE_2!S$859/100</f>
        <v>156.80000000000001</v>
      </c>
      <c r="T859" s="142">
        <f>B859*IBGE_2!T$859/100</f>
        <v>213.4</v>
      </c>
      <c r="U859" s="142">
        <f>B859*IBGE_2!U$859/100</f>
        <v>0.14199999999999999</v>
      </c>
      <c r="V859" s="142">
        <f>B859*IBGE_2!V$859/100</f>
        <v>3.3119999999999998</v>
      </c>
      <c r="W859" s="142" t="s">
        <v>3047</v>
      </c>
      <c r="X859" s="142">
        <f>B859*IBGE_2!X$859/100</f>
        <v>2.1999999999999999E-2</v>
      </c>
      <c r="Y859" s="142">
        <f>B859*IBGE_2!Y$859/100</f>
        <v>0.248</v>
      </c>
      <c r="Z859" s="142">
        <f>B859*IBGE_2!Z$859/100</f>
        <v>0.14299999999999999</v>
      </c>
      <c r="AA859" s="142">
        <f>B859*IBGE_2!AA$859/100</f>
        <v>2.9870000000000001</v>
      </c>
      <c r="AB859" s="142">
        <f>B859*IBGE_2!AB$859/100</f>
        <v>2.44</v>
      </c>
      <c r="AC859" s="142">
        <f>B859*IBGE_2!AC$859/100</f>
        <v>5.2870000000000008</v>
      </c>
      <c r="AD859" s="142">
        <f>B859*IBGE_2!AD$859/100</f>
        <v>2.504</v>
      </c>
      <c r="AE859" s="142">
        <f>B859*IBGE_2!AE$859/100</f>
        <v>7.8</v>
      </c>
      <c r="AF859" s="142" t="s">
        <v>3047</v>
      </c>
      <c r="AG859" s="142">
        <f>B859*IBGE_2!AG$859/100</f>
        <v>0.52400000000000002</v>
      </c>
      <c r="AH859" s="142">
        <f>B859*IBGE_2!AH$859/100</f>
        <v>0.67200000000000004</v>
      </c>
      <c r="AI859" s="142">
        <f>B859*IBGE_2!AI$859/100</f>
        <v>333</v>
      </c>
      <c r="AJ859" s="142">
        <f>B859*IBGE_2!AJ$859/100</f>
        <v>10.6</v>
      </c>
      <c r="AK859" s="142">
        <f>B859*IBGE_2!AK$859/100</f>
        <v>3.4830000000000001</v>
      </c>
      <c r="AL859" s="142">
        <f>B859*IBGE_2!AL$859/100</f>
        <v>0.85</v>
      </c>
      <c r="AM859" s="142" t="s">
        <v>3047</v>
      </c>
      <c r="AN859" s="161"/>
    </row>
    <row r="860" spans="1:40">
      <c r="A860" s="143" t="s">
        <v>1920</v>
      </c>
      <c r="B860" s="141">
        <v>100</v>
      </c>
      <c r="C860" s="142">
        <f>B860*IBGE_2!C$860/100</f>
        <v>306.65899999999999</v>
      </c>
      <c r="D860" s="142">
        <f>B860*IBGE_2!D$860/100</f>
        <v>19.29</v>
      </c>
      <c r="E860" s="142">
        <f>B860*IBGE_2!E$860/100</f>
        <v>24.863000000000003</v>
      </c>
      <c r="F860" s="142">
        <f>B860*IBGE_2!F$860/100</f>
        <v>8.5259999999999998</v>
      </c>
      <c r="G860" s="142">
        <f>B860*IBGE_2!G$860/100</f>
        <v>10.686</v>
      </c>
      <c r="H860" s="142">
        <f>B860*IBGE_2!H$860/100</f>
        <v>2.226</v>
      </c>
      <c r="I860" s="142">
        <f>B860*IBGE_2!I$860/100</f>
        <v>1.8320000000000001</v>
      </c>
      <c r="J860" s="142">
        <f>B860*IBGE_2!J$860/100</f>
        <v>0.26500000000000001</v>
      </c>
      <c r="K860" s="142">
        <f>B860*IBGE_2!K$860/100</f>
        <v>132</v>
      </c>
      <c r="L860" s="142" t="s">
        <v>3047</v>
      </c>
      <c r="M860" s="142" t="s">
        <v>3047</v>
      </c>
      <c r="N860" s="142">
        <f>B860*IBGE_2!N$860/100</f>
        <v>5</v>
      </c>
      <c r="O860" s="142">
        <f>B860*IBGE_2!O$860/100</f>
        <v>15</v>
      </c>
      <c r="P860" s="142">
        <f>B860*IBGE_2!P$860/100</f>
        <v>1.7999999999999999E-2</v>
      </c>
      <c r="Q860" s="142">
        <f>B860*IBGE_2!Q$860/100</f>
        <v>145</v>
      </c>
      <c r="R860" s="142">
        <f>B860*IBGE_2!R$860/100</f>
        <v>2.6110000000000002</v>
      </c>
      <c r="S860" s="142">
        <f>B860*IBGE_2!S$860/100</f>
        <v>65</v>
      </c>
      <c r="T860" s="142">
        <f>B860*IBGE_2!T$860/100</f>
        <v>184</v>
      </c>
      <c r="U860" s="142">
        <f>B860*IBGE_2!U$860/100</f>
        <v>0.14799999999999999</v>
      </c>
      <c r="V860" s="142">
        <f>B860*IBGE_2!V$860/100</f>
        <v>4.09</v>
      </c>
      <c r="W860" s="142" t="s">
        <v>3047</v>
      </c>
      <c r="X860" s="142">
        <f>B860*IBGE_2!X$860/100</f>
        <v>2.1999999999999999E-2</v>
      </c>
      <c r="Y860" s="142">
        <f>B860*IBGE_2!Y$860/100</f>
        <v>0.29399999999999998</v>
      </c>
      <c r="Z860" s="142">
        <f>B860*IBGE_2!Z$860/100</f>
        <v>0.155</v>
      </c>
      <c r="AA860" s="142">
        <f>B860*IBGE_2!AA$860/100</f>
        <v>3.49</v>
      </c>
      <c r="AB860" s="142">
        <f>B860*IBGE_2!AB$860/100</f>
        <v>1.3</v>
      </c>
      <c r="AC860" s="142">
        <f>B860*IBGE_2!AC$860/100</f>
        <v>6.3230000000000004</v>
      </c>
      <c r="AD860" s="142">
        <f>B860*IBGE_2!AD$860/100</f>
        <v>3.13</v>
      </c>
      <c r="AE860" s="142">
        <f>B860*IBGE_2!AE$860/100</f>
        <v>7</v>
      </c>
      <c r="AF860" s="142" t="s">
        <v>3047</v>
      </c>
      <c r="AG860" s="142">
        <f>B860*IBGE_2!AG$860/100</f>
        <v>0.51</v>
      </c>
      <c r="AH860" s="142">
        <f>B860*IBGE_2!AH$860/100</f>
        <v>0.85399999999999987</v>
      </c>
      <c r="AI860" s="142">
        <f>B860*IBGE_2!AI$860/100</f>
        <v>333</v>
      </c>
      <c r="AJ860" s="142">
        <f>B860*IBGE_2!AJ$860/100</f>
        <v>14.375</v>
      </c>
      <c r="AK860" s="145" t="s">
        <v>3047</v>
      </c>
      <c r="AL860" s="142" t="s">
        <v>3047</v>
      </c>
      <c r="AM860" s="142" t="s">
        <v>3047</v>
      </c>
      <c r="AN860" s="161"/>
    </row>
    <row r="861" spans="1:40">
      <c r="A861" s="143" t="s">
        <v>1921</v>
      </c>
      <c r="B861" s="141">
        <v>100</v>
      </c>
      <c r="C861" s="142">
        <f>B861*IBGE_2!C$861/100</f>
        <v>365</v>
      </c>
      <c r="D861" s="142">
        <f>B861*IBGE_2!D$861/100</f>
        <v>22.6</v>
      </c>
      <c r="E861" s="142">
        <f>B861*IBGE_2!E$861/100</f>
        <v>29.79</v>
      </c>
      <c r="F861" s="142">
        <f>B861*IBGE_2!F$861/100</f>
        <v>12.01</v>
      </c>
      <c r="G861" s="142">
        <f>B861*IBGE_2!G$861/100</f>
        <v>12.8</v>
      </c>
      <c r="H861" s="142">
        <f>B861*IBGE_2!H$861/100</f>
        <v>1.05</v>
      </c>
      <c r="I861" s="142">
        <f>B861*IBGE_2!I$861/100</f>
        <v>0.7</v>
      </c>
      <c r="J861" s="142">
        <f>B861*IBGE_2!J$861/100</f>
        <v>0.33</v>
      </c>
      <c r="K861" s="142">
        <f>B861*IBGE_2!K$861/100</f>
        <v>84</v>
      </c>
      <c r="L861" s="142" t="s">
        <v>3047</v>
      </c>
      <c r="M861" s="142" t="s">
        <v>3047</v>
      </c>
      <c r="N861" s="142">
        <f>B861*IBGE_2!N$861/100</f>
        <v>11.206</v>
      </c>
      <c r="O861" s="142">
        <f>B861*IBGE_2!O$861/100</f>
        <v>20.009</v>
      </c>
      <c r="P861" s="142">
        <f>B861*IBGE_2!P$861/100</f>
        <v>1.4000000000000002E-2</v>
      </c>
      <c r="Q861" s="142">
        <f>B861*IBGE_2!Q$861/100</f>
        <v>176</v>
      </c>
      <c r="R861" s="142">
        <f>B861*IBGE_2!R$861/100</f>
        <v>2.3530000000000002</v>
      </c>
      <c r="S861" s="142">
        <f>B861*IBGE_2!S$861/100</f>
        <v>396.673</v>
      </c>
      <c r="T861" s="142">
        <f>B861*IBGE_2!T$861/100</f>
        <v>302.06900000000002</v>
      </c>
      <c r="U861" s="142">
        <f>B861*IBGE_2!U$861/100</f>
        <v>8.4000000000000005E-2</v>
      </c>
      <c r="V861" s="142">
        <f>B861*IBGE_2!V$861/100</f>
        <v>5.4009999999999998</v>
      </c>
      <c r="W861" s="142" t="s">
        <v>3047</v>
      </c>
      <c r="X861" s="142">
        <f>B861*IBGE_2!X$861/100</f>
        <v>7.0000000000000007E-2</v>
      </c>
      <c r="Y861" s="142">
        <f>B861*IBGE_2!Y$861/100</f>
        <v>0.17</v>
      </c>
      <c r="Z861" s="142">
        <f>B861*IBGE_2!Z$861/100</f>
        <v>0.23</v>
      </c>
      <c r="AA861" s="142">
        <f>B861*IBGE_2!AA$861/100</f>
        <v>3.43</v>
      </c>
      <c r="AB861" s="142" t="s">
        <v>3047</v>
      </c>
      <c r="AC861" s="142">
        <f>B861*IBGE_2!AC$861/100</f>
        <v>7.6470000000000002</v>
      </c>
      <c r="AD861" s="142">
        <f>B861*IBGE_2!AD$861/100</f>
        <v>2.5499999999999998</v>
      </c>
      <c r="AE861" s="142">
        <f>B861*IBGE_2!AE$861/100</f>
        <v>7</v>
      </c>
      <c r="AF861" s="142">
        <f>B861*IBGE_2!AF$861/100</f>
        <v>0.6</v>
      </c>
      <c r="AG861" s="142">
        <f>B861*IBGE_2!AG$861/100</f>
        <v>0.24</v>
      </c>
      <c r="AH861" s="142">
        <f>B861*IBGE_2!AH$861/100</f>
        <v>1.35</v>
      </c>
      <c r="AI861" s="142">
        <f>B861*IBGE_2!AI$861/100</f>
        <v>333</v>
      </c>
      <c r="AJ861" s="142">
        <f>B861*IBGE_2!AJ$861/100</f>
        <v>22.401</v>
      </c>
      <c r="AK861" s="145" t="s">
        <v>3047</v>
      </c>
      <c r="AL861" s="142" t="s">
        <v>3047</v>
      </c>
      <c r="AM861" s="142" t="s">
        <v>3047</v>
      </c>
      <c r="AN861" s="161"/>
    </row>
    <row r="862" spans="1:40">
      <c r="A862" s="143" t="s">
        <v>1922</v>
      </c>
      <c r="B862" s="141">
        <v>100</v>
      </c>
      <c r="C862" s="142">
        <f>B862*IBGE_2!C$862/100</f>
        <v>214</v>
      </c>
      <c r="D862" s="142">
        <f>B862*IBGE_2!D$862/100</f>
        <v>28.81</v>
      </c>
      <c r="E862" s="142">
        <f>B862*IBGE_2!E$862/100</f>
        <v>10.130000000000001</v>
      </c>
      <c r="F862" s="142">
        <f>B862*IBGE_2!F$862/100</f>
        <v>3.54</v>
      </c>
      <c r="G862" s="142">
        <f>B862*IBGE_2!G$862/100</f>
        <v>4.49</v>
      </c>
      <c r="H862" s="142">
        <f>B862*IBGE_2!H$862/100</f>
        <v>0.85</v>
      </c>
      <c r="I862" s="142">
        <f>B862*IBGE_2!I$862/100</f>
        <v>0.73</v>
      </c>
      <c r="J862" s="142">
        <f>B862*IBGE_2!J$862/100</f>
        <v>0.02</v>
      </c>
      <c r="K862" s="142">
        <f>B862*IBGE_2!K$862/100</f>
        <v>83</v>
      </c>
      <c r="L862" s="142" t="s">
        <v>3047</v>
      </c>
      <c r="M862" s="142" t="s">
        <v>3047</v>
      </c>
      <c r="N862" s="142">
        <f>B862*IBGE_2!N$862/100</f>
        <v>6</v>
      </c>
      <c r="O862" s="142">
        <f>B862*IBGE_2!O$862/100</f>
        <v>24</v>
      </c>
      <c r="P862" s="142">
        <f>B862*IBGE_2!P$862/100</f>
        <v>1.0999999999999999E-2</v>
      </c>
      <c r="Q862" s="142">
        <f>B862*IBGE_2!Q$862/100</f>
        <v>222</v>
      </c>
      <c r="R862" s="142">
        <f>B862*IBGE_2!R$862/100</f>
        <v>1</v>
      </c>
      <c r="S862" s="142">
        <f>B862*IBGE_2!S$862/100</f>
        <v>50</v>
      </c>
      <c r="T862" s="142">
        <f>B862*IBGE_2!T$862/100</f>
        <v>363</v>
      </c>
      <c r="U862" s="142">
        <f>B862*IBGE_2!U$862/100</f>
        <v>1.2E-2</v>
      </c>
      <c r="V862" s="142">
        <f>B862*IBGE_2!V$862/100</f>
        <v>2.83</v>
      </c>
      <c r="W862" s="142">
        <f>B862*IBGE_2!W$862/100</f>
        <v>2</v>
      </c>
      <c r="X862" s="142">
        <f>B862*IBGE_2!X$862/100</f>
        <v>0.63900000000000001</v>
      </c>
      <c r="Y862" s="142">
        <f>B862*IBGE_2!Y$862/100</f>
        <v>0.312</v>
      </c>
      <c r="Z862" s="142">
        <f>B862*IBGE_2!Z$862/100</f>
        <v>0.4</v>
      </c>
      <c r="AA862" s="142">
        <f>B862*IBGE_2!AA$862/100</f>
        <v>5.3550000000000004</v>
      </c>
      <c r="AB862" s="142">
        <f>B862*IBGE_2!AB$862/100</f>
        <v>0.4</v>
      </c>
      <c r="AC862" s="142">
        <f>B862*IBGE_2!AC$862/100</f>
        <v>11.455</v>
      </c>
      <c r="AD862" s="142">
        <f>B862*IBGE_2!AD$862/100</f>
        <v>0.55000000000000004</v>
      </c>
      <c r="AE862" s="142">
        <f>B862*IBGE_2!AE$862/100</f>
        <v>9</v>
      </c>
      <c r="AF862" s="142">
        <f>B862*IBGE_2!AF$862/100</f>
        <v>0.8</v>
      </c>
      <c r="AG862" s="142">
        <f>B862*IBGE_2!AG$862/100</f>
        <v>0.32</v>
      </c>
      <c r="AH862" s="142">
        <f>B862*IBGE_2!AH$862/100</f>
        <v>0.03</v>
      </c>
      <c r="AI862" s="142">
        <f>B862*IBGE_2!AI$862/100</f>
        <v>333</v>
      </c>
      <c r="AJ862" s="142">
        <f>B862*IBGE_2!AJ$862/100</f>
        <v>43.2</v>
      </c>
      <c r="AK862" s="142">
        <f>B862*IBGE_2!AK$862/100</f>
        <v>2</v>
      </c>
      <c r="AL862" s="142" t="s">
        <v>3047</v>
      </c>
      <c r="AM862" s="142" t="s">
        <v>3047</v>
      </c>
      <c r="AN862" s="161"/>
    </row>
    <row r="863" spans="1:40">
      <c r="A863" s="143" t="s">
        <v>1923</v>
      </c>
      <c r="B863" s="141">
        <v>100</v>
      </c>
      <c r="C863" s="142">
        <f>B863*IBGE_2!C$863/100</f>
        <v>214</v>
      </c>
      <c r="D863" s="142">
        <f>B863*IBGE_2!D$863/100</f>
        <v>28.81</v>
      </c>
      <c r="E863" s="142">
        <f>B863*IBGE_2!E$863/100</f>
        <v>10.130000000000001</v>
      </c>
      <c r="F863" s="142">
        <f>B863*IBGE_2!F$863/100</f>
        <v>3.54</v>
      </c>
      <c r="G863" s="142">
        <f>B863*IBGE_2!G$863/100</f>
        <v>4.49</v>
      </c>
      <c r="H863" s="142">
        <f>B863*IBGE_2!H$863/100</f>
        <v>0.85</v>
      </c>
      <c r="I863" s="142">
        <f>B863*IBGE_2!I$863/100</f>
        <v>0.73</v>
      </c>
      <c r="J863" s="142">
        <f>B863*IBGE_2!J$863/100</f>
        <v>0.02</v>
      </c>
      <c r="K863" s="142">
        <f>B863*IBGE_2!K$863/100</f>
        <v>83</v>
      </c>
      <c r="L863" s="142" t="s">
        <v>3047</v>
      </c>
      <c r="M863" s="142" t="s">
        <v>3047</v>
      </c>
      <c r="N863" s="142">
        <f>B863*IBGE_2!N$863/100</f>
        <v>6</v>
      </c>
      <c r="O863" s="142">
        <f>B863*IBGE_2!O$863/100</f>
        <v>24</v>
      </c>
      <c r="P863" s="142">
        <f>B863*IBGE_2!P$863/100</f>
        <v>1.0999999999999999E-2</v>
      </c>
      <c r="Q863" s="142">
        <f>B863*IBGE_2!Q$863/100</f>
        <v>222</v>
      </c>
      <c r="R863" s="142">
        <f>B863*IBGE_2!R$863/100</f>
        <v>1</v>
      </c>
      <c r="S863" s="142">
        <f>B863*IBGE_2!S$863/100</f>
        <v>50</v>
      </c>
      <c r="T863" s="142">
        <f>B863*IBGE_2!T$863/100</f>
        <v>363</v>
      </c>
      <c r="U863" s="142">
        <f>B863*IBGE_2!U$863/100</f>
        <v>1.2E-2</v>
      </c>
      <c r="V863" s="142">
        <f>B863*IBGE_2!V$863/100</f>
        <v>2.83</v>
      </c>
      <c r="W863" s="142">
        <f>B863*IBGE_2!W$863/100</f>
        <v>2</v>
      </c>
      <c r="X863" s="142">
        <f>B863*IBGE_2!X$863/100</f>
        <v>0.63900000000000001</v>
      </c>
      <c r="Y863" s="142">
        <f>B863*IBGE_2!Y$863/100</f>
        <v>0.312</v>
      </c>
      <c r="Z863" s="142">
        <f>B863*IBGE_2!Z$863/100</f>
        <v>0.4</v>
      </c>
      <c r="AA863" s="142">
        <f>B863*IBGE_2!AA$863/100</f>
        <v>5.3550000000000004</v>
      </c>
      <c r="AB863" s="142">
        <f>B863*IBGE_2!AB$863/100</f>
        <v>0.4</v>
      </c>
      <c r="AC863" s="142">
        <f>B863*IBGE_2!AC$863/100</f>
        <v>11.455</v>
      </c>
      <c r="AD863" s="142">
        <f>B863*IBGE_2!AD$863/100</f>
        <v>0.55000000000000004</v>
      </c>
      <c r="AE863" s="142">
        <f>B863*IBGE_2!AE$863/100</f>
        <v>9</v>
      </c>
      <c r="AF863" s="142">
        <f>B863*IBGE_2!AF$863/100</f>
        <v>0.8</v>
      </c>
      <c r="AG863" s="142">
        <f>B863*IBGE_2!AG$863/100</f>
        <v>0.32</v>
      </c>
      <c r="AH863" s="142">
        <f>B863*IBGE_2!AH$863/100</f>
        <v>0.03</v>
      </c>
      <c r="AI863" s="142">
        <f>B863*IBGE_2!AI$863/100</f>
        <v>333</v>
      </c>
      <c r="AJ863" s="142">
        <f>B863*IBGE_2!AJ$863/100</f>
        <v>43.2</v>
      </c>
      <c r="AK863" s="142">
        <f>B863*IBGE_2!AK$863/100</f>
        <v>2</v>
      </c>
      <c r="AL863" s="142" t="s">
        <v>3047</v>
      </c>
      <c r="AM863" s="142" t="s">
        <v>3047</v>
      </c>
      <c r="AN863" s="161"/>
    </row>
    <row r="864" spans="1:40">
      <c r="A864" s="143" t="s">
        <v>1924</v>
      </c>
      <c r="B864" s="141">
        <v>100</v>
      </c>
      <c r="C864" s="142">
        <f>B864*IBGE_2!C$864/100</f>
        <v>63.941000000000003</v>
      </c>
      <c r="D864" s="142">
        <f>B864*IBGE_2!D$864/100</f>
        <v>3.8119999999999998</v>
      </c>
      <c r="E864" s="142">
        <f>B864*IBGE_2!E$864/100</f>
        <v>1.8069999999999999</v>
      </c>
      <c r="F864" s="142">
        <f>B864*IBGE_2!F$864/100</f>
        <v>0.67700000000000005</v>
      </c>
      <c r="G864" s="142">
        <f>B864*IBGE_2!G$864/100</f>
        <v>0.79200000000000004</v>
      </c>
      <c r="H864" s="142">
        <f>B864*IBGE_2!H$864/100</f>
        <v>9.4E-2</v>
      </c>
      <c r="I864" s="142">
        <f>B864*IBGE_2!I$864/100</f>
        <v>7.1999999999999995E-2</v>
      </c>
      <c r="J864" s="142">
        <f>B864*IBGE_2!J$864/100</f>
        <v>1.9E-2</v>
      </c>
      <c r="K864" s="142">
        <f>B864*IBGE_2!K$864/100</f>
        <v>7.86</v>
      </c>
      <c r="L864" s="142">
        <f>B864*IBGE_2!L$864/100</f>
        <v>7.7320000000000002</v>
      </c>
      <c r="M864" s="142">
        <f>B864*IBGE_2!M$864/100</f>
        <v>0.39200000000000002</v>
      </c>
      <c r="N864" s="142">
        <f>B864*IBGE_2!N$864/100</f>
        <v>6.6289999999999996</v>
      </c>
      <c r="O864" s="142">
        <f>B864*IBGE_2!O$864/100</f>
        <v>7.0270000000000001</v>
      </c>
      <c r="P864" s="142">
        <f>B864*IBGE_2!P$864/100</f>
        <v>5.2000000000000005E-2</v>
      </c>
      <c r="Q864" s="142">
        <f>B864*IBGE_2!Q$864/100</f>
        <v>39.854999999999997</v>
      </c>
      <c r="R864" s="142">
        <f>B864*IBGE_2!R$864/100</f>
        <v>0.65200000000000002</v>
      </c>
      <c r="S864" s="142">
        <f>B864*IBGE_2!S$864/100</f>
        <v>364.00900000000001</v>
      </c>
      <c r="T864" s="142">
        <f>B864*IBGE_2!T$864/100</f>
        <v>125.684</v>
      </c>
      <c r="U864" s="142">
        <f>B864*IBGE_2!U$864/100</f>
        <v>4.9000000000000002E-2</v>
      </c>
      <c r="V864" s="142">
        <f>B864*IBGE_2!V$864/100</f>
        <v>0.68200000000000005</v>
      </c>
      <c r="W864" s="142" t="s">
        <v>3047</v>
      </c>
      <c r="X864" s="142">
        <f>B864*IBGE_2!X$864/100</f>
        <v>4.7E-2</v>
      </c>
      <c r="Y864" s="142">
        <f>B864*IBGE_2!Y$864/100</f>
        <v>6.3E-2</v>
      </c>
      <c r="Z864" s="142">
        <f>B864*IBGE_2!Z$864/100</f>
        <v>6.9000000000000006E-2</v>
      </c>
      <c r="AA864" s="142">
        <f>B864*IBGE_2!AA$864/100</f>
        <v>1.2769999999999999</v>
      </c>
      <c r="AB864" s="142">
        <f>B864*IBGE_2!AB$864/100</f>
        <v>1.5740000000000001</v>
      </c>
      <c r="AC864" s="142">
        <f>B864*IBGE_2!AC$864/100</f>
        <v>1.962</v>
      </c>
      <c r="AD864" s="142">
        <f>B864*IBGE_2!AD$864/100</f>
        <v>0.33900000000000008</v>
      </c>
      <c r="AE864" s="142">
        <f>B864*IBGE_2!AE$864/100</f>
        <v>10.132999999999999</v>
      </c>
      <c r="AF864" s="142">
        <f>B864*IBGE_2!AF$864/100</f>
        <v>8.900000000000001E-2</v>
      </c>
      <c r="AG864" s="142">
        <f>B864*IBGE_2!AG$864/100</f>
        <v>3.9E-2</v>
      </c>
      <c r="AH864" s="142">
        <f>B864*IBGE_2!AH$864/100</f>
        <v>7.6999999999999999E-2</v>
      </c>
      <c r="AI864" s="142">
        <f>B864*IBGE_2!AI$864/100</f>
        <v>333</v>
      </c>
      <c r="AJ864" s="142">
        <f>B864*IBGE_2!AJ$864/100</f>
        <v>4.8079999999999998</v>
      </c>
      <c r="AK864" s="142">
        <f>B864*IBGE_2!AK$864/100</f>
        <v>0.745</v>
      </c>
      <c r="AL864" s="142">
        <f>B864*IBGE_2!AL$864/100</f>
        <v>0.24199999999999999</v>
      </c>
      <c r="AM864" s="142" t="s">
        <v>3047</v>
      </c>
      <c r="AN864" s="161"/>
    </row>
    <row r="865" spans="1:40">
      <c r="A865" s="143" t="s">
        <v>1925</v>
      </c>
      <c r="B865" s="141">
        <v>100</v>
      </c>
      <c r="C865" s="142">
        <f>B865*IBGE_2!C$865/100</f>
        <v>214</v>
      </c>
      <c r="D865" s="142">
        <f>B865*IBGE_2!D$865/100</f>
        <v>28.81</v>
      </c>
      <c r="E865" s="142">
        <f>B865*IBGE_2!E$865/100</f>
        <v>10.130000000000001</v>
      </c>
      <c r="F865" s="142">
        <f>B865*IBGE_2!F$865/100</f>
        <v>3.54</v>
      </c>
      <c r="G865" s="142">
        <f>B865*IBGE_2!G$865/100</f>
        <v>4.49</v>
      </c>
      <c r="H865" s="142">
        <f>B865*IBGE_2!H$865/100</f>
        <v>0.85</v>
      </c>
      <c r="I865" s="142">
        <f>B865*IBGE_2!I$865/100</f>
        <v>0.73</v>
      </c>
      <c r="J865" s="142">
        <f>B865*IBGE_2!J$865/100</f>
        <v>0.02</v>
      </c>
      <c r="K865" s="142">
        <f>B865*IBGE_2!K$865/100</f>
        <v>83</v>
      </c>
      <c r="L865" s="142" t="s">
        <v>3047</v>
      </c>
      <c r="M865" s="142" t="s">
        <v>3047</v>
      </c>
      <c r="N865" s="142">
        <f>B865*IBGE_2!N$865/100</f>
        <v>6</v>
      </c>
      <c r="O865" s="142">
        <f>B865*IBGE_2!O$865/100</f>
        <v>24</v>
      </c>
      <c r="P865" s="142">
        <f>B865*IBGE_2!P$865/100</f>
        <v>1.0999999999999999E-2</v>
      </c>
      <c r="Q865" s="142">
        <f>B865*IBGE_2!Q$865/100</f>
        <v>222</v>
      </c>
      <c r="R865" s="142">
        <f>B865*IBGE_2!R$865/100</f>
        <v>1</v>
      </c>
      <c r="S865" s="142">
        <f>B865*IBGE_2!S$865/100</f>
        <v>50</v>
      </c>
      <c r="T865" s="142">
        <f>B865*IBGE_2!T$865/100</f>
        <v>363</v>
      </c>
      <c r="U865" s="142">
        <f>B865*IBGE_2!U$865/100</f>
        <v>1.2E-2</v>
      </c>
      <c r="V865" s="142">
        <f>B865*IBGE_2!V$865/100</f>
        <v>2.83</v>
      </c>
      <c r="W865" s="142">
        <f>B865*IBGE_2!W$865/100</f>
        <v>2</v>
      </c>
      <c r="X865" s="142">
        <f>B865*IBGE_2!X$865/100</f>
        <v>0.63900000000000001</v>
      </c>
      <c r="Y865" s="142">
        <f>B865*IBGE_2!Y$865/100</f>
        <v>0.312</v>
      </c>
      <c r="Z865" s="142">
        <f>B865*IBGE_2!Z$865/100</f>
        <v>0.4</v>
      </c>
      <c r="AA865" s="142">
        <f>B865*IBGE_2!AA$865/100</f>
        <v>5.3550000000000004</v>
      </c>
      <c r="AB865" s="142">
        <f>B865*IBGE_2!AB$865/100</f>
        <v>0.4</v>
      </c>
      <c r="AC865" s="142">
        <f>B865*IBGE_2!AC$865/100</f>
        <v>11.455</v>
      </c>
      <c r="AD865" s="142">
        <f>B865*IBGE_2!AD$865/100</f>
        <v>0.55000000000000004</v>
      </c>
      <c r="AE865" s="142">
        <f>B865*IBGE_2!AE$865/100</f>
        <v>9</v>
      </c>
      <c r="AF865" s="142">
        <f>B865*IBGE_2!AF$865/100</f>
        <v>0.8</v>
      </c>
      <c r="AG865" s="142">
        <f>B865*IBGE_2!AG$865/100</f>
        <v>0.32</v>
      </c>
      <c r="AH865" s="142">
        <f>B865*IBGE_2!AH$865/100</f>
        <v>0.03</v>
      </c>
      <c r="AI865" s="142">
        <f>B865*IBGE_2!AI$865/100</f>
        <v>333</v>
      </c>
      <c r="AJ865" s="142">
        <f>B865*IBGE_2!AJ$865/100</f>
        <v>43.2</v>
      </c>
      <c r="AK865" s="142">
        <f>B865*IBGE_2!AK$865/100</f>
        <v>2</v>
      </c>
      <c r="AL865" s="142" t="s">
        <v>3047</v>
      </c>
      <c r="AM865" s="142" t="s">
        <v>3047</v>
      </c>
      <c r="AN865" s="161"/>
    </row>
    <row r="866" spans="1:40">
      <c r="A866" s="143" t="s">
        <v>1926</v>
      </c>
      <c r="B866" s="141">
        <v>100</v>
      </c>
      <c r="C866" s="142">
        <f>B866*IBGE_2!C$866/100</f>
        <v>221.65899999999999</v>
      </c>
      <c r="D866" s="142">
        <f>B866*IBGE_2!D$866/100</f>
        <v>36.119999999999997</v>
      </c>
      <c r="E866" s="142">
        <f>B866*IBGE_2!E$866/100</f>
        <v>7.5629999999999997</v>
      </c>
      <c r="F866" s="142">
        <f>B866*IBGE_2!F$866/100</f>
        <v>2.121</v>
      </c>
      <c r="G866" s="142">
        <f>B866*IBGE_2!G$866/100</f>
        <v>2.5840000000000005</v>
      </c>
      <c r="H866" s="142">
        <f>B866*IBGE_2!H$866/100</f>
        <v>1.7</v>
      </c>
      <c r="I866" s="142">
        <f>B866*IBGE_2!I$866/100</f>
        <v>1.476</v>
      </c>
      <c r="J866" s="142">
        <f>B866*IBGE_2!J$866/100</f>
        <v>0.19400000000000003</v>
      </c>
      <c r="K866" s="142">
        <f>B866*IBGE_2!K$866/100</f>
        <v>90</v>
      </c>
      <c r="L866" s="142" t="s">
        <v>3047</v>
      </c>
      <c r="M866" s="142" t="s">
        <v>3047</v>
      </c>
      <c r="N866" s="142">
        <f>B866*IBGE_2!N$866/100</f>
        <v>4</v>
      </c>
      <c r="O866" s="142">
        <f>B866*IBGE_2!O$866/100</f>
        <v>26</v>
      </c>
      <c r="P866" s="142">
        <f>B866*IBGE_2!P$866/100</f>
        <v>1.7999999999999999E-2</v>
      </c>
      <c r="Q866" s="142">
        <f>B866*IBGE_2!Q$866/100</f>
        <v>226</v>
      </c>
      <c r="R866" s="142">
        <f>B866*IBGE_2!R$866/100</f>
        <v>3.3210000000000002</v>
      </c>
      <c r="S866" s="142">
        <f>B866*IBGE_2!S$866/100</f>
        <v>45</v>
      </c>
      <c r="T866" s="142">
        <f>B866*IBGE_2!T$866/100</f>
        <v>334</v>
      </c>
      <c r="U866" s="142">
        <f>B866*IBGE_2!U$866/100</f>
        <v>0.124</v>
      </c>
      <c r="V866" s="142">
        <f>B866*IBGE_2!V$866/100</f>
        <v>4.5599999999999996</v>
      </c>
      <c r="W866" s="142" t="s">
        <v>3047</v>
      </c>
      <c r="X866" s="142">
        <f>B866*IBGE_2!X$866/100</f>
        <v>7.0000000000000007E-2</v>
      </c>
      <c r="Y866" s="142">
        <f>B866*IBGE_2!Y$866/100</f>
        <v>0.25</v>
      </c>
      <c r="Z866" s="142">
        <f>B866*IBGE_2!Z$866/100</f>
        <v>0.28000000000000003</v>
      </c>
      <c r="AA866" s="142">
        <f>B866*IBGE_2!AA$866/100</f>
        <v>3.81</v>
      </c>
      <c r="AB866" s="142" t="s">
        <v>3047</v>
      </c>
      <c r="AC866" s="142">
        <f>B866*IBGE_2!AC$866/100</f>
        <v>7.76</v>
      </c>
      <c r="AD866" s="142">
        <f>B866*IBGE_2!AD$866/100</f>
        <v>2.7</v>
      </c>
      <c r="AE866" s="142">
        <f>B866*IBGE_2!AE$866/100</f>
        <v>9</v>
      </c>
      <c r="AF866" s="142">
        <f>B866*IBGE_2!AF$866/100</f>
        <v>0.7</v>
      </c>
      <c r="AG866" s="142">
        <f>B866*IBGE_2!AG$866/100</f>
        <v>0.35</v>
      </c>
      <c r="AH866" s="142">
        <f>B866*IBGE_2!AH$866/100</f>
        <v>0.24099999999999999</v>
      </c>
      <c r="AI866" s="142">
        <f>B866*IBGE_2!AI$866/100</f>
        <v>333</v>
      </c>
      <c r="AJ866" s="142">
        <f>B866*IBGE_2!AJ$866/100</f>
        <v>34.174999999999997</v>
      </c>
      <c r="AK866" s="145" t="s">
        <v>3047</v>
      </c>
      <c r="AL866" s="142" t="s">
        <v>3047</v>
      </c>
      <c r="AM866" s="142" t="s">
        <v>3047</v>
      </c>
      <c r="AN866" s="161"/>
    </row>
    <row r="867" spans="1:40">
      <c r="A867" s="143" t="s">
        <v>1927</v>
      </c>
      <c r="B867" s="141">
        <v>100</v>
      </c>
      <c r="C867" s="142">
        <f>B867*IBGE_2!C$867/100</f>
        <v>214</v>
      </c>
      <c r="D867" s="142">
        <f>B867*IBGE_2!D$867/100</f>
        <v>28.81</v>
      </c>
      <c r="E867" s="142">
        <f>B867*IBGE_2!E$867/100</f>
        <v>10.130000000000001</v>
      </c>
      <c r="F867" s="142">
        <f>B867*IBGE_2!F$867/100</f>
        <v>3.54</v>
      </c>
      <c r="G867" s="142">
        <f>B867*IBGE_2!G$867/100</f>
        <v>4.49</v>
      </c>
      <c r="H867" s="142">
        <f>B867*IBGE_2!H$867/100</f>
        <v>0.85</v>
      </c>
      <c r="I867" s="142">
        <f>B867*IBGE_2!I$867/100</f>
        <v>0.73</v>
      </c>
      <c r="J867" s="142">
        <f>B867*IBGE_2!J$867/100</f>
        <v>0.02</v>
      </c>
      <c r="K867" s="142">
        <f>B867*IBGE_2!K$867/100</f>
        <v>83</v>
      </c>
      <c r="L867" s="142" t="s">
        <v>3047</v>
      </c>
      <c r="M867" s="142" t="s">
        <v>3047</v>
      </c>
      <c r="N867" s="142">
        <f>B867*IBGE_2!N$867/100</f>
        <v>6</v>
      </c>
      <c r="O867" s="142">
        <f>B867*IBGE_2!O$867/100</f>
        <v>24</v>
      </c>
      <c r="P867" s="142">
        <f>B867*IBGE_2!P$867/100</f>
        <v>1.0999999999999999E-2</v>
      </c>
      <c r="Q867" s="142">
        <f>B867*IBGE_2!Q$867/100</f>
        <v>222</v>
      </c>
      <c r="R867" s="142">
        <f>B867*IBGE_2!R$867/100</f>
        <v>1</v>
      </c>
      <c r="S867" s="142">
        <f>B867*IBGE_2!S$867/100</f>
        <v>50</v>
      </c>
      <c r="T867" s="142">
        <f>B867*IBGE_2!T$867/100</f>
        <v>363</v>
      </c>
      <c r="U867" s="142">
        <f>B867*IBGE_2!U$867/100</f>
        <v>1.2E-2</v>
      </c>
      <c r="V867" s="142">
        <f>B867*IBGE_2!V$867/100</f>
        <v>2.83</v>
      </c>
      <c r="W867" s="142">
        <f>B867*IBGE_2!W$867/100</f>
        <v>2</v>
      </c>
      <c r="X867" s="142">
        <f>B867*IBGE_2!X$867/100</f>
        <v>0.63900000000000001</v>
      </c>
      <c r="Y867" s="142">
        <f>B867*IBGE_2!Y$867/100</f>
        <v>0.312</v>
      </c>
      <c r="Z867" s="142">
        <f>B867*IBGE_2!Z$867/100</f>
        <v>0.4</v>
      </c>
      <c r="AA867" s="142">
        <f>B867*IBGE_2!AA$867/100</f>
        <v>5.3550000000000004</v>
      </c>
      <c r="AB867" s="142">
        <f>B867*IBGE_2!AB$867/100</f>
        <v>0.4</v>
      </c>
      <c r="AC867" s="142">
        <f>B867*IBGE_2!AC$867/100</f>
        <v>11.455</v>
      </c>
      <c r="AD867" s="142">
        <f>B867*IBGE_2!AD$867/100</f>
        <v>0.55000000000000004</v>
      </c>
      <c r="AE867" s="142">
        <f>B867*IBGE_2!AE$867/100</f>
        <v>9</v>
      </c>
      <c r="AF867" s="142">
        <f>B867*IBGE_2!AF$867/100</f>
        <v>0.8</v>
      </c>
      <c r="AG867" s="142">
        <f>B867*IBGE_2!AG$867/100</f>
        <v>0.32</v>
      </c>
      <c r="AH867" s="142">
        <f>B867*IBGE_2!AH$867/100</f>
        <v>0.03</v>
      </c>
      <c r="AI867" s="142">
        <f>B867*IBGE_2!AI$867/100</f>
        <v>333</v>
      </c>
      <c r="AJ867" s="142">
        <f>B867*IBGE_2!AJ$867/100</f>
        <v>43.2</v>
      </c>
      <c r="AK867" s="142">
        <f>B867*IBGE_2!AK$867/100</f>
        <v>2</v>
      </c>
      <c r="AL867" s="142" t="s">
        <v>3047</v>
      </c>
      <c r="AM867" s="142" t="s">
        <v>3047</v>
      </c>
      <c r="AN867" s="161"/>
    </row>
    <row r="868" spans="1:40">
      <c r="A868" s="143" t="s">
        <v>1928</v>
      </c>
      <c r="B868" s="141">
        <v>100</v>
      </c>
      <c r="C868" s="142">
        <f>B868*IBGE_2!C$868/100</f>
        <v>397</v>
      </c>
      <c r="D868" s="142">
        <f>B868*IBGE_2!D$868/100</f>
        <v>29.06</v>
      </c>
      <c r="E868" s="142">
        <f>B868*IBGE_2!E$868/100</f>
        <v>30.3</v>
      </c>
      <c r="F868" s="142">
        <f>B868*IBGE_2!F$868/100</f>
        <v>11.12</v>
      </c>
      <c r="G868" s="142">
        <f>B868*IBGE_2!G$868/100</f>
        <v>13.48</v>
      </c>
      <c r="H868" s="142">
        <f>B868*IBGE_2!H$868/100</f>
        <v>2.73</v>
      </c>
      <c r="I868" s="142">
        <f>B868*IBGE_2!I$868/100</f>
        <v>2.5099999999999998</v>
      </c>
      <c r="J868" s="142">
        <f>B868*IBGE_2!J$868/100</f>
        <v>0.11</v>
      </c>
      <c r="K868" s="142">
        <f>B868*IBGE_2!K$868/100</f>
        <v>121</v>
      </c>
      <c r="L868" s="142" t="s">
        <v>3047</v>
      </c>
      <c r="M868" s="142" t="s">
        <v>3047</v>
      </c>
      <c r="N868" s="142">
        <f>B868*IBGE_2!N$868/100</f>
        <v>47</v>
      </c>
      <c r="O868" s="142">
        <f>B868*IBGE_2!O$868/100</f>
        <v>24</v>
      </c>
      <c r="P868" s="142">
        <f>B868*IBGE_2!P$868/100</f>
        <v>1.4000000000000002E-2</v>
      </c>
      <c r="Q868" s="142">
        <f>B868*IBGE_2!Q$868/100</f>
        <v>261</v>
      </c>
      <c r="R868" s="142">
        <f>B868*IBGE_2!R$868/100</f>
        <v>1.85</v>
      </c>
      <c r="S868" s="142">
        <f>B868*IBGE_2!S$868/100</f>
        <v>93</v>
      </c>
      <c r="T868" s="142">
        <f>B868*IBGE_2!T$868/100</f>
        <v>320</v>
      </c>
      <c r="U868" s="142">
        <f>B868*IBGE_2!U$868/100</f>
        <v>0.14199999999999999</v>
      </c>
      <c r="V868" s="142">
        <f>B868*IBGE_2!V$868/100</f>
        <v>4.5999999999999996</v>
      </c>
      <c r="W868" s="142">
        <f>B868*IBGE_2!W$868/100</f>
        <v>3</v>
      </c>
      <c r="X868" s="142">
        <f>B868*IBGE_2!X$868/100</f>
        <v>0.40799999999999997</v>
      </c>
      <c r="Y868" s="142">
        <f>B868*IBGE_2!Y$868/100</f>
        <v>0.38200000000000001</v>
      </c>
      <c r="Z868" s="142">
        <f>B868*IBGE_2!Z$868/100</f>
        <v>0.35</v>
      </c>
      <c r="AA868" s="142">
        <f>B868*IBGE_2!AA$868/100</f>
        <v>5.4749999999999996</v>
      </c>
      <c r="AB868" s="142" t="s">
        <v>3047</v>
      </c>
      <c r="AC868" s="142">
        <f>B868*IBGE_2!AC$868/100</f>
        <v>11.625</v>
      </c>
      <c r="AD868" s="142">
        <f>B868*IBGE_2!AD$868/100</f>
        <v>1.08</v>
      </c>
      <c r="AE868" s="142">
        <f>B868*IBGE_2!AE$868/100</f>
        <v>4</v>
      </c>
      <c r="AF868" s="142">
        <f>B868*IBGE_2!AF$868/100</f>
        <v>1.1000000000000001</v>
      </c>
      <c r="AG868" s="142">
        <f>B868*IBGE_2!AG$868/100</f>
        <v>0.34</v>
      </c>
      <c r="AH868" s="142">
        <f>B868*IBGE_2!AH$868/100</f>
        <v>8.2000000000000017E-2</v>
      </c>
      <c r="AI868" s="142">
        <f>B868*IBGE_2!AI$868/100</f>
        <v>333</v>
      </c>
      <c r="AJ868" s="142">
        <f>B868*IBGE_2!AJ$868/100</f>
        <v>37.4</v>
      </c>
      <c r="AK868" s="142">
        <f>B868*IBGE_2!AK$868/100</f>
        <v>3</v>
      </c>
      <c r="AL868" s="142" t="s">
        <v>3047</v>
      </c>
      <c r="AM868" s="142" t="s">
        <v>3047</v>
      </c>
      <c r="AN868" s="161"/>
    </row>
    <row r="869" spans="1:40">
      <c r="A869" s="143" t="s">
        <v>1929</v>
      </c>
      <c r="B869" s="141">
        <v>100</v>
      </c>
      <c r="C869" s="142">
        <f>B869*IBGE_2!C$869/100</f>
        <v>397</v>
      </c>
      <c r="D869" s="142">
        <f>B869*IBGE_2!D$869/100</f>
        <v>29.06</v>
      </c>
      <c r="E869" s="142">
        <f>B869*IBGE_2!E$869/100</f>
        <v>30.3</v>
      </c>
      <c r="F869" s="142">
        <f>B869*IBGE_2!F$869/100</f>
        <v>11.12</v>
      </c>
      <c r="G869" s="142">
        <f>B869*IBGE_2!G$869/100</f>
        <v>13.48</v>
      </c>
      <c r="H869" s="142">
        <f>B869*IBGE_2!H$869/100</f>
        <v>2.73</v>
      </c>
      <c r="I869" s="142">
        <f>B869*IBGE_2!I$869/100</f>
        <v>2.5099999999999998</v>
      </c>
      <c r="J869" s="142">
        <f>B869*IBGE_2!J$869/100</f>
        <v>0.11</v>
      </c>
      <c r="K869" s="142">
        <f>B869*IBGE_2!K$869/100</f>
        <v>121</v>
      </c>
      <c r="L869" s="142" t="s">
        <v>3047</v>
      </c>
      <c r="M869" s="142" t="s">
        <v>3047</v>
      </c>
      <c r="N869" s="142">
        <f>B869*IBGE_2!N$869/100</f>
        <v>47</v>
      </c>
      <c r="O869" s="142">
        <f>B869*IBGE_2!O$869/100</f>
        <v>24</v>
      </c>
      <c r="P869" s="142">
        <f>B869*IBGE_2!P$869/100</f>
        <v>1.4000000000000002E-2</v>
      </c>
      <c r="Q869" s="142">
        <f>B869*IBGE_2!Q$869/100</f>
        <v>261</v>
      </c>
      <c r="R869" s="142">
        <f>B869*IBGE_2!R$869/100</f>
        <v>1.85</v>
      </c>
      <c r="S869" s="142">
        <f>B869*IBGE_2!S$869/100</f>
        <v>93</v>
      </c>
      <c r="T869" s="142">
        <f>B869*IBGE_2!T$869/100</f>
        <v>320</v>
      </c>
      <c r="U869" s="142">
        <f>B869*IBGE_2!U$869/100</f>
        <v>0.14199999999999999</v>
      </c>
      <c r="V869" s="142">
        <f>B869*IBGE_2!V$869/100</f>
        <v>4.5999999999999996</v>
      </c>
      <c r="W869" s="142">
        <f>B869*IBGE_2!W$869/100</f>
        <v>3</v>
      </c>
      <c r="X869" s="142">
        <f>B869*IBGE_2!X$869/100</f>
        <v>0.40799999999999997</v>
      </c>
      <c r="Y869" s="142">
        <f>B869*IBGE_2!Y$869/100</f>
        <v>0.38200000000000001</v>
      </c>
      <c r="Z869" s="142">
        <f>B869*IBGE_2!Z$869/100</f>
        <v>0.35</v>
      </c>
      <c r="AA869" s="142">
        <f>B869*IBGE_2!AA$869/100</f>
        <v>5.4749999999999996</v>
      </c>
      <c r="AB869" s="142" t="s">
        <v>3047</v>
      </c>
      <c r="AC869" s="142">
        <f>B869*IBGE_2!AC$869/100</f>
        <v>11.625</v>
      </c>
      <c r="AD869" s="142">
        <f>B869*IBGE_2!AD$869/100</f>
        <v>1.08</v>
      </c>
      <c r="AE869" s="142">
        <f>B869*IBGE_2!AE$869/100</f>
        <v>4</v>
      </c>
      <c r="AF869" s="142">
        <f>B869*IBGE_2!AF$869/100</f>
        <v>1.1000000000000001</v>
      </c>
      <c r="AG869" s="142">
        <f>B869*IBGE_2!AG$869/100</f>
        <v>0.34</v>
      </c>
      <c r="AH869" s="142">
        <f>B869*IBGE_2!AH$869/100</f>
        <v>8.2000000000000017E-2</v>
      </c>
      <c r="AI869" s="142">
        <f>B869*IBGE_2!AI$869/100</f>
        <v>333</v>
      </c>
      <c r="AJ869" s="142">
        <f>B869*IBGE_2!AJ$869/100</f>
        <v>37.4</v>
      </c>
      <c r="AK869" s="142">
        <f>B869*IBGE_2!AK$869/100</f>
        <v>3</v>
      </c>
      <c r="AL869" s="142" t="s">
        <v>3047</v>
      </c>
      <c r="AM869" s="142" t="s">
        <v>3047</v>
      </c>
      <c r="AN869" s="161"/>
    </row>
    <row r="870" spans="1:40">
      <c r="A870" s="143" t="s">
        <v>1930</v>
      </c>
      <c r="B870" s="141">
        <v>100</v>
      </c>
      <c r="C870" s="142">
        <f>B870*IBGE_2!C$870/100</f>
        <v>397</v>
      </c>
      <c r="D870" s="142">
        <f>B870*IBGE_2!D$870/100</f>
        <v>29.06</v>
      </c>
      <c r="E870" s="142">
        <f>B870*IBGE_2!E$870/100</f>
        <v>30.3</v>
      </c>
      <c r="F870" s="142">
        <f>B870*IBGE_2!F$870/100</f>
        <v>11.12</v>
      </c>
      <c r="G870" s="142">
        <f>B870*IBGE_2!G$870/100</f>
        <v>13.48</v>
      </c>
      <c r="H870" s="142">
        <f>B870*IBGE_2!H$870/100</f>
        <v>2.73</v>
      </c>
      <c r="I870" s="142">
        <f>B870*IBGE_2!I$870/100</f>
        <v>2.5099999999999998</v>
      </c>
      <c r="J870" s="142">
        <f>B870*IBGE_2!J$870/100</f>
        <v>0.11</v>
      </c>
      <c r="K870" s="142">
        <f>B870*IBGE_2!K$870/100</f>
        <v>121</v>
      </c>
      <c r="L870" s="142" t="s">
        <v>3047</v>
      </c>
      <c r="M870" s="142" t="s">
        <v>3047</v>
      </c>
      <c r="N870" s="142">
        <f>B870*IBGE_2!N$870/100</f>
        <v>47</v>
      </c>
      <c r="O870" s="142">
        <f>B870*IBGE_2!O$870/100</f>
        <v>24</v>
      </c>
      <c r="P870" s="142">
        <f>B870*IBGE_2!P$870/100</f>
        <v>1.4000000000000002E-2</v>
      </c>
      <c r="Q870" s="142">
        <f>B870*IBGE_2!Q$870/100</f>
        <v>261</v>
      </c>
      <c r="R870" s="142">
        <f>B870*IBGE_2!R$870/100</f>
        <v>1.85</v>
      </c>
      <c r="S870" s="142">
        <f>B870*IBGE_2!S$870/100</f>
        <v>93</v>
      </c>
      <c r="T870" s="142">
        <f>B870*IBGE_2!T$870/100</f>
        <v>320</v>
      </c>
      <c r="U870" s="142">
        <f>B870*IBGE_2!U$870/100</f>
        <v>0.14199999999999999</v>
      </c>
      <c r="V870" s="142">
        <f>B870*IBGE_2!V$870/100</f>
        <v>4.5999999999999996</v>
      </c>
      <c r="W870" s="142">
        <f>B870*IBGE_2!W$870/100</f>
        <v>3</v>
      </c>
      <c r="X870" s="142">
        <f>B870*IBGE_2!X$870/100</f>
        <v>0.40799999999999997</v>
      </c>
      <c r="Y870" s="142">
        <f>B870*IBGE_2!Y$870/100</f>
        <v>0.38200000000000001</v>
      </c>
      <c r="Z870" s="142">
        <f>B870*IBGE_2!Z$870/100</f>
        <v>0.35</v>
      </c>
      <c r="AA870" s="142">
        <f>B870*IBGE_2!AA$870/100</f>
        <v>5.4749999999999996</v>
      </c>
      <c r="AB870" s="142" t="s">
        <v>3047</v>
      </c>
      <c r="AC870" s="142">
        <f>B870*IBGE_2!AC$870/100</f>
        <v>11.625</v>
      </c>
      <c r="AD870" s="142">
        <f>B870*IBGE_2!AD$870/100</f>
        <v>1.08</v>
      </c>
      <c r="AE870" s="142">
        <f>B870*IBGE_2!AE$870/100</f>
        <v>4</v>
      </c>
      <c r="AF870" s="142">
        <f>B870*IBGE_2!AF$870/100</f>
        <v>1.1000000000000001</v>
      </c>
      <c r="AG870" s="142">
        <f>B870*IBGE_2!AG$870/100</f>
        <v>0.34</v>
      </c>
      <c r="AH870" s="142">
        <f>B870*IBGE_2!AH$870/100</f>
        <v>8.2000000000000017E-2</v>
      </c>
      <c r="AI870" s="142">
        <f>B870*IBGE_2!AI$870/100</f>
        <v>333</v>
      </c>
      <c r="AJ870" s="142">
        <f>B870*IBGE_2!AJ$870/100</f>
        <v>37.4</v>
      </c>
      <c r="AK870" s="142">
        <f>B870*IBGE_2!AK$870/100</f>
        <v>3</v>
      </c>
      <c r="AL870" s="142" t="s">
        <v>3047</v>
      </c>
      <c r="AM870" s="142" t="s">
        <v>3047</v>
      </c>
      <c r="AN870" s="161"/>
    </row>
    <row r="871" spans="1:40">
      <c r="A871" s="143" t="s">
        <v>1931</v>
      </c>
      <c r="B871" s="141">
        <v>100</v>
      </c>
      <c r="C871" s="142">
        <f>B871*IBGE_2!C$871/100</f>
        <v>397</v>
      </c>
      <c r="D871" s="142">
        <f>B871*IBGE_2!D$871/100</f>
        <v>29.06</v>
      </c>
      <c r="E871" s="142">
        <f>B871*IBGE_2!E$871/100</f>
        <v>30.3</v>
      </c>
      <c r="F871" s="142">
        <f>B871*IBGE_2!F$871/100</f>
        <v>11.12</v>
      </c>
      <c r="G871" s="142">
        <f>B871*IBGE_2!G$871/100</f>
        <v>13.48</v>
      </c>
      <c r="H871" s="142">
        <f>B871*IBGE_2!H$871/100</f>
        <v>2.73</v>
      </c>
      <c r="I871" s="142">
        <f>B871*IBGE_2!I$871/100</f>
        <v>2.5099999999999998</v>
      </c>
      <c r="J871" s="142">
        <f>B871*IBGE_2!J$871/100</f>
        <v>0.11</v>
      </c>
      <c r="K871" s="142">
        <f>B871*IBGE_2!K$871/100</f>
        <v>121</v>
      </c>
      <c r="L871" s="142" t="s">
        <v>3047</v>
      </c>
      <c r="M871" s="142" t="s">
        <v>3047</v>
      </c>
      <c r="N871" s="142">
        <f>B871*IBGE_2!N$871/100</f>
        <v>47</v>
      </c>
      <c r="O871" s="142">
        <f>B871*IBGE_2!O$871/100</f>
        <v>24</v>
      </c>
      <c r="P871" s="142">
        <f>B871*IBGE_2!P$871/100</f>
        <v>1.4000000000000002E-2</v>
      </c>
      <c r="Q871" s="142">
        <f>B871*IBGE_2!Q$871/100</f>
        <v>261</v>
      </c>
      <c r="R871" s="142">
        <f>B871*IBGE_2!R$871/100</f>
        <v>1.85</v>
      </c>
      <c r="S871" s="142">
        <f>B871*IBGE_2!S$871/100</f>
        <v>93</v>
      </c>
      <c r="T871" s="142">
        <f>B871*IBGE_2!T$871/100</f>
        <v>320</v>
      </c>
      <c r="U871" s="142">
        <f>B871*IBGE_2!U$871/100</f>
        <v>0.14199999999999999</v>
      </c>
      <c r="V871" s="142">
        <f>B871*IBGE_2!V$871/100</f>
        <v>4.5999999999999996</v>
      </c>
      <c r="W871" s="142">
        <f>B871*IBGE_2!W$871/100</f>
        <v>3</v>
      </c>
      <c r="X871" s="142">
        <f>B871*IBGE_2!X$871/100</f>
        <v>0.40799999999999997</v>
      </c>
      <c r="Y871" s="142">
        <f>B871*IBGE_2!Y$871/100</f>
        <v>0.38200000000000001</v>
      </c>
      <c r="Z871" s="142">
        <f>B871*IBGE_2!Z$871/100</f>
        <v>0.35</v>
      </c>
      <c r="AA871" s="142">
        <f>B871*IBGE_2!AA$871/100</f>
        <v>5.4749999999999996</v>
      </c>
      <c r="AB871" s="142" t="s">
        <v>3047</v>
      </c>
      <c r="AC871" s="142">
        <f>B871*IBGE_2!AC$871/100</f>
        <v>11.625</v>
      </c>
      <c r="AD871" s="142">
        <f>B871*IBGE_2!AD$871/100</f>
        <v>1.08</v>
      </c>
      <c r="AE871" s="142">
        <f>B871*IBGE_2!AE$871/100</f>
        <v>4</v>
      </c>
      <c r="AF871" s="142">
        <f>B871*IBGE_2!AF$871/100</f>
        <v>1.1000000000000001</v>
      </c>
      <c r="AG871" s="142">
        <f>B871*IBGE_2!AG$871/100</f>
        <v>0.34</v>
      </c>
      <c r="AH871" s="142">
        <f>B871*IBGE_2!AH$871/100</f>
        <v>8.2000000000000017E-2</v>
      </c>
      <c r="AI871" s="142">
        <f>B871*IBGE_2!AI$871/100</f>
        <v>333</v>
      </c>
      <c r="AJ871" s="142">
        <f>B871*IBGE_2!AJ$871/100</f>
        <v>37.4</v>
      </c>
      <c r="AK871" s="142">
        <f>B871*IBGE_2!AK$871/100</f>
        <v>3</v>
      </c>
      <c r="AL871" s="142" t="s">
        <v>3047</v>
      </c>
      <c r="AM871" s="142" t="s">
        <v>3047</v>
      </c>
      <c r="AN871" s="161"/>
    </row>
    <row r="872" spans="1:40">
      <c r="A872" s="143" t="s">
        <v>1932</v>
      </c>
      <c r="B872" s="141">
        <v>100</v>
      </c>
      <c r="C872" s="142">
        <f>B872*IBGE_2!C$872/100</f>
        <v>397</v>
      </c>
      <c r="D872" s="142">
        <f>B872*IBGE_2!D$872/100</f>
        <v>29.06</v>
      </c>
      <c r="E872" s="142">
        <f>B872*IBGE_2!E$872/100</f>
        <v>30.3</v>
      </c>
      <c r="F872" s="142">
        <f>B872*IBGE_2!F$872/100</f>
        <v>11.12</v>
      </c>
      <c r="G872" s="142">
        <f>B872*IBGE_2!G$872/100</f>
        <v>13.48</v>
      </c>
      <c r="H872" s="142">
        <f>B872*IBGE_2!H$872/100</f>
        <v>2.73</v>
      </c>
      <c r="I872" s="142">
        <f>B872*IBGE_2!I$872/100</f>
        <v>2.5099999999999998</v>
      </c>
      <c r="J872" s="142">
        <f>B872*IBGE_2!J$872/100</f>
        <v>0.11</v>
      </c>
      <c r="K872" s="142">
        <f>B872*IBGE_2!K$872/100</f>
        <v>121</v>
      </c>
      <c r="L872" s="142" t="s">
        <v>3047</v>
      </c>
      <c r="M872" s="142" t="s">
        <v>3047</v>
      </c>
      <c r="N872" s="142">
        <f>B872*IBGE_2!N$872/100</f>
        <v>47</v>
      </c>
      <c r="O872" s="142">
        <f>B872*IBGE_2!O$872/100</f>
        <v>24</v>
      </c>
      <c r="P872" s="142">
        <f>B872*IBGE_2!P$872/100</f>
        <v>1.4000000000000002E-2</v>
      </c>
      <c r="Q872" s="142">
        <f>B872*IBGE_2!Q$872/100</f>
        <v>261</v>
      </c>
      <c r="R872" s="142">
        <f>B872*IBGE_2!R$872/100</f>
        <v>1.85</v>
      </c>
      <c r="S872" s="142">
        <f>B872*IBGE_2!S$872/100</f>
        <v>93</v>
      </c>
      <c r="T872" s="142">
        <f>B872*IBGE_2!T$872/100</f>
        <v>320</v>
      </c>
      <c r="U872" s="142">
        <f>B872*IBGE_2!U$872/100</f>
        <v>0.14199999999999999</v>
      </c>
      <c r="V872" s="142">
        <f>B872*IBGE_2!V$872/100</f>
        <v>4.5999999999999996</v>
      </c>
      <c r="W872" s="142">
        <f>B872*IBGE_2!W$872/100</f>
        <v>3</v>
      </c>
      <c r="X872" s="142">
        <f>B872*IBGE_2!X$872/100</f>
        <v>0.40799999999999997</v>
      </c>
      <c r="Y872" s="142">
        <f>B872*IBGE_2!Y$872/100</f>
        <v>0.38200000000000001</v>
      </c>
      <c r="Z872" s="142">
        <f>B872*IBGE_2!Z$872/100</f>
        <v>0.35</v>
      </c>
      <c r="AA872" s="142">
        <f>B872*IBGE_2!AA$872/100</f>
        <v>5.4749999999999996</v>
      </c>
      <c r="AB872" s="142" t="s">
        <v>3047</v>
      </c>
      <c r="AC872" s="142">
        <f>B872*IBGE_2!AC$872/100</f>
        <v>11.625</v>
      </c>
      <c r="AD872" s="142">
        <f>B872*IBGE_2!AD$872/100</f>
        <v>1.08</v>
      </c>
      <c r="AE872" s="142">
        <f>B872*IBGE_2!AE$872/100</f>
        <v>4</v>
      </c>
      <c r="AF872" s="142">
        <f>B872*IBGE_2!AF$872/100</f>
        <v>1.1000000000000001</v>
      </c>
      <c r="AG872" s="142">
        <f>B872*IBGE_2!AG$872/100</f>
        <v>0.34</v>
      </c>
      <c r="AH872" s="142">
        <f>B872*IBGE_2!AH$872/100</f>
        <v>8.2000000000000017E-2</v>
      </c>
      <c r="AI872" s="142">
        <f>B872*IBGE_2!AI$872/100</f>
        <v>333</v>
      </c>
      <c r="AJ872" s="142">
        <f>B872*IBGE_2!AJ$872/100</f>
        <v>37.4</v>
      </c>
      <c r="AK872" s="142">
        <f>B872*IBGE_2!AK$872/100</f>
        <v>3</v>
      </c>
      <c r="AL872" s="142" t="s">
        <v>3047</v>
      </c>
      <c r="AM872" s="142" t="s">
        <v>3047</v>
      </c>
      <c r="AN872" s="161"/>
    </row>
    <row r="873" spans="1:40">
      <c r="A873" s="143" t="s">
        <v>1933</v>
      </c>
      <c r="B873" s="141">
        <v>100</v>
      </c>
      <c r="C873" s="142">
        <f>B873*IBGE_2!C$873/100</f>
        <v>397</v>
      </c>
      <c r="D873" s="142">
        <f>B873*IBGE_2!D$873/100</f>
        <v>29.06</v>
      </c>
      <c r="E873" s="142">
        <f>B873*IBGE_2!E$873/100</f>
        <v>30.3</v>
      </c>
      <c r="F873" s="142">
        <f>B873*IBGE_2!F$873/100</f>
        <v>11.12</v>
      </c>
      <c r="G873" s="142">
        <f>B873*IBGE_2!G$873/100</f>
        <v>13.48</v>
      </c>
      <c r="H873" s="142">
        <f>B873*IBGE_2!H$873/100</f>
        <v>2.73</v>
      </c>
      <c r="I873" s="142">
        <f>B873*IBGE_2!I$873/100</f>
        <v>2.5099999999999998</v>
      </c>
      <c r="J873" s="142">
        <f>B873*IBGE_2!J$873/100</f>
        <v>0.11</v>
      </c>
      <c r="K873" s="142">
        <f>B873*IBGE_2!K$873/100</f>
        <v>121</v>
      </c>
      <c r="L873" s="142" t="s">
        <v>3047</v>
      </c>
      <c r="M873" s="142" t="s">
        <v>3047</v>
      </c>
      <c r="N873" s="142">
        <f>B873*IBGE_2!N$873/100</f>
        <v>47</v>
      </c>
      <c r="O873" s="142">
        <f>B873*IBGE_2!O$873/100</f>
        <v>24</v>
      </c>
      <c r="P873" s="142">
        <f>B873*IBGE_2!P$873/100</f>
        <v>1.4000000000000002E-2</v>
      </c>
      <c r="Q873" s="142">
        <f>B873*IBGE_2!Q$873/100</f>
        <v>261</v>
      </c>
      <c r="R873" s="142">
        <f>B873*IBGE_2!R$873/100</f>
        <v>1.85</v>
      </c>
      <c r="S873" s="142">
        <f>B873*IBGE_2!S$873/100</f>
        <v>93</v>
      </c>
      <c r="T873" s="142">
        <f>B873*IBGE_2!T$873/100</f>
        <v>320</v>
      </c>
      <c r="U873" s="142">
        <f>B873*IBGE_2!U$873/100</f>
        <v>0.14199999999999999</v>
      </c>
      <c r="V873" s="142">
        <f>B873*IBGE_2!V$873/100</f>
        <v>4.5999999999999996</v>
      </c>
      <c r="W873" s="142">
        <f>B873*IBGE_2!W$873/100</f>
        <v>3</v>
      </c>
      <c r="X873" s="142">
        <f>B873*IBGE_2!X$873/100</f>
        <v>0.40799999999999997</v>
      </c>
      <c r="Y873" s="142">
        <f>B873*IBGE_2!Y$873/100</f>
        <v>0.38200000000000001</v>
      </c>
      <c r="Z873" s="142">
        <f>B873*IBGE_2!Z$873/100</f>
        <v>0.35</v>
      </c>
      <c r="AA873" s="142">
        <f>B873*IBGE_2!AA$873/100</f>
        <v>5.4749999999999996</v>
      </c>
      <c r="AB873" s="142" t="s">
        <v>3047</v>
      </c>
      <c r="AC873" s="142">
        <f>B873*IBGE_2!AC$873/100</f>
        <v>11.625</v>
      </c>
      <c r="AD873" s="142">
        <f>B873*IBGE_2!AD$873/100</f>
        <v>1.08</v>
      </c>
      <c r="AE873" s="142">
        <f>B873*IBGE_2!AE$873/100</f>
        <v>4</v>
      </c>
      <c r="AF873" s="142">
        <f>B873*IBGE_2!AF$873/100</f>
        <v>1.1000000000000001</v>
      </c>
      <c r="AG873" s="142">
        <f>B873*IBGE_2!AG$873/100</f>
        <v>0.34</v>
      </c>
      <c r="AH873" s="142">
        <f>B873*IBGE_2!AH$873/100</f>
        <v>8.2000000000000017E-2</v>
      </c>
      <c r="AI873" s="142">
        <f>B873*IBGE_2!AI$873/100</f>
        <v>333</v>
      </c>
      <c r="AJ873" s="142">
        <f>B873*IBGE_2!AJ$873/100</f>
        <v>37.4</v>
      </c>
      <c r="AK873" s="142">
        <f>B873*IBGE_2!AK$873/100</f>
        <v>3</v>
      </c>
      <c r="AL873" s="142" t="s">
        <v>3047</v>
      </c>
      <c r="AM873" s="142" t="s">
        <v>3047</v>
      </c>
      <c r="AN873" s="161"/>
    </row>
    <row r="874" spans="1:40">
      <c r="A874" s="143" t="s">
        <v>1934</v>
      </c>
      <c r="B874" s="141">
        <v>100</v>
      </c>
      <c r="C874" s="142">
        <f>B874*IBGE_2!C$874/100</f>
        <v>397</v>
      </c>
      <c r="D874" s="142">
        <f>B874*IBGE_2!D$874/100</f>
        <v>29.06</v>
      </c>
      <c r="E874" s="142">
        <f>B874*IBGE_2!E$874/100</f>
        <v>30.3</v>
      </c>
      <c r="F874" s="142">
        <f>B874*IBGE_2!F$874/100</f>
        <v>11.12</v>
      </c>
      <c r="G874" s="142">
        <f>B874*IBGE_2!G$874/100</f>
        <v>13.48</v>
      </c>
      <c r="H874" s="142">
        <f>B874*IBGE_2!H$874/100</f>
        <v>2.73</v>
      </c>
      <c r="I874" s="142">
        <f>B874*IBGE_2!I$874/100</f>
        <v>2.5099999999999998</v>
      </c>
      <c r="J874" s="142">
        <f>B874*IBGE_2!J$874/100</f>
        <v>0.11</v>
      </c>
      <c r="K874" s="142">
        <f>B874*IBGE_2!K$874/100</f>
        <v>121</v>
      </c>
      <c r="L874" s="142" t="s">
        <v>3047</v>
      </c>
      <c r="M874" s="142" t="s">
        <v>3047</v>
      </c>
      <c r="N874" s="142">
        <f>B874*IBGE_2!N$874/100</f>
        <v>47</v>
      </c>
      <c r="O874" s="142">
        <f>B874*IBGE_2!O$874/100</f>
        <v>24</v>
      </c>
      <c r="P874" s="142">
        <f>B874*IBGE_2!P$874/100</f>
        <v>1.4000000000000002E-2</v>
      </c>
      <c r="Q874" s="142">
        <f>B874*IBGE_2!Q$874/100</f>
        <v>261</v>
      </c>
      <c r="R874" s="142">
        <f>B874*IBGE_2!R$874/100</f>
        <v>1.85</v>
      </c>
      <c r="S874" s="142">
        <f>B874*IBGE_2!S$874/100</f>
        <v>93</v>
      </c>
      <c r="T874" s="142">
        <f>B874*IBGE_2!T$874/100</f>
        <v>320</v>
      </c>
      <c r="U874" s="142">
        <f>B874*IBGE_2!U$874/100</f>
        <v>0.14199999999999999</v>
      </c>
      <c r="V874" s="142">
        <f>B874*IBGE_2!V$874/100</f>
        <v>4.5999999999999996</v>
      </c>
      <c r="W874" s="142">
        <f>B874*IBGE_2!W$874/100</f>
        <v>3</v>
      </c>
      <c r="X874" s="142">
        <f>B874*IBGE_2!X$874/100</f>
        <v>0.40799999999999997</v>
      </c>
      <c r="Y874" s="142">
        <f>B874*IBGE_2!Y$874/100</f>
        <v>0.38200000000000001</v>
      </c>
      <c r="Z874" s="142">
        <f>B874*IBGE_2!Z$874/100</f>
        <v>0.35</v>
      </c>
      <c r="AA874" s="142">
        <f>B874*IBGE_2!AA$874/100</f>
        <v>5.4749999999999996</v>
      </c>
      <c r="AB874" s="142" t="s">
        <v>3047</v>
      </c>
      <c r="AC874" s="142">
        <f>B874*IBGE_2!AC$874/100</f>
        <v>11.625</v>
      </c>
      <c r="AD874" s="142">
        <f>B874*IBGE_2!AD$874/100</f>
        <v>1.08</v>
      </c>
      <c r="AE874" s="142">
        <f>B874*IBGE_2!AE$874/100</f>
        <v>4</v>
      </c>
      <c r="AF874" s="142">
        <f>B874*IBGE_2!AF$874/100</f>
        <v>1.1000000000000001</v>
      </c>
      <c r="AG874" s="142">
        <f>B874*IBGE_2!AG$874/100</f>
        <v>0.34</v>
      </c>
      <c r="AH874" s="142">
        <f>B874*IBGE_2!AH$874/100</f>
        <v>8.2000000000000017E-2</v>
      </c>
      <c r="AI874" s="142">
        <f>B874*IBGE_2!AI$874/100</f>
        <v>333</v>
      </c>
      <c r="AJ874" s="142">
        <f>B874*IBGE_2!AJ$874/100</f>
        <v>37.4</v>
      </c>
      <c r="AK874" s="142">
        <f>B874*IBGE_2!AK$874/100</f>
        <v>3</v>
      </c>
      <c r="AL874" s="142" t="s">
        <v>3047</v>
      </c>
      <c r="AM874" s="142" t="s">
        <v>3047</v>
      </c>
      <c r="AN874" s="161"/>
    </row>
    <row r="875" spans="1:40">
      <c r="A875" s="143" t="s">
        <v>1935</v>
      </c>
      <c r="B875" s="141">
        <v>100</v>
      </c>
      <c r="C875" s="142">
        <f>B875*IBGE_2!C$875/100</f>
        <v>397</v>
      </c>
      <c r="D875" s="142">
        <f>B875*IBGE_2!D$875/100</f>
        <v>29.06</v>
      </c>
      <c r="E875" s="142">
        <f>B875*IBGE_2!E$875/100</f>
        <v>30.3</v>
      </c>
      <c r="F875" s="142">
        <f>B875*IBGE_2!F$875/100</f>
        <v>11.12</v>
      </c>
      <c r="G875" s="142">
        <f>B875*IBGE_2!G$875/100</f>
        <v>13.48</v>
      </c>
      <c r="H875" s="142">
        <f>B875*IBGE_2!H$875/100</f>
        <v>2.73</v>
      </c>
      <c r="I875" s="142">
        <f>B875*IBGE_2!I$875/100</f>
        <v>2.5099999999999998</v>
      </c>
      <c r="J875" s="142">
        <f>B875*IBGE_2!J$875/100</f>
        <v>0.11</v>
      </c>
      <c r="K875" s="142">
        <f>B875*IBGE_2!K$875/100</f>
        <v>121</v>
      </c>
      <c r="L875" s="142" t="s">
        <v>3047</v>
      </c>
      <c r="M875" s="142" t="s">
        <v>3047</v>
      </c>
      <c r="N875" s="142">
        <f>B875*IBGE_2!N$875/100</f>
        <v>47</v>
      </c>
      <c r="O875" s="142">
        <f>B875*IBGE_2!O$875/100</f>
        <v>24</v>
      </c>
      <c r="P875" s="142">
        <f>B875*IBGE_2!P$875/100</f>
        <v>1.4000000000000002E-2</v>
      </c>
      <c r="Q875" s="142">
        <f>B875*IBGE_2!Q$875/100</f>
        <v>261</v>
      </c>
      <c r="R875" s="142">
        <f>B875*IBGE_2!R$875/100</f>
        <v>1.85</v>
      </c>
      <c r="S875" s="142">
        <f>B875*IBGE_2!S$875/100</f>
        <v>93</v>
      </c>
      <c r="T875" s="142">
        <f>B875*IBGE_2!T$875/100</f>
        <v>320</v>
      </c>
      <c r="U875" s="142">
        <f>B875*IBGE_2!U$875/100</f>
        <v>0.14199999999999999</v>
      </c>
      <c r="V875" s="142">
        <f>B875*IBGE_2!V$875/100</f>
        <v>4.5999999999999996</v>
      </c>
      <c r="W875" s="142">
        <f>B875*IBGE_2!W$875/100</f>
        <v>3</v>
      </c>
      <c r="X875" s="142">
        <f>B875*IBGE_2!X$875/100</f>
        <v>0.40799999999999997</v>
      </c>
      <c r="Y875" s="142">
        <f>B875*IBGE_2!Y$875/100</f>
        <v>0.38200000000000001</v>
      </c>
      <c r="Z875" s="142">
        <f>B875*IBGE_2!Z$875/100</f>
        <v>0.35</v>
      </c>
      <c r="AA875" s="142">
        <f>B875*IBGE_2!AA$875/100</f>
        <v>5.4749999999999996</v>
      </c>
      <c r="AB875" s="142" t="s">
        <v>3047</v>
      </c>
      <c r="AC875" s="142">
        <f>B875*IBGE_2!AC$875/100</f>
        <v>11.625</v>
      </c>
      <c r="AD875" s="142">
        <f>B875*IBGE_2!AD$875/100</f>
        <v>1.08</v>
      </c>
      <c r="AE875" s="142">
        <f>B875*IBGE_2!AE$875/100</f>
        <v>4</v>
      </c>
      <c r="AF875" s="142">
        <f>B875*IBGE_2!AF$875/100</f>
        <v>1.1000000000000001</v>
      </c>
      <c r="AG875" s="142">
        <f>B875*IBGE_2!AG$875/100</f>
        <v>0.34</v>
      </c>
      <c r="AH875" s="142">
        <f>B875*IBGE_2!AH$875/100</f>
        <v>8.2000000000000017E-2</v>
      </c>
      <c r="AI875" s="142">
        <f>B875*IBGE_2!AI$875/100</f>
        <v>333</v>
      </c>
      <c r="AJ875" s="142">
        <f>B875*IBGE_2!AJ$875/100</f>
        <v>37.4</v>
      </c>
      <c r="AK875" s="142">
        <f>B875*IBGE_2!AK$875/100</f>
        <v>3</v>
      </c>
      <c r="AL875" s="142" t="s">
        <v>3047</v>
      </c>
      <c r="AM875" s="142" t="s">
        <v>3047</v>
      </c>
      <c r="AN875" s="161"/>
    </row>
    <row r="876" spans="1:40">
      <c r="A876" s="143" t="s">
        <v>1936</v>
      </c>
      <c r="B876" s="141">
        <v>100</v>
      </c>
      <c r="C876" s="142">
        <f>B876*IBGE_2!C$876/100</f>
        <v>397</v>
      </c>
      <c r="D876" s="142">
        <f>B876*IBGE_2!D$876/100</f>
        <v>29.06</v>
      </c>
      <c r="E876" s="142">
        <f>B876*IBGE_2!E$876/100</f>
        <v>30.3</v>
      </c>
      <c r="F876" s="142">
        <f>B876*IBGE_2!F$876/100</f>
        <v>11.12</v>
      </c>
      <c r="G876" s="142">
        <f>B876*IBGE_2!G$876/100</f>
        <v>13.48</v>
      </c>
      <c r="H876" s="142">
        <f>B876*IBGE_2!H$876/100</f>
        <v>2.73</v>
      </c>
      <c r="I876" s="142">
        <f>B876*IBGE_2!I$876/100</f>
        <v>2.5099999999999998</v>
      </c>
      <c r="J876" s="142">
        <f>B876*IBGE_2!J$876/100</f>
        <v>0.11</v>
      </c>
      <c r="K876" s="142">
        <f>B876*IBGE_2!K$876/100</f>
        <v>121</v>
      </c>
      <c r="L876" s="142" t="s">
        <v>3047</v>
      </c>
      <c r="M876" s="142" t="s">
        <v>3047</v>
      </c>
      <c r="N876" s="142">
        <f>B876*IBGE_2!N$876/100</f>
        <v>47</v>
      </c>
      <c r="O876" s="142">
        <f>B876*IBGE_2!O$876/100</f>
        <v>24</v>
      </c>
      <c r="P876" s="142">
        <f>B876*IBGE_2!P$876/100</f>
        <v>1.4000000000000002E-2</v>
      </c>
      <c r="Q876" s="142">
        <f>B876*IBGE_2!Q$876/100</f>
        <v>261</v>
      </c>
      <c r="R876" s="142">
        <f>B876*IBGE_2!R$876/100</f>
        <v>1.85</v>
      </c>
      <c r="S876" s="142">
        <f>B876*IBGE_2!S$876/100</f>
        <v>93</v>
      </c>
      <c r="T876" s="142">
        <f>B876*IBGE_2!T$876/100</f>
        <v>320</v>
      </c>
      <c r="U876" s="142">
        <f>B876*IBGE_2!U$876/100</f>
        <v>0.14199999999999999</v>
      </c>
      <c r="V876" s="142">
        <f>B876*IBGE_2!V$876/100</f>
        <v>4.5999999999999996</v>
      </c>
      <c r="W876" s="142">
        <f>B876*IBGE_2!W$876/100</f>
        <v>3</v>
      </c>
      <c r="X876" s="142">
        <f>B876*IBGE_2!X$876/100</f>
        <v>0.40799999999999997</v>
      </c>
      <c r="Y876" s="142">
        <f>B876*IBGE_2!Y$876/100</f>
        <v>0.38200000000000001</v>
      </c>
      <c r="Z876" s="142">
        <f>B876*IBGE_2!Z$876/100</f>
        <v>0.35</v>
      </c>
      <c r="AA876" s="142">
        <f>B876*IBGE_2!AA$876/100</f>
        <v>5.4749999999999996</v>
      </c>
      <c r="AB876" s="142" t="s">
        <v>3047</v>
      </c>
      <c r="AC876" s="142">
        <f>B876*IBGE_2!AC$876/100</f>
        <v>11.625</v>
      </c>
      <c r="AD876" s="142">
        <f>B876*IBGE_2!AD$876/100</f>
        <v>1.08</v>
      </c>
      <c r="AE876" s="142">
        <f>B876*IBGE_2!AE$876/100</f>
        <v>4</v>
      </c>
      <c r="AF876" s="142">
        <f>B876*IBGE_2!AF$876/100</f>
        <v>1.1000000000000001</v>
      </c>
      <c r="AG876" s="142">
        <f>B876*IBGE_2!AG$876/100</f>
        <v>0.34</v>
      </c>
      <c r="AH876" s="142">
        <f>B876*IBGE_2!AH$876/100</f>
        <v>8.2000000000000017E-2</v>
      </c>
      <c r="AI876" s="142">
        <f>B876*IBGE_2!AI$876/100</f>
        <v>333</v>
      </c>
      <c r="AJ876" s="142">
        <f>B876*IBGE_2!AJ$876/100</f>
        <v>37.4</v>
      </c>
      <c r="AK876" s="142">
        <f>B876*IBGE_2!AK$876/100</f>
        <v>3</v>
      </c>
      <c r="AL876" s="142" t="s">
        <v>3047</v>
      </c>
      <c r="AM876" s="142" t="s">
        <v>3047</v>
      </c>
      <c r="AN876" s="161"/>
    </row>
    <row r="877" spans="1:40">
      <c r="A877" s="143" t="s">
        <v>1937</v>
      </c>
      <c r="B877" s="141">
        <v>100</v>
      </c>
      <c r="C877" s="142">
        <f>B877*IBGE_2!C$877/100</f>
        <v>397</v>
      </c>
      <c r="D877" s="142">
        <f>B877*IBGE_2!D$877/100</f>
        <v>29.06</v>
      </c>
      <c r="E877" s="142">
        <f>B877*IBGE_2!E$877/100</f>
        <v>30.3</v>
      </c>
      <c r="F877" s="142">
        <f>B877*IBGE_2!F$877/100</f>
        <v>11.12</v>
      </c>
      <c r="G877" s="142">
        <f>B877*IBGE_2!G$877/100</f>
        <v>13.48</v>
      </c>
      <c r="H877" s="142">
        <f>B877*IBGE_2!H$877/100</f>
        <v>2.73</v>
      </c>
      <c r="I877" s="142">
        <f>B877*IBGE_2!I$877/100</f>
        <v>2.5099999999999998</v>
      </c>
      <c r="J877" s="142">
        <f>B877*IBGE_2!J$877/100</f>
        <v>0.11</v>
      </c>
      <c r="K877" s="142">
        <f>B877*IBGE_2!K$877/100</f>
        <v>121</v>
      </c>
      <c r="L877" s="142" t="s">
        <v>3047</v>
      </c>
      <c r="M877" s="142" t="s">
        <v>3047</v>
      </c>
      <c r="N877" s="142">
        <f>B877*IBGE_2!N$877/100</f>
        <v>47</v>
      </c>
      <c r="O877" s="142">
        <f>B877*IBGE_2!O$877/100</f>
        <v>24</v>
      </c>
      <c r="P877" s="142">
        <f>B877*IBGE_2!P$877/100</f>
        <v>1.4000000000000002E-2</v>
      </c>
      <c r="Q877" s="142">
        <f>B877*IBGE_2!Q$877/100</f>
        <v>261</v>
      </c>
      <c r="R877" s="142">
        <f>B877*IBGE_2!R$877/100</f>
        <v>1.85</v>
      </c>
      <c r="S877" s="142">
        <f>B877*IBGE_2!S$877/100</f>
        <v>93</v>
      </c>
      <c r="T877" s="142">
        <f>B877*IBGE_2!T$877/100</f>
        <v>320</v>
      </c>
      <c r="U877" s="142">
        <f>B877*IBGE_2!U$877/100</f>
        <v>0.14199999999999999</v>
      </c>
      <c r="V877" s="142">
        <f>B877*IBGE_2!V$877/100</f>
        <v>4.5999999999999996</v>
      </c>
      <c r="W877" s="142">
        <f>B877*IBGE_2!W$877/100</f>
        <v>3</v>
      </c>
      <c r="X877" s="142">
        <f>B877*IBGE_2!X$877/100</f>
        <v>0.40799999999999997</v>
      </c>
      <c r="Y877" s="142">
        <f>B877*IBGE_2!Y$877/100</f>
        <v>0.38200000000000001</v>
      </c>
      <c r="Z877" s="142">
        <f>B877*IBGE_2!Z$877/100</f>
        <v>0.35</v>
      </c>
      <c r="AA877" s="142">
        <f>B877*IBGE_2!AA$877/100</f>
        <v>5.4749999999999996</v>
      </c>
      <c r="AB877" s="142" t="s">
        <v>3047</v>
      </c>
      <c r="AC877" s="142">
        <f>B877*IBGE_2!AC$877/100</f>
        <v>11.625</v>
      </c>
      <c r="AD877" s="142">
        <f>B877*IBGE_2!AD$877/100</f>
        <v>1.08</v>
      </c>
      <c r="AE877" s="142">
        <f>B877*IBGE_2!AE$877/100</f>
        <v>4</v>
      </c>
      <c r="AF877" s="142">
        <f>B877*IBGE_2!AF$877/100</f>
        <v>1.1000000000000001</v>
      </c>
      <c r="AG877" s="142">
        <f>B877*IBGE_2!AG$877/100</f>
        <v>0.34</v>
      </c>
      <c r="AH877" s="142">
        <f>B877*IBGE_2!AH$877/100</f>
        <v>8.2000000000000017E-2</v>
      </c>
      <c r="AI877" s="142">
        <f>B877*IBGE_2!AI$877/100</f>
        <v>333</v>
      </c>
      <c r="AJ877" s="142">
        <f>B877*IBGE_2!AJ$877/100</f>
        <v>37.4</v>
      </c>
      <c r="AK877" s="142">
        <f>B877*IBGE_2!AK$877/100</f>
        <v>3</v>
      </c>
      <c r="AL877" s="142" t="s">
        <v>3047</v>
      </c>
      <c r="AM877" s="142" t="s">
        <v>3047</v>
      </c>
      <c r="AN877" s="161"/>
    </row>
    <row r="878" spans="1:40">
      <c r="A878" s="143" t="s">
        <v>1938</v>
      </c>
      <c r="B878" s="141">
        <v>100</v>
      </c>
      <c r="C878" s="142">
        <f>B878*IBGE_2!C$878/100</f>
        <v>397</v>
      </c>
      <c r="D878" s="142">
        <f>B878*IBGE_2!D$878/100</f>
        <v>29.06</v>
      </c>
      <c r="E878" s="142">
        <f>B878*IBGE_2!E$878/100</f>
        <v>30.3</v>
      </c>
      <c r="F878" s="142">
        <f>B878*IBGE_2!F$878/100</f>
        <v>11.12</v>
      </c>
      <c r="G878" s="142">
        <f>B878*IBGE_2!G$878/100</f>
        <v>13.48</v>
      </c>
      <c r="H878" s="142">
        <f>B878*IBGE_2!H$878/100</f>
        <v>2.73</v>
      </c>
      <c r="I878" s="142">
        <f>B878*IBGE_2!I$878/100</f>
        <v>2.5099999999999998</v>
      </c>
      <c r="J878" s="142">
        <f>B878*IBGE_2!J$878/100</f>
        <v>0.11</v>
      </c>
      <c r="K878" s="142">
        <f>B878*IBGE_2!K$878/100</f>
        <v>121</v>
      </c>
      <c r="L878" s="142" t="s">
        <v>3047</v>
      </c>
      <c r="M878" s="142" t="s">
        <v>3047</v>
      </c>
      <c r="N878" s="142">
        <f>B878*IBGE_2!N$878/100</f>
        <v>47</v>
      </c>
      <c r="O878" s="142">
        <f>B878*IBGE_2!O$878/100</f>
        <v>24</v>
      </c>
      <c r="P878" s="142">
        <f>B878*IBGE_2!P$878/100</f>
        <v>1.4000000000000002E-2</v>
      </c>
      <c r="Q878" s="142">
        <f>B878*IBGE_2!Q$878/100</f>
        <v>261</v>
      </c>
      <c r="R878" s="142">
        <f>B878*IBGE_2!R$878/100</f>
        <v>1.85</v>
      </c>
      <c r="S878" s="142">
        <f>B878*IBGE_2!S$878/100</f>
        <v>93</v>
      </c>
      <c r="T878" s="142">
        <f>B878*IBGE_2!T$878/100</f>
        <v>320</v>
      </c>
      <c r="U878" s="142">
        <f>B878*IBGE_2!U$878/100</f>
        <v>0.14199999999999999</v>
      </c>
      <c r="V878" s="142">
        <f>B878*IBGE_2!V$878/100</f>
        <v>4.5999999999999996</v>
      </c>
      <c r="W878" s="142">
        <f>B878*IBGE_2!W$878/100</f>
        <v>3</v>
      </c>
      <c r="X878" s="142">
        <f>B878*IBGE_2!X$878/100</f>
        <v>0.40799999999999997</v>
      </c>
      <c r="Y878" s="142">
        <f>B878*IBGE_2!Y$878/100</f>
        <v>0.38200000000000001</v>
      </c>
      <c r="Z878" s="142">
        <f>B878*IBGE_2!Z$878/100</f>
        <v>0.35</v>
      </c>
      <c r="AA878" s="142">
        <f>B878*IBGE_2!AA$878/100</f>
        <v>5.4749999999999996</v>
      </c>
      <c r="AB878" s="142" t="s">
        <v>3047</v>
      </c>
      <c r="AC878" s="142">
        <f>B878*IBGE_2!AC$878/100</f>
        <v>11.625</v>
      </c>
      <c r="AD878" s="142">
        <f>B878*IBGE_2!AD$878/100</f>
        <v>1.08</v>
      </c>
      <c r="AE878" s="142">
        <f>B878*IBGE_2!AE$878/100</f>
        <v>4</v>
      </c>
      <c r="AF878" s="142">
        <f>B878*IBGE_2!AF$878/100</f>
        <v>1.1000000000000001</v>
      </c>
      <c r="AG878" s="142">
        <f>B878*IBGE_2!AG$878/100</f>
        <v>0.34</v>
      </c>
      <c r="AH878" s="142">
        <f>B878*IBGE_2!AH$878/100</f>
        <v>8.2000000000000017E-2</v>
      </c>
      <c r="AI878" s="142">
        <f>B878*IBGE_2!AI$878/100</f>
        <v>333</v>
      </c>
      <c r="AJ878" s="142">
        <f>B878*IBGE_2!AJ$878/100</f>
        <v>37.4</v>
      </c>
      <c r="AK878" s="142">
        <f>B878*IBGE_2!AK$878/100</f>
        <v>3</v>
      </c>
      <c r="AL878" s="142" t="s">
        <v>3047</v>
      </c>
      <c r="AM878" s="142" t="s">
        <v>3047</v>
      </c>
      <c r="AN878" s="161"/>
    </row>
    <row r="879" spans="1:40">
      <c r="A879" s="143" t="s">
        <v>1939</v>
      </c>
      <c r="B879" s="141">
        <v>100</v>
      </c>
      <c r="C879" s="142">
        <f>B879*IBGE_2!C$879/100</f>
        <v>289</v>
      </c>
      <c r="D879" s="142">
        <f>B879*IBGE_2!D$879/100</f>
        <v>25.34</v>
      </c>
      <c r="E879" s="142">
        <f>B879*IBGE_2!E$879/100</f>
        <v>20.059999999999999</v>
      </c>
      <c r="F879" s="142">
        <f>B879*IBGE_2!F$879/100</f>
        <v>7.36</v>
      </c>
      <c r="G879" s="142">
        <f>B879*IBGE_2!G$879/100</f>
        <v>9.02</v>
      </c>
      <c r="H879" s="142">
        <f>B879*IBGE_2!H$879/100</f>
        <v>1.89</v>
      </c>
      <c r="I879" s="142">
        <f>B879*IBGE_2!I$879/100</f>
        <v>1.71</v>
      </c>
      <c r="J879" s="142">
        <f>B879*IBGE_2!J$879/100</f>
        <v>0.06</v>
      </c>
      <c r="K879" s="142">
        <f>B879*IBGE_2!K$879/100</f>
        <v>92</v>
      </c>
      <c r="L879" s="142" t="s">
        <v>3047</v>
      </c>
      <c r="M879" s="142" t="s">
        <v>3047</v>
      </c>
      <c r="N879" s="142">
        <f>B879*IBGE_2!N$879/100</f>
        <v>15</v>
      </c>
      <c r="O879" s="142">
        <f>B879*IBGE_2!O$879/100</f>
        <v>22</v>
      </c>
      <c r="P879" s="142">
        <f>B879*IBGE_2!P$879/100</f>
        <v>2.8000000000000004E-2</v>
      </c>
      <c r="Q879" s="142">
        <f>B879*IBGE_2!Q$879/100</f>
        <v>257</v>
      </c>
      <c r="R879" s="142">
        <f>B879*IBGE_2!R$879/100</f>
        <v>0.98</v>
      </c>
      <c r="S879" s="142">
        <f>B879*IBGE_2!S$879/100</f>
        <v>59</v>
      </c>
      <c r="T879" s="142">
        <f>B879*IBGE_2!T$879/100</f>
        <v>338</v>
      </c>
      <c r="U879" s="142">
        <f>B879*IBGE_2!U$879/100</f>
        <v>9.8000000000000004E-2</v>
      </c>
      <c r="V879" s="142">
        <f>B879*IBGE_2!V$879/100</f>
        <v>3.06</v>
      </c>
      <c r="W879" s="142">
        <f>B879*IBGE_2!W$879/100</f>
        <v>3</v>
      </c>
      <c r="X879" s="142">
        <f>B879*IBGE_2!X$879/100</f>
        <v>0.57799999999999996</v>
      </c>
      <c r="Y879" s="142">
        <f>B879*IBGE_2!Y$879/100</f>
        <v>0.30199999999999999</v>
      </c>
      <c r="Z879" s="142">
        <f>B879*IBGE_2!Z$879/100</f>
        <v>0.40100000000000002</v>
      </c>
      <c r="AA879" s="142">
        <f>B879*IBGE_2!AA$879/100</f>
        <v>4.46</v>
      </c>
      <c r="AB879" s="142">
        <f>B879*IBGE_2!AB$879/100</f>
        <v>0.3</v>
      </c>
      <c r="AC879" s="142">
        <f>B879*IBGE_2!AC$879/100</f>
        <v>9.4770000000000003</v>
      </c>
      <c r="AD879" s="142">
        <f>B879*IBGE_2!AD$879/100</f>
        <v>0.66</v>
      </c>
      <c r="AE879" s="142">
        <f>B879*IBGE_2!AE$879/100</f>
        <v>5</v>
      </c>
      <c r="AF879" s="142">
        <f>B879*IBGE_2!AF$879/100</f>
        <v>1.1000000000000001</v>
      </c>
      <c r="AG879" s="142">
        <f>B879*IBGE_2!AG$879/100</f>
        <v>0.22</v>
      </c>
      <c r="AH879" s="142">
        <f>B879*IBGE_2!AH$879/100</f>
        <v>3.6999999999999998E-2</v>
      </c>
      <c r="AI879" s="142">
        <f>B879*IBGE_2!AI$879/100</f>
        <v>166</v>
      </c>
      <c r="AJ879" s="142">
        <f>B879*IBGE_2!AJ$879/100</f>
        <v>43.3</v>
      </c>
      <c r="AK879" s="142">
        <f>B879*IBGE_2!AK$879/100</f>
        <v>3</v>
      </c>
      <c r="AL879" s="142" t="s">
        <v>3047</v>
      </c>
      <c r="AM879" s="142" t="s">
        <v>3047</v>
      </c>
      <c r="AN879" s="161"/>
    </row>
    <row r="880" spans="1:40">
      <c r="A880" s="143" t="s">
        <v>1940</v>
      </c>
      <c r="B880" s="141">
        <v>100</v>
      </c>
      <c r="C880" s="142">
        <f>B880*IBGE_2!C$880/100</f>
        <v>289</v>
      </c>
      <c r="D880" s="142">
        <f>B880*IBGE_2!D$880/100</f>
        <v>25.34</v>
      </c>
      <c r="E880" s="142">
        <f>B880*IBGE_2!E$880/100</f>
        <v>20.059999999999999</v>
      </c>
      <c r="F880" s="142">
        <f>B880*IBGE_2!F$880/100</f>
        <v>7.36</v>
      </c>
      <c r="G880" s="142">
        <f>B880*IBGE_2!G$880/100</f>
        <v>9.02</v>
      </c>
      <c r="H880" s="142">
        <f>B880*IBGE_2!H$880/100</f>
        <v>1.89</v>
      </c>
      <c r="I880" s="142">
        <f>B880*IBGE_2!I$880/100</f>
        <v>1.71</v>
      </c>
      <c r="J880" s="142">
        <f>B880*IBGE_2!J$880/100</f>
        <v>0.06</v>
      </c>
      <c r="K880" s="142">
        <f>B880*IBGE_2!K$880/100</f>
        <v>92</v>
      </c>
      <c r="L880" s="142" t="s">
        <v>3047</v>
      </c>
      <c r="M880" s="142" t="s">
        <v>3047</v>
      </c>
      <c r="N880" s="142">
        <f>B880*IBGE_2!N$880/100</f>
        <v>15</v>
      </c>
      <c r="O880" s="142">
        <f>B880*IBGE_2!O$880/100</f>
        <v>22</v>
      </c>
      <c r="P880" s="142">
        <f>B880*IBGE_2!P$880/100</f>
        <v>2.8000000000000004E-2</v>
      </c>
      <c r="Q880" s="142">
        <f>B880*IBGE_2!Q$880/100</f>
        <v>257</v>
      </c>
      <c r="R880" s="142">
        <f>B880*IBGE_2!R$880/100</f>
        <v>0.98</v>
      </c>
      <c r="S880" s="142">
        <f>B880*IBGE_2!S$880/100</f>
        <v>59</v>
      </c>
      <c r="T880" s="142">
        <f>B880*IBGE_2!T$880/100</f>
        <v>338</v>
      </c>
      <c r="U880" s="142">
        <f>B880*IBGE_2!U$880/100</f>
        <v>9.8000000000000004E-2</v>
      </c>
      <c r="V880" s="142">
        <f>B880*IBGE_2!V$880/100</f>
        <v>3.06</v>
      </c>
      <c r="W880" s="142">
        <f>B880*IBGE_2!W$880/100</f>
        <v>3</v>
      </c>
      <c r="X880" s="142">
        <f>B880*IBGE_2!X$880/100</f>
        <v>0.57799999999999996</v>
      </c>
      <c r="Y880" s="142">
        <f>B880*IBGE_2!Y$880/100</f>
        <v>0.30199999999999999</v>
      </c>
      <c r="Z880" s="142">
        <f>B880*IBGE_2!Z$880/100</f>
        <v>0.40100000000000002</v>
      </c>
      <c r="AA880" s="142">
        <f>B880*IBGE_2!AA$880/100</f>
        <v>4.46</v>
      </c>
      <c r="AB880" s="142">
        <f>B880*IBGE_2!AB$880/100</f>
        <v>0.3</v>
      </c>
      <c r="AC880" s="142">
        <f>B880*IBGE_2!AC$880/100</f>
        <v>9.4770000000000003</v>
      </c>
      <c r="AD880" s="142">
        <f>B880*IBGE_2!AD$880/100</f>
        <v>0.66</v>
      </c>
      <c r="AE880" s="142">
        <f>B880*IBGE_2!AE$880/100</f>
        <v>5</v>
      </c>
      <c r="AF880" s="142">
        <f>B880*IBGE_2!AF$880/100</f>
        <v>1.1000000000000001</v>
      </c>
      <c r="AG880" s="142">
        <f>B880*IBGE_2!AG$880/100</f>
        <v>0.22</v>
      </c>
      <c r="AH880" s="142">
        <f>B880*IBGE_2!AH$880/100</f>
        <v>3.6999999999999998E-2</v>
      </c>
      <c r="AI880" s="142">
        <f>B880*IBGE_2!AI$880/100</f>
        <v>166</v>
      </c>
      <c r="AJ880" s="142">
        <f>B880*IBGE_2!AJ$880/100</f>
        <v>43.3</v>
      </c>
      <c r="AK880" s="142">
        <f>B880*IBGE_2!AK$880/100</f>
        <v>3</v>
      </c>
      <c r="AL880" s="142" t="s">
        <v>3047</v>
      </c>
      <c r="AM880" s="142" t="s">
        <v>3047</v>
      </c>
      <c r="AN880" s="161"/>
    </row>
    <row r="881" spans="1:40">
      <c r="A881" s="143" t="s">
        <v>1941</v>
      </c>
      <c r="B881" s="141">
        <v>100</v>
      </c>
      <c r="C881" s="142">
        <f>B881*IBGE_2!C$881/100</f>
        <v>338.56699999999995</v>
      </c>
      <c r="D881" s="142">
        <f>B881*IBGE_2!D$881/100</f>
        <v>25.34</v>
      </c>
      <c r="E881" s="142">
        <f>B881*IBGE_2!E$881/100</f>
        <v>25.667000000000002</v>
      </c>
      <c r="F881" s="142">
        <f>B881*IBGE_2!F$881/100</f>
        <v>8.2379999999999995</v>
      </c>
      <c r="G881" s="142">
        <f>B881*IBGE_2!G$881/100</f>
        <v>10.297000000000001</v>
      </c>
      <c r="H881" s="142">
        <f>B881*IBGE_2!H$881/100</f>
        <v>5.1279999999999992</v>
      </c>
      <c r="I881" s="142">
        <f>B881*IBGE_2!I$881/100</f>
        <v>4.5670000000000002</v>
      </c>
      <c r="J881" s="142">
        <f>B881*IBGE_2!J$881/100</f>
        <v>0.441</v>
      </c>
      <c r="K881" s="142">
        <f>B881*IBGE_2!K$881/100</f>
        <v>92</v>
      </c>
      <c r="L881" s="142" t="s">
        <v>3047</v>
      </c>
      <c r="M881" s="142" t="s">
        <v>3047</v>
      </c>
      <c r="N881" s="142">
        <f>B881*IBGE_2!N$881/100</f>
        <v>15</v>
      </c>
      <c r="O881" s="142">
        <f>B881*IBGE_2!O$881/100</f>
        <v>22</v>
      </c>
      <c r="P881" s="142">
        <f>B881*IBGE_2!P$881/100</f>
        <v>2.8000000000000004E-2</v>
      </c>
      <c r="Q881" s="142">
        <f>B881*IBGE_2!Q$881/100</f>
        <v>257</v>
      </c>
      <c r="R881" s="142">
        <f>B881*IBGE_2!R$881/100</f>
        <v>0.98299999999999998</v>
      </c>
      <c r="S881" s="142">
        <f>B881*IBGE_2!S$881/100</f>
        <v>59</v>
      </c>
      <c r="T881" s="142">
        <f>B881*IBGE_2!T$881/100</f>
        <v>338</v>
      </c>
      <c r="U881" s="142">
        <f>B881*IBGE_2!U$881/100</f>
        <v>9.8000000000000004E-2</v>
      </c>
      <c r="V881" s="142">
        <f>B881*IBGE_2!V$881/100</f>
        <v>3.0610000000000004</v>
      </c>
      <c r="W881" s="142">
        <f>B881*IBGE_2!W$881/100</f>
        <v>3</v>
      </c>
      <c r="X881" s="142">
        <f>B881*IBGE_2!X$881/100</f>
        <v>0.57799999999999996</v>
      </c>
      <c r="Y881" s="142">
        <f>B881*IBGE_2!Y$881/100</f>
        <v>0.30199999999999999</v>
      </c>
      <c r="Z881" s="142">
        <f>B881*IBGE_2!Z$881/100</f>
        <v>0.40100000000000002</v>
      </c>
      <c r="AA881" s="142">
        <f>B881*IBGE_2!AA$881/100</f>
        <v>4.46</v>
      </c>
      <c r="AB881" s="142">
        <f>B881*IBGE_2!AB$881/100</f>
        <v>0.3</v>
      </c>
      <c r="AC881" s="142">
        <f>B881*IBGE_2!AC$881/100</f>
        <v>9.4770000000000003</v>
      </c>
      <c r="AD881" s="142">
        <f>B881*IBGE_2!AD$881/100</f>
        <v>0.66</v>
      </c>
      <c r="AE881" s="142">
        <f>B881*IBGE_2!AE$881/100</f>
        <v>5</v>
      </c>
      <c r="AF881" s="142">
        <f>B881*IBGE_2!AF$881/100</f>
        <v>1.1000000000000001</v>
      </c>
      <c r="AG881" s="142">
        <f>B881*IBGE_2!AG$881/100</f>
        <v>0.67900000000000005</v>
      </c>
      <c r="AH881" s="142">
        <f>B881*IBGE_2!AH$881/100</f>
        <v>6.7000000000000004E-2</v>
      </c>
      <c r="AI881" s="142">
        <f>B881*IBGE_2!AI$881/100</f>
        <v>166</v>
      </c>
      <c r="AJ881" s="142">
        <f>B881*IBGE_2!AJ$881/100</f>
        <v>45.87</v>
      </c>
      <c r="AK881" s="142">
        <f>B881*IBGE_2!AK$881/100</f>
        <v>3</v>
      </c>
      <c r="AL881" s="142" t="s">
        <v>3047</v>
      </c>
      <c r="AM881" s="142" t="s">
        <v>3047</v>
      </c>
      <c r="AN881" s="161"/>
    </row>
    <row r="882" spans="1:40">
      <c r="A882" s="143" t="s">
        <v>1942</v>
      </c>
      <c r="B882" s="141">
        <v>100</v>
      </c>
      <c r="C882" s="142">
        <f>B882*IBGE_2!C$882/100</f>
        <v>338.56699999999995</v>
      </c>
      <c r="D882" s="142">
        <f>B882*IBGE_2!D$882/100</f>
        <v>25.34</v>
      </c>
      <c r="E882" s="142">
        <f>B882*IBGE_2!E$882/100</f>
        <v>25.667000000000002</v>
      </c>
      <c r="F882" s="142">
        <f>B882*IBGE_2!F$882/100</f>
        <v>8.2379999999999995</v>
      </c>
      <c r="G882" s="142">
        <f>B882*IBGE_2!G$882/100</f>
        <v>10.297000000000001</v>
      </c>
      <c r="H882" s="142">
        <f>B882*IBGE_2!H$882/100</f>
        <v>5.1279999999999992</v>
      </c>
      <c r="I882" s="142">
        <f>B882*IBGE_2!I$882/100</f>
        <v>4.5670000000000002</v>
      </c>
      <c r="J882" s="142">
        <f>B882*IBGE_2!J$882/100</f>
        <v>0.441</v>
      </c>
      <c r="K882" s="142">
        <f>B882*IBGE_2!K$882/100</f>
        <v>92</v>
      </c>
      <c r="L882" s="142" t="s">
        <v>3047</v>
      </c>
      <c r="M882" s="142" t="s">
        <v>3047</v>
      </c>
      <c r="N882" s="142">
        <f>B882*IBGE_2!N$882/100</f>
        <v>15</v>
      </c>
      <c r="O882" s="142">
        <f>B882*IBGE_2!O$882/100</f>
        <v>22</v>
      </c>
      <c r="P882" s="142">
        <f>B882*IBGE_2!P$882/100</f>
        <v>2.8000000000000004E-2</v>
      </c>
      <c r="Q882" s="142">
        <f>B882*IBGE_2!Q$882/100</f>
        <v>257</v>
      </c>
      <c r="R882" s="142">
        <f>B882*IBGE_2!R$882/100</f>
        <v>0.98299999999999998</v>
      </c>
      <c r="S882" s="142">
        <f>B882*IBGE_2!S$882/100</f>
        <v>59</v>
      </c>
      <c r="T882" s="142">
        <f>B882*IBGE_2!T$882/100</f>
        <v>338</v>
      </c>
      <c r="U882" s="142">
        <f>B882*IBGE_2!U$882/100</f>
        <v>9.8000000000000004E-2</v>
      </c>
      <c r="V882" s="142">
        <f>B882*IBGE_2!V$882/100</f>
        <v>3.0610000000000004</v>
      </c>
      <c r="W882" s="142">
        <f>B882*IBGE_2!W$882/100</f>
        <v>3</v>
      </c>
      <c r="X882" s="142">
        <f>B882*IBGE_2!X$882/100</f>
        <v>0.57799999999999996</v>
      </c>
      <c r="Y882" s="142">
        <f>B882*IBGE_2!Y$882/100</f>
        <v>0.30199999999999999</v>
      </c>
      <c r="Z882" s="142">
        <f>B882*IBGE_2!Z$882/100</f>
        <v>0.40100000000000002</v>
      </c>
      <c r="AA882" s="142">
        <f>B882*IBGE_2!AA$882/100</f>
        <v>4.46</v>
      </c>
      <c r="AB882" s="142">
        <f>B882*IBGE_2!AB$882/100</f>
        <v>0.3</v>
      </c>
      <c r="AC882" s="142">
        <f>B882*IBGE_2!AC$882/100</f>
        <v>9.4770000000000003</v>
      </c>
      <c r="AD882" s="142">
        <f>B882*IBGE_2!AD$882/100</f>
        <v>0.66</v>
      </c>
      <c r="AE882" s="142">
        <f>B882*IBGE_2!AE$882/100</f>
        <v>5</v>
      </c>
      <c r="AF882" s="142">
        <f>B882*IBGE_2!AF$882/100</f>
        <v>1.1000000000000001</v>
      </c>
      <c r="AG882" s="142">
        <f>B882*IBGE_2!AG$882/100</f>
        <v>0.67900000000000005</v>
      </c>
      <c r="AH882" s="142">
        <f>B882*IBGE_2!AH$882/100</f>
        <v>6.7000000000000004E-2</v>
      </c>
      <c r="AI882" s="142">
        <f>B882*IBGE_2!AI$882/100</f>
        <v>166</v>
      </c>
      <c r="AJ882" s="142">
        <f>B882*IBGE_2!AJ$882/100</f>
        <v>45.87</v>
      </c>
      <c r="AK882" s="142">
        <f>B882*IBGE_2!AK$882/100</f>
        <v>3</v>
      </c>
      <c r="AL882" s="142" t="s">
        <v>3047</v>
      </c>
      <c r="AM882" s="142" t="s">
        <v>3047</v>
      </c>
      <c r="AN882" s="161"/>
    </row>
    <row r="883" spans="1:40">
      <c r="A883" s="143" t="s">
        <v>1943</v>
      </c>
      <c r="B883" s="141">
        <v>100</v>
      </c>
      <c r="C883" s="142">
        <f>B883*IBGE_2!C$883/100</f>
        <v>289</v>
      </c>
      <c r="D883" s="142">
        <f>B883*IBGE_2!D$883/100</f>
        <v>25.34</v>
      </c>
      <c r="E883" s="142">
        <f>B883*IBGE_2!E$883/100</f>
        <v>20.059999999999999</v>
      </c>
      <c r="F883" s="142">
        <f>B883*IBGE_2!F$883/100</f>
        <v>7.36</v>
      </c>
      <c r="G883" s="142">
        <f>B883*IBGE_2!G$883/100</f>
        <v>9.02</v>
      </c>
      <c r="H883" s="142">
        <f>B883*IBGE_2!H$883/100</f>
        <v>1.89</v>
      </c>
      <c r="I883" s="142">
        <f>B883*IBGE_2!I$883/100</f>
        <v>1.71</v>
      </c>
      <c r="J883" s="142">
        <f>B883*IBGE_2!J$883/100</f>
        <v>0.06</v>
      </c>
      <c r="K883" s="142">
        <f>B883*IBGE_2!K$883/100</f>
        <v>92</v>
      </c>
      <c r="L883" s="142" t="s">
        <v>3047</v>
      </c>
      <c r="M883" s="142" t="s">
        <v>3047</v>
      </c>
      <c r="N883" s="142">
        <f>B883*IBGE_2!N$883/100</f>
        <v>15</v>
      </c>
      <c r="O883" s="142">
        <f>B883*IBGE_2!O$883/100</f>
        <v>22</v>
      </c>
      <c r="P883" s="142">
        <f>B883*IBGE_2!P$883/100</f>
        <v>2.8000000000000004E-2</v>
      </c>
      <c r="Q883" s="142">
        <f>B883*IBGE_2!Q$883/100</f>
        <v>257</v>
      </c>
      <c r="R883" s="142">
        <f>B883*IBGE_2!R$883/100</f>
        <v>0.98</v>
      </c>
      <c r="S883" s="142">
        <f>B883*IBGE_2!S$883/100</f>
        <v>59</v>
      </c>
      <c r="T883" s="142">
        <f>B883*IBGE_2!T$883/100</f>
        <v>338</v>
      </c>
      <c r="U883" s="142">
        <f>B883*IBGE_2!U$883/100</f>
        <v>9.8000000000000004E-2</v>
      </c>
      <c r="V883" s="142">
        <f>B883*IBGE_2!V$883/100</f>
        <v>3.06</v>
      </c>
      <c r="W883" s="142">
        <f>B883*IBGE_2!W$883/100</f>
        <v>3</v>
      </c>
      <c r="X883" s="142">
        <f>B883*IBGE_2!X$883/100</f>
        <v>0.57799999999999996</v>
      </c>
      <c r="Y883" s="142">
        <f>B883*IBGE_2!Y$883/100</f>
        <v>0.30199999999999999</v>
      </c>
      <c r="Z883" s="142">
        <f>B883*IBGE_2!Z$883/100</f>
        <v>0.40100000000000002</v>
      </c>
      <c r="AA883" s="142">
        <f>B883*IBGE_2!AA$883/100</f>
        <v>4.46</v>
      </c>
      <c r="AB883" s="142">
        <f>B883*IBGE_2!AB$883/100</f>
        <v>0.3</v>
      </c>
      <c r="AC883" s="142">
        <f>B883*IBGE_2!AC$883/100</f>
        <v>9.4770000000000003</v>
      </c>
      <c r="AD883" s="142">
        <f>B883*IBGE_2!AD$883/100</f>
        <v>0.66</v>
      </c>
      <c r="AE883" s="142">
        <f>B883*IBGE_2!AE$883/100</f>
        <v>5</v>
      </c>
      <c r="AF883" s="142">
        <f>B883*IBGE_2!AF$883/100</f>
        <v>1.1000000000000001</v>
      </c>
      <c r="AG883" s="142">
        <f>B883*IBGE_2!AG$883/100</f>
        <v>0.22</v>
      </c>
      <c r="AH883" s="142">
        <f>B883*IBGE_2!AH$883/100</f>
        <v>3.6999999999999998E-2</v>
      </c>
      <c r="AI883" s="142">
        <f>B883*IBGE_2!AI$883/100</f>
        <v>166</v>
      </c>
      <c r="AJ883" s="142">
        <f>B883*IBGE_2!AJ$883/100</f>
        <v>43.3</v>
      </c>
      <c r="AK883" s="142">
        <f>B883*IBGE_2!AK$883/100</f>
        <v>3</v>
      </c>
      <c r="AL883" s="142" t="s">
        <v>3047</v>
      </c>
      <c r="AM883" s="142" t="s">
        <v>3047</v>
      </c>
      <c r="AN883" s="161"/>
    </row>
    <row r="884" spans="1:40">
      <c r="A884" s="143" t="s">
        <v>1944</v>
      </c>
      <c r="B884" s="141">
        <v>100</v>
      </c>
      <c r="C884" s="142">
        <f>B884*IBGE_2!C$884/100</f>
        <v>397</v>
      </c>
      <c r="D884" s="142">
        <f>B884*IBGE_2!D$884/100</f>
        <v>29.06</v>
      </c>
      <c r="E884" s="142">
        <f>B884*IBGE_2!E$884/100</f>
        <v>30.3</v>
      </c>
      <c r="F884" s="142">
        <f>B884*IBGE_2!F$884/100</f>
        <v>11.12</v>
      </c>
      <c r="G884" s="142">
        <f>B884*IBGE_2!G$884/100</f>
        <v>13.48</v>
      </c>
      <c r="H884" s="142">
        <f>B884*IBGE_2!H$884/100</f>
        <v>2.73</v>
      </c>
      <c r="I884" s="142">
        <f>B884*IBGE_2!I$884/100</f>
        <v>2.5099999999999998</v>
      </c>
      <c r="J884" s="142">
        <f>B884*IBGE_2!J$884/100</f>
        <v>0.11</v>
      </c>
      <c r="K884" s="142">
        <f>B884*IBGE_2!K$884/100</f>
        <v>121</v>
      </c>
      <c r="L884" s="142" t="s">
        <v>3047</v>
      </c>
      <c r="M884" s="142" t="s">
        <v>3047</v>
      </c>
      <c r="N884" s="142">
        <f>B884*IBGE_2!N$884/100</f>
        <v>47</v>
      </c>
      <c r="O884" s="142">
        <f>B884*IBGE_2!O$884/100</f>
        <v>24</v>
      </c>
      <c r="P884" s="142">
        <f>B884*IBGE_2!P$884/100</f>
        <v>1.4000000000000002E-2</v>
      </c>
      <c r="Q884" s="142">
        <f>B884*IBGE_2!Q$884/100</f>
        <v>261</v>
      </c>
      <c r="R884" s="142">
        <f>B884*IBGE_2!R$884/100</f>
        <v>1.85</v>
      </c>
      <c r="S884" s="142">
        <f>B884*IBGE_2!S$884/100</f>
        <v>93</v>
      </c>
      <c r="T884" s="142">
        <f>B884*IBGE_2!T$884/100</f>
        <v>320</v>
      </c>
      <c r="U884" s="142">
        <f>B884*IBGE_2!U$884/100</f>
        <v>0.14199999999999999</v>
      </c>
      <c r="V884" s="142">
        <f>B884*IBGE_2!V$884/100</f>
        <v>4.5999999999999996</v>
      </c>
      <c r="W884" s="142">
        <f>B884*IBGE_2!W$884/100</f>
        <v>3</v>
      </c>
      <c r="X884" s="142">
        <f>B884*IBGE_2!X$884/100</f>
        <v>0.40799999999999997</v>
      </c>
      <c r="Y884" s="142">
        <f>B884*IBGE_2!Y$884/100</f>
        <v>0.38200000000000001</v>
      </c>
      <c r="Z884" s="142">
        <f>B884*IBGE_2!Z$884/100</f>
        <v>0.35</v>
      </c>
      <c r="AA884" s="142">
        <f>B884*IBGE_2!AA$884/100</f>
        <v>5.4749999999999996</v>
      </c>
      <c r="AB884" s="142" t="s">
        <v>3047</v>
      </c>
      <c r="AC884" s="142">
        <f>B884*IBGE_2!AC$884/100</f>
        <v>11.625</v>
      </c>
      <c r="AD884" s="142">
        <f>B884*IBGE_2!AD$884/100</f>
        <v>1.08</v>
      </c>
      <c r="AE884" s="142">
        <f>B884*IBGE_2!AE$884/100</f>
        <v>4</v>
      </c>
      <c r="AF884" s="142">
        <f>B884*IBGE_2!AF$884/100</f>
        <v>1.1000000000000001</v>
      </c>
      <c r="AG884" s="142">
        <f>B884*IBGE_2!AG$884/100</f>
        <v>0.34</v>
      </c>
      <c r="AH884" s="142">
        <f>B884*IBGE_2!AH$884/100</f>
        <v>8.2000000000000017E-2</v>
      </c>
      <c r="AI884" s="142">
        <f>B884*IBGE_2!AI$884/100</f>
        <v>333</v>
      </c>
      <c r="AJ884" s="142">
        <f>B884*IBGE_2!AJ$884/100</f>
        <v>37.4</v>
      </c>
      <c r="AK884" s="142">
        <f>B884*IBGE_2!AK$884/100</f>
        <v>3</v>
      </c>
      <c r="AL884" s="142" t="s">
        <v>3047</v>
      </c>
      <c r="AM884" s="142" t="s">
        <v>3047</v>
      </c>
      <c r="AN884" s="161"/>
    </row>
    <row r="885" spans="1:40">
      <c r="A885" s="143" t="s">
        <v>1945</v>
      </c>
      <c r="B885" s="141">
        <v>100</v>
      </c>
      <c r="C885" s="142">
        <f>B885*IBGE_2!C$885/100</f>
        <v>397</v>
      </c>
      <c r="D885" s="142">
        <f>B885*IBGE_2!D$885/100</f>
        <v>29.06</v>
      </c>
      <c r="E885" s="142">
        <f>B885*IBGE_2!E$885/100</f>
        <v>30.3</v>
      </c>
      <c r="F885" s="142">
        <f>B885*IBGE_2!F$885/100</f>
        <v>11.12</v>
      </c>
      <c r="G885" s="142">
        <f>B885*IBGE_2!G$885/100</f>
        <v>13.48</v>
      </c>
      <c r="H885" s="142">
        <f>B885*IBGE_2!H$885/100</f>
        <v>2.73</v>
      </c>
      <c r="I885" s="142">
        <f>B885*IBGE_2!I$885/100</f>
        <v>2.5099999999999998</v>
      </c>
      <c r="J885" s="142">
        <f>B885*IBGE_2!J$885/100</f>
        <v>0.11</v>
      </c>
      <c r="K885" s="142">
        <f>B885*IBGE_2!K$885/100</f>
        <v>121</v>
      </c>
      <c r="L885" s="142" t="s">
        <v>3047</v>
      </c>
      <c r="M885" s="142" t="s">
        <v>3047</v>
      </c>
      <c r="N885" s="142">
        <f>B885*IBGE_2!N$885/100</f>
        <v>47</v>
      </c>
      <c r="O885" s="142">
        <f>B885*IBGE_2!O$885/100</f>
        <v>24</v>
      </c>
      <c r="P885" s="142">
        <f>B885*IBGE_2!P$885/100</f>
        <v>1.4000000000000002E-2</v>
      </c>
      <c r="Q885" s="142">
        <f>B885*IBGE_2!Q$885/100</f>
        <v>261</v>
      </c>
      <c r="R885" s="142">
        <f>B885*IBGE_2!R$885/100</f>
        <v>1.85</v>
      </c>
      <c r="S885" s="142">
        <f>B885*IBGE_2!S$885/100</f>
        <v>93</v>
      </c>
      <c r="T885" s="142">
        <f>B885*IBGE_2!T$885/100</f>
        <v>320</v>
      </c>
      <c r="U885" s="142">
        <f>B885*IBGE_2!U$885/100</f>
        <v>0.14199999999999999</v>
      </c>
      <c r="V885" s="142">
        <f>B885*IBGE_2!V$885/100</f>
        <v>4.5999999999999996</v>
      </c>
      <c r="W885" s="142">
        <f>B885*IBGE_2!W$885/100</f>
        <v>3</v>
      </c>
      <c r="X885" s="142">
        <f>B885*IBGE_2!X$885/100</f>
        <v>0.40799999999999997</v>
      </c>
      <c r="Y885" s="142">
        <f>B885*IBGE_2!Y$885/100</f>
        <v>0.38200000000000001</v>
      </c>
      <c r="Z885" s="142">
        <f>B885*IBGE_2!Z$885/100</f>
        <v>0.35</v>
      </c>
      <c r="AA885" s="142">
        <f>B885*IBGE_2!AA$885/100</f>
        <v>5.4749999999999996</v>
      </c>
      <c r="AB885" s="142" t="s">
        <v>3047</v>
      </c>
      <c r="AC885" s="142">
        <f>B885*IBGE_2!AC$885/100</f>
        <v>11.625</v>
      </c>
      <c r="AD885" s="142">
        <f>B885*IBGE_2!AD$885/100</f>
        <v>1.08</v>
      </c>
      <c r="AE885" s="142">
        <f>B885*IBGE_2!AE$885/100</f>
        <v>4</v>
      </c>
      <c r="AF885" s="142">
        <f>B885*IBGE_2!AF$885/100</f>
        <v>1.1000000000000001</v>
      </c>
      <c r="AG885" s="142">
        <f>B885*IBGE_2!AG$885/100</f>
        <v>0.34</v>
      </c>
      <c r="AH885" s="142">
        <f>B885*IBGE_2!AH$885/100</f>
        <v>8.2000000000000017E-2</v>
      </c>
      <c r="AI885" s="142">
        <f>B885*IBGE_2!AI$885/100</f>
        <v>333</v>
      </c>
      <c r="AJ885" s="142">
        <f>B885*IBGE_2!AJ$885/100</f>
        <v>37.4</v>
      </c>
      <c r="AK885" s="142">
        <f>B885*IBGE_2!AK$885/100</f>
        <v>3</v>
      </c>
      <c r="AL885" s="142" t="s">
        <v>3047</v>
      </c>
      <c r="AM885" s="142" t="s">
        <v>3047</v>
      </c>
      <c r="AN885" s="161"/>
    </row>
    <row r="886" spans="1:40">
      <c r="A886" s="143" t="s">
        <v>1946</v>
      </c>
      <c r="B886" s="141">
        <v>100</v>
      </c>
      <c r="C886" s="142">
        <f>B886*IBGE_2!C$886/100</f>
        <v>397</v>
      </c>
      <c r="D886" s="142">
        <f>B886*IBGE_2!D$886/100</f>
        <v>29.06</v>
      </c>
      <c r="E886" s="142">
        <f>B886*IBGE_2!E$886/100</f>
        <v>30.3</v>
      </c>
      <c r="F886" s="142">
        <f>B886*IBGE_2!F$886/100</f>
        <v>11.12</v>
      </c>
      <c r="G886" s="142">
        <f>B886*IBGE_2!G$886/100</f>
        <v>13.48</v>
      </c>
      <c r="H886" s="142">
        <f>B886*IBGE_2!H$886/100</f>
        <v>2.73</v>
      </c>
      <c r="I886" s="142">
        <f>B886*IBGE_2!I$886/100</f>
        <v>2.5099999999999998</v>
      </c>
      <c r="J886" s="142">
        <f>B886*IBGE_2!J$886/100</f>
        <v>0.11</v>
      </c>
      <c r="K886" s="142">
        <f>B886*IBGE_2!K$886/100</f>
        <v>121</v>
      </c>
      <c r="L886" s="142" t="s">
        <v>3047</v>
      </c>
      <c r="M886" s="142" t="s">
        <v>3047</v>
      </c>
      <c r="N886" s="142">
        <f>B886*IBGE_2!N$886/100</f>
        <v>47</v>
      </c>
      <c r="O886" s="142">
        <f>B886*IBGE_2!O$886/100</f>
        <v>24</v>
      </c>
      <c r="P886" s="142">
        <f>B886*IBGE_2!P$886/100</f>
        <v>1.4000000000000002E-2</v>
      </c>
      <c r="Q886" s="142">
        <f>B886*IBGE_2!Q$886/100</f>
        <v>261</v>
      </c>
      <c r="R886" s="142">
        <f>B886*IBGE_2!R$886/100</f>
        <v>1.85</v>
      </c>
      <c r="S886" s="142">
        <f>B886*IBGE_2!S$886/100</f>
        <v>93</v>
      </c>
      <c r="T886" s="142">
        <f>B886*IBGE_2!T$886/100</f>
        <v>320</v>
      </c>
      <c r="U886" s="142">
        <f>B886*IBGE_2!U$886/100</f>
        <v>0.14199999999999999</v>
      </c>
      <c r="V886" s="142">
        <f>B886*IBGE_2!V$886/100</f>
        <v>4.5999999999999996</v>
      </c>
      <c r="W886" s="142">
        <f>B886*IBGE_2!W$886/100</f>
        <v>3</v>
      </c>
      <c r="X886" s="142">
        <f>B886*IBGE_2!X$886/100</f>
        <v>0.40799999999999997</v>
      </c>
      <c r="Y886" s="142">
        <f>B886*IBGE_2!Y$886/100</f>
        <v>0.38200000000000001</v>
      </c>
      <c r="Z886" s="142">
        <f>B886*IBGE_2!Z$886/100</f>
        <v>0.35</v>
      </c>
      <c r="AA886" s="142">
        <f>B886*IBGE_2!AA$886/100</f>
        <v>5.4749999999999996</v>
      </c>
      <c r="AB886" s="142" t="s">
        <v>3047</v>
      </c>
      <c r="AC886" s="142">
        <f>B886*IBGE_2!AC$886/100</f>
        <v>11.625</v>
      </c>
      <c r="AD886" s="142">
        <f>B886*IBGE_2!AD$886/100</f>
        <v>1.08</v>
      </c>
      <c r="AE886" s="142">
        <f>B886*IBGE_2!AE$886/100</f>
        <v>4</v>
      </c>
      <c r="AF886" s="142">
        <f>B886*IBGE_2!AF$886/100</f>
        <v>1.1000000000000001</v>
      </c>
      <c r="AG886" s="142">
        <f>B886*IBGE_2!AG$886/100</f>
        <v>0.34</v>
      </c>
      <c r="AH886" s="142">
        <f>B886*IBGE_2!AH$886/100</f>
        <v>8.2000000000000017E-2</v>
      </c>
      <c r="AI886" s="142">
        <f>B886*IBGE_2!AI$886/100</f>
        <v>333</v>
      </c>
      <c r="AJ886" s="142">
        <f>B886*IBGE_2!AJ$886/100</f>
        <v>37.4</v>
      </c>
      <c r="AK886" s="142">
        <f>B886*IBGE_2!AK$886/100</f>
        <v>3</v>
      </c>
      <c r="AL886" s="142" t="s">
        <v>3047</v>
      </c>
      <c r="AM886" s="142" t="s">
        <v>3047</v>
      </c>
      <c r="AN886" s="161"/>
    </row>
    <row r="887" spans="1:40">
      <c r="A887" s="143" t="s">
        <v>1947</v>
      </c>
      <c r="B887" s="141">
        <v>100</v>
      </c>
      <c r="C887" s="142">
        <f>B887*IBGE_2!C$887/100</f>
        <v>397</v>
      </c>
      <c r="D887" s="142">
        <f>B887*IBGE_2!D$887/100</f>
        <v>29.06</v>
      </c>
      <c r="E887" s="142">
        <f>B887*IBGE_2!E$887/100</f>
        <v>30.3</v>
      </c>
      <c r="F887" s="142">
        <f>B887*IBGE_2!F$887/100</f>
        <v>11.12</v>
      </c>
      <c r="G887" s="142">
        <f>B887*IBGE_2!G$887/100</f>
        <v>13.48</v>
      </c>
      <c r="H887" s="142">
        <f>B887*IBGE_2!H$887/100</f>
        <v>2.73</v>
      </c>
      <c r="I887" s="142">
        <f>B887*IBGE_2!I$887/100</f>
        <v>2.5099999999999998</v>
      </c>
      <c r="J887" s="142">
        <f>B887*IBGE_2!J$887/100</f>
        <v>0.11</v>
      </c>
      <c r="K887" s="142">
        <f>B887*IBGE_2!K$887/100</f>
        <v>121</v>
      </c>
      <c r="L887" s="142" t="s">
        <v>3047</v>
      </c>
      <c r="M887" s="142" t="s">
        <v>3047</v>
      </c>
      <c r="N887" s="142">
        <f>B887*IBGE_2!N$887/100</f>
        <v>47</v>
      </c>
      <c r="O887" s="142">
        <f>B887*IBGE_2!O$887/100</f>
        <v>24</v>
      </c>
      <c r="P887" s="142">
        <f>B887*IBGE_2!P$887/100</f>
        <v>1.4000000000000002E-2</v>
      </c>
      <c r="Q887" s="142">
        <f>B887*IBGE_2!Q$887/100</f>
        <v>261</v>
      </c>
      <c r="R887" s="142">
        <f>B887*IBGE_2!R$887/100</f>
        <v>1.85</v>
      </c>
      <c r="S887" s="142">
        <f>B887*IBGE_2!S$887/100</f>
        <v>93</v>
      </c>
      <c r="T887" s="142">
        <f>B887*IBGE_2!T$887/100</f>
        <v>320</v>
      </c>
      <c r="U887" s="142">
        <f>B887*IBGE_2!U$887/100</f>
        <v>0.14199999999999999</v>
      </c>
      <c r="V887" s="142">
        <f>B887*IBGE_2!V$887/100</f>
        <v>4.5999999999999996</v>
      </c>
      <c r="W887" s="142">
        <f>B887*IBGE_2!W$887/100</f>
        <v>3</v>
      </c>
      <c r="X887" s="142">
        <f>B887*IBGE_2!X$887/100</f>
        <v>0.40799999999999997</v>
      </c>
      <c r="Y887" s="142">
        <f>B887*IBGE_2!Y$887/100</f>
        <v>0.38200000000000001</v>
      </c>
      <c r="Z887" s="142">
        <f>B887*IBGE_2!Z$887/100</f>
        <v>0.35</v>
      </c>
      <c r="AA887" s="142">
        <f>B887*IBGE_2!AA$887/100</f>
        <v>5.4749999999999996</v>
      </c>
      <c r="AB887" s="142" t="s">
        <v>3047</v>
      </c>
      <c r="AC887" s="142">
        <f>B887*IBGE_2!AC$887/100</f>
        <v>11.625</v>
      </c>
      <c r="AD887" s="142">
        <f>B887*IBGE_2!AD$887/100</f>
        <v>1.08</v>
      </c>
      <c r="AE887" s="142">
        <f>B887*IBGE_2!AE$887/100</f>
        <v>4</v>
      </c>
      <c r="AF887" s="142">
        <f>B887*IBGE_2!AF$887/100</f>
        <v>1.1000000000000001</v>
      </c>
      <c r="AG887" s="142">
        <f>B887*IBGE_2!AG$887/100</f>
        <v>0.34</v>
      </c>
      <c r="AH887" s="142">
        <f>B887*IBGE_2!AH$887/100</f>
        <v>8.2000000000000017E-2</v>
      </c>
      <c r="AI887" s="142">
        <f>B887*IBGE_2!AI$887/100</f>
        <v>333</v>
      </c>
      <c r="AJ887" s="142">
        <f>B887*IBGE_2!AJ$887/100</f>
        <v>37.4</v>
      </c>
      <c r="AK887" s="142">
        <f>B887*IBGE_2!AK$887/100</f>
        <v>3</v>
      </c>
      <c r="AL887" s="142" t="s">
        <v>3047</v>
      </c>
      <c r="AM887" s="142" t="s">
        <v>3047</v>
      </c>
      <c r="AN887" s="161"/>
    </row>
    <row r="888" spans="1:40">
      <c r="A888" s="143" t="s">
        <v>1948</v>
      </c>
      <c r="B888" s="141">
        <v>100</v>
      </c>
      <c r="C888" s="142">
        <f>B888*IBGE_2!C$888/100</f>
        <v>397</v>
      </c>
      <c r="D888" s="142">
        <f>B888*IBGE_2!D$888/100</f>
        <v>29.06</v>
      </c>
      <c r="E888" s="142">
        <f>B888*IBGE_2!E$888/100</f>
        <v>30.3</v>
      </c>
      <c r="F888" s="142">
        <f>B888*IBGE_2!F$888/100</f>
        <v>11.12</v>
      </c>
      <c r="G888" s="142">
        <f>B888*IBGE_2!G$888/100</f>
        <v>13.48</v>
      </c>
      <c r="H888" s="142">
        <f>B888*IBGE_2!H$888/100</f>
        <v>2.73</v>
      </c>
      <c r="I888" s="142">
        <f>B888*IBGE_2!I$888/100</f>
        <v>2.5099999999999998</v>
      </c>
      <c r="J888" s="142">
        <f>B888*IBGE_2!J$888/100</f>
        <v>0.11</v>
      </c>
      <c r="K888" s="142">
        <f>B888*IBGE_2!K$888/100</f>
        <v>121</v>
      </c>
      <c r="L888" s="142" t="s">
        <v>3047</v>
      </c>
      <c r="M888" s="142" t="s">
        <v>3047</v>
      </c>
      <c r="N888" s="142">
        <f>B888*IBGE_2!N$888/100</f>
        <v>47</v>
      </c>
      <c r="O888" s="142">
        <f>B888*IBGE_2!O$888/100</f>
        <v>24</v>
      </c>
      <c r="P888" s="142">
        <f>B888*IBGE_2!P$888/100</f>
        <v>1.4000000000000002E-2</v>
      </c>
      <c r="Q888" s="142">
        <f>B888*IBGE_2!Q$888/100</f>
        <v>261</v>
      </c>
      <c r="R888" s="142">
        <f>B888*IBGE_2!R$888/100</f>
        <v>1.85</v>
      </c>
      <c r="S888" s="142">
        <f>B888*IBGE_2!S$888/100</f>
        <v>93</v>
      </c>
      <c r="T888" s="142">
        <f>B888*IBGE_2!T$888/100</f>
        <v>320</v>
      </c>
      <c r="U888" s="142">
        <f>B888*IBGE_2!U$888/100</f>
        <v>0.14199999999999999</v>
      </c>
      <c r="V888" s="142">
        <f>B888*IBGE_2!V$888/100</f>
        <v>4.5999999999999996</v>
      </c>
      <c r="W888" s="142">
        <f>B888*IBGE_2!W$888/100</f>
        <v>3</v>
      </c>
      <c r="X888" s="142">
        <f>B888*IBGE_2!X$888/100</f>
        <v>0.40799999999999997</v>
      </c>
      <c r="Y888" s="142">
        <f>B888*IBGE_2!Y$888/100</f>
        <v>0.38200000000000001</v>
      </c>
      <c r="Z888" s="142">
        <f>B888*IBGE_2!Z$888/100</f>
        <v>0.35</v>
      </c>
      <c r="AA888" s="142">
        <f>B888*IBGE_2!AA$888/100</f>
        <v>5.4749999999999996</v>
      </c>
      <c r="AB888" s="142" t="s">
        <v>3047</v>
      </c>
      <c r="AC888" s="142">
        <f>B888*IBGE_2!AC$888/100</f>
        <v>11.625</v>
      </c>
      <c r="AD888" s="142">
        <f>B888*IBGE_2!AD$888/100</f>
        <v>1.08</v>
      </c>
      <c r="AE888" s="142">
        <f>B888*IBGE_2!AE$888/100</f>
        <v>4</v>
      </c>
      <c r="AF888" s="142">
        <f>B888*IBGE_2!AF$888/100</f>
        <v>1.1000000000000001</v>
      </c>
      <c r="AG888" s="142">
        <f>B888*IBGE_2!AG$888/100</f>
        <v>0.34</v>
      </c>
      <c r="AH888" s="142">
        <f>B888*IBGE_2!AH$888/100</f>
        <v>8.2000000000000017E-2</v>
      </c>
      <c r="AI888" s="142">
        <f>B888*IBGE_2!AI$888/100</f>
        <v>333</v>
      </c>
      <c r="AJ888" s="142">
        <f>B888*IBGE_2!AJ$888/100</f>
        <v>37.4</v>
      </c>
      <c r="AK888" s="142">
        <f>B888*IBGE_2!AK$888/100</f>
        <v>3</v>
      </c>
      <c r="AL888" s="142" t="s">
        <v>3047</v>
      </c>
      <c r="AM888" s="142" t="s">
        <v>3047</v>
      </c>
      <c r="AN888" s="161"/>
    </row>
    <row r="889" spans="1:40">
      <c r="A889" s="143" t="s">
        <v>1949</v>
      </c>
      <c r="B889" s="141">
        <v>100</v>
      </c>
      <c r="C889" s="142">
        <f>B889*IBGE_2!C$889/100</f>
        <v>397</v>
      </c>
      <c r="D889" s="142">
        <f>B889*IBGE_2!D$889/100</f>
        <v>29.06</v>
      </c>
      <c r="E889" s="142">
        <f>B889*IBGE_2!E$889/100</f>
        <v>30.3</v>
      </c>
      <c r="F889" s="142">
        <f>B889*IBGE_2!F$889/100</f>
        <v>11.12</v>
      </c>
      <c r="G889" s="142">
        <f>B889*IBGE_2!G$889/100</f>
        <v>13.48</v>
      </c>
      <c r="H889" s="142">
        <f>B889*IBGE_2!H$889/100</f>
        <v>2.73</v>
      </c>
      <c r="I889" s="142">
        <f>B889*IBGE_2!I$889/100</f>
        <v>2.5099999999999998</v>
      </c>
      <c r="J889" s="142">
        <f>B889*IBGE_2!J$889/100</f>
        <v>0.11</v>
      </c>
      <c r="K889" s="142">
        <f>B889*IBGE_2!K$889/100</f>
        <v>121</v>
      </c>
      <c r="L889" s="142" t="s">
        <v>3047</v>
      </c>
      <c r="M889" s="142" t="s">
        <v>3047</v>
      </c>
      <c r="N889" s="142">
        <f>B889*IBGE_2!N$889/100</f>
        <v>47</v>
      </c>
      <c r="O889" s="142">
        <f>B889*IBGE_2!O$889/100</f>
        <v>24</v>
      </c>
      <c r="P889" s="142">
        <f>B889*IBGE_2!P$889/100</f>
        <v>1.4000000000000002E-2</v>
      </c>
      <c r="Q889" s="142">
        <f>B889*IBGE_2!Q$889/100</f>
        <v>261</v>
      </c>
      <c r="R889" s="142">
        <f>B889*IBGE_2!R$889/100</f>
        <v>1.85</v>
      </c>
      <c r="S889" s="142">
        <f>B889*IBGE_2!S$889/100</f>
        <v>93</v>
      </c>
      <c r="T889" s="142">
        <f>B889*IBGE_2!T$889/100</f>
        <v>320</v>
      </c>
      <c r="U889" s="142">
        <f>B889*IBGE_2!U$889/100</f>
        <v>0.14199999999999999</v>
      </c>
      <c r="V889" s="142">
        <f>B889*IBGE_2!V$889/100</f>
        <v>4.5999999999999996</v>
      </c>
      <c r="W889" s="142">
        <f>B889*IBGE_2!W$889/100</f>
        <v>3</v>
      </c>
      <c r="X889" s="142">
        <f>B889*IBGE_2!X$889/100</f>
        <v>0.40799999999999997</v>
      </c>
      <c r="Y889" s="142">
        <f>B889*IBGE_2!Y$889/100</f>
        <v>0.38200000000000001</v>
      </c>
      <c r="Z889" s="142">
        <f>B889*IBGE_2!Z$889/100</f>
        <v>0.35</v>
      </c>
      <c r="AA889" s="142">
        <f>B889*IBGE_2!AA$889/100</f>
        <v>5.4749999999999996</v>
      </c>
      <c r="AB889" s="142" t="s">
        <v>3047</v>
      </c>
      <c r="AC889" s="142">
        <f>B889*IBGE_2!AC$889/100</f>
        <v>11.625</v>
      </c>
      <c r="AD889" s="142">
        <f>B889*IBGE_2!AD$889/100</f>
        <v>1.08</v>
      </c>
      <c r="AE889" s="142">
        <f>B889*IBGE_2!AE$889/100</f>
        <v>4</v>
      </c>
      <c r="AF889" s="142">
        <f>B889*IBGE_2!AF$889/100</f>
        <v>1.1000000000000001</v>
      </c>
      <c r="AG889" s="142">
        <f>B889*IBGE_2!AG$889/100</f>
        <v>0.34</v>
      </c>
      <c r="AH889" s="142">
        <f>B889*IBGE_2!AH$889/100</f>
        <v>8.2000000000000017E-2</v>
      </c>
      <c r="AI889" s="142">
        <f>B889*IBGE_2!AI$889/100</f>
        <v>333</v>
      </c>
      <c r="AJ889" s="142">
        <f>B889*IBGE_2!AJ$889/100</f>
        <v>37.4</v>
      </c>
      <c r="AK889" s="142">
        <f>B889*IBGE_2!AK$889/100</f>
        <v>3</v>
      </c>
      <c r="AL889" s="142" t="s">
        <v>3047</v>
      </c>
      <c r="AM889" s="142" t="s">
        <v>3047</v>
      </c>
      <c r="AN889" s="161"/>
    </row>
    <row r="890" spans="1:40">
      <c r="A890" s="143" t="s">
        <v>1950</v>
      </c>
      <c r="B890" s="141">
        <v>100</v>
      </c>
      <c r="C890" s="142">
        <f>B890*IBGE_2!C$890/100</f>
        <v>322.39999999999998</v>
      </c>
      <c r="D890" s="142">
        <f>B890*IBGE_2!D$890/100</f>
        <v>23.511999999999997</v>
      </c>
      <c r="E890" s="142">
        <f>B890*IBGE_2!E$890/100</f>
        <v>24.276</v>
      </c>
      <c r="F890" s="142">
        <f>B890*IBGE_2!F$890/100</f>
        <v>8.9009999999999998</v>
      </c>
      <c r="G890" s="142">
        <f>B890*IBGE_2!G$890/100</f>
        <v>10.788999999999998</v>
      </c>
      <c r="H890" s="142">
        <f>B890*IBGE_2!H$890/100</f>
        <v>2.1989999999999998</v>
      </c>
      <c r="I890" s="142">
        <f>B890*IBGE_2!I$890/100</f>
        <v>2.0219999999999998</v>
      </c>
      <c r="J890" s="142">
        <f>B890*IBGE_2!J$890/100</f>
        <v>8.900000000000001E-2</v>
      </c>
      <c r="K890" s="142">
        <f>B890*IBGE_2!K$890/100</f>
        <v>96.8</v>
      </c>
      <c r="L890" s="142">
        <f>B890*IBGE_2!L$890/100</f>
        <v>1.0760000000000001</v>
      </c>
      <c r="M890" s="142">
        <f>B890*IBGE_2!M$890/100</f>
        <v>0.3</v>
      </c>
      <c r="N890" s="142">
        <f>B890*IBGE_2!N$890/100</f>
        <v>40.200000000000003</v>
      </c>
      <c r="O890" s="142">
        <f>B890*IBGE_2!O$890/100</f>
        <v>22.4</v>
      </c>
      <c r="P890" s="142">
        <f>B890*IBGE_2!P$890/100</f>
        <v>3.3000000000000002E-2</v>
      </c>
      <c r="Q890" s="142">
        <f>B890*IBGE_2!Q$890/100</f>
        <v>214</v>
      </c>
      <c r="R890" s="142">
        <f>B890*IBGE_2!R$890/100</f>
        <v>1.6840000000000002</v>
      </c>
      <c r="S890" s="142">
        <f>B890*IBGE_2!S$890/100</f>
        <v>179.2</v>
      </c>
      <c r="T890" s="142">
        <f>B890*IBGE_2!T$890/100</f>
        <v>322.2</v>
      </c>
      <c r="U890" s="142">
        <f>B890*IBGE_2!U$890/100</f>
        <v>0.13700000000000001</v>
      </c>
      <c r="V890" s="142">
        <f>B890*IBGE_2!V$890/100</f>
        <v>3.72</v>
      </c>
      <c r="W890" s="142">
        <f>B890*IBGE_2!W$890/100</f>
        <v>2.4</v>
      </c>
      <c r="X890" s="142">
        <f>B890*IBGE_2!X$890/100</f>
        <v>0.33100000000000002</v>
      </c>
      <c r="Y890" s="142">
        <f>B890*IBGE_2!Y$890/100</f>
        <v>0.31900000000000001</v>
      </c>
      <c r="Z890" s="142">
        <f>B890*IBGE_2!Z$890/100</f>
        <v>0.29899999999999999</v>
      </c>
      <c r="AA890" s="142">
        <f>B890*IBGE_2!AA$890/100</f>
        <v>4.5750000000000002</v>
      </c>
      <c r="AB890" s="142">
        <f>B890*IBGE_2!AB$890/100</f>
        <v>1.4</v>
      </c>
      <c r="AC890" s="142">
        <f>B890*IBGE_2!AC$890/100</f>
        <v>9.5280000000000005</v>
      </c>
      <c r="AD890" s="142">
        <f>B890*IBGE_2!AD$890/100</f>
        <v>0.8640000000000001</v>
      </c>
      <c r="AE890" s="142">
        <f>B890*IBGE_2!AE$890/100</f>
        <v>5.4</v>
      </c>
      <c r="AF890" s="142">
        <f>B890*IBGE_2!AF$890/100</f>
        <v>0.88</v>
      </c>
      <c r="AG890" s="142">
        <f>B890*IBGE_2!AG$890/100</f>
        <v>0.55600000000000005</v>
      </c>
      <c r="AH890" s="142">
        <f>B890*IBGE_2!AH$890/100</f>
        <v>6.6000000000000003E-2</v>
      </c>
      <c r="AI890" s="142">
        <f>B890*IBGE_2!AI$890/100</f>
        <v>333</v>
      </c>
      <c r="AJ890" s="142">
        <f>B890*IBGE_2!AJ$890/100</f>
        <v>29.96</v>
      </c>
      <c r="AK890" s="142">
        <f>B890*IBGE_2!AK$890/100</f>
        <v>5.8829999999999991</v>
      </c>
      <c r="AL890" s="142">
        <f>B890*IBGE_2!AL$890/100</f>
        <v>0.85</v>
      </c>
      <c r="AM890" s="142" t="s">
        <v>3047</v>
      </c>
      <c r="AN890" s="161"/>
    </row>
    <row r="891" spans="1:40">
      <c r="A891" s="143" t="s">
        <v>1951</v>
      </c>
      <c r="B891" s="141">
        <v>100</v>
      </c>
      <c r="C891" s="142">
        <f>B891*IBGE_2!C$891/100</f>
        <v>397</v>
      </c>
      <c r="D891" s="142">
        <f>B891*IBGE_2!D$891/100</f>
        <v>29.06</v>
      </c>
      <c r="E891" s="142">
        <f>B891*IBGE_2!E$891/100</f>
        <v>30.3</v>
      </c>
      <c r="F891" s="142">
        <f>B891*IBGE_2!F$891/100</f>
        <v>11.12</v>
      </c>
      <c r="G891" s="142">
        <f>B891*IBGE_2!G$891/100</f>
        <v>13.48</v>
      </c>
      <c r="H891" s="142">
        <f>B891*IBGE_2!H$891/100</f>
        <v>2.73</v>
      </c>
      <c r="I891" s="142">
        <f>B891*IBGE_2!I$891/100</f>
        <v>2.5099999999999998</v>
      </c>
      <c r="J891" s="142">
        <f>B891*IBGE_2!J$891/100</f>
        <v>0.11</v>
      </c>
      <c r="K891" s="142">
        <f>B891*IBGE_2!K$891/100</f>
        <v>121</v>
      </c>
      <c r="L891" s="142" t="s">
        <v>3047</v>
      </c>
      <c r="M891" s="142" t="s">
        <v>3047</v>
      </c>
      <c r="N891" s="142">
        <f>B891*IBGE_2!N$891/100</f>
        <v>47</v>
      </c>
      <c r="O891" s="142">
        <f>B891*IBGE_2!O$891/100</f>
        <v>24</v>
      </c>
      <c r="P891" s="142">
        <f>B891*IBGE_2!P$891/100</f>
        <v>1.4000000000000002E-2</v>
      </c>
      <c r="Q891" s="142">
        <f>B891*IBGE_2!Q$891/100</f>
        <v>261</v>
      </c>
      <c r="R891" s="142">
        <f>B891*IBGE_2!R$891/100</f>
        <v>1.85</v>
      </c>
      <c r="S891" s="142">
        <f>B891*IBGE_2!S$891/100</f>
        <v>93</v>
      </c>
      <c r="T891" s="142">
        <f>B891*IBGE_2!T$891/100</f>
        <v>320</v>
      </c>
      <c r="U891" s="142">
        <f>B891*IBGE_2!U$891/100</f>
        <v>0.14199999999999999</v>
      </c>
      <c r="V891" s="142">
        <f>B891*IBGE_2!V$891/100</f>
        <v>4.5999999999999996</v>
      </c>
      <c r="W891" s="142">
        <f>B891*IBGE_2!W$891/100</f>
        <v>3</v>
      </c>
      <c r="X891" s="142">
        <f>B891*IBGE_2!X$891/100</f>
        <v>0.40799999999999997</v>
      </c>
      <c r="Y891" s="142">
        <f>B891*IBGE_2!Y$891/100</f>
        <v>0.38200000000000001</v>
      </c>
      <c r="Z891" s="142">
        <f>B891*IBGE_2!Z$891/100</f>
        <v>0.35</v>
      </c>
      <c r="AA891" s="142">
        <f>B891*IBGE_2!AA$891/100</f>
        <v>5.4749999999999996</v>
      </c>
      <c r="AB891" s="142" t="s">
        <v>3047</v>
      </c>
      <c r="AC891" s="142">
        <f>B891*IBGE_2!AC$891/100</f>
        <v>11.625</v>
      </c>
      <c r="AD891" s="142">
        <f>B891*IBGE_2!AD$891/100</f>
        <v>1.08</v>
      </c>
      <c r="AE891" s="142">
        <f>B891*IBGE_2!AE$891/100</f>
        <v>4</v>
      </c>
      <c r="AF891" s="142">
        <f>B891*IBGE_2!AF$891/100</f>
        <v>1.1000000000000001</v>
      </c>
      <c r="AG891" s="142">
        <f>B891*IBGE_2!AG$891/100</f>
        <v>0.34</v>
      </c>
      <c r="AH891" s="142">
        <f>B891*IBGE_2!AH$891/100</f>
        <v>8.2000000000000017E-2</v>
      </c>
      <c r="AI891" s="142">
        <f>B891*IBGE_2!AI$891/100</f>
        <v>333</v>
      </c>
      <c r="AJ891" s="142">
        <f>B891*IBGE_2!AJ$891/100</f>
        <v>37.4</v>
      </c>
      <c r="AK891" s="142">
        <f>B891*IBGE_2!AK$891/100</f>
        <v>3</v>
      </c>
      <c r="AL891" s="142" t="s">
        <v>3047</v>
      </c>
      <c r="AM891" s="142" t="s">
        <v>3047</v>
      </c>
      <c r="AN891" s="161"/>
    </row>
    <row r="892" spans="1:40">
      <c r="A892" s="143" t="s">
        <v>1952</v>
      </c>
      <c r="B892" s="141">
        <v>100</v>
      </c>
      <c r="C892" s="142">
        <f>B892*IBGE_2!C$892/100</f>
        <v>397</v>
      </c>
      <c r="D892" s="142">
        <f>B892*IBGE_2!D$892/100</f>
        <v>29.06</v>
      </c>
      <c r="E892" s="142">
        <f>B892*IBGE_2!E$892/100</f>
        <v>30.3</v>
      </c>
      <c r="F892" s="142">
        <f>B892*IBGE_2!F$892/100</f>
        <v>11.12</v>
      </c>
      <c r="G892" s="142">
        <f>B892*IBGE_2!G$892/100</f>
        <v>13.48</v>
      </c>
      <c r="H892" s="142">
        <f>B892*IBGE_2!H$892/100</f>
        <v>2.73</v>
      </c>
      <c r="I892" s="142">
        <f>B892*IBGE_2!I$892/100</f>
        <v>2.5099999999999998</v>
      </c>
      <c r="J892" s="142">
        <f>B892*IBGE_2!J$892/100</f>
        <v>0.11</v>
      </c>
      <c r="K892" s="142">
        <f>B892*IBGE_2!K$892/100</f>
        <v>121</v>
      </c>
      <c r="L892" s="142" t="s">
        <v>3047</v>
      </c>
      <c r="M892" s="142" t="s">
        <v>3047</v>
      </c>
      <c r="N892" s="142">
        <f>B892*IBGE_2!N$892/100</f>
        <v>47</v>
      </c>
      <c r="O892" s="142">
        <f>B892*IBGE_2!O$892/100</f>
        <v>24</v>
      </c>
      <c r="P892" s="142">
        <f>B892*IBGE_2!P$892/100</f>
        <v>1.4000000000000002E-2</v>
      </c>
      <c r="Q892" s="142">
        <f>B892*IBGE_2!Q$892/100</f>
        <v>261</v>
      </c>
      <c r="R892" s="142">
        <f>B892*IBGE_2!R$892/100</f>
        <v>1.85</v>
      </c>
      <c r="S892" s="142">
        <f>B892*IBGE_2!S$892/100</f>
        <v>93</v>
      </c>
      <c r="T892" s="142">
        <f>B892*IBGE_2!T$892/100</f>
        <v>320</v>
      </c>
      <c r="U892" s="142">
        <f>B892*IBGE_2!U$892/100</f>
        <v>0.14199999999999999</v>
      </c>
      <c r="V892" s="142">
        <f>B892*IBGE_2!V$892/100</f>
        <v>4.5999999999999996</v>
      </c>
      <c r="W892" s="142">
        <f>B892*IBGE_2!W$892/100</f>
        <v>3</v>
      </c>
      <c r="X892" s="142">
        <f>B892*IBGE_2!X$892/100</f>
        <v>0.40799999999999997</v>
      </c>
      <c r="Y892" s="142">
        <f>B892*IBGE_2!Y$892/100</f>
        <v>0.38200000000000001</v>
      </c>
      <c r="Z892" s="142">
        <f>B892*IBGE_2!Z$892/100</f>
        <v>0.35</v>
      </c>
      <c r="AA892" s="142">
        <f>B892*IBGE_2!AA$892/100</f>
        <v>5.4749999999999996</v>
      </c>
      <c r="AB892" s="142" t="s">
        <v>3047</v>
      </c>
      <c r="AC892" s="142">
        <f>B892*IBGE_2!AC$892/100</f>
        <v>11.625</v>
      </c>
      <c r="AD892" s="142">
        <f>B892*IBGE_2!AD$892/100</f>
        <v>1.08</v>
      </c>
      <c r="AE892" s="142">
        <f>B892*IBGE_2!AE$892/100</f>
        <v>4</v>
      </c>
      <c r="AF892" s="142">
        <f>B892*IBGE_2!AF$892/100</f>
        <v>1.1000000000000001</v>
      </c>
      <c r="AG892" s="142">
        <f>B892*IBGE_2!AG$892/100</f>
        <v>0.34</v>
      </c>
      <c r="AH892" s="142">
        <f>B892*IBGE_2!AH$892/100</f>
        <v>8.2000000000000017E-2</v>
      </c>
      <c r="AI892" s="142">
        <f>B892*IBGE_2!AI$892/100</f>
        <v>333</v>
      </c>
      <c r="AJ892" s="142">
        <f>B892*IBGE_2!AJ$892/100</f>
        <v>37.4</v>
      </c>
      <c r="AK892" s="142">
        <f>B892*IBGE_2!AK$892/100</f>
        <v>3</v>
      </c>
      <c r="AL892" s="142" t="s">
        <v>3047</v>
      </c>
      <c r="AM892" s="142" t="s">
        <v>3047</v>
      </c>
      <c r="AN892" s="161"/>
    </row>
    <row r="893" spans="1:40">
      <c r="A893" s="143" t="s">
        <v>1953</v>
      </c>
      <c r="B893" s="141">
        <v>100</v>
      </c>
      <c r="C893" s="142">
        <f>B893*IBGE_2!C$893/100</f>
        <v>289</v>
      </c>
      <c r="D893" s="142">
        <f>B893*IBGE_2!D$893/100</f>
        <v>25.34</v>
      </c>
      <c r="E893" s="142">
        <f>B893*IBGE_2!E$893/100</f>
        <v>20.059999999999999</v>
      </c>
      <c r="F893" s="142">
        <f>B893*IBGE_2!F$893/100</f>
        <v>7.36</v>
      </c>
      <c r="G893" s="142">
        <f>B893*IBGE_2!G$893/100</f>
        <v>9.02</v>
      </c>
      <c r="H893" s="142">
        <f>B893*IBGE_2!H$893/100</f>
        <v>1.89</v>
      </c>
      <c r="I893" s="142">
        <f>B893*IBGE_2!I$893/100</f>
        <v>1.71</v>
      </c>
      <c r="J893" s="142">
        <f>B893*IBGE_2!J$893/100</f>
        <v>0.06</v>
      </c>
      <c r="K893" s="142">
        <f>B893*IBGE_2!K$893/100</f>
        <v>92</v>
      </c>
      <c r="L893" s="142" t="s">
        <v>3047</v>
      </c>
      <c r="M893" s="142" t="s">
        <v>3047</v>
      </c>
      <c r="N893" s="142">
        <f>B893*IBGE_2!N$893/100</f>
        <v>15</v>
      </c>
      <c r="O893" s="142">
        <f>B893*IBGE_2!O$893/100</f>
        <v>22</v>
      </c>
      <c r="P893" s="142">
        <f>B893*IBGE_2!P$893/100</f>
        <v>2.8000000000000004E-2</v>
      </c>
      <c r="Q893" s="142">
        <f>B893*IBGE_2!Q$893/100</f>
        <v>257</v>
      </c>
      <c r="R893" s="142">
        <f>B893*IBGE_2!R$893/100</f>
        <v>0.98</v>
      </c>
      <c r="S893" s="142">
        <f>B893*IBGE_2!S$893/100</f>
        <v>59</v>
      </c>
      <c r="T893" s="142">
        <f>B893*IBGE_2!T$893/100</f>
        <v>338</v>
      </c>
      <c r="U893" s="142">
        <f>B893*IBGE_2!U$893/100</f>
        <v>9.8000000000000004E-2</v>
      </c>
      <c r="V893" s="142">
        <f>B893*IBGE_2!V$893/100</f>
        <v>3.06</v>
      </c>
      <c r="W893" s="142">
        <f>B893*IBGE_2!W$893/100</f>
        <v>3</v>
      </c>
      <c r="X893" s="142">
        <f>B893*IBGE_2!X$893/100</f>
        <v>0.57799999999999996</v>
      </c>
      <c r="Y893" s="142">
        <f>B893*IBGE_2!Y$893/100</f>
        <v>0.30199999999999999</v>
      </c>
      <c r="Z893" s="142">
        <f>B893*IBGE_2!Z$893/100</f>
        <v>0.40100000000000002</v>
      </c>
      <c r="AA893" s="142">
        <f>B893*IBGE_2!AA$893/100</f>
        <v>4.46</v>
      </c>
      <c r="AB893" s="142">
        <f>B893*IBGE_2!AB$893/100</f>
        <v>0.3</v>
      </c>
      <c r="AC893" s="142">
        <f>B893*IBGE_2!AC$893/100</f>
        <v>9.4770000000000003</v>
      </c>
      <c r="AD893" s="142">
        <f>B893*IBGE_2!AD$893/100</f>
        <v>0.66</v>
      </c>
      <c r="AE893" s="142">
        <f>B893*IBGE_2!AE$893/100</f>
        <v>5</v>
      </c>
      <c r="AF893" s="142">
        <f>B893*IBGE_2!AF$893/100</f>
        <v>1.1000000000000001</v>
      </c>
      <c r="AG893" s="142">
        <f>B893*IBGE_2!AG$893/100</f>
        <v>0.22</v>
      </c>
      <c r="AH893" s="142">
        <f>B893*IBGE_2!AH$893/100</f>
        <v>3.6999999999999998E-2</v>
      </c>
      <c r="AI893" s="142">
        <f>B893*IBGE_2!AI$893/100</f>
        <v>166</v>
      </c>
      <c r="AJ893" s="142">
        <f>B893*IBGE_2!AJ$893/100</f>
        <v>43.3</v>
      </c>
      <c r="AK893" s="142">
        <f>B893*IBGE_2!AK$893/100</f>
        <v>3</v>
      </c>
      <c r="AL893" s="142" t="s">
        <v>3047</v>
      </c>
      <c r="AM893" s="142" t="s">
        <v>3047</v>
      </c>
      <c r="AN893" s="161"/>
    </row>
    <row r="894" spans="1:40">
      <c r="A894" s="143" t="s">
        <v>1954</v>
      </c>
      <c r="B894" s="141">
        <v>100</v>
      </c>
      <c r="C894" s="142">
        <f>B894*IBGE_2!C$894/100</f>
        <v>289</v>
      </c>
      <c r="D894" s="142">
        <f>B894*IBGE_2!D$894/100</f>
        <v>25.34</v>
      </c>
      <c r="E894" s="142">
        <f>B894*IBGE_2!E$894/100</f>
        <v>20.059999999999999</v>
      </c>
      <c r="F894" s="142">
        <f>B894*IBGE_2!F$894/100</f>
        <v>7.36</v>
      </c>
      <c r="G894" s="142">
        <f>B894*IBGE_2!G$894/100</f>
        <v>9.02</v>
      </c>
      <c r="H894" s="142">
        <f>B894*IBGE_2!H$894/100</f>
        <v>1.89</v>
      </c>
      <c r="I894" s="142">
        <f>B894*IBGE_2!I$894/100</f>
        <v>1.71</v>
      </c>
      <c r="J894" s="142">
        <f>B894*IBGE_2!J$894/100</f>
        <v>0.06</v>
      </c>
      <c r="K894" s="142">
        <f>B894*IBGE_2!K$894/100</f>
        <v>92</v>
      </c>
      <c r="L894" s="142" t="s">
        <v>3047</v>
      </c>
      <c r="M894" s="142" t="s">
        <v>3047</v>
      </c>
      <c r="N894" s="142">
        <f>B894*IBGE_2!N$894/100</f>
        <v>15</v>
      </c>
      <c r="O894" s="142">
        <f>B894*IBGE_2!O$894/100</f>
        <v>22</v>
      </c>
      <c r="P894" s="142">
        <f>B894*IBGE_2!P$894/100</f>
        <v>2.8000000000000004E-2</v>
      </c>
      <c r="Q894" s="142">
        <f>B894*IBGE_2!Q$894/100</f>
        <v>257</v>
      </c>
      <c r="R894" s="142">
        <f>B894*IBGE_2!R$894/100</f>
        <v>0.98</v>
      </c>
      <c r="S894" s="142">
        <f>B894*IBGE_2!S$894/100</f>
        <v>59</v>
      </c>
      <c r="T894" s="142">
        <f>B894*IBGE_2!T$894/100</f>
        <v>338</v>
      </c>
      <c r="U894" s="142">
        <f>B894*IBGE_2!U$894/100</f>
        <v>9.8000000000000004E-2</v>
      </c>
      <c r="V894" s="142">
        <f>B894*IBGE_2!V$894/100</f>
        <v>3.06</v>
      </c>
      <c r="W894" s="142">
        <f>B894*IBGE_2!W$894/100</f>
        <v>3</v>
      </c>
      <c r="X894" s="142">
        <f>B894*IBGE_2!X$894/100</f>
        <v>0.57799999999999996</v>
      </c>
      <c r="Y894" s="142">
        <f>B894*IBGE_2!Y$894/100</f>
        <v>0.30199999999999999</v>
      </c>
      <c r="Z894" s="142">
        <f>B894*IBGE_2!Z$894/100</f>
        <v>0.40100000000000002</v>
      </c>
      <c r="AA894" s="142">
        <f>B894*IBGE_2!AA$894/100</f>
        <v>4.46</v>
      </c>
      <c r="AB894" s="142">
        <f>B894*IBGE_2!AB$894/100</f>
        <v>0.3</v>
      </c>
      <c r="AC894" s="142">
        <f>B894*IBGE_2!AC$894/100</f>
        <v>9.4770000000000003</v>
      </c>
      <c r="AD894" s="142">
        <f>B894*IBGE_2!AD$894/100</f>
        <v>0.66</v>
      </c>
      <c r="AE894" s="142">
        <f>B894*IBGE_2!AE$894/100</f>
        <v>5</v>
      </c>
      <c r="AF894" s="142">
        <f>B894*IBGE_2!AF$894/100</f>
        <v>1.1000000000000001</v>
      </c>
      <c r="AG894" s="142">
        <f>B894*IBGE_2!AG$894/100</f>
        <v>0.22</v>
      </c>
      <c r="AH894" s="142">
        <f>B894*IBGE_2!AH$894/100</f>
        <v>3.6999999999999998E-2</v>
      </c>
      <c r="AI894" s="142">
        <f>B894*IBGE_2!AI$894/100</f>
        <v>166</v>
      </c>
      <c r="AJ894" s="142">
        <f>B894*IBGE_2!AJ$894/100</f>
        <v>43.3</v>
      </c>
      <c r="AK894" s="142">
        <f>B894*IBGE_2!AK$894/100</f>
        <v>3</v>
      </c>
      <c r="AL894" s="142" t="s">
        <v>3047</v>
      </c>
      <c r="AM894" s="142" t="s">
        <v>3047</v>
      </c>
      <c r="AN894" s="161"/>
    </row>
    <row r="895" spans="1:40">
      <c r="A895" s="143" t="s">
        <v>1955</v>
      </c>
      <c r="B895" s="141">
        <v>100</v>
      </c>
      <c r="C895" s="142">
        <f>B895*IBGE_2!C$895/100</f>
        <v>289</v>
      </c>
      <c r="D895" s="142">
        <f>B895*IBGE_2!D$895/100</f>
        <v>25.34</v>
      </c>
      <c r="E895" s="142">
        <f>B895*IBGE_2!E$895/100</f>
        <v>20.059999999999999</v>
      </c>
      <c r="F895" s="142">
        <f>B895*IBGE_2!F$895/100</f>
        <v>7.36</v>
      </c>
      <c r="G895" s="142">
        <f>B895*IBGE_2!G$895/100</f>
        <v>9.02</v>
      </c>
      <c r="H895" s="142">
        <f>B895*IBGE_2!H$895/100</f>
        <v>1.89</v>
      </c>
      <c r="I895" s="142">
        <f>B895*IBGE_2!I$895/100</f>
        <v>1.71</v>
      </c>
      <c r="J895" s="142">
        <f>B895*IBGE_2!J$895/100</f>
        <v>0.06</v>
      </c>
      <c r="K895" s="142">
        <f>B895*IBGE_2!K$895/100</f>
        <v>92</v>
      </c>
      <c r="L895" s="142" t="s">
        <v>3047</v>
      </c>
      <c r="M895" s="142" t="s">
        <v>3047</v>
      </c>
      <c r="N895" s="142">
        <f>B895*IBGE_2!N$895/100</f>
        <v>15</v>
      </c>
      <c r="O895" s="142">
        <f>B895*IBGE_2!O$895/100</f>
        <v>22</v>
      </c>
      <c r="P895" s="142">
        <f>B895*IBGE_2!P$895/100</f>
        <v>2.8000000000000004E-2</v>
      </c>
      <c r="Q895" s="142">
        <f>B895*IBGE_2!Q$895/100</f>
        <v>257</v>
      </c>
      <c r="R895" s="142">
        <f>B895*IBGE_2!R$895/100</f>
        <v>0.98</v>
      </c>
      <c r="S895" s="142">
        <f>B895*IBGE_2!S$895/100</f>
        <v>59</v>
      </c>
      <c r="T895" s="142">
        <f>B895*IBGE_2!T$895/100</f>
        <v>338</v>
      </c>
      <c r="U895" s="142">
        <f>B895*IBGE_2!U$895/100</f>
        <v>9.8000000000000004E-2</v>
      </c>
      <c r="V895" s="142">
        <f>B895*IBGE_2!V$895/100</f>
        <v>3.06</v>
      </c>
      <c r="W895" s="142">
        <f>B895*IBGE_2!W$895/100</f>
        <v>3</v>
      </c>
      <c r="X895" s="142">
        <f>B895*IBGE_2!X$895/100</f>
        <v>0.57799999999999996</v>
      </c>
      <c r="Y895" s="142">
        <f>B895*IBGE_2!Y$895/100</f>
        <v>0.30199999999999999</v>
      </c>
      <c r="Z895" s="142">
        <f>B895*IBGE_2!Z$895/100</f>
        <v>0.40100000000000002</v>
      </c>
      <c r="AA895" s="142">
        <f>B895*IBGE_2!AA$895/100</f>
        <v>4.46</v>
      </c>
      <c r="AB895" s="142">
        <f>B895*IBGE_2!AB$895/100</f>
        <v>0.3</v>
      </c>
      <c r="AC895" s="142">
        <f>B895*IBGE_2!AC$895/100</f>
        <v>9.4770000000000003</v>
      </c>
      <c r="AD895" s="142">
        <f>B895*IBGE_2!AD$895/100</f>
        <v>0.66</v>
      </c>
      <c r="AE895" s="142">
        <f>B895*IBGE_2!AE$895/100</f>
        <v>5</v>
      </c>
      <c r="AF895" s="142">
        <f>B895*IBGE_2!AF$895/100</f>
        <v>1.1000000000000001</v>
      </c>
      <c r="AG895" s="142">
        <f>B895*IBGE_2!AG$895/100</f>
        <v>0.22</v>
      </c>
      <c r="AH895" s="142">
        <f>B895*IBGE_2!AH$895/100</f>
        <v>3.6999999999999998E-2</v>
      </c>
      <c r="AI895" s="142">
        <f>B895*IBGE_2!AI$895/100</f>
        <v>166</v>
      </c>
      <c r="AJ895" s="142">
        <f>B895*IBGE_2!AJ$895/100</f>
        <v>43.3</v>
      </c>
      <c r="AK895" s="142">
        <f>B895*IBGE_2!AK$895/100</f>
        <v>3</v>
      </c>
      <c r="AL895" s="142" t="s">
        <v>3047</v>
      </c>
      <c r="AM895" s="142" t="s">
        <v>3047</v>
      </c>
      <c r="AN895" s="161"/>
    </row>
    <row r="896" spans="1:40">
      <c r="A896" s="143" t="s">
        <v>1956</v>
      </c>
      <c r="B896" s="141">
        <v>100</v>
      </c>
      <c r="C896" s="142">
        <f>B896*IBGE_2!C$896/100</f>
        <v>338.56699999999995</v>
      </c>
      <c r="D896" s="142">
        <f>B896*IBGE_2!D$896/100</f>
        <v>25.34</v>
      </c>
      <c r="E896" s="142">
        <f>B896*IBGE_2!E$896/100</f>
        <v>25.667000000000002</v>
      </c>
      <c r="F896" s="142">
        <f>B896*IBGE_2!F$896/100</f>
        <v>8.2379999999999995</v>
      </c>
      <c r="G896" s="142">
        <f>B896*IBGE_2!G$896/100</f>
        <v>10.297000000000001</v>
      </c>
      <c r="H896" s="142">
        <f>B896*IBGE_2!H$896/100</f>
        <v>5.1279999999999992</v>
      </c>
      <c r="I896" s="142">
        <f>B896*IBGE_2!I$896/100</f>
        <v>4.5670000000000002</v>
      </c>
      <c r="J896" s="142">
        <f>B896*IBGE_2!J$896/100</f>
        <v>0.441</v>
      </c>
      <c r="K896" s="142">
        <f>B896*IBGE_2!K$896/100</f>
        <v>92</v>
      </c>
      <c r="L896" s="142" t="s">
        <v>3047</v>
      </c>
      <c r="M896" s="142" t="s">
        <v>3047</v>
      </c>
      <c r="N896" s="142">
        <f>B896*IBGE_2!N$896/100</f>
        <v>15</v>
      </c>
      <c r="O896" s="142">
        <f>B896*IBGE_2!O$896/100</f>
        <v>22</v>
      </c>
      <c r="P896" s="142">
        <f>B896*IBGE_2!P$896/100</f>
        <v>2.8000000000000004E-2</v>
      </c>
      <c r="Q896" s="142">
        <f>B896*IBGE_2!Q$896/100</f>
        <v>257</v>
      </c>
      <c r="R896" s="142">
        <f>B896*IBGE_2!R$896/100</f>
        <v>0.98299999999999998</v>
      </c>
      <c r="S896" s="142">
        <f>B896*IBGE_2!S$896/100</f>
        <v>59</v>
      </c>
      <c r="T896" s="142">
        <f>B896*IBGE_2!T$896/100</f>
        <v>338</v>
      </c>
      <c r="U896" s="142">
        <f>B896*IBGE_2!U$896/100</f>
        <v>9.8000000000000004E-2</v>
      </c>
      <c r="V896" s="142">
        <f>B896*IBGE_2!V$896/100</f>
        <v>3.0610000000000004</v>
      </c>
      <c r="W896" s="142">
        <f>B896*IBGE_2!W$896/100</f>
        <v>3</v>
      </c>
      <c r="X896" s="142">
        <f>B896*IBGE_2!X$896/100</f>
        <v>0.57799999999999996</v>
      </c>
      <c r="Y896" s="142">
        <f>B896*IBGE_2!Y$896/100</f>
        <v>0.30199999999999999</v>
      </c>
      <c r="Z896" s="142">
        <f>B896*IBGE_2!Z$896/100</f>
        <v>0.40100000000000002</v>
      </c>
      <c r="AA896" s="142">
        <f>B896*IBGE_2!AA$896/100</f>
        <v>4.46</v>
      </c>
      <c r="AB896" s="142">
        <f>B896*IBGE_2!AB$896/100</f>
        <v>0.3</v>
      </c>
      <c r="AC896" s="142">
        <f>B896*IBGE_2!AC$896/100</f>
        <v>9.4770000000000003</v>
      </c>
      <c r="AD896" s="142">
        <f>B896*IBGE_2!AD$896/100</f>
        <v>0.66</v>
      </c>
      <c r="AE896" s="142">
        <f>B896*IBGE_2!AE$896/100</f>
        <v>5</v>
      </c>
      <c r="AF896" s="142">
        <f>B896*IBGE_2!AF$896/100</f>
        <v>1.1000000000000001</v>
      </c>
      <c r="AG896" s="142">
        <f>B896*IBGE_2!AG$896/100</f>
        <v>0.67900000000000005</v>
      </c>
      <c r="AH896" s="142">
        <f>B896*IBGE_2!AH$896/100</f>
        <v>6.7000000000000004E-2</v>
      </c>
      <c r="AI896" s="142">
        <f>B896*IBGE_2!AI$896/100</f>
        <v>166</v>
      </c>
      <c r="AJ896" s="142">
        <f>B896*IBGE_2!AJ$896/100</f>
        <v>45.87</v>
      </c>
      <c r="AK896" s="142">
        <f>B896*IBGE_2!AK$896/100</f>
        <v>3</v>
      </c>
      <c r="AL896" s="142" t="s">
        <v>3047</v>
      </c>
      <c r="AM896" s="142" t="s">
        <v>3047</v>
      </c>
      <c r="AN896" s="161"/>
    </row>
    <row r="897" spans="1:40">
      <c r="A897" s="143" t="s">
        <v>1957</v>
      </c>
      <c r="B897" s="141">
        <v>100</v>
      </c>
      <c r="C897" s="142">
        <f>B897*IBGE_2!C$897/100</f>
        <v>541</v>
      </c>
      <c r="D897" s="142">
        <f>B897*IBGE_2!D$897/100</f>
        <v>37.04</v>
      </c>
      <c r="E897" s="142">
        <f>B897*IBGE_2!E$897/100</f>
        <v>41.78</v>
      </c>
      <c r="F897" s="142">
        <f>B897*IBGE_2!F$897/100</f>
        <v>13.739000000000001</v>
      </c>
      <c r="G897" s="142">
        <f>B897*IBGE_2!G$897/100</f>
        <v>18.52</v>
      </c>
      <c r="H897" s="142">
        <f>B897*IBGE_2!H$897/100</f>
        <v>4.548</v>
      </c>
      <c r="I897" s="142">
        <f>B897*IBGE_2!I$897/100</f>
        <v>4</v>
      </c>
      <c r="J897" s="142">
        <f>B897*IBGE_2!J$897/100</f>
        <v>0.2</v>
      </c>
      <c r="K897" s="142">
        <f>B897*IBGE_2!K$897/100</f>
        <v>110</v>
      </c>
      <c r="L897" s="142">
        <f>B897*IBGE_2!L$897/100</f>
        <v>1.43</v>
      </c>
      <c r="M897" s="142" t="s">
        <v>3047</v>
      </c>
      <c r="N897" s="142">
        <f>B897*IBGE_2!N$897/100</f>
        <v>11</v>
      </c>
      <c r="O897" s="142">
        <f>B897*IBGE_2!O$897/100</f>
        <v>33</v>
      </c>
      <c r="P897" s="142">
        <f>B897*IBGE_2!P$897/100</f>
        <v>2.1999999999999999E-2</v>
      </c>
      <c r="Q897" s="142">
        <f>B897*IBGE_2!Q$897/100</f>
        <v>533</v>
      </c>
      <c r="R897" s="142">
        <f>B897*IBGE_2!R$897/100</f>
        <v>1.44</v>
      </c>
      <c r="S897" s="142">
        <f>B897*IBGE_2!S$897/100</f>
        <v>2310</v>
      </c>
      <c r="T897" s="142">
        <f>B897*IBGE_2!T$897/100</f>
        <v>565</v>
      </c>
      <c r="U897" s="142">
        <f>B897*IBGE_2!U$897/100</f>
        <v>0.16400000000000003</v>
      </c>
      <c r="V897" s="142">
        <f>B897*IBGE_2!V$897/100</f>
        <v>3.5</v>
      </c>
      <c r="W897" s="142">
        <f>B897*IBGE_2!W$897/100</f>
        <v>11</v>
      </c>
      <c r="X897" s="142">
        <f>B897*IBGE_2!X$897/100</f>
        <v>0.40400000000000008</v>
      </c>
      <c r="Y897" s="142">
        <f>B897*IBGE_2!Y$897/100</f>
        <v>0.26400000000000001</v>
      </c>
      <c r="Z897" s="142">
        <f>B897*IBGE_2!Z$897/100</f>
        <v>0.34899999999999998</v>
      </c>
      <c r="AA897" s="142">
        <f>B897*IBGE_2!AA$897/100</f>
        <v>11.099</v>
      </c>
      <c r="AB897" s="142" t="s">
        <v>3047</v>
      </c>
      <c r="AC897" s="142">
        <f>B897*IBGE_2!AC$897/100</f>
        <v>16.449000000000002</v>
      </c>
      <c r="AD897" s="142">
        <f>B897*IBGE_2!AD$897/100</f>
        <v>1.23</v>
      </c>
      <c r="AE897" s="142">
        <f>B897*IBGE_2!AE$897/100</f>
        <v>2</v>
      </c>
      <c r="AF897" s="142">
        <f>B897*IBGE_2!AF$897/100</f>
        <v>0.7</v>
      </c>
      <c r="AG897" s="142">
        <f>B897*IBGE_2!AG$897/100</f>
        <v>0.31</v>
      </c>
      <c r="AH897" s="142">
        <f>B897*IBGE_2!AH$897/100</f>
        <v>0.31</v>
      </c>
      <c r="AI897" s="145" t="s">
        <v>3047</v>
      </c>
      <c r="AJ897" s="142">
        <f>B897*IBGE_2!AJ$897/100</f>
        <v>62</v>
      </c>
      <c r="AK897" s="142">
        <f>B897*IBGE_2!AK$897/100</f>
        <v>11</v>
      </c>
      <c r="AL897" s="142">
        <f>B897*IBGE_2!AL$897/100</f>
        <v>0.59</v>
      </c>
      <c r="AM897" s="142">
        <f>B897*IBGE_2!AM$897/100</f>
        <v>1.43</v>
      </c>
      <c r="AN897" s="161"/>
    </row>
    <row r="898" spans="1:40">
      <c r="A898" s="143" t="s">
        <v>1958</v>
      </c>
      <c r="B898" s="141">
        <v>100</v>
      </c>
      <c r="C898" s="142">
        <f>B898*IBGE_2!C$898/100</f>
        <v>165</v>
      </c>
      <c r="D898" s="142">
        <f>B898*IBGE_2!D$898/100</f>
        <v>26.02</v>
      </c>
      <c r="E898" s="142">
        <f>B898*IBGE_2!E$898/100</f>
        <v>4.4000000000000004</v>
      </c>
      <c r="F898" s="142">
        <f>B898*IBGE_2!F$898/100</f>
        <v>1.41</v>
      </c>
      <c r="G898" s="142">
        <f>B898*IBGE_2!G$898/100</f>
        <v>0.63</v>
      </c>
      <c r="H898" s="142">
        <f>B898*IBGE_2!H$898/100</f>
        <v>1.05</v>
      </c>
      <c r="I898" s="142">
        <f>B898*IBGE_2!I$898/100</f>
        <v>0.42</v>
      </c>
      <c r="J898" s="142">
        <f>B898*IBGE_2!J$898/100</f>
        <v>0.04</v>
      </c>
      <c r="K898" s="142">
        <f>B898*IBGE_2!K$898/100</f>
        <v>355</v>
      </c>
      <c r="L898" s="142">
        <f>B898*IBGE_2!L$898/100</f>
        <v>3.76</v>
      </c>
      <c r="M898" s="142" t="s">
        <v>3047</v>
      </c>
      <c r="N898" s="142">
        <f>B898*IBGE_2!N$898/100</f>
        <v>10</v>
      </c>
      <c r="O898" s="142">
        <f>B898*IBGE_2!O$898/100</f>
        <v>14</v>
      </c>
      <c r="P898" s="142">
        <f>B898*IBGE_2!P$898/100</f>
        <v>0.3</v>
      </c>
      <c r="Q898" s="142">
        <f>B898*IBGE_2!Q$898/100</f>
        <v>241</v>
      </c>
      <c r="R898" s="142">
        <f>B898*IBGE_2!R$898/100</f>
        <v>17.920000000000002</v>
      </c>
      <c r="S898" s="142">
        <f>B898*IBGE_2!S$898/100</f>
        <v>49</v>
      </c>
      <c r="T898" s="142">
        <f>B898*IBGE_2!T$898/100</f>
        <v>150</v>
      </c>
      <c r="U898" s="142">
        <f>B898*IBGE_2!U$898/100</f>
        <v>0.63400000000000001</v>
      </c>
      <c r="V898" s="142">
        <f>B898*IBGE_2!V$898/100</f>
        <v>6.72</v>
      </c>
      <c r="W898" s="142">
        <f>B898*IBGE_2!W$898/100</f>
        <v>5405</v>
      </c>
      <c r="X898" s="142">
        <f>B898*IBGE_2!X$898/100</f>
        <v>0.25800000000000001</v>
      </c>
      <c r="Y898" s="142">
        <f>B898*IBGE_2!Y$898/100</f>
        <v>2.1960000000000002</v>
      </c>
      <c r="Z898" s="142">
        <f>B898*IBGE_2!Z$898/100</f>
        <v>0.56999999999999995</v>
      </c>
      <c r="AA898" s="142">
        <f>B898*IBGE_2!AA$898/100</f>
        <v>8.4350000000000005</v>
      </c>
      <c r="AB898" s="142">
        <f>B898*IBGE_2!AB$898/100</f>
        <v>23.6</v>
      </c>
      <c r="AC898" s="142">
        <f>B898*IBGE_2!AC$898/100</f>
        <v>14.535</v>
      </c>
      <c r="AD898" s="142">
        <f>B898*IBGE_2!AD$898/100</f>
        <v>18.670000000000002</v>
      </c>
      <c r="AE898" s="142">
        <f>B898*IBGE_2!AE$898/100</f>
        <v>163</v>
      </c>
      <c r="AF898" s="142">
        <f>B898*IBGE_2!AF$898/100</f>
        <v>1.1000000000000001</v>
      </c>
      <c r="AG898" s="142">
        <f>B898*IBGE_2!AG$898/100</f>
        <v>0.55500000000000005</v>
      </c>
      <c r="AH898" s="145" t="s">
        <v>3047</v>
      </c>
      <c r="AI898" s="142">
        <f>B898*IBGE_2!AI$898/100</f>
        <v>333</v>
      </c>
      <c r="AJ898" s="142">
        <f>B898*IBGE_2!AJ$898/100</f>
        <v>67.5</v>
      </c>
      <c r="AK898" s="142">
        <f>B898*IBGE_2!AK$898/100</f>
        <v>5405</v>
      </c>
      <c r="AL898" s="145" t="s">
        <v>3047</v>
      </c>
      <c r="AM898" s="142" t="s">
        <v>3047</v>
      </c>
      <c r="AN898" s="161"/>
    </row>
    <row r="899" spans="1:40">
      <c r="A899" s="143" t="s">
        <v>1959</v>
      </c>
      <c r="B899" s="141">
        <v>100</v>
      </c>
      <c r="C899" s="142">
        <f>B899*IBGE_2!C$899/100</f>
        <v>100.041</v>
      </c>
      <c r="D899" s="142">
        <f>B899*IBGE_2!D$899/100</f>
        <v>13.982999999999999</v>
      </c>
      <c r="E899" s="142">
        <f>B899*IBGE_2!E$899/100</f>
        <v>2.9630000000000001</v>
      </c>
      <c r="F899" s="142">
        <f>B899*IBGE_2!F$899/100</f>
        <v>0.89900000000000002</v>
      </c>
      <c r="G899" s="142">
        <f>B899*IBGE_2!G$899/100</f>
        <v>0.626</v>
      </c>
      <c r="H899" s="142">
        <f>B899*IBGE_2!H$899/100</f>
        <v>0.86</v>
      </c>
      <c r="I899" s="142">
        <f>B899*IBGE_2!I$899/100</f>
        <v>0.34699999999999998</v>
      </c>
      <c r="J899" s="142">
        <f>B899*IBGE_2!J$899/100</f>
        <v>6.0000000000000001E-3</v>
      </c>
      <c r="K899" s="142">
        <f>B899*IBGE_2!K$899/100</f>
        <v>265.67700000000002</v>
      </c>
      <c r="L899" s="142">
        <f>B899*IBGE_2!L$899/100</f>
        <v>4.18</v>
      </c>
      <c r="M899" s="142">
        <f>B899*IBGE_2!M$899/100</f>
        <v>0.621</v>
      </c>
      <c r="N899" s="142">
        <f>B899*IBGE_2!N$899/100</f>
        <v>15.865</v>
      </c>
      <c r="O899" s="142">
        <f>B899*IBGE_2!O$899/100</f>
        <v>15.946999999999997</v>
      </c>
      <c r="P899" s="142">
        <f>B899*IBGE_2!P$899/100</f>
        <v>0.222</v>
      </c>
      <c r="Q899" s="142">
        <f>B899*IBGE_2!Q$899/100</f>
        <v>195.69399999999999</v>
      </c>
      <c r="R899" s="142">
        <f>B899*IBGE_2!R$899/100</f>
        <v>5.1870000000000003</v>
      </c>
      <c r="S899" s="142">
        <f>B899*IBGE_2!S$899/100</f>
        <v>340.83499999999998</v>
      </c>
      <c r="T899" s="142">
        <f>B899*IBGE_2!T$899/100</f>
        <v>224.90899999999999</v>
      </c>
      <c r="U899" s="142">
        <f>B899*IBGE_2!U$899/100</f>
        <v>0.254</v>
      </c>
      <c r="V899" s="142">
        <f>B899*IBGE_2!V$899/100</f>
        <v>2.202</v>
      </c>
      <c r="W899" s="142">
        <f>B899*IBGE_2!W$899/100</f>
        <v>1539.8710000000001</v>
      </c>
      <c r="X899" s="142">
        <f>B899*IBGE_2!X$899/100</f>
        <v>0.14199999999999999</v>
      </c>
      <c r="Y899" s="142">
        <f>B899*IBGE_2!Y$899/100</f>
        <v>0.81299999999999994</v>
      </c>
      <c r="Z899" s="142">
        <f>B899*IBGE_2!Z$899/100</f>
        <v>0.39</v>
      </c>
      <c r="AA899" s="142">
        <f>B899*IBGE_2!AA$899/100</f>
        <v>4.9000000000000004</v>
      </c>
      <c r="AB899" s="142">
        <f>B899*IBGE_2!AB$899/100</f>
        <v>34.222999999999999</v>
      </c>
      <c r="AC899" s="142">
        <f>B899*IBGE_2!AC$899/100</f>
        <v>7.3630000000000004</v>
      </c>
      <c r="AD899" s="142">
        <f>B899*IBGE_2!AD$899/100</f>
        <v>6.657</v>
      </c>
      <c r="AE899" s="142">
        <f>B899*IBGE_2!AE$899/100</f>
        <v>232.50899999999999</v>
      </c>
      <c r="AF899" s="142">
        <f>B899*IBGE_2!AF$899/100</f>
        <v>0.10299999999999999</v>
      </c>
      <c r="AG899" s="142">
        <f>B899*IBGE_2!AG$899/100</f>
        <v>0.57599999999999996</v>
      </c>
      <c r="AH899" s="142">
        <f>B899*IBGE_2!AH$899/100</f>
        <v>5.2000000000000005E-2</v>
      </c>
      <c r="AI899" s="145" t="s">
        <v>3047</v>
      </c>
      <c r="AJ899" s="142">
        <f>B899*IBGE_2!AJ$899/100</f>
        <v>37.481999999999999</v>
      </c>
      <c r="AK899" s="142">
        <f>B899*IBGE_2!AK$899/100</f>
        <v>1553.6020000000001</v>
      </c>
      <c r="AL899" s="142">
        <f>B899*IBGE_2!AL$899/100</f>
        <v>1.952</v>
      </c>
      <c r="AM899" s="142" t="s">
        <v>3047</v>
      </c>
      <c r="AN899" s="161"/>
    </row>
    <row r="900" spans="1:40">
      <c r="A900" s="143" t="s">
        <v>1960</v>
      </c>
      <c r="B900" s="141">
        <v>100</v>
      </c>
      <c r="C900" s="142">
        <f>B900*IBGE_2!C$900/100</f>
        <v>100.041</v>
      </c>
      <c r="D900" s="142">
        <f>B900*IBGE_2!D$900/100</f>
        <v>13.982999999999999</v>
      </c>
      <c r="E900" s="142">
        <f>B900*IBGE_2!E$900/100</f>
        <v>2.9630000000000001</v>
      </c>
      <c r="F900" s="142">
        <f>B900*IBGE_2!F$900/100</f>
        <v>0.89900000000000002</v>
      </c>
      <c r="G900" s="142">
        <f>B900*IBGE_2!G$900/100</f>
        <v>0.626</v>
      </c>
      <c r="H900" s="142">
        <f>B900*IBGE_2!H$900/100</f>
        <v>0.86</v>
      </c>
      <c r="I900" s="142">
        <f>B900*IBGE_2!I$900/100</f>
        <v>0.34699999999999998</v>
      </c>
      <c r="J900" s="142">
        <f>B900*IBGE_2!J$900/100</f>
        <v>6.0000000000000001E-3</v>
      </c>
      <c r="K900" s="142">
        <f>B900*IBGE_2!K$900/100</f>
        <v>265.67700000000002</v>
      </c>
      <c r="L900" s="142">
        <f>B900*IBGE_2!L$900/100</f>
        <v>4.18</v>
      </c>
      <c r="M900" s="142">
        <f>B900*IBGE_2!M$900/100</f>
        <v>0.621</v>
      </c>
      <c r="N900" s="142">
        <f>B900*IBGE_2!N$900/100</f>
        <v>15.865</v>
      </c>
      <c r="O900" s="142">
        <f>B900*IBGE_2!O$900/100</f>
        <v>15.946999999999997</v>
      </c>
      <c r="P900" s="142">
        <f>B900*IBGE_2!P$900/100</f>
        <v>0.222</v>
      </c>
      <c r="Q900" s="142">
        <f>B900*IBGE_2!Q$900/100</f>
        <v>195.69399999999999</v>
      </c>
      <c r="R900" s="142">
        <f>B900*IBGE_2!R$900/100</f>
        <v>5.1870000000000003</v>
      </c>
      <c r="S900" s="142">
        <f>B900*IBGE_2!S$900/100</f>
        <v>340.83499999999998</v>
      </c>
      <c r="T900" s="142">
        <f>B900*IBGE_2!T$900/100</f>
        <v>224.90899999999999</v>
      </c>
      <c r="U900" s="142">
        <f>B900*IBGE_2!U$900/100</f>
        <v>0.254</v>
      </c>
      <c r="V900" s="142">
        <f>B900*IBGE_2!V$900/100</f>
        <v>2.202</v>
      </c>
      <c r="W900" s="142">
        <f>B900*IBGE_2!W$900/100</f>
        <v>1539.8710000000001</v>
      </c>
      <c r="X900" s="142">
        <f>B900*IBGE_2!X$900/100</f>
        <v>0.14199999999999999</v>
      </c>
      <c r="Y900" s="142">
        <f>B900*IBGE_2!Y$900/100</f>
        <v>0.81299999999999994</v>
      </c>
      <c r="Z900" s="142">
        <f>B900*IBGE_2!Z$900/100</f>
        <v>0.39</v>
      </c>
      <c r="AA900" s="142">
        <f>B900*IBGE_2!AA$900/100</f>
        <v>4.9000000000000004</v>
      </c>
      <c r="AB900" s="142">
        <f>B900*IBGE_2!AB$900/100</f>
        <v>34.222999999999999</v>
      </c>
      <c r="AC900" s="142">
        <f>B900*IBGE_2!AC$900/100</f>
        <v>7.3630000000000004</v>
      </c>
      <c r="AD900" s="142">
        <f>B900*IBGE_2!AD$900/100</f>
        <v>6.657</v>
      </c>
      <c r="AE900" s="142">
        <f>B900*IBGE_2!AE$900/100</f>
        <v>232.50899999999999</v>
      </c>
      <c r="AF900" s="142">
        <f>B900*IBGE_2!AF$900/100</f>
        <v>0.10299999999999999</v>
      </c>
      <c r="AG900" s="142">
        <f>B900*IBGE_2!AG$900/100</f>
        <v>0.57599999999999996</v>
      </c>
      <c r="AH900" s="142">
        <f>B900*IBGE_2!AH$900/100</f>
        <v>5.2000000000000005E-2</v>
      </c>
      <c r="AI900" s="145" t="s">
        <v>3047</v>
      </c>
      <c r="AJ900" s="142">
        <f>B900*IBGE_2!AJ$900/100</f>
        <v>37.481999999999999</v>
      </c>
      <c r="AK900" s="142">
        <f>B900*IBGE_2!AK$900/100</f>
        <v>1553.6020000000001</v>
      </c>
      <c r="AL900" s="142">
        <f>B900*IBGE_2!AL$900/100</f>
        <v>1.952</v>
      </c>
      <c r="AM900" s="142" t="s">
        <v>3047</v>
      </c>
      <c r="AN900" s="161"/>
    </row>
    <row r="901" spans="1:40">
      <c r="A901" s="143" t="s">
        <v>1961</v>
      </c>
      <c r="B901" s="141">
        <v>100</v>
      </c>
      <c r="C901" s="142">
        <f>B901*IBGE_2!C$901/100</f>
        <v>289</v>
      </c>
      <c r="D901" s="142">
        <f>B901*IBGE_2!D$901/100</f>
        <v>25.34</v>
      </c>
      <c r="E901" s="142">
        <f>B901*IBGE_2!E$901/100</f>
        <v>20.059999999999999</v>
      </c>
      <c r="F901" s="142">
        <f>B901*IBGE_2!F$901/100</f>
        <v>7.36</v>
      </c>
      <c r="G901" s="142">
        <f>B901*IBGE_2!G$901/100</f>
        <v>9.02</v>
      </c>
      <c r="H901" s="142">
        <f>B901*IBGE_2!H$901/100</f>
        <v>1.89</v>
      </c>
      <c r="I901" s="142">
        <f>B901*IBGE_2!I$901/100</f>
        <v>1.71</v>
      </c>
      <c r="J901" s="142">
        <f>B901*IBGE_2!J$901/100</f>
        <v>0.06</v>
      </c>
      <c r="K901" s="142">
        <f>B901*IBGE_2!K$901/100</f>
        <v>92</v>
      </c>
      <c r="L901" s="142" t="s">
        <v>3047</v>
      </c>
      <c r="M901" s="142" t="s">
        <v>3047</v>
      </c>
      <c r="N901" s="142">
        <f>B901*IBGE_2!N$901/100</f>
        <v>15</v>
      </c>
      <c r="O901" s="142">
        <f>B901*IBGE_2!O$901/100</f>
        <v>22</v>
      </c>
      <c r="P901" s="142">
        <f>B901*IBGE_2!P$901/100</f>
        <v>2.8000000000000004E-2</v>
      </c>
      <c r="Q901" s="142">
        <f>B901*IBGE_2!Q$901/100</f>
        <v>257</v>
      </c>
      <c r="R901" s="142">
        <f>B901*IBGE_2!R$901/100</f>
        <v>0.98</v>
      </c>
      <c r="S901" s="142">
        <f>B901*IBGE_2!S$901/100</f>
        <v>59</v>
      </c>
      <c r="T901" s="142">
        <f>B901*IBGE_2!T$901/100</f>
        <v>338</v>
      </c>
      <c r="U901" s="142">
        <f>B901*IBGE_2!U$901/100</f>
        <v>9.8000000000000004E-2</v>
      </c>
      <c r="V901" s="142">
        <f>B901*IBGE_2!V$901/100</f>
        <v>3.06</v>
      </c>
      <c r="W901" s="142">
        <f>B901*IBGE_2!W$901/100</f>
        <v>3</v>
      </c>
      <c r="X901" s="142">
        <f>B901*IBGE_2!X$901/100</f>
        <v>0.57799999999999996</v>
      </c>
      <c r="Y901" s="142">
        <f>B901*IBGE_2!Y$901/100</f>
        <v>0.30199999999999999</v>
      </c>
      <c r="Z901" s="142">
        <f>B901*IBGE_2!Z$901/100</f>
        <v>0.40100000000000002</v>
      </c>
      <c r="AA901" s="142">
        <f>B901*IBGE_2!AA$901/100</f>
        <v>4.46</v>
      </c>
      <c r="AB901" s="142">
        <f>B901*IBGE_2!AB$901/100</f>
        <v>0.3</v>
      </c>
      <c r="AC901" s="142">
        <f>B901*IBGE_2!AC$901/100</f>
        <v>9.4770000000000003</v>
      </c>
      <c r="AD901" s="142">
        <f>B901*IBGE_2!AD$901/100</f>
        <v>0.66</v>
      </c>
      <c r="AE901" s="142">
        <f>B901*IBGE_2!AE$901/100</f>
        <v>5</v>
      </c>
      <c r="AF901" s="142">
        <f>B901*IBGE_2!AF$901/100</f>
        <v>1.1000000000000001</v>
      </c>
      <c r="AG901" s="142">
        <f>B901*IBGE_2!AG$901/100</f>
        <v>0.22</v>
      </c>
      <c r="AH901" s="142">
        <f>B901*IBGE_2!AH$901/100</f>
        <v>3.6999999999999998E-2</v>
      </c>
      <c r="AI901" s="142">
        <f>B901*IBGE_2!AI$901/100</f>
        <v>166</v>
      </c>
      <c r="AJ901" s="142">
        <f>B901*IBGE_2!AJ$901/100</f>
        <v>43.3</v>
      </c>
      <c r="AK901" s="142">
        <f>B901*IBGE_2!AK$901/100</f>
        <v>3</v>
      </c>
      <c r="AL901" s="142" t="s">
        <v>3047</v>
      </c>
      <c r="AM901" s="142" t="s">
        <v>3047</v>
      </c>
      <c r="AN901" s="161"/>
    </row>
    <row r="902" spans="1:40">
      <c r="A902" s="143" t="s">
        <v>1962</v>
      </c>
      <c r="B902" s="141">
        <v>100</v>
      </c>
      <c r="C902" s="142">
        <f>B902*IBGE_2!C$902/100</f>
        <v>289</v>
      </c>
      <c r="D902" s="142">
        <f>B902*IBGE_2!D$902/100</f>
        <v>25.34</v>
      </c>
      <c r="E902" s="142">
        <f>B902*IBGE_2!E$902/100</f>
        <v>20.059999999999999</v>
      </c>
      <c r="F902" s="142">
        <f>B902*IBGE_2!F$902/100</f>
        <v>7.36</v>
      </c>
      <c r="G902" s="142">
        <f>B902*IBGE_2!G$902/100</f>
        <v>9.02</v>
      </c>
      <c r="H902" s="142">
        <f>B902*IBGE_2!H$902/100</f>
        <v>1.89</v>
      </c>
      <c r="I902" s="142">
        <f>B902*IBGE_2!I$902/100</f>
        <v>1.71</v>
      </c>
      <c r="J902" s="142">
        <f>B902*IBGE_2!J$902/100</f>
        <v>0.06</v>
      </c>
      <c r="K902" s="142">
        <f>B902*IBGE_2!K$902/100</f>
        <v>92</v>
      </c>
      <c r="L902" s="142" t="s">
        <v>3047</v>
      </c>
      <c r="M902" s="142" t="s">
        <v>3047</v>
      </c>
      <c r="N902" s="142">
        <f>B902*IBGE_2!N$902/100</f>
        <v>15</v>
      </c>
      <c r="O902" s="142">
        <f>B902*IBGE_2!O$902/100</f>
        <v>22</v>
      </c>
      <c r="P902" s="142">
        <f>B902*IBGE_2!P$902/100</f>
        <v>2.8000000000000004E-2</v>
      </c>
      <c r="Q902" s="142">
        <f>B902*IBGE_2!Q$902/100</f>
        <v>257</v>
      </c>
      <c r="R902" s="142">
        <f>B902*IBGE_2!R$902/100</f>
        <v>0.98</v>
      </c>
      <c r="S902" s="142">
        <f>B902*IBGE_2!S$902/100</f>
        <v>59</v>
      </c>
      <c r="T902" s="142">
        <f>B902*IBGE_2!T$902/100</f>
        <v>338</v>
      </c>
      <c r="U902" s="142">
        <f>B902*IBGE_2!U$902/100</f>
        <v>9.8000000000000004E-2</v>
      </c>
      <c r="V902" s="142">
        <f>B902*IBGE_2!V$902/100</f>
        <v>3.06</v>
      </c>
      <c r="W902" s="142">
        <f>B902*IBGE_2!W$902/100</f>
        <v>3</v>
      </c>
      <c r="X902" s="142">
        <f>B902*IBGE_2!X$902/100</f>
        <v>0.57799999999999996</v>
      </c>
      <c r="Y902" s="142">
        <f>B902*IBGE_2!Y$902/100</f>
        <v>0.30199999999999999</v>
      </c>
      <c r="Z902" s="142">
        <f>B902*IBGE_2!Z$902/100</f>
        <v>0.40100000000000002</v>
      </c>
      <c r="AA902" s="142">
        <f>B902*IBGE_2!AA$902/100</f>
        <v>4.46</v>
      </c>
      <c r="AB902" s="142">
        <f>B902*IBGE_2!AB$902/100</f>
        <v>0.3</v>
      </c>
      <c r="AC902" s="142">
        <f>B902*IBGE_2!AC$902/100</f>
        <v>9.4770000000000003</v>
      </c>
      <c r="AD902" s="142">
        <f>B902*IBGE_2!AD$902/100</f>
        <v>0.66</v>
      </c>
      <c r="AE902" s="142">
        <f>B902*IBGE_2!AE$902/100</f>
        <v>5</v>
      </c>
      <c r="AF902" s="142">
        <f>B902*IBGE_2!AF$902/100</f>
        <v>1.1000000000000001</v>
      </c>
      <c r="AG902" s="142">
        <f>B902*IBGE_2!AG$902/100</f>
        <v>0.22</v>
      </c>
      <c r="AH902" s="142">
        <f>B902*IBGE_2!AH$902/100</f>
        <v>3.6999999999999998E-2</v>
      </c>
      <c r="AI902" s="142">
        <f>B902*IBGE_2!AI$902/100</f>
        <v>166</v>
      </c>
      <c r="AJ902" s="142">
        <f>B902*IBGE_2!AJ$902/100</f>
        <v>43.3</v>
      </c>
      <c r="AK902" s="142">
        <f>B902*IBGE_2!AK$902/100</f>
        <v>3</v>
      </c>
      <c r="AL902" s="142" t="s">
        <v>3047</v>
      </c>
      <c r="AM902" s="142" t="s">
        <v>3047</v>
      </c>
      <c r="AN902" s="161"/>
    </row>
    <row r="903" spans="1:40">
      <c r="A903" s="143" t="s">
        <v>1963</v>
      </c>
      <c r="B903" s="141">
        <v>100</v>
      </c>
      <c r="C903" s="142">
        <f>B903*IBGE_2!C$903/100</f>
        <v>289</v>
      </c>
      <c r="D903" s="142">
        <f>B903*IBGE_2!D$903/100</f>
        <v>25.34</v>
      </c>
      <c r="E903" s="142">
        <f>B903*IBGE_2!E$903/100</f>
        <v>20.059999999999999</v>
      </c>
      <c r="F903" s="142">
        <f>B903*IBGE_2!F$903/100</f>
        <v>7.36</v>
      </c>
      <c r="G903" s="142">
        <f>B903*IBGE_2!G$903/100</f>
        <v>9.02</v>
      </c>
      <c r="H903" s="142">
        <f>B903*IBGE_2!H$903/100</f>
        <v>1.89</v>
      </c>
      <c r="I903" s="142">
        <f>B903*IBGE_2!I$903/100</f>
        <v>1.71</v>
      </c>
      <c r="J903" s="142">
        <f>B903*IBGE_2!J$903/100</f>
        <v>0.06</v>
      </c>
      <c r="K903" s="142">
        <f>B903*IBGE_2!K$903/100</f>
        <v>92</v>
      </c>
      <c r="L903" s="142" t="s">
        <v>3047</v>
      </c>
      <c r="M903" s="142" t="s">
        <v>3047</v>
      </c>
      <c r="N903" s="142">
        <f>B903*IBGE_2!N$903/100</f>
        <v>15</v>
      </c>
      <c r="O903" s="142">
        <f>B903*IBGE_2!O$903/100</f>
        <v>22</v>
      </c>
      <c r="P903" s="142">
        <f>B903*IBGE_2!P$903/100</f>
        <v>2.8000000000000004E-2</v>
      </c>
      <c r="Q903" s="142">
        <f>B903*IBGE_2!Q$903/100</f>
        <v>257</v>
      </c>
      <c r="R903" s="142">
        <f>B903*IBGE_2!R$903/100</f>
        <v>0.98</v>
      </c>
      <c r="S903" s="142">
        <f>B903*IBGE_2!S$903/100</f>
        <v>59</v>
      </c>
      <c r="T903" s="142">
        <f>B903*IBGE_2!T$903/100</f>
        <v>338</v>
      </c>
      <c r="U903" s="142">
        <f>B903*IBGE_2!U$903/100</f>
        <v>9.8000000000000004E-2</v>
      </c>
      <c r="V903" s="142">
        <f>B903*IBGE_2!V$903/100</f>
        <v>3.06</v>
      </c>
      <c r="W903" s="142">
        <f>B903*IBGE_2!W$903/100</f>
        <v>3</v>
      </c>
      <c r="X903" s="142">
        <f>B903*IBGE_2!X$903/100</f>
        <v>0.57799999999999996</v>
      </c>
      <c r="Y903" s="142">
        <f>B903*IBGE_2!Y$903/100</f>
        <v>0.30199999999999999</v>
      </c>
      <c r="Z903" s="142">
        <f>B903*IBGE_2!Z$903/100</f>
        <v>0.40100000000000002</v>
      </c>
      <c r="AA903" s="142">
        <f>B903*IBGE_2!AA$903/100</f>
        <v>4.46</v>
      </c>
      <c r="AB903" s="142">
        <f>B903*IBGE_2!AB$903/100</f>
        <v>0.3</v>
      </c>
      <c r="AC903" s="142">
        <f>B903*IBGE_2!AC$903/100</f>
        <v>9.4770000000000003</v>
      </c>
      <c r="AD903" s="142">
        <f>B903*IBGE_2!AD$903/100</f>
        <v>0.66</v>
      </c>
      <c r="AE903" s="142">
        <f>B903*IBGE_2!AE$903/100</f>
        <v>5</v>
      </c>
      <c r="AF903" s="142">
        <f>B903*IBGE_2!AF$903/100</f>
        <v>1.1000000000000001</v>
      </c>
      <c r="AG903" s="142">
        <f>B903*IBGE_2!AG$903/100</f>
        <v>0.22</v>
      </c>
      <c r="AH903" s="142">
        <f>B903*IBGE_2!AH$903/100</f>
        <v>3.6999999999999998E-2</v>
      </c>
      <c r="AI903" s="142">
        <f>B903*IBGE_2!AI$903/100</f>
        <v>166</v>
      </c>
      <c r="AJ903" s="142">
        <f>B903*IBGE_2!AJ$903/100</f>
        <v>43.3</v>
      </c>
      <c r="AK903" s="142">
        <f>B903*IBGE_2!AK$903/100</f>
        <v>3</v>
      </c>
      <c r="AL903" s="142" t="s">
        <v>3047</v>
      </c>
      <c r="AM903" s="142" t="s">
        <v>3047</v>
      </c>
      <c r="AN903" s="161"/>
    </row>
    <row r="904" spans="1:40">
      <c r="A904" s="143" t="s">
        <v>1964</v>
      </c>
      <c r="B904" s="141">
        <v>100</v>
      </c>
      <c r="C904" s="142">
        <f>B904*IBGE_2!C$904/100</f>
        <v>289</v>
      </c>
      <c r="D904" s="142">
        <f>B904*IBGE_2!D$904/100</f>
        <v>25.34</v>
      </c>
      <c r="E904" s="142">
        <f>B904*IBGE_2!E$904/100</f>
        <v>20.059999999999999</v>
      </c>
      <c r="F904" s="142">
        <f>B904*IBGE_2!F$904/100</f>
        <v>7.36</v>
      </c>
      <c r="G904" s="142">
        <f>B904*IBGE_2!G$904/100</f>
        <v>9.02</v>
      </c>
      <c r="H904" s="142">
        <f>B904*IBGE_2!H$904/100</f>
        <v>1.89</v>
      </c>
      <c r="I904" s="142">
        <f>B904*IBGE_2!I$904/100</f>
        <v>1.71</v>
      </c>
      <c r="J904" s="142">
        <f>B904*IBGE_2!J$904/100</f>
        <v>0.06</v>
      </c>
      <c r="K904" s="142">
        <f>B904*IBGE_2!K$904/100</f>
        <v>92</v>
      </c>
      <c r="L904" s="142" t="s">
        <v>3047</v>
      </c>
      <c r="M904" s="142" t="s">
        <v>3047</v>
      </c>
      <c r="N904" s="142">
        <f>B904*IBGE_2!N$904/100</f>
        <v>15</v>
      </c>
      <c r="O904" s="142">
        <f>B904*IBGE_2!O$904/100</f>
        <v>22</v>
      </c>
      <c r="P904" s="142">
        <f>B904*IBGE_2!P$904/100</f>
        <v>2.8000000000000004E-2</v>
      </c>
      <c r="Q904" s="142">
        <f>B904*IBGE_2!Q$904/100</f>
        <v>257</v>
      </c>
      <c r="R904" s="142">
        <f>B904*IBGE_2!R$904/100</f>
        <v>0.98</v>
      </c>
      <c r="S904" s="142">
        <f>B904*IBGE_2!S$904/100</f>
        <v>59</v>
      </c>
      <c r="T904" s="142">
        <f>B904*IBGE_2!T$904/100</f>
        <v>338</v>
      </c>
      <c r="U904" s="142">
        <f>B904*IBGE_2!U$904/100</f>
        <v>9.8000000000000004E-2</v>
      </c>
      <c r="V904" s="142">
        <f>B904*IBGE_2!V$904/100</f>
        <v>3.06</v>
      </c>
      <c r="W904" s="142">
        <f>B904*IBGE_2!W$904/100</f>
        <v>3</v>
      </c>
      <c r="X904" s="142">
        <f>B904*IBGE_2!X$904/100</f>
        <v>0.57799999999999996</v>
      </c>
      <c r="Y904" s="142">
        <f>B904*IBGE_2!Y$904/100</f>
        <v>0.30199999999999999</v>
      </c>
      <c r="Z904" s="142">
        <f>B904*IBGE_2!Z$904/100</f>
        <v>0.40100000000000002</v>
      </c>
      <c r="AA904" s="142">
        <f>B904*IBGE_2!AA$904/100</f>
        <v>4.46</v>
      </c>
      <c r="AB904" s="142">
        <f>B904*IBGE_2!AB$904/100</f>
        <v>0.3</v>
      </c>
      <c r="AC904" s="142">
        <f>B904*IBGE_2!AC$904/100</f>
        <v>9.4770000000000003</v>
      </c>
      <c r="AD904" s="142">
        <f>B904*IBGE_2!AD$904/100</f>
        <v>0.66</v>
      </c>
      <c r="AE904" s="142">
        <f>B904*IBGE_2!AE$904/100</f>
        <v>5</v>
      </c>
      <c r="AF904" s="142">
        <f>B904*IBGE_2!AF$904/100</f>
        <v>1.1000000000000001</v>
      </c>
      <c r="AG904" s="142">
        <f>B904*IBGE_2!AG$904/100</f>
        <v>0.22</v>
      </c>
      <c r="AH904" s="142">
        <f>B904*IBGE_2!AH$904/100</f>
        <v>3.6999999999999998E-2</v>
      </c>
      <c r="AI904" s="142">
        <f>B904*IBGE_2!AI$904/100</f>
        <v>166</v>
      </c>
      <c r="AJ904" s="142">
        <f>B904*IBGE_2!AJ$904/100</f>
        <v>43.3</v>
      </c>
      <c r="AK904" s="142">
        <f>B904*IBGE_2!AK$904/100</f>
        <v>3</v>
      </c>
      <c r="AL904" s="142" t="s">
        <v>3047</v>
      </c>
      <c r="AM904" s="142" t="s">
        <v>3047</v>
      </c>
      <c r="AN904" s="161"/>
    </row>
    <row r="905" spans="1:40">
      <c r="A905" s="143" t="s">
        <v>1965</v>
      </c>
      <c r="B905" s="141">
        <v>100</v>
      </c>
      <c r="C905" s="142">
        <f>B905*IBGE_2!C$905/100</f>
        <v>338.56699999999995</v>
      </c>
      <c r="D905" s="142">
        <f>B905*IBGE_2!D$905/100</f>
        <v>25.34</v>
      </c>
      <c r="E905" s="142">
        <f>B905*IBGE_2!E$905/100</f>
        <v>25.667000000000002</v>
      </c>
      <c r="F905" s="142">
        <f>B905*IBGE_2!F$905/100</f>
        <v>8.2379999999999995</v>
      </c>
      <c r="G905" s="142">
        <f>B905*IBGE_2!G$905/100</f>
        <v>10.297000000000001</v>
      </c>
      <c r="H905" s="142">
        <f>B905*IBGE_2!H$905/100</f>
        <v>5.1279999999999992</v>
      </c>
      <c r="I905" s="142">
        <f>B905*IBGE_2!I$905/100</f>
        <v>4.5670000000000002</v>
      </c>
      <c r="J905" s="142">
        <f>B905*IBGE_2!J$905/100</f>
        <v>0.441</v>
      </c>
      <c r="K905" s="142">
        <f>B905*IBGE_2!K$905/100</f>
        <v>92</v>
      </c>
      <c r="L905" s="142" t="s">
        <v>3047</v>
      </c>
      <c r="M905" s="142" t="s">
        <v>3047</v>
      </c>
      <c r="N905" s="142">
        <f>B905*IBGE_2!N$905/100</f>
        <v>15</v>
      </c>
      <c r="O905" s="142">
        <f>B905*IBGE_2!O$905/100</f>
        <v>22</v>
      </c>
      <c r="P905" s="142">
        <f>B905*IBGE_2!P$905/100</f>
        <v>2.8000000000000004E-2</v>
      </c>
      <c r="Q905" s="142">
        <f>B905*IBGE_2!Q$905/100</f>
        <v>257</v>
      </c>
      <c r="R905" s="142">
        <f>B905*IBGE_2!R$905/100</f>
        <v>0.98299999999999998</v>
      </c>
      <c r="S905" s="142">
        <f>B905*IBGE_2!S$905/100</f>
        <v>59</v>
      </c>
      <c r="T905" s="142">
        <f>B905*IBGE_2!T$905/100</f>
        <v>338</v>
      </c>
      <c r="U905" s="142">
        <f>B905*IBGE_2!U$905/100</f>
        <v>9.8000000000000004E-2</v>
      </c>
      <c r="V905" s="142">
        <f>B905*IBGE_2!V$905/100</f>
        <v>3.0610000000000004</v>
      </c>
      <c r="W905" s="142">
        <f>B905*IBGE_2!W$905/100</f>
        <v>3</v>
      </c>
      <c r="X905" s="142">
        <f>B905*IBGE_2!X$905/100</f>
        <v>0.57799999999999996</v>
      </c>
      <c r="Y905" s="142">
        <f>B905*IBGE_2!Y$905/100</f>
        <v>0.30199999999999999</v>
      </c>
      <c r="Z905" s="142">
        <f>B905*IBGE_2!Z$905/100</f>
        <v>0.40100000000000002</v>
      </c>
      <c r="AA905" s="142">
        <f>B905*IBGE_2!AA$905/100</f>
        <v>4.46</v>
      </c>
      <c r="AB905" s="142">
        <f>B905*IBGE_2!AB$905/100</f>
        <v>0.3</v>
      </c>
      <c r="AC905" s="142">
        <f>B905*IBGE_2!AC$905/100</f>
        <v>9.4770000000000003</v>
      </c>
      <c r="AD905" s="142">
        <f>B905*IBGE_2!AD$905/100</f>
        <v>0.66</v>
      </c>
      <c r="AE905" s="142">
        <f>B905*IBGE_2!AE$905/100</f>
        <v>5</v>
      </c>
      <c r="AF905" s="142">
        <f>B905*IBGE_2!AF$905/100</f>
        <v>1.1000000000000001</v>
      </c>
      <c r="AG905" s="142">
        <f>B905*IBGE_2!AG$905/100</f>
        <v>0.67900000000000005</v>
      </c>
      <c r="AH905" s="142">
        <f>B905*IBGE_2!AH$905/100</f>
        <v>6.7000000000000004E-2</v>
      </c>
      <c r="AI905" s="142">
        <f>B905*IBGE_2!AI$905/100</f>
        <v>166</v>
      </c>
      <c r="AJ905" s="142">
        <f>B905*IBGE_2!AJ$905/100</f>
        <v>45.87</v>
      </c>
      <c r="AK905" s="142">
        <f>B905*IBGE_2!AK$905/100</f>
        <v>3</v>
      </c>
      <c r="AL905" s="142" t="s">
        <v>3047</v>
      </c>
      <c r="AM905" s="142" t="s">
        <v>3047</v>
      </c>
      <c r="AN905" s="161"/>
    </row>
    <row r="906" spans="1:40">
      <c r="A906" s="143" t="s">
        <v>1966</v>
      </c>
      <c r="B906" s="141">
        <v>100</v>
      </c>
      <c r="C906" s="142">
        <f>B906*IBGE_2!C$906/100</f>
        <v>338.56699999999995</v>
      </c>
      <c r="D906" s="142">
        <f>B906*IBGE_2!D$906/100</f>
        <v>25.34</v>
      </c>
      <c r="E906" s="142">
        <f>B906*IBGE_2!E$906/100</f>
        <v>25.667000000000002</v>
      </c>
      <c r="F906" s="142">
        <f>B906*IBGE_2!F$906/100</f>
        <v>8.2379999999999995</v>
      </c>
      <c r="G906" s="142">
        <f>B906*IBGE_2!G$906/100</f>
        <v>10.297000000000001</v>
      </c>
      <c r="H906" s="142">
        <f>B906*IBGE_2!H$906/100</f>
        <v>5.1279999999999992</v>
      </c>
      <c r="I906" s="142">
        <f>B906*IBGE_2!I$906/100</f>
        <v>4.5670000000000002</v>
      </c>
      <c r="J906" s="142">
        <f>B906*IBGE_2!J$906/100</f>
        <v>0.441</v>
      </c>
      <c r="K906" s="142">
        <f>B906*IBGE_2!K$906/100</f>
        <v>92</v>
      </c>
      <c r="L906" s="142" t="s">
        <v>3047</v>
      </c>
      <c r="M906" s="142" t="s">
        <v>3047</v>
      </c>
      <c r="N906" s="142">
        <f>B906*IBGE_2!N$906/100</f>
        <v>15</v>
      </c>
      <c r="O906" s="142">
        <f>B906*IBGE_2!O$906/100</f>
        <v>22</v>
      </c>
      <c r="P906" s="142">
        <f>B906*IBGE_2!P$906/100</f>
        <v>2.8000000000000004E-2</v>
      </c>
      <c r="Q906" s="142">
        <f>B906*IBGE_2!Q$906/100</f>
        <v>257</v>
      </c>
      <c r="R906" s="142">
        <f>B906*IBGE_2!R$906/100</f>
        <v>0.98299999999999998</v>
      </c>
      <c r="S906" s="142">
        <f>B906*IBGE_2!S$906/100</f>
        <v>59</v>
      </c>
      <c r="T906" s="142">
        <f>B906*IBGE_2!T$906/100</f>
        <v>338</v>
      </c>
      <c r="U906" s="142">
        <f>B906*IBGE_2!U$906/100</f>
        <v>9.8000000000000004E-2</v>
      </c>
      <c r="V906" s="142">
        <f>B906*IBGE_2!V$906/100</f>
        <v>3.0610000000000004</v>
      </c>
      <c r="W906" s="142">
        <f>B906*IBGE_2!W$906/100</f>
        <v>3</v>
      </c>
      <c r="X906" s="142">
        <f>B906*IBGE_2!X$906/100</f>
        <v>0.57799999999999996</v>
      </c>
      <c r="Y906" s="142">
        <f>B906*IBGE_2!Y$906/100</f>
        <v>0.30199999999999999</v>
      </c>
      <c r="Z906" s="142">
        <f>B906*IBGE_2!Z$906/100</f>
        <v>0.40100000000000002</v>
      </c>
      <c r="AA906" s="142">
        <f>B906*IBGE_2!AA$906/100</f>
        <v>4.46</v>
      </c>
      <c r="AB906" s="142">
        <f>B906*IBGE_2!AB$906/100</f>
        <v>0.3</v>
      </c>
      <c r="AC906" s="142">
        <f>B906*IBGE_2!AC$906/100</f>
        <v>9.4770000000000003</v>
      </c>
      <c r="AD906" s="142">
        <f>B906*IBGE_2!AD$906/100</f>
        <v>0.66</v>
      </c>
      <c r="AE906" s="142">
        <f>B906*IBGE_2!AE$906/100</f>
        <v>5</v>
      </c>
      <c r="AF906" s="142">
        <f>B906*IBGE_2!AF$906/100</f>
        <v>1.1000000000000001</v>
      </c>
      <c r="AG906" s="142">
        <f>B906*IBGE_2!AG$906/100</f>
        <v>0.67900000000000005</v>
      </c>
      <c r="AH906" s="142">
        <f>B906*IBGE_2!AH$906/100</f>
        <v>6.7000000000000004E-2</v>
      </c>
      <c r="AI906" s="142">
        <f>B906*IBGE_2!AI$906/100</f>
        <v>166</v>
      </c>
      <c r="AJ906" s="142">
        <f>B906*IBGE_2!AJ$906/100</f>
        <v>45.87</v>
      </c>
      <c r="AK906" s="142">
        <f>B906*IBGE_2!AK$906/100</f>
        <v>3</v>
      </c>
      <c r="AL906" s="142" t="s">
        <v>3047</v>
      </c>
      <c r="AM906" s="142" t="s">
        <v>3047</v>
      </c>
      <c r="AN906" s="161"/>
    </row>
    <row r="907" spans="1:40">
      <c r="A907" s="143" t="s">
        <v>1967</v>
      </c>
      <c r="B907" s="141">
        <v>100</v>
      </c>
      <c r="C907" s="142">
        <f>B907*IBGE_2!C$907/100</f>
        <v>338.56699999999995</v>
      </c>
      <c r="D907" s="142">
        <f>B907*IBGE_2!D$907/100</f>
        <v>25.34</v>
      </c>
      <c r="E907" s="142">
        <f>B907*IBGE_2!E$907/100</f>
        <v>25.667000000000002</v>
      </c>
      <c r="F907" s="142">
        <f>B907*IBGE_2!F$907/100</f>
        <v>8.2379999999999995</v>
      </c>
      <c r="G907" s="142">
        <f>B907*IBGE_2!G$907/100</f>
        <v>10.297000000000001</v>
      </c>
      <c r="H907" s="142">
        <f>B907*IBGE_2!H$907/100</f>
        <v>5.1279999999999992</v>
      </c>
      <c r="I907" s="142">
        <f>B907*IBGE_2!I$907/100</f>
        <v>4.5670000000000002</v>
      </c>
      <c r="J907" s="142">
        <f>B907*IBGE_2!J$907/100</f>
        <v>0.441</v>
      </c>
      <c r="K907" s="142">
        <f>B907*IBGE_2!K$907/100</f>
        <v>92</v>
      </c>
      <c r="L907" s="142" t="s">
        <v>3047</v>
      </c>
      <c r="M907" s="142" t="s">
        <v>3047</v>
      </c>
      <c r="N907" s="142">
        <f>B907*IBGE_2!N$907/100</f>
        <v>15</v>
      </c>
      <c r="O907" s="142">
        <f>B907*IBGE_2!O$907/100</f>
        <v>22</v>
      </c>
      <c r="P907" s="142">
        <f>B907*IBGE_2!P$907/100</f>
        <v>2.8000000000000004E-2</v>
      </c>
      <c r="Q907" s="142">
        <f>B907*IBGE_2!Q$907/100</f>
        <v>257</v>
      </c>
      <c r="R907" s="142">
        <f>B907*IBGE_2!R$907/100</f>
        <v>0.98299999999999998</v>
      </c>
      <c r="S907" s="142">
        <f>B907*IBGE_2!S$907/100</f>
        <v>59</v>
      </c>
      <c r="T907" s="142">
        <f>B907*IBGE_2!T$907/100</f>
        <v>338</v>
      </c>
      <c r="U907" s="142">
        <f>B907*IBGE_2!U$907/100</f>
        <v>9.8000000000000004E-2</v>
      </c>
      <c r="V907" s="142">
        <f>B907*IBGE_2!V$907/100</f>
        <v>3.0610000000000004</v>
      </c>
      <c r="W907" s="142">
        <f>B907*IBGE_2!W$907/100</f>
        <v>3</v>
      </c>
      <c r="X907" s="142">
        <f>B907*IBGE_2!X$907/100</f>
        <v>0.57799999999999996</v>
      </c>
      <c r="Y907" s="142">
        <f>B907*IBGE_2!Y$907/100</f>
        <v>0.30199999999999999</v>
      </c>
      <c r="Z907" s="142">
        <f>B907*IBGE_2!Z$907/100</f>
        <v>0.40100000000000002</v>
      </c>
      <c r="AA907" s="142">
        <f>B907*IBGE_2!AA$907/100</f>
        <v>4.46</v>
      </c>
      <c r="AB907" s="142">
        <f>B907*IBGE_2!AB$907/100</f>
        <v>0.3</v>
      </c>
      <c r="AC907" s="142">
        <f>B907*IBGE_2!AC$907/100</f>
        <v>9.4770000000000003</v>
      </c>
      <c r="AD907" s="142">
        <f>B907*IBGE_2!AD$907/100</f>
        <v>0.66</v>
      </c>
      <c r="AE907" s="142">
        <f>B907*IBGE_2!AE$907/100</f>
        <v>5</v>
      </c>
      <c r="AF907" s="142">
        <f>B907*IBGE_2!AF$907/100</f>
        <v>1.1000000000000001</v>
      </c>
      <c r="AG907" s="142">
        <f>B907*IBGE_2!AG$907/100</f>
        <v>0.67900000000000005</v>
      </c>
      <c r="AH907" s="142">
        <f>B907*IBGE_2!AH$907/100</f>
        <v>6.7000000000000004E-2</v>
      </c>
      <c r="AI907" s="142">
        <f>B907*IBGE_2!AI$907/100</f>
        <v>166</v>
      </c>
      <c r="AJ907" s="142">
        <f>B907*IBGE_2!AJ$907/100</f>
        <v>45.87</v>
      </c>
      <c r="AK907" s="142">
        <f>B907*IBGE_2!AK$907/100</f>
        <v>3</v>
      </c>
      <c r="AL907" s="145" t="s">
        <v>3047</v>
      </c>
      <c r="AM907" s="142" t="s">
        <v>3047</v>
      </c>
      <c r="AN907" s="161"/>
    </row>
    <row r="908" spans="1:40">
      <c r="A908" s="143" t="s">
        <v>1968</v>
      </c>
      <c r="B908" s="141">
        <v>100</v>
      </c>
      <c r="C908" s="142">
        <f>B908*IBGE_2!C$908/100</f>
        <v>236</v>
      </c>
      <c r="D908" s="142">
        <f>B908*IBGE_2!D$908/100</f>
        <v>20.536000000000005</v>
      </c>
      <c r="E908" s="142">
        <f>B908*IBGE_2!E$908/100</f>
        <v>16.084</v>
      </c>
      <c r="F908" s="142">
        <f>B908*IBGE_2!F$908/100</f>
        <v>5.8929999999999998</v>
      </c>
      <c r="G908" s="142">
        <f>B908*IBGE_2!G$908/100</f>
        <v>7.2210000000000001</v>
      </c>
      <c r="H908" s="142">
        <f>B908*IBGE_2!H$908/100</f>
        <v>1.5269999999999999</v>
      </c>
      <c r="I908" s="142">
        <f>B908*IBGE_2!I$908/100</f>
        <v>1.3819999999999999</v>
      </c>
      <c r="J908" s="142">
        <f>B908*IBGE_2!J$908/100</f>
        <v>4.9000000000000002E-2</v>
      </c>
      <c r="K908" s="142">
        <f>B908*IBGE_2!K$908/100</f>
        <v>73.599999999999994</v>
      </c>
      <c r="L908" s="142">
        <f>B908*IBGE_2!L$908/100</f>
        <v>1.0760000000000001</v>
      </c>
      <c r="M908" s="142">
        <f>B908*IBGE_2!M$908/100</f>
        <v>0.3</v>
      </c>
      <c r="N908" s="142">
        <f>B908*IBGE_2!N$908/100</f>
        <v>14.6</v>
      </c>
      <c r="O908" s="142">
        <f>B908*IBGE_2!O$908/100</f>
        <v>20.8</v>
      </c>
      <c r="P908" s="142">
        <f>B908*IBGE_2!P$908/100</f>
        <v>4.3999999999999997E-2</v>
      </c>
      <c r="Q908" s="142">
        <f>B908*IBGE_2!Q$908/100</f>
        <v>210.8</v>
      </c>
      <c r="R908" s="142">
        <f>B908*IBGE_2!R$908/100</f>
        <v>0.98799999999999999</v>
      </c>
      <c r="S908" s="142">
        <f>B908*IBGE_2!S$908/100</f>
        <v>152</v>
      </c>
      <c r="T908" s="142">
        <f>B908*IBGE_2!T$908/100</f>
        <v>336.6</v>
      </c>
      <c r="U908" s="142">
        <f>B908*IBGE_2!U$908/100</f>
        <v>0.10199999999999999</v>
      </c>
      <c r="V908" s="142">
        <f>B908*IBGE_2!V$908/100</f>
        <v>2.488</v>
      </c>
      <c r="W908" s="142">
        <f>B908*IBGE_2!W$908/100</f>
        <v>2.4</v>
      </c>
      <c r="X908" s="142">
        <f>B908*IBGE_2!X$908/100</f>
        <v>0.46700000000000003</v>
      </c>
      <c r="Y908" s="142">
        <f>B908*IBGE_2!Y$908/100</f>
        <v>0.255</v>
      </c>
      <c r="Z908" s="142">
        <f>B908*IBGE_2!Z$908/100</f>
        <v>0.34</v>
      </c>
      <c r="AA908" s="142">
        <f>B908*IBGE_2!AA$908/100</f>
        <v>3.7629999999999999</v>
      </c>
      <c r="AB908" s="142">
        <f>B908*IBGE_2!AB$908/100</f>
        <v>1.64</v>
      </c>
      <c r="AC908" s="142">
        <f>B908*IBGE_2!AC$908/100</f>
        <v>7.81</v>
      </c>
      <c r="AD908" s="142">
        <f>B908*IBGE_2!AD$908/100</f>
        <v>0.52800000000000002</v>
      </c>
      <c r="AE908" s="142">
        <f>B908*IBGE_2!AE$908/100</f>
        <v>6.2</v>
      </c>
      <c r="AF908" s="142">
        <f>B908*IBGE_2!AF$908/100</f>
        <v>0.88</v>
      </c>
      <c r="AG908" s="142">
        <f>B908*IBGE_2!AG$908/100</f>
        <v>0.46</v>
      </c>
      <c r="AH908" s="142">
        <f>B908*IBGE_2!AH$908/100</f>
        <v>0.03</v>
      </c>
      <c r="AI908" s="142">
        <f>B908*IBGE_2!AI$908/100</f>
        <v>166</v>
      </c>
      <c r="AJ908" s="142">
        <f>B908*IBGE_2!AJ$908/100</f>
        <v>34.68</v>
      </c>
      <c r="AK908" s="142">
        <f>B908*IBGE_2!AK$908/100</f>
        <v>5.8829999999999991</v>
      </c>
      <c r="AL908" s="142">
        <f>B908*IBGE_2!AL$908/100</f>
        <v>0.85</v>
      </c>
      <c r="AM908" s="142" t="s">
        <v>3047</v>
      </c>
      <c r="AN908" s="161"/>
    </row>
    <row r="909" spans="1:40">
      <c r="A909" s="143" t="s">
        <v>1969</v>
      </c>
      <c r="B909" s="141">
        <v>100</v>
      </c>
      <c r="C909" s="142">
        <f>B909*IBGE_2!C$909/100</f>
        <v>338.56699999999995</v>
      </c>
      <c r="D909" s="142">
        <f>B909*IBGE_2!D$909/100</f>
        <v>25.34</v>
      </c>
      <c r="E909" s="142">
        <f>B909*IBGE_2!E$909/100</f>
        <v>25.667000000000002</v>
      </c>
      <c r="F909" s="142">
        <f>B909*IBGE_2!F$909/100</f>
        <v>8.2379999999999995</v>
      </c>
      <c r="G909" s="142">
        <f>B909*IBGE_2!G$909/100</f>
        <v>10.297000000000001</v>
      </c>
      <c r="H909" s="142">
        <f>B909*IBGE_2!H$909/100</f>
        <v>5.1279999999999992</v>
      </c>
      <c r="I909" s="142">
        <f>B909*IBGE_2!I$909/100</f>
        <v>4.5670000000000002</v>
      </c>
      <c r="J909" s="142">
        <f>B909*IBGE_2!J$909/100</f>
        <v>0.441</v>
      </c>
      <c r="K909" s="142">
        <f>B909*IBGE_2!K$909/100</f>
        <v>92</v>
      </c>
      <c r="L909" s="142" t="s">
        <v>3047</v>
      </c>
      <c r="M909" s="142" t="s">
        <v>3047</v>
      </c>
      <c r="N909" s="142">
        <f>B909*IBGE_2!N$909/100</f>
        <v>15</v>
      </c>
      <c r="O909" s="142">
        <f>B909*IBGE_2!O$909/100</f>
        <v>22</v>
      </c>
      <c r="P909" s="142">
        <f>B909*IBGE_2!P$909/100</f>
        <v>2.8000000000000004E-2</v>
      </c>
      <c r="Q909" s="142">
        <f>B909*IBGE_2!Q$909/100</f>
        <v>257</v>
      </c>
      <c r="R909" s="142">
        <f>B909*IBGE_2!R$909/100</f>
        <v>0.98299999999999998</v>
      </c>
      <c r="S909" s="142">
        <f>B909*IBGE_2!S$909/100</f>
        <v>59</v>
      </c>
      <c r="T909" s="142">
        <f>B909*IBGE_2!T$909/100</f>
        <v>338</v>
      </c>
      <c r="U909" s="142">
        <f>B909*IBGE_2!U$909/100</f>
        <v>9.8000000000000004E-2</v>
      </c>
      <c r="V909" s="142">
        <f>B909*IBGE_2!V$909/100</f>
        <v>3.0610000000000004</v>
      </c>
      <c r="W909" s="142">
        <f>B909*IBGE_2!W$909/100</f>
        <v>3</v>
      </c>
      <c r="X909" s="142">
        <f>B909*IBGE_2!X$909/100</f>
        <v>0.57799999999999996</v>
      </c>
      <c r="Y909" s="142">
        <f>B909*IBGE_2!Y$909/100</f>
        <v>0.30199999999999999</v>
      </c>
      <c r="Z909" s="142">
        <f>B909*IBGE_2!Z$909/100</f>
        <v>0.40100000000000002</v>
      </c>
      <c r="AA909" s="142">
        <f>B909*IBGE_2!AA$909/100</f>
        <v>4.46</v>
      </c>
      <c r="AB909" s="142">
        <f>B909*IBGE_2!AB$909/100</f>
        <v>0.3</v>
      </c>
      <c r="AC909" s="142">
        <f>B909*IBGE_2!AC$909/100</f>
        <v>9.4770000000000003</v>
      </c>
      <c r="AD909" s="142">
        <f>B909*IBGE_2!AD$909/100</f>
        <v>0.66</v>
      </c>
      <c r="AE909" s="142">
        <f>B909*IBGE_2!AE$909/100</f>
        <v>5</v>
      </c>
      <c r="AF909" s="142">
        <f>B909*IBGE_2!AF$909/100</f>
        <v>1.1000000000000001</v>
      </c>
      <c r="AG909" s="142">
        <f>B909*IBGE_2!AG$909/100</f>
        <v>0.67900000000000005</v>
      </c>
      <c r="AH909" s="142">
        <f>B909*IBGE_2!AH$909/100</f>
        <v>6.7000000000000004E-2</v>
      </c>
      <c r="AI909" s="142">
        <f>B909*IBGE_2!AI$909/100</f>
        <v>166</v>
      </c>
      <c r="AJ909" s="142">
        <f>B909*IBGE_2!AJ$909/100</f>
        <v>45.87</v>
      </c>
      <c r="AK909" s="142">
        <f>B909*IBGE_2!AK$909/100</f>
        <v>3</v>
      </c>
      <c r="AL909" s="142" t="s">
        <v>3047</v>
      </c>
      <c r="AM909" s="142" t="s">
        <v>3047</v>
      </c>
      <c r="AN909" s="161"/>
    </row>
    <row r="910" spans="1:40">
      <c r="A910" s="143" t="s">
        <v>1970</v>
      </c>
      <c r="B910" s="141">
        <v>100</v>
      </c>
      <c r="C910" s="142">
        <f>B910*IBGE_2!C$910/100</f>
        <v>338.56699999999995</v>
      </c>
      <c r="D910" s="142">
        <f>B910*IBGE_2!D$910/100</f>
        <v>25.34</v>
      </c>
      <c r="E910" s="142">
        <f>B910*IBGE_2!E$910/100</f>
        <v>25.667000000000002</v>
      </c>
      <c r="F910" s="142">
        <f>B910*IBGE_2!F$910/100</f>
        <v>8.2379999999999995</v>
      </c>
      <c r="G910" s="142">
        <f>B910*IBGE_2!G$910/100</f>
        <v>10.297000000000001</v>
      </c>
      <c r="H910" s="142">
        <f>B910*IBGE_2!H$910/100</f>
        <v>5.1279999999999992</v>
      </c>
      <c r="I910" s="142">
        <f>B910*IBGE_2!I$910/100</f>
        <v>4.5670000000000002</v>
      </c>
      <c r="J910" s="142">
        <f>B910*IBGE_2!J$910/100</f>
        <v>0.441</v>
      </c>
      <c r="K910" s="142">
        <f>B910*IBGE_2!K$910/100</f>
        <v>92</v>
      </c>
      <c r="L910" s="142" t="s">
        <v>3047</v>
      </c>
      <c r="M910" s="142" t="s">
        <v>3047</v>
      </c>
      <c r="N910" s="142">
        <f>B910*IBGE_2!N$910/100</f>
        <v>15</v>
      </c>
      <c r="O910" s="142">
        <f>B910*IBGE_2!O$910/100</f>
        <v>22</v>
      </c>
      <c r="P910" s="142">
        <f>B910*IBGE_2!P$910/100</f>
        <v>2.8000000000000004E-2</v>
      </c>
      <c r="Q910" s="142">
        <f>B910*IBGE_2!Q$910/100</f>
        <v>257</v>
      </c>
      <c r="R910" s="142">
        <f>B910*IBGE_2!R$910/100</f>
        <v>0.98299999999999998</v>
      </c>
      <c r="S910" s="142">
        <f>B910*IBGE_2!S$910/100</f>
        <v>59</v>
      </c>
      <c r="T910" s="142">
        <f>B910*IBGE_2!T$910/100</f>
        <v>338</v>
      </c>
      <c r="U910" s="142">
        <f>B910*IBGE_2!U$910/100</f>
        <v>9.8000000000000004E-2</v>
      </c>
      <c r="V910" s="142">
        <f>B910*IBGE_2!V$910/100</f>
        <v>3.0610000000000004</v>
      </c>
      <c r="W910" s="142">
        <f>B910*IBGE_2!W$910/100</f>
        <v>3</v>
      </c>
      <c r="X910" s="142">
        <f>B910*IBGE_2!X$910/100</f>
        <v>0.57799999999999996</v>
      </c>
      <c r="Y910" s="142">
        <f>B910*IBGE_2!Y$910/100</f>
        <v>0.30199999999999999</v>
      </c>
      <c r="Z910" s="142">
        <f>B910*IBGE_2!Z$910/100</f>
        <v>0.40100000000000002</v>
      </c>
      <c r="AA910" s="142">
        <f>B910*IBGE_2!AA$910/100</f>
        <v>4.46</v>
      </c>
      <c r="AB910" s="142">
        <f>B910*IBGE_2!AB$910/100</f>
        <v>0.3</v>
      </c>
      <c r="AC910" s="142">
        <f>B910*IBGE_2!AC$910/100</f>
        <v>9.4770000000000003</v>
      </c>
      <c r="AD910" s="142">
        <f>B910*IBGE_2!AD$910/100</f>
        <v>0.66</v>
      </c>
      <c r="AE910" s="142">
        <f>B910*IBGE_2!AE$910/100</f>
        <v>5</v>
      </c>
      <c r="AF910" s="142">
        <f>B910*IBGE_2!AF$910/100</f>
        <v>1.1000000000000001</v>
      </c>
      <c r="AG910" s="142">
        <f>B910*IBGE_2!AG$910/100</f>
        <v>0.67900000000000005</v>
      </c>
      <c r="AH910" s="142">
        <f>B910*IBGE_2!AH$910/100</f>
        <v>6.7000000000000004E-2</v>
      </c>
      <c r="AI910" s="142">
        <f>B910*IBGE_2!AI$910/100</f>
        <v>166</v>
      </c>
      <c r="AJ910" s="142">
        <f>B910*IBGE_2!AJ$910/100</f>
        <v>45.87</v>
      </c>
      <c r="AK910" s="142">
        <f>B910*IBGE_2!AK$910/100</f>
        <v>3</v>
      </c>
      <c r="AL910" s="142" t="s">
        <v>3047</v>
      </c>
      <c r="AM910" s="142" t="s">
        <v>3047</v>
      </c>
      <c r="AN910" s="161"/>
    </row>
    <row r="911" spans="1:40">
      <c r="A911" s="143" t="s">
        <v>1971</v>
      </c>
      <c r="B911" s="141">
        <v>100</v>
      </c>
      <c r="C911" s="142">
        <f>B911*IBGE_2!C$911/100</f>
        <v>289</v>
      </c>
      <c r="D911" s="142">
        <f>B911*IBGE_2!D$911/100</f>
        <v>25.34</v>
      </c>
      <c r="E911" s="142">
        <f>B911*IBGE_2!E$911/100</f>
        <v>20.059999999999999</v>
      </c>
      <c r="F911" s="142">
        <f>B911*IBGE_2!F$911/100</f>
        <v>7.36</v>
      </c>
      <c r="G911" s="142">
        <f>B911*IBGE_2!G$911/100</f>
        <v>9.02</v>
      </c>
      <c r="H911" s="142">
        <f>B911*IBGE_2!H$911/100</f>
        <v>1.89</v>
      </c>
      <c r="I911" s="142">
        <f>B911*IBGE_2!I$911/100</f>
        <v>1.71</v>
      </c>
      <c r="J911" s="142">
        <f>B911*IBGE_2!J$911/100</f>
        <v>0.06</v>
      </c>
      <c r="K911" s="142">
        <f>B911*IBGE_2!K$911/100</f>
        <v>92</v>
      </c>
      <c r="L911" s="142" t="s">
        <v>3047</v>
      </c>
      <c r="M911" s="142" t="s">
        <v>3047</v>
      </c>
      <c r="N911" s="142">
        <f>B911*IBGE_2!N$911/100</f>
        <v>15</v>
      </c>
      <c r="O911" s="142">
        <f>B911*IBGE_2!O$911/100</f>
        <v>22</v>
      </c>
      <c r="P911" s="142">
        <f>B911*IBGE_2!P$911/100</f>
        <v>2.8000000000000004E-2</v>
      </c>
      <c r="Q911" s="142">
        <f>B911*IBGE_2!Q$911/100</f>
        <v>257</v>
      </c>
      <c r="R911" s="142">
        <f>B911*IBGE_2!R$911/100</f>
        <v>0.98</v>
      </c>
      <c r="S911" s="142">
        <f>B911*IBGE_2!S$911/100</f>
        <v>59</v>
      </c>
      <c r="T911" s="142">
        <f>B911*IBGE_2!T$911/100</f>
        <v>338</v>
      </c>
      <c r="U911" s="142">
        <f>B911*IBGE_2!U$911/100</f>
        <v>9.8000000000000004E-2</v>
      </c>
      <c r="V911" s="142">
        <f>B911*IBGE_2!V$911/100</f>
        <v>3.06</v>
      </c>
      <c r="W911" s="142">
        <f>B911*IBGE_2!W$911/100</f>
        <v>3</v>
      </c>
      <c r="X911" s="142">
        <f>B911*IBGE_2!X$911/100</f>
        <v>0.57799999999999996</v>
      </c>
      <c r="Y911" s="142">
        <f>B911*IBGE_2!Y$911/100</f>
        <v>0.30199999999999999</v>
      </c>
      <c r="Z911" s="142">
        <f>B911*IBGE_2!Z$911/100</f>
        <v>0.40100000000000002</v>
      </c>
      <c r="AA911" s="142">
        <f>B911*IBGE_2!AA$911/100</f>
        <v>4.46</v>
      </c>
      <c r="AB911" s="142">
        <f>B911*IBGE_2!AB$911/100</f>
        <v>0.3</v>
      </c>
      <c r="AC911" s="142">
        <f>B911*IBGE_2!AC$911/100</f>
        <v>9.4770000000000003</v>
      </c>
      <c r="AD911" s="142">
        <f>B911*IBGE_2!AD$911/100</f>
        <v>0.66</v>
      </c>
      <c r="AE911" s="142">
        <f>B911*IBGE_2!AE$911/100</f>
        <v>5</v>
      </c>
      <c r="AF911" s="142">
        <f>B911*IBGE_2!AF$911/100</f>
        <v>1.1000000000000001</v>
      </c>
      <c r="AG911" s="142">
        <f>B911*IBGE_2!AG$911/100</f>
        <v>0.22</v>
      </c>
      <c r="AH911" s="142">
        <f>B911*IBGE_2!AH$911/100</f>
        <v>3.6999999999999998E-2</v>
      </c>
      <c r="AI911" s="142">
        <f>B911*IBGE_2!AI$911/100</f>
        <v>166</v>
      </c>
      <c r="AJ911" s="142">
        <f>B911*IBGE_2!AJ$911/100</f>
        <v>43.3</v>
      </c>
      <c r="AK911" s="142">
        <f>B911*IBGE_2!AK$911/100</f>
        <v>3</v>
      </c>
      <c r="AL911" s="142" t="s">
        <v>3047</v>
      </c>
      <c r="AM911" s="142" t="s">
        <v>3047</v>
      </c>
      <c r="AN911" s="161"/>
    </row>
    <row r="912" spans="1:40">
      <c r="A912" s="143" t="s">
        <v>1972</v>
      </c>
      <c r="B912" s="141">
        <v>100</v>
      </c>
      <c r="C912" s="142">
        <f>B912*IBGE_2!C$912/100</f>
        <v>214</v>
      </c>
      <c r="D912" s="142">
        <f>B912*IBGE_2!D$912/100</f>
        <v>26.62</v>
      </c>
      <c r="E912" s="142">
        <f>B912*IBGE_2!E$912/100</f>
        <v>11.1</v>
      </c>
      <c r="F912" s="142">
        <f>B912*IBGE_2!F$912/100</f>
        <v>4.3789999999999996</v>
      </c>
      <c r="G912" s="142">
        <f>B912*IBGE_2!G$912/100</f>
        <v>4.6760000000000002</v>
      </c>
      <c r="H912" s="142">
        <f>B912*IBGE_2!H$912/100</f>
        <v>0.39800000000000002</v>
      </c>
      <c r="I912" s="142">
        <f>B912*IBGE_2!I$912/100</f>
        <v>0.29699999999999999</v>
      </c>
      <c r="J912" s="142">
        <f>B912*IBGE_2!J$912/100</f>
        <v>5.2999999999999999E-2</v>
      </c>
      <c r="K912" s="142">
        <f>B912*IBGE_2!K$912/100</f>
        <v>86</v>
      </c>
      <c r="L912" s="142" t="s">
        <v>3047</v>
      </c>
      <c r="M912" s="142" t="s">
        <v>3047</v>
      </c>
      <c r="N912" s="142">
        <f>B912*IBGE_2!N$912/100</f>
        <v>13</v>
      </c>
      <c r="O912" s="142">
        <f>B912*IBGE_2!O$912/100</f>
        <v>21</v>
      </c>
      <c r="P912" s="142">
        <f>B912*IBGE_2!P$912/100</f>
        <v>0.01</v>
      </c>
      <c r="Q912" s="142">
        <f>B912*IBGE_2!Q$912/100</f>
        <v>193</v>
      </c>
      <c r="R912" s="142">
        <f>B912*IBGE_2!R$912/100</f>
        <v>2.89</v>
      </c>
      <c r="S912" s="142">
        <f>B912*IBGE_2!S$912/100</f>
        <v>61</v>
      </c>
      <c r="T912" s="142">
        <f>B912*IBGE_2!T$912/100</f>
        <v>300</v>
      </c>
      <c r="U912" s="142">
        <f>B912*IBGE_2!U$912/100</f>
        <v>7.8E-2</v>
      </c>
      <c r="V912" s="142">
        <f>B912*IBGE_2!V$912/100</f>
        <v>6.65</v>
      </c>
      <c r="W912" s="142" t="s">
        <v>3047</v>
      </c>
      <c r="X912" s="142">
        <f>B912*IBGE_2!X$912/100</f>
        <v>3.6999999999999998E-2</v>
      </c>
      <c r="Y912" s="142">
        <f>B912*IBGE_2!Y$912/100</f>
        <v>0.17199999999999999</v>
      </c>
      <c r="Z912" s="142">
        <f>B912*IBGE_2!Z$912/100</f>
        <v>0.34799999999999998</v>
      </c>
      <c r="AA912" s="142">
        <f>B912*IBGE_2!AA$912/100</f>
        <v>5.2279999999999998</v>
      </c>
      <c r="AB912" s="142" t="s">
        <v>3047</v>
      </c>
      <c r="AC912" s="142">
        <f>B912*IBGE_2!AC$912/100</f>
        <v>7.6950000000000003</v>
      </c>
      <c r="AD912" s="142">
        <f>B912*IBGE_2!AD$912/100</f>
        <v>2.5</v>
      </c>
      <c r="AE912" s="142">
        <f>B912*IBGE_2!AE$912/100</f>
        <v>6</v>
      </c>
      <c r="AF912" s="142">
        <f>B912*IBGE_2!AF$912/100</f>
        <v>0.45</v>
      </c>
      <c r="AG912" s="142">
        <f>B912*IBGE_2!AG$912/100</f>
        <v>0.41</v>
      </c>
      <c r="AH912" s="142">
        <f>B912*IBGE_2!AH$912/100</f>
        <v>0.69199999999999984</v>
      </c>
      <c r="AI912" s="142">
        <f>B912*IBGE_2!AI$912/100</f>
        <v>499</v>
      </c>
      <c r="AJ912" s="142">
        <f>B912*IBGE_2!AJ$912/100</f>
        <v>21.6</v>
      </c>
      <c r="AK912" s="142" t="s">
        <v>3047</v>
      </c>
      <c r="AL912" s="142" t="s">
        <v>3047</v>
      </c>
      <c r="AM912" s="142" t="s">
        <v>3047</v>
      </c>
      <c r="AN912" s="161"/>
    </row>
    <row r="913" spans="1:40">
      <c r="A913" s="143" t="s">
        <v>1973</v>
      </c>
      <c r="B913" s="141">
        <v>100</v>
      </c>
      <c r="C913" s="142">
        <f>B913*IBGE_2!C$913/100</f>
        <v>214</v>
      </c>
      <c r="D913" s="142">
        <f>B913*IBGE_2!D$913/100</f>
        <v>26.62</v>
      </c>
      <c r="E913" s="142">
        <f>B913*IBGE_2!E$913/100</f>
        <v>11.1</v>
      </c>
      <c r="F913" s="142">
        <f>B913*IBGE_2!F$913/100</f>
        <v>4.3789999999999996</v>
      </c>
      <c r="G913" s="142">
        <f>B913*IBGE_2!G$913/100</f>
        <v>4.6760000000000002</v>
      </c>
      <c r="H913" s="142">
        <f>B913*IBGE_2!H$913/100</f>
        <v>0.39800000000000002</v>
      </c>
      <c r="I913" s="142">
        <f>B913*IBGE_2!I$913/100</f>
        <v>0.29699999999999999</v>
      </c>
      <c r="J913" s="142">
        <f>B913*IBGE_2!J$913/100</f>
        <v>5.2999999999999999E-2</v>
      </c>
      <c r="K913" s="142">
        <f>B913*IBGE_2!K$913/100</f>
        <v>86</v>
      </c>
      <c r="L913" s="142" t="s">
        <v>3047</v>
      </c>
      <c r="M913" s="142" t="s">
        <v>3047</v>
      </c>
      <c r="N913" s="142">
        <f>B913*IBGE_2!N$913/100</f>
        <v>13</v>
      </c>
      <c r="O913" s="142">
        <f>B913*IBGE_2!O$913/100</f>
        <v>21</v>
      </c>
      <c r="P913" s="142">
        <f>B913*IBGE_2!P$913/100</f>
        <v>0.01</v>
      </c>
      <c r="Q913" s="142">
        <f>B913*IBGE_2!Q$913/100</f>
        <v>193</v>
      </c>
      <c r="R913" s="142">
        <f>B913*IBGE_2!R$913/100</f>
        <v>2.89</v>
      </c>
      <c r="S913" s="142">
        <f>B913*IBGE_2!S$913/100</f>
        <v>61</v>
      </c>
      <c r="T913" s="142">
        <f>B913*IBGE_2!T$913/100</f>
        <v>300</v>
      </c>
      <c r="U913" s="142">
        <f>B913*IBGE_2!U$913/100</f>
        <v>7.8E-2</v>
      </c>
      <c r="V913" s="142">
        <f>B913*IBGE_2!V$913/100</f>
        <v>6.65</v>
      </c>
      <c r="W913" s="142" t="s">
        <v>3047</v>
      </c>
      <c r="X913" s="142">
        <f>B913*IBGE_2!X$913/100</f>
        <v>3.6999999999999998E-2</v>
      </c>
      <c r="Y913" s="142">
        <f>B913*IBGE_2!Y$913/100</f>
        <v>0.17199999999999999</v>
      </c>
      <c r="Z913" s="142">
        <f>B913*IBGE_2!Z$913/100</f>
        <v>0.34799999999999998</v>
      </c>
      <c r="AA913" s="142">
        <f>B913*IBGE_2!AA$913/100</f>
        <v>5.2279999999999998</v>
      </c>
      <c r="AB913" s="142" t="s">
        <v>3047</v>
      </c>
      <c r="AC913" s="142">
        <f>B913*IBGE_2!AC$913/100</f>
        <v>7.6950000000000003</v>
      </c>
      <c r="AD913" s="142">
        <f>B913*IBGE_2!AD$913/100</f>
        <v>2.5</v>
      </c>
      <c r="AE913" s="142">
        <f>B913*IBGE_2!AE$913/100</f>
        <v>6</v>
      </c>
      <c r="AF913" s="142">
        <f>B913*IBGE_2!AF$913/100</f>
        <v>0.45</v>
      </c>
      <c r="AG913" s="142">
        <f>B913*IBGE_2!AG$913/100</f>
        <v>0.41</v>
      </c>
      <c r="AH913" s="142">
        <f>B913*IBGE_2!AH$913/100</f>
        <v>0.69199999999999984</v>
      </c>
      <c r="AI913" s="142">
        <f>B913*IBGE_2!AI$913/100</f>
        <v>499</v>
      </c>
      <c r="AJ913" s="142">
        <f>B913*IBGE_2!AJ$913/100</f>
        <v>21.6</v>
      </c>
      <c r="AK913" s="142" t="s">
        <v>3047</v>
      </c>
      <c r="AL913" s="142" t="s">
        <v>3047</v>
      </c>
      <c r="AM913" s="142" t="s">
        <v>3047</v>
      </c>
      <c r="AN913" s="161"/>
    </row>
    <row r="914" spans="1:40">
      <c r="A914" s="143" t="s">
        <v>1974</v>
      </c>
      <c r="B914" s="141">
        <v>100</v>
      </c>
      <c r="C914" s="142">
        <f>B914*IBGE_2!C$914/100</f>
        <v>214</v>
      </c>
      <c r="D914" s="142">
        <f>B914*IBGE_2!D$914/100</f>
        <v>26.62</v>
      </c>
      <c r="E914" s="142">
        <f>B914*IBGE_2!E$914/100</f>
        <v>11.1</v>
      </c>
      <c r="F914" s="142">
        <f>B914*IBGE_2!F$914/100</f>
        <v>4.3789999999999996</v>
      </c>
      <c r="G914" s="142">
        <f>B914*IBGE_2!G$914/100</f>
        <v>4.6760000000000002</v>
      </c>
      <c r="H914" s="142">
        <f>B914*IBGE_2!H$914/100</f>
        <v>0.39800000000000002</v>
      </c>
      <c r="I914" s="142">
        <f>B914*IBGE_2!I$914/100</f>
        <v>0.29699999999999999</v>
      </c>
      <c r="J914" s="142">
        <f>B914*IBGE_2!J$914/100</f>
        <v>5.2999999999999999E-2</v>
      </c>
      <c r="K914" s="142">
        <f>B914*IBGE_2!K$914/100</f>
        <v>86</v>
      </c>
      <c r="L914" s="142" t="s">
        <v>3047</v>
      </c>
      <c r="M914" s="142" t="s">
        <v>3047</v>
      </c>
      <c r="N914" s="142">
        <f>B914*IBGE_2!N$914/100</f>
        <v>13</v>
      </c>
      <c r="O914" s="142">
        <f>B914*IBGE_2!O$914/100</f>
        <v>21</v>
      </c>
      <c r="P914" s="142">
        <f>B914*IBGE_2!P$914/100</f>
        <v>0.01</v>
      </c>
      <c r="Q914" s="142">
        <f>B914*IBGE_2!Q$914/100</f>
        <v>193</v>
      </c>
      <c r="R914" s="142">
        <f>B914*IBGE_2!R$914/100</f>
        <v>2.89</v>
      </c>
      <c r="S914" s="142">
        <f>B914*IBGE_2!S$914/100</f>
        <v>61</v>
      </c>
      <c r="T914" s="142">
        <f>B914*IBGE_2!T$914/100</f>
        <v>300</v>
      </c>
      <c r="U914" s="142">
        <f>B914*IBGE_2!U$914/100</f>
        <v>7.8E-2</v>
      </c>
      <c r="V914" s="142">
        <f>B914*IBGE_2!V$914/100</f>
        <v>6.65</v>
      </c>
      <c r="W914" s="142" t="s">
        <v>3047</v>
      </c>
      <c r="X914" s="142">
        <f>B914*IBGE_2!X$914/100</f>
        <v>3.6999999999999998E-2</v>
      </c>
      <c r="Y914" s="142">
        <f>B914*IBGE_2!Y$914/100</f>
        <v>0.17199999999999999</v>
      </c>
      <c r="Z914" s="142">
        <f>B914*IBGE_2!Z$914/100</f>
        <v>0.34799999999999998</v>
      </c>
      <c r="AA914" s="142">
        <f>B914*IBGE_2!AA$914/100</f>
        <v>5.2279999999999998</v>
      </c>
      <c r="AB914" s="142" t="s">
        <v>3047</v>
      </c>
      <c r="AC914" s="142">
        <f>B914*IBGE_2!AC$914/100</f>
        <v>7.6950000000000003</v>
      </c>
      <c r="AD914" s="142">
        <f>B914*IBGE_2!AD$914/100</f>
        <v>2.5</v>
      </c>
      <c r="AE914" s="142">
        <f>B914*IBGE_2!AE$914/100</f>
        <v>6</v>
      </c>
      <c r="AF914" s="142">
        <f>B914*IBGE_2!AF$914/100</f>
        <v>0.45</v>
      </c>
      <c r="AG914" s="142">
        <f>B914*IBGE_2!AG$914/100</f>
        <v>0.41</v>
      </c>
      <c r="AH914" s="142">
        <f>B914*IBGE_2!AH$914/100</f>
        <v>0.69199999999999984</v>
      </c>
      <c r="AI914" s="142">
        <f>B914*IBGE_2!AI$914/100</f>
        <v>499</v>
      </c>
      <c r="AJ914" s="142">
        <f>B914*IBGE_2!AJ$914/100</f>
        <v>21.6</v>
      </c>
      <c r="AK914" s="142" t="s">
        <v>3047</v>
      </c>
      <c r="AL914" s="142" t="s">
        <v>3047</v>
      </c>
      <c r="AM914" s="142" t="s">
        <v>3047</v>
      </c>
      <c r="AN914" s="161"/>
    </row>
    <row r="915" spans="1:40">
      <c r="A915" s="143" t="s">
        <v>1975</v>
      </c>
      <c r="B915" s="141">
        <v>100</v>
      </c>
      <c r="C915" s="142">
        <f>B915*IBGE_2!C$915/100</f>
        <v>236.65899999999999</v>
      </c>
      <c r="D915" s="142">
        <f>B915*IBGE_2!D$915/100</f>
        <v>26.62</v>
      </c>
      <c r="E915" s="142">
        <f>B915*IBGE_2!E$915/100</f>
        <v>13.663</v>
      </c>
      <c r="F915" s="142">
        <f>B915*IBGE_2!F$915/100</f>
        <v>4.78</v>
      </c>
      <c r="G915" s="142">
        <f>B915*IBGE_2!G$915/100</f>
        <v>5.26</v>
      </c>
      <c r="H915" s="142">
        <f>B915*IBGE_2!H$915/100</f>
        <v>1.8779999999999999</v>
      </c>
      <c r="I915" s="142">
        <f>B915*IBGE_2!I$915/100</f>
        <v>1.6030000000000002</v>
      </c>
      <c r="J915" s="142">
        <f>B915*IBGE_2!J$915/100</f>
        <v>0.22699999999999998</v>
      </c>
      <c r="K915" s="142">
        <f>B915*IBGE_2!K$915/100</f>
        <v>86</v>
      </c>
      <c r="L915" s="142" t="s">
        <v>3047</v>
      </c>
      <c r="M915" s="142" t="s">
        <v>3047</v>
      </c>
      <c r="N915" s="142">
        <f>B915*IBGE_2!N$915/100</f>
        <v>13</v>
      </c>
      <c r="O915" s="142">
        <f>B915*IBGE_2!O$915/100</f>
        <v>21</v>
      </c>
      <c r="P915" s="142">
        <f>B915*IBGE_2!P$915/100</f>
        <v>0.01</v>
      </c>
      <c r="Q915" s="142">
        <f>B915*IBGE_2!Q$915/100</f>
        <v>193</v>
      </c>
      <c r="R915" s="142">
        <f>B915*IBGE_2!R$915/100</f>
        <v>2.891</v>
      </c>
      <c r="S915" s="142">
        <f>B915*IBGE_2!S$915/100</f>
        <v>61</v>
      </c>
      <c r="T915" s="142">
        <f>B915*IBGE_2!T$915/100</f>
        <v>300</v>
      </c>
      <c r="U915" s="142">
        <f>B915*IBGE_2!U$915/100</f>
        <v>7.8E-2</v>
      </c>
      <c r="V915" s="142">
        <f>B915*IBGE_2!V$915/100</f>
        <v>6.65</v>
      </c>
      <c r="W915" s="142" t="s">
        <v>3047</v>
      </c>
      <c r="X915" s="142">
        <f>B915*IBGE_2!X$915/100</f>
        <v>3.6999999999999998E-2</v>
      </c>
      <c r="Y915" s="142">
        <f>B915*IBGE_2!Y$915/100</f>
        <v>0.17199999999999999</v>
      </c>
      <c r="Z915" s="142">
        <f>B915*IBGE_2!Z$915/100</f>
        <v>0.34799999999999998</v>
      </c>
      <c r="AA915" s="142">
        <f>B915*IBGE_2!AA$915/100</f>
        <v>5.2279999999999998</v>
      </c>
      <c r="AB915" s="142" t="s">
        <v>3047</v>
      </c>
      <c r="AC915" s="142">
        <f>B915*IBGE_2!AC$915/100</f>
        <v>7.6950000000000003</v>
      </c>
      <c r="AD915" s="142">
        <f>B915*IBGE_2!AD$915/100</f>
        <v>2.5</v>
      </c>
      <c r="AE915" s="142">
        <f>B915*IBGE_2!AE$915/100</f>
        <v>6</v>
      </c>
      <c r="AF915" s="142">
        <f>B915*IBGE_2!AF$915/100</f>
        <v>0.45</v>
      </c>
      <c r="AG915" s="142">
        <f>B915*IBGE_2!AG$915/100</f>
        <v>0.62</v>
      </c>
      <c r="AH915" s="142">
        <f>B915*IBGE_2!AH$915/100</f>
        <v>0.70599999999999996</v>
      </c>
      <c r="AI915" s="142">
        <f>B915*IBGE_2!AI$915/100</f>
        <v>499</v>
      </c>
      <c r="AJ915" s="142">
        <f>B915*IBGE_2!AJ$915/100</f>
        <v>22.774999999999999</v>
      </c>
      <c r="AK915" s="142" t="s">
        <v>3047</v>
      </c>
      <c r="AL915" s="142" t="s">
        <v>3047</v>
      </c>
      <c r="AM915" s="142" t="s">
        <v>3047</v>
      </c>
      <c r="AN915" s="161"/>
    </row>
    <row r="916" spans="1:40">
      <c r="A916" s="143" t="s">
        <v>1976</v>
      </c>
      <c r="B916" s="141">
        <v>100</v>
      </c>
      <c r="C916" s="142">
        <f>B916*IBGE_2!C$916/100</f>
        <v>236.65899999999999</v>
      </c>
      <c r="D916" s="142">
        <f>B916*IBGE_2!D$916/100</f>
        <v>26.62</v>
      </c>
      <c r="E916" s="142">
        <f>B916*IBGE_2!E$916/100</f>
        <v>13.663</v>
      </c>
      <c r="F916" s="142">
        <f>B916*IBGE_2!F$916/100</f>
        <v>4.78</v>
      </c>
      <c r="G916" s="142">
        <f>B916*IBGE_2!G$916/100</f>
        <v>5.26</v>
      </c>
      <c r="H916" s="142">
        <f>B916*IBGE_2!H$916/100</f>
        <v>1.8779999999999999</v>
      </c>
      <c r="I916" s="142">
        <f>B916*IBGE_2!I$916/100</f>
        <v>1.6030000000000002</v>
      </c>
      <c r="J916" s="142">
        <f>B916*IBGE_2!J$916/100</f>
        <v>0.22699999999999998</v>
      </c>
      <c r="K916" s="142">
        <f>B916*IBGE_2!K$916/100</f>
        <v>86</v>
      </c>
      <c r="L916" s="142" t="s">
        <v>3047</v>
      </c>
      <c r="M916" s="142" t="s">
        <v>3047</v>
      </c>
      <c r="N916" s="142">
        <f>B916*IBGE_2!N$916/100</f>
        <v>13</v>
      </c>
      <c r="O916" s="142">
        <f>B916*IBGE_2!O$916/100</f>
        <v>21</v>
      </c>
      <c r="P916" s="142">
        <f>B916*IBGE_2!P$916/100</f>
        <v>0.01</v>
      </c>
      <c r="Q916" s="142">
        <f>B916*IBGE_2!Q$916/100</f>
        <v>193</v>
      </c>
      <c r="R916" s="142">
        <f>B916*IBGE_2!R$916/100</f>
        <v>2.891</v>
      </c>
      <c r="S916" s="142">
        <f>B916*IBGE_2!S$916/100</f>
        <v>61</v>
      </c>
      <c r="T916" s="142">
        <f>B916*IBGE_2!T$916/100</f>
        <v>300</v>
      </c>
      <c r="U916" s="142">
        <f>B916*IBGE_2!U$916/100</f>
        <v>7.8E-2</v>
      </c>
      <c r="V916" s="142">
        <f>B916*IBGE_2!V$916/100</f>
        <v>6.65</v>
      </c>
      <c r="W916" s="142" t="s">
        <v>3047</v>
      </c>
      <c r="X916" s="142">
        <f>B916*IBGE_2!X$916/100</f>
        <v>3.6999999999999998E-2</v>
      </c>
      <c r="Y916" s="142">
        <f>B916*IBGE_2!Y$916/100</f>
        <v>0.17199999999999999</v>
      </c>
      <c r="Z916" s="142">
        <f>B916*IBGE_2!Z$916/100</f>
        <v>0.34799999999999998</v>
      </c>
      <c r="AA916" s="142">
        <f>B916*IBGE_2!AA$916/100</f>
        <v>5.2279999999999998</v>
      </c>
      <c r="AB916" s="142" t="s">
        <v>3047</v>
      </c>
      <c r="AC916" s="142">
        <f>B916*IBGE_2!AC$916/100</f>
        <v>7.6950000000000003</v>
      </c>
      <c r="AD916" s="142">
        <f>B916*IBGE_2!AD$916/100</f>
        <v>2.5</v>
      </c>
      <c r="AE916" s="142">
        <f>B916*IBGE_2!AE$916/100</f>
        <v>6</v>
      </c>
      <c r="AF916" s="142">
        <f>B916*IBGE_2!AF$916/100</f>
        <v>0.45</v>
      </c>
      <c r="AG916" s="142">
        <f>B916*IBGE_2!AG$916/100</f>
        <v>0.62</v>
      </c>
      <c r="AH916" s="142">
        <f>B916*IBGE_2!AH$916/100</f>
        <v>0.70599999999999996</v>
      </c>
      <c r="AI916" s="142">
        <f>B916*IBGE_2!AI$916/100</f>
        <v>499</v>
      </c>
      <c r="AJ916" s="142">
        <f>B916*IBGE_2!AJ$916/100</f>
        <v>22.774999999999999</v>
      </c>
      <c r="AK916" s="142" t="s">
        <v>3047</v>
      </c>
      <c r="AL916" s="142" t="s">
        <v>3047</v>
      </c>
      <c r="AM916" s="142" t="s">
        <v>3047</v>
      </c>
      <c r="AN916" s="161"/>
    </row>
    <row r="917" spans="1:40">
      <c r="A917" s="143" t="s">
        <v>1977</v>
      </c>
      <c r="B917" s="141">
        <v>100</v>
      </c>
      <c r="C917" s="142">
        <f>B917*IBGE_2!C$917/100</f>
        <v>236.65899999999999</v>
      </c>
      <c r="D917" s="142">
        <f>B917*IBGE_2!D$917/100</f>
        <v>26.62</v>
      </c>
      <c r="E917" s="142">
        <f>B917*IBGE_2!E$917/100</f>
        <v>13.663</v>
      </c>
      <c r="F917" s="142">
        <f>B917*IBGE_2!F$917/100</f>
        <v>4.78</v>
      </c>
      <c r="G917" s="142">
        <f>B917*IBGE_2!G$917/100</f>
        <v>5.26</v>
      </c>
      <c r="H917" s="142">
        <f>B917*IBGE_2!H$917/100</f>
        <v>1.8779999999999999</v>
      </c>
      <c r="I917" s="142">
        <f>B917*IBGE_2!I$917/100</f>
        <v>1.6030000000000002</v>
      </c>
      <c r="J917" s="142">
        <f>B917*IBGE_2!J$917/100</f>
        <v>0.22699999999999998</v>
      </c>
      <c r="K917" s="142">
        <f>B917*IBGE_2!K$917/100</f>
        <v>86</v>
      </c>
      <c r="L917" s="142" t="s">
        <v>3047</v>
      </c>
      <c r="M917" s="142" t="s">
        <v>3047</v>
      </c>
      <c r="N917" s="142">
        <f>B917*IBGE_2!N$917/100</f>
        <v>13</v>
      </c>
      <c r="O917" s="142">
        <f>B917*IBGE_2!O$917/100</f>
        <v>21</v>
      </c>
      <c r="P917" s="142">
        <f>B917*IBGE_2!P$917/100</f>
        <v>0.01</v>
      </c>
      <c r="Q917" s="142">
        <f>B917*IBGE_2!Q$917/100</f>
        <v>193</v>
      </c>
      <c r="R917" s="142">
        <f>B917*IBGE_2!R$917/100</f>
        <v>2.891</v>
      </c>
      <c r="S917" s="142">
        <f>B917*IBGE_2!S$917/100</f>
        <v>61</v>
      </c>
      <c r="T917" s="142">
        <f>B917*IBGE_2!T$917/100</f>
        <v>300</v>
      </c>
      <c r="U917" s="142">
        <f>B917*IBGE_2!U$917/100</f>
        <v>7.8E-2</v>
      </c>
      <c r="V917" s="142">
        <f>B917*IBGE_2!V$917/100</f>
        <v>6.65</v>
      </c>
      <c r="W917" s="142" t="s">
        <v>3047</v>
      </c>
      <c r="X917" s="142">
        <f>B917*IBGE_2!X$917/100</f>
        <v>3.6999999999999998E-2</v>
      </c>
      <c r="Y917" s="142">
        <f>B917*IBGE_2!Y$917/100</f>
        <v>0.17199999999999999</v>
      </c>
      <c r="Z917" s="142">
        <f>B917*IBGE_2!Z$917/100</f>
        <v>0.34799999999999998</v>
      </c>
      <c r="AA917" s="142">
        <f>B917*IBGE_2!AA$917/100</f>
        <v>5.2279999999999998</v>
      </c>
      <c r="AB917" s="142" t="s">
        <v>3047</v>
      </c>
      <c r="AC917" s="142">
        <f>B917*IBGE_2!AC$917/100</f>
        <v>7.6950000000000003</v>
      </c>
      <c r="AD917" s="142">
        <f>B917*IBGE_2!AD$917/100</f>
        <v>2.5</v>
      </c>
      <c r="AE917" s="142">
        <f>B917*IBGE_2!AE$917/100</f>
        <v>6</v>
      </c>
      <c r="AF917" s="142">
        <f>B917*IBGE_2!AF$917/100</f>
        <v>0.45</v>
      </c>
      <c r="AG917" s="142">
        <f>B917*IBGE_2!AG$917/100</f>
        <v>0.62</v>
      </c>
      <c r="AH917" s="142">
        <f>B917*IBGE_2!AH$917/100</f>
        <v>0.70599999999999996</v>
      </c>
      <c r="AI917" s="142">
        <f>B917*IBGE_2!AI$917/100</f>
        <v>499</v>
      </c>
      <c r="AJ917" s="142">
        <f>B917*IBGE_2!AJ$917/100</f>
        <v>22.774999999999999</v>
      </c>
      <c r="AK917" s="142" t="s">
        <v>3047</v>
      </c>
      <c r="AL917" s="142" t="s">
        <v>3047</v>
      </c>
      <c r="AM917" s="142" t="s">
        <v>3047</v>
      </c>
      <c r="AN917" s="161"/>
    </row>
    <row r="918" spans="1:40">
      <c r="A918" s="143" t="s">
        <v>1978</v>
      </c>
      <c r="B918" s="141">
        <v>100</v>
      </c>
      <c r="C918" s="142">
        <f>B918*IBGE_2!C$918/100</f>
        <v>176</v>
      </c>
      <c r="D918" s="142">
        <f>B918*IBGE_2!D$918/100</f>
        <v>21.56</v>
      </c>
      <c r="E918" s="142">
        <f>B918*IBGE_2!E$918/100</f>
        <v>8.9160000000000004</v>
      </c>
      <c r="F918" s="142">
        <f>B918*IBGE_2!F$918/100</f>
        <v>3.508</v>
      </c>
      <c r="G918" s="142">
        <f>B918*IBGE_2!G$918/100</f>
        <v>3.7460000000000004</v>
      </c>
      <c r="H918" s="142">
        <f>B918*IBGE_2!H$918/100</f>
        <v>0.33300000000000002</v>
      </c>
      <c r="I918" s="142">
        <f>B918*IBGE_2!I$918/100</f>
        <v>0.251</v>
      </c>
      <c r="J918" s="142">
        <f>B918*IBGE_2!J$918/100</f>
        <v>4.2999999999999997E-2</v>
      </c>
      <c r="K918" s="142">
        <f>B918*IBGE_2!K$918/100</f>
        <v>68.8</v>
      </c>
      <c r="L918" s="142">
        <f>B918*IBGE_2!L$918/100</f>
        <v>1.0760000000000001</v>
      </c>
      <c r="M918" s="142">
        <f>B918*IBGE_2!M$918/100</f>
        <v>0.3</v>
      </c>
      <c r="N918" s="142">
        <f>B918*IBGE_2!N$918/100</f>
        <v>13</v>
      </c>
      <c r="O918" s="142">
        <f>B918*IBGE_2!O$918/100</f>
        <v>20</v>
      </c>
      <c r="P918" s="142">
        <f>B918*IBGE_2!P$918/100</f>
        <v>2.9000000000000005E-2</v>
      </c>
      <c r="Q918" s="142">
        <f>B918*IBGE_2!Q$918/100</f>
        <v>159.6</v>
      </c>
      <c r="R918" s="142">
        <f>B918*IBGE_2!R$918/100</f>
        <v>2.516</v>
      </c>
      <c r="S918" s="142">
        <f>B918*IBGE_2!S$918/100</f>
        <v>153.6</v>
      </c>
      <c r="T918" s="142">
        <f>B918*IBGE_2!T$918/100</f>
        <v>306.2</v>
      </c>
      <c r="U918" s="142">
        <f>B918*IBGE_2!U$918/100</f>
        <v>8.5999999999999993E-2</v>
      </c>
      <c r="V918" s="142">
        <f>B918*IBGE_2!V$918/100</f>
        <v>5.36</v>
      </c>
      <c r="W918" s="142" t="s">
        <v>3047</v>
      </c>
      <c r="X918" s="142">
        <f>B918*IBGE_2!X$918/100</f>
        <v>3.4000000000000002E-2</v>
      </c>
      <c r="Y918" s="142">
        <f>B918*IBGE_2!Y$918/100</f>
        <v>0.151</v>
      </c>
      <c r="Z918" s="142">
        <f>B918*IBGE_2!Z$918/100</f>
        <v>0.29799999999999999</v>
      </c>
      <c r="AA918" s="142">
        <f>B918*IBGE_2!AA$918/100</f>
        <v>4.3769999999999998</v>
      </c>
      <c r="AB918" s="142">
        <f>B918*IBGE_2!AB$918/100</f>
        <v>1.4</v>
      </c>
      <c r="AC918" s="142">
        <f>B918*IBGE_2!AC$918/100</f>
        <v>6.3840000000000012</v>
      </c>
      <c r="AD918" s="142">
        <f>B918*IBGE_2!AD$918/100</f>
        <v>2</v>
      </c>
      <c r="AE918" s="142">
        <f>B918*IBGE_2!AE$918/100</f>
        <v>7</v>
      </c>
      <c r="AF918" s="142">
        <f>B918*IBGE_2!AF$918/100</f>
        <v>0.36</v>
      </c>
      <c r="AG918" s="142">
        <f>B918*IBGE_2!AG$918/100</f>
        <v>0.61199999999999999</v>
      </c>
      <c r="AH918" s="142">
        <f>B918*IBGE_2!AH$918/100</f>
        <v>0.55400000000000005</v>
      </c>
      <c r="AI918" s="142">
        <f>B918*IBGE_2!AI$918/100</f>
        <v>499</v>
      </c>
      <c r="AJ918" s="142">
        <f>B918*IBGE_2!AJ$918/100</f>
        <v>17.32</v>
      </c>
      <c r="AK918" s="142">
        <f>B918*IBGE_2!AK$918/100</f>
        <v>3.4830000000000001</v>
      </c>
      <c r="AL918" s="142">
        <f>B918*IBGE_2!AL$918/100</f>
        <v>0.85</v>
      </c>
      <c r="AM918" s="142" t="s">
        <v>3047</v>
      </c>
      <c r="AN918" s="161"/>
    </row>
    <row r="919" spans="1:40">
      <c r="A919" s="143" t="s">
        <v>1979</v>
      </c>
      <c r="B919" s="141">
        <v>100</v>
      </c>
      <c r="C919" s="142">
        <f>B919*IBGE_2!C$919/100</f>
        <v>203.79</v>
      </c>
      <c r="D919" s="142">
        <f>B919*IBGE_2!D$919/100</f>
        <v>22.074999999999999</v>
      </c>
      <c r="E919" s="142">
        <f>B919*IBGE_2!E$919/100</f>
        <v>11.369000000000002</v>
      </c>
      <c r="F919" s="142">
        <f>B919*IBGE_2!F$919/100</f>
        <v>5.0350000000000001</v>
      </c>
      <c r="G919" s="142">
        <f>B919*IBGE_2!G$919/100</f>
        <v>4.3780000000000001</v>
      </c>
      <c r="H919" s="142">
        <f>B919*IBGE_2!H$919/100</f>
        <v>0.43099999999999999</v>
      </c>
      <c r="I919" s="142">
        <f>B919*IBGE_2!I$919/100</f>
        <v>0.32800000000000007</v>
      </c>
      <c r="J919" s="142">
        <f>B919*IBGE_2!J$919/100</f>
        <v>6.4000000000000001E-2</v>
      </c>
      <c r="K919" s="142">
        <f>B919*IBGE_2!K$919/100</f>
        <v>75.632999999999996</v>
      </c>
      <c r="L919" s="142">
        <f>B919*IBGE_2!L$919/100</f>
        <v>1.851</v>
      </c>
      <c r="M919" s="142">
        <f>B919*IBGE_2!M$919/100</f>
        <v>4.2999999999999997E-2</v>
      </c>
      <c r="N919" s="142">
        <f>B919*IBGE_2!N$919/100</f>
        <v>33.279000000000003</v>
      </c>
      <c r="O919" s="142">
        <f>B919*IBGE_2!O$919/100</f>
        <v>19.111999999999998</v>
      </c>
      <c r="P919" s="142">
        <f>B919*IBGE_2!P$919/100</f>
        <v>1.7999999999999999E-2</v>
      </c>
      <c r="Q919" s="142">
        <f>B919*IBGE_2!Q$919/100</f>
        <v>174.09299999999999</v>
      </c>
      <c r="R919" s="142">
        <f>B919*IBGE_2!R$919/100</f>
        <v>2.3820000000000001</v>
      </c>
      <c r="S919" s="142">
        <f>B919*IBGE_2!S$919/100</f>
        <v>69.716999999999999</v>
      </c>
      <c r="T919" s="142">
        <f>B919*IBGE_2!T$919/100</f>
        <v>270.05399999999997</v>
      </c>
      <c r="U919" s="142">
        <f>B919*IBGE_2!U$919/100</f>
        <v>6.7000000000000004E-2</v>
      </c>
      <c r="V919" s="142">
        <f>B919*IBGE_2!V$919/100</f>
        <v>5.4089999999999998</v>
      </c>
      <c r="W919" s="142">
        <f>B919*IBGE_2!W$919/100</f>
        <v>20.696999999999999</v>
      </c>
      <c r="X919" s="142">
        <f>B919*IBGE_2!X$919/100</f>
        <v>4.8000000000000001E-2</v>
      </c>
      <c r="Y919" s="142">
        <f>B919*IBGE_2!Y$919/100</f>
        <v>0.18</v>
      </c>
      <c r="Z919" s="142">
        <f>B919*IBGE_2!Z$919/100</f>
        <v>0.28599999999999998</v>
      </c>
      <c r="AA919" s="142">
        <f>B919*IBGE_2!AA$919/100</f>
        <v>4.2779999999999996</v>
      </c>
      <c r="AB919" s="142">
        <f>B919*IBGE_2!AB$919/100</f>
        <v>4.0000000000000001E-3</v>
      </c>
      <c r="AC919" s="142">
        <f>B919*IBGE_2!AC$919/100</f>
        <v>6.5270000000000001</v>
      </c>
      <c r="AD919" s="142">
        <f>B919*IBGE_2!AD$919/100</f>
        <v>2.09</v>
      </c>
      <c r="AE919" s="142">
        <f>B919*IBGE_2!AE$919/100</f>
        <v>8.3960000000000008</v>
      </c>
      <c r="AF919" s="142">
        <f>B919*IBGE_2!AF$919/100</f>
        <v>0.58699999999999997</v>
      </c>
      <c r="AG919" s="142">
        <f>B919*IBGE_2!AG$919/100</f>
        <v>0.39300000000000002</v>
      </c>
      <c r="AH919" s="142">
        <f>B919*IBGE_2!AH$919/100</f>
        <v>0.65100000000000013</v>
      </c>
      <c r="AI919" s="142">
        <f>B919*IBGE_2!AI$919/100</f>
        <v>499</v>
      </c>
      <c r="AJ919" s="142">
        <f>B919*IBGE_2!AJ$919/100</f>
        <v>18.449000000000002</v>
      </c>
      <c r="AK919" s="142">
        <f>B919*IBGE_2!AK$919/100</f>
        <v>21.081</v>
      </c>
      <c r="AL919" s="142">
        <f>B919*IBGE_2!AL$919/100</f>
        <v>1.0329999999999999</v>
      </c>
      <c r="AM919" s="142" t="s">
        <v>3047</v>
      </c>
      <c r="AN919" s="161"/>
    </row>
    <row r="920" spans="1:40">
      <c r="A920" s="143" t="s">
        <v>1980</v>
      </c>
      <c r="B920" s="141">
        <v>100</v>
      </c>
      <c r="C920" s="142">
        <f>B920*IBGE_2!C$920/100</f>
        <v>236.65899999999999</v>
      </c>
      <c r="D920" s="142">
        <f>B920*IBGE_2!D$920/100</f>
        <v>26.62</v>
      </c>
      <c r="E920" s="142">
        <f>B920*IBGE_2!E$920/100</f>
        <v>13.663</v>
      </c>
      <c r="F920" s="142">
        <f>B920*IBGE_2!F$920/100</f>
        <v>4.78</v>
      </c>
      <c r="G920" s="142">
        <f>B920*IBGE_2!G$920/100</f>
        <v>5.26</v>
      </c>
      <c r="H920" s="142">
        <f>B920*IBGE_2!H$920/100</f>
        <v>1.8779999999999999</v>
      </c>
      <c r="I920" s="142">
        <f>B920*IBGE_2!I$920/100</f>
        <v>1.6030000000000002</v>
      </c>
      <c r="J920" s="142">
        <f>B920*IBGE_2!J$920/100</f>
        <v>0.22699999999999998</v>
      </c>
      <c r="K920" s="142">
        <f>B920*IBGE_2!K$920/100</f>
        <v>86</v>
      </c>
      <c r="L920" s="142" t="s">
        <v>3047</v>
      </c>
      <c r="M920" s="142" t="s">
        <v>3047</v>
      </c>
      <c r="N920" s="142">
        <f>B920*IBGE_2!N$920/100</f>
        <v>13</v>
      </c>
      <c r="O920" s="142">
        <f>B920*IBGE_2!O$920/100</f>
        <v>21</v>
      </c>
      <c r="P920" s="142">
        <f>B920*IBGE_2!P$920/100</f>
        <v>0.01</v>
      </c>
      <c r="Q920" s="142">
        <f>B920*IBGE_2!Q$920/100</f>
        <v>193</v>
      </c>
      <c r="R920" s="142">
        <f>B920*IBGE_2!R$920/100</f>
        <v>2.891</v>
      </c>
      <c r="S920" s="142">
        <f>B920*IBGE_2!S$920/100</f>
        <v>61</v>
      </c>
      <c r="T920" s="142">
        <f>B920*IBGE_2!T$920/100</f>
        <v>300</v>
      </c>
      <c r="U920" s="142">
        <f>B920*IBGE_2!U$920/100</f>
        <v>7.8E-2</v>
      </c>
      <c r="V920" s="142">
        <f>B920*IBGE_2!V$920/100</f>
        <v>6.65</v>
      </c>
      <c r="W920" s="142" t="s">
        <v>3047</v>
      </c>
      <c r="X920" s="142">
        <f>B920*IBGE_2!X$920/100</f>
        <v>3.6999999999999998E-2</v>
      </c>
      <c r="Y920" s="142">
        <f>B920*IBGE_2!Y$920/100</f>
        <v>0.17199999999999999</v>
      </c>
      <c r="Z920" s="142">
        <f>B920*IBGE_2!Z$920/100</f>
        <v>0.34799999999999998</v>
      </c>
      <c r="AA920" s="142">
        <f>B920*IBGE_2!AA$920/100</f>
        <v>5.2279999999999998</v>
      </c>
      <c r="AB920" s="142" t="s">
        <v>3047</v>
      </c>
      <c r="AC920" s="142">
        <f>B920*IBGE_2!AC$920/100</f>
        <v>7.6950000000000003</v>
      </c>
      <c r="AD920" s="142">
        <f>B920*IBGE_2!AD$920/100</f>
        <v>2.5</v>
      </c>
      <c r="AE920" s="142">
        <f>B920*IBGE_2!AE$920/100</f>
        <v>6</v>
      </c>
      <c r="AF920" s="142">
        <f>B920*IBGE_2!AF$920/100</f>
        <v>0.45</v>
      </c>
      <c r="AG920" s="142">
        <f>B920*IBGE_2!AG$920/100</f>
        <v>0.62</v>
      </c>
      <c r="AH920" s="142">
        <f>B920*IBGE_2!AH$920/100</f>
        <v>0.70599999999999996</v>
      </c>
      <c r="AI920" s="142">
        <f>B920*IBGE_2!AI$920/100</f>
        <v>499</v>
      </c>
      <c r="AJ920" s="142">
        <f>B920*IBGE_2!AJ$920/100</f>
        <v>22.774999999999999</v>
      </c>
      <c r="AK920" s="145" t="s">
        <v>3047</v>
      </c>
      <c r="AL920" s="145" t="s">
        <v>3047</v>
      </c>
      <c r="AM920" s="142" t="s">
        <v>3047</v>
      </c>
      <c r="AN920" s="161"/>
    </row>
    <row r="921" spans="1:40">
      <c r="A921" s="143" t="s">
        <v>1981</v>
      </c>
      <c r="B921" s="141">
        <v>100</v>
      </c>
      <c r="C921" s="142">
        <f>B921*IBGE_2!C$921/100</f>
        <v>236.65899999999999</v>
      </c>
      <c r="D921" s="142">
        <f>B921*IBGE_2!D$921/100</f>
        <v>26.62</v>
      </c>
      <c r="E921" s="142">
        <f>B921*IBGE_2!E$921/100</f>
        <v>13.663</v>
      </c>
      <c r="F921" s="142">
        <f>B921*IBGE_2!F$921/100</f>
        <v>4.78</v>
      </c>
      <c r="G921" s="142">
        <f>B921*IBGE_2!G$921/100</f>
        <v>5.26</v>
      </c>
      <c r="H921" s="142">
        <f>B921*IBGE_2!H$921/100</f>
        <v>1.8779999999999999</v>
      </c>
      <c r="I921" s="142">
        <f>B921*IBGE_2!I$921/100</f>
        <v>1.6030000000000002</v>
      </c>
      <c r="J921" s="142">
        <f>B921*IBGE_2!J$921/100</f>
        <v>0.22699999999999998</v>
      </c>
      <c r="K921" s="142">
        <f>B921*IBGE_2!K$921/100</f>
        <v>86</v>
      </c>
      <c r="L921" s="142" t="s">
        <v>3047</v>
      </c>
      <c r="M921" s="142" t="s">
        <v>3047</v>
      </c>
      <c r="N921" s="142">
        <f>B921*IBGE_2!N$921/100</f>
        <v>13</v>
      </c>
      <c r="O921" s="142">
        <f>B921*IBGE_2!O$921/100</f>
        <v>21</v>
      </c>
      <c r="P921" s="142">
        <f>B921*IBGE_2!P$921/100</f>
        <v>0.01</v>
      </c>
      <c r="Q921" s="142">
        <f>B921*IBGE_2!Q$921/100</f>
        <v>193</v>
      </c>
      <c r="R921" s="142">
        <f>B921*IBGE_2!R$921/100</f>
        <v>2.891</v>
      </c>
      <c r="S921" s="142">
        <f>B921*IBGE_2!S$921/100</f>
        <v>61</v>
      </c>
      <c r="T921" s="142">
        <f>B921*IBGE_2!T$921/100</f>
        <v>300</v>
      </c>
      <c r="U921" s="142">
        <f>B921*IBGE_2!U$921/100</f>
        <v>7.8E-2</v>
      </c>
      <c r="V921" s="142">
        <f>B921*IBGE_2!V$921/100</f>
        <v>6.65</v>
      </c>
      <c r="W921" s="142" t="s">
        <v>3047</v>
      </c>
      <c r="X921" s="142">
        <f>B921*IBGE_2!X$921/100</f>
        <v>3.6999999999999998E-2</v>
      </c>
      <c r="Y921" s="142">
        <f>B921*IBGE_2!Y$921/100</f>
        <v>0.17199999999999999</v>
      </c>
      <c r="Z921" s="142">
        <f>B921*IBGE_2!Z$921/100</f>
        <v>0.34799999999999998</v>
      </c>
      <c r="AA921" s="142">
        <f>B921*IBGE_2!AA$921/100</f>
        <v>5.2279999999999998</v>
      </c>
      <c r="AB921" s="142" t="s">
        <v>3047</v>
      </c>
      <c r="AC921" s="142">
        <f>B921*IBGE_2!AC$921/100</f>
        <v>7.6950000000000003</v>
      </c>
      <c r="AD921" s="142">
        <f>B921*IBGE_2!AD$921/100</f>
        <v>2.5</v>
      </c>
      <c r="AE921" s="142">
        <f>B921*IBGE_2!AE$921/100</f>
        <v>6</v>
      </c>
      <c r="AF921" s="142">
        <f>B921*IBGE_2!AF$921/100</f>
        <v>0.45</v>
      </c>
      <c r="AG921" s="142">
        <f>B921*IBGE_2!AG$921/100</f>
        <v>0.62</v>
      </c>
      <c r="AH921" s="142">
        <f>B921*IBGE_2!AH$921/100</f>
        <v>0.70599999999999996</v>
      </c>
      <c r="AI921" s="142">
        <f>B921*IBGE_2!AI$921/100</f>
        <v>499</v>
      </c>
      <c r="AJ921" s="142">
        <f>B921*IBGE_2!AJ$921/100</f>
        <v>22.774999999999999</v>
      </c>
      <c r="AK921" s="145" t="s">
        <v>3047</v>
      </c>
      <c r="AL921" s="145" t="s">
        <v>3047</v>
      </c>
      <c r="AM921" s="142" t="s">
        <v>3047</v>
      </c>
      <c r="AN921" s="161"/>
    </row>
    <row r="922" spans="1:40">
      <c r="A922" s="143" t="s">
        <v>1982</v>
      </c>
      <c r="B922" s="141">
        <v>100</v>
      </c>
      <c r="C922" s="142">
        <f>B922*IBGE_2!C$922/100</f>
        <v>63.941000000000003</v>
      </c>
      <c r="D922" s="142">
        <f>B922*IBGE_2!D$922/100</f>
        <v>3.8119999999999998</v>
      </c>
      <c r="E922" s="142">
        <f>B922*IBGE_2!E$922/100</f>
        <v>1.8069999999999999</v>
      </c>
      <c r="F922" s="142">
        <f>B922*IBGE_2!F$922/100</f>
        <v>0.67700000000000005</v>
      </c>
      <c r="G922" s="142">
        <f>B922*IBGE_2!G$922/100</f>
        <v>0.79200000000000004</v>
      </c>
      <c r="H922" s="142">
        <f>B922*IBGE_2!H$922/100</f>
        <v>9.4E-2</v>
      </c>
      <c r="I922" s="142">
        <f>B922*IBGE_2!I$922/100</f>
        <v>7.1999999999999995E-2</v>
      </c>
      <c r="J922" s="142">
        <f>B922*IBGE_2!J$922/100</f>
        <v>1.9E-2</v>
      </c>
      <c r="K922" s="142">
        <f>B922*IBGE_2!K$922/100</f>
        <v>7.86</v>
      </c>
      <c r="L922" s="142">
        <f>B922*IBGE_2!L$922/100</f>
        <v>7.7320000000000002</v>
      </c>
      <c r="M922" s="142">
        <f>B922*IBGE_2!M$922/100</f>
        <v>0.39200000000000002</v>
      </c>
      <c r="N922" s="142">
        <f>B922*IBGE_2!N$922/100</f>
        <v>6.6289999999999996</v>
      </c>
      <c r="O922" s="142">
        <f>B922*IBGE_2!O$922/100</f>
        <v>7.0270000000000001</v>
      </c>
      <c r="P922" s="142">
        <f>B922*IBGE_2!P$922/100</f>
        <v>5.2000000000000005E-2</v>
      </c>
      <c r="Q922" s="142">
        <f>B922*IBGE_2!Q$922/100</f>
        <v>39.854999999999997</v>
      </c>
      <c r="R922" s="142">
        <f>B922*IBGE_2!R$922/100</f>
        <v>0.65200000000000002</v>
      </c>
      <c r="S922" s="142">
        <f>B922*IBGE_2!S$922/100</f>
        <v>364.00900000000001</v>
      </c>
      <c r="T922" s="142">
        <f>B922*IBGE_2!T$922/100</f>
        <v>125.684</v>
      </c>
      <c r="U922" s="142">
        <f>B922*IBGE_2!U$922/100</f>
        <v>4.9000000000000002E-2</v>
      </c>
      <c r="V922" s="142">
        <f>B922*IBGE_2!V$922/100</f>
        <v>0.68200000000000005</v>
      </c>
      <c r="W922" s="142" t="s">
        <v>3047</v>
      </c>
      <c r="X922" s="142">
        <f>B922*IBGE_2!X$922/100</f>
        <v>4.7E-2</v>
      </c>
      <c r="Y922" s="142">
        <f>B922*IBGE_2!Y$922/100</f>
        <v>6.3E-2</v>
      </c>
      <c r="Z922" s="142">
        <f>B922*IBGE_2!Z$922/100</f>
        <v>6.9000000000000006E-2</v>
      </c>
      <c r="AA922" s="142">
        <f>B922*IBGE_2!AA$922/100</f>
        <v>1.2769999999999999</v>
      </c>
      <c r="AB922" s="142">
        <f>B922*IBGE_2!AB$922/100</f>
        <v>1.5740000000000001</v>
      </c>
      <c r="AC922" s="142">
        <f>B922*IBGE_2!AC$922/100</f>
        <v>1.962</v>
      </c>
      <c r="AD922" s="142">
        <f>B922*IBGE_2!AD$922/100</f>
        <v>0.33900000000000008</v>
      </c>
      <c r="AE922" s="142">
        <f>B922*IBGE_2!AE$922/100</f>
        <v>10.132999999999999</v>
      </c>
      <c r="AF922" s="142">
        <f>B922*IBGE_2!AF$922/100</f>
        <v>8.900000000000001E-2</v>
      </c>
      <c r="AG922" s="142">
        <f>B922*IBGE_2!AG$922/100</f>
        <v>3.9E-2</v>
      </c>
      <c r="AH922" s="142">
        <f>B922*IBGE_2!AH$922/100</f>
        <v>7.6999999999999999E-2</v>
      </c>
      <c r="AI922" s="145" t="s">
        <v>3047</v>
      </c>
      <c r="AJ922" s="142">
        <f>B922*IBGE_2!AJ$922/100</f>
        <v>4.8079999999999998</v>
      </c>
      <c r="AK922" s="142">
        <f>B922*IBGE_2!AK$922/100</f>
        <v>0.745</v>
      </c>
      <c r="AL922" s="142">
        <f>B922*IBGE_2!AL$922/100</f>
        <v>0.24199999999999999</v>
      </c>
      <c r="AM922" s="142" t="s">
        <v>3047</v>
      </c>
      <c r="AN922" s="161"/>
    </row>
    <row r="923" spans="1:40">
      <c r="A923" s="143" t="s">
        <v>1983</v>
      </c>
      <c r="B923" s="141">
        <v>100</v>
      </c>
      <c r="C923" s="142">
        <f>B923*IBGE_2!C$923/100</f>
        <v>214</v>
      </c>
      <c r="D923" s="142">
        <f>B923*IBGE_2!D$923/100</f>
        <v>26.62</v>
      </c>
      <c r="E923" s="142">
        <f>B923*IBGE_2!E$923/100</f>
        <v>11.1</v>
      </c>
      <c r="F923" s="142">
        <f>B923*IBGE_2!F$923/100</f>
        <v>4.3789999999999996</v>
      </c>
      <c r="G923" s="142">
        <f>B923*IBGE_2!G$923/100</f>
        <v>4.6760000000000002</v>
      </c>
      <c r="H923" s="142">
        <f>B923*IBGE_2!H$923/100</f>
        <v>0.39800000000000002</v>
      </c>
      <c r="I923" s="142">
        <f>B923*IBGE_2!I$923/100</f>
        <v>0.29699999999999999</v>
      </c>
      <c r="J923" s="142">
        <f>B923*IBGE_2!J$923/100</f>
        <v>5.2999999999999999E-2</v>
      </c>
      <c r="K923" s="142">
        <f>B923*IBGE_2!K$923/100</f>
        <v>86</v>
      </c>
      <c r="L923" s="142" t="s">
        <v>3047</v>
      </c>
      <c r="M923" s="142" t="s">
        <v>3047</v>
      </c>
      <c r="N923" s="142">
        <f>B923*IBGE_2!N$923/100</f>
        <v>13</v>
      </c>
      <c r="O923" s="142">
        <f>B923*IBGE_2!O$923/100</f>
        <v>21</v>
      </c>
      <c r="P923" s="142">
        <f>B923*IBGE_2!P$923/100</f>
        <v>0.01</v>
      </c>
      <c r="Q923" s="142">
        <f>B923*IBGE_2!Q$923/100</f>
        <v>193</v>
      </c>
      <c r="R923" s="142">
        <f>B923*IBGE_2!R$923/100</f>
        <v>2.89</v>
      </c>
      <c r="S923" s="142">
        <f>B923*IBGE_2!S$923/100</f>
        <v>61</v>
      </c>
      <c r="T923" s="142">
        <f>B923*IBGE_2!T$923/100</f>
        <v>300</v>
      </c>
      <c r="U923" s="142">
        <f>B923*IBGE_2!U$923/100</f>
        <v>7.8E-2</v>
      </c>
      <c r="V923" s="142">
        <f>B923*IBGE_2!V$923/100</f>
        <v>6.65</v>
      </c>
      <c r="W923" s="142" t="s">
        <v>3047</v>
      </c>
      <c r="X923" s="142">
        <f>B923*IBGE_2!X$923/100</f>
        <v>3.6999999999999998E-2</v>
      </c>
      <c r="Y923" s="142">
        <f>B923*IBGE_2!Y$923/100</f>
        <v>0.17199999999999999</v>
      </c>
      <c r="Z923" s="142">
        <f>B923*IBGE_2!Z$923/100</f>
        <v>0.34799999999999998</v>
      </c>
      <c r="AA923" s="142">
        <f>B923*IBGE_2!AA$923/100</f>
        <v>5.2279999999999998</v>
      </c>
      <c r="AB923" s="142" t="s">
        <v>3047</v>
      </c>
      <c r="AC923" s="142">
        <f>B923*IBGE_2!AC$923/100</f>
        <v>7.6950000000000003</v>
      </c>
      <c r="AD923" s="142">
        <f>B923*IBGE_2!AD$923/100</f>
        <v>2.5</v>
      </c>
      <c r="AE923" s="142">
        <f>B923*IBGE_2!AE$923/100</f>
        <v>6</v>
      </c>
      <c r="AF923" s="142">
        <f>B923*IBGE_2!AF$923/100</f>
        <v>0.45</v>
      </c>
      <c r="AG923" s="142">
        <f>B923*IBGE_2!AG$923/100</f>
        <v>0.41</v>
      </c>
      <c r="AH923" s="142">
        <f>B923*IBGE_2!AH$923/100</f>
        <v>0.69199999999999984</v>
      </c>
      <c r="AI923" s="142">
        <f>B923*IBGE_2!AI$923/100</f>
        <v>499</v>
      </c>
      <c r="AJ923" s="142">
        <f>B923*IBGE_2!AJ$923/100</f>
        <v>21.6</v>
      </c>
      <c r="AK923" s="142" t="s">
        <v>3047</v>
      </c>
      <c r="AL923" s="142" t="s">
        <v>3047</v>
      </c>
      <c r="AM923" s="142" t="s">
        <v>3047</v>
      </c>
      <c r="AN923" s="161"/>
    </row>
    <row r="924" spans="1:40">
      <c r="A924" s="143" t="s">
        <v>1984</v>
      </c>
      <c r="B924" s="141">
        <v>100</v>
      </c>
      <c r="C924" s="142">
        <f>B924*IBGE_2!C$924/100</f>
        <v>242</v>
      </c>
      <c r="D924" s="142">
        <f>B924*IBGE_2!D$924/100</f>
        <v>24.22</v>
      </c>
      <c r="E924" s="142">
        <f>B924*IBGE_2!E$924/100</f>
        <v>15.42</v>
      </c>
      <c r="F924" s="142">
        <f>B924*IBGE_2!F$924/100</f>
        <v>5.7380000000000004</v>
      </c>
      <c r="G924" s="142">
        <f>B924*IBGE_2!G$924/100</f>
        <v>7.0019999999999989</v>
      </c>
      <c r="H924" s="142">
        <f>B924*IBGE_2!H$924/100</f>
        <v>0.61299999999999999</v>
      </c>
      <c r="I924" s="142">
        <f>B924*IBGE_2!I$924/100</f>
        <v>0.41600000000000004</v>
      </c>
      <c r="J924" s="142">
        <f>B924*IBGE_2!J$924/100</f>
        <v>0.16400000000000003</v>
      </c>
      <c r="K924" s="142">
        <f>B924*IBGE_2!K$924/100</f>
        <v>75</v>
      </c>
      <c r="L924" s="142" t="s">
        <v>3047</v>
      </c>
      <c r="M924" s="142" t="s">
        <v>3047</v>
      </c>
      <c r="N924" s="142">
        <f>B924*IBGE_2!N$924/100</f>
        <v>8</v>
      </c>
      <c r="O924" s="142">
        <f>B924*IBGE_2!O$924/100</f>
        <v>20</v>
      </c>
      <c r="P924" s="142">
        <f>B924*IBGE_2!P$924/100</f>
        <v>1E-3</v>
      </c>
      <c r="Q924" s="142">
        <f>B924*IBGE_2!Q$924/100</f>
        <v>196</v>
      </c>
      <c r="R924" s="142">
        <f>B924*IBGE_2!R$924/100</f>
        <v>2.81</v>
      </c>
      <c r="S924" s="142">
        <f>B924*IBGE_2!S$924/100</f>
        <v>67</v>
      </c>
      <c r="T924" s="142">
        <f>B924*IBGE_2!T$924/100</f>
        <v>337</v>
      </c>
      <c r="U924" s="142">
        <f>B924*IBGE_2!U$924/100</f>
        <v>9.3000000000000013E-2</v>
      </c>
      <c r="V924" s="142">
        <f>B924*IBGE_2!V$924/100</f>
        <v>5.71</v>
      </c>
      <c r="W924" s="142" t="s">
        <v>3047</v>
      </c>
      <c r="X924" s="142">
        <f>B924*IBGE_2!X$924/100</f>
        <v>8.1000000000000003E-2</v>
      </c>
      <c r="Y924" s="142">
        <f>B924*IBGE_2!Y$924/100</f>
        <v>0.22600000000000001</v>
      </c>
      <c r="Z924" s="142">
        <f>B924*IBGE_2!Z$924/100</f>
        <v>0.255</v>
      </c>
      <c r="AA924" s="142">
        <f>B924*IBGE_2!AA$924/100</f>
        <v>3.2069999999999999</v>
      </c>
      <c r="AB924" s="142" t="s">
        <v>3047</v>
      </c>
      <c r="AC924" s="142">
        <f>B924*IBGE_2!AC$924/100</f>
        <v>7.5739999999999998</v>
      </c>
      <c r="AD924" s="142">
        <f>B924*IBGE_2!AD$924/100</f>
        <v>2.83</v>
      </c>
      <c r="AE924" s="142">
        <f>B924*IBGE_2!AE$924/100</f>
        <v>9</v>
      </c>
      <c r="AF924" s="142">
        <f>B924*IBGE_2!AF$924/100</f>
        <v>0.7</v>
      </c>
      <c r="AG924" s="142">
        <f>B924*IBGE_2!AG$924/100</f>
        <v>0.14000000000000001</v>
      </c>
      <c r="AH924" s="142">
        <f>B924*IBGE_2!AH$924/100</f>
        <v>0.68</v>
      </c>
      <c r="AI924" s="142">
        <f>B924*IBGE_2!AI$924/100</f>
        <v>333</v>
      </c>
      <c r="AJ924" s="142">
        <f>B924*IBGE_2!AJ$924/100</f>
        <v>28.3</v>
      </c>
      <c r="AK924" s="142" t="s">
        <v>3047</v>
      </c>
      <c r="AL924" s="142" t="s">
        <v>3047</v>
      </c>
      <c r="AM924" s="142" t="s">
        <v>3047</v>
      </c>
      <c r="AN924" s="161"/>
    </row>
    <row r="925" spans="1:40">
      <c r="A925" s="143" t="s">
        <v>1985</v>
      </c>
      <c r="B925" s="141">
        <v>100</v>
      </c>
      <c r="C925" s="142">
        <f>B925*IBGE_2!C$925/100</f>
        <v>233</v>
      </c>
      <c r="D925" s="142">
        <f>B925*IBGE_2!D$925/100</f>
        <v>12.49</v>
      </c>
      <c r="E925" s="142">
        <f>B925*IBGE_2!E$925/100</f>
        <v>20.32</v>
      </c>
      <c r="F925" s="142">
        <f>B925*IBGE_2!F$925/100</f>
        <v>9.52</v>
      </c>
      <c r="G925" s="142">
        <f>B925*IBGE_2!G$925/100</f>
        <v>7.0730000000000004</v>
      </c>
      <c r="H925" s="142">
        <f>B925*IBGE_2!H$925/100</f>
        <v>1.2170000000000001</v>
      </c>
      <c r="I925" s="142">
        <f>B925*IBGE_2!I$925/100</f>
        <v>0.98</v>
      </c>
      <c r="J925" s="142">
        <f>B925*IBGE_2!J$925/100</f>
        <v>3.3000000000000002E-2</v>
      </c>
      <c r="K925" s="142">
        <f>B925*IBGE_2!K$925/100</f>
        <v>277</v>
      </c>
      <c r="L925" s="142" t="s">
        <v>3047</v>
      </c>
      <c r="M925" s="142" t="s">
        <v>3047</v>
      </c>
      <c r="N925" s="142">
        <f>B925*IBGE_2!N$925/100</f>
        <v>25</v>
      </c>
      <c r="O925" s="142">
        <f>B925*IBGE_2!O$925/100</f>
        <v>9</v>
      </c>
      <c r="P925" s="142">
        <f>B925*IBGE_2!P$925/100</f>
        <v>8.900000000000001E-2</v>
      </c>
      <c r="Q925" s="142">
        <f>B925*IBGE_2!Q$925/100</f>
        <v>66</v>
      </c>
      <c r="R925" s="142">
        <f>B925*IBGE_2!R$925/100</f>
        <v>1.47</v>
      </c>
      <c r="S925" s="142">
        <f>B925*IBGE_2!S$925/100</f>
        <v>18</v>
      </c>
      <c r="T925" s="142">
        <f>B925*IBGE_2!T$925/100</f>
        <v>14</v>
      </c>
      <c r="U925" s="142">
        <f>B925*IBGE_2!U$925/100</f>
        <v>4.5999999999999999E-2</v>
      </c>
      <c r="V925" s="142">
        <f>B925*IBGE_2!V$925/100</f>
        <v>1.85</v>
      </c>
      <c r="W925" s="142" t="s">
        <v>3047</v>
      </c>
      <c r="X925" s="142">
        <f>B925*IBGE_2!X$925/100</f>
        <v>1.4000000000000002E-2</v>
      </c>
      <c r="Y925" s="142">
        <f>B925*IBGE_2!Y$925/100</f>
        <v>4.5999999999999999E-2</v>
      </c>
      <c r="Z925" s="142" t="s">
        <v>3047</v>
      </c>
      <c r="AA925" s="142">
        <f>B925*IBGE_2!AA$925/100</f>
        <v>8.6999999999999994E-2</v>
      </c>
      <c r="AB925" s="142" t="s">
        <v>3047</v>
      </c>
      <c r="AC925" s="142">
        <f>B925*IBGE_2!AC$925/100</f>
        <v>2.2200000000000002</v>
      </c>
      <c r="AD925" s="142">
        <f>B925*IBGE_2!AD$925/100</f>
        <v>0.42</v>
      </c>
      <c r="AE925" s="142">
        <f>B925*IBGE_2!AE$925/100</f>
        <v>1</v>
      </c>
      <c r="AF925" s="145" t="s">
        <v>3047</v>
      </c>
      <c r="AG925" s="142">
        <f>B925*IBGE_2!AG$925/100</f>
        <v>0.23</v>
      </c>
      <c r="AH925" s="145" t="s">
        <v>3047</v>
      </c>
      <c r="AI925" s="142">
        <f>B925*IBGE_2!AI$925/100</f>
        <v>333</v>
      </c>
      <c r="AJ925" s="142">
        <f>B925*IBGE_2!AJ$925/100</f>
        <v>27</v>
      </c>
      <c r="AK925" s="142" t="s">
        <v>3047</v>
      </c>
      <c r="AL925" s="142" t="s">
        <v>3047</v>
      </c>
      <c r="AM925" s="142" t="s">
        <v>3047</v>
      </c>
      <c r="AN925" s="161"/>
    </row>
    <row r="926" spans="1:40">
      <c r="A926" s="143" t="s">
        <v>1986</v>
      </c>
      <c r="B926" s="141">
        <v>100</v>
      </c>
      <c r="C926" s="142">
        <f>B926*IBGE_2!C$926/100</f>
        <v>255.65899999999999</v>
      </c>
      <c r="D926" s="142">
        <f>B926*IBGE_2!D$926/100</f>
        <v>12.49</v>
      </c>
      <c r="E926" s="142">
        <f>B926*IBGE_2!E$926/100</f>
        <v>22.882999999999996</v>
      </c>
      <c r="F926" s="142">
        <f>B926*IBGE_2!F$926/100</f>
        <v>9.9209999999999994</v>
      </c>
      <c r="G926" s="142">
        <f>B926*IBGE_2!G$926/100</f>
        <v>7.657</v>
      </c>
      <c r="H926" s="142">
        <f>B926*IBGE_2!H$926/100</f>
        <v>2.6970000000000001</v>
      </c>
      <c r="I926" s="142">
        <f>B926*IBGE_2!I$926/100</f>
        <v>2.286</v>
      </c>
      <c r="J926" s="142">
        <f>B926*IBGE_2!J$926/100</f>
        <v>0.20699999999999999</v>
      </c>
      <c r="K926" s="142">
        <f>B926*IBGE_2!K$926/100</f>
        <v>277</v>
      </c>
      <c r="L926" s="142" t="s">
        <v>3047</v>
      </c>
      <c r="M926" s="142" t="s">
        <v>3047</v>
      </c>
      <c r="N926" s="142">
        <f>B926*IBGE_2!N$926/100</f>
        <v>25</v>
      </c>
      <c r="O926" s="142">
        <f>B926*IBGE_2!O$926/100</f>
        <v>9</v>
      </c>
      <c r="P926" s="142">
        <f>B926*IBGE_2!P$926/100</f>
        <v>8.900000000000001E-2</v>
      </c>
      <c r="Q926" s="142">
        <f>B926*IBGE_2!Q$926/100</f>
        <v>66</v>
      </c>
      <c r="R926" s="142">
        <f>B926*IBGE_2!R$926/100</f>
        <v>1.4710000000000003</v>
      </c>
      <c r="S926" s="142">
        <f>B926*IBGE_2!S$926/100</f>
        <v>18</v>
      </c>
      <c r="T926" s="142">
        <f>B926*IBGE_2!T$926/100</f>
        <v>14</v>
      </c>
      <c r="U926" s="142">
        <f>B926*IBGE_2!U$926/100</f>
        <v>4.5999999999999999E-2</v>
      </c>
      <c r="V926" s="142">
        <f>B926*IBGE_2!V$926/100</f>
        <v>1.85</v>
      </c>
      <c r="W926" s="142" t="s">
        <v>3047</v>
      </c>
      <c r="X926" s="142">
        <f>B926*IBGE_2!X$926/100</f>
        <v>1.4000000000000002E-2</v>
      </c>
      <c r="Y926" s="142">
        <f>B926*IBGE_2!Y$926/100</f>
        <v>4.5999999999999999E-2</v>
      </c>
      <c r="Z926" s="142" t="s">
        <v>3047</v>
      </c>
      <c r="AA926" s="142">
        <f>B926*IBGE_2!AA$926/100</f>
        <v>8.6999999999999994E-2</v>
      </c>
      <c r="AB926" s="142" t="s">
        <v>3047</v>
      </c>
      <c r="AC926" s="142">
        <f>B926*IBGE_2!AC$926/100</f>
        <v>2.2200000000000002</v>
      </c>
      <c r="AD926" s="142">
        <f>B926*IBGE_2!AD$926/100</f>
        <v>0.42</v>
      </c>
      <c r="AE926" s="142">
        <f>B926*IBGE_2!AE$926/100</f>
        <v>1</v>
      </c>
      <c r="AF926" s="145" t="s">
        <v>3047</v>
      </c>
      <c r="AG926" s="142">
        <f>B926*IBGE_2!AG$926/100</f>
        <v>0.44</v>
      </c>
      <c r="AH926" s="142">
        <f>B926*IBGE_2!AH$926/100</f>
        <v>1.4000000000000002E-2</v>
      </c>
      <c r="AI926" s="142">
        <f>B926*IBGE_2!AI$926/100</f>
        <v>333</v>
      </c>
      <c r="AJ926" s="142">
        <f>B926*IBGE_2!AJ$926/100</f>
        <v>28.175000000000001</v>
      </c>
      <c r="AK926" s="142" t="s">
        <v>3047</v>
      </c>
      <c r="AL926" s="142" t="s">
        <v>3047</v>
      </c>
      <c r="AM926" s="142" t="s">
        <v>3047</v>
      </c>
      <c r="AN926" s="161"/>
    </row>
    <row r="927" spans="1:40">
      <c r="A927" s="143" t="s">
        <v>1987</v>
      </c>
      <c r="B927" s="141">
        <v>100</v>
      </c>
      <c r="C927" s="142">
        <f>B927*IBGE_2!C$927/100</f>
        <v>165</v>
      </c>
      <c r="D927" s="142">
        <f>B927*IBGE_2!D$927/100</f>
        <v>26.02</v>
      </c>
      <c r="E927" s="142">
        <f>B927*IBGE_2!E$927/100</f>
        <v>4.4000000000000004</v>
      </c>
      <c r="F927" s="142">
        <f>B927*IBGE_2!F$927/100</f>
        <v>1.41</v>
      </c>
      <c r="G927" s="142">
        <f>B927*IBGE_2!G$927/100</f>
        <v>0.63</v>
      </c>
      <c r="H927" s="142">
        <f>B927*IBGE_2!H$927/100</f>
        <v>1.05</v>
      </c>
      <c r="I927" s="142">
        <f>B927*IBGE_2!I$927/100</f>
        <v>0.42</v>
      </c>
      <c r="J927" s="142">
        <f>B927*IBGE_2!J$927/100</f>
        <v>0.04</v>
      </c>
      <c r="K927" s="142">
        <f>B927*IBGE_2!K$927/100</f>
        <v>355</v>
      </c>
      <c r="L927" s="142">
        <f>B927*IBGE_2!L$927/100</f>
        <v>3.76</v>
      </c>
      <c r="M927" s="142" t="s">
        <v>3047</v>
      </c>
      <c r="N927" s="142">
        <f>B927*IBGE_2!N$927/100</f>
        <v>10</v>
      </c>
      <c r="O927" s="142">
        <f>B927*IBGE_2!O$927/100</f>
        <v>14</v>
      </c>
      <c r="P927" s="142">
        <f>B927*IBGE_2!P$927/100</f>
        <v>0.3</v>
      </c>
      <c r="Q927" s="142">
        <f>B927*IBGE_2!Q$927/100</f>
        <v>241</v>
      </c>
      <c r="R927" s="142">
        <f>B927*IBGE_2!R$927/100</f>
        <v>17.920000000000002</v>
      </c>
      <c r="S927" s="142">
        <f>B927*IBGE_2!S$927/100</f>
        <v>49</v>
      </c>
      <c r="T927" s="142">
        <f>B927*IBGE_2!T$927/100</f>
        <v>150</v>
      </c>
      <c r="U927" s="142">
        <f>B927*IBGE_2!U$927/100</f>
        <v>0.63400000000000001</v>
      </c>
      <c r="V927" s="142">
        <f>B927*IBGE_2!V$927/100</f>
        <v>6.72</v>
      </c>
      <c r="W927" s="142">
        <f>B927*IBGE_2!W$927/100</f>
        <v>5405</v>
      </c>
      <c r="X927" s="142">
        <f>B927*IBGE_2!X$927/100</f>
        <v>0.25800000000000001</v>
      </c>
      <c r="Y927" s="142">
        <f>B927*IBGE_2!Y$927/100</f>
        <v>2.1960000000000002</v>
      </c>
      <c r="Z927" s="142">
        <f>B927*IBGE_2!Z$927/100</f>
        <v>0.56999999999999995</v>
      </c>
      <c r="AA927" s="142">
        <f>B927*IBGE_2!AA$927/100</f>
        <v>8.4350000000000005</v>
      </c>
      <c r="AB927" s="142">
        <f>B927*IBGE_2!AB$927/100</f>
        <v>23.6</v>
      </c>
      <c r="AC927" s="142">
        <f>B927*IBGE_2!AC$927/100</f>
        <v>14.535</v>
      </c>
      <c r="AD927" s="142">
        <f>B927*IBGE_2!AD$927/100</f>
        <v>18.670000000000002</v>
      </c>
      <c r="AE927" s="142">
        <f>B927*IBGE_2!AE$927/100</f>
        <v>163</v>
      </c>
      <c r="AF927" s="142">
        <f>B927*IBGE_2!AF$927/100</f>
        <v>1.1000000000000001</v>
      </c>
      <c r="AG927" s="142">
        <f>B927*IBGE_2!AG$927/100</f>
        <v>0.55500000000000005</v>
      </c>
      <c r="AH927" s="145" t="s">
        <v>3047</v>
      </c>
      <c r="AI927" s="142">
        <f>B927*IBGE_2!AI$927/100</f>
        <v>333</v>
      </c>
      <c r="AJ927" s="142">
        <f>B927*IBGE_2!AJ$927/100</f>
        <v>67.5</v>
      </c>
      <c r="AK927" s="142">
        <f>B927*IBGE_2!AK$927/100</f>
        <v>5405</v>
      </c>
      <c r="AL927" s="142" t="s">
        <v>3047</v>
      </c>
      <c r="AM927" s="142" t="s">
        <v>3047</v>
      </c>
      <c r="AN927" s="161"/>
    </row>
    <row r="928" spans="1:40">
      <c r="A928" s="143" t="s">
        <v>1988</v>
      </c>
      <c r="B928" s="141">
        <v>100</v>
      </c>
      <c r="C928" s="142">
        <f>B928*IBGE_2!C$928/100</f>
        <v>165</v>
      </c>
      <c r="D928" s="142">
        <f>B928*IBGE_2!D$928/100</f>
        <v>26.02</v>
      </c>
      <c r="E928" s="142">
        <f>B928*IBGE_2!E$928/100</f>
        <v>4.4000000000000004</v>
      </c>
      <c r="F928" s="142">
        <f>B928*IBGE_2!F$928/100</f>
        <v>1.41</v>
      </c>
      <c r="G928" s="142">
        <f>B928*IBGE_2!G$928/100</f>
        <v>0.63</v>
      </c>
      <c r="H928" s="142">
        <f>B928*IBGE_2!H$928/100</f>
        <v>1.05</v>
      </c>
      <c r="I928" s="142">
        <f>B928*IBGE_2!I$928/100</f>
        <v>0.42</v>
      </c>
      <c r="J928" s="142">
        <f>B928*IBGE_2!J$928/100</f>
        <v>0.04</v>
      </c>
      <c r="K928" s="142">
        <f>B928*IBGE_2!K$928/100</f>
        <v>355</v>
      </c>
      <c r="L928" s="142">
        <f>B928*IBGE_2!L$928/100</f>
        <v>3.76</v>
      </c>
      <c r="M928" s="142" t="s">
        <v>3047</v>
      </c>
      <c r="N928" s="142">
        <f>B928*IBGE_2!N$928/100</f>
        <v>10</v>
      </c>
      <c r="O928" s="142">
        <f>B928*IBGE_2!O$928/100</f>
        <v>14</v>
      </c>
      <c r="P928" s="142">
        <f>B928*IBGE_2!P$928/100</f>
        <v>0.3</v>
      </c>
      <c r="Q928" s="142">
        <f>B928*IBGE_2!Q$928/100</f>
        <v>241</v>
      </c>
      <c r="R928" s="142">
        <f>B928*IBGE_2!R$928/100</f>
        <v>17.920000000000002</v>
      </c>
      <c r="S928" s="142">
        <f>B928*IBGE_2!S$928/100</f>
        <v>49</v>
      </c>
      <c r="T928" s="142">
        <f>B928*IBGE_2!T$928/100</f>
        <v>150</v>
      </c>
      <c r="U928" s="142">
        <f>B928*IBGE_2!U$928/100</f>
        <v>0.63400000000000001</v>
      </c>
      <c r="V928" s="142">
        <f>B928*IBGE_2!V$928/100</f>
        <v>6.72</v>
      </c>
      <c r="W928" s="142">
        <f>B928*IBGE_2!W$928/100</f>
        <v>5405</v>
      </c>
      <c r="X928" s="142">
        <f>B928*IBGE_2!X$928/100</f>
        <v>0.25800000000000001</v>
      </c>
      <c r="Y928" s="142">
        <f>B928*IBGE_2!Y$928/100</f>
        <v>2.1960000000000002</v>
      </c>
      <c r="Z928" s="142">
        <f>B928*IBGE_2!Z$928/100</f>
        <v>0.56999999999999995</v>
      </c>
      <c r="AA928" s="142">
        <f>B928*IBGE_2!AA$928/100</f>
        <v>8.4350000000000005</v>
      </c>
      <c r="AB928" s="142">
        <f>B928*IBGE_2!AB$928/100</f>
        <v>23.6</v>
      </c>
      <c r="AC928" s="142">
        <f>B928*IBGE_2!AC$928/100</f>
        <v>14.535</v>
      </c>
      <c r="AD928" s="142">
        <f>B928*IBGE_2!AD$928/100</f>
        <v>18.670000000000002</v>
      </c>
      <c r="AE928" s="142">
        <f>B928*IBGE_2!AE$928/100</f>
        <v>163</v>
      </c>
      <c r="AF928" s="142">
        <f>B928*IBGE_2!AF$928/100</f>
        <v>1.1000000000000001</v>
      </c>
      <c r="AG928" s="142">
        <f>B928*IBGE_2!AG$928/100</f>
        <v>0.55500000000000005</v>
      </c>
      <c r="AH928" s="145" t="s">
        <v>3047</v>
      </c>
      <c r="AI928" s="142">
        <f>B928*IBGE_2!AI$928/100</f>
        <v>333</v>
      </c>
      <c r="AJ928" s="142">
        <f>B928*IBGE_2!AJ$928/100</f>
        <v>67.5</v>
      </c>
      <c r="AK928" s="142">
        <f>B928*IBGE_2!AK$928/100</f>
        <v>5405</v>
      </c>
      <c r="AL928" s="142" t="s">
        <v>3047</v>
      </c>
      <c r="AM928" s="142" t="s">
        <v>3047</v>
      </c>
      <c r="AN928" s="161"/>
    </row>
    <row r="929" spans="1:40">
      <c r="A929" s="143" t="s">
        <v>1989</v>
      </c>
      <c r="B929" s="141">
        <v>100</v>
      </c>
      <c r="C929" s="142">
        <f>B929*IBGE_2!C$929/100</f>
        <v>187.65899999999999</v>
      </c>
      <c r="D929" s="142">
        <f>B929*IBGE_2!D$929/100</f>
        <v>26.02</v>
      </c>
      <c r="E929" s="142">
        <f>B929*IBGE_2!E$929/100</f>
        <v>6.9629999999999992</v>
      </c>
      <c r="F929" s="142">
        <f>B929*IBGE_2!F$929/100</f>
        <v>1.8109999999999999</v>
      </c>
      <c r="G929" s="142">
        <f>B929*IBGE_2!G$929/100</f>
        <v>1.214</v>
      </c>
      <c r="H929" s="142">
        <f>B929*IBGE_2!H$929/100</f>
        <v>2.5299999999999998</v>
      </c>
      <c r="I929" s="142">
        <f>B929*IBGE_2!I$929/100</f>
        <v>1.726</v>
      </c>
      <c r="J929" s="142">
        <f>B929*IBGE_2!J$929/100</f>
        <v>0.214</v>
      </c>
      <c r="K929" s="142">
        <f>B929*IBGE_2!K$929/100</f>
        <v>355</v>
      </c>
      <c r="L929" s="142">
        <f>B929*IBGE_2!L$929/100</f>
        <v>3.76</v>
      </c>
      <c r="M929" s="142" t="s">
        <v>3047</v>
      </c>
      <c r="N929" s="142">
        <f>B929*IBGE_2!N$929/100</f>
        <v>10</v>
      </c>
      <c r="O929" s="142">
        <f>B929*IBGE_2!O$929/100</f>
        <v>14</v>
      </c>
      <c r="P929" s="142">
        <f>B929*IBGE_2!P$929/100</f>
        <v>0.3</v>
      </c>
      <c r="Q929" s="142">
        <f>B929*IBGE_2!Q$929/100</f>
        <v>241</v>
      </c>
      <c r="R929" s="142">
        <f>B929*IBGE_2!R$929/100</f>
        <v>17.920999999999999</v>
      </c>
      <c r="S929" s="142">
        <f>B929*IBGE_2!S$929/100</f>
        <v>49</v>
      </c>
      <c r="T929" s="142">
        <f>B929*IBGE_2!T$929/100</f>
        <v>150</v>
      </c>
      <c r="U929" s="142">
        <f>B929*IBGE_2!U$929/100</f>
        <v>0.63400000000000001</v>
      </c>
      <c r="V929" s="142">
        <f>B929*IBGE_2!V$929/100</f>
        <v>6.72</v>
      </c>
      <c r="W929" s="142">
        <f>B929*IBGE_2!W$929/100</f>
        <v>5405</v>
      </c>
      <c r="X929" s="142">
        <f>B929*IBGE_2!X$929/100</f>
        <v>0.25800000000000001</v>
      </c>
      <c r="Y929" s="142">
        <f>B929*IBGE_2!Y$929/100</f>
        <v>2.1960000000000002</v>
      </c>
      <c r="Z929" s="142">
        <f>B929*IBGE_2!Z$929/100</f>
        <v>0.56999999999999995</v>
      </c>
      <c r="AA929" s="142">
        <f>B929*IBGE_2!AA$929/100</f>
        <v>8.4350000000000005</v>
      </c>
      <c r="AB929" s="142">
        <f>B929*IBGE_2!AB$929/100</f>
        <v>23.6</v>
      </c>
      <c r="AC929" s="142">
        <f>B929*IBGE_2!AC$929/100</f>
        <v>14.535</v>
      </c>
      <c r="AD929" s="142">
        <f>B929*IBGE_2!AD$929/100</f>
        <v>18.670000000000002</v>
      </c>
      <c r="AE929" s="142">
        <f>B929*IBGE_2!AE$929/100</f>
        <v>163</v>
      </c>
      <c r="AF929" s="142">
        <f>B929*IBGE_2!AF$929/100</f>
        <v>1.1000000000000001</v>
      </c>
      <c r="AG929" s="142">
        <f>B929*IBGE_2!AG$929/100</f>
        <v>0.76500000000000001</v>
      </c>
      <c r="AH929" s="142">
        <f>B929*IBGE_2!AH$929/100</f>
        <v>1.4000000000000002E-2</v>
      </c>
      <c r="AI929" s="142">
        <f>B929*IBGE_2!AI$929/100</f>
        <v>333</v>
      </c>
      <c r="AJ929" s="142">
        <f>B929*IBGE_2!AJ$929/100</f>
        <v>68.674999999999997</v>
      </c>
      <c r="AK929" s="142">
        <f>B929*IBGE_2!AK$929/100</f>
        <v>5405</v>
      </c>
      <c r="AL929" s="142" t="s">
        <v>3047</v>
      </c>
      <c r="AM929" s="142" t="s">
        <v>3047</v>
      </c>
      <c r="AN929" s="161"/>
    </row>
    <row r="930" spans="1:40">
      <c r="A930" s="143" t="s">
        <v>1990</v>
      </c>
      <c r="B930" s="141">
        <v>100</v>
      </c>
      <c r="C930" s="142">
        <f>B930*IBGE_2!C$930/100</f>
        <v>271</v>
      </c>
      <c r="D930" s="142">
        <f>B930*IBGE_2!D$930/100</f>
        <v>24.1</v>
      </c>
      <c r="E930" s="142">
        <f>B930*IBGE_2!E$930/100</f>
        <v>18.600000000000001</v>
      </c>
      <c r="F930" s="142">
        <f>B930*IBGE_2!F$930/100</f>
        <v>6.4489999999999998</v>
      </c>
      <c r="G930" s="142">
        <f>B930*IBGE_2!G$930/100</f>
        <v>8.7590000000000003</v>
      </c>
      <c r="H930" s="142">
        <f>B930*IBGE_2!H$930/100</f>
        <v>1.93</v>
      </c>
      <c r="I930" s="142">
        <f>B930*IBGE_2!I$930/100</f>
        <v>1.84</v>
      </c>
      <c r="J930" s="142">
        <f>B930*IBGE_2!J$930/100</f>
        <v>0.09</v>
      </c>
      <c r="K930" s="142">
        <f>B930*IBGE_2!K$930/100</f>
        <v>146</v>
      </c>
      <c r="L930" s="142" t="s">
        <v>3047</v>
      </c>
      <c r="M930" s="142" t="s">
        <v>3047</v>
      </c>
      <c r="N930" s="142">
        <f>B930*IBGE_2!N$930/100</f>
        <v>19</v>
      </c>
      <c r="O930" s="142">
        <f>B930*IBGE_2!O$930/100</f>
        <v>20</v>
      </c>
      <c r="P930" s="142">
        <f>B930*IBGE_2!P$930/100</f>
        <v>0.01</v>
      </c>
      <c r="Q930" s="142">
        <f>B930*IBGE_2!Q$930/100</f>
        <v>174</v>
      </c>
      <c r="R930" s="142">
        <f>B930*IBGE_2!R$930/100</f>
        <v>4.99</v>
      </c>
      <c r="S930" s="142">
        <f>B930*IBGE_2!S$930/100</f>
        <v>109</v>
      </c>
      <c r="T930" s="142">
        <f>B930*IBGE_2!T$930/100</f>
        <v>237</v>
      </c>
      <c r="U930" s="142">
        <f>B930*IBGE_2!U$930/100</f>
        <v>0.11</v>
      </c>
      <c r="V930" s="142">
        <f>B930*IBGE_2!V$930/100</f>
        <v>4.53</v>
      </c>
      <c r="W930" s="142" t="s">
        <v>3047</v>
      </c>
      <c r="X930" s="142">
        <f>B930*IBGE_2!X$930/100</f>
        <v>0.317</v>
      </c>
      <c r="Y930" s="142">
        <f>B930*IBGE_2!Y$930/100</f>
        <v>0.51</v>
      </c>
      <c r="Z930" s="142">
        <f>B930*IBGE_2!Z$930/100</f>
        <v>0.23</v>
      </c>
      <c r="AA930" s="142">
        <f>B930*IBGE_2!AA$930/100</f>
        <v>5.34</v>
      </c>
      <c r="AB930" s="142">
        <f>B930*IBGE_2!AB$930/100</f>
        <v>1.7</v>
      </c>
      <c r="AC930" s="142">
        <f>B930*IBGE_2!AC$930/100</f>
        <v>9.9730000000000008</v>
      </c>
      <c r="AD930" s="142">
        <f>B930*IBGE_2!AD$930/100</f>
        <v>2.39</v>
      </c>
      <c r="AE930" s="142">
        <f>B930*IBGE_2!AE$930/100</f>
        <v>4</v>
      </c>
      <c r="AF930" s="145" t="s">
        <v>3047</v>
      </c>
      <c r="AG930" s="142">
        <f>B930*IBGE_2!AG$930/100</f>
        <v>0.53</v>
      </c>
      <c r="AH930" s="145" t="s">
        <v>3047</v>
      </c>
      <c r="AI930" s="142">
        <f>B930*IBGE_2!AI$930/100</f>
        <v>333</v>
      </c>
      <c r="AJ930" s="142">
        <f>B930*IBGE_2!AJ$930/100</f>
        <v>15.5</v>
      </c>
      <c r="AK930" s="142" t="s">
        <v>3047</v>
      </c>
      <c r="AL930" s="142" t="s">
        <v>3047</v>
      </c>
      <c r="AM930" s="142" t="s">
        <v>3047</v>
      </c>
      <c r="AN930" s="161"/>
    </row>
    <row r="931" spans="1:40">
      <c r="A931" s="143" t="s">
        <v>1991</v>
      </c>
      <c r="B931" s="141">
        <v>100</v>
      </c>
      <c r="C931" s="142">
        <f>B931*IBGE_2!C$931/100</f>
        <v>271</v>
      </c>
      <c r="D931" s="142">
        <f>B931*IBGE_2!D$931/100</f>
        <v>24.1</v>
      </c>
      <c r="E931" s="142">
        <f>B931*IBGE_2!E$931/100</f>
        <v>18.600000000000001</v>
      </c>
      <c r="F931" s="142">
        <f>B931*IBGE_2!F$931/100</f>
        <v>6.4489999999999998</v>
      </c>
      <c r="G931" s="142">
        <f>B931*IBGE_2!G$931/100</f>
        <v>8.7590000000000003</v>
      </c>
      <c r="H931" s="142">
        <f>B931*IBGE_2!H$931/100</f>
        <v>1.93</v>
      </c>
      <c r="I931" s="142">
        <f>B931*IBGE_2!I$931/100</f>
        <v>1.84</v>
      </c>
      <c r="J931" s="142">
        <f>B931*IBGE_2!J$931/100</f>
        <v>0.09</v>
      </c>
      <c r="K931" s="142">
        <f>B931*IBGE_2!K$931/100</f>
        <v>146</v>
      </c>
      <c r="L931" s="142" t="s">
        <v>3047</v>
      </c>
      <c r="M931" s="142" t="s">
        <v>3047</v>
      </c>
      <c r="N931" s="142">
        <f>B931*IBGE_2!N$931/100</f>
        <v>19</v>
      </c>
      <c r="O931" s="142">
        <f>B931*IBGE_2!O$931/100</f>
        <v>20</v>
      </c>
      <c r="P931" s="142">
        <f>B931*IBGE_2!P$931/100</f>
        <v>0.01</v>
      </c>
      <c r="Q931" s="142">
        <f>B931*IBGE_2!Q$931/100</f>
        <v>174</v>
      </c>
      <c r="R931" s="142">
        <f>B931*IBGE_2!R$931/100</f>
        <v>4.99</v>
      </c>
      <c r="S931" s="142">
        <f>B931*IBGE_2!S$931/100</f>
        <v>109</v>
      </c>
      <c r="T931" s="142">
        <f>B931*IBGE_2!T$931/100</f>
        <v>237</v>
      </c>
      <c r="U931" s="142">
        <f>B931*IBGE_2!U$931/100</f>
        <v>0.11</v>
      </c>
      <c r="V931" s="142">
        <f>B931*IBGE_2!V$931/100</f>
        <v>4.53</v>
      </c>
      <c r="W931" s="142" t="s">
        <v>3047</v>
      </c>
      <c r="X931" s="142">
        <f>B931*IBGE_2!X$931/100</f>
        <v>0.317</v>
      </c>
      <c r="Y931" s="142">
        <f>B931*IBGE_2!Y$931/100</f>
        <v>0.51</v>
      </c>
      <c r="Z931" s="142">
        <f>B931*IBGE_2!Z$931/100</f>
        <v>0.23</v>
      </c>
      <c r="AA931" s="142">
        <f>B931*IBGE_2!AA$931/100</f>
        <v>5.34</v>
      </c>
      <c r="AB931" s="142">
        <f>B931*IBGE_2!AB$931/100</f>
        <v>1.7</v>
      </c>
      <c r="AC931" s="142">
        <f>B931*IBGE_2!AC$931/100</f>
        <v>9.9730000000000008</v>
      </c>
      <c r="AD931" s="142">
        <f>B931*IBGE_2!AD$931/100</f>
        <v>2.39</v>
      </c>
      <c r="AE931" s="142">
        <f>B931*IBGE_2!AE$931/100</f>
        <v>4</v>
      </c>
      <c r="AF931" s="145" t="s">
        <v>3047</v>
      </c>
      <c r="AG931" s="142">
        <f>B931*IBGE_2!AG$931/100</f>
        <v>0.53</v>
      </c>
      <c r="AH931" s="145" t="s">
        <v>3047</v>
      </c>
      <c r="AI931" s="142">
        <f>B931*IBGE_2!AI$931/100</f>
        <v>333</v>
      </c>
      <c r="AJ931" s="142">
        <f>B931*IBGE_2!AJ$931/100</f>
        <v>15.5</v>
      </c>
      <c r="AK931" s="142" t="s">
        <v>3047</v>
      </c>
      <c r="AL931" s="142" t="s">
        <v>3047</v>
      </c>
      <c r="AM931" s="142" t="s">
        <v>3047</v>
      </c>
      <c r="AN931" s="161"/>
    </row>
    <row r="932" spans="1:40">
      <c r="A932" s="143" t="s">
        <v>1992</v>
      </c>
      <c r="B932" s="141">
        <v>100</v>
      </c>
      <c r="C932" s="142">
        <f>B932*IBGE_2!C$932/100</f>
        <v>271</v>
      </c>
      <c r="D932" s="142">
        <f>B932*IBGE_2!D$932/100</f>
        <v>24.1</v>
      </c>
      <c r="E932" s="142">
        <f>B932*IBGE_2!E$932/100</f>
        <v>18.600000000000001</v>
      </c>
      <c r="F932" s="142">
        <f>B932*IBGE_2!F$932/100</f>
        <v>6.4489999999999998</v>
      </c>
      <c r="G932" s="142">
        <f>B932*IBGE_2!G$932/100</f>
        <v>8.7590000000000003</v>
      </c>
      <c r="H932" s="142">
        <f>B932*IBGE_2!H$932/100</f>
        <v>1.93</v>
      </c>
      <c r="I932" s="142">
        <f>B932*IBGE_2!I$932/100</f>
        <v>1.84</v>
      </c>
      <c r="J932" s="142">
        <f>B932*IBGE_2!J$932/100</f>
        <v>0.09</v>
      </c>
      <c r="K932" s="142">
        <f>B932*IBGE_2!K$932/100</f>
        <v>146</v>
      </c>
      <c r="L932" s="142" t="s">
        <v>3047</v>
      </c>
      <c r="M932" s="142" t="s">
        <v>3047</v>
      </c>
      <c r="N932" s="142">
        <f>B932*IBGE_2!N$932/100</f>
        <v>19</v>
      </c>
      <c r="O932" s="142">
        <f>B932*IBGE_2!O$932/100</f>
        <v>20</v>
      </c>
      <c r="P932" s="142">
        <f>B932*IBGE_2!P$932/100</f>
        <v>0.01</v>
      </c>
      <c r="Q932" s="142">
        <f>B932*IBGE_2!Q$932/100</f>
        <v>174</v>
      </c>
      <c r="R932" s="142">
        <f>B932*IBGE_2!R$932/100</f>
        <v>4.99</v>
      </c>
      <c r="S932" s="142">
        <f>B932*IBGE_2!S$932/100</f>
        <v>109</v>
      </c>
      <c r="T932" s="142">
        <f>B932*IBGE_2!T$932/100</f>
        <v>237</v>
      </c>
      <c r="U932" s="142">
        <f>B932*IBGE_2!U$932/100</f>
        <v>0.11</v>
      </c>
      <c r="V932" s="142">
        <f>B932*IBGE_2!V$932/100</f>
        <v>4.53</v>
      </c>
      <c r="W932" s="142" t="s">
        <v>3047</v>
      </c>
      <c r="X932" s="142">
        <f>B932*IBGE_2!X$932/100</f>
        <v>0.317</v>
      </c>
      <c r="Y932" s="142">
        <f>B932*IBGE_2!Y$932/100</f>
        <v>0.51</v>
      </c>
      <c r="Z932" s="142">
        <f>B932*IBGE_2!Z$932/100</f>
        <v>0.23</v>
      </c>
      <c r="AA932" s="142">
        <f>B932*IBGE_2!AA$932/100</f>
        <v>5.34</v>
      </c>
      <c r="AB932" s="142">
        <f>B932*IBGE_2!AB$932/100</f>
        <v>1.7</v>
      </c>
      <c r="AC932" s="142">
        <f>B932*IBGE_2!AC$932/100</f>
        <v>9.9730000000000008</v>
      </c>
      <c r="AD932" s="142">
        <f>B932*IBGE_2!AD$932/100</f>
        <v>2.39</v>
      </c>
      <c r="AE932" s="142">
        <f>B932*IBGE_2!AE$932/100</f>
        <v>4</v>
      </c>
      <c r="AF932" s="145" t="s">
        <v>3047</v>
      </c>
      <c r="AG932" s="142">
        <f>B932*IBGE_2!AG$932/100</f>
        <v>0.53</v>
      </c>
      <c r="AH932" s="145" t="s">
        <v>3047</v>
      </c>
      <c r="AI932" s="142">
        <f>B932*IBGE_2!AI$932/100</f>
        <v>333</v>
      </c>
      <c r="AJ932" s="142">
        <f>B932*IBGE_2!AJ$932/100</f>
        <v>15.5</v>
      </c>
      <c r="AK932" s="142" t="s">
        <v>3047</v>
      </c>
      <c r="AL932" s="142" t="s">
        <v>3047</v>
      </c>
      <c r="AM932" s="142" t="s">
        <v>3047</v>
      </c>
      <c r="AN932" s="161"/>
    </row>
    <row r="933" spans="1:40">
      <c r="A933" s="143" t="s">
        <v>1993</v>
      </c>
      <c r="B933" s="141">
        <v>100</v>
      </c>
      <c r="C933" s="142">
        <f>B933*IBGE_2!C$933/100</f>
        <v>293.65899999999999</v>
      </c>
      <c r="D933" s="142">
        <f>B933*IBGE_2!D$933/100</f>
        <v>24.1</v>
      </c>
      <c r="E933" s="142">
        <f>B933*IBGE_2!E$933/100</f>
        <v>21.163</v>
      </c>
      <c r="F933" s="142">
        <f>B933*IBGE_2!F$933/100</f>
        <v>6.85</v>
      </c>
      <c r="G933" s="142">
        <f>B933*IBGE_2!G$933/100</f>
        <v>9.343</v>
      </c>
      <c r="H933" s="142">
        <f>B933*IBGE_2!H$933/100</f>
        <v>3.41</v>
      </c>
      <c r="I933" s="142">
        <f>B933*IBGE_2!I$933/100</f>
        <v>3.1459999999999995</v>
      </c>
      <c r="J933" s="142">
        <f>B933*IBGE_2!J$933/100</f>
        <v>0.26400000000000001</v>
      </c>
      <c r="K933" s="142">
        <f>B933*IBGE_2!K$933/100</f>
        <v>146</v>
      </c>
      <c r="L933" s="142" t="s">
        <v>3047</v>
      </c>
      <c r="M933" s="142" t="s">
        <v>3047</v>
      </c>
      <c r="N933" s="142">
        <f>B933*IBGE_2!N$933/100</f>
        <v>19</v>
      </c>
      <c r="O933" s="142">
        <f>B933*IBGE_2!O$933/100</f>
        <v>20</v>
      </c>
      <c r="P933" s="142">
        <f>B933*IBGE_2!P$933/100</f>
        <v>0.01</v>
      </c>
      <c r="Q933" s="142">
        <f>B933*IBGE_2!Q$933/100</f>
        <v>174</v>
      </c>
      <c r="R933" s="142">
        <f>B933*IBGE_2!R$933/100</f>
        <v>4.9909999999999997</v>
      </c>
      <c r="S933" s="142">
        <f>B933*IBGE_2!S$933/100</f>
        <v>109</v>
      </c>
      <c r="T933" s="142">
        <f>B933*IBGE_2!T$933/100</f>
        <v>237</v>
      </c>
      <c r="U933" s="142">
        <f>B933*IBGE_2!U$933/100</f>
        <v>0.11</v>
      </c>
      <c r="V933" s="142">
        <f>B933*IBGE_2!V$933/100</f>
        <v>4.53</v>
      </c>
      <c r="W933" s="142" t="s">
        <v>3047</v>
      </c>
      <c r="X933" s="142">
        <f>B933*IBGE_2!X$933/100</f>
        <v>0.317</v>
      </c>
      <c r="Y933" s="142">
        <f>B933*IBGE_2!Y$933/100</f>
        <v>0.51</v>
      </c>
      <c r="Z933" s="142">
        <f>B933*IBGE_2!Z$933/100</f>
        <v>0.23</v>
      </c>
      <c r="AA933" s="142">
        <f>B933*IBGE_2!AA$933/100</f>
        <v>5.34</v>
      </c>
      <c r="AB933" s="142">
        <f>B933*IBGE_2!AB$933/100</f>
        <v>1.7</v>
      </c>
      <c r="AC933" s="142">
        <f>B933*IBGE_2!AC$933/100</f>
        <v>9.9730000000000008</v>
      </c>
      <c r="AD933" s="142">
        <f>B933*IBGE_2!AD$933/100</f>
        <v>2.39</v>
      </c>
      <c r="AE933" s="142">
        <f>B933*IBGE_2!AE$933/100</f>
        <v>4</v>
      </c>
      <c r="AF933" s="145" t="s">
        <v>3047</v>
      </c>
      <c r="AG933" s="142">
        <f>B933*IBGE_2!AG$933/100</f>
        <v>0.74</v>
      </c>
      <c r="AH933" s="142">
        <f>B933*IBGE_2!AH$933/100</f>
        <v>1.4000000000000002E-2</v>
      </c>
      <c r="AI933" s="142">
        <f>B933*IBGE_2!AI$933/100</f>
        <v>333</v>
      </c>
      <c r="AJ933" s="142">
        <f>B933*IBGE_2!AJ$933/100</f>
        <v>16.675000000000001</v>
      </c>
      <c r="AK933" s="142" t="s">
        <v>3047</v>
      </c>
      <c r="AL933" s="142" t="s">
        <v>3047</v>
      </c>
      <c r="AM933" s="142" t="s">
        <v>3047</v>
      </c>
      <c r="AN933" s="161"/>
    </row>
    <row r="934" spans="1:40">
      <c r="A934" s="143" t="s">
        <v>1994</v>
      </c>
      <c r="B934" s="141">
        <v>100</v>
      </c>
      <c r="C934" s="142">
        <f>B934*IBGE_2!C$934/100</f>
        <v>293.65899999999999</v>
      </c>
      <c r="D934" s="142">
        <f>B934*IBGE_2!D$934/100</f>
        <v>24.1</v>
      </c>
      <c r="E934" s="142">
        <f>B934*IBGE_2!E$934/100</f>
        <v>21.163</v>
      </c>
      <c r="F934" s="142">
        <f>B934*IBGE_2!F$934/100</f>
        <v>6.85</v>
      </c>
      <c r="G934" s="142">
        <f>B934*IBGE_2!G$934/100</f>
        <v>9.343</v>
      </c>
      <c r="H934" s="142">
        <f>B934*IBGE_2!H$934/100</f>
        <v>3.41</v>
      </c>
      <c r="I934" s="142">
        <f>B934*IBGE_2!I$934/100</f>
        <v>3.1459999999999995</v>
      </c>
      <c r="J934" s="142">
        <f>B934*IBGE_2!J$934/100</f>
        <v>0.26400000000000001</v>
      </c>
      <c r="K934" s="142">
        <f>B934*IBGE_2!K$934/100</f>
        <v>146</v>
      </c>
      <c r="L934" s="142" t="s">
        <v>3047</v>
      </c>
      <c r="M934" s="142" t="s">
        <v>3047</v>
      </c>
      <c r="N934" s="142">
        <f>B934*IBGE_2!N$934/100</f>
        <v>19</v>
      </c>
      <c r="O934" s="142">
        <f>B934*IBGE_2!O$934/100</f>
        <v>20</v>
      </c>
      <c r="P934" s="142">
        <f>B934*IBGE_2!P$934/100</f>
        <v>0.01</v>
      </c>
      <c r="Q934" s="142">
        <f>B934*IBGE_2!Q$934/100</f>
        <v>174</v>
      </c>
      <c r="R934" s="142">
        <f>B934*IBGE_2!R$934/100</f>
        <v>4.9909999999999997</v>
      </c>
      <c r="S934" s="142">
        <f>B934*IBGE_2!S$934/100</f>
        <v>109</v>
      </c>
      <c r="T934" s="142">
        <f>B934*IBGE_2!T$934/100</f>
        <v>237</v>
      </c>
      <c r="U934" s="142">
        <f>B934*IBGE_2!U$934/100</f>
        <v>0.11</v>
      </c>
      <c r="V934" s="142">
        <f>B934*IBGE_2!V$934/100</f>
        <v>4.53</v>
      </c>
      <c r="W934" s="142" t="s">
        <v>3047</v>
      </c>
      <c r="X934" s="142">
        <f>B934*IBGE_2!X$934/100</f>
        <v>0.317</v>
      </c>
      <c r="Y934" s="142">
        <f>B934*IBGE_2!Y$934/100</f>
        <v>0.51</v>
      </c>
      <c r="Z934" s="142">
        <f>B934*IBGE_2!Z$934/100</f>
        <v>0.23</v>
      </c>
      <c r="AA934" s="142">
        <f>B934*IBGE_2!AA$934/100</f>
        <v>5.34</v>
      </c>
      <c r="AB934" s="142">
        <f>B934*IBGE_2!AB$934/100</f>
        <v>1.7</v>
      </c>
      <c r="AC934" s="142">
        <f>B934*IBGE_2!AC$934/100</f>
        <v>9.9730000000000008</v>
      </c>
      <c r="AD934" s="142">
        <f>B934*IBGE_2!AD$934/100</f>
        <v>2.39</v>
      </c>
      <c r="AE934" s="142">
        <f>B934*IBGE_2!AE$934/100</f>
        <v>4</v>
      </c>
      <c r="AF934" s="145" t="s">
        <v>3047</v>
      </c>
      <c r="AG934" s="142">
        <f>B934*IBGE_2!AG$934/100</f>
        <v>0.74</v>
      </c>
      <c r="AH934" s="142">
        <f>B934*IBGE_2!AH$934/100</f>
        <v>1.4000000000000002E-2</v>
      </c>
      <c r="AI934" s="142">
        <f>B934*IBGE_2!AI$934/100</f>
        <v>333</v>
      </c>
      <c r="AJ934" s="142">
        <f>B934*IBGE_2!AJ$934/100</f>
        <v>16.675000000000001</v>
      </c>
      <c r="AK934" s="145" t="s">
        <v>3047</v>
      </c>
      <c r="AL934" s="142" t="s">
        <v>3047</v>
      </c>
      <c r="AM934" s="142" t="s">
        <v>3047</v>
      </c>
      <c r="AN934" s="161"/>
    </row>
    <row r="935" spans="1:40">
      <c r="A935" s="143" t="s">
        <v>1995</v>
      </c>
      <c r="B935" s="141">
        <v>100</v>
      </c>
      <c r="C935" s="142">
        <f>B935*IBGE_2!C$935/100</f>
        <v>214</v>
      </c>
      <c r="D935" s="142">
        <f>B935*IBGE_2!D$935/100</f>
        <v>28.81</v>
      </c>
      <c r="E935" s="142">
        <f>B935*IBGE_2!E$935/100</f>
        <v>10.130000000000001</v>
      </c>
      <c r="F935" s="142">
        <f>B935*IBGE_2!F$935/100</f>
        <v>3.54</v>
      </c>
      <c r="G935" s="142">
        <f>B935*IBGE_2!G$935/100</f>
        <v>4.49</v>
      </c>
      <c r="H935" s="142">
        <f>B935*IBGE_2!H$935/100</f>
        <v>0.85</v>
      </c>
      <c r="I935" s="142">
        <f>B935*IBGE_2!I$935/100</f>
        <v>0.73</v>
      </c>
      <c r="J935" s="142">
        <f>B935*IBGE_2!J$935/100</f>
        <v>0.02</v>
      </c>
      <c r="K935" s="142">
        <f>B935*IBGE_2!K$935/100</f>
        <v>83</v>
      </c>
      <c r="L935" s="142" t="s">
        <v>3047</v>
      </c>
      <c r="M935" s="142" t="s">
        <v>3047</v>
      </c>
      <c r="N935" s="142">
        <f>B935*IBGE_2!N$935/100</f>
        <v>6</v>
      </c>
      <c r="O935" s="142">
        <f>B935*IBGE_2!O$935/100</f>
        <v>24</v>
      </c>
      <c r="P935" s="142">
        <f>B935*IBGE_2!P$935/100</f>
        <v>1.0999999999999999E-2</v>
      </c>
      <c r="Q935" s="142">
        <f>B935*IBGE_2!Q$935/100</f>
        <v>222</v>
      </c>
      <c r="R935" s="142">
        <f>B935*IBGE_2!R$935/100</f>
        <v>1</v>
      </c>
      <c r="S935" s="142">
        <f>B935*IBGE_2!S$935/100</f>
        <v>50</v>
      </c>
      <c r="T935" s="142">
        <f>B935*IBGE_2!T$935/100</f>
        <v>363</v>
      </c>
      <c r="U935" s="142">
        <f>B935*IBGE_2!U$935/100</f>
        <v>1.2E-2</v>
      </c>
      <c r="V935" s="142">
        <f>B935*IBGE_2!V$935/100</f>
        <v>2.83</v>
      </c>
      <c r="W935" s="142">
        <f>B935*IBGE_2!W$935/100</f>
        <v>2</v>
      </c>
      <c r="X935" s="142">
        <f>B935*IBGE_2!X$935/100</f>
        <v>0.63900000000000001</v>
      </c>
      <c r="Y935" s="142">
        <f>B935*IBGE_2!Y$935/100</f>
        <v>0.312</v>
      </c>
      <c r="Z935" s="142">
        <f>B935*IBGE_2!Z$935/100</f>
        <v>0.4</v>
      </c>
      <c r="AA935" s="142">
        <f>B935*IBGE_2!AA$935/100</f>
        <v>5.3550000000000004</v>
      </c>
      <c r="AB935" s="142">
        <f>B935*IBGE_2!AB$935/100</f>
        <v>0.4</v>
      </c>
      <c r="AC935" s="142">
        <f>B935*IBGE_2!AC$935/100</f>
        <v>11.455</v>
      </c>
      <c r="AD935" s="142">
        <f>B935*IBGE_2!AD$935/100</f>
        <v>0.55000000000000004</v>
      </c>
      <c r="AE935" s="142">
        <f>B935*IBGE_2!AE$935/100</f>
        <v>9</v>
      </c>
      <c r="AF935" s="142">
        <f>B935*IBGE_2!AF$935/100</f>
        <v>0.8</v>
      </c>
      <c r="AG935" s="142">
        <f>B935*IBGE_2!AG$935/100</f>
        <v>0.32</v>
      </c>
      <c r="AH935" s="142">
        <f>B935*IBGE_2!AH$935/100</f>
        <v>0.03</v>
      </c>
      <c r="AI935" s="142">
        <f>B935*IBGE_2!AI$935/100</f>
        <v>333</v>
      </c>
      <c r="AJ935" s="142">
        <f>B935*IBGE_2!AJ$935/100</f>
        <v>43.2</v>
      </c>
      <c r="AK935" s="142">
        <f>B935*IBGE_2!AK$935/100</f>
        <v>2</v>
      </c>
      <c r="AL935" s="142" t="s">
        <v>3047</v>
      </c>
      <c r="AM935" s="142" t="s">
        <v>3047</v>
      </c>
      <c r="AN935" s="161"/>
    </row>
    <row r="936" spans="1:40">
      <c r="A936" s="143" t="s">
        <v>1996</v>
      </c>
      <c r="B936" s="141">
        <v>100</v>
      </c>
      <c r="C936" s="142">
        <f>B936*IBGE_2!C$936/100</f>
        <v>100.041</v>
      </c>
      <c r="D936" s="142">
        <f>B936*IBGE_2!D$936/100</f>
        <v>13.982999999999999</v>
      </c>
      <c r="E936" s="142">
        <f>B936*IBGE_2!E$936/100</f>
        <v>2.9630000000000001</v>
      </c>
      <c r="F936" s="142">
        <f>B936*IBGE_2!F$936/100</f>
        <v>0.89900000000000002</v>
      </c>
      <c r="G936" s="142">
        <f>B936*IBGE_2!G$936/100</f>
        <v>0.626</v>
      </c>
      <c r="H936" s="142">
        <f>B936*IBGE_2!H$936/100</f>
        <v>0.86</v>
      </c>
      <c r="I936" s="142">
        <f>B936*IBGE_2!I$936/100</f>
        <v>0.34699999999999998</v>
      </c>
      <c r="J936" s="142">
        <f>B936*IBGE_2!J$936/100</f>
        <v>6.0000000000000001E-3</v>
      </c>
      <c r="K936" s="142">
        <f>B936*IBGE_2!K$936/100</f>
        <v>265.67700000000002</v>
      </c>
      <c r="L936" s="142">
        <f>B936*IBGE_2!L$936/100</f>
        <v>4.18</v>
      </c>
      <c r="M936" s="142">
        <f>B936*IBGE_2!M$936/100</f>
        <v>0.621</v>
      </c>
      <c r="N936" s="142">
        <f>B936*IBGE_2!N$936/100</f>
        <v>15.865</v>
      </c>
      <c r="O936" s="142">
        <f>B936*IBGE_2!O$936/100</f>
        <v>15.946999999999997</v>
      </c>
      <c r="P936" s="142">
        <f>B936*IBGE_2!P$936/100</f>
        <v>0.222</v>
      </c>
      <c r="Q936" s="142">
        <f>B936*IBGE_2!Q$936/100</f>
        <v>195.69399999999999</v>
      </c>
      <c r="R936" s="142">
        <f>B936*IBGE_2!R$936/100</f>
        <v>5.1870000000000003</v>
      </c>
      <c r="S936" s="142">
        <f>B936*IBGE_2!S$936/100</f>
        <v>340.83499999999998</v>
      </c>
      <c r="T936" s="142">
        <f>B936*IBGE_2!T$936/100</f>
        <v>224.90899999999999</v>
      </c>
      <c r="U936" s="142">
        <f>B936*IBGE_2!U$936/100</f>
        <v>0.254</v>
      </c>
      <c r="V936" s="142">
        <f>B936*IBGE_2!V$936/100</f>
        <v>2.202</v>
      </c>
      <c r="W936" s="142">
        <f>B936*IBGE_2!W$936/100</f>
        <v>1539.8710000000001</v>
      </c>
      <c r="X936" s="142">
        <f>B936*IBGE_2!X$936/100</f>
        <v>0.14199999999999999</v>
      </c>
      <c r="Y936" s="142">
        <f>B936*IBGE_2!Y$936/100</f>
        <v>0.81299999999999994</v>
      </c>
      <c r="Z936" s="142">
        <f>B936*IBGE_2!Z$936/100</f>
        <v>0.39</v>
      </c>
      <c r="AA936" s="142">
        <f>B936*IBGE_2!AA$936/100</f>
        <v>4.9000000000000004</v>
      </c>
      <c r="AB936" s="142">
        <f>B936*IBGE_2!AB$936/100</f>
        <v>34.222999999999999</v>
      </c>
      <c r="AC936" s="142">
        <f>B936*IBGE_2!AC$936/100</f>
        <v>7.3630000000000004</v>
      </c>
      <c r="AD936" s="142">
        <f>B936*IBGE_2!AD$936/100</f>
        <v>6.657</v>
      </c>
      <c r="AE936" s="142">
        <f>B936*IBGE_2!AE$936/100</f>
        <v>232.50899999999999</v>
      </c>
      <c r="AF936" s="142">
        <f>B936*IBGE_2!AF$936/100</f>
        <v>0.10299999999999999</v>
      </c>
      <c r="AG936" s="142">
        <f>B936*IBGE_2!AG$936/100</f>
        <v>0.57599999999999996</v>
      </c>
      <c r="AH936" s="142">
        <f>B936*IBGE_2!AH$936/100</f>
        <v>5.2000000000000005E-2</v>
      </c>
      <c r="AI936" s="145" t="s">
        <v>3047</v>
      </c>
      <c r="AJ936" s="142">
        <f>B936*IBGE_2!AJ$936/100</f>
        <v>37.481999999999999</v>
      </c>
      <c r="AK936" s="142">
        <f>B936*IBGE_2!AK$936/100</f>
        <v>1553.6020000000001</v>
      </c>
      <c r="AL936" s="142">
        <f>B936*IBGE_2!AL$936/100</f>
        <v>1.952</v>
      </c>
      <c r="AM936" s="142" t="s">
        <v>3047</v>
      </c>
      <c r="AN936" s="161"/>
    </row>
    <row r="937" spans="1:40">
      <c r="A937" s="143" t="s">
        <v>1997</v>
      </c>
      <c r="B937" s="141">
        <v>100</v>
      </c>
      <c r="C937" s="142">
        <f>B937*IBGE_2!C$937/100</f>
        <v>214</v>
      </c>
      <c r="D937" s="142">
        <f>B937*IBGE_2!D$937/100</f>
        <v>28.81</v>
      </c>
      <c r="E937" s="142">
        <f>B937*IBGE_2!E$937/100</f>
        <v>10.130000000000001</v>
      </c>
      <c r="F937" s="142">
        <f>B937*IBGE_2!F$937/100</f>
        <v>3.54</v>
      </c>
      <c r="G937" s="142">
        <f>B937*IBGE_2!G$937/100</f>
        <v>4.49</v>
      </c>
      <c r="H937" s="142">
        <f>B937*IBGE_2!H$937/100</f>
        <v>0.85</v>
      </c>
      <c r="I937" s="142">
        <f>B937*IBGE_2!I$937/100</f>
        <v>0.73</v>
      </c>
      <c r="J937" s="142">
        <f>B937*IBGE_2!J$937/100</f>
        <v>0.02</v>
      </c>
      <c r="K937" s="142">
        <f>B937*IBGE_2!K$937/100</f>
        <v>83</v>
      </c>
      <c r="L937" s="142" t="s">
        <v>3047</v>
      </c>
      <c r="M937" s="142" t="s">
        <v>3047</v>
      </c>
      <c r="N937" s="142">
        <f>B937*IBGE_2!N$937/100</f>
        <v>6</v>
      </c>
      <c r="O937" s="142">
        <f>B937*IBGE_2!O$937/100</f>
        <v>24</v>
      </c>
      <c r="P937" s="142">
        <f>B937*IBGE_2!P$937/100</f>
        <v>1.0999999999999999E-2</v>
      </c>
      <c r="Q937" s="142">
        <f>B937*IBGE_2!Q$937/100</f>
        <v>222</v>
      </c>
      <c r="R937" s="142">
        <f>B937*IBGE_2!R$937/100</f>
        <v>1</v>
      </c>
      <c r="S937" s="142">
        <f>B937*IBGE_2!S$937/100</f>
        <v>50</v>
      </c>
      <c r="T937" s="142">
        <f>B937*IBGE_2!T$937/100</f>
        <v>363</v>
      </c>
      <c r="U937" s="142">
        <f>B937*IBGE_2!U$937/100</f>
        <v>1.2E-2</v>
      </c>
      <c r="V937" s="142">
        <f>B937*IBGE_2!V$937/100</f>
        <v>2.83</v>
      </c>
      <c r="W937" s="142">
        <f>B937*IBGE_2!W$937/100</f>
        <v>2</v>
      </c>
      <c r="X937" s="142">
        <f>B937*IBGE_2!X$937/100</f>
        <v>0.63900000000000001</v>
      </c>
      <c r="Y937" s="142">
        <f>B937*IBGE_2!Y$937/100</f>
        <v>0.312</v>
      </c>
      <c r="Z937" s="142">
        <f>B937*IBGE_2!Z$937/100</f>
        <v>0.4</v>
      </c>
      <c r="AA937" s="142">
        <f>B937*IBGE_2!AA$937/100</f>
        <v>5.3550000000000004</v>
      </c>
      <c r="AB937" s="142">
        <f>B937*IBGE_2!AB$937/100</f>
        <v>0.4</v>
      </c>
      <c r="AC937" s="142">
        <f>B937*IBGE_2!AC$937/100</f>
        <v>11.455</v>
      </c>
      <c r="AD937" s="142">
        <f>B937*IBGE_2!AD$937/100</f>
        <v>0.55000000000000004</v>
      </c>
      <c r="AE937" s="142">
        <f>B937*IBGE_2!AE$937/100</f>
        <v>9</v>
      </c>
      <c r="AF937" s="142">
        <f>B937*IBGE_2!AF$937/100</f>
        <v>0.8</v>
      </c>
      <c r="AG937" s="142">
        <f>B937*IBGE_2!AG$937/100</f>
        <v>0.32</v>
      </c>
      <c r="AH937" s="142">
        <f>B937*IBGE_2!AH$937/100</f>
        <v>0.03</v>
      </c>
      <c r="AI937" s="142">
        <f>B937*IBGE_2!AI$937/100</f>
        <v>333</v>
      </c>
      <c r="AJ937" s="142">
        <f>B937*IBGE_2!AJ$937/100</f>
        <v>43.2</v>
      </c>
      <c r="AK937" s="142">
        <f>B937*IBGE_2!AK$937/100</f>
        <v>2</v>
      </c>
      <c r="AL937" s="142" t="s">
        <v>3047</v>
      </c>
      <c r="AM937" s="142" t="s">
        <v>3047</v>
      </c>
      <c r="AN937" s="161"/>
    </row>
    <row r="938" spans="1:40">
      <c r="A938" s="143" t="s">
        <v>1998</v>
      </c>
      <c r="B938" s="141">
        <v>100</v>
      </c>
      <c r="C938" s="142">
        <f>B938*IBGE_2!C$938/100</f>
        <v>143</v>
      </c>
      <c r="D938" s="142">
        <f>B938*IBGE_2!D$938/100</f>
        <v>27.1</v>
      </c>
      <c r="E938" s="142">
        <f>B938*IBGE_2!E$938/100</f>
        <v>3.03</v>
      </c>
      <c r="F938" s="142">
        <f>B938*IBGE_2!F$938/100</f>
        <v>0.93</v>
      </c>
      <c r="G938" s="142">
        <f>B938*IBGE_2!G$938/100</f>
        <v>1.36</v>
      </c>
      <c r="H938" s="142">
        <f>B938*IBGE_2!H$938/100</f>
        <v>0.23</v>
      </c>
      <c r="I938" s="142">
        <f>B938*IBGE_2!I$938/100</f>
        <v>0.13</v>
      </c>
      <c r="J938" s="142">
        <f>B938*IBGE_2!J$938/100</f>
        <v>0.02</v>
      </c>
      <c r="K938" s="142">
        <f>B938*IBGE_2!K$938/100</f>
        <v>75</v>
      </c>
      <c r="L938" s="142" t="s">
        <v>3047</v>
      </c>
      <c r="M938" s="142" t="s">
        <v>3047</v>
      </c>
      <c r="N938" s="142">
        <f>B938*IBGE_2!N$938/100</f>
        <v>17</v>
      </c>
      <c r="O938" s="142" t="s">
        <v>3047</v>
      </c>
      <c r="P938" s="142">
        <f>B938*IBGE_2!P$938/100</f>
        <v>4.2000000000000003E-2</v>
      </c>
      <c r="Q938" s="142">
        <f>B938*IBGE_2!Q$938/100</f>
        <v>201</v>
      </c>
      <c r="R938" s="142">
        <f>B938*IBGE_2!R$938/100</f>
        <v>3.73</v>
      </c>
      <c r="S938" s="142">
        <f>B938*IBGE_2!S$938/100</f>
        <v>86</v>
      </c>
      <c r="T938" s="142">
        <f>B938*IBGE_2!T$938/100</f>
        <v>405</v>
      </c>
      <c r="U938" s="142">
        <f>B938*IBGE_2!U$938/100</f>
        <v>0.30299999999999999</v>
      </c>
      <c r="V938" s="142">
        <f>B938*IBGE_2!V$938/100</f>
        <v>5.27</v>
      </c>
      <c r="W938" s="142" t="s">
        <v>3047</v>
      </c>
      <c r="X938" s="142">
        <f>B938*IBGE_2!X$938/100</f>
        <v>0.09</v>
      </c>
      <c r="Y938" s="142">
        <f>B938*IBGE_2!Y$938/100</f>
        <v>0.61</v>
      </c>
      <c r="Z938" s="142" t="s">
        <v>3047</v>
      </c>
      <c r="AA938" s="142">
        <f>B938*IBGE_2!AA$938/100</f>
        <v>3.95</v>
      </c>
      <c r="AB938" s="142" t="s">
        <v>3047</v>
      </c>
      <c r="AC938" s="142">
        <f>B938*IBGE_2!AC$938/100</f>
        <v>10.667</v>
      </c>
      <c r="AD938" s="142">
        <f>B938*IBGE_2!AD$938/100</f>
        <v>1.19</v>
      </c>
      <c r="AE938" s="142">
        <f>B938*IBGE_2!AE$938/100</f>
        <v>5</v>
      </c>
      <c r="AF938" s="142" t="s">
        <v>3047</v>
      </c>
      <c r="AG938" s="142">
        <f>B938*IBGE_2!AG$938/100</f>
        <v>0.34</v>
      </c>
      <c r="AH938" s="142">
        <f>B938*IBGE_2!AH$938/100</f>
        <v>0.09</v>
      </c>
      <c r="AI938" s="142">
        <f>B938*IBGE_2!AI$938/100</f>
        <v>333</v>
      </c>
      <c r="AJ938" s="142">
        <f>B938*IBGE_2!AJ$938/100</f>
        <v>11.8</v>
      </c>
      <c r="AK938" s="142" t="s">
        <v>3047</v>
      </c>
      <c r="AL938" s="142" t="s">
        <v>3047</v>
      </c>
      <c r="AM938" s="142" t="s">
        <v>3047</v>
      </c>
      <c r="AN938" s="161"/>
    </row>
    <row r="939" spans="1:40">
      <c r="A939" s="143" t="s">
        <v>1999</v>
      </c>
      <c r="B939" s="141">
        <v>100</v>
      </c>
      <c r="C939" s="142">
        <f>B939*IBGE_2!C$939/100</f>
        <v>143</v>
      </c>
      <c r="D939" s="142">
        <f>B939*IBGE_2!D$939/100</f>
        <v>27.1</v>
      </c>
      <c r="E939" s="142">
        <f>B939*IBGE_2!E$939/100</f>
        <v>3.03</v>
      </c>
      <c r="F939" s="142">
        <f>B939*IBGE_2!F$939/100</f>
        <v>0.93</v>
      </c>
      <c r="G939" s="142">
        <f>B939*IBGE_2!G$939/100</f>
        <v>1.36</v>
      </c>
      <c r="H939" s="142">
        <f>B939*IBGE_2!H$939/100</f>
        <v>0.23</v>
      </c>
      <c r="I939" s="142">
        <f>B939*IBGE_2!I$939/100</f>
        <v>0.13</v>
      </c>
      <c r="J939" s="142">
        <f>B939*IBGE_2!J$939/100</f>
        <v>0.02</v>
      </c>
      <c r="K939" s="142">
        <f>B939*IBGE_2!K$939/100</f>
        <v>75</v>
      </c>
      <c r="L939" s="142" t="s">
        <v>3047</v>
      </c>
      <c r="M939" s="142" t="s">
        <v>3047</v>
      </c>
      <c r="N939" s="142">
        <f>B939*IBGE_2!N$939/100</f>
        <v>17</v>
      </c>
      <c r="O939" s="142" t="s">
        <v>3047</v>
      </c>
      <c r="P939" s="142">
        <f>B939*IBGE_2!P$939/100</f>
        <v>4.2000000000000003E-2</v>
      </c>
      <c r="Q939" s="142">
        <f>B939*IBGE_2!Q$939/100</f>
        <v>201</v>
      </c>
      <c r="R939" s="142">
        <f>B939*IBGE_2!R$939/100</f>
        <v>3.73</v>
      </c>
      <c r="S939" s="142">
        <f>B939*IBGE_2!S$939/100</f>
        <v>86</v>
      </c>
      <c r="T939" s="142">
        <f>B939*IBGE_2!T$939/100</f>
        <v>405</v>
      </c>
      <c r="U939" s="142">
        <f>B939*IBGE_2!U$939/100</f>
        <v>0.30299999999999999</v>
      </c>
      <c r="V939" s="142">
        <f>B939*IBGE_2!V$939/100</f>
        <v>5.27</v>
      </c>
      <c r="W939" s="142" t="s">
        <v>3047</v>
      </c>
      <c r="X939" s="142">
        <f>B939*IBGE_2!X$939/100</f>
        <v>0.09</v>
      </c>
      <c r="Y939" s="142">
        <f>B939*IBGE_2!Y$939/100</f>
        <v>0.61</v>
      </c>
      <c r="Z939" s="142" t="s">
        <v>3047</v>
      </c>
      <c r="AA939" s="142">
        <f>B939*IBGE_2!AA$939/100</f>
        <v>3.95</v>
      </c>
      <c r="AB939" s="142" t="s">
        <v>3047</v>
      </c>
      <c r="AC939" s="142">
        <f>B939*IBGE_2!AC$939/100</f>
        <v>10.667</v>
      </c>
      <c r="AD939" s="142">
        <f>B939*IBGE_2!AD$939/100</f>
        <v>1.19</v>
      </c>
      <c r="AE939" s="142">
        <f>B939*IBGE_2!AE$939/100</f>
        <v>5</v>
      </c>
      <c r="AF939" s="142" t="s">
        <v>3047</v>
      </c>
      <c r="AG939" s="142">
        <f>B939*IBGE_2!AG$939/100</f>
        <v>0.34</v>
      </c>
      <c r="AH939" s="142">
        <f>B939*IBGE_2!AH$939/100</f>
        <v>0.09</v>
      </c>
      <c r="AI939" s="142">
        <f>B939*IBGE_2!AI$939/100</f>
        <v>333</v>
      </c>
      <c r="AJ939" s="142">
        <f>B939*IBGE_2!AJ$939/100</f>
        <v>11.8</v>
      </c>
      <c r="AK939" s="142" t="s">
        <v>3047</v>
      </c>
      <c r="AL939" s="142" t="s">
        <v>3047</v>
      </c>
      <c r="AM939" s="142" t="s">
        <v>3047</v>
      </c>
      <c r="AN939" s="161"/>
    </row>
    <row r="940" spans="1:40">
      <c r="A940" s="143" t="s">
        <v>2000</v>
      </c>
      <c r="B940" s="141">
        <v>100</v>
      </c>
      <c r="C940" s="142">
        <f>B940*IBGE_2!C$940/100</f>
        <v>143</v>
      </c>
      <c r="D940" s="142">
        <f>B940*IBGE_2!D$940/100</f>
        <v>27.1</v>
      </c>
      <c r="E940" s="142">
        <f>B940*IBGE_2!E$940/100</f>
        <v>3.03</v>
      </c>
      <c r="F940" s="142">
        <f>B940*IBGE_2!F$940/100</f>
        <v>0.93</v>
      </c>
      <c r="G940" s="142">
        <f>B940*IBGE_2!G$940/100</f>
        <v>1.36</v>
      </c>
      <c r="H940" s="142">
        <f>B940*IBGE_2!H$940/100</f>
        <v>0.23</v>
      </c>
      <c r="I940" s="142">
        <f>B940*IBGE_2!I$940/100</f>
        <v>0.13</v>
      </c>
      <c r="J940" s="142">
        <f>B940*IBGE_2!J$940/100</f>
        <v>0.02</v>
      </c>
      <c r="K940" s="142">
        <f>B940*IBGE_2!K$940/100</f>
        <v>75</v>
      </c>
      <c r="L940" s="142" t="s">
        <v>3047</v>
      </c>
      <c r="M940" s="142" t="s">
        <v>3047</v>
      </c>
      <c r="N940" s="142">
        <f>B940*IBGE_2!N$940/100</f>
        <v>17</v>
      </c>
      <c r="O940" s="142" t="s">
        <v>3047</v>
      </c>
      <c r="P940" s="142">
        <f>B940*IBGE_2!P$940/100</f>
        <v>4.2000000000000003E-2</v>
      </c>
      <c r="Q940" s="142">
        <f>B940*IBGE_2!Q$940/100</f>
        <v>201</v>
      </c>
      <c r="R940" s="142">
        <f>B940*IBGE_2!R$940/100</f>
        <v>3.73</v>
      </c>
      <c r="S940" s="142">
        <f>B940*IBGE_2!S$940/100</f>
        <v>86</v>
      </c>
      <c r="T940" s="142">
        <f>B940*IBGE_2!T$940/100</f>
        <v>405</v>
      </c>
      <c r="U940" s="142">
        <f>B940*IBGE_2!U$940/100</f>
        <v>0.30299999999999999</v>
      </c>
      <c r="V940" s="142">
        <f>B940*IBGE_2!V$940/100</f>
        <v>5.27</v>
      </c>
      <c r="W940" s="142" t="s">
        <v>3047</v>
      </c>
      <c r="X940" s="142">
        <f>B940*IBGE_2!X$940/100</f>
        <v>0.09</v>
      </c>
      <c r="Y940" s="142">
        <f>B940*IBGE_2!Y$940/100</f>
        <v>0.61</v>
      </c>
      <c r="Z940" s="142" t="s">
        <v>3047</v>
      </c>
      <c r="AA940" s="142">
        <f>B940*IBGE_2!AA$940/100</f>
        <v>3.95</v>
      </c>
      <c r="AB940" s="142" t="s">
        <v>3047</v>
      </c>
      <c r="AC940" s="142">
        <f>B940*IBGE_2!AC$940/100</f>
        <v>10.667</v>
      </c>
      <c r="AD940" s="142">
        <f>B940*IBGE_2!AD$940/100</f>
        <v>1.19</v>
      </c>
      <c r="AE940" s="142">
        <f>B940*IBGE_2!AE$940/100</f>
        <v>5</v>
      </c>
      <c r="AF940" s="142" t="s">
        <v>3047</v>
      </c>
      <c r="AG940" s="142">
        <f>B940*IBGE_2!AG$940/100</f>
        <v>0.34</v>
      </c>
      <c r="AH940" s="142">
        <f>B940*IBGE_2!AH$940/100</f>
        <v>0.09</v>
      </c>
      <c r="AI940" s="142">
        <f>B940*IBGE_2!AI$940/100</f>
        <v>333</v>
      </c>
      <c r="AJ940" s="142">
        <f>B940*IBGE_2!AJ$940/100</f>
        <v>11.8</v>
      </c>
      <c r="AK940" s="142" t="s">
        <v>3047</v>
      </c>
      <c r="AL940" s="142" t="s">
        <v>3047</v>
      </c>
      <c r="AM940" s="142" t="s">
        <v>3047</v>
      </c>
      <c r="AN940" s="161"/>
    </row>
    <row r="941" spans="1:40">
      <c r="A941" s="143" t="s">
        <v>2001</v>
      </c>
      <c r="B941" s="141">
        <v>100</v>
      </c>
      <c r="C941" s="142">
        <f>B941*IBGE_2!C$941/100</f>
        <v>143</v>
      </c>
      <c r="D941" s="142">
        <f>B941*IBGE_2!D$941/100</f>
        <v>27.1</v>
      </c>
      <c r="E941" s="142">
        <f>B941*IBGE_2!E$941/100</f>
        <v>3.03</v>
      </c>
      <c r="F941" s="142">
        <f>B941*IBGE_2!F$941/100</f>
        <v>0.93</v>
      </c>
      <c r="G941" s="142">
        <f>B941*IBGE_2!G$941/100</f>
        <v>1.36</v>
      </c>
      <c r="H941" s="142">
        <f>B941*IBGE_2!H$941/100</f>
        <v>0.23</v>
      </c>
      <c r="I941" s="142">
        <f>B941*IBGE_2!I$941/100</f>
        <v>0.13</v>
      </c>
      <c r="J941" s="142">
        <f>B941*IBGE_2!J$941/100</f>
        <v>0.02</v>
      </c>
      <c r="K941" s="142">
        <f>B941*IBGE_2!K$941/100</f>
        <v>75</v>
      </c>
      <c r="L941" s="142" t="s">
        <v>3047</v>
      </c>
      <c r="M941" s="142" t="s">
        <v>3047</v>
      </c>
      <c r="N941" s="142">
        <f>B941*IBGE_2!N$941/100</f>
        <v>17</v>
      </c>
      <c r="O941" s="142" t="s">
        <v>3047</v>
      </c>
      <c r="P941" s="142">
        <f>B941*IBGE_2!P$941/100</f>
        <v>4.2000000000000003E-2</v>
      </c>
      <c r="Q941" s="142">
        <f>B941*IBGE_2!Q$941/100</f>
        <v>201</v>
      </c>
      <c r="R941" s="142">
        <f>B941*IBGE_2!R$941/100</f>
        <v>3.73</v>
      </c>
      <c r="S941" s="142">
        <f>B941*IBGE_2!S$941/100</f>
        <v>86</v>
      </c>
      <c r="T941" s="142">
        <f>B941*IBGE_2!T$941/100</f>
        <v>405</v>
      </c>
      <c r="U941" s="142">
        <f>B941*IBGE_2!U$941/100</f>
        <v>0.30299999999999999</v>
      </c>
      <c r="V941" s="142">
        <f>B941*IBGE_2!V$941/100</f>
        <v>5.27</v>
      </c>
      <c r="W941" s="142" t="s">
        <v>3047</v>
      </c>
      <c r="X941" s="142">
        <f>B941*IBGE_2!X$941/100</f>
        <v>0.09</v>
      </c>
      <c r="Y941" s="142">
        <f>B941*IBGE_2!Y$941/100</f>
        <v>0.61</v>
      </c>
      <c r="Z941" s="142" t="s">
        <v>3047</v>
      </c>
      <c r="AA941" s="142">
        <f>B941*IBGE_2!AA$941/100</f>
        <v>3.95</v>
      </c>
      <c r="AB941" s="142" t="s">
        <v>3047</v>
      </c>
      <c r="AC941" s="142">
        <f>B941*IBGE_2!AC$941/100</f>
        <v>10.667</v>
      </c>
      <c r="AD941" s="142">
        <f>B941*IBGE_2!AD$941/100</f>
        <v>1.19</v>
      </c>
      <c r="AE941" s="142">
        <f>B941*IBGE_2!AE$941/100</f>
        <v>5</v>
      </c>
      <c r="AF941" s="142" t="s">
        <v>3047</v>
      </c>
      <c r="AG941" s="142">
        <f>B941*IBGE_2!AG$941/100</f>
        <v>0.34</v>
      </c>
      <c r="AH941" s="142">
        <f>B941*IBGE_2!AH$941/100</f>
        <v>0.09</v>
      </c>
      <c r="AI941" s="142">
        <f>B941*IBGE_2!AI$941/100</f>
        <v>333</v>
      </c>
      <c r="AJ941" s="142">
        <f>B941*IBGE_2!AJ$941/100</f>
        <v>11.8</v>
      </c>
      <c r="AK941" s="142" t="s">
        <v>3047</v>
      </c>
      <c r="AL941" s="142" t="s">
        <v>3047</v>
      </c>
      <c r="AM941" s="142" t="s">
        <v>3047</v>
      </c>
      <c r="AN941" s="161"/>
    </row>
    <row r="942" spans="1:40">
      <c r="A942" s="143" t="s">
        <v>2002</v>
      </c>
      <c r="B942" s="141">
        <v>100</v>
      </c>
      <c r="C942" s="142">
        <f>B942*IBGE_2!C$942/100</f>
        <v>143</v>
      </c>
      <c r="D942" s="142">
        <f>B942*IBGE_2!D$942/100</f>
        <v>27.1</v>
      </c>
      <c r="E942" s="142">
        <f>B942*IBGE_2!E$942/100</f>
        <v>3.03</v>
      </c>
      <c r="F942" s="142">
        <f>B942*IBGE_2!F$942/100</f>
        <v>0.93</v>
      </c>
      <c r="G942" s="142">
        <f>B942*IBGE_2!G$942/100</f>
        <v>1.36</v>
      </c>
      <c r="H942" s="142">
        <f>B942*IBGE_2!H$942/100</f>
        <v>0.23</v>
      </c>
      <c r="I942" s="142">
        <f>B942*IBGE_2!I$942/100</f>
        <v>0.13</v>
      </c>
      <c r="J942" s="142">
        <f>B942*IBGE_2!J$942/100</f>
        <v>0.02</v>
      </c>
      <c r="K942" s="142">
        <f>B942*IBGE_2!K$942/100</f>
        <v>75</v>
      </c>
      <c r="L942" s="142" t="s">
        <v>3047</v>
      </c>
      <c r="M942" s="142" t="s">
        <v>3047</v>
      </c>
      <c r="N942" s="142">
        <f>B942*IBGE_2!N$942/100</f>
        <v>17</v>
      </c>
      <c r="O942" s="142" t="s">
        <v>3047</v>
      </c>
      <c r="P942" s="142">
        <f>B942*IBGE_2!P$942/100</f>
        <v>4.2000000000000003E-2</v>
      </c>
      <c r="Q942" s="142">
        <f>B942*IBGE_2!Q$942/100</f>
        <v>201</v>
      </c>
      <c r="R942" s="142">
        <f>B942*IBGE_2!R$942/100</f>
        <v>3.73</v>
      </c>
      <c r="S942" s="142">
        <f>B942*IBGE_2!S$942/100</f>
        <v>86</v>
      </c>
      <c r="T942" s="142">
        <f>B942*IBGE_2!T$942/100</f>
        <v>405</v>
      </c>
      <c r="U942" s="142">
        <f>B942*IBGE_2!U$942/100</f>
        <v>0.30299999999999999</v>
      </c>
      <c r="V942" s="142">
        <f>B942*IBGE_2!V$942/100</f>
        <v>5.27</v>
      </c>
      <c r="W942" s="142" t="s">
        <v>3047</v>
      </c>
      <c r="X942" s="142">
        <f>B942*IBGE_2!X$942/100</f>
        <v>0.09</v>
      </c>
      <c r="Y942" s="142">
        <f>B942*IBGE_2!Y$942/100</f>
        <v>0.61</v>
      </c>
      <c r="Z942" s="142" t="s">
        <v>3047</v>
      </c>
      <c r="AA942" s="142">
        <f>B942*IBGE_2!AA$942/100</f>
        <v>3.95</v>
      </c>
      <c r="AB942" s="142" t="s">
        <v>3047</v>
      </c>
      <c r="AC942" s="142">
        <f>B942*IBGE_2!AC$942/100</f>
        <v>10.667</v>
      </c>
      <c r="AD942" s="142">
        <f>B942*IBGE_2!AD$942/100</f>
        <v>1.19</v>
      </c>
      <c r="AE942" s="142">
        <f>B942*IBGE_2!AE$942/100</f>
        <v>5</v>
      </c>
      <c r="AF942" s="142" t="s">
        <v>3047</v>
      </c>
      <c r="AG942" s="142">
        <f>B942*IBGE_2!AG$942/100</f>
        <v>0.34</v>
      </c>
      <c r="AH942" s="142">
        <f>B942*IBGE_2!AH$942/100</f>
        <v>0.09</v>
      </c>
      <c r="AI942" s="142">
        <f>B942*IBGE_2!AI$942/100</f>
        <v>333</v>
      </c>
      <c r="AJ942" s="142">
        <f>B942*IBGE_2!AJ$942/100</f>
        <v>11.8</v>
      </c>
      <c r="AK942" s="142" t="s">
        <v>3047</v>
      </c>
      <c r="AL942" s="142" t="s">
        <v>3047</v>
      </c>
      <c r="AM942" s="142" t="s">
        <v>3047</v>
      </c>
      <c r="AN942" s="161"/>
    </row>
    <row r="943" spans="1:40">
      <c r="A943" s="143" t="s">
        <v>2003</v>
      </c>
      <c r="B943" s="141">
        <v>100</v>
      </c>
      <c r="C943" s="142">
        <f>B943*IBGE_2!C$943/100</f>
        <v>143</v>
      </c>
      <c r="D943" s="142">
        <f>B943*IBGE_2!D$943/100</f>
        <v>27.1</v>
      </c>
      <c r="E943" s="142">
        <f>B943*IBGE_2!E$943/100</f>
        <v>3.03</v>
      </c>
      <c r="F943" s="142">
        <f>B943*IBGE_2!F$943/100</f>
        <v>0.93</v>
      </c>
      <c r="G943" s="142">
        <f>B943*IBGE_2!G$943/100</f>
        <v>1.36</v>
      </c>
      <c r="H943" s="142">
        <f>B943*IBGE_2!H$943/100</f>
        <v>0.23</v>
      </c>
      <c r="I943" s="142">
        <f>B943*IBGE_2!I$943/100</f>
        <v>0.13</v>
      </c>
      <c r="J943" s="142">
        <f>B943*IBGE_2!J$943/100</f>
        <v>0.02</v>
      </c>
      <c r="K943" s="142">
        <f>B943*IBGE_2!K$943/100</f>
        <v>75</v>
      </c>
      <c r="L943" s="142" t="s">
        <v>3047</v>
      </c>
      <c r="M943" s="142" t="s">
        <v>3047</v>
      </c>
      <c r="N943" s="142">
        <f>B943*IBGE_2!N$943/100</f>
        <v>17</v>
      </c>
      <c r="O943" s="142" t="s">
        <v>3047</v>
      </c>
      <c r="P943" s="142">
        <f>B943*IBGE_2!P$943/100</f>
        <v>4.2000000000000003E-2</v>
      </c>
      <c r="Q943" s="142">
        <f>B943*IBGE_2!Q$943/100</f>
        <v>201</v>
      </c>
      <c r="R943" s="142">
        <f>B943*IBGE_2!R$943/100</f>
        <v>3.73</v>
      </c>
      <c r="S943" s="142">
        <f>B943*IBGE_2!S$943/100</f>
        <v>86</v>
      </c>
      <c r="T943" s="142">
        <f>B943*IBGE_2!T$943/100</f>
        <v>405</v>
      </c>
      <c r="U943" s="142">
        <f>B943*IBGE_2!U$943/100</f>
        <v>0.30299999999999999</v>
      </c>
      <c r="V943" s="142">
        <f>B943*IBGE_2!V$943/100</f>
        <v>5.27</v>
      </c>
      <c r="W943" s="142" t="s">
        <v>3047</v>
      </c>
      <c r="X943" s="142">
        <f>B943*IBGE_2!X$943/100</f>
        <v>0.09</v>
      </c>
      <c r="Y943" s="142">
        <f>B943*IBGE_2!Y$943/100</f>
        <v>0.61</v>
      </c>
      <c r="Z943" s="142" t="s">
        <v>3047</v>
      </c>
      <c r="AA943" s="142">
        <f>B943*IBGE_2!AA$943/100</f>
        <v>3.95</v>
      </c>
      <c r="AB943" s="142" t="s">
        <v>3047</v>
      </c>
      <c r="AC943" s="142">
        <f>B943*IBGE_2!AC$943/100</f>
        <v>10.667</v>
      </c>
      <c r="AD943" s="142">
        <f>B943*IBGE_2!AD$943/100</f>
        <v>1.19</v>
      </c>
      <c r="AE943" s="142">
        <f>B943*IBGE_2!AE$943/100</f>
        <v>5</v>
      </c>
      <c r="AF943" s="142" t="s">
        <v>3047</v>
      </c>
      <c r="AG943" s="142">
        <f>B943*IBGE_2!AG$943/100</f>
        <v>0.34</v>
      </c>
      <c r="AH943" s="142">
        <f>B943*IBGE_2!AH$943/100</f>
        <v>0.09</v>
      </c>
      <c r="AI943" s="142">
        <f>B943*IBGE_2!AI$943/100</f>
        <v>333</v>
      </c>
      <c r="AJ943" s="142">
        <f>B943*IBGE_2!AJ$943/100</f>
        <v>11.8</v>
      </c>
      <c r="AK943" s="142" t="s">
        <v>3047</v>
      </c>
      <c r="AL943" s="142" t="s">
        <v>3047</v>
      </c>
      <c r="AM943" s="142" t="s">
        <v>3047</v>
      </c>
      <c r="AN943" s="161"/>
    </row>
    <row r="944" spans="1:40">
      <c r="A944" s="143" t="s">
        <v>2004</v>
      </c>
      <c r="B944" s="141">
        <v>100</v>
      </c>
      <c r="C944" s="142">
        <f>B944*IBGE_2!C$944/100</f>
        <v>165.65899999999999</v>
      </c>
      <c r="D944" s="142">
        <f>B944*IBGE_2!D$944/100</f>
        <v>27.1</v>
      </c>
      <c r="E944" s="142">
        <f>B944*IBGE_2!E$944/100</f>
        <v>5.593</v>
      </c>
      <c r="F944" s="142">
        <f>B944*IBGE_2!F$944/100</f>
        <v>1.331</v>
      </c>
      <c r="G944" s="142">
        <f>B944*IBGE_2!G$944/100</f>
        <v>1.944</v>
      </c>
      <c r="H944" s="142">
        <f>B944*IBGE_2!H$944/100</f>
        <v>1.71</v>
      </c>
      <c r="I944" s="142">
        <f>B944*IBGE_2!I$944/100</f>
        <v>1.4359999999999999</v>
      </c>
      <c r="J944" s="142">
        <f>B944*IBGE_2!J$944/100</f>
        <v>0.19400000000000003</v>
      </c>
      <c r="K944" s="142">
        <f>B944*IBGE_2!K$944/100</f>
        <v>75</v>
      </c>
      <c r="L944" s="142" t="s">
        <v>3047</v>
      </c>
      <c r="M944" s="142" t="s">
        <v>3047</v>
      </c>
      <c r="N944" s="142">
        <f>B944*IBGE_2!N$944/100</f>
        <v>17</v>
      </c>
      <c r="O944" s="142" t="s">
        <v>3047</v>
      </c>
      <c r="P944" s="142">
        <f>B944*IBGE_2!P$944/100</f>
        <v>4.2000000000000003E-2</v>
      </c>
      <c r="Q944" s="142">
        <f>B944*IBGE_2!Q$944/100</f>
        <v>201</v>
      </c>
      <c r="R944" s="142">
        <f>B944*IBGE_2!R$944/100</f>
        <v>3.7309999999999999</v>
      </c>
      <c r="S944" s="142">
        <f>B944*IBGE_2!S$944/100</f>
        <v>86</v>
      </c>
      <c r="T944" s="142">
        <f>B944*IBGE_2!T$944/100</f>
        <v>405</v>
      </c>
      <c r="U944" s="142">
        <f>B944*IBGE_2!U$944/100</f>
        <v>0.30299999999999999</v>
      </c>
      <c r="V944" s="142">
        <f>B944*IBGE_2!V$944/100</f>
        <v>5.27</v>
      </c>
      <c r="W944" s="142" t="s">
        <v>3047</v>
      </c>
      <c r="X944" s="142">
        <f>B944*IBGE_2!X$944/100</f>
        <v>0.09</v>
      </c>
      <c r="Y944" s="142">
        <f>B944*IBGE_2!Y$944/100</f>
        <v>0.61</v>
      </c>
      <c r="Z944" s="142" t="s">
        <v>3047</v>
      </c>
      <c r="AA944" s="142">
        <f>B944*IBGE_2!AA$944/100</f>
        <v>3.95</v>
      </c>
      <c r="AB944" s="142" t="s">
        <v>3047</v>
      </c>
      <c r="AC944" s="142">
        <f>B944*IBGE_2!AC$944/100</f>
        <v>10.667</v>
      </c>
      <c r="AD944" s="142">
        <f>B944*IBGE_2!AD$944/100</f>
        <v>1.19</v>
      </c>
      <c r="AE944" s="142">
        <f>B944*IBGE_2!AE$944/100</f>
        <v>5</v>
      </c>
      <c r="AF944" s="142" t="s">
        <v>3047</v>
      </c>
      <c r="AG944" s="142">
        <f>B944*IBGE_2!AG$944/100</f>
        <v>0.55000000000000004</v>
      </c>
      <c r="AH944" s="142">
        <f>B944*IBGE_2!AH$944/100</f>
        <v>0.10400000000000001</v>
      </c>
      <c r="AI944" s="142">
        <f>B944*IBGE_2!AI$944/100</f>
        <v>333</v>
      </c>
      <c r="AJ944" s="142">
        <f>B944*IBGE_2!AJ$944/100</f>
        <v>12.975</v>
      </c>
      <c r="AK944" s="142" t="s">
        <v>3047</v>
      </c>
      <c r="AL944" s="142" t="s">
        <v>3047</v>
      </c>
      <c r="AM944" s="142" t="s">
        <v>3047</v>
      </c>
      <c r="AN944" s="161"/>
    </row>
    <row r="945" spans="1:40">
      <c r="A945" s="143" t="s">
        <v>2005</v>
      </c>
      <c r="B945" s="141">
        <v>100</v>
      </c>
      <c r="C945" s="142">
        <f>B945*IBGE_2!C$945/100</f>
        <v>143</v>
      </c>
      <c r="D945" s="142">
        <f>B945*IBGE_2!D$945/100</f>
        <v>27.1</v>
      </c>
      <c r="E945" s="142">
        <f>B945*IBGE_2!E$945/100</f>
        <v>3.03</v>
      </c>
      <c r="F945" s="142">
        <f>B945*IBGE_2!F$945/100</f>
        <v>0.93</v>
      </c>
      <c r="G945" s="142">
        <f>B945*IBGE_2!G$945/100</f>
        <v>1.36</v>
      </c>
      <c r="H945" s="142">
        <f>B945*IBGE_2!H$945/100</f>
        <v>0.23</v>
      </c>
      <c r="I945" s="142">
        <f>B945*IBGE_2!I$945/100</f>
        <v>0.13</v>
      </c>
      <c r="J945" s="142">
        <f>B945*IBGE_2!J$945/100</f>
        <v>0.02</v>
      </c>
      <c r="K945" s="142">
        <f>B945*IBGE_2!K$945/100</f>
        <v>75</v>
      </c>
      <c r="L945" s="142" t="s">
        <v>3047</v>
      </c>
      <c r="M945" s="142" t="s">
        <v>3047</v>
      </c>
      <c r="N945" s="142">
        <f>B945*IBGE_2!N$945/100</f>
        <v>17</v>
      </c>
      <c r="O945" s="142" t="s">
        <v>3047</v>
      </c>
      <c r="P945" s="142">
        <f>B945*IBGE_2!P$945/100</f>
        <v>4.2000000000000003E-2</v>
      </c>
      <c r="Q945" s="142">
        <f>B945*IBGE_2!Q$945/100</f>
        <v>201</v>
      </c>
      <c r="R945" s="142">
        <f>B945*IBGE_2!R$945/100</f>
        <v>3.73</v>
      </c>
      <c r="S945" s="142">
        <f>B945*IBGE_2!S$945/100</f>
        <v>86</v>
      </c>
      <c r="T945" s="142">
        <f>B945*IBGE_2!T$945/100</f>
        <v>405</v>
      </c>
      <c r="U945" s="142">
        <f>B945*IBGE_2!U$945/100</f>
        <v>0.30299999999999999</v>
      </c>
      <c r="V945" s="142">
        <f>B945*IBGE_2!V$945/100</f>
        <v>5.27</v>
      </c>
      <c r="W945" s="142" t="s">
        <v>3047</v>
      </c>
      <c r="X945" s="142">
        <f>B945*IBGE_2!X$945/100</f>
        <v>0.09</v>
      </c>
      <c r="Y945" s="142">
        <f>B945*IBGE_2!Y$945/100</f>
        <v>0.61</v>
      </c>
      <c r="Z945" s="142" t="s">
        <v>3047</v>
      </c>
      <c r="AA945" s="142">
        <f>B945*IBGE_2!AA$945/100</f>
        <v>3.95</v>
      </c>
      <c r="AB945" s="142" t="s">
        <v>3047</v>
      </c>
      <c r="AC945" s="142">
        <f>B945*IBGE_2!AC$945/100</f>
        <v>10.667</v>
      </c>
      <c r="AD945" s="142">
        <f>B945*IBGE_2!AD$945/100</f>
        <v>1.19</v>
      </c>
      <c r="AE945" s="142">
        <f>B945*IBGE_2!AE$945/100</f>
        <v>5</v>
      </c>
      <c r="AF945" s="142" t="s">
        <v>3047</v>
      </c>
      <c r="AG945" s="142">
        <f>B945*IBGE_2!AG$945/100</f>
        <v>0.34</v>
      </c>
      <c r="AH945" s="142">
        <f>B945*IBGE_2!AH$945/100</f>
        <v>0.09</v>
      </c>
      <c r="AI945" s="142">
        <f>B945*IBGE_2!AI$945/100</f>
        <v>333</v>
      </c>
      <c r="AJ945" s="142">
        <f>B945*IBGE_2!AJ$945/100</f>
        <v>11.8</v>
      </c>
      <c r="AK945" s="142" t="s">
        <v>3047</v>
      </c>
      <c r="AL945" s="142" t="s">
        <v>3047</v>
      </c>
      <c r="AM945" s="142" t="s">
        <v>3047</v>
      </c>
      <c r="AN945" s="161"/>
    </row>
    <row r="946" spans="1:40">
      <c r="A946" s="143" t="s">
        <v>2006</v>
      </c>
      <c r="B946" s="141">
        <v>100</v>
      </c>
      <c r="C946" s="142">
        <f>B946*IBGE_2!C$946/100</f>
        <v>143</v>
      </c>
      <c r="D946" s="142">
        <f>B946*IBGE_2!D$946/100</f>
        <v>27.1</v>
      </c>
      <c r="E946" s="142">
        <f>B946*IBGE_2!E$946/100</f>
        <v>3.03</v>
      </c>
      <c r="F946" s="142">
        <f>B946*IBGE_2!F$946/100</f>
        <v>0.93</v>
      </c>
      <c r="G946" s="142">
        <f>B946*IBGE_2!G$946/100</f>
        <v>1.36</v>
      </c>
      <c r="H946" s="142">
        <f>B946*IBGE_2!H$946/100</f>
        <v>0.23</v>
      </c>
      <c r="I946" s="142">
        <f>B946*IBGE_2!I$946/100</f>
        <v>0.13</v>
      </c>
      <c r="J946" s="142">
        <f>B946*IBGE_2!J$946/100</f>
        <v>0.02</v>
      </c>
      <c r="K946" s="142">
        <f>B946*IBGE_2!K$946/100</f>
        <v>75</v>
      </c>
      <c r="L946" s="142" t="s">
        <v>3047</v>
      </c>
      <c r="M946" s="142" t="s">
        <v>3047</v>
      </c>
      <c r="N946" s="142">
        <f>B946*IBGE_2!N$946/100</f>
        <v>17</v>
      </c>
      <c r="O946" s="142" t="s">
        <v>3047</v>
      </c>
      <c r="P946" s="142">
        <f>B946*IBGE_2!P$946/100</f>
        <v>4.2000000000000003E-2</v>
      </c>
      <c r="Q946" s="142">
        <f>B946*IBGE_2!Q$946/100</f>
        <v>201</v>
      </c>
      <c r="R946" s="142">
        <f>B946*IBGE_2!R$946/100</f>
        <v>3.73</v>
      </c>
      <c r="S946" s="142">
        <f>B946*IBGE_2!S$946/100</f>
        <v>86</v>
      </c>
      <c r="T946" s="142">
        <f>B946*IBGE_2!T$946/100</f>
        <v>405</v>
      </c>
      <c r="U946" s="142">
        <f>B946*IBGE_2!U$946/100</f>
        <v>0.30299999999999999</v>
      </c>
      <c r="V946" s="142">
        <f>B946*IBGE_2!V$946/100</f>
        <v>5.27</v>
      </c>
      <c r="W946" s="142" t="s">
        <v>3047</v>
      </c>
      <c r="X946" s="142">
        <f>B946*IBGE_2!X$946/100</f>
        <v>0.09</v>
      </c>
      <c r="Y946" s="142">
        <f>B946*IBGE_2!Y$946/100</f>
        <v>0.61</v>
      </c>
      <c r="Z946" s="142" t="s">
        <v>3047</v>
      </c>
      <c r="AA946" s="142">
        <f>B946*IBGE_2!AA$946/100</f>
        <v>3.95</v>
      </c>
      <c r="AB946" s="142" t="s">
        <v>3047</v>
      </c>
      <c r="AC946" s="142">
        <f>B946*IBGE_2!AC$946/100</f>
        <v>10.667</v>
      </c>
      <c r="AD946" s="142">
        <f>B946*IBGE_2!AD$946/100</f>
        <v>1.19</v>
      </c>
      <c r="AE946" s="142">
        <f>B946*IBGE_2!AE$946/100</f>
        <v>5</v>
      </c>
      <c r="AF946" s="142" t="s">
        <v>3047</v>
      </c>
      <c r="AG946" s="142">
        <f>B946*IBGE_2!AG$946/100</f>
        <v>0.34</v>
      </c>
      <c r="AH946" s="142">
        <f>B946*IBGE_2!AH$946/100</f>
        <v>0.09</v>
      </c>
      <c r="AI946" s="142">
        <f>B946*IBGE_2!AI$946/100</f>
        <v>333</v>
      </c>
      <c r="AJ946" s="142">
        <f>B946*IBGE_2!AJ$946/100</f>
        <v>11.8</v>
      </c>
      <c r="AK946" s="142" t="s">
        <v>3047</v>
      </c>
      <c r="AL946" s="142" t="s">
        <v>3047</v>
      </c>
      <c r="AM946" s="142" t="s">
        <v>3047</v>
      </c>
      <c r="AN946" s="161"/>
    </row>
    <row r="947" spans="1:40">
      <c r="A947" s="143" t="s">
        <v>2007</v>
      </c>
      <c r="B947" s="141">
        <v>100</v>
      </c>
      <c r="C947" s="142">
        <f>B947*IBGE_2!C$947/100</f>
        <v>165.65899999999999</v>
      </c>
      <c r="D947" s="142">
        <f>B947*IBGE_2!D$947/100</f>
        <v>27.1</v>
      </c>
      <c r="E947" s="142">
        <f>B947*IBGE_2!E$947/100</f>
        <v>5.593</v>
      </c>
      <c r="F947" s="142">
        <f>B947*IBGE_2!F$947/100</f>
        <v>1.331</v>
      </c>
      <c r="G947" s="142">
        <f>B947*IBGE_2!G$947/100</f>
        <v>1.944</v>
      </c>
      <c r="H947" s="142">
        <f>B947*IBGE_2!H$947/100</f>
        <v>1.71</v>
      </c>
      <c r="I947" s="142">
        <f>B947*IBGE_2!I$947/100</f>
        <v>1.4359999999999999</v>
      </c>
      <c r="J947" s="142">
        <f>B947*IBGE_2!J$947/100</f>
        <v>0.19400000000000003</v>
      </c>
      <c r="K947" s="142">
        <f>B947*IBGE_2!K$947/100</f>
        <v>75</v>
      </c>
      <c r="L947" s="142" t="s">
        <v>3047</v>
      </c>
      <c r="M947" s="142" t="s">
        <v>3047</v>
      </c>
      <c r="N947" s="142">
        <f>B947*IBGE_2!N$947/100</f>
        <v>17</v>
      </c>
      <c r="O947" s="142" t="s">
        <v>3047</v>
      </c>
      <c r="P947" s="142">
        <f>B947*IBGE_2!P$947/100</f>
        <v>4.2000000000000003E-2</v>
      </c>
      <c r="Q947" s="142">
        <f>B947*IBGE_2!Q$947/100</f>
        <v>201</v>
      </c>
      <c r="R947" s="142">
        <f>B947*IBGE_2!R$947/100</f>
        <v>3.7309999999999999</v>
      </c>
      <c r="S947" s="142">
        <f>B947*IBGE_2!S$947/100</f>
        <v>86</v>
      </c>
      <c r="T947" s="142">
        <f>B947*IBGE_2!T$947/100</f>
        <v>405</v>
      </c>
      <c r="U947" s="142">
        <f>B947*IBGE_2!U$947/100</f>
        <v>0.30299999999999999</v>
      </c>
      <c r="V947" s="142">
        <f>B947*IBGE_2!V$947/100</f>
        <v>5.27</v>
      </c>
      <c r="W947" s="142" t="s">
        <v>3047</v>
      </c>
      <c r="X947" s="142">
        <f>B947*IBGE_2!X$947/100</f>
        <v>0.09</v>
      </c>
      <c r="Y947" s="142">
        <f>B947*IBGE_2!Y$947/100</f>
        <v>0.61</v>
      </c>
      <c r="Z947" s="142" t="s">
        <v>3047</v>
      </c>
      <c r="AA947" s="142">
        <f>B947*IBGE_2!AA$947/100</f>
        <v>3.95</v>
      </c>
      <c r="AB947" s="142" t="s">
        <v>3047</v>
      </c>
      <c r="AC947" s="142">
        <f>B947*IBGE_2!AC$947/100</f>
        <v>10.667</v>
      </c>
      <c r="AD947" s="142">
        <f>B947*IBGE_2!AD$947/100</f>
        <v>1.19</v>
      </c>
      <c r="AE947" s="142">
        <f>B947*IBGE_2!AE$947/100</f>
        <v>5</v>
      </c>
      <c r="AF947" s="142" t="s">
        <v>3047</v>
      </c>
      <c r="AG947" s="142">
        <f>B947*IBGE_2!AG$947/100</f>
        <v>0.55000000000000004</v>
      </c>
      <c r="AH947" s="142">
        <f>B947*IBGE_2!AH$947/100</f>
        <v>0.10400000000000001</v>
      </c>
      <c r="AI947" s="142">
        <f>B947*IBGE_2!AI$947/100</f>
        <v>333</v>
      </c>
      <c r="AJ947" s="142">
        <f>B947*IBGE_2!AJ$947/100</f>
        <v>12.975</v>
      </c>
      <c r="AK947" s="142" t="s">
        <v>3047</v>
      </c>
      <c r="AL947" s="142" t="s">
        <v>3047</v>
      </c>
      <c r="AM947" s="142" t="s">
        <v>3047</v>
      </c>
      <c r="AN947" s="161"/>
    </row>
    <row r="948" spans="1:40">
      <c r="A948" s="143" t="s">
        <v>2008</v>
      </c>
      <c r="B948" s="141">
        <v>100</v>
      </c>
      <c r="C948" s="142">
        <f>B948*IBGE_2!C$948/100</f>
        <v>165.65899999999999</v>
      </c>
      <c r="D948" s="142">
        <f>B948*IBGE_2!D$948/100</f>
        <v>27.1</v>
      </c>
      <c r="E948" s="142">
        <f>B948*IBGE_2!E$948/100</f>
        <v>5.593</v>
      </c>
      <c r="F948" s="142">
        <f>B948*IBGE_2!F$948/100</f>
        <v>1.331</v>
      </c>
      <c r="G948" s="142">
        <f>B948*IBGE_2!G$948/100</f>
        <v>1.944</v>
      </c>
      <c r="H948" s="142">
        <f>B948*IBGE_2!H$948/100</f>
        <v>1.71</v>
      </c>
      <c r="I948" s="142">
        <f>B948*IBGE_2!I$948/100</f>
        <v>1.4359999999999999</v>
      </c>
      <c r="J948" s="142">
        <f>B948*IBGE_2!J$948/100</f>
        <v>0.19400000000000003</v>
      </c>
      <c r="K948" s="142">
        <f>B948*IBGE_2!K$948/100</f>
        <v>75</v>
      </c>
      <c r="L948" s="142" t="s">
        <v>3047</v>
      </c>
      <c r="M948" s="142" t="s">
        <v>3047</v>
      </c>
      <c r="N948" s="142">
        <f>B948*IBGE_2!N$948/100</f>
        <v>17</v>
      </c>
      <c r="O948" s="142" t="s">
        <v>3047</v>
      </c>
      <c r="P948" s="142">
        <f>B948*IBGE_2!P$948/100</f>
        <v>4.2000000000000003E-2</v>
      </c>
      <c r="Q948" s="142">
        <f>B948*IBGE_2!Q$948/100</f>
        <v>201</v>
      </c>
      <c r="R948" s="142">
        <f>B948*IBGE_2!R$948/100</f>
        <v>3.7309999999999999</v>
      </c>
      <c r="S948" s="142">
        <f>B948*IBGE_2!S$948/100</f>
        <v>86</v>
      </c>
      <c r="T948" s="142">
        <f>B948*IBGE_2!T$948/100</f>
        <v>405</v>
      </c>
      <c r="U948" s="142">
        <f>B948*IBGE_2!U$948/100</f>
        <v>0.30299999999999999</v>
      </c>
      <c r="V948" s="142">
        <f>B948*IBGE_2!V$948/100</f>
        <v>5.27</v>
      </c>
      <c r="W948" s="142" t="s">
        <v>3047</v>
      </c>
      <c r="X948" s="142">
        <f>B948*IBGE_2!X$948/100</f>
        <v>0.09</v>
      </c>
      <c r="Y948" s="142">
        <f>B948*IBGE_2!Y$948/100</f>
        <v>0.61</v>
      </c>
      <c r="Z948" s="142" t="s">
        <v>3047</v>
      </c>
      <c r="AA948" s="142">
        <f>B948*IBGE_2!AA$948/100</f>
        <v>3.95</v>
      </c>
      <c r="AB948" s="142" t="s">
        <v>3047</v>
      </c>
      <c r="AC948" s="142">
        <f>B948*IBGE_2!AC$948/100</f>
        <v>10.667</v>
      </c>
      <c r="AD948" s="142">
        <f>B948*IBGE_2!AD$948/100</f>
        <v>1.19</v>
      </c>
      <c r="AE948" s="142">
        <f>B948*IBGE_2!AE$948/100</f>
        <v>5</v>
      </c>
      <c r="AF948" s="142" t="s">
        <v>3047</v>
      </c>
      <c r="AG948" s="142">
        <f>B948*IBGE_2!AG$948/100</f>
        <v>0.55000000000000004</v>
      </c>
      <c r="AH948" s="142">
        <f>B948*IBGE_2!AH$948/100</f>
        <v>0.10400000000000001</v>
      </c>
      <c r="AI948" s="142">
        <f>B948*IBGE_2!AI$948/100</f>
        <v>333</v>
      </c>
      <c r="AJ948" s="142">
        <f>B948*IBGE_2!AJ$948/100</f>
        <v>12.975</v>
      </c>
      <c r="AK948" s="142" t="s">
        <v>3047</v>
      </c>
      <c r="AL948" s="142" t="s">
        <v>3047</v>
      </c>
      <c r="AM948" s="142" t="s">
        <v>3047</v>
      </c>
      <c r="AN948" s="161"/>
    </row>
    <row r="949" spans="1:40">
      <c r="A949" s="143" t="s">
        <v>2009</v>
      </c>
      <c r="B949" s="141">
        <v>100</v>
      </c>
      <c r="C949" s="142">
        <f>B949*IBGE_2!C$949/100</f>
        <v>143</v>
      </c>
      <c r="D949" s="142">
        <f>B949*IBGE_2!D$949/100</f>
        <v>27.1</v>
      </c>
      <c r="E949" s="142">
        <f>B949*IBGE_2!E$949/100</f>
        <v>3.03</v>
      </c>
      <c r="F949" s="142">
        <f>B949*IBGE_2!F$949/100</f>
        <v>0.93</v>
      </c>
      <c r="G949" s="142">
        <f>B949*IBGE_2!G$949/100</f>
        <v>1.36</v>
      </c>
      <c r="H949" s="142">
        <f>B949*IBGE_2!H$949/100</f>
        <v>0.23</v>
      </c>
      <c r="I949" s="142">
        <f>B949*IBGE_2!I$949/100</f>
        <v>0.13</v>
      </c>
      <c r="J949" s="142">
        <f>B949*IBGE_2!J$949/100</f>
        <v>0.02</v>
      </c>
      <c r="K949" s="142">
        <f>B949*IBGE_2!K$949/100</f>
        <v>75</v>
      </c>
      <c r="L949" s="142" t="s">
        <v>3047</v>
      </c>
      <c r="M949" s="142" t="s">
        <v>3047</v>
      </c>
      <c r="N949" s="142">
        <f>B949*IBGE_2!N$949/100</f>
        <v>17</v>
      </c>
      <c r="O949" s="142" t="s">
        <v>3047</v>
      </c>
      <c r="P949" s="142">
        <f>B949*IBGE_2!P$949/100</f>
        <v>4.2000000000000003E-2</v>
      </c>
      <c r="Q949" s="142">
        <f>B949*IBGE_2!Q$949/100</f>
        <v>201</v>
      </c>
      <c r="R949" s="142">
        <f>B949*IBGE_2!R$949/100</f>
        <v>3.73</v>
      </c>
      <c r="S949" s="142">
        <f>B949*IBGE_2!S$949/100</f>
        <v>86</v>
      </c>
      <c r="T949" s="142">
        <f>B949*IBGE_2!T$949/100</f>
        <v>405</v>
      </c>
      <c r="U949" s="142">
        <f>B949*IBGE_2!U$949/100</f>
        <v>0.30299999999999999</v>
      </c>
      <c r="V949" s="142">
        <f>B949*IBGE_2!V$949/100</f>
        <v>5.27</v>
      </c>
      <c r="W949" s="142" t="s">
        <v>3047</v>
      </c>
      <c r="X949" s="142">
        <f>B949*IBGE_2!X$949/100</f>
        <v>0.09</v>
      </c>
      <c r="Y949" s="142">
        <f>B949*IBGE_2!Y$949/100</f>
        <v>0.61</v>
      </c>
      <c r="Z949" s="142" t="s">
        <v>3047</v>
      </c>
      <c r="AA949" s="142">
        <f>B949*IBGE_2!AA$949/100</f>
        <v>3.95</v>
      </c>
      <c r="AB949" s="142" t="s">
        <v>3047</v>
      </c>
      <c r="AC949" s="142">
        <f>B949*IBGE_2!AC$949/100</f>
        <v>10.667</v>
      </c>
      <c r="AD949" s="142">
        <f>B949*IBGE_2!AD$949/100</f>
        <v>1.19</v>
      </c>
      <c r="AE949" s="142">
        <f>B949*IBGE_2!AE$949/100</f>
        <v>5</v>
      </c>
      <c r="AF949" s="142" t="s">
        <v>3047</v>
      </c>
      <c r="AG949" s="142">
        <f>B949*IBGE_2!AG$949/100</f>
        <v>0.34</v>
      </c>
      <c r="AH949" s="142">
        <f>B949*IBGE_2!AH$949/100</f>
        <v>0.09</v>
      </c>
      <c r="AI949" s="142">
        <f>B949*IBGE_2!AI$949/100</f>
        <v>333</v>
      </c>
      <c r="AJ949" s="142">
        <f>B949*IBGE_2!AJ$949/100</f>
        <v>11.8</v>
      </c>
      <c r="AK949" s="142" t="s">
        <v>3047</v>
      </c>
      <c r="AL949" s="142" t="s">
        <v>3047</v>
      </c>
      <c r="AM949" s="142" t="s">
        <v>3047</v>
      </c>
      <c r="AN949" s="161"/>
    </row>
    <row r="950" spans="1:40">
      <c r="A950" s="143" t="s">
        <v>2010</v>
      </c>
      <c r="B950" s="141">
        <v>100</v>
      </c>
      <c r="C950" s="142">
        <f>B950*IBGE_2!C$950/100</f>
        <v>143</v>
      </c>
      <c r="D950" s="142">
        <f>B950*IBGE_2!D$950/100</f>
        <v>27.1</v>
      </c>
      <c r="E950" s="142">
        <f>B950*IBGE_2!E$950/100</f>
        <v>3.03</v>
      </c>
      <c r="F950" s="142">
        <f>B950*IBGE_2!F$950/100</f>
        <v>0.93</v>
      </c>
      <c r="G950" s="142">
        <f>B950*IBGE_2!G$950/100</f>
        <v>1.36</v>
      </c>
      <c r="H950" s="142">
        <f>B950*IBGE_2!H$950/100</f>
        <v>0.23</v>
      </c>
      <c r="I950" s="142">
        <f>B950*IBGE_2!I$950/100</f>
        <v>0.13</v>
      </c>
      <c r="J950" s="142">
        <f>B950*IBGE_2!J$950/100</f>
        <v>0.02</v>
      </c>
      <c r="K950" s="142">
        <f>B950*IBGE_2!K$950/100</f>
        <v>75</v>
      </c>
      <c r="L950" s="142" t="s">
        <v>3047</v>
      </c>
      <c r="M950" s="142" t="s">
        <v>3047</v>
      </c>
      <c r="N950" s="142">
        <f>B950*IBGE_2!N$950/100</f>
        <v>17</v>
      </c>
      <c r="O950" s="142" t="s">
        <v>3047</v>
      </c>
      <c r="P950" s="142">
        <f>B950*IBGE_2!P$950/100</f>
        <v>4.2000000000000003E-2</v>
      </c>
      <c r="Q950" s="142">
        <f>B950*IBGE_2!Q$950/100</f>
        <v>201</v>
      </c>
      <c r="R950" s="142">
        <f>B950*IBGE_2!R$950/100</f>
        <v>3.73</v>
      </c>
      <c r="S950" s="142">
        <f>B950*IBGE_2!S$950/100</f>
        <v>86</v>
      </c>
      <c r="T950" s="142">
        <f>B950*IBGE_2!T$950/100</f>
        <v>405</v>
      </c>
      <c r="U950" s="142">
        <f>B950*IBGE_2!U$950/100</f>
        <v>0.30299999999999999</v>
      </c>
      <c r="V950" s="142">
        <f>B950*IBGE_2!V$950/100</f>
        <v>5.27</v>
      </c>
      <c r="W950" s="142" t="s">
        <v>3047</v>
      </c>
      <c r="X950" s="142">
        <f>B950*IBGE_2!X$950/100</f>
        <v>0.09</v>
      </c>
      <c r="Y950" s="142">
        <f>B950*IBGE_2!Y$950/100</f>
        <v>0.61</v>
      </c>
      <c r="Z950" s="142" t="s">
        <v>3047</v>
      </c>
      <c r="AA950" s="142">
        <f>B950*IBGE_2!AA$950/100</f>
        <v>3.95</v>
      </c>
      <c r="AB950" s="142" t="s">
        <v>3047</v>
      </c>
      <c r="AC950" s="142">
        <f>B950*IBGE_2!AC$950/100</f>
        <v>10.667</v>
      </c>
      <c r="AD950" s="142">
        <f>B950*IBGE_2!AD$950/100</f>
        <v>1.19</v>
      </c>
      <c r="AE950" s="142">
        <f>B950*IBGE_2!AE$950/100</f>
        <v>5</v>
      </c>
      <c r="AF950" s="142" t="s">
        <v>3047</v>
      </c>
      <c r="AG950" s="142">
        <f>B950*IBGE_2!AG$950/100</f>
        <v>0.34</v>
      </c>
      <c r="AH950" s="142">
        <f>B950*IBGE_2!AH$950/100</f>
        <v>0.09</v>
      </c>
      <c r="AI950" s="142">
        <f>B950*IBGE_2!AI$950/100</f>
        <v>333</v>
      </c>
      <c r="AJ950" s="142">
        <f>B950*IBGE_2!AJ$950/100</f>
        <v>11.8</v>
      </c>
      <c r="AK950" s="142" t="s">
        <v>3047</v>
      </c>
      <c r="AL950" s="142" t="s">
        <v>3047</v>
      </c>
      <c r="AM950" s="142" t="s">
        <v>3047</v>
      </c>
      <c r="AN950" s="161"/>
    </row>
    <row r="951" spans="1:40">
      <c r="A951" s="143" t="s">
        <v>2011</v>
      </c>
      <c r="B951" s="141">
        <v>100</v>
      </c>
      <c r="C951" s="142">
        <f>B951*IBGE_2!C$951/100</f>
        <v>165.65899999999999</v>
      </c>
      <c r="D951" s="142">
        <f>B951*IBGE_2!D$951/100</f>
        <v>27.1</v>
      </c>
      <c r="E951" s="142">
        <f>B951*IBGE_2!E$951/100</f>
        <v>5.593</v>
      </c>
      <c r="F951" s="142">
        <f>B951*IBGE_2!F$951/100</f>
        <v>1.331</v>
      </c>
      <c r="G951" s="142">
        <f>B951*IBGE_2!G$951/100</f>
        <v>1.944</v>
      </c>
      <c r="H951" s="142">
        <f>B951*IBGE_2!H$951/100</f>
        <v>1.71</v>
      </c>
      <c r="I951" s="142">
        <f>B951*IBGE_2!I$951/100</f>
        <v>1.4359999999999999</v>
      </c>
      <c r="J951" s="142">
        <f>B951*IBGE_2!J$951/100</f>
        <v>0.19400000000000003</v>
      </c>
      <c r="K951" s="142">
        <f>B951*IBGE_2!K$951/100</f>
        <v>75</v>
      </c>
      <c r="L951" s="142" t="s">
        <v>3047</v>
      </c>
      <c r="M951" s="142" t="s">
        <v>3047</v>
      </c>
      <c r="N951" s="142">
        <f>B951*IBGE_2!N$951/100</f>
        <v>17</v>
      </c>
      <c r="O951" s="142" t="s">
        <v>3047</v>
      </c>
      <c r="P951" s="142">
        <f>B951*IBGE_2!P$951/100</f>
        <v>4.2000000000000003E-2</v>
      </c>
      <c r="Q951" s="142">
        <f>B951*IBGE_2!Q$951/100</f>
        <v>201</v>
      </c>
      <c r="R951" s="142">
        <f>B951*IBGE_2!R$951/100</f>
        <v>3.7309999999999999</v>
      </c>
      <c r="S951" s="142">
        <f>B951*IBGE_2!S$951/100</f>
        <v>86</v>
      </c>
      <c r="T951" s="142">
        <f>B951*IBGE_2!T$951/100</f>
        <v>405</v>
      </c>
      <c r="U951" s="142">
        <f>B951*IBGE_2!U$951/100</f>
        <v>0.30299999999999999</v>
      </c>
      <c r="V951" s="142">
        <f>B951*IBGE_2!V$951/100</f>
        <v>5.27</v>
      </c>
      <c r="W951" s="142" t="s">
        <v>3047</v>
      </c>
      <c r="X951" s="142">
        <f>B951*IBGE_2!X$951/100</f>
        <v>0.09</v>
      </c>
      <c r="Y951" s="142">
        <f>B951*IBGE_2!Y$951/100</f>
        <v>0.61</v>
      </c>
      <c r="Z951" s="142" t="s">
        <v>3047</v>
      </c>
      <c r="AA951" s="142">
        <f>B951*IBGE_2!AA$951/100</f>
        <v>3.95</v>
      </c>
      <c r="AB951" s="142" t="s">
        <v>3047</v>
      </c>
      <c r="AC951" s="142">
        <f>B951*IBGE_2!AC$951/100</f>
        <v>10.667</v>
      </c>
      <c r="AD951" s="142">
        <f>B951*IBGE_2!AD$951/100</f>
        <v>1.19</v>
      </c>
      <c r="AE951" s="142">
        <f>B951*IBGE_2!AE$951/100</f>
        <v>5</v>
      </c>
      <c r="AF951" s="142" t="s">
        <v>3047</v>
      </c>
      <c r="AG951" s="142">
        <f>B951*IBGE_2!AG$951/100</f>
        <v>0.55000000000000004</v>
      </c>
      <c r="AH951" s="142">
        <f>B951*IBGE_2!AH$951/100</f>
        <v>0.10400000000000001</v>
      </c>
      <c r="AI951" s="142">
        <f>B951*IBGE_2!AI$951/100</f>
        <v>333</v>
      </c>
      <c r="AJ951" s="142">
        <f>B951*IBGE_2!AJ$951/100</f>
        <v>12.975</v>
      </c>
      <c r="AK951" s="142" t="s">
        <v>3047</v>
      </c>
      <c r="AL951" s="142" t="s">
        <v>3047</v>
      </c>
      <c r="AM951" s="142" t="s">
        <v>3047</v>
      </c>
      <c r="AN951" s="161"/>
    </row>
    <row r="952" spans="1:40">
      <c r="A952" s="143" t="s">
        <v>2012</v>
      </c>
      <c r="B952" s="141">
        <v>100</v>
      </c>
      <c r="C952" s="142">
        <f>B952*IBGE_2!C$952/100</f>
        <v>204</v>
      </c>
      <c r="D952" s="142">
        <f>B952*IBGE_2!D$952/100</f>
        <v>28.35</v>
      </c>
      <c r="E952" s="142">
        <f>B952*IBGE_2!E$952/100</f>
        <v>9.17</v>
      </c>
      <c r="F952" s="142">
        <f>B952*IBGE_2!F$952/100</f>
        <v>3.28</v>
      </c>
      <c r="G952" s="142">
        <f>B952*IBGE_2!G$952/100</f>
        <v>4.0199999999999996</v>
      </c>
      <c r="H952" s="142">
        <f>B952*IBGE_2!H$952/100</f>
        <v>0.6</v>
      </c>
      <c r="I952" s="142">
        <f>B952*IBGE_2!I$952/100</f>
        <v>0.49</v>
      </c>
      <c r="J952" s="142">
        <f>B952*IBGE_2!J$952/100</f>
        <v>0.05</v>
      </c>
      <c r="K952" s="142">
        <f>B952*IBGE_2!K$952/100</f>
        <v>92</v>
      </c>
      <c r="L952" s="142" t="s">
        <v>3047</v>
      </c>
      <c r="M952" s="142" t="s">
        <v>3047</v>
      </c>
      <c r="N952" s="142">
        <f>B952*IBGE_2!N$952/100</f>
        <v>8</v>
      </c>
      <c r="O952" s="142">
        <f>B952*IBGE_2!O$952/100</f>
        <v>25</v>
      </c>
      <c r="P952" s="142">
        <f>B952*IBGE_2!P$952/100</f>
        <v>2.8000000000000004E-2</v>
      </c>
      <c r="Q952" s="142">
        <f>B952*IBGE_2!Q$952/100</f>
        <v>203</v>
      </c>
      <c r="R952" s="142">
        <f>B952*IBGE_2!R$952/100</f>
        <v>2.2000000000000002</v>
      </c>
      <c r="S952" s="142">
        <f>B952*IBGE_2!S$952/100</f>
        <v>71</v>
      </c>
      <c r="T952" s="142">
        <f>B952*IBGE_2!T$952/100</f>
        <v>333</v>
      </c>
      <c r="U952" s="142">
        <f>B952*IBGE_2!U$952/100</f>
        <v>0.11899999999999998</v>
      </c>
      <c r="V952" s="142">
        <f>B952*IBGE_2!V$952/100</f>
        <v>4.8499999999999996</v>
      </c>
      <c r="W952" s="142" t="s">
        <v>3047</v>
      </c>
      <c r="X952" s="142">
        <f>B952*IBGE_2!X$952/100</f>
        <v>0.12</v>
      </c>
      <c r="Y952" s="142">
        <f>B952*IBGE_2!Y$952/100</f>
        <v>0.31</v>
      </c>
      <c r="Z952" s="142">
        <f>B952*IBGE_2!Z$952/100</f>
        <v>0.17</v>
      </c>
      <c r="AA952" s="142">
        <f>B952*IBGE_2!AA$952/100</f>
        <v>6.27</v>
      </c>
      <c r="AB952" s="142" t="s">
        <v>3047</v>
      </c>
      <c r="AC952" s="142">
        <f>B952*IBGE_2!AC$952/100</f>
        <v>11.787000000000001</v>
      </c>
      <c r="AD952" s="142">
        <f>B952*IBGE_2!AD$952/100</f>
        <v>2.58</v>
      </c>
      <c r="AE952" s="142">
        <f>B952*IBGE_2!AE$952/100</f>
        <v>21</v>
      </c>
      <c r="AF952" s="142">
        <f>B952*IBGE_2!AF$952/100</f>
        <v>0.6</v>
      </c>
      <c r="AG952" s="142">
        <f>B952*IBGE_2!AG$952/100</f>
        <v>0.17</v>
      </c>
      <c r="AH952" s="142">
        <f>B952*IBGE_2!AH$952/100</f>
        <v>0.4</v>
      </c>
      <c r="AI952" s="142">
        <f>B952*IBGE_2!AI$952/100</f>
        <v>333</v>
      </c>
      <c r="AJ952" s="142">
        <f>B952*IBGE_2!AJ$952/100</f>
        <v>30.8</v>
      </c>
      <c r="AK952" s="142" t="s">
        <v>3047</v>
      </c>
      <c r="AL952" s="142" t="s">
        <v>3047</v>
      </c>
      <c r="AM952" s="142" t="s">
        <v>3047</v>
      </c>
      <c r="AN952" s="161"/>
    </row>
    <row r="953" spans="1:40">
      <c r="A953" s="143" t="s">
        <v>2013</v>
      </c>
      <c r="B953" s="141">
        <v>100</v>
      </c>
      <c r="C953" s="142">
        <f>B953*IBGE_2!C$953/100</f>
        <v>204</v>
      </c>
      <c r="D953" s="142">
        <f>B953*IBGE_2!D$953/100</f>
        <v>28.35</v>
      </c>
      <c r="E953" s="142">
        <f>B953*IBGE_2!E$953/100</f>
        <v>9.17</v>
      </c>
      <c r="F953" s="142">
        <f>B953*IBGE_2!F$953/100</f>
        <v>3.28</v>
      </c>
      <c r="G953" s="142">
        <f>B953*IBGE_2!G$953/100</f>
        <v>4.0199999999999996</v>
      </c>
      <c r="H953" s="142">
        <f>B953*IBGE_2!H$953/100</f>
        <v>0.6</v>
      </c>
      <c r="I953" s="142">
        <f>B953*IBGE_2!I$953/100</f>
        <v>0.49</v>
      </c>
      <c r="J953" s="142">
        <f>B953*IBGE_2!J$953/100</f>
        <v>0.05</v>
      </c>
      <c r="K953" s="142">
        <f>B953*IBGE_2!K$953/100</f>
        <v>92</v>
      </c>
      <c r="L953" s="142" t="s">
        <v>3047</v>
      </c>
      <c r="M953" s="142" t="s">
        <v>3047</v>
      </c>
      <c r="N953" s="142">
        <f>B953*IBGE_2!N$953/100</f>
        <v>8</v>
      </c>
      <c r="O953" s="142">
        <f>B953*IBGE_2!O$953/100</f>
        <v>25</v>
      </c>
      <c r="P953" s="142">
        <f>B953*IBGE_2!P$953/100</f>
        <v>2.8000000000000004E-2</v>
      </c>
      <c r="Q953" s="142">
        <f>B953*IBGE_2!Q$953/100</f>
        <v>203</v>
      </c>
      <c r="R953" s="142">
        <f>B953*IBGE_2!R$953/100</f>
        <v>2.2000000000000002</v>
      </c>
      <c r="S953" s="142">
        <f>B953*IBGE_2!S$953/100</f>
        <v>71</v>
      </c>
      <c r="T953" s="142">
        <f>B953*IBGE_2!T$953/100</f>
        <v>333</v>
      </c>
      <c r="U953" s="142">
        <f>B953*IBGE_2!U$953/100</f>
        <v>0.11899999999999998</v>
      </c>
      <c r="V953" s="142">
        <f>B953*IBGE_2!V$953/100</f>
        <v>4.8499999999999996</v>
      </c>
      <c r="W953" s="142" t="s">
        <v>3047</v>
      </c>
      <c r="X953" s="142">
        <f>B953*IBGE_2!X$953/100</f>
        <v>0.12</v>
      </c>
      <c r="Y953" s="142">
        <f>B953*IBGE_2!Y$953/100</f>
        <v>0.31</v>
      </c>
      <c r="Z953" s="142">
        <f>B953*IBGE_2!Z$953/100</f>
        <v>0.17</v>
      </c>
      <c r="AA953" s="142">
        <f>B953*IBGE_2!AA$953/100</f>
        <v>6.27</v>
      </c>
      <c r="AB953" s="142" t="s">
        <v>3047</v>
      </c>
      <c r="AC953" s="142">
        <f>B953*IBGE_2!AC$953/100</f>
        <v>11.787000000000001</v>
      </c>
      <c r="AD953" s="142">
        <f>B953*IBGE_2!AD$953/100</f>
        <v>2.58</v>
      </c>
      <c r="AE953" s="142">
        <f>B953*IBGE_2!AE$953/100</f>
        <v>21</v>
      </c>
      <c r="AF953" s="142">
        <f>B953*IBGE_2!AF$953/100</f>
        <v>0.6</v>
      </c>
      <c r="AG953" s="142">
        <f>B953*IBGE_2!AG$953/100</f>
        <v>0.17</v>
      </c>
      <c r="AH953" s="142">
        <f>B953*IBGE_2!AH$953/100</f>
        <v>0.4</v>
      </c>
      <c r="AI953" s="142">
        <f>B953*IBGE_2!AI$953/100</f>
        <v>333</v>
      </c>
      <c r="AJ953" s="142">
        <f>B953*IBGE_2!AJ$953/100</f>
        <v>30.8</v>
      </c>
      <c r="AK953" s="142" t="s">
        <v>3047</v>
      </c>
      <c r="AL953" s="142" t="s">
        <v>3047</v>
      </c>
      <c r="AM953" s="142" t="s">
        <v>3047</v>
      </c>
      <c r="AN953" s="161"/>
    </row>
    <row r="954" spans="1:40">
      <c r="A954" s="143" t="s">
        <v>2014</v>
      </c>
      <c r="B954" s="141">
        <v>100</v>
      </c>
      <c r="C954" s="142">
        <f>B954*IBGE_2!C$954/100</f>
        <v>204</v>
      </c>
      <c r="D954" s="142">
        <f>B954*IBGE_2!D$954/100</f>
        <v>28.35</v>
      </c>
      <c r="E954" s="142">
        <f>B954*IBGE_2!E$954/100</f>
        <v>9.17</v>
      </c>
      <c r="F954" s="142">
        <f>B954*IBGE_2!F$954/100</f>
        <v>3.28</v>
      </c>
      <c r="G954" s="142">
        <f>B954*IBGE_2!G$954/100</f>
        <v>4.0199999999999996</v>
      </c>
      <c r="H954" s="142">
        <f>B954*IBGE_2!H$954/100</f>
        <v>0.6</v>
      </c>
      <c r="I954" s="142">
        <f>B954*IBGE_2!I$954/100</f>
        <v>0.49</v>
      </c>
      <c r="J954" s="142">
        <f>B954*IBGE_2!J$954/100</f>
        <v>0.05</v>
      </c>
      <c r="K954" s="142">
        <f>B954*IBGE_2!K$954/100</f>
        <v>92</v>
      </c>
      <c r="L954" s="142" t="s">
        <v>3047</v>
      </c>
      <c r="M954" s="142" t="s">
        <v>3047</v>
      </c>
      <c r="N954" s="142">
        <f>B954*IBGE_2!N$954/100</f>
        <v>8</v>
      </c>
      <c r="O954" s="142">
        <f>B954*IBGE_2!O$954/100</f>
        <v>25</v>
      </c>
      <c r="P954" s="142">
        <f>B954*IBGE_2!P$954/100</f>
        <v>2.8000000000000004E-2</v>
      </c>
      <c r="Q954" s="142">
        <f>B954*IBGE_2!Q$954/100</f>
        <v>203</v>
      </c>
      <c r="R954" s="142">
        <f>B954*IBGE_2!R$954/100</f>
        <v>2.2000000000000002</v>
      </c>
      <c r="S954" s="142">
        <f>B954*IBGE_2!S$954/100</f>
        <v>71</v>
      </c>
      <c r="T954" s="142">
        <f>B954*IBGE_2!T$954/100</f>
        <v>333</v>
      </c>
      <c r="U954" s="142">
        <f>B954*IBGE_2!U$954/100</f>
        <v>0.11899999999999998</v>
      </c>
      <c r="V954" s="142">
        <f>B954*IBGE_2!V$954/100</f>
        <v>4.8499999999999996</v>
      </c>
      <c r="W954" s="142" t="s">
        <v>3047</v>
      </c>
      <c r="X954" s="142">
        <f>B954*IBGE_2!X$954/100</f>
        <v>0.12</v>
      </c>
      <c r="Y954" s="142">
        <f>B954*IBGE_2!Y$954/100</f>
        <v>0.31</v>
      </c>
      <c r="Z954" s="142">
        <f>B954*IBGE_2!Z$954/100</f>
        <v>0.17</v>
      </c>
      <c r="AA954" s="142">
        <f>B954*IBGE_2!AA$954/100</f>
        <v>6.27</v>
      </c>
      <c r="AB954" s="142" t="s">
        <v>3047</v>
      </c>
      <c r="AC954" s="142">
        <f>B954*IBGE_2!AC$954/100</f>
        <v>11.787000000000001</v>
      </c>
      <c r="AD954" s="142">
        <f>B954*IBGE_2!AD$954/100</f>
        <v>2.58</v>
      </c>
      <c r="AE954" s="142">
        <f>B954*IBGE_2!AE$954/100</f>
        <v>21</v>
      </c>
      <c r="AF954" s="142">
        <f>B954*IBGE_2!AF$954/100</f>
        <v>0.6</v>
      </c>
      <c r="AG954" s="142">
        <f>B954*IBGE_2!AG$954/100</f>
        <v>0.17</v>
      </c>
      <c r="AH954" s="142">
        <f>B954*IBGE_2!AH$954/100</f>
        <v>0.4</v>
      </c>
      <c r="AI954" s="142">
        <f>B954*IBGE_2!AI$954/100</f>
        <v>333</v>
      </c>
      <c r="AJ954" s="142">
        <f>B954*IBGE_2!AJ$954/100</f>
        <v>30.8</v>
      </c>
      <c r="AK954" s="142" t="s">
        <v>3047</v>
      </c>
      <c r="AL954" s="142" t="s">
        <v>3047</v>
      </c>
      <c r="AM954" s="142" t="s">
        <v>3047</v>
      </c>
      <c r="AN954" s="161"/>
    </row>
    <row r="955" spans="1:40">
      <c r="A955" s="143" t="s">
        <v>2015</v>
      </c>
      <c r="B955" s="141">
        <v>100</v>
      </c>
      <c r="C955" s="142">
        <f>B955*IBGE_2!C$955/100</f>
        <v>253.56700000000001</v>
      </c>
      <c r="D955" s="142">
        <f>B955*IBGE_2!D$955/100</f>
        <v>28.35</v>
      </c>
      <c r="E955" s="142">
        <f>B955*IBGE_2!E$955/100</f>
        <v>14.776999999999997</v>
      </c>
      <c r="F955" s="142">
        <f>B955*IBGE_2!F$955/100</f>
        <v>4.1580000000000004</v>
      </c>
      <c r="G955" s="142">
        <f>B955*IBGE_2!G$955/100</f>
        <v>5.2969999999999997</v>
      </c>
      <c r="H955" s="142">
        <f>B955*IBGE_2!H$955/100</f>
        <v>3.8380000000000001</v>
      </c>
      <c r="I955" s="142">
        <f>B955*IBGE_2!I$955/100</f>
        <v>3.347</v>
      </c>
      <c r="J955" s="142">
        <f>B955*IBGE_2!J$955/100</f>
        <v>0.43099999999999999</v>
      </c>
      <c r="K955" s="142">
        <f>B955*IBGE_2!K$955/100</f>
        <v>92</v>
      </c>
      <c r="L955" s="142" t="s">
        <v>3047</v>
      </c>
      <c r="M955" s="142" t="s">
        <v>3047</v>
      </c>
      <c r="N955" s="142">
        <f>B955*IBGE_2!N$955/100</f>
        <v>8</v>
      </c>
      <c r="O955" s="142">
        <f>B955*IBGE_2!O$955/100</f>
        <v>25</v>
      </c>
      <c r="P955" s="142">
        <f>B955*IBGE_2!P$955/100</f>
        <v>2.8000000000000004E-2</v>
      </c>
      <c r="Q955" s="142">
        <f>B955*IBGE_2!Q$955/100</f>
        <v>203</v>
      </c>
      <c r="R955" s="142">
        <f>B955*IBGE_2!R$955/100</f>
        <v>2.2029999999999998</v>
      </c>
      <c r="S955" s="142">
        <f>B955*IBGE_2!S$955/100</f>
        <v>71</v>
      </c>
      <c r="T955" s="142">
        <f>B955*IBGE_2!T$955/100</f>
        <v>333</v>
      </c>
      <c r="U955" s="142">
        <f>B955*IBGE_2!U$955/100</f>
        <v>0.11899999999999998</v>
      </c>
      <c r="V955" s="142">
        <f>B955*IBGE_2!V$955/100</f>
        <v>4.851</v>
      </c>
      <c r="W955" s="142" t="s">
        <v>3047</v>
      </c>
      <c r="X955" s="142">
        <f>B955*IBGE_2!X$955/100</f>
        <v>0.12</v>
      </c>
      <c r="Y955" s="142">
        <f>B955*IBGE_2!Y$955/100</f>
        <v>0.31</v>
      </c>
      <c r="Z955" s="142">
        <f>B955*IBGE_2!Z$955/100</f>
        <v>0.17</v>
      </c>
      <c r="AA955" s="142">
        <f>B955*IBGE_2!AA$955/100</f>
        <v>6.27</v>
      </c>
      <c r="AB955" s="142" t="s">
        <v>3047</v>
      </c>
      <c r="AC955" s="142">
        <f>B955*IBGE_2!AC$955/100</f>
        <v>11.787000000000001</v>
      </c>
      <c r="AD955" s="142">
        <f>B955*IBGE_2!AD$955/100</f>
        <v>2.58</v>
      </c>
      <c r="AE955" s="142">
        <f>B955*IBGE_2!AE$955/100</f>
        <v>21</v>
      </c>
      <c r="AF955" s="142">
        <f>B955*IBGE_2!AF$955/100</f>
        <v>0.6</v>
      </c>
      <c r="AG955" s="142">
        <f>B955*IBGE_2!AG$955/100</f>
        <v>0.629</v>
      </c>
      <c r="AH955" s="142">
        <f>B955*IBGE_2!AH$955/100</f>
        <v>0.43</v>
      </c>
      <c r="AI955" s="142">
        <f>B955*IBGE_2!AI$955/100</f>
        <v>333</v>
      </c>
      <c r="AJ955" s="142">
        <f>B955*IBGE_2!AJ$955/100</f>
        <v>33.369999999999997</v>
      </c>
      <c r="AK955" s="142" t="s">
        <v>3047</v>
      </c>
      <c r="AL955" s="142" t="s">
        <v>3047</v>
      </c>
      <c r="AM955" s="142" t="s">
        <v>3047</v>
      </c>
      <c r="AN955" s="161"/>
    </row>
    <row r="956" spans="1:40">
      <c r="A956" s="143" t="s">
        <v>2016</v>
      </c>
      <c r="B956" s="141">
        <v>100</v>
      </c>
      <c r="C956" s="142">
        <f>B956*IBGE_2!C$956/100</f>
        <v>253.56700000000001</v>
      </c>
      <c r="D956" s="142">
        <f>B956*IBGE_2!D$956/100</f>
        <v>28.35</v>
      </c>
      <c r="E956" s="142">
        <f>B956*IBGE_2!E$956/100</f>
        <v>14.776999999999997</v>
      </c>
      <c r="F956" s="142">
        <f>B956*IBGE_2!F$956/100</f>
        <v>4.1580000000000004</v>
      </c>
      <c r="G956" s="142">
        <f>B956*IBGE_2!G$956/100</f>
        <v>5.2969999999999997</v>
      </c>
      <c r="H956" s="142">
        <f>B956*IBGE_2!H$956/100</f>
        <v>3.8380000000000001</v>
      </c>
      <c r="I956" s="142">
        <f>B956*IBGE_2!I$956/100</f>
        <v>3.347</v>
      </c>
      <c r="J956" s="142">
        <f>B956*IBGE_2!J$956/100</f>
        <v>0.43099999999999999</v>
      </c>
      <c r="K956" s="142">
        <f>B956*IBGE_2!K$956/100</f>
        <v>92</v>
      </c>
      <c r="L956" s="142" t="s">
        <v>3047</v>
      </c>
      <c r="M956" s="142" t="s">
        <v>3047</v>
      </c>
      <c r="N956" s="142">
        <f>B956*IBGE_2!N$956/100</f>
        <v>8</v>
      </c>
      <c r="O956" s="142">
        <f>B956*IBGE_2!O$956/100</f>
        <v>25</v>
      </c>
      <c r="P956" s="142">
        <f>B956*IBGE_2!P$956/100</f>
        <v>2.8000000000000004E-2</v>
      </c>
      <c r="Q956" s="142">
        <f>B956*IBGE_2!Q$956/100</f>
        <v>203</v>
      </c>
      <c r="R956" s="142">
        <f>B956*IBGE_2!R$956/100</f>
        <v>2.2029999999999998</v>
      </c>
      <c r="S956" s="142">
        <f>B956*IBGE_2!S$956/100</f>
        <v>71</v>
      </c>
      <c r="T956" s="142">
        <f>B956*IBGE_2!T$956/100</f>
        <v>333</v>
      </c>
      <c r="U956" s="142">
        <f>B956*IBGE_2!U$956/100</f>
        <v>0.11899999999999998</v>
      </c>
      <c r="V956" s="142">
        <f>B956*IBGE_2!V$956/100</f>
        <v>4.851</v>
      </c>
      <c r="W956" s="142" t="s">
        <v>3047</v>
      </c>
      <c r="X956" s="142">
        <f>B956*IBGE_2!X$956/100</f>
        <v>0.12</v>
      </c>
      <c r="Y956" s="142">
        <f>B956*IBGE_2!Y$956/100</f>
        <v>0.31</v>
      </c>
      <c r="Z956" s="142">
        <f>B956*IBGE_2!Z$956/100</f>
        <v>0.17</v>
      </c>
      <c r="AA956" s="142">
        <f>B956*IBGE_2!AA$956/100</f>
        <v>6.27</v>
      </c>
      <c r="AB956" s="142" t="s">
        <v>3047</v>
      </c>
      <c r="AC956" s="142">
        <f>B956*IBGE_2!AC$956/100</f>
        <v>11.787000000000001</v>
      </c>
      <c r="AD956" s="142">
        <f>B956*IBGE_2!AD$956/100</f>
        <v>2.58</v>
      </c>
      <c r="AE956" s="142">
        <f>B956*IBGE_2!AE$956/100</f>
        <v>21</v>
      </c>
      <c r="AF956" s="142">
        <f>B956*IBGE_2!AF$956/100</f>
        <v>0.6</v>
      </c>
      <c r="AG956" s="142">
        <f>B956*IBGE_2!AG$956/100</f>
        <v>0.629</v>
      </c>
      <c r="AH956" s="142">
        <f>B956*IBGE_2!AH$956/100</f>
        <v>0.43</v>
      </c>
      <c r="AI956" s="142">
        <f>B956*IBGE_2!AI$956/100</f>
        <v>333</v>
      </c>
      <c r="AJ956" s="142">
        <f>B956*IBGE_2!AJ$956/100</f>
        <v>33.369999999999997</v>
      </c>
      <c r="AK956" s="142" t="s">
        <v>3047</v>
      </c>
      <c r="AL956" s="142" t="s">
        <v>3047</v>
      </c>
      <c r="AM956" s="142" t="s">
        <v>3047</v>
      </c>
      <c r="AN956" s="161"/>
    </row>
    <row r="957" spans="1:40">
      <c r="A957" s="143" t="s">
        <v>2017</v>
      </c>
      <c r="B957" s="141">
        <v>100</v>
      </c>
      <c r="C957" s="142">
        <f>B957*IBGE_2!C$957/100</f>
        <v>204</v>
      </c>
      <c r="D957" s="142">
        <f>B957*IBGE_2!D$957/100</f>
        <v>28.35</v>
      </c>
      <c r="E957" s="142">
        <f>B957*IBGE_2!E$957/100</f>
        <v>9.17</v>
      </c>
      <c r="F957" s="142">
        <f>B957*IBGE_2!F$957/100</f>
        <v>3.28</v>
      </c>
      <c r="G957" s="142">
        <f>B957*IBGE_2!G$957/100</f>
        <v>4.0199999999999996</v>
      </c>
      <c r="H957" s="142">
        <f>B957*IBGE_2!H$957/100</f>
        <v>0.6</v>
      </c>
      <c r="I957" s="142">
        <f>B957*IBGE_2!I$957/100</f>
        <v>0.49</v>
      </c>
      <c r="J957" s="142">
        <f>B957*IBGE_2!J$957/100</f>
        <v>0.05</v>
      </c>
      <c r="K957" s="142">
        <f>B957*IBGE_2!K$957/100</f>
        <v>92</v>
      </c>
      <c r="L957" s="142" t="s">
        <v>3047</v>
      </c>
      <c r="M957" s="142" t="s">
        <v>3047</v>
      </c>
      <c r="N957" s="142">
        <f>B957*IBGE_2!N$957/100</f>
        <v>8</v>
      </c>
      <c r="O957" s="142">
        <f>B957*IBGE_2!O$957/100</f>
        <v>25</v>
      </c>
      <c r="P957" s="142">
        <f>B957*IBGE_2!P$957/100</f>
        <v>2.8000000000000004E-2</v>
      </c>
      <c r="Q957" s="142">
        <f>B957*IBGE_2!Q$957/100</f>
        <v>203</v>
      </c>
      <c r="R957" s="142">
        <f>B957*IBGE_2!R$957/100</f>
        <v>2.2000000000000002</v>
      </c>
      <c r="S957" s="142">
        <f>B957*IBGE_2!S$957/100</f>
        <v>71</v>
      </c>
      <c r="T957" s="142">
        <f>B957*IBGE_2!T$957/100</f>
        <v>333</v>
      </c>
      <c r="U957" s="142">
        <f>B957*IBGE_2!U$957/100</f>
        <v>0.11899999999999998</v>
      </c>
      <c r="V957" s="142">
        <f>B957*IBGE_2!V$957/100</f>
        <v>4.8499999999999996</v>
      </c>
      <c r="W957" s="142" t="s">
        <v>3047</v>
      </c>
      <c r="X957" s="142">
        <f>B957*IBGE_2!X$957/100</f>
        <v>0.12</v>
      </c>
      <c r="Y957" s="142">
        <f>B957*IBGE_2!Y$957/100</f>
        <v>0.31</v>
      </c>
      <c r="Z957" s="142">
        <f>B957*IBGE_2!Z$957/100</f>
        <v>0.17</v>
      </c>
      <c r="AA957" s="142">
        <f>B957*IBGE_2!AA$957/100</f>
        <v>6.27</v>
      </c>
      <c r="AB957" s="142" t="s">
        <v>3047</v>
      </c>
      <c r="AC957" s="142">
        <f>B957*IBGE_2!AC$957/100</f>
        <v>11.787000000000001</v>
      </c>
      <c r="AD957" s="142">
        <f>B957*IBGE_2!AD$957/100</f>
        <v>2.58</v>
      </c>
      <c r="AE957" s="142">
        <f>B957*IBGE_2!AE$957/100</f>
        <v>21</v>
      </c>
      <c r="AF957" s="142">
        <f>B957*IBGE_2!AF$957/100</f>
        <v>0.6</v>
      </c>
      <c r="AG957" s="142">
        <f>B957*IBGE_2!AG$957/100</f>
        <v>0.17</v>
      </c>
      <c r="AH957" s="142">
        <f>B957*IBGE_2!AH$957/100</f>
        <v>0.4</v>
      </c>
      <c r="AI957" s="142">
        <f>B957*IBGE_2!AI$957/100</f>
        <v>333</v>
      </c>
      <c r="AJ957" s="142">
        <f>B957*IBGE_2!AJ$957/100</f>
        <v>30.8</v>
      </c>
      <c r="AK957" s="142" t="s">
        <v>3047</v>
      </c>
      <c r="AL957" s="142" t="s">
        <v>3047</v>
      </c>
      <c r="AM957" s="142" t="s">
        <v>3047</v>
      </c>
      <c r="AN957" s="161"/>
    </row>
    <row r="958" spans="1:40">
      <c r="A958" s="143" t="s">
        <v>2018</v>
      </c>
      <c r="B958" s="141">
        <v>100</v>
      </c>
      <c r="C958" s="142">
        <f>B958*IBGE_2!C$958/100</f>
        <v>204</v>
      </c>
      <c r="D958" s="142">
        <f>B958*IBGE_2!D$958/100</f>
        <v>28.35</v>
      </c>
      <c r="E958" s="142">
        <f>B958*IBGE_2!E$958/100</f>
        <v>9.17</v>
      </c>
      <c r="F958" s="142">
        <f>B958*IBGE_2!F$958/100</f>
        <v>3.28</v>
      </c>
      <c r="G958" s="142">
        <f>B958*IBGE_2!G$958/100</f>
        <v>4.0199999999999996</v>
      </c>
      <c r="H958" s="142">
        <f>B958*IBGE_2!H$958/100</f>
        <v>0.6</v>
      </c>
      <c r="I958" s="142">
        <f>B958*IBGE_2!I$958/100</f>
        <v>0.49</v>
      </c>
      <c r="J958" s="142">
        <f>B958*IBGE_2!J$958/100</f>
        <v>0.05</v>
      </c>
      <c r="K958" s="142">
        <f>B958*IBGE_2!K$958/100</f>
        <v>92</v>
      </c>
      <c r="L958" s="142" t="s">
        <v>3047</v>
      </c>
      <c r="M958" s="142" t="s">
        <v>3047</v>
      </c>
      <c r="N958" s="142">
        <f>B958*IBGE_2!N$958/100</f>
        <v>8</v>
      </c>
      <c r="O958" s="142">
        <f>B958*IBGE_2!O$958/100</f>
        <v>25</v>
      </c>
      <c r="P958" s="142">
        <f>B958*IBGE_2!P$958/100</f>
        <v>2.8000000000000004E-2</v>
      </c>
      <c r="Q958" s="142">
        <f>B958*IBGE_2!Q$958/100</f>
        <v>203</v>
      </c>
      <c r="R958" s="142">
        <f>B958*IBGE_2!R$958/100</f>
        <v>2.2000000000000002</v>
      </c>
      <c r="S958" s="142">
        <f>B958*IBGE_2!S$958/100</f>
        <v>71</v>
      </c>
      <c r="T958" s="142">
        <f>B958*IBGE_2!T$958/100</f>
        <v>333</v>
      </c>
      <c r="U958" s="142">
        <f>B958*IBGE_2!U$958/100</f>
        <v>0.11899999999999998</v>
      </c>
      <c r="V958" s="142">
        <f>B958*IBGE_2!V$958/100</f>
        <v>4.8499999999999996</v>
      </c>
      <c r="W958" s="142" t="s">
        <v>3047</v>
      </c>
      <c r="X958" s="142">
        <f>B958*IBGE_2!X$958/100</f>
        <v>0.12</v>
      </c>
      <c r="Y958" s="142">
        <f>B958*IBGE_2!Y$958/100</f>
        <v>0.31</v>
      </c>
      <c r="Z958" s="142">
        <f>B958*IBGE_2!Z$958/100</f>
        <v>0.17</v>
      </c>
      <c r="AA958" s="142">
        <f>B958*IBGE_2!AA$958/100</f>
        <v>6.27</v>
      </c>
      <c r="AB958" s="142" t="s">
        <v>3047</v>
      </c>
      <c r="AC958" s="142">
        <f>B958*IBGE_2!AC$958/100</f>
        <v>11.787000000000001</v>
      </c>
      <c r="AD958" s="142">
        <f>B958*IBGE_2!AD$958/100</f>
        <v>2.58</v>
      </c>
      <c r="AE958" s="142">
        <f>B958*IBGE_2!AE$958/100</f>
        <v>21</v>
      </c>
      <c r="AF958" s="142">
        <f>B958*IBGE_2!AF$958/100</f>
        <v>0.6</v>
      </c>
      <c r="AG958" s="142">
        <f>B958*IBGE_2!AG$958/100</f>
        <v>0.17</v>
      </c>
      <c r="AH958" s="142">
        <f>B958*IBGE_2!AH$958/100</f>
        <v>0.4</v>
      </c>
      <c r="AI958" s="142">
        <f>B958*IBGE_2!AI$958/100</f>
        <v>333</v>
      </c>
      <c r="AJ958" s="142">
        <f>B958*IBGE_2!AJ$958/100</f>
        <v>30.8</v>
      </c>
      <c r="AK958" s="142" t="s">
        <v>3047</v>
      </c>
      <c r="AL958" s="142" t="s">
        <v>3047</v>
      </c>
      <c r="AM958" s="142" t="s">
        <v>3047</v>
      </c>
      <c r="AN958" s="161"/>
    </row>
    <row r="959" spans="1:40">
      <c r="A959" s="143" t="s">
        <v>2019</v>
      </c>
      <c r="B959" s="141">
        <v>100</v>
      </c>
      <c r="C959" s="142">
        <f>B959*IBGE_2!C$959/100</f>
        <v>204</v>
      </c>
      <c r="D959" s="142">
        <f>B959*IBGE_2!D$959/100</f>
        <v>28.35</v>
      </c>
      <c r="E959" s="142">
        <f>B959*IBGE_2!E$959/100</f>
        <v>9.17</v>
      </c>
      <c r="F959" s="142">
        <f>B959*IBGE_2!F$959/100</f>
        <v>3.28</v>
      </c>
      <c r="G959" s="142">
        <f>B959*IBGE_2!G$959/100</f>
        <v>4.0199999999999996</v>
      </c>
      <c r="H959" s="142">
        <f>B959*IBGE_2!H$959/100</f>
        <v>0.6</v>
      </c>
      <c r="I959" s="142">
        <f>B959*IBGE_2!I$959/100</f>
        <v>0.49</v>
      </c>
      <c r="J959" s="142">
        <f>B959*IBGE_2!J$959/100</f>
        <v>0.05</v>
      </c>
      <c r="K959" s="142">
        <f>B959*IBGE_2!K$959/100</f>
        <v>92</v>
      </c>
      <c r="L959" s="142" t="s">
        <v>3047</v>
      </c>
      <c r="M959" s="142" t="s">
        <v>3047</v>
      </c>
      <c r="N959" s="142">
        <f>B959*IBGE_2!N$959/100</f>
        <v>8</v>
      </c>
      <c r="O959" s="142">
        <f>B959*IBGE_2!O$959/100</f>
        <v>25</v>
      </c>
      <c r="P959" s="142">
        <f>B959*IBGE_2!P$959/100</f>
        <v>2.8000000000000004E-2</v>
      </c>
      <c r="Q959" s="142">
        <f>B959*IBGE_2!Q$959/100</f>
        <v>203</v>
      </c>
      <c r="R959" s="142">
        <f>B959*IBGE_2!R$959/100</f>
        <v>2.2000000000000002</v>
      </c>
      <c r="S959" s="142">
        <f>B959*IBGE_2!S$959/100</f>
        <v>71</v>
      </c>
      <c r="T959" s="142">
        <f>B959*IBGE_2!T$959/100</f>
        <v>333</v>
      </c>
      <c r="U959" s="142">
        <f>B959*IBGE_2!U$959/100</f>
        <v>0.11899999999999998</v>
      </c>
      <c r="V959" s="142">
        <f>B959*IBGE_2!V$959/100</f>
        <v>4.8499999999999996</v>
      </c>
      <c r="W959" s="142" t="s">
        <v>3047</v>
      </c>
      <c r="X959" s="142">
        <f>B959*IBGE_2!X$959/100</f>
        <v>0.12</v>
      </c>
      <c r="Y959" s="142">
        <f>B959*IBGE_2!Y$959/100</f>
        <v>0.31</v>
      </c>
      <c r="Z959" s="142">
        <f>B959*IBGE_2!Z$959/100</f>
        <v>0.17</v>
      </c>
      <c r="AA959" s="142">
        <f>B959*IBGE_2!AA$959/100</f>
        <v>6.27</v>
      </c>
      <c r="AB959" s="142" t="s">
        <v>3047</v>
      </c>
      <c r="AC959" s="142">
        <f>B959*IBGE_2!AC$959/100</f>
        <v>11.787000000000001</v>
      </c>
      <c r="AD959" s="142">
        <f>B959*IBGE_2!AD$959/100</f>
        <v>2.58</v>
      </c>
      <c r="AE959" s="142">
        <f>B959*IBGE_2!AE$959/100</f>
        <v>21</v>
      </c>
      <c r="AF959" s="142">
        <f>B959*IBGE_2!AF$959/100</f>
        <v>0.6</v>
      </c>
      <c r="AG959" s="142">
        <f>B959*IBGE_2!AG$959/100</f>
        <v>0.17</v>
      </c>
      <c r="AH959" s="142">
        <f>B959*IBGE_2!AH$959/100</f>
        <v>0.4</v>
      </c>
      <c r="AI959" s="142">
        <f>B959*IBGE_2!AI$959/100</f>
        <v>333</v>
      </c>
      <c r="AJ959" s="142">
        <f>B959*IBGE_2!AJ$959/100</f>
        <v>30.8</v>
      </c>
      <c r="AK959" s="145" t="s">
        <v>3047</v>
      </c>
      <c r="AL959" s="142" t="s">
        <v>3047</v>
      </c>
      <c r="AM959" s="142" t="s">
        <v>3047</v>
      </c>
      <c r="AN959" s="161"/>
    </row>
    <row r="960" spans="1:40">
      <c r="A960" s="143" t="s">
        <v>2020</v>
      </c>
      <c r="B960" s="141">
        <v>100</v>
      </c>
      <c r="C960" s="142">
        <f>B960*IBGE_2!C$960/100</f>
        <v>253.56700000000001</v>
      </c>
      <c r="D960" s="142">
        <f>B960*IBGE_2!D$960/100</f>
        <v>28.35</v>
      </c>
      <c r="E960" s="142">
        <f>B960*IBGE_2!E$960/100</f>
        <v>14.776999999999997</v>
      </c>
      <c r="F960" s="142">
        <f>B960*IBGE_2!F$960/100</f>
        <v>4.1580000000000004</v>
      </c>
      <c r="G960" s="142">
        <f>B960*IBGE_2!G$960/100</f>
        <v>5.2969999999999997</v>
      </c>
      <c r="H960" s="142">
        <f>B960*IBGE_2!H$960/100</f>
        <v>3.8380000000000001</v>
      </c>
      <c r="I960" s="142">
        <f>B960*IBGE_2!I$960/100</f>
        <v>3.347</v>
      </c>
      <c r="J960" s="142">
        <f>B960*IBGE_2!J$960/100</f>
        <v>0.43099999999999999</v>
      </c>
      <c r="K960" s="142">
        <f>B960*IBGE_2!K$960/100</f>
        <v>92</v>
      </c>
      <c r="L960" s="142" t="s">
        <v>3047</v>
      </c>
      <c r="M960" s="142" t="s">
        <v>3047</v>
      </c>
      <c r="N960" s="142">
        <f>B960*IBGE_2!N$960/100</f>
        <v>8</v>
      </c>
      <c r="O960" s="142">
        <f>B960*IBGE_2!O$960/100</f>
        <v>25</v>
      </c>
      <c r="P960" s="142">
        <f>B960*IBGE_2!P$960/100</f>
        <v>2.8000000000000004E-2</v>
      </c>
      <c r="Q960" s="142">
        <f>B960*IBGE_2!Q$960/100</f>
        <v>203</v>
      </c>
      <c r="R960" s="142">
        <f>B960*IBGE_2!R$960/100</f>
        <v>2.2029999999999998</v>
      </c>
      <c r="S960" s="142">
        <f>B960*IBGE_2!S$960/100</f>
        <v>71</v>
      </c>
      <c r="T960" s="142">
        <f>B960*IBGE_2!T$960/100</f>
        <v>333</v>
      </c>
      <c r="U960" s="142">
        <f>B960*IBGE_2!U$960/100</f>
        <v>0.11899999999999998</v>
      </c>
      <c r="V960" s="142">
        <f>B960*IBGE_2!V$960/100</f>
        <v>4.851</v>
      </c>
      <c r="W960" s="142" t="s">
        <v>3047</v>
      </c>
      <c r="X960" s="142">
        <f>B960*IBGE_2!X$960/100</f>
        <v>0.12</v>
      </c>
      <c r="Y960" s="142">
        <f>B960*IBGE_2!Y$960/100</f>
        <v>0.31</v>
      </c>
      <c r="Z960" s="142">
        <f>B960*IBGE_2!Z$960/100</f>
        <v>0.17</v>
      </c>
      <c r="AA960" s="142">
        <f>B960*IBGE_2!AA$960/100</f>
        <v>6.27</v>
      </c>
      <c r="AB960" s="142" t="s">
        <v>3047</v>
      </c>
      <c r="AC960" s="142">
        <f>B960*IBGE_2!AC$960/100</f>
        <v>11.787000000000001</v>
      </c>
      <c r="AD960" s="142">
        <f>B960*IBGE_2!AD$960/100</f>
        <v>2.58</v>
      </c>
      <c r="AE960" s="142">
        <f>B960*IBGE_2!AE$960/100</f>
        <v>21</v>
      </c>
      <c r="AF960" s="142">
        <f>B960*IBGE_2!AF$960/100</f>
        <v>0.6</v>
      </c>
      <c r="AG960" s="142">
        <f>B960*IBGE_2!AG$960/100</f>
        <v>0.629</v>
      </c>
      <c r="AH960" s="142">
        <f>B960*IBGE_2!AH$960/100</f>
        <v>0.43</v>
      </c>
      <c r="AI960" s="142">
        <f>B960*IBGE_2!AI$960/100</f>
        <v>333</v>
      </c>
      <c r="AJ960" s="142">
        <f>B960*IBGE_2!AJ$960/100</f>
        <v>33.369999999999997</v>
      </c>
      <c r="AK960" s="145" t="s">
        <v>3047</v>
      </c>
      <c r="AL960" s="142" t="s">
        <v>3047</v>
      </c>
      <c r="AM960" s="142" t="s">
        <v>3047</v>
      </c>
      <c r="AN960" s="161"/>
    </row>
    <row r="961" spans="1:40">
      <c r="A961" s="143" t="s">
        <v>2021</v>
      </c>
      <c r="B961" s="141">
        <v>100</v>
      </c>
      <c r="C961" s="142">
        <f>B961*IBGE_2!C$961/100</f>
        <v>214</v>
      </c>
      <c r="D961" s="142">
        <f>B961*IBGE_2!D$961/100</f>
        <v>28.81</v>
      </c>
      <c r="E961" s="142">
        <f>B961*IBGE_2!E$961/100</f>
        <v>10.130000000000001</v>
      </c>
      <c r="F961" s="142">
        <f>B961*IBGE_2!F$961/100</f>
        <v>3.54</v>
      </c>
      <c r="G961" s="142">
        <f>B961*IBGE_2!G$961/100</f>
        <v>4.49</v>
      </c>
      <c r="H961" s="142">
        <f>B961*IBGE_2!H$961/100</f>
        <v>0.85</v>
      </c>
      <c r="I961" s="142">
        <f>B961*IBGE_2!I$961/100</f>
        <v>0.73</v>
      </c>
      <c r="J961" s="142">
        <f>B961*IBGE_2!J$961/100</f>
        <v>0.02</v>
      </c>
      <c r="K961" s="142">
        <f>B961*IBGE_2!K$961/100</f>
        <v>83</v>
      </c>
      <c r="L961" s="142" t="s">
        <v>3047</v>
      </c>
      <c r="M961" s="142" t="s">
        <v>3047</v>
      </c>
      <c r="N961" s="142">
        <f>B961*IBGE_2!N$961/100</f>
        <v>6</v>
      </c>
      <c r="O961" s="142">
        <f>B961*IBGE_2!O$961/100</f>
        <v>24</v>
      </c>
      <c r="P961" s="142">
        <f>B961*IBGE_2!P$961/100</f>
        <v>1.0999999999999999E-2</v>
      </c>
      <c r="Q961" s="142">
        <f>B961*IBGE_2!Q$961/100</f>
        <v>222</v>
      </c>
      <c r="R961" s="142">
        <f>B961*IBGE_2!R$961/100</f>
        <v>1</v>
      </c>
      <c r="S961" s="142">
        <f>B961*IBGE_2!S$961/100</f>
        <v>50</v>
      </c>
      <c r="T961" s="142">
        <f>B961*IBGE_2!T$961/100</f>
        <v>363</v>
      </c>
      <c r="U961" s="142">
        <f>B961*IBGE_2!U$961/100</f>
        <v>1.2E-2</v>
      </c>
      <c r="V961" s="142">
        <f>B961*IBGE_2!V$961/100</f>
        <v>2.83</v>
      </c>
      <c r="W961" s="142">
        <f>B961*IBGE_2!W$961/100</f>
        <v>2</v>
      </c>
      <c r="X961" s="142">
        <f>B961*IBGE_2!X$961/100</f>
        <v>0.63900000000000001</v>
      </c>
      <c r="Y961" s="142">
        <f>B961*IBGE_2!Y$961/100</f>
        <v>0.312</v>
      </c>
      <c r="Z961" s="142">
        <f>B961*IBGE_2!Z$961/100</f>
        <v>0.4</v>
      </c>
      <c r="AA961" s="142">
        <f>B961*IBGE_2!AA$961/100</f>
        <v>5.3550000000000004</v>
      </c>
      <c r="AB961" s="142">
        <f>B961*IBGE_2!AB$961/100</f>
        <v>0.4</v>
      </c>
      <c r="AC961" s="142">
        <f>B961*IBGE_2!AC$961/100</f>
        <v>11.455</v>
      </c>
      <c r="AD961" s="142">
        <f>B961*IBGE_2!AD$961/100</f>
        <v>0.55000000000000004</v>
      </c>
      <c r="AE961" s="142">
        <f>B961*IBGE_2!AE$961/100</f>
        <v>9</v>
      </c>
      <c r="AF961" s="142">
        <f>B961*IBGE_2!AF$961/100</f>
        <v>0.8</v>
      </c>
      <c r="AG961" s="142">
        <f>B961*IBGE_2!AG$961/100</f>
        <v>0.32</v>
      </c>
      <c r="AH961" s="142">
        <f>B961*IBGE_2!AH$961/100</f>
        <v>0.03</v>
      </c>
      <c r="AI961" s="142">
        <f>B961*IBGE_2!AI$961/100</f>
        <v>333</v>
      </c>
      <c r="AJ961" s="142">
        <f>B961*IBGE_2!AJ$961/100</f>
        <v>43.2</v>
      </c>
      <c r="AK961" s="142">
        <f>B961*IBGE_2!AK$961/100</f>
        <v>2</v>
      </c>
      <c r="AL961" s="142" t="s">
        <v>3047</v>
      </c>
      <c r="AM961" s="142" t="s">
        <v>3047</v>
      </c>
      <c r="AN961" s="161"/>
    </row>
    <row r="962" spans="1:40">
      <c r="A962" s="143" t="s">
        <v>2022</v>
      </c>
      <c r="B962" s="141">
        <v>100</v>
      </c>
      <c r="C962" s="142">
        <f>B962*IBGE_2!C$962/100</f>
        <v>289</v>
      </c>
      <c r="D962" s="142">
        <f>B962*IBGE_2!D$962/100</f>
        <v>25.34</v>
      </c>
      <c r="E962" s="142">
        <f>B962*IBGE_2!E$962/100</f>
        <v>20.059999999999999</v>
      </c>
      <c r="F962" s="142">
        <f>B962*IBGE_2!F$962/100</f>
        <v>7.36</v>
      </c>
      <c r="G962" s="142">
        <f>B962*IBGE_2!G$962/100</f>
        <v>9.02</v>
      </c>
      <c r="H962" s="142">
        <f>B962*IBGE_2!H$962/100</f>
        <v>1.89</v>
      </c>
      <c r="I962" s="142">
        <f>B962*IBGE_2!I$962/100</f>
        <v>1.71</v>
      </c>
      <c r="J962" s="142">
        <f>B962*IBGE_2!J$962/100</f>
        <v>0.06</v>
      </c>
      <c r="K962" s="142">
        <f>B962*IBGE_2!K$962/100</f>
        <v>92</v>
      </c>
      <c r="L962" s="142" t="s">
        <v>3047</v>
      </c>
      <c r="M962" s="142" t="s">
        <v>3047</v>
      </c>
      <c r="N962" s="142">
        <f>B962*IBGE_2!N$962/100</f>
        <v>15</v>
      </c>
      <c r="O962" s="142">
        <f>B962*IBGE_2!O$962/100</f>
        <v>22</v>
      </c>
      <c r="P962" s="142">
        <f>B962*IBGE_2!P$962/100</f>
        <v>2.8000000000000004E-2</v>
      </c>
      <c r="Q962" s="142">
        <f>B962*IBGE_2!Q$962/100</f>
        <v>257</v>
      </c>
      <c r="R962" s="142">
        <f>B962*IBGE_2!R$962/100</f>
        <v>0.98</v>
      </c>
      <c r="S962" s="142">
        <f>B962*IBGE_2!S$962/100</f>
        <v>59</v>
      </c>
      <c r="T962" s="142">
        <f>B962*IBGE_2!T$962/100</f>
        <v>338</v>
      </c>
      <c r="U962" s="142">
        <f>B962*IBGE_2!U$962/100</f>
        <v>9.8000000000000004E-2</v>
      </c>
      <c r="V962" s="142">
        <f>B962*IBGE_2!V$962/100</f>
        <v>3.06</v>
      </c>
      <c r="W962" s="142">
        <f>B962*IBGE_2!W$962/100</f>
        <v>3</v>
      </c>
      <c r="X962" s="142">
        <f>B962*IBGE_2!X$962/100</f>
        <v>0.57799999999999996</v>
      </c>
      <c r="Y962" s="142">
        <f>B962*IBGE_2!Y$962/100</f>
        <v>0.30199999999999999</v>
      </c>
      <c r="Z962" s="142">
        <f>B962*IBGE_2!Z$962/100</f>
        <v>0.40100000000000002</v>
      </c>
      <c r="AA962" s="142">
        <f>B962*IBGE_2!AA$962/100</f>
        <v>4.46</v>
      </c>
      <c r="AB962" s="142">
        <f>B962*IBGE_2!AB$962/100</f>
        <v>0.3</v>
      </c>
      <c r="AC962" s="142">
        <f>B962*IBGE_2!AC$962/100</f>
        <v>9.4770000000000003</v>
      </c>
      <c r="AD962" s="142">
        <f>B962*IBGE_2!AD$962/100</f>
        <v>0.66</v>
      </c>
      <c r="AE962" s="142">
        <f>B962*IBGE_2!AE$962/100</f>
        <v>5</v>
      </c>
      <c r="AF962" s="142">
        <f>B962*IBGE_2!AF$962/100</f>
        <v>1.1000000000000001</v>
      </c>
      <c r="AG962" s="142">
        <f>B962*IBGE_2!AG$962/100</f>
        <v>0.22</v>
      </c>
      <c r="AH962" s="142">
        <f>B962*IBGE_2!AH$962/100</f>
        <v>3.6999999999999998E-2</v>
      </c>
      <c r="AI962" s="142">
        <f>B962*IBGE_2!AI$962/100</f>
        <v>166</v>
      </c>
      <c r="AJ962" s="142">
        <f>B962*IBGE_2!AJ$962/100</f>
        <v>43.3</v>
      </c>
      <c r="AK962" s="142">
        <f>B962*IBGE_2!AK$962/100</f>
        <v>3</v>
      </c>
      <c r="AL962" s="142" t="s">
        <v>3047</v>
      </c>
      <c r="AM962" s="142" t="s">
        <v>3047</v>
      </c>
      <c r="AN962" s="161"/>
    </row>
    <row r="963" spans="1:40">
      <c r="A963" s="143" t="s">
        <v>2023</v>
      </c>
      <c r="B963" s="141">
        <v>100</v>
      </c>
      <c r="C963" s="142">
        <f>B963*IBGE_2!C$963/100</f>
        <v>289</v>
      </c>
      <c r="D963" s="142">
        <f>B963*IBGE_2!D$963/100</f>
        <v>25.34</v>
      </c>
      <c r="E963" s="142">
        <f>B963*IBGE_2!E$963/100</f>
        <v>20.059999999999999</v>
      </c>
      <c r="F963" s="142">
        <f>B963*IBGE_2!F$963/100</f>
        <v>7.36</v>
      </c>
      <c r="G963" s="142">
        <f>B963*IBGE_2!G$963/100</f>
        <v>9.02</v>
      </c>
      <c r="H963" s="142">
        <f>B963*IBGE_2!H$963/100</f>
        <v>1.89</v>
      </c>
      <c r="I963" s="142">
        <f>B963*IBGE_2!I$963/100</f>
        <v>1.71</v>
      </c>
      <c r="J963" s="142">
        <f>B963*IBGE_2!J$963/100</f>
        <v>0.06</v>
      </c>
      <c r="K963" s="142">
        <f>B963*IBGE_2!K$963/100</f>
        <v>92</v>
      </c>
      <c r="L963" s="142" t="s">
        <v>3047</v>
      </c>
      <c r="M963" s="142" t="s">
        <v>3047</v>
      </c>
      <c r="N963" s="142">
        <f>B963*IBGE_2!N$963/100</f>
        <v>15</v>
      </c>
      <c r="O963" s="142">
        <f>B963*IBGE_2!O$963/100</f>
        <v>22</v>
      </c>
      <c r="P963" s="142">
        <f>B963*IBGE_2!P$963/100</f>
        <v>2.8000000000000004E-2</v>
      </c>
      <c r="Q963" s="142">
        <f>B963*IBGE_2!Q$963/100</f>
        <v>257</v>
      </c>
      <c r="R963" s="142">
        <f>B963*IBGE_2!R$963/100</f>
        <v>0.98</v>
      </c>
      <c r="S963" s="142">
        <f>B963*IBGE_2!S$963/100</f>
        <v>59</v>
      </c>
      <c r="T963" s="142">
        <f>B963*IBGE_2!T$963/100</f>
        <v>338</v>
      </c>
      <c r="U963" s="142">
        <f>B963*IBGE_2!U$963/100</f>
        <v>9.8000000000000004E-2</v>
      </c>
      <c r="V963" s="142">
        <f>B963*IBGE_2!V$963/100</f>
        <v>3.06</v>
      </c>
      <c r="W963" s="142">
        <f>B963*IBGE_2!W$963/100</f>
        <v>3</v>
      </c>
      <c r="X963" s="142">
        <f>B963*IBGE_2!X$963/100</f>
        <v>0.57799999999999996</v>
      </c>
      <c r="Y963" s="142">
        <f>B963*IBGE_2!Y$963/100</f>
        <v>0.30199999999999999</v>
      </c>
      <c r="Z963" s="142">
        <f>B963*IBGE_2!Z$963/100</f>
        <v>0.40100000000000002</v>
      </c>
      <c r="AA963" s="142">
        <f>B963*IBGE_2!AA$963/100</f>
        <v>4.46</v>
      </c>
      <c r="AB963" s="142">
        <f>B963*IBGE_2!AB$963/100</f>
        <v>0.3</v>
      </c>
      <c r="AC963" s="142">
        <f>B963*IBGE_2!AC$963/100</f>
        <v>9.4770000000000003</v>
      </c>
      <c r="AD963" s="142">
        <f>B963*IBGE_2!AD$963/100</f>
        <v>0.66</v>
      </c>
      <c r="AE963" s="142">
        <f>B963*IBGE_2!AE$963/100</f>
        <v>5</v>
      </c>
      <c r="AF963" s="142">
        <f>B963*IBGE_2!AF$963/100</f>
        <v>1.1000000000000001</v>
      </c>
      <c r="AG963" s="142">
        <f>B963*IBGE_2!AG$963/100</f>
        <v>0.22</v>
      </c>
      <c r="AH963" s="142">
        <f>B963*IBGE_2!AH$963/100</f>
        <v>3.6999999999999998E-2</v>
      </c>
      <c r="AI963" s="142">
        <f>B963*IBGE_2!AI$963/100</f>
        <v>166</v>
      </c>
      <c r="AJ963" s="142">
        <f>B963*IBGE_2!AJ$963/100</f>
        <v>43.3</v>
      </c>
      <c r="AK963" s="142">
        <f>B963*IBGE_2!AK$963/100</f>
        <v>3</v>
      </c>
      <c r="AL963" s="142" t="s">
        <v>3047</v>
      </c>
      <c r="AM963" s="142" t="s">
        <v>3047</v>
      </c>
      <c r="AN963" s="161"/>
    </row>
    <row r="964" spans="1:40">
      <c r="A964" s="143" t="s">
        <v>2024</v>
      </c>
      <c r="B964" s="141">
        <v>100</v>
      </c>
      <c r="C964" s="142">
        <f>B964*IBGE_2!C$964/100</f>
        <v>289</v>
      </c>
      <c r="D964" s="142">
        <f>B964*IBGE_2!D$964/100</f>
        <v>25.34</v>
      </c>
      <c r="E964" s="142">
        <f>B964*IBGE_2!E$964/100</f>
        <v>20.059999999999999</v>
      </c>
      <c r="F964" s="142">
        <f>B964*IBGE_2!F$964/100</f>
        <v>7.36</v>
      </c>
      <c r="G964" s="142">
        <f>B964*IBGE_2!G$964/100</f>
        <v>9.02</v>
      </c>
      <c r="H964" s="142">
        <f>B964*IBGE_2!H$964/100</f>
        <v>1.89</v>
      </c>
      <c r="I964" s="142">
        <f>B964*IBGE_2!I$964/100</f>
        <v>1.71</v>
      </c>
      <c r="J964" s="142">
        <f>B964*IBGE_2!J$964/100</f>
        <v>0.06</v>
      </c>
      <c r="K964" s="142">
        <f>B964*IBGE_2!K$964/100</f>
        <v>92</v>
      </c>
      <c r="L964" s="142" t="s">
        <v>3047</v>
      </c>
      <c r="M964" s="142" t="s">
        <v>3047</v>
      </c>
      <c r="N964" s="142">
        <f>B964*IBGE_2!N$964/100</f>
        <v>15</v>
      </c>
      <c r="O964" s="142">
        <f>B964*IBGE_2!O$964/100</f>
        <v>22</v>
      </c>
      <c r="P964" s="142">
        <f>B964*IBGE_2!P$964/100</f>
        <v>2.8000000000000004E-2</v>
      </c>
      <c r="Q964" s="142">
        <f>B964*IBGE_2!Q$964/100</f>
        <v>257</v>
      </c>
      <c r="R964" s="142">
        <f>B964*IBGE_2!R$964/100</f>
        <v>0.98</v>
      </c>
      <c r="S964" s="142">
        <f>B964*IBGE_2!S$964/100</f>
        <v>59</v>
      </c>
      <c r="T964" s="142">
        <f>B964*IBGE_2!T$964/100</f>
        <v>338</v>
      </c>
      <c r="U964" s="142">
        <f>B964*IBGE_2!U$964/100</f>
        <v>9.8000000000000004E-2</v>
      </c>
      <c r="V964" s="142">
        <f>B964*IBGE_2!V$964/100</f>
        <v>3.06</v>
      </c>
      <c r="W964" s="142">
        <f>B964*IBGE_2!W$964/100</f>
        <v>3</v>
      </c>
      <c r="X964" s="142">
        <f>B964*IBGE_2!X$964/100</f>
        <v>0.57799999999999996</v>
      </c>
      <c r="Y964" s="142">
        <f>B964*IBGE_2!Y$964/100</f>
        <v>0.30199999999999999</v>
      </c>
      <c r="Z964" s="142">
        <f>B964*IBGE_2!Z$964/100</f>
        <v>0.40100000000000002</v>
      </c>
      <c r="AA964" s="142">
        <f>B964*IBGE_2!AA$964/100</f>
        <v>4.46</v>
      </c>
      <c r="AB964" s="142">
        <f>B964*IBGE_2!AB$964/100</f>
        <v>0.3</v>
      </c>
      <c r="AC964" s="142">
        <f>B964*IBGE_2!AC$964/100</f>
        <v>9.4770000000000003</v>
      </c>
      <c r="AD964" s="142">
        <f>B964*IBGE_2!AD$964/100</f>
        <v>0.66</v>
      </c>
      <c r="AE964" s="142">
        <f>B964*IBGE_2!AE$964/100</f>
        <v>5</v>
      </c>
      <c r="AF964" s="142">
        <f>B964*IBGE_2!AF$964/100</f>
        <v>1.1000000000000001</v>
      </c>
      <c r="AG964" s="142">
        <f>B964*IBGE_2!AG$964/100</f>
        <v>0.22</v>
      </c>
      <c r="AH964" s="142">
        <f>B964*IBGE_2!AH$964/100</f>
        <v>3.6999999999999998E-2</v>
      </c>
      <c r="AI964" s="142">
        <f>B964*IBGE_2!AI$964/100</f>
        <v>166</v>
      </c>
      <c r="AJ964" s="142">
        <f>B964*IBGE_2!AJ$964/100</f>
        <v>43.3</v>
      </c>
      <c r="AK964" s="142">
        <f>B964*IBGE_2!AK$964/100</f>
        <v>3</v>
      </c>
      <c r="AL964" s="142" t="s">
        <v>3047</v>
      </c>
      <c r="AM964" s="142" t="s">
        <v>3047</v>
      </c>
      <c r="AN964" s="161"/>
    </row>
    <row r="965" spans="1:40">
      <c r="A965" s="143" t="s">
        <v>2025</v>
      </c>
      <c r="B965" s="141">
        <v>100</v>
      </c>
      <c r="C965" s="142">
        <f>B965*IBGE_2!C$965/100</f>
        <v>338.56699999999995</v>
      </c>
      <c r="D965" s="142">
        <f>B965*IBGE_2!D$965/100</f>
        <v>25.34</v>
      </c>
      <c r="E965" s="142">
        <f>B965*IBGE_2!E$965/100</f>
        <v>25.667000000000002</v>
      </c>
      <c r="F965" s="142">
        <f>B965*IBGE_2!F$965/100</f>
        <v>8.2379999999999995</v>
      </c>
      <c r="G965" s="142">
        <f>B965*IBGE_2!G$965/100</f>
        <v>10.297000000000001</v>
      </c>
      <c r="H965" s="142">
        <f>B965*IBGE_2!H$965/100</f>
        <v>5.1279999999999992</v>
      </c>
      <c r="I965" s="142">
        <f>B965*IBGE_2!I$965/100</f>
        <v>4.5670000000000002</v>
      </c>
      <c r="J965" s="142">
        <f>B965*IBGE_2!J$965/100</f>
        <v>0.441</v>
      </c>
      <c r="K965" s="142">
        <f>B965*IBGE_2!K$965/100</f>
        <v>92</v>
      </c>
      <c r="L965" s="142" t="s">
        <v>3047</v>
      </c>
      <c r="M965" s="142" t="s">
        <v>3047</v>
      </c>
      <c r="N965" s="142">
        <f>B965*IBGE_2!N$965/100</f>
        <v>15</v>
      </c>
      <c r="O965" s="142">
        <f>B965*IBGE_2!O$965/100</f>
        <v>22</v>
      </c>
      <c r="P965" s="142">
        <f>B965*IBGE_2!P$965/100</f>
        <v>2.8000000000000004E-2</v>
      </c>
      <c r="Q965" s="142">
        <f>B965*IBGE_2!Q$965/100</f>
        <v>257</v>
      </c>
      <c r="R965" s="142">
        <f>B965*IBGE_2!R$965/100</f>
        <v>0.98299999999999998</v>
      </c>
      <c r="S965" s="142">
        <f>B965*IBGE_2!S$965/100</f>
        <v>59</v>
      </c>
      <c r="T965" s="142">
        <f>B965*IBGE_2!T$965/100</f>
        <v>338</v>
      </c>
      <c r="U965" s="142">
        <f>B965*IBGE_2!U$965/100</f>
        <v>9.8000000000000004E-2</v>
      </c>
      <c r="V965" s="142">
        <f>B965*IBGE_2!V$965/100</f>
        <v>3.0610000000000004</v>
      </c>
      <c r="W965" s="142">
        <f>B965*IBGE_2!W$965/100</f>
        <v>3</v>
      </c>
      <c r="X965" s="142">
        <f>B965*IBGE_2!X$965/100</f>
        <v>0.57799999999999996</v>
      </c>
      <c r="Y965" s="142">
        <f>B965*IBGE_2!Y$965/100</f>
        <v>0.30199999999999999</v>
      </c>
      <c r="Z965" s="142">
        <f>B965*IBGE_2!Z$965/100</f>
        <v>0.40100000000000002</v>
      </c>
      <c r="AA965" s="142">
        <f>B965*IBGE_2!AA$965/100</f>
        <v>4.46</v>
      </c>
      <c r="AB965" s="142">
        <f>B965*IBGE_2!AB$965/100</f>
        <v>0.3</v>
      </c>
      <c r="AC965" s="142">
        <f>B965*IBGE_2!AC$965/100</f>
        <v>9.4770000000000003</v>
      </c>
      <c r="AD965" s="142">
        <f>B965*IBGE_2!AD$965/100</f>
        <v>0.66</v>
      </c>
      <c r="AE965" s="142">
        <f>B965*IBGE_2!AE$965/100</f>
        <v>5</v>
      </c>
      <c r="AF965" s="142">
        <f>B965*IBGE_2!AF$965/100</f>
        <v>1.1000000000000001</v>
      </c>
      <c r="AG965" s="142">
        <f>B965*IBGE_2!AG$965/100</f>
        <v>0.67900000000000005</v>
      </c>
      <c r="AH965" s="142">
        <f>B965*IBGE_2!AH$965/100</f>
        <v>6.7000000000000004E-2</v>
      </c>
      <c r="AI965" s="142">
        <f>B965*IBGE_2!AI$965/100</f>
        <v>166</v>
      </c>
      <c r="AJ965" s="142">
        <f>B965*IBGE_2!AJ$965/100</f>
        <v>45.87</v>
      </c>
      <c r="AK965" s="142">
        <f>B965*IBGE_2!AK$965/100</f>
        <v>3</v>
      </c>
      <c r="AL965" s="142" t="s">
        <v>3047</v>
      </c>
      <c r="AM965" s="142" t="s">
        <v>3047</v>
      </c>
      <c r="AN965" s="161"/>
    </row>
    <row r="966" spans="1:40">
      <c r="A966" s="143" t="s">
        <v>2026</v>
      </c>
      <c r="B966" s="141">
        <v>100</v>
      </c>
      <c r="C966" s="142">
        <f>B966*IBGE_2!C$966/100</f>
        <v>199</v>
      </c>
      <c r="D966" s="142">
        <f>B966*IBGE_2!D$966/100</f>
        <v>36.119999999999997</v>
      </c>
      <c r="E966" s="142">
        <f>B966*IBGE_2!E$966/100</f>
        <v>5</v>
      </c>
      <c r="F966" s="142">
        <f>B966*IBGE_2!F$966/100</f>
        <v>1.72</v>
      </c>
      <c r="G966" s="142">
        <f>B966*IBGE_2!G$966/100</f>
        <v>2</v>
      </c>
      <c r="H966" s="142">
        <f>B966*IBGE_2!H$966/100</f>
        <v>0.22</v>
      </c>
      <c r="I966" s="142">
        <f>B966*IBGE_2!I$966/100</f>
        <v>0.17</v>
      </c>
      <c r="J966" s="142">
        <f>B966*IBGE_2!J$966/100</f>
        <v>0.02</v>
      </c>
      <c r="K966" s="142">
        <f>B966*IBGE_2!K$966/100</f>
        <v>90</v>
      </c>
      <c r="L966" s="142" t="s">
        <v>3047</v>
      </c>
      <c r="M966" s="142" t="s">
        <v>3047</v>
      </c>
      <c r="N966" s="142">
        <f>B966*IBGE_2!N$966/100</f>
        <v>4</v>
      </c>
      <c r="O966" s="142">
        <f>B966*IBGE_2!O$966/100</f>
        <v>26</v>
      </c>
      <c r="P966" s="142">
        <f>B966*IBGE_2!P$966/100</f>
        <v>1.7999999999999999E-2</v>
      </c>
      <c r="Q966" s="142">
        <f>B966*IBGE_2!Q$966/100</f>
        <v>226</v>
      </c>
      <c r="R966" s="142">
        <f>B966*IBGE_2!R$966/100</f>
        <v>3.32</v>
      </c>
      <c r="S966" s="142">
        <f>B966*IBGE_2!S$966/100</f>
        <v>45</v>
      </c>
      <c r="T966" s="142">
        <f>B966*IBGE_2!T$966/100</f>
        <v>334</v>
      </c>
      <c r="U966" s="142">
        <f>B966*IBGE_2!U$966/100</f>
        <v>0.124</v>
      </c>
      <c r="V966" s="142">
        <f>B966*IBGE_2!V$966/100</f>
        <v>4.5599999999999996</v>
      </c>
      <c r="W966" s="142" t="s">
        <v>3047</v>
      </c>
      <c r="X966" s="142">
        <f>B966*IBGE_2!X$966/100</f>
        <v>7.0000000000000007E-2</v>
      </c>
      <c r="Y966" s="142">
        <f>B966*IBGE_2!Y$966/100</f>
        <v>0.25</v>
      </c>
      <c r="Z966" s="142">
        <f>B966*IBGE_2!Z$966/100</f>
        <v>0.28000000000000003</v>
      </c>
      <c r="AA966" s="142">
        <f>B966*IBGE_2!AA$966/100</f>
        <v>3.81</v>
      </c>
      <c r="AB966" s="142" t="s">
        <v>3047</v>
      </c>
      <c r="AC966" s="142">
        <f>B966*IBGE_2!AC$966/100</f>
        <v>7.76</v>
      </c>
      <c r="AD966" s="142">
        <f>B966*IBGE_2!AD$966/100</f>
        <v>2.7</v>
      </c>
      <c r="AE966" s="142">
        <f>B966*IBGE_2!AE$966/100</f>
        <v>9</v>
      </c>
      <c r="AF966" s="142">
        <f>B966*IBGE_2!AF$966/100</f>
        <v>0.7</v>
      </c>
      <c r="AG966" s="142">
        <f>B966*IBGE_2!AG$966/100</f>
        <v>0.14000000000000001</v>
      </c>
      <c r="AH966" s="142">
        <f>B966*IBGE_2!AH$966/100</f>
        <v>0.22699999999999998</v>
      </c>
      <c r="AI966" s="142">
        <f>B966*IBGE_2!AI$966/100</f>
        <v>333</v>
      </c>
      <c r="AJ966" s="142">
        <f>B966*IBGE_2!AJ$966/100</f>
        <v>33</v>
      </c>
      <c r="AK966" s="145" t="s">
        <v>3047</v>
      </c>
      <c r="AL966" s="142" t="s">
        <v>3047</v>
      </c>
      <c r="AM966" s="142" t="s">
        <v>3047</v>
      </c>
      <c r="AN966" s="161"/>
    </row>
    <row r="967" spans="1:40">
      <c r="A967" s="143" t="s">
        <v>2027</v>
      </c>
      <c r="B967" s="141">
        <v>100</v>
      </c>
      <c r="C967" s="142">
        <f>B967*IBGE_2!C$967/100</f>
        <v>199</v>
      </c>
      <c r="D967" s="142">
        <f>B967*IBGE_2!D$967/100</f>
        <v>36.119999999999997</v>
      </c>
      <c r="E967" s="142">
        <f>B967*IBGE_2!E$967/100</f>
        <v>5</v>
      </c>
      <c r="F967" s="142">
        <f>B967*IBGE_2!F$967/100</f>
        <v>1.72</v>
      </c>
      <c r="G967" s="142">
        <f>B967*IBGE_2!G$967/100</f>
        <v>2</v>
      </c>
      <c r="H967" s="142">
        <f>B967*IBGE_2!H$967/100</f>
        <v>0.22</v>
      </c>
      <c r="I967" s="142">
        <f>B967*IBGE_2!I$967/100</f>
        <v>0.17</v>
      </c>
      <c r="J967" s="142">
        <f>B967*IBGE_2!J$967/100</f>
        <v>0.02</v>
      </c>
      <c r="K967" s="142">
        <f>B967*IBGE_2!K$967/100</f>
        <v>90</v>
      </c>
      <c r="L967" s="142" t="s">
        <v>3047</v>
      </c>
      <c r="M967" s="142" t="s">
        <v>3047</v>
      </c>
      <c r="N967" s="142">
        <f>B967*IBGE_2!N$967/100</f>
        <v>4</v>
      </c>
      <c r="O967" s="142">
        <f>B967*IBGE_2!O$967/100</f>
        <v>26</v>
      </c>
      <c r="P967" s="142">
        <f>B967*IBGE_2!P$967/100</f>
        <v>1.7999999999999999E-2</v>
      </c>
      <c r="Q967" s="142">
        <f>B967*IBGE_2!Q$967/100</f>
        <v>226</v>
      </c>
      <c r="R967" s="142">
        <f>B967*IBGE_2!R$967/100</f>
        <v>3.32</v>
      </c>
      <c r="S967" s="142">
        <f>B967*IBGE_2!S$967/100</f>
        <v>45</v>
      </c>
      <c r="T967" s="142">
        <f>B967*IBGE_2!T$967/100</f>
        <v>334</v>
      </c>
      <c r="U967" s="142">
        <f>B967*IBGE_2!U$967/100</f>
        <v>0.124</v>
      </c>
      <c r="V967" s="142">
        <f>B967*IBGE_2!V$967/100</f>
        <v>4.5599999999999996</v>
      </c>
      <c r="W967" s="142" t="s">
        <v>3047</v>
      </c>
      <c r="X967" s="142">
        <f>B967*IBGE_2!X$967/100</f>
        <v>7.0000000000000007E-2</v>
      </c>
      <c r="Y967" s="142">
        <f>B967*IBGE_2!Y$967/100</f>
        <v>0.25</v>
      </c>
      <c r="Z967" s="142">
        <f>B967*IBGE_2!Z$967/100</f>
        <v>0.28000000000000003</v>
      </c>
      <c r="AA967" s="142">
        <f>B967*IBGE_2!AA$967/100</f>
        <v>3.81</v>
      </c>
      <c r="AB967" s="142" t="s">
        <v>3047</v>
      </c>
      <c r="AC967" s="142">
        <f>B967*IBGE_2!AC$967/100</f>
        <v>7.76</v>
      </c>
      <c r="AD967" s="142">
        <f>B967*IBGE_2!AD$967/100</f>
        <v>2.7</v>
      </c>
      <c r="AE967" s="142">
        <f>B967*IBGE_2!AE$967/100</f>
        <v>9</v>
      </c>
      <c r="AF967" s="142">
        <f>B967*IBGE_2!AF$967/100</f>
        <v>0.7</v>
      </c>
      <c r="AG967" s="142">
        <f>B967*IBGE_2!AG$967/100</f>
        <v>0.14000000000000001</v>
      </c>
      <c r="AH967" s="142">
        <f>B967*IBGE_2!AH$967/100</f>
        <v>0.22699999999999998</v>
      </c>
      <c r="AI967" s="142">
        <f>B967*IBGE_2!AI$967/100</f>
        <v>333</v>
      </c>
      <c r="AJ967" s="142">
        <f>B967*IBGE_2!AJ$967/100</f>
        <v>33</v>
      </c>
      <c r="AK967" s="145" t="s">
        <v>3047</v>
      </c>
      <c r="AL967" s="142" t="s">
        <v>3047</v>
      </c>
      <c r="AM967" s="142" t="s">
        <v>3047</v>
      </c>
      <c r="AN967" s="161"/>
    </row>
    <row r="968" spans="1:40">
      <c r="A968" s="143" t="s">
        <v>2028</v>
      </c>
      <c r="B968" s="141">
        <v>100</v>
      </c>
      <c r="C968" s="142">
        <f>B968*IBGE_2!C$968/100</f>
        <v>248.56700000000001</v>
      </c>
      <c r="D968" s="142">
        <f>B968*IBGE_2!D$968/100</f>
        <v>36.119999999999997</v>
      </c>
      <c r="E968" s="142">
        <f>B968*IBGE_2!E$968/100</f>
        <v>10.606999999999998</v>
      </c>
      <c r="F968" s="142">
        <f>B968*IBGE_2!F$968/100</f>
        <v>2.5980000000000003</v>
      </c>
      <c r="G968" s="142">
        <f>B968*IBGE_2!G$968/100</f>
        <v>3.2769999999999997</v>
      </c>
      <c r="H968" s="142">
        <f>B968*IBGE_2!H$968/100</f>
        <v>3.4580000000000002</v>
      </c>
      <c r="I968" s="142">
        <f>B968*IBGE_2!I$968/100</f>
        <v>3.0269999999999997</v>
      </c>
      <c r="J968" s="142">
        <f>B968*IBGE_2!J$968/100</f>
        <v>0.40100000000000002</v>
      </c>
      <c r="K968" s="142">
        <f>B968*IBGE_2!K$968/100</f>
        <v>90</v>
      </c>
      <c r="L968" s="142" t="s">
        <v>3047</v>
      </c>
      <c r="M968" s="142" t="s">
        <v>3047</v>
      </c>
      <c r="N968" s="142">
        <f>B968*IBGE_2!N$968/100</f>
        <v>4</v>
      </c>
      <c r="O968" s="142">
        <f>B968*IBGE_2!O$968/100</f>
        <v>26</v>
      </c>
      <c r="P968" s="142">
        <f>B968*IBGE_2!P$968/100</f>
        <v>1.7999999999999999E-2</v>
      </c>
      <c r="Q968" s="142">
        <f>B968*IBGE_2!Q$968/100</f>
        <v>226</v>
      </c>
      <c r="R968" s="142">
        <f>B968*IBGE_2!R$968/100</f>
        <v>3.323</v>
      </c>
      <c r="S968" s="142">
        <f>B968*IBGE_2!S$968/100</f>
        <v>45</v>
      </c>
      <c r="T968" s="142">
        <f>B968*IBGE_2!T$968/100</f>
        <v>334</v>
      </c>
      <c r="U968" s="142">
        <f>B968*IBGE_2!U$968/100</f>
        <v>0.124</v>
      </c>
      <c r="V968" s="142">
        <f>B968*IBGE_2!V$968/100</f>
        <v>4.5609999999999999</v>
      </c>
      <c r="W968" s="142" t="s">
        <v>3047</v>
      </c>
      <c r="X968" s="142">
        <f>B968*IBGE_2!X$968/100</f>
        <v>7.0000000000000007E-2</v>
      </c>
      <c r="Y968" s="142">
        <f>B968*IBGE_2!Y$968/100</f>
        <v>0.25</v>
      </c>
      <c r="Z968" s="142">
        <f>B968*IBGE_2!Z$968/100</f>
        <v>0.28000000000000003</v>
      </c>
      <c r="AA968" s="142">
        <f>B968*IBGE_2!AA$968/100</f>
        <v>3.81</v>
      </c>
      <c r="AB968" s="142" t="s">
        <v>3047</v>
      </c>
      <c r="AC968" s="142">
        <f>B968*IBGE_2!AC$968/100</f>
        <v>7.76</v>
      </c>
      <c r="AD968" s="142">
        <f>B968*IBGE_2!AD$968/100</f>
        <v>2.7</v>
      </c>
      <c r="AE968" s="142">
        <f>B968*IBGE_2!AE$968/100</f>
        <v>9</v>
      </c>
      <c r="AF968" s="142">
        <f>B968*IBGE_2!AF$968/100</f>
        <v>0.7</v>
      </c>
      <c r="AG968" s="142">
        <f>B968*IBGE_2!AG$968/100</f>
        <v>0.59899999999999998</v>
      </c>
      <c r="AH968" s="142">
        <f>B968*IBGE_2!AH$968/100</f>
        <v>0.25700000000000001</v>
      </c>
      <c r="AI968" s="142">
        <f>B968*IBGE_2!AI$968/100</f>
        <v>333</v>
      </c>
      <c r="AJ968" s="142">
        <f>B968*IBGE_2!AJ$968/100</f>
        <v>35.57</v>
      </c>
      <c r="AK968" s="145" t="s">
        <v>3047</v>
      </c>
      <c r="AL968" s="142" t="s">
        <v>3047</v>
      </c>
      <c r="AM968" s="142" t="s">
        <v>3047</v>
      </c>
      <c r="AN968" s="161"/>
    </row>
    <row r="969" spans="1:40">
      <c r="A969" s="143" t="s">
        <v>2029</v>
      </c>
      <c r="B969" s="141">
        <v>100</v>
      </c>
      <c r="C969" s="142">
        <f>B969*IBGE_2!C$969/100</f>
        <v>248.56700000000001</v>
      </c>
      <c r="D969" s="142">
        <f>B969*IBGE_2!D$969/100</f>
        <v>36.119999999999997</v>
      </c>
      <c r="E969" s="142">
        <f>B969*IBGE_2!E$969/100</f>
        <v>10.606999999999998</v>
      </c>
      <c r="F969" s="142">
        <f>B969*IBGE_2!F$969/100</f>
        <v>2.5980000000000003</v>
      </c>
      <c r="G969" s="142">
        <f>B969*IBGE_2!G$969/100</f>
        <v>3.2769999999999997</v>
      </c>
      <c r="H969" s="142">
        <f>B969*IBGE_2!H$969/100</f>
        <v>3.4580000000000002</v>
      </c>
      <c r="I969" s="142">
        <f>B969*IBGE_2!I$969/100</f>
        <v>3.0269999999999997</v>
      </c>
      <c r="J969" s="142">
        <f>B969*IBGE_2!J$969/100</f>
        <v>0.40100000000000002</v>
      </c>
      <c r="K969" s="142">
        <f>B969*IBGE_2!K$969/100</f>
        <v>90</v>
      </c>
      <c r="L969" s="142" t="s">
        <v>3047</v>
      </c>
      <c r="M969" s="142" t="s">
        <v>3047</v>
      </c>
      <c r="N969" s="142">
        <f>B969*IBGE_2!N$969/100</f>
        <v>4</v>
      </c>
      <c r="O969" s="142">
        <f>B969*IBGE_2!O$969/100</f>
        <v>26</v>
      </c>
      <c r="P969" s="142">
        <f>B969*IBGE_2!P$969/100</f>
        <v>1.7999999999999999E-2</v>
      </c>
      <c r="Q969" s="142">
        <f>B969*IBGE_2!Q$969/100</f>
        <v>226</v>
      </c>
      <c r="R969" s="142">
        <f>B969*IBGE_2!R$969/100</f>
        <v>3.323</v>
      </c>
      <c r="S969" s="142">
        <f>B969*IBGE_2!S$969/100</f>
        <v>45</v>
      </c>
      <c r="T969" s="142">
        <f>B969*IBGE_2!T$969/100</f>
        <v>334</v>
      </c>
      <c r="U969" s="142">
        <f>B969*IBGE_2!U$969/100</f>
        <v>0.124</v>
      </c>
      <c r="V969" s="142">
        <f>B969*IBGE_2!V$969/100</f>
        <v>4.5609999999999999</v>
      </c>
      <c r="W969" s="142" t="s">
        <v>3047</v>
      </c>
      <c r="X969" s="142">
        <f>B969*IBGE_2!X$969/100</f>
        <v>7.0000000000000007E-2</v>
      </c>
      <c r="Y969" s="142">
        <f>B969*IBGE_2!Y$969/100</f>
        <v>0.25</v>
      </c>
      <c r="Z969" s="142">
        <f>B969*IBGE_2!Z$969/100</f>
        <v>0.28000000000000003</v>
      </c>
      <c r="AA969" s="142">
        <f>B969*IBGE_2!AA$969/100</f>
        <v>3.81</v>
      </c>
      <c r="AB969" s="142" t="s">
        <v>3047</v>
      </c>
      <c r="AC969" s="142">
        <f>B969*IBGE_2!AC$969/100</f>
        <v>7.76</v>
      </c>
      <c r="AD969" s="142">
        <f>B969*IBGE_2!AD$969/100</f>
        <v>2.7</v>
      </c>
      <c r="AE969" s="142">
        <f>B969*IBGE_2!AE$969/100</f>
        <v>9</v>
      </c>
      <c r="AF969" s="142">
        <f>B969*IBGE_2!AF$969/100</f>
        <v>0.7</v>
      </c>
      <c r="AG969" s="142">
        <f>B969*IBGE_2!AG$969/100</f>
        <v>0.59899999999999998</v>
      </c>
      <c r="AH969" s="142">
        <f>B969*IBGE_2!AH$969/100</f>
        <v>0.25700000000000001</v>
      </c>
      <c r="AI969" s="142">
        <f>B969*IBGE_2!AI$969/100</f>
        <v>333</v>
      </c>
      <c r="AJ969" s="142">
        <f>B969*IBGE_2!AJ$969/100</f>
        <v>35.57</v>
      </c>
      <c r="AK969" s="145" t="s">
        <v>3047</v>
      </c>
      <c r="AL969" s="142" t="s">
        <v>3047</v>
      </c>
      <c r="AM969" s="142" t="s">
        <v>3047</v>
      </c>
      <c r="AN969" s="161"/>
    </row>
    <row r="970" spans="1:40">
      <c r="A970" s="143" t="s">
        <v>2030</v>
      </c>
      <c r="B970" s="141">
        <v>100</v>
      </c>
      <c r="C970" s="142">
        <f>B970*IBGE_2!C$970/100</f>
        <v>164</v>
      </c>
      <c r="D970" s="142">
        <f>B970*IBGE_2!D$970/100</f>
        <v>29.16</v>
      </c>
      <c r="E970" s="142">
        <f>B970*IBGE_2!E$970/100</f>
        <v>4.0359999999999996</v>
      </c>
      <c r="F970" s="142">
        <f>B970*IBGE_2!F$970/100</f>
        <v>1.381</v>
      </c>
      <c r="G970" s="142">
        <f>B970*IBGE_2!G$970/100</f>
        <v>1.605</v>
      </c>
      <c r="H970" s="142">
        <f>B970*IBGE_2!H$970/100</f>
        <v>0.191</v>
      </c>
      <c r="I970" s="142">
        <f>B970*IBGE_2!I$970/100</f>
        <v>0.15</v>
      </c>
      <c r="J970" s="142">
        <f>B970*IBGE_2!J$970/100</f>
        <v>1.7000000000000001E-2</v>
      </c>
      <c r="K970" s="142">
        <f>B970*IBGE_2!K$970/100</f>
        <v>72</v>
      </c>
      <c r="L970" s="142">
        <f>B970*IBGE_2!L$970/100</f>
        <v>1.0760000000000001</v>
      </c>
      <c r="M970" s="142">
        <f>B970*IBGE_2!M$970/100</f>
        <v>0.3</v>
      </c>
      <c r="N970" s="142">
        <f>B970*IBGE_2!N$970/100</f>
        <v>5.8</v>
      </c>
      <c r="O970" s="142">
        <f>B970*IBGE_2!O$970/100</f>
        <v>24</v>
      </c>
      <c r="P970" s="142">
        <f>B970*IBGE_2!P$970/100</f>
        <v>3.5999999999999997E-2</v>
      </c>
      <c r="Q970" s="142">
        <f>B970*IBGE_2!Q$970/100</f>
        <v>186</v>
      </c>
      <c r="R970" s="142">
        <f>B970*IBGE_2!R$970/100</f>
        <v>2.86</v>
      </c>
      <c r="S970" s="142">
        <f>B970*IBGE_2!S$970/100</f>
        <v>140.80000000000001</v>
      </c>
      <c r="T970" s="142">
        <f>B970*IBGE_2!T$970/100</f>
        <v>333.4</v>
      </c>
      <c r="U970" s="142">
        <f>B970*IBGE_2!U$970/100</f>
        <v>0.12300000000000001</v>
      </c>
      <c r="V970" s="142">
        <f>B970*IBGE_2!V$970/100</f>
        <v>3.6880000000000002</v>
      </c>
      <c r="W970" s="142" t="s">
        <v>3047</v>
      </c>
      <c r="X970" s="142">
        <f>B970*IBGE_2!X$970/100</f>
        <v>6.0999999999999999E-2</v>
      </c>
      <c r="Y970" s="142">
        <f>B970*IBGE_2!Y$970/100</f>
        <v>0.21299999999999999</v>
      </c>
      <c r="Z970" s="142">
        <f>B970*IBGE_2!Z$970/100</f>
        <v>0.24299999999999999</v>
      </c>
      <c r="AA970" s="142">
        <f>B970*IBGE_2!AA$970/100</f>
        <v>3.2430000000000003</v>
      </c>
      <c r="AB970" s="142">
        <f>B970*IBGE_2!AB$970/100</f>
        <v>1.4</v>
      </c>
      <c r="AC970" s="142">
        <f>B970*IBGE_2!AC$970/100</f>
        <v>6.4359999999999999</v>
      </c>
      <c r="AD970" s="142">
        <f>B970*IBGE_2!AD$970/100</f>
        <v>2.16</v>
      </c>
      <c r="AE970" s="142">
        <f>B970*IBGE_2!AE$970/100</f>
        <v>9.4</v>
      </c>
      <c r="AF970" s="142">
        <f>B970*IBGE_2!AF$970/100</f>
        <v>0.56000000000000005</v>
      </c>
      <c r="AG970" s="142">
        <f>B970*IBGE_2!AG$970/100</f>
        <v>0.39600000000000002</v>
      </c>
      <c r="AH970" s="142">
        <f>B970*IBGE_2!AH$970/100</f>
        <v>0.182</v>
      </c>
      <c r="AI970" s="142">
        <f>B970*IBGE_2!AI$970/100</f>
        <v>333</v>
      </c>
      <c r="AJ970" s="142">
        <f>B970*IBGE_2!AJ$970/100</f>
        <v>26.44</v>
      </c>
      <c r="AK970" s="142">
        <f>B970*IBGE_2!AK$970/100</f>
        <v>3.4830000000000001</v>
      </c>
      <c r="AL970" s="142">
        <f>B970*IBGE_2!AL$970/100</f>
        <v>0.85</v>
      </c>
      <c r="AM970" s="142" t="s">
        <v>3047</v>
      </c>
      <c r="AN970" s="161"/>
    </row>
    <row r="971" spans="1:40">
      <c r="A971" s="143" t="s">
        <v>2031</v>
      </c>
      <c r="B971" s="141">
        <v>100</v>
      </c>
      <c r="C971" s="142">
        <f>B971*IBGE_2!C$971/100</f>
        <v>289</v>
      </c>
      <c r="D971" s="142">
        <f>B971*IBGE_2!D$971/100</f>
        <v>25.34</v>
      </c>
      <c r="E971" s="142">
        <f>B971*IBGE_2!E$971/100</f>
        <v>20.059999999999999</v>
      </c>
      <c r="F971" s="142">
        <f>B971*IBGE_2!F$971/100</f>
        <v>7.36</v>
      </c>
      <c r="G971" s="142">
        <f>B971*IBGE_2!G$971/100</f>
        <v>9.02</v>
      </c>
      <c r="H971" s="142">
        <f>B971*IBGE_2!H$971/100</f>
        <v>1.89</v>
      </c>
      <c r="I971" s="142">
        <f>B971*IBGE_2!I$971/100</f>
        <v>1.71</v>
      </c>
      <c r="J971" s="142">
        <f>B971*IBGE_2!J$971/100</f>
        <v>0.06</v>
      </c>
      <c r="K971" s="142">
        <f>B971*IBGE_2!K$971/100</f>
        <v>92</v>
      </c>
      <c r="L971" s="142" t="s">
        <v>3047</v>
      </c>
      <c r="M971" s="142" t="s">
        <v>3047</v>
      </c>
      <c r="N971" s="142">
        <f>B971*IBGE_2!N$971/100</f>
        <v>15</v>
      </c>
      <c r="O971" s="142">
        <f>B971*IBGE_2!O$971/100</f>
        <v>22</v>
      </c>
      <c r="P971" s="142">
        <f>B971*IBGE_2!P$971/100</f>
        <v>2.8000000000000004E-2</v>
      </c>
      <c r="Q971" s="142">
        <f>B971*IBGE_2!Q$971/100</f>
        <v>257</v>
      </c>
      <c r="R971" s="142">
        <f>B971*IBGE_2!R$971/100</f>
        <v>0.98</v>
      </c>
      <c r="S971" s="142">
        <f>B971*IBGE_2!S$971/100</f>
        <v>59</v>
      </c>
      <c r="T971" s="142">
        <f>B971*IBGE_2!T$971/100</f>
        <v>338</v>
      </c>
      <c r="U971" s="142">
        <f>B971*IBGE_2!U$971/100</f>
        <v>9.8000000000000004E-2</v>
      </c>
      <c r="V971" s="142">
        <f>B971*IBGE_2!V$971/100</f>
        <v>3.06</v>
      </c>
      <c r="W971" s="142">
        <f>B971*IBGE_2!W$971/100</f>
        <v>3</v>
      </c>
      <c r="X971" s="142">
        <f>B971*IBGE_2!X$971/100</f>
        <v>0.57799999999999996</v>
      </c>
      <c r="Y971" s="142">
        <f>B971*IBGE_2!Y$971/100</f>
        <v>0.30199999999999999</v>
      </c>
      <c r="Z971" s="142">
        <f>B971*IBGE_2!Z$971/100</f>
        <v>0.40100000000000002</v>
      </c>
      <c r="AA971" s="142">
        <f>B971*IBGE_2!AA$971/100</f>
        <v>4.46</v>
      </c>
      <c r="AB971" s="142">
        <f>B971*IBGE_2!AB$971/100</f>
        <v>0.3</v>
      </c>
      <c r="AC971" s="142">
        <f>B971*IBGE_2!AC$971/100</f>
        <v>9.4770000000000003</v>
      </c>
      <c r="AD971" s="142">
        <f>B971*IBGE_2!AD$971/100</f>
        <v>0.66</v>
      </c>
      <c r="AE971" s="142">
        <f>B971*IBGE_2!AE$971/100</f>
        <v>5</v>
      </c>
      <c r="AF971" s="142">
        <f>B971*IBGE_2!AF$971/100</f>
        <v>1.1000000000000001</v>
      </c>
      <c r="AG971" s="142">
        <f>B971*IBGE_2!AG$971/100</f>
        <v>0.22</v>
      </c>
      <c r="AH971" s="142">
        <f>B971*IBGE_2!AH$971/100</f>
        <v>3.6999999999999998E-2</v>
      </c>
      <c r="AI971" s="142">
        <f>B971*IBGE_2!AI$971/100</f>
        <v>166</v>
      </c>
      <c r="AJ971" s="142">
        <f>B971*IBGE_2!AJ$971/100</f>
        <v>43.3</v>
      </c>
      <c r="AK971" s="142">
        <f>B971*IBGE_2!AK$971/100</f>
        <v>3</v>
      </c>
      <c r="AL971" s="142" t="s">
        <v>3047</v>
      </c>
      <c r="AM971" s="142" t="s">
        <v>3047</v>
      </c>
      <c r="AN971" s="161"/>
    </row>
    <row r="972" spans="1:40">
      <c r="A972" s="143" t="s">
        <v>2032</v>
      </c>
      <c r="B972" s="141">
        <v>100</v>
      </c>
      <c r="C972" s="142">
        <f>B972*IBGE_2!C$972/100</f>
        <v>289</v>
      </c>
      <c r="D972" s="142">
        <f>B972*IBGE_2!D$972/100</f>
        <v>25.34</v>
      </c>
      <c r="E972" s="142">
        <f>B972*IBGE_2!E$972/100</f>
        <v>20.059999999999999</v>
      </c>
      <c r="F972" s="142">
        <f>B972*IBGE_2!F$972/100</f>
        <v>7.36</v>
      </c>
      <c r="G972" s="142">
        <f>B972*IBGE_2!G$972/100</f>
        <v>9.02</v>
      </c>
      <c r="H972" s="142">
        <f>B972*IBGE_2!H$972/100</f>
        <v>1.89</v>
      </c>
      <c r="I972" s="142">
        <f>B972*IBGE_2!I$972/100</f>
        <v>1.71</v>
      </c>
      <c r="J972" s="142">
        <f>B972*IBGE_2!J$972/100</f>
        <v>0.06</v>
      </c>
      <c r="K972" s="142">
        <f>B972*IBGE_2!K$972/100</f>
        <v>92</v>
      </c>
      <c r="L972" s="142" t="s">
        <v>3047</v>
      </c>
      <c r="M972" s="142" t="s">
        <v>3047</v>
      </c>
      <c r="N972" s="142">
        <f>B972*IBGE_2!N$972/100</f>
        <v>15</v>
      </c>
      <c r="O972" s="142">
        <f>B972*IBGE_2!O$972/100</f>
        <v>22</v>
      </c>
      <c r="P972" s="142">
        <f>B972*IBGE_2!P$972/100</f>
        <v>2.8000000000000004E-2</v>
      </c>
      <c r="Q972" s="142">
        <f>B972*IBGE_2!Q$972/100</f>
        <v>257</v>
      </c>
      <c r="R972" s="142">
        <f>B972*IBGE_2!R$972/100</f>
        <v>0.98</v>
      </c>
      <c r="S972" s="142">
        <f>B972*IBGE_2!S$972/100</f>
        <v>59</v>
      </c>
      <c r="T972" s="142">
        <f>B972*IBGE_2!T$972/100</f>
        <v>338</v>
      </c>
      <c r="U972" s="142">
        <f>B972*IBGE_2!U$972/100</f>
        <v>9.8000000000000004E-2</v>
      </c>
      <c r="V972" s="142">
        <f>B972*IBGE_2!V$972/100</f>
        <v>3.06</v>
      </c>
      <c r="W972" s="142">
        <f>B972*IBGE_2!W$972/100</f>
        <v>3</v>
      </c>
      <c r="X972" s="142">
        <f>B972*IBGE_2!X$972/100</f>
        <v>0.57799999999999996</v>
      </c>
      <c r="Y972" s="142">
        <f>B972*IBGE_2!Y$972/100</f>
        <v>0.30199999999999999</v>
      </c>
      <c r="Z972" s="142">
        <f>B972*IBGE_2!Z$972/100</f>
        <v>0.40100000000000002</v>
      </c>
      <c r="AA972" s="142">
        <f>B972*IBGE_2!AA$972/100</f>
        <v>4.46</v>
      </c>
      <c r="AB972" s="142">
        <f>B972*IBGE_2!AB$972/100</f>
        <v>0.3</v>
      </c>
      <c r="AC972" s="142">
        <f>B972*IBGE_2!AC$972/100</f>
        <v>9.4770000000000003</v>
      </c>
      <c r="AD972" s="142">
        <f>B972*IBGE_2!AD$972/100</f>
        <v>0.66</v>
      </c>
      <c r="AE972" s="142">
        <f>B972*IBGE_2!AE$972/100</f>
        <v>5</v>
      </c>
      <c r="AF972" s="142">
        <f>B972*IBGE_2!AF$972/100</f>
        <v>1.1000000000000001</v>
      </c>
      <c r="AG972" s="142">
        <f>B972*IBGE_2!AG$972/100</f>
        <v>0.22</v>
      </c>
      <c r="AH972" s="142">
        <f>B972*IBGE_2!AH$972/100</f>
        <v>3.6999999999999998E-2</v>
      </c>
      <c r="AI972" s="142">
        <f>B972*IBGE_2!AI$972/100</f>
        <v>166</v>
      </c>
      <c r="AJ972" s="142">
        <f>B972*IBGE_2!AJ$972/100</f>
        <v>43.3</v>
      </c>
      <c r="AK972" s="142">
        <f>B972*IBGE_2!AK$972/100</f>
        <v>3</v>
      </c>
      <c r="AL972" s="142" t="s">
        <v>3047</v>
      </c>
      <c r="AM972" s="142" t="s">
        <v>3047</v>
      </c>
      <c r="AN972" s="161"/>
    </row>
    <row r="973" spans="1:40">
      <c r="A973" s="143" t="s">
        <v>2033</v>
      </c>
      <c r="B973" s="141">
        <v>100</v>
      </c>
      <c r="C973" s="142">
        <f>B973*IBGE_2!C$973/100</f>
        <v>338.56699999999995</v>
      </c>
      <c r="D973" s="142">
        <f>B973*IBGE_2!D$973/100</f>
        <v>25.34</v>
      </c>
      <c r="E973" s="142">
        <f>B973*IBGE_2!E$973/100</f>
        <v>25.667000000000002</v>
      </c>
      <c r="F973" s="142">
        <f>B973*IBGE_2!F$973/100</f>
        <v>8.2379999999999995</v>
      </c>
      <c r="G973" s="142">
        <f>B973*IBGE_2!G$973/100</f>
        <v>10.297000000000001</v>
      </c>
      <c r="H973" s="142">
        <f>B973*IBGE_2!H$973/100</f>
        <v>5.1279999999999992</v>
      </c>
      <c r="I973" s="142">
        <f>B973*IBGE_2!I$973/100</f>
        <v>4.5670000000000002</v>
      </c>
      <c r="J973" s="142">
        <f>B973*IBGE_2!J$973/100</f>
        <v>0.441</v>
      </c>
      <c r="K973" s="142">
        <f>B973*IBGE_2!K$973/100</f>
        <v>92</v>
      </c>
      <c r="L973" s="142" t="s">
        <v>3047</v>
      </c>
      <c r="M973" s="142" t="s">
        <v>3047</v>
      </c>
      <c r="N973" s="142">
        <f>B973*IBGE_2!N$973/100</f>
        <v>15</v>
      </c>
      <c r="O973" s="142">
        <f>B973*IBGE_2!O$973/100</f>
        <v>22</v>
      </c>
      <c r="P973" s="142">
        <f>B973*IBGE_2!P$973/100</f>
        <v>2.8000000000000004E-2</v>
      </c>
      <c r="Q973" s="142">
        <f>B973*IBGE_2!Q$973/100</f>
        <v>257</v>
      </c>
      <c r="R973" s="142">
        <f>B973*IBGE_2!R$973/100</f>
        <v>0.98299999999999998</v>
      </c>
      <c r="S973" s="142">
        <f>B973*IBGE_2!S$973/100</f>
        <v>59</v>
      </c>
      <c r="T973" s="142">
        <f>B973*IBGE_2!T$973/100</f>
        <v>338</v>
      </c>
      <c r="U973" s="142">
        <f>B973*IBGE_2!U$973/100</f>
        <v>9.8000000000000004E-2</v>
      </c>
      <c r="V973" s="142">
        <f>B973*IBGE_2!V$973/100</f>
        <v>3.0610000000000004</v>
      </c>
      <c r="W973" s="142">
        <f>B973*IBGE_2!W$973/100</f>
        <v>3</v>
      </c>
      <c r="X973" s="142">
        <f>B973*IBGE_2!X$973/100</f>
        <v>0.57799999999999996</v>
      </c>
      <c r="Y973" s="142">
        <f>B973*IBGE_2!Y$973/100</f>
        <v>0.30199999999999999</v>
      </c>
      <c r="Z973" s="142">
        <f>B973*IBGE_2!Z$973/100</f>
        <v>0.40100000000000002</v>
      </c>
      <c r="AA973" s="142">
        <f>B973*IBGE_2!AA$973/100</f>
        <v>4.46</v>
      </c>
      <c r="AB973" s="142">
        <f>B973*IBGE_2!AB$973/100</f>
        <v>0.3</v>
      </c>
      <c r="AC973" s="142">
        <f>B973*IBGE_2!AC$973/100</f>
        <v>9.4770000000000003</v>
      </c>
      <c r="AD973" s="142">
        <f>B973*IBGE_2!AD$973/100</f>
        <v>0.66</v>
      </c>
      <c r="AE973" s="142">
        <f>B973*IBGE_2!AE$973/100</f>
        <v>5</v>
      </c>
      <c r="AF973" s="142">
        <f>B973*IBGE_2!AF$973/100</f>
        <v>1.1000000000000001</v>
      </c>
      <c r="AG973" s="142">
        <f>B973*IBGE_2!AG$973/100</f>
        <v>0.67900000000000005</v>
      </c>
      <c r="AH973" s="142">
        <f>B973*IBGE_2!AH$973/100</f>
        <v>6.7000000000000004E-2</v>
      </c>
      <c r="AI973" s="142">
        <f>B973*IBGE_2!AI$973/100</f>
        <v>166</v>
      </c>
      <c r="AJ973" s="142">
        <f>B973*IBGE_2!AJ$973/100</f>
        <v>45.87</v>
      </c>
      <c r="AK973" s="142">
        <f>B973*IBGE_2!AK$973/100</f>
        <v>3</v>
      </c>
      <c r="AL973" s="142" t="s">
        <v>3047</v>
      </c>
      <c r="AM973" s="142" t="s">
        <v>3047</v>
      </c>
      <c r="AN973" s="161"/>
    </row>
    <row r="974" spans="1:40">
      <c r="A974" s="143" t="s">
        <v>2034</v>
      </c>
      <c r="B974" s="141">
        <v>100</v>
      </c>
      <c r="C974" s="142">
        <f>B974*IBGE_2!C$974/100</f>
        <v>204</v>
      </c>
      <c r="D974" s="142">
        <f>B974*IBGE_2!D$974/100</f>
        <v>30.67</v>
      </c>
      <c r="E974" s="142">
        <f>B974*IBGE_2!E$974/100</f>
        <v>9</v>
      </c>
      <c r="F974" s="142">
        <f>B974*IBGE_2!F$974/100</f>
        <v>3.415</v>
      </c>
      <c r="G974" s="142">
        <f>B974*IBGE_2!G$974/100</f>
        <v>3.9180000000000001</v>
      </c>
      <c r="H974" s="142">
        <f>B974*IBGE_2!H$974/100</f>
        <v>0.34699999999999998</v>
      </c>
      <c r="I974" s="142">
        <f>B974*IBGE_2!I$974/100</f>
        <v>0.23799999999999996</v>
      </c>
      <c r="J974" s="142">
        <f>B974*IBGE_2!J$974/100</f>
        <v>8.6999999999999994E-2</v>
      </c>
      <c r="K974" s="142">
        <f>B974*IBGE_2!K$974/100</f>
        <v>58</v>
      </c>
      <c r="L974" s="142" t="s">
        <v>3047</v>
      </c>
      <c r="M974" s="142" t="s">
        <v>3047</v>
      </c>
      <c r="N974" s="142">
        <f>B974*IBGE_2!N$974/100</f>
        <v>7</v>
      </c>
      <c r="O974" s="142">
        <f>B974*IBGE_2!O$974/100</f>
        <v>20</v>
      </c>
      <c r="P974" s="142">
        <f>B974*IBGE_2!P$974/100</f>
        <v>1.0999999999999999E-2</v>
      </c>
      <c r="Q974" s="142">
        <f>B974*IBGE_2!Q$974/100</f>
        <v>193</v>
      </c>
      <c r="R974" s="142">
        <f>B974*IBGE_2!R$974/100</f>
        <v>2.5299999999999998</v>
      </c>
      <c r="S974" s="142">
        <f>B974*IBGE_2!S$974/100</f>
        <v>41</v>
      </c>
      <c r="T974" s="142">
        <f>B974*IBGE_2!T$974/100</f>
        <v>252</v>
      </c>
      <c r="U974" s="142">
        <f>B974*IBGE_2!U$974/100</f>
        <v>7.3999999999999996E-2</v>
      </c>
      <c r="V974" s="142">
        <f>B974*IBGE_2!V$974/100</f>
        <v>5.2</v>
      </c>
      <c r="W974" s="142" t="s">
        <v>3047</v>
      </c>
      <c r="X974" s="142">
        <f>B974*IBGE_2!X$974/100</f>
        <v>7.0000000000000007E-2</v>
      </c>
      <c r="Y974" s="142">
        <f>B974*IBGE_2!Y$974/100</f>
        <v>0.16300000000000001</v>
      </c>
      <c r="Z974" s="142">
        <f>B974*IBGE_2!Z$974/100</f>
        <v>0.40300000000000002</v>
      </c>
      <c r="AA974" s="142">
        <f>B974*IBGE_2!AA$974/100</f>
        <v>5.36</v>
      </c>
      <c r="AB974" s="142" t="s">
        <v>3047</v>
      </c>
      <c r="AC974" s="142">
        <f>B974*IBGE_2!AC$974/100</f>
        <v>8.7270000000000003</v>
      </c>
      <c r="AD974" s="142">
        <f>B974*IBGE_2!AD$974/100</f>
        <v>1.71</v>
      </c>
      <c r="AE974" s="142">
        <f>B974*IBGE_2!AE$974/100</f>
        <v>10</v>
      </c>
      <c r="AF974" s="142">
        <f>B974*IBGE_2!AF$974/100</f>
        <v>0.6</v>
      </c>
      <c r="AG974" s="142">
        <f>B974*IBGE_2!AG$974/100</f>
        <v>0.43</v>
      </c>
      <c r="AH974" s="142">
        <f>B974*IBGE_2!AH$974/100</f>
        <v>0.40899999999999997</v>
      </c>
      <c r="AI974" s="142">
        <f>B974*IBGE_2!AI$974/100</f>
        <v>333</v>
      </c>
      <c r="AJ974" s="142">
        <f>B974*IBGE_2!AJ$974/100</f>
        <v>31.7</v>
      </c>
      <c r="AK974" s="145" t="s">
        <v>3047</v>
      </c>
      <c r="AL974" s="142" t="s">
        <v>3047</v>
      </c>
      <c r="AM974" s="142" t="s">
        <v>3047</v>
      </c>
      <c r="AN974" s="161"/>
    </row>
    <row r="975" spans="1:40">
      <c r="A975" s="143" t="s">
        <v>2035</v>
      </c>
      <c r="B975" s="141">
        <v>100</v>
      </c>
      <c r="C975" s="142">
        <f>B975*IBGE_2!C$975/100</f>
        <v>204</v>
      </c>
      <c r="D975" s="142">
        <f>B975*IBGE_2!D$975/100</f>
        <v>30.67</v>
      </c>
      <c r="E975" s="142">
        <f>B975*IBGE_2!E$975/100</f>
        <v>9</v>
      </c>
      <c r="F975" s="142">
        <f>B975*IBGE_2!F$975/100</f>
        <v>3.415</v>
      </c>
      <c r="G975" s="142">
        <f>B975*IBGE_2!G$975/100</f>
        <v>3.9180000000000001</v>
      </c>
      <c r="H975" s="142">
        <f>B975*IBGE_2!H$975/100</f>
        <v>0.34699999999999998</v>
      </c>
      <c r="I975" s="142">
        <f>B975*IBGE_2!I$975/100</f>
        <v>0.23799999999999996</v>
      </c>
      <c r="J975" s="142">
        <f>B975*IBGE_2!J$975/100</f>
        <v>8.6999999999999994E-2</v>
      </c>
      <c r="K975" s="142">
        <f>B975*IBGE_2!K$975/100</f>
        <v>58</v>
      </c>
      <c r="L975" s="142" t="s">
        <v>3047</v>
      </c>
      <c r="M975" s="142" t="s">
        <v>3047</v>
      </c>
      <c r="N975" s="142">
        <f>B975*IBGE_2!N$975/100</f>
        <v>7</v>
      </c>
      <c r="O975" s="142">
        <f>B975*IBGE_2!O$975/100</f>
        <v>20</v>
      </c>
      <c r="P975" s="142">
        <f>B975*IBGE_2!P$975/100</f>
        <v>1.0999999999999999E-2</v>
      </c>
      <c r="Q975" s="142">
        <f>B975*IBGE_2!Q$975/100</f>
        <v>193</v>
      </c>
      <c r="R975" s="142">
        <f>B975*IBGE_2!R$975/100</f>
        <v>2.5299999999999998</v>
      </c>
      <c r="S975" s="142">
        <f>B975*IBGE_2!S$975/100</f>
        <v>41</v>
      </c>
      <c r="T975" s="142">
        <f>B975*IBGE_2!T$975/100</f>
        <v>252</v>
      </c>
      <c r="U975" s="142">
        <f>B975*IBGE_2!U$975/100</f>
        <v>7.3999999999999996E-2</v>
      </c>
      <c r="V975" s="142">
        <f>B975*IBGE_2!V$975/100</f>
        <v>5.2</v>
      </c>
      <c r="W975" s="142" t="s">
        <v>3047</v>
      </c>
      <c r="X975" s="142">
        <f>B975*IBGE_2!X$975/100</f>
        <v>7.0000000000000007E-2</v>
      </c>
      <c r="Y975" s="142">
        <f>B975*IBGE_2!Y$975/100</f>
        <v>0.16300000000000001</v>
      </c>
      <c r="Z975" s="142">
        <f>B975*IBGE_2!Z$975/100</f>
        <v>0.40300000000000002</v>
      </c>
      <c r="AA975" s="142">
        <f>B975*IBGE_2!AA$975/100</f>
        <v>5.36</v>
      </c>
      <c r="AB975" s="142" t="s">
        <v>3047</v>
      </c>
      <c r="AC975" s="142">
        <f>B975*IBGE_2!AC$975/100</f>
        <v>8.7270000000000003</v>
      </c>
      <c r="AD975" s="142">
        <f>B975*IBGE_2!AD$975/100</f>
        <v>1.71</v>
      </c>
      <c r="AE975" s="142">
        <f>B975*IBGE_2!AE$975/100</f>
        <v>10</v>
      </c>
      <c r="AF975" s="142">
        <f>B975*IBGE_2!AF$975/100</f>
        <v>0.6</v>
      </c>
      <c r="AG975" s="142">
        <f>B975*IBGE_2!AG$975/100</f>
        <v>0.43</v>
      </c>
      <c r="AH975" s="142">
        <f>B975*IBGE_2!AH$975/100</f>
        <v>0.40899999999999997</v>
      </c>
      <c r="AI975" s="142">
        <f>B975*IBGE_2!AI$975/100</f>
        <v>333</v>
      </c>
      <c r="AJ975" s="142">
        <f>B975*IBGE_2!AJ$975/100</f>
        <v>31.7</v>
      </c>
      <c r="AK975" s="145" t="s">
        <v>3047</v>
      </c>
      <c r="AL975" s="142" t="s">
        <v>3047</v>
      </c>
      <c r="AM975" s="142" t="s">
        <v>3047</v>
      </c>
      <c r="AN975" s="161"/>
    </row>
    <row r="976" spans="1:40">
      <c r="A976" s="143" t="s">
        <v>2036</v>
      </c>
      <c r="B976" s="141">
        <v>100</v>
      </c>
      <c r="C976" s="142">
        <f>B976*IBGE_2!C$976/100</f>
        <v>125</v>
      </c>
      <c r="D976" s="142">
        <f>B976*IBGE_2!D$976/100</f>
        <v>19.8</v>
      </c>
      <c r="E976" s="142">
        <f>B976*IBGE_2!E$976/100</f>
        <v>4.4000000000000004</v>
      </c>
      <c r="F976" s="142">
        <f>B976*IBGE_2!F$976/100</f>
        <v>2.5</v>
      </c>
      <c r="G976" s="142">
        <f>B976*IBGE_2!G$976/100</f>
        <v>1.2</v>
      </c>
      <c r="H976" s="142">
        <f>B976*IBGE_2!H$976/100</f>
        <v>0.1</v>
      </c>
      <c r="I976" s="142">
        <f>B976*IBGE_2!I$976/100</f>
        <v>7.0000000000000007E-2</v>
      </c>
      <c r="J976" s="142">
        <f>B976*IBGE_2!J$976/100</f>
        <v>0.01</v>
      </c>
      <c r="K976" s="142">
        <f>B976*IBGE_2!K$976/100</f>
        <v>144</v>
      </c>
      <c r="L976" s="142" t="s">
        <v>3047</v>
      </c>
      <c r="M976" s="142">
        <f>B976*IBGE_2!M$976/100</f>
        <v>3.9</v>
      </c>
      <c r="N976" s="142">
        <f>B976*IBGE_2!N$976/100</f>
        <v>11</v>
      </c>
      <c r="O976" s="142">
        <f>B976*IBGE_2!O$976/100</f>
        <v>8</v>
      </c>
      <c r="P976" s="142">
        <f>B976*IBGE_2!P$976/100</f>
        <v>0.11</v>
      </c>
      <c r="Q976" s="142">
        <f>B976*IBGE_2!Q$976/100</f>
        <v>57</v>
      </c>
      <c r="R976" s="142">
        <f>B976*IBGE_2!R$976/100</f>
        <v>1</v>
      </c>
      <c r="S976" s="142">
        <f>B976*IBGE_2!S$976/100</f>
        <v>29</v>
      </c>
      <c r="T976" s="142">
        <f>B976*IBGE_2!T$976/100</f>
        <v>58</v>
      </c>
      <c r="U976" s="142">
        <f>B976*IBGE_2!U$976/100</f>
        <v>0.06</v>
      </c>
      <c r="V976" s="142">
        <f>B976*IBGE_2!V$976/100</f>
        <v>2.7</v>
      </c>
      <c r="W976" s="142" t="s">
        <v>3047</v>
      </c>
      <c r="X976" s="142" t="s">
        <v>3047</v>
      </c>
      <c r="Y976" s="142" t="s">
        <v>3047</v>
      </c>
      <c r="Z976" s="142" t="s">
        <v>3047</v>
      </c>
      <c r="AA976" s="142">
        <f>B976*IBGE_2!AA$976/100</f>
        <v>4.2699999999999996</v>
      </c>
      <c r="AB976" s="142" t="s">
        <v>3047</v>
      </c>
      <c r="AC976" s="142" t="s">
        <v>3047</v>
      </c>
      <c r="AD976" s="142" t="s">
        <v>3047</v>
      </c>
      <c r="AE976" s="142" t="s">
        <v>3047</v>
      </c>
      <c r="AF976" s="145" t="s">
        <v>3047</v>
      </c>
      <c r="AG976" s="145" t="s">
        <v>3047</v>
      </c>
      <c r="AH976" s="145" t="s">
        <v>3047</v>
      </c>
      <c r="AI976" s="142">
        <f>B976*IBGE_2!AI$976/100</f>
        <v>333</v>
      </c>
      <c r="AJ976" s="145" t="s">
        <v>3047</v>
      </c>
      <c r="AK976" s="145" t="s">
        <v>3047</v>
      </c>
      <c r="AL976" s="142" t="s">
        <v>3047</v>
      </c>
      <c r="AM976" s="142" t="s">
        <v>3047</v>
      </c>
      <c r="AN976" s="161"/>
    </row>
    <row r="977" spans="1:40">
      <c r="A977" s="143" t="s">
        <v>2037</v>
      </c>
      <c r="B977" s="141">
        <v>100</v>
      </c>
      <c r="C977" s="142">
        <f>B977*IBGE_2!C$977/100</f>
        <v>397</v>
      </c>
      <c r="D977" s="142">
        <f>B977*IBGE_2!D$977/100</f>
        <v>29.06</v>
      </c>
      <c r="E977" s="142">
        <f>B977*IBGE_2!E$977/100</f>
        <v>30.3</v>
      </c>
      <c r="F977" s="142">
        <f>B977*IBGE_2!F$977/100</f>
        <v>11.12</v>
      </c>
      <c r="G977" s="142">
        <f>B977*IBGE_2!G$977/100</f>
        <v>13.48</v>
      </c>
      <c r="H977" s="142">
        <f>B977*IBGE_2!H$977/100</f>
        <v>2.73</v>
      </c>
      <c r="I977" s="142">
        <f>B977*IBGE_2!I$977/100</f>
        <v>2.5099999999999998</v>
      </c>
      <c r="J977" s="142">
        <f>B977*IBGE_2!J$977/100</f>
        <v>0.11</v>
      </c>
      <c r="K977" s="142">
        <f>B977*IBGE_2!K$977/100</f>
        <v>121</v>
      </c>
      <c r="L977" s="142" t="s">
        <v>3047</v>
      </c>
      <c r="M977" s="142" t="s">
        <v>3047</v>
      </c>
      <c r="N977" s="142">
        <f>B977*IBGE_2!N$977/100</f>
        <v>47</v>
      </c>
      <c r="O977" s="142">
        <f>B977*IBGE_2!O$977/100</f>
        <v>24</v>
      </c>
      <c r="P977" s="142">
        <f>B977*IBGE_2!P$977/100</f>
        <v>1.4000000000000002E-2</v>
      </c>
      <c r="Q977" s="142">
        <f>B977*IBGE_2!Q$977/100</f>
        <v>261</v>
      </c>
      <c r="R977" s="142">
        <f>B977*IBGE_2!R$977/100</f>
        <v>1.85</v>
      </c>
      <c r="S977" s="142">
        <f>B977*IBGE_2!S$977/100</f>
        <v>93</v>
      </c>
      <c r="T977" s="142">
        <f>B977*IBGE_2!T$977/100</f>
        <v>320</v>
      </c>
      <c r="U977" s="142">
        <f>B977*IBGE_2!U$977/100</f>
        <v>0.14199999999999999</v>
      </c>
      <c r="V977" s="142">
        <f>B977*IBGE_2!V$977/100</f>
        <v>4.5999999999999996</v>
      </c>
      <c r="W977" s="142">
        <f>B977*IBGE_2!W$977/100</f>
        <v>3</v>
      </c>
      <c r="X977" s="142">
        <f>B977*IBGE_2!X$977/100</f>
        <v>0.40799999999999997</v>
      </c>
      <c r="Y977" s="142">
        <f>B977*IBGE_2!Y$977/100</f>
        <v>0.38200000000000001</v>
      </c>
      <c r="Z977" s="142">
        <f>B977*IBGE_2!Z$977/100</f>
        <v>0.35</v>
      </c>
      <c r="AA977" s="142">
        <f>B977*IBGE_2!AA$977/100</f>
        <v>5.4749999999999996</v>
      </c>
      <c r="AB977" s="142" t="s">
        <v>3047</v>
      </c>
      <c r="AC977" s="142">
        <f>B977*IBGE_2!AC$977/100</f>
        <v>11.625</v>
      </c>
      <c r="AD977" s="142">
        <f>B977*IBGE_2!AD$977/100</f>
        <v>1.08</v>
      </c>
      <c r="AE977" s="142">
        <f>B977*IBGE_2!AE$977/100</f>
        <v>4</v>
      </c>
      <c r="AF977" s="142">
        <f>B977*IBGE_2!AF$977/100</f>
        <v>1.1000000000000001</v>
      </c>
      <c r="AG977" s="142">
        <f>B977*IBGE_2!AG$977/100</f>
        <v>0.34</v>
      </c>
      <c r="AH977" s="142">
        <f>B977*IBGE_2!AH$977/100</f>
        <v>8.2000000000000017E-2</v>
      </c>
      <c r="AI977" s="142">
        <f>B977*IBGE_2!AI$977/100</f>
        <v>333</v>
      </c>
      <c r="AJ977" s="142">
        <f>B977*IBGE_2!AJ$977/100</f>
        <v>37.4</v>
      </c>
      <c r="AK977" s="142">
        <f>B977*IBGE_2!AK$977/100</f>
        <v>3</v>
      </c>
      <c r="AL977" s="142" t="s">
        <v>3047</v>
      </c>
      <c r="AM977" s="142" t="s">
        <v>3047</v>
      </c>
      <c r="AN977" s="161"/>
    </row>
    <row r="978" spans="1:40">
      <c r="A978" s="143" t="s">
        <v>2038</v>
      </c>
      <c r="B978" s="141">
        <v>100</v>
      </c>
      <c r="C978" s="142">
        <f>B978*IBGE_2!C$978/100</f>
        <v>397</v>
      </c>
      <c r="D978" s="142">
        <f>B978*IBGE_2!D$978/100</f>
        <v>29.06</v>
      </c>
      <c r="E978" s="142">
        <f>B978*IBGE_2!E$978/100</f>
        <v>30.3</v>
      </c>
      <c r="F978" s="142">
        <f>B978*IBGE_2!F$978/100</f>
        <v>11.12</v>
      </c>
      <c r="G978" s="142">
        <f>B978*IBGE_2!G$978/100</f>
        <v>13.48</v>
      </c>
      <c r="H978" s="142">
        <f>B978*IBGE_2!H$978/100</f>
        <v>2.73</v>
      </c>
      <c r="I978" s="142">
        <f>B978*IBGE_2!I$978/100</f>
        <v>2.5099999999999998</v>
      </c>
      <c r="J978" s="142">
        <f>B978*IBGE_2!J$978/100</f>
        <v>0.11</v>
      </c>
      <c r="K978" s="142">
        <f>B978*IBGE_2!K$978/100</f>
        <v>121</v>
      </c>
      <c r="L978" s="142" t="s">
        <v>3047</v>
      </c>
      <c r="M978" s="142" t="s">
        <v>3047</v>
      </c>
      <c r="N978" s="142">
        <f>B978*IBGE_2!N$978/100</f>
        <v>47</v>
      </c>
      <c r="O978" s="142">
        <f>B978*IBGE_2!O$978/100</f>
        <v>24</v>
      </c>
      <c r="P978" s="142">
        <f>B978*IBGE_2!P$978/100</f>
        <v>1.4000000000000002E-2</v>
      </c>
      <c r="Q978" s="142">
        <f>B978*IBGE_2!Q$978/100</f>
        <v>261</v>
      </c>
      <c r="R978" s="142">
        <f>B978*IBGE_2!R$978/100</f>
        <v>1.85</v>
      </c>
      <c r="S978" s="142">
        <f>B978*IBGE_2!S$978/100</f>
        <v>93</v>
      </c>
      <c r="T978" s="142">
        <f>B978*IBGE_2!T$978/100</f>
        <v>320</v>
      </c>
      <c r="U978" s="142">
        <f>B978*IBGE_2!U$978/100</f>
        <v>0.14199999999999999</v>
      </c>
      <c r="V978" s="142">
        <f>B978*IBGE_2!V$978/100</f>
        <v>4.5999999999999996</v>
      </c>
      <c r="W978" s="142">
        <f>B978*IBGE_2!W$978/100</f>
        <v>3</v>
      </c>
      <c r="X978" s="142">
        <f>B978*IBGE_2!X$978/100</f>
        <v>0.40799999999999997</v>
      </c>
      <c r="Y978" s="142">
        <f>B978*IBGE_2!Y$978/100</f>
        <v>0.38200000000000001</v>
      </c>
      <c r="Z978" s="142">
        <f>B978*IBGE_2!Z$978/100</f>
        <v>0.35</v>
      </c>
      <c r="AA978" s="142">
        <f>B978*IBGE_2!AA$978/100</f>
        <v>5.4749999999999996</v>
      </c>
      <c r="AB978" s="142" t="s">
        <v>3047</v>
      </c>
      <c r="AC978" s="142">
        <f>B978*IBGE_2!AC$978/100</f>
        <v>11.625</v>
      </c>
      <c r="AD978" s="142">
        <f>B978*IBGE_2!AD$978/100</f>
        <v>1.08</v>
      </c>
      <c r="AE978" s="142">
        <f>B978*IBGE_2!AE$978/100</f>
        <v>4</v>
      </c>
      <c r="AF978" s="142">
        <f>B978*IBGE_2!AF$978/100</f>
        <v>1.1000000000000001</v>
      </c>
      <c r="AG978" s="142">
        <f>B978*IBGE_2!AG$978/100</f>
        <v>0.34</v>
      </c>
      <c r="AH978" s="142">
        <f>B978*IBGE_2!AH$978/100</f>
        <v>8.2000000000000017E-2</v>
      </c>
      <c r="AI978" s="142">
        <f>B978*IBGE_2!AI$978/100</f>
        <v>333</v>
      </c>
      <c r="AJ978" s="142">
        <f>B978*IBGE_2!AJ$978/100</f>
        <v>37.4</v>
      </c>
      <c r="AK978" s="142">
        <f>B978*IBGE_2!AK$978/100</f>
        <v>3</v>
      </c>
      <c r="AL978" s="142" t="s">
        <v>3047</v>
      </c>
      <c r="AM978" s="142" t="s">
        <v>3047</v>
      </c>
      <c r="AN978" s="161"/>
    </row>
    <row r="979" spans="1:40">
      <c r="A979" s="143" t="s">
        <v>2039</v>
      </c>
      <c r="B979" s="141">
        <v>100</v>
      </c>
      <c r="C979" s="142">
        <f>B979*IBGE_2!C$979/100</f>
        <v>242</v>
      </c>
      <c r="D979" s="142">
        <f>B979*IBGE_2!D$979/100</f>
        <v>24.22</v>
      </c>
      <c r="E979" s="142">
        <f>B979*IBGE_2!E$979/100</f>
        <v>15.42</v>
      </c>
      <c r="F979" s="142">
        <f>B979*IBGE_2!F$979/100</f>
        <v>5.7380000000000004</v>
      </c>
      <c r="G979" s="142">
        <f>B979*IBGE_2!G$979/100</f>
        <v>7.0019999999999989</v>
      </c>
      <c r="H979" s="142">
        <f>B979*IBGE_2!H$979/100</f>
        <v>0.61299999999999999</v>
      </c>
      <c r="I979" s="142">
        <f>B979*IBGE_2!I$979/100</f>
        <v>0.41600000000000004</v>
      </c>
      <c r="J979" s="142">
        <f>B979*IBGE_2!J$979/100</f>
        <v>0.16400000000000003</v>
      </c>
      <c r="K979" s="142">
        <f>B979*IBGE_2!K$979/100</f>
        <v>75</v>
      </c>
      <c r="L979" s="142" t="s">
        <v>3047</v>
      </c>
      <c r="M979" s="142" t="s">
        <v>3047</v>
      </c>
      <c r="N979" s="142">
        <f>B979*IBGE_2!N$979/100</f>
        <v>8</v>
      </c>
      <c r="O979" s="142">
        <f>B979*IBGE_2!O$979/100</f>
        <v>20</v>
      </c>
      <c r="P979" s="142">
        <f>B979*IBGE_2!P$979/100</f>
        <v>1E-3</v>
      </c>
      <c r="Q979" s="142">
        <f>B979*IBGE_2!Q$979/100</f>
        <v>196</v>
      </c>
      <c r="R979" s="142">
        <f>B979*IBGE_2!R$979/100</f>
        <v>2.81</v>
      </c>
      <c r="S979" s="142">
        <f>B979*IBGE_2!S$979/100</f>
        <v>67</v>
      </c>
      <c r="T979" s="142">
        <f>B979*IBGE_2!T$979/100</f>
        <v>337</v>
      </c>
      <c r="U979" s="142">
        <f>B979*IBGE_2!U$979/100</f>
        <v>9.3000000000000013E-2</v>
      </c>
      <c r="V979" s="142">
        <f>B979*IBGE_2!V$979/100</f>
        <v>5.71</v>
      </c>
      <c r="W979" s="142" t="s">
        <v>3047</v>
      </c>
      <c r="X979" s="142">
        <f>B979*IBGE_2!X$979/100</f>
        <v>8.1000000000000003E-2</v>
      </c>
      <c r="Y979" s="142">
        <f>B979*IBGE_2!Y$979/100</f>
        <v>0.22600000000000001</v>
      </c>
      <c r="Z979" s="142">
        <f>B979*IBGE_2!Z$979/100</f>
        <v>0.255</v>
      </c>
      <c r="AA979" s="142">
        <f>B979*IBGE_2!AA$979/100</f>
        <v>3.2069999999999999</v>
      </c>
      <c r="AB979" s="142" t="s">
        <v>3047</v>
      </c>
      <c r="AC979" s="142">
        <f>B979*IBGE_2!AC$979/100</f>
        <v>7.5739999999999998</v>
      </c>
      <c r="AD979" s="142">
        <f>B979*IBGE_2!AD$979/100</f>
        <v>2.83</v>
      </c>
      <c r="AE979" s="142">
        <f>B979*IBGE_2!AE$979/100</f>
        <v>9</v>
      </c>
      <c r="AF979" s="142">
        <f>B979*IBGE_2!AF$979/100</f>
        <v>0.7</v>
      </c>
      <c r="AG979" s="142">
        <f>B979*IBGE_2!AG$979/100</f>
        <v>0.14000000000000001</v>
      </c>
      <c r="AH979" s="142">
        <f>B979*IBGE_2!AH$979/100</f>
        <v>0.68</v>
      </c>
      <c r="AI979" s="142">
        <f>B979*IBGE_2!AI$979/100</f>
        <v>333</v>
      </c>
      <c r="AJ979" s="142">
        <f>B979*IBGE_2!AJ$979/100</f>
        <v>28.3</v>
      </c>
      <c r="AK979" s="142" t="s">
        <v>3047</v>
      </c>
      <c r="AL979" s="142" t="s">
        <v>3047</v>
      </c>
      <c r="AM979" s="142" t="s">
        <v>3047</v>
      </c>
      <c r="AN979" s="161"/>
    </row>
    <row r="980" spans="1:40">
      <c r="A980" s="143" t="s">
        <v>2040</v>
      </c>
      <c r="B980" s="141">
        <v>100</v>
      </c>
      <c r="C980" s="142">
        <f>B980*IBGE_2!C$980/100</f>
        <v>242</v>
      </c>
      <c r="D980" s="142">
        <f>B980*IBGE_2!D$980/100</f>
        <v>24.22</v>
      </c>
      <c r="E980" s="142">
        <f>B980*IBGE_2!E$980/100</f>
        <v>15.42</v>
      </c>
      <c r="F980" s="142">
        <f>B980*IBGE_2!F$980/100</f>
        <v>5.7380000000000004</v>
      </c>
      <c r="G980" s="142">
        <f>B980*IBGE_2!G$980/100</f>
        <v>7.0019999999999989</v>
      </c>
      <c r="H980" s="142">
        <f>B980*IBGE_2!H$980/100</f>
        <v>0.61299999999999999</v>
      </c>
      <c r="I980" s="142">
        <f>B980*IBGE_2!I$980/100</f>
        <v>0.41600000000000004</v>
      </c>
      <c r="J980" s="142">
        <f>B980*IBGE_2!J$980/100</f>
        <v>0.16400000000000003</v>
      </c>
      <c r="K980" s="142">
        <f>B980*IBGE_2!K$980/100</f>
        <v>75</v>
      </c>
      <c r="L980" s="142" t="s">
        <v>3047</v>
      </c>
      <c r="M980" s="142" t="s">
        <v>3047</v>
      </c>
      <c r="N980" s="142">
        <f>B980*IBGE_2!N$980/100</f>
        <v>8</v>
      </c>
      <c r="O980" s="142">
        <f>B980*IBGE_2!O$980/100</f>
        <v>20</v>
      </c>
      <c r="P980" s="142">
        <f>B980*IBGE_2!P$980/100</f>
        <v>1E-3</v>
      </c>
      <c r="Q980" s="142">
        <f>B980*IBGE_2!Q$980/100</f>
        <v>196</v>
      </c>
      <c r="R980" s="142">
        <f>B980*IBGE_2!R$980/100</f>
        <v>2.81</v>
      </c>
      <c r="S980" s="142">
        <f>B980*IBGE_2!S$980/100</f>
        <v>67</v>
      </c>
      <c r="T980" s="142">
        <f>B980*IBGE_2!T$980/100</f>
        <v>337</v>
      </c>
      <c r="U980" s="142">
        <f>B980*IBGE_2!U$980/100</f>
        <v>9.3000000000000013E-2</v>
      </c>
      <c r="V980" s="142">
        <f>B980*IBGE_2!V$980/100</f>
        <v>5.71</v>
      </c>
      <c r="W980" s="142" t="s">
        <v>3047</v>
      </c>
      <c r="X980" s="142">
        <f>B980*IBGE_2!X$980/100</f>
        <v>8.1000000000000003E-2</v>
      </c>
      <c r="Y980" s="142">
        <f>B980*IBGE_2!Y$980/100</f>
        <v>0.22600000000000001</v>
      </c>
      <c r="Z980" s="142">
        <f>B980*IBGE_2!Z$980/100</f>
        <v>0.255</v>
      </c>
      <c r="AA980" s="142">
        <f>B980*IBGE_2!AA$980/100</f>
        <v>3.2069999999999999</v>
      </c>
      <c r="AB980" s="142" t="s">
        <v>3047</v>
      </c>
      <c r="AC980" s="142">
        <f>B980*IBGE_2!AC$980/100</f>
        <v>7.5739999999999998</v>
      </c>
      <c r="AD980" s="142">
        <f>B980*IBGE_2!AD$980/100</f>
        <v>2.83</v>
      </c>
      <c r="AE980" s="142">
        <f>B980*IBGE_2!AE$980/100</f>
        <v>9</v>
      </c>
      <c r="AF980" s="142">
        <f>B980*IBGE_2!AF$980/100</f>
        <v>0.7</v>
      </c>
      <c r="AG980" s="142">
        <f>B980*IBGE_2!AG$980/100</f>
        <v>0.14000000000000001</v>
      </c>
      <c r="AH980" s="142">
        <f>B980*IBGE_2!AH$980/100</f>
        <v>0.68</v>
      </c>
      <c r="AI980" s="142">
        <f>B980*IBGE_2!AI$980/100</f>
        <v>333</v>
      </c>
      <c r="AJ980" s="142">
        <f>B980*IBGE_2!AJ$980/100</f>
        <v>28.3</v>
      </c>
      <c r="AK980" s="142" t="s">
        <v>3047</v>
      </c>
      <c r="AL980" s="142" t="s">
        <v>3047</v>
      </c>
      <c r="AM980" s="142" t="s">
        <v>3047</v>
      </c>
      <c r="AN980" s="161"/>
    </row>
    <row r="981" spans="1:40">
      <c r="A981" s="143" t="s">
        <v>2041</v>
      </c>
      <c r="B981" s="141">
        <v>100</v>
      </c>
      <c r="C981" s="142">
        <f>B981*IBGE_2!C$981/100</f>
        <v>242</v>
      </c>
      <c r="D981" s="142">
        <f>B981*IBGE_2!D$981/100</f>
        <v>24.22</v>
      </c>
      <c r="E981" s="142">
        <f>B981*IBGE_2!E$981/100</f>
        <v>15.42</v>
      </c>
      <c r="F981" s="142">
        <f>B981*IBGE_2!F$981/100</f>
        <v>5.7380000000000004</v>
      </c>
      <c r="G981" s="142">
        <f>B981*IBGE_2!G$981/100</f>
        <v>7.0019999999999989</v>
      </c>
      <c r="H981" s="142">
        <f>B981*IBGE_2!H$981/100</f>
        <v>0.61299999999999999</v>
      </c>
      <c r="I981" s="142">
        <f>B981*IBGE_2!I$981/100</f>
        <v>0.41600000000000004</v>
      </c>
      <c r="J981" s="142">
        <f>B981*IBGE_2!J$981/100</f>
        <v>0.16400000000000003</v>
      </c>
      <c r="K981" s="142">
        <f>B981*IBGE_2!K$981/100</f>
        <v>75</v>
      </c>
      <c r="L981" s="142" t="s">
        <v>3047</v>
      </c>
      <c r="M981" s="142" t="s">
        <v>3047</v>
      </c>
      <c r="N981" s="142">
        <f>B981*IBGE_2!N$981/100</f>
        <v>8</v>
      </c>
      <c r="O981" s="142">
        <f>B981*IBGE_2!O$981/100</f>
        <v>20</v>
      </c>
      <c r="P981" s="142">
        <f>B981*IBGE_2!P$981/100</f>
        <v>1E-3</v>
      </c>
      <c r="Q981" s="142">
        <f>B981*IBGE_2!Q$981/100</f>
        <v>196</v>
      </c>
      <c r="R981" s="142">
        <f>B981*IBGE_2!R$981/100</f>
        <v>2.81</v>
      </c>
      <c r="S981" s="142">
        <f>B981*IBGE_2!S$981/100</f>
        <v>67</v>
      </c>
      <c r="T981" s="142">
        <f>B981*IBGE_2!T$981/100</f>
        <v>337</v>
      </c>
      <c r="U981" s="142">
        <f>B981*IBGE_2!U$981/100</f>
        <v>9.3000000000000013E-2</v>
      </c>
      <c r="V981" s="142">
        <f>B981*IBGE_2!V$981/100</f>
        <v>5.71</v>
      </c>
      <c r="W981" s="142" t="s">
        <v>3047</v>
      </c>
      <c r="X981" s="142">
        <f>B981*IBGE_2!X$981/100</f>
        <v>8.1000000000000003E-2</v>
      </c>
      <c r="Y981" s="142">
        <f>B981*IBGE_2!Y$981/100</f>
        <v>0.22600000000000001</v>
      </c>
      <c r="Z981" s="142">
        <f>B981*IBGE_2!Z$981/100</f>
        <v>0.255</v>
      </c>
      <c r="AA981" s="142">
        <f>B981*IBGE_2!AA$981/100</f>
        <v>3.2069999999999999</v>
      </c>
      <c r="AB981" s="142" t="s">
        <v>3047</v>
      </c>
      <c r="AC981" s="142">
        <f>B981*IBGE_2!AC$981/100</f>
        <v>7.5739999999999998</v>
      </c>
      <c r="AD981" s="142">
        <f>B981*IBGE_2!AD$981/100</f>
        <v>2.83</v>
      </c>
      <c r="AE981" s="142">
        <f>B981*IBGE_2!AE$981/100</f>
        <v>9</v>
      </c>
      <c r="AF981" s="142">
        <f>B981*IBGE_2!AF$981/100</f>
        <v>0.7</v>
      </c>
      <c r="AG981" s="142">
        <f>B981*IBGE_2!AG$981/100</f>
        <v>0.14000000000000001</v>
      </c>
      <c r="AH981" s="142">
        <f>B981*IBGE_2!AH$981/100</f>
        <v>0.68</v>
      </c>
      <c r="AI981" s="142">
        <f>B981*IBGE_2!AI$981/100</f>
        <v>333</v>
      </c>
      <c r="AJ981" s="142">
        <f>B981*IBGE_2!AJ$981/100</f>
        <v>28.3</v>
      </c>
      <c r="AK981" s="142" t="s">
        <v>3047</v>
      </c>
      <c r="AL981" s="142" t="s">
        <v>3047</v>
      </c>
      <c r="AM981" s="142" t="s">
        <v>3047</v>
      </c>
      <c r="AN981" s="161"/>
    </row>
    <row r="982" spans="1:40">
      <c r="A982" s="143" t="s">
        <v>2042</v>
      </c>
      <c r="B982" s="141">
        <v>100</v>
      </c>
      <c r="C982" s="142">
        <f>B982*IBGE_2!C$982/100</f>
        <v>242</v>
      </c>
      <c r="D982" s="142">
        <f>B982*IBGE_2!D$982/100</f>
        <v>24.22</v>
      </c>
      <c r="E982" s="142">
        <f>B982*IBGE_2!E$982/100</f>
        <v>15.42</v>
      </c>
      <c r="F982" s="142">
        <f>B982*IBGE_2!F$982/100</f>
        <v>5.7380000000000004</v>
      </c>
      <c r="G982" s="142">
        <f>B982*IBGE_2!G$982/100</f>
        <v>7.0019999999999989</v>
      </c>
      <c r="H982" s="142">
        <f>B982*IBGE_2!H$982/100</f>
        <v>0.61299999999999999</v>
      </c>
      <c r="I982" s="142">
        <f>B982*IBGE_2!I$982/100</f>
        <v>0.41600000000000004</v>
      </c>
      <c r="J982" s="142">
        <f>B982*IBGE_2!J$982/100</f>
        <v>0.16400000000000003</v>
      </c>
      <c r="K982" s="142">
        <f>B982*IBGE_2!K$982/100</f>
        <v>75</v>
      </c>
      <c r="L982" s="142" t="s">
        <v>3047</v>
      </c>
      <c r="M982" s="142" t="s">
        <v>3047</v>
      </c>
      <c r="N982" s="142">
        <f>B982*IBGE_2!N$982/100</f>
        <v>8</v>
      </c>
      <c r="O982" s="142">
        <f>B982*IBGE_2!O$982/100</f>
        <v>20</v>
      </c>
      <c r="P982" s="142">
        <f>B982*IBGE_2!P$982/100</f>
        <v>1E-3</v>
      </c>
      <c r="Q982" s="142">
        <f>B982*IBGE_2!Q$982/100</f>
        <v>196</v>
      </c>
      <c r="R982" s="142">
        <f>B982*IBGE_2!R$982/100</f>
        <v>2.81</v>
      </c>
      <c r="S982" s="142">
        <f>B982*IBGE_2!S$982/100</f>
        <v>67</v>
      </c>
      <c r="T982" s="142">
        <f>B982*IBGE_2!T$982/100</f>
        <v>337</v>
      </c>
      <c r="U982" s="142">
        <f>B982*IBGE_2!U$982/100</f>
        <v>9.3000000000000013E-2</v>
      </c>
      <c r="V982" s="142">
        <f>B982*IBGE_2!V$982/100</f>
        <v>5.71</v>
      </c>
      <c r="W982" s="142" t="s">
        <v>3047</v>
      </c>
      <c r="X982" s="142">
        <f>B982*IBGE_2!X$982/100</f>
        <v>8.1000000000000003E-2</v>
      </c>
      <c r="Y982" s="142">
        <f>B982*IBGE_2!Y$982/100</f>
        <v>0.22600000000000001</v>
      </c>
      <c r="Z982" s="142">
        <f>B982*IBGE_2!Z$982/100</f>
        <v>0.255</v>
      </c>
      <c r="AA982" s="142">
        <f>B982*IBGE_2!AA$982/100</f>
        <v>3.2069999999999999</v>
      </c>
      <c r="AB982" s="142" t="s">
        <v>3047</v>
      </c>
      <c r="AC982" s="142">
        <f>B982*IBGE_2!AC$982/100</f>
        <v>7.5739999999999998</v>
      </c>
      <c r="AD982" s="142">
        <f>B982*IBGE_2!AD$982/100</f>
        <v>2.83</v>
      </c>
      <c r="AE982" s="142">
        <f>B982*IBGE_2!AE$982/100</f>
        <v>9</v>
      </c>
      <c r="AF982" s="142">
        <f>B982*IBGE_2!AF$982/100</f>
        <v>0.7</v>
      </c>
      <c r="AG982" s="142">
        <f>B982*IBGE_2!AG$982/100</f>
        <v>0.14000000000000001</v>
      </c>
      <c r="AH982" s="142">
        <f>B982*IBGE_2!AH$982/100</f>
        <v>0.68</v>
      </c>
      <c r="AI982" s="142">
        <f>B982*IBGE_2!AI$982/100</f>
        <v>333</v>
      </c>
      <c r="AJ982" s="142">
        <f>B982*IBGE_2!AJ$982/100</f>
        <v>28.3</v>
      </c>
      <c r="AK982" s="142" t="s">
        <v>3047</v>
      </c>
      <c r="AL982" s="142" t="s">
        <v>3047</v>
      </c>
      <c r="AM982" s="142" t="s">
        <v>3047</v>
      </c>
      <c r="AN982" s="161"/>
    </row>
    <row r="983" spans="1:40">
      <c r="A983" s="143" t="s">
        <v>2043</v>
      </c>
      <c r="B983" s="141">
        <v>100</v>
      </c>
      <c r="C983" s="142">
        <f>B983*IBGE_2!C$983/100</f>
        <v>264.65899999999999</v>
      </c>
      <c r="D983" s="142">
        <f>B983*IBGE_2!D$983/100</f>
        <v>24.22</v>
      </c>
      <c r="E983" s="142">
        <f>B983*IBGE_2!E$983/100</f>
        <v>17.983000000000001</v>
      </c>
      <c r="F983" s="142">
        <f>B983*IBGE_2!F$983/100</f>
        <v>6.1389999999999993</v>
      </c>
      <c r="G983" s="142">
        <f>B983*IBGE_2!G$983/100</f>
        <v>7.5860000000000003</v>
      </c>
      <c r="H983" s="142">
        <f>B983*IBGE_2!H$983/100</f>
        <v>2.093</v>
      </c>
      <c r="I983" s="142">
        <f>B983*IBGE_2!I$983/100</f>
        <v>1.722</v>
      </c>
      <c r="J983" s="142">
        <f>B983*IBGE_2!J$983/100</f>
        <v>0.33800000000000002</v>
      </c>
      <c r="K983" s="142">
        <f>B983*IBGE_2!K$983/100</f>
        <v>75</v>
      </c>
      <c r="L983" s="142" t="s">
        <v>3047</v>
      </c>
      <c r="M983" s="142" t="s">
        <v>3047</v>
      </c>
      <c r="N983" s="142">
        <f>B983*IBGE_2!N$983/100</f>
        <v>8</v>
      </c>
      <c r="O983" s="142">
        <f>B983*IBGE_2!O$983/100</f>
        <v>20</v>
      </c>
      <c r="P983" s="142">
        <f>B983*IBGE_2!P$983/100</f>
        <v>1E-3</v>
      </c>
      <c r="Q983" s="142">
        <f>B983*IBGE_2!Q$983/100</f>
        <v>196</v>
      </c>
      <c r="R983" s="142">
        <f>B983*IBGE_2!R$983/100</f>
        <v>2.8110000000000004</v>
      </c>
      <c r="S983" s="142">
        <f>B983*IBGE_2!S$983/100</f>
        <v>67</v>
      </c>
      <c r="T983" s="142">
        <f>B983*IBGE_2!T$983/100</f>
        <v>337</v>
      </c>
      <c r="U983" s="142">
        <f>B983*IBGE_2!U$983/100</f>
        <v>9.3000000000000013E-2</v>
      </c>
      <c r="V983" s="142">
        <f>B983*IBGE_2!V$983/100</f>
        <v>5.71</v>
      </c>
      <c r="W983" s="142" t="s">
        <v>3047</v>
      </c>
      <c r="X983" s="142">
        <f>B983*IBGE_2!X$983/100</f>
        <v>8.1000000000000003E-2</v>
      </c>
      <c r="Y983" s="142">
        <f>B983*IBGE_2!Y$983/100</f>
        <v>0.22600000000000001</v>
      </c>
      <c r="Z983" s="142">
        <f>B983*IBGE_2!Z$983/100</f>
        <v>0.255</v>
      </c>
      <c r="AA983" s="142">
        <f>B983*IBGE_2!AA$983/100</f>
        <v>3.2069999999999999</v>
      </c>
      <c r="AB983" s="142" t="s">
        <v>3047</v>
      </c>
      <c r="AC983" s="142">
        <f>B983*IBGE_2!AC$983/100</f>
        <v>7.5739999999999998</v>
      </c>
      <c r="AD983" s="142">
        <f>B983*IBGE_2!AD$983/100</f>
        <v>2.83</v>
      </c>
      <c r="AE983" s="142">
        <f>B983*IBGE_2!AE$983/100</f>
        <v>9</v>
      </c>
      <c r="AF983" s="142">
        <f>B983*IBGE_2!AF$983/100</f>
        <v>0.7</v>
      </c>
      <c r="AG983" s="142">
        <f>B983*IBGE_2!AG$983/100</f>
        <v>0.35</v>
      </c>
      <c r="AH983" s="142">
        <f>B983*IBGE_2!AH$983/100</f>
        <v>0.69399999999999995</v>
      </c>
      <c r="AI983" s="142">
        <f>B983*IBGE_2!AI$983/100</f>
        <v>333</v>
      </c>
      <c r="AJ983" s="142">
        <f>B983*IBGE_2!AJ$983/100</f>
        <v>29.475000000000001</v>
      </c>
      <c r="AK983" s="142" t="s">
        <v>3047</v>
      </c>
      <c r="AL983" s="142" t="s">
        <v>3047</v>
      </c>
      <c r="AM983" s="142" t="s">
        <v>3047</v>
      </c>
      <c r="AN983" s="161"/>
    </row>
    <row r="984" spans="1:40">
      <c r="A984" s="143" t="s">
        <v>2044</v>
      </c>
      <c r="B984" s="141">
        <v>100</v>
      </c>
      <c r="C984" s="142">
        <f>B984*IBGE_2!C$984/100</f>
        <v>264.65899999999999</v>
      </c>
      <c r="D984" s="142">
        <f>B984*IBGE_2!D$984/100</f>
        <v>24.22</v>
      </c>
      <c r="E984" s="142">
        <f>B984*IBGE_2!E$984/100</f>
        <v>17.983000000000001</v>
      </c>
      <c r="F984" s="142">
        <f>B984*IBGE_2!F$984/100</f>
        <v>6.1389999999999993</v>
      </c>
      <c r="G984" s="142">
        <f>B984*IBGE_2!G$984/100</f>
        <v>7.5860000000000003</v>
      </c>
      <c r="H984" s="142">
        <f>B984*IBGE_2!H$984/100</f>
        <v>2.093</v>
      </c>
      <c r="I984" s="142">
        <f>B984*IBGE_2!I$984/100</f>
        <v>1.722</v>
      </c>
      <c r="J984" s="142">
        <f>B984*IBGE_2!J$984/100</f>
        <v>0.33800000000000002</v>
      </c>
      <c r="K984" s="142">
        <f>B984*IBGE_2!K$984/100</f>
        <v>75</v>
      </c>
      <c r="L984" s="142" t="s">
        <v>3047</v>
      </c>
      <c r="M984" s="142" t="s">
        <v>3047</v>
      </c>
      <c r="N984" s="142">
        <f>B984*IBGE_2!N$984/100</f>
        <v>8</v>
      </c>
      <c r="O984" s="142">
        <f>B984*IBGE_2!O$984/100</f>
        <v>20</v>
      </c>
      <c r="P984" s="142">
        <f>B984*IBGE_2!P$984/100</f>
        <v>1E-3</v>
      </c>
      <c r="Q984" s="142">
        <f>B984*IBGE_2!Q$984/100</f>
        <v>196</v>
      </c>
      <c r="R984" s="142">
        <f>B984*IBGE_2!R$984/100</f>
        <v>2.8110000000000004</v>
      </c>
      <c r="S984" s="142">
        <f>B984*IBGE_2!S$984/100</f>
        <v>67</v>
      </c>
      <c r="T984" s="142">
        <f>B984*IBGE_2!T$984/100</f>
        <v>337</v>
      </c>
      <c r="U984" s="142">
        <f>B984*IBGE_2!U$984/100</f>
        <v>9.3000000000000013E-2</v>
      </c>
      <c r="V984" s="142">
        <f>B984*IBGE_2!V$984/100</f>
        <v>5.71</v>
      </c>
      <c r="W984" s="142" t="s">
        <v>3047</v>
      </c>
      <c r="X984" s="142">
        <f>B984*IBGE_2!X$984/100</f>
        <v>8.1000000000000003E-2</v>
      </c>
      <c r="Y984" s="142">
        <f>B984*IBGE_2!Y$984/100</f>
        <v>0.22600000000000001</v>
      </c>
      <c r="Z984" s="142">
        <f>B984*IBGE_2!Z$984/100</f>
        <v>0.255</v>
      </c>
      <c r="AA984" s="142">
        <f>B984*IBGE_2!AA$984/100</f>
        <v>3.2069999999999999</v>
      </c>
      <c r="AB984" s="142" t="s">
        <v>3047</v>
      </c>
      <c r="AC984" s="142">
        <f>B984*IBGE_2!AC$984/100</f>
        <v>7.5739999999999998</v>
      </c>
      <c r="AD984" s="142">
        <f>B984*IBGE_2!AD$984/100</f>
        <v>2.83</v>
      </c>
      <c r="AE984" s="142">
        <f>B984*IBGE_2!AE$984/100</f>
        <v>9</v>
      </c>
      <c r="AF984" s="142">
        <f>B984*IBGE_2!AF$984/100</f>
        <v>0.7</v>
      </c>
      <c r="AG984" s="142">
        <f>B984*IBGE_2!AG$984/100</f>
        <v>0.35</v>
      </c>
      <c r="AH984" s="142">
        <f>B984*IBGE_2!AH$984/100</f>
        <v>0.69399999999999995</v>
      </c>
      <c r="AI984" s="142">
        <f>B984*IBGE_2!AI$984/100</f>
        <v>333</v>
      </c>
      <c r="AJ984" s="142">
        <f>B984*IBGE_2!AJ$984/100</f>
        <v>29.475000000000001</v>
      </c>
      <c r="AK984" s="142" t="s">
        <v>3047</v>
      </c>
      <c r="AL984" s="142" t="s">
        <v>3047</v>
      </c>
      <c r="AM984" s="142" t="s">
        <v>3047</v>
      </c>
      <c r="AN984" s="161"/>
    </row>
    <row r="985" spans="1:40">
      <c r="A985" s="143" t="s">
        <v>2045</v>
      </c>
      <c r="B985" s="141">
        <v>100</v>
      </c>
      <c r="C985" s="142">
        <f>B985*IBGE_2!C$985/100</f>
        <v>198.4</v>
      </c>
      <c r="D985" s="142">
        <f>B985*IBGE_2!D$985/100</f>
        <v>19.64</v>
      </c>
      <c r="E985" s="142">
        <f>B985*IBGE_2!E$985/100</f>
        <v>12.372</v>
      </c>
      <c r="F985" s="142">
        <f>B985*IBGE_2!F$985/100</f>
        <v>4.5949999999999998</v>
      </c>
      <c r="G985" s="142">
        <f>B985*IBGE_2!G$985/100</f>
        <v>5.6070000000000002</v>
      </c>
      <c r="H985" s="142">
        <f>B985*IBGE_2!H$985/100</f>
        <v>0.505</v>
      </c>
      <c r="I985" s="142">
        <f>B985*IBGE_2!I$985/100</f>
        <v>0.34699999999999998</v>
      </c>
      <c r="J985" s="142">
        <f>B985*IBGE_2!J$985/100</f>
        <v>0.13200000000000001</v>
      </c>
      <c r="K985" s="142">
        <f>B985*IBGE_2!K$985/100</f>
        <v>60</v>
      </c>
      <c r="L985" s="142">
        <f>B985*IBGE_2!L$985/100</f>
        <v>1.0760000000000001</v>
      </c>
      <c r="M985" s="142">
        <f>B985*IBGE_2!M$985/100</f>
        <v>0.3</v>
      </c>
      <c r="N985" s="142">
        <f>B985*IBGE_2!N$985/100</f>
        <v>9</v>
      </c>
      <c r="O985" s="142">
        <f>B985*IBGE_2!O$985/100</f>
        <v>19.2</v>
      </c>
      <c r="P985" s="142">
        <f>B985*IBGE_2!P$985/100</f>
        <v>2.1999999999999999E-2</v>
      </c>
      <c r="Q985" s="142">
        <f>B985*IBGE_2!Q$985/100</f>
        <v>162</v>
      </c>
      <c r="R985" s="142">
        <f>B985*IBGE_2!R$985/100</f>
        <v>2.452</v>
      </c>
      <c r="S985" s="142">
        <f>B985*IBGE_2!S$985/100</f>
        <v>158.4</v>
      </c>
      <c r="T985" s="142">
        <f>B985*IBGE_2!T$985/100</f>
        <v>335.8</v>
      </c>
      <c r="U985" s="142">
        <f>B985*IBGE_2!U$985/100</f>
        <v>9.8000000000000004E-2</v>
      </c>
      <c r="V985" s="142">
        <f>B985*IBGE_2!V$985/100</f>
        <v>4.6079999999999997</v>
      </c>
      <c r="W985" s="142" t="s">
        <v>3047</v>
      </c>
      <c r="X985" s="142">
        <f>B985*IBGE_2!X$985/100</f>
        <v>7.0000000000000007E-2</v>
      </c>
      <c r="Y985" s="142">
        <f>B985*IBGE_2!Y$985/100</f>
        <v>0.19400000000000003</v>
      </c>
      <c r="Z985" s="142">
        <f>B985*IBGE_2!Z$985/100</f>
        <v>0.223</v>
      </c>
      <c r="AA985" s="142">
        <f>B985*IBGE_2!AA$985/100</f>
        <v>2.7610000000000001</v>
      </c>
      <c r="AB985" s="142">
        <f>B985*IBGE_2!AB$985/100</f>
        <v>1.4</v>
      </c>
      <c r="AC985" s="142">
        <f>B985*IBGE_2!AC$985/100</f>
        <v>6.2870000000000008</v>
      </c>
      <c r="AD985" s="142">
        <f>B985*IBGE_2!AD$985/100</f>
        <v>2.2639999999999998</v>
      </c>
      <c r="AE985" s="142">
        <f>B985*IBGE_2!AE$985/100</f>
        <v>9.4</v>
      </c>
      <c r="AF985" s="142">
        <f>B985*IBGE_2!AF$985/100</f>
        <v>0.56000000000000005</v>
      </c>
      <c r="AG985" s="142">
        <f>B985*IBGE_2!AG$985/100</f>
        <v>0.39600000000000002</v>
      </c>
      <c r="AH985" s="142">
        <f>B985*IBGE_2!AH$985/100</f>
        <v>0.54400000000000004</v>
      </c>
      <c r="AI985" s="142">
        <f>B985*IBGE_2!AI$985/100</f>
        <v>333</v>
      </c>
      <c r="AJ985" s="142">
        <f>B985*IBGE_2!AJ$985/100</f>
        <v>22.68</v>
      </c>
      <c r="AK985" s="142">
        <f>B985*IBGE_2!AK$985/100</f>
        <v>3.4830000000000001</v>
      </c>
      <c r="AL985" s="142">
        <f>B985*IBGE_2!AL$985/100</f>
        <v>0.85</v>
      </c>
      <c r="AM985" s="142" t="s">
        <v>3047</v>
      </c>
      <c r="AN985" s="161"/>
    </row>
    <row r="986" spans="1:40">
      <c r="A986" s="143" t="s">
        <v>2046</v>
      </c>
      <c r="B986" s="141">
        <v>100</v>
      </c>
      <c r="C986" s="142">
        <f>B986*IBGE_2!C$986/100</f>
        <v>264.65899999999999</v>
      </c>
      <c r="D986" s="142">
        <f>B986*IBGE_2!D$986/100</f>
        <v>24.22</v>
      </c>
      <c r="E986" s="142">
        <f>B986*IBGE_2!E$986/100</f>
        <v>17.983000000000001</v>
      </c>
      <c r="F986" s="142">
        <f>B986*IBGE_2!F$986/100</f>
        <v>6.1389999999999993</v>
      </c>
      <c r="G986" s="142">
        <f>B986*IBGE_2!G$986/100</f>
        <v>7.5860000000000003</v>
      </c>
      <c r="H986" s="142">
        <f>B986*IBGE_2!H$986/100</f>
        <v>2.093</v>
      </c>
      <c r="I986" s="142">
        <f>B986*IBGE_2!I$986/100</f>
        <v>1.722</v>
      </c>
      <c r="J986" s="142">
        <f>B986*IBGE_2!J$986/100</f>
        <v>0.33800000000000002</v>
      </c>
      <c r="K986" s="142">
        <f>B986*IBGE_2!K$986/100</f>
        <v>75</v>
      </c>
      <c r="L986" s="142" t="s">
        <v>3047</v>
      </c>
      <c r="M986" s="142" t="s">
        <v>3047</v>
      </c>
      <c r="N986" s="142">
        <f>B986*IBGE_2!N$986/100</f>
        <v>8</v>
      </c>
      <c r="O986" s="142">
        <f>B986*IBGE_2!O$986/100</f>
        <v>20</v>
      </c>
      <c r="P986" s="142">
        <f>B986*IBGE_2!P$986/100</f>
        <v>1E-3</v>
      </c>
      <c r="Q986" s="142">
        <f>B986*IBGE_2!Q$986/100</f>
        <v>196</v>
      </c>
      <c r="R986" s="142">
        <f>B986*IBGE_2!R$986/100</f>
        <v>2.8110000000000004</v>
      </c>
      <c r="S986" s="142">
        <f>B986*IBGE_2!S$986/100</f>
        <v>67</v>
      </c>
      <c r="T986" s="142">
        <f>B986*IBGE_2!T$986/100</f>
        <v>337</v>
      </c>
      <c r="U986" s="142">
        <f>B986*IBGE_2!U$986/100</f>
        <v>9.3000000000000013E-2</v>
      </c>
      <c r="V986" s="142">
        <f>B986*IBGE_2!V$986/100</f>
        <v>5.71</v>
      </c>
      <c r="W986" s="142" t="s">
        <v>3047</v>
      </c>
      <c r="X986" s="142">
        <f>B986*IBGE_2!X$986/100</f>
        <v>8.1000000000000003E-2</v>
      </c>
      <c r="Y986" s="142">
        <f>B986*IBGE_2!Y$986/100</f>
        <v>0.22600000000000001</v>
      </c>
      <c r="Z986" s="142">
        <f>B986*IBGE_2!Z$986/100</f>
        <v>0.255</v>
      </c>
      <c r="AA986" s="142">
        <f>B986*IBGE_2!AA$986/100</f>
        <v>3.2069999999999999</v>
      </c>
      <c r="AB986" s="142" t="s">
        <v>3047</v>
      </c>
      <c r="AC986" s="142">
        <f>B986*IBGE_2!AC$986/100</f>
        <v>7.5739999999999998</v>
      </c>
      <c r="AD986" s="142">
        <f>B986*IBGE_2!AD$986/100</f>
        <v>2.83</v>
      </c>
      <c r="AE986" s="142">
        <f>B986*IBGE_2!AE$986/100</f>
        <v>9</v>
      </c>
      <c r="AF986" s="142">
        <f>B986*IBGE_2!AF$986/100</f>
        <v>0.7</v>
      </c>
      <c r="AG986" s="142">
        <f>B986*IBGE_2!AG$986/100</f>
        <v>0.35</v>
      </c>
      <c r="AH986" s="142">
        <f>B986*IBGE_2!AH$986/100</f>
        <v>0.69399999999999995</v>
      </c>
      <c r="AI986" s="142">
        <f>B986*IBGE_2!AI$986/100</f>
        <v>333</v>
      </c>
      <c r="AJ986" s="142">
        <f>B986*IBGE_2!AJ$986/100</f>
        <v>29.475000000000001</v>
      </c>
      <c r="AK986" s="142" t="s">
        <v>3047</v>
      </c>
      <c r="AL986" s="142" t="s">
        <v>3047</v>
      </c>
      <c r="AM986" s="142" t="s">
        <v>3047</v>
      </c>
      <c r="AN986" s="161"/>
    </row>
    <row r="987" spans="1:40">
      <c r="A987" s="143" t="s">
        <v>2047</v>
      </c>
      <c r="B987" s="141">
        <v>100</v>
      </c>
      <c r="C987" s="142">
        <f>B987*IBGE_2!C$987/100</f>
        <v>242</v>
      </c>
      <c r="D987" s="142">
        <f>B987*IBGE_2!D$987/100</f>
        <v>24.22</v>
      </c>
      <c r="E987" s="142">
        <f>B987*IBGE_2!E$987/100</f>
        <v>15.42</v>
      </c>
      <c r="F987" s="142">
        <f>B987*IBGE_2!F$987/100</f>
        <v>5.7380000000000004</v>
      </c>
      <c r="G987" s="142">
        <f>B987*IBGE_2!G$987/100</f>
        <v>7.0019999999999989</v>
      </c>
      <c r="H987" s="142">
        <f>B987*IBGE_2!H$987/100</f>
        <v>0.61299999999999999</v>
      </c>
      <c r="I987" s="142">
        <f>B987*IBGE_2!I$987/100</f>
        <v>0.41600000000000004</v>
      </c>
      <c r="J987" s="142">
        <f>B987*IBGE_2!J$987/100</f>
        <v>0.16400000000000003</v>
      </c>
      <c r="K987" s="142">
        <f>B987*IBGE_2!K$987/100</f>
        <v>75</v>
      </c>
      <c r="L987" s="142" t="s">
        <v>3047</v>
      </c>
      <c r="M987" s="142" t="s">
        <v>3047</v>
      </c>
      <c r="N987" s="142">
        <f>B987*IBGE_2!N$987/100</f>
        <v>8</v>
      </c>
      <c r="O987" s="142">
        <f>B987*IBGE_2!O$987/100</f>
        <v>20</v>
      </c>
      <c r="P987" s="142">
        <f>B987*IBGE_2!P$987/100</f>
        <v>1E-3</v>
      </c>
      <c r="Q987" s="142">
        <f>B987*IBGE_2!Q$987/100</f>
        <v>196</v>
      </c>
      <c r="R987" s="142">
        <f>B987*IBGE_2!R$987/100</f>
        <v>2.81</v>
      </c>
      <c r="S987" s="142">
        <f>B987*IBGE_2!S$987/100</f>
        <v>67</v>
      </c>
      <c r="T987" s="142">
        <f>B987*IBGE_2!T$987/100</f>
        <v>337</v>
      </c>
      <c r="U987" s="142">
        <f>B987*IBGE_2!U$987/100</f>
        <v>9.3000000000000013E-2</v>
      </c>
      <c r="V987" s="142">
        <f>B987*IBGE_2!V$987/100</f>
        <v>5.71</v>
      </c>
      <c r="W987" s="142" t="s">
        <v>3047</v>
      </c>
      <c r="X987" s="142">
        <f>B987*IBGE_2!X$987/100</f>
        <v>8.1000000000000003E-2</v>
      </c>
      <c r="Y987" s="142">
        <f>B987*IBGE_2!Y$987/100</f>
        <v>0.22600000000000001</v>
      </c>
      <c r="Z987" s="142">
        <f>B987*IBGE_2!Z$987/100</f>
        <v>0.255</v>
      </c>
      <c r="AA987" s="142">
        <f>B987*IBGE_2!AA$987/100</f>
        <v>3.2069999999999999</v>
      </c>
      <c r="AB987" s="142" t="s">
        <v>3047</v>
      </c>
      <c r="AC987" s="142">
        <f>B987*IBGE_2!AC$987/100</f>
        <v>7.5739999999999998</v>
      </c>
      <c r="AD987" s="142">
        <f>B987*IBGE_2!AD$987/100</f>
        <v>2.83</v>
      </c>
      <c r="AE987" s="142">
        <f>B987*IBGE_2!AE$987/100</f>
        <v>9</v>
      </c>
      <c r="AF987" s="142">
        <f>B987*IBGE_2!AF$987/100</f>
        <v>0.7</v>
      </c>
      <c r="AG987" s="142">
        <f>B987*IBGE_2!AG$987/100</f>
        <v>0.14000000000000001</v>
      </c>
      <c r="AH987" s="142">
        <f>B987*IBGE_2!AH$987/100</f>
        <v>0.68</v>
      </c>
      <c r="AI987" s="142">
        <f>B987*IBGE_2!AI$987/100</f>
        <v>333</v>
      </c>
      <c r="AJ987" s="142">
        <f>B987*IBGE_2!AJ$987/100</f>
        <v>28.3</v>
      </c>
      <c r="AK987" s="142" t="s">
        <v>3047</v>
      </c>
      <c r="AL987" s="142" t="s">
        <v>3047</v>
      </c>
      <c r="AM987" s="142" t="s">
        <v>3047</v>
      </c>
      <c r="AN987" s="161"/>
    </row>
    <row r="988" spans="1:40">
      <c r="A988" s="143" t="s">
        <v>2048</v>
      </c>
      <c r="B988" s="141">
        <v>100</v>
      </c>
      <c r="C988" s="142">
        <f>B988*IBGE_2!C$988/100</f>
        <v>212</v>
      </c>
      <c r="D988" s="142">
        <f>B988*IBGE_2!D$988/100</f>
        <v>34.85</v>
      </c>
      <c r="E988" s="142">
        <f>B988*IBGE_2!E$988/100</f>
        <v>6.96</v>
      </c>
      <c r="F988" s="142">
        <f>B988*IBGE_2!F$988/100</f>
        <v>2.0699999999999998</v>
      </c>
      <c r="G988" s="142">
        <f>B988*IBGE_2!G$988/100</f>
        <v>1.89</v>
      </c>
      <c r="H988" s="142">
        <f>B988*IBGE_2!H$988/100</f>
        <v>1.35</v>
      </c>
      <c r="I988" s="142">
        <f>B988*IBGE_2!I$988/100</f>
        <v>1.07</v>
      </c>
      <c r="J988" s="142">
        <f>B988*IBGE_2!J$988/100</f>
        <v>0.28000000000000003</v>
      </c>
      <c r="K988" s="142">
        <f>B988*IBGE_2!K$988/100</f>
        <v>117</v>
      </c>
      <c r="L988" s="142" t="s">
        <v>3047</v>
      </c>
      <c r="M988" s="142" t="s">
        <v>3047</v>
      </c>
      <c r="N988" s="142">
        <f>B988*IBGE_2!N$988/100</f>
        <v>22</v>
      </c>
      <c r="O988" s="142">
        <f>B988*IBGE_2!O$988/100</f>
        <v>29</v>
      </c>
      <c r="P988" s="142">
        <f>B988*IBGE_2!P$988/100</f>
        <v>3.2000000000000001E-2</v>
      </c>
      <c r="Q988" s="142">
        <f>B988*IBGE_2!Q$988/100</f>
        <v>292</v>
      </c>
      <c r="R988" s="142">
        <f>B988*IBGE_2!R$988/100</f>
        <v>10</v>
      </c>
      <c r="S988" s="142">
        <f>B988*IBGE_2!S$988/100</f>
        <v>59</v>
      </c>
      <c r="T988" s="142">
        <f>B988*IBGE_2!T$988/100</f>
        <v>403</v>
      </c>
      <c r="U988" s="142">
        <f>B988*IBGE_2!U$988/100</f>
        <v>0.18899999999999997</v>
      </c>
      <c r="V988" s="142">
        <f>B988*IBGE_2!V$988/100</f>
        <v>2.27</v>
      </c>
      <c r="W988" s="142" t="s">
        <v>3047</v>
      </c>
      <c r="X988" s="142">
        <f>B988*IBGE_2!X$988/100</f>
        <v>0.05</v>
      </c>
      <c r="Y988" s="142">
        <f>B988*IBGE_2!Y$988/100</f>
        <v>0.31</v>
      </c>
      <c r="Z988" s="142">
        <f>B988*IBGE_2!Z$988/100</f>
        <v>0.47</v>
      </c>
      <c r="AA988" s="142">
        <f>B988*IBGE_2!AA$988/100</f>
        <v>2.2000000000000002</v>
      </c>
      <c r="AB988" s="142">
        <f>B988*IBGE_2!AB$988/100</f>
        <v>3</v>
      </c>
      <c r="AC988" s="142">
        <f>B988*IBGE_2!AC$988/100</f>
        <v>2.2000000000000002</v>
      </c>
      <c r="AD988" s="142">
        <f>B988*IBGE_2!AD$988/100</f>
        <v>8.3000000000000007</v>
      </c>
      <c r="AE988" s="142">
        <f>B988*IBGE_2!AE$988/100</f>
        <v>11</v>
      </c>
      <c r="AF988" s="142" t="s">
        <v>3047</v>
      </c>
      <c r="AG988" s="142">
        <f>B988*IBGE_2!AG$988/100</f>
        <v>0.45</v>
      </c>
      <c r="AH988" s="145" t="s">
        <v>3047</v>
      </c>
      <c r="AI988" s="142">
        <f>B988*IBGE_2!AI$988/100</f>
        <v>333</v>
      </c>
      <c r="AJ988" s="142">
        <f>B988*IBGE_2!AJ$988/100</f>
        <v>43.1</v>
      </c>
      <c r="AK988" s="142" t="s">
        <v>3047</v>
      </c>
      <c r="AL988" s="142" t="s">
        <v>3047</v>
      </c>
      <c r="AM988" s="142" t="s">
        <v>3047</v>
      </c>
      <c r="AN988" s="161"/>
    </row>
    <row r="989" spans="1:40">
      <c r="A989" s="143" t="s">
        <v>2049</v>
      </c>
      <c r="B989" s="141">
        <v>100</v>
      </c>
      <c r="C989" s="142">
        <f>B989*IBGE_2!C$989/100</f>
        <v>212</v>
      </c>
      <c r="D989" s="142">
        <f>B989*IBGE_2!D$989/100</f>
        <v>34.85</v>
      </c>
      <c r="E989" s="142">
        <f>B989*IBGE_2!E$989/100</f>
        <v>6.96</v>
      </c>
      <c r="F989" s="142">
        <f>B989*IBGE_2!F$989/100</f>
        <v>2.0699999999999998</v>
      </c>
      <c r="G989" s="142">
        <f>B989*IBGE_2!G$989/100</f>
        <v>1.89</v>
      </c>
      <c r="H989" s="142">
        <f>B989*IBGE_2!H$989/100</f>
        <v>1.35</v>
      </c>
      <c r="I989" s="142">
        <f>B989*IBGE_2!I$989/100</f>
        <v>1.07</v>
      </c>
      <c r="J989" s="142">
        <f>B989*IBGE_2!J$989/100</f>
        <v>0.28000000000000003</v>
      </c>
      <c r="K989" s="142">
        <f>B989*IBGE_2!K$989/100</f>
        <v>117</v>
      </c>
      <c r="L989" s="142" t="s">
        <v>3047</v>
      </c>
      <c r="M989" s="142" t="s">
        <v>3047</v>
      </c>
      <c r="N989" s="142">
        <f>B989*IBGE_2!N$989/100</f>
        <v>22</v>
      </c>
      <c r="O989" s="142">
        <f>B989*IBGE_2!O$989/100</f>
        <v>29</v>
      </c>
      <c r="P989" s="142">
        <f>B989*IBGE_2!P$989/100</f>
        <v>3.2000000000000001E-2</v>
      </c>
      <c r="Q989" s="142">
        <f>B989*IBGE_2!Q$989/100</f>
        <v>292</v>
      </c>
      <c r="R989" s="142">
        <f>B989*IBGE_2!R$989/100</f>
        <v>10</v>
      </c>
      <c r="S989" s="142">
        <f>B989*IBGE_2!S$989/100</f>
        <v>59</v>
      </c>
      <c r="T989" s="142">
        <f>B989*IBGE_2!T$989/100</f>
        <v>403</v>
      </c>
      <c r="U989" s="142">
        <f>B989*IBGE_2!U$989/100</f>
        <v>0.18899999999999997</v>
      </c>
      <c r="V989" s="142">
        <f>B989*IBGE_2!V$989/100</f>
        <v>2.27</v>
      </c>
      <c r="W989" s="142" t="s">
        <v>3047</v>
      </c>
      <c r="X989" s="142">
        <f>B989*IBGE_2!X$989/100</f>
        <v>0.05</v>
      </c>
      <c r="Y989" s="142">
        <f>B989*IBGE_2!Y$989/100</f>
        <v>0.31</v>
      </c>
      <c r="Z989" s="142">
        <f>B989*IBGE_2!Z$989/100</f>
        <v>0.47</v>
      </c>
      <c r="AA989" s="142">
        <f>B989*IBGE_2!AA$989/100</f>
        <v>2.2000000000000002</v>
      </c>
      <c r="AB989" s="142">
        <f>B989*IBGE_2!AB$989/100</f>
        <v>3</v>
      </c>
      <c r="AC989" s="142">
        <f>B989*IBGE_2!AC$989/100</f>
        <v>2.2000000000000002</v>
      </c>
      <c r="AD989" s="142">
        <f>B989*IBGE_2!AD$989/100</f>
        <v>8.3000000000000007</v>
      </c>
      <c r="AE989" s="142">
        <f>B989*IBGE_2!AE$989/100</f>
        <v>11</v>
      </c>
      <c r="AF989" s="142" t="s">
        <v>3047</v>
      </c>
      <c r="AG989" s="142">
        <f>B989*IBGE_2!AG$989/100</f>
        <v>0.45</v>
      </c>
      <c r="AH989" s="145" t="s">
        <v>3047</v>
      </c>
      <c r="AI989" s="142">
        <f>B989*IBGE_2!AI$989/100</f>
        <v>333</v>
      </c>
      <c r="AJ989" s="142">
        <f>B989*IBGE_2!AJ$989/100</f>
        <v>43.1</v>
      </c>
      <c r="AK989" s="142" t="s">
        <v>3047</v>
      </c>
      <c r="AL989" s="142" t="s">
        <v>3047</v>
      </c>
      <c r="AM989" s="142" t="s">
        <v>3047</v>
      </c>
      <c r="AN989" s="161"/>
    </row>
    <row r="990" spans="1:40">
      <c r="A990" s="143" t="s">
        <v>2050</v>
      </c>
      <c r="B990" s="141">
        <v>100</v>
      </c>
      <c r="C990" s="142">
        <f>B990*IBGE_2!C$990/100</f>
        <v>234.65899999999999</v>
      </c>
      <c r="D990" s="142">
        <f>B990*IBGE_2!D$990/100</f>
        <v>34.85</v>
      </c>
      <c r="E990" s="142">
        <f>B990*IBGE_2!E$990/100</f>
        <v>9.5229999999999997</v>
      </c>
      <c r="F990" s="142">
        <f>B990*IBGE_2!F$990/100</f>
        <v>2.4710000000000001</v>
      </c>
      <c r="G990" s="142">
        <f>B990*IBGE_2!G$990/100</f>
        <v>2.4740000000000002</v>
      </c>
      <c r="H990" s="142">
        <f>B990*IBGE_2!H$990/100</f>
        <v>2.83</v>
      </c>
      <c r="I990" s="142">
        <f>B990*IBGE_2!I$990/100</f>
        <v>2.3759999999999999</v>
      </c>
      <c r="J990" s="142">
        <f>B990*IBGE_2!J$990/100</f>
        <v>0.45399999999999996</v>
      </c>
      <c r="K990" s="142">
        <f>B990*IBGE_2!K$990/100</f>
        <v>117</v>
      </c>
      <c r="L990" s="142" t="s">
        <v>3047</v>
      </c>
      <c r="M990" s="142" t="s">
        <v>3047</v>
      </c>
      <c r="N990" s="142">
        <f>B990*IBGE_2!N$990/100</f>
        <v>22</v>
      </c>
      <c r="O990" s="142">
        <f>B990*IBGE_2!O$990/100</f>
        <v>29</v>
      </c>
      <c r="P990" s="142">
        <f>B990*IBGE_2!P$990/100</f>
        <v>3.2000000000000001E-2</v>
      </c>
      <c r="Q990" s="142">
        <f>B990*IBGE_2!Q$990/100</f>
        <v>292</v>
      </c>
      <c r="R990" s="142">
        <f>B990*IBGE_2!R$990/100</f>
        <v>10.000999999999999</v>
      </c>
      <c r="S990" s="142">
        <f>B990*IBGE_2!S$990/100</f>
        <v>59</v>
      </c>
      <c r="T990" s="142">
        <f>B990*IBGE_2!T$990/100</f>
        <v>403</v>
      </c>
      <c r="U990" s="142">
        <f>B990*IBGE_2!U$990/100</f>
        <v>0.18899999999999997</v>
      </c>
      <c r="V990" s="142">
        <f>B990*IBGE_2!V$990/100</f>
        <v>2.27</v>
      </c>
      <c r="W990" s="142" t="s">
        <v>3047</v>
      </c>
      <c r="X990" s="142">
        <f>B990*IBGE_2!X$990/100</f>
        <v>0.05</v>
      </c>
      <c r="Y990" s="142">
        <f>B990*IBGE_2!Y$990/100</f>
        <v>0.31</v>
      </c>
      <c r="Z990" s="142">
        <f>B990*IBGE_2!Z$990/100</f>
        <v>0.47</v>
      </c>
      <c r="AA990" s="142">
        <f>B990*IBGE_2!AA$990/100</f>
        <v>2.2000000000000002</v>
      </c>
      <c r="AB990" s="142">
        <f>B990*IBGE_2!AB$990/100</f>
        <v>3</v>
      </c>
      <c r="AC990" s="142">
        <f>B990*IBGE_2!AC$990/100</f>
        <v>2.2000000000000002</v>
      </c>
      <c r="AD990" s="142">
        <f>B990*IBGE_2!AD$990/100</f>
        <v>8.3000000000000007</v>
      </c>
      <c r="AE990" s="142">
        <f>B990*IBGE_2!AE$990/100</f>
        <v>11</v>
      </c>
      <c r="AF990" s="142" t="s">
        <v>3047</v>
      </c>
      <c r="AG990" s="142">
        <f>B990*IBGE_2!AG$990/100</f>
        <v>0.66</v>
      </c>
      <c r="AH990" s="142">
        <f>B990*IBGE_2!AH$990/100</f>
        <v>1.4000000000000002E-2</v>
      </c>
      <c r="AI990" s="142">
        <f>B990*IBGE_2!AI$990/100</f>
        <v>333</v>
      </c>
      <c r="AJ990" s="142">
        <f>B990*IBGE_2!AJ$990/100</f>
        <v>44.274999999999999</v>
      </c>
      <c r="AK990" s="142" t="s">
        <v>3047</v>
      </c>
      <c r="AL990" s="142" t="s">
        <v>3047</v>
      </c>
      <c r="AM990" s="142" t="s">
        <v>3047</v>
      </c>
      <c r="AN990" s="161"/>
    </row>
    <row r="991" spans="1:40">
      <c r="A991" s="143" t="s">
        <v>2051</v>
      </c>
      <c r="B991" s="141">
        <v>100</v>
      </c>
      <c r="C991" s="142">
        <f>B991*IBGE_2!C$991/100</f>
        <v>92</v>
      </c>
      <c r="D991" s="142">
        <f>B991*IBGE_2!D$991/100</f>
        <v>19.399999999999999</v>
      </c>
      <c r="E991" s="142">
        <f>B991*IBGE_2!E$991/100</f>
        <v>1.6</v>
      </c>
      <c r="F991" s="142">
        <f>B991*IBGE_2!F$991/100</f>
        <v>0.39</v>
      </c>
      <c r="G991" s="142">
        <f>B991*IBGE_2!G$991/100</f>
        <v>0.48</v>
      </c>
      <c r="H991" s="142">
        <f>B991*IBGE_2!H$991/100</f>
        <v>0.36</v>
      </c>
      <c r="I991" s="142">
        <f>B991*IBGE_2!I$991/100</f>
        <v>0.19</v>
      </c>
      <c r="J991" s="142">
        <f>B991*IBGE_2!J$991/100</f>
        <v>0.06</v>
      </c>
      <c r="K991" s="142">
        <f>B991*IBGE_2!K$991/100</f>
        <v>91.1</v>
      </c>
      <c r="L991" s="142" t="s">
        <v>3047</v>
      </c>
      <c r="M991" s="142" t="s">
        <v>3047</v>
      </c>
      <c r="N991" s="142">
        <f>B991*IBGE_2!N$991/100</f>
        <v>11</v>
      </c>
      <c r="O991" s="142">
        <f>B991*IBGE_2!O$991/100</f>
        <v>23</v>
      </c>
      <c r="P991" s="142">
        <f>B991*IBGE_2!P$991/100</f>
        <v>1.7000000000000001E-2</v>
      </c>
      <c r="Q991" s="142">
        <f>B991*IBGE_2!Q$991/100</f>
        <v>182</v>
      </c>
      <c r="R991" s="142">
        <f>B991*IBGE_2!R$991/100</f>
        <v>1.1000000000000001</v>
      </c>
      <c r="S991" s="142">
        <f>B991*IBGE_2!S$991/100</f>
        <v>77</v>
      </c>
      <c r="T991" s="142">
        <f>B991*IBGE_2!T$991/100</f>
        <v>233</v>
      </c>
      <c r="U991" s="142">
        <f>B991*IBGE_2!U$991/100</f>
        <v>0.3</v>
      </c>
      <c r="V991" s="142">
        <f>B991*IBGE_2!V$991/100</f>
        <v>1.27</v>
      </c>
      <c r="W991" s="142">
        <f>B991*IBGE_2!W$991/100</f>
        <v>18</v>
      </c>
      <c r="X991" s="142">
        <f>B991*IBGE_2!X$991/100</f>
        <v>0.11</v>
      </c>
      <c r="Y991" s="142">
        <f>B991*IBGE_2!Y$991/100</f>
        <v>0.18</v>
      </c>
      <c r="Z991" s="142">
        <f>B991*IBGE_2!Z$991/100</f>
        <v>0.12</v>
      </c>
      <c r="AA991" s="142">
        <f>B991*IBGE_2!AA$991/100</f>
        <v>3</v>
      </c>
      <c r="AB991" s="142" t="s">
        <v>3047</v>
      </c>
      <c r="AC991" s="142">
        <f>B991*IBGE_2!AC$991/100</f>
        <v>6.6669999999999989</v>
      </c>
      <c r="AD991" s="142">
        <f>B991*IBGE_2!AD$991/100</f>
        <v>1.01</v>
      </c>
      <c r="AE991" s="142">
        <f>B991*IBGE_2!AE$991/100</f>
        <v>15</v>
      </c>
      <c r="AF991" s="142" t="s">
        <v>3047</v>
      </c>
      <c r="AG991" s="142">
        <f>B991*IBGE_2!AG$991/100</f>
        <v>0.63</v>
      </c>
      <c r="AH991" s="142">
        <f>B991*IBGE_2!AH$991/100</f>
        <v>0.01</v>
      </c>
      <c r="AI991" s="142">
        <f>B991*IBGE_2!AI$991/100</f>
        <v>333</v>
      </c>
      <c r="AJ991" s="142">
        <f>B991*IBGE_2!AJ$991/100</f>
        <v>25.5</v>
      </c>
      <c r="AK991" s="142">
        <f>B991*IBGE_2!AK$991/100</f>
        <v>18</v>
      </c>
      <c r="AL991" s="142" t="s">
        <v>3047</v>
      </c>
      <c r="AM991" s="142" t="s">
        <v>3047</v>
      </c>
      <c r="AN991" s="161"/>
    </row>
    <row r="992" spans="1:40">
      <c r="A992" s="143" t="s">
        <v>2052</v>
      </c>
      <c r="B992" s="141">
        <v>100</v>
      </c>
      <c r="C992" s="142">
        <f>B992*IBGE_2!C$992/100</f>
        <v>114.65900000000002</v>
      </c>
      <c r="D992" s="142">
        <f>B992*IBGE_2!D$992/100</f>
        <v>19.399999999999999</v>
      </c>
      <c r="E992" s="142">
        <f>B992*IBGE_2!E$992/100</f>
        <v>4.1630000000000003</v>
      </c>
      <c r="F992" s="142">
        <f>B992*IBGE_2!F$992/100</f>
        <v>0.79100000000000004</v>
      </c>
      <c r="G992" s="142">
        <f>B992*IBGE_2!G$992/100</f>
        <v>1.0640000000000001</v>
      </c>
      <c r="H992" s="142">
        <f>B992*IBGE_2!H$992/100</f>
        <v>1.84</v>
      </c>
      <c r="I992" s="142">
        <f>B992*IBGE_2!I$992/100</f>
        <v>1.496</v>
      </c>
      <c r="J992" s="142">
        <f>B992*IBGE_2!J$992/100</f>
        <v>0.23400000000000001</v>
      </c>
      <c r="K992" s="142">
        <f>B992*IBGE_2!K$992/100</f>
        <v>91.1</v>
      </c>
      <c r="L992" s="142" t="s">
        <v>3047</v>
      </c>
      <c r="M992" s="142" t="s">
        <v>3047</v>
      </c>
      <c r="N992" s="142">
        <f>B992*IBGE_2!N$992/100</f>
        <v>11</v>
      </c>
      <c r="O992" s="142">
        <f>B992*IBGE_2!O$992/100</f>
        <v>23</v>
      </c>
      <c r="P992" s="142">
        <f>B992*IBGE_2!P$992/100</f>
        <v>1.7000000000000001E-2</v>
      </c>
      <c r="Q992" s="142">
        <f>B992*IBGE_2!Q$992/100</f>
        <v>182</v>
      </c>
      <c r="R992" s="142">
        <f>B992*IBGE_2!R$992/100</f>
        <v>1.101</v>
      </c>
      <c r="S992" s="142">
        <f>B992*IBGE_2!S$992/100</f>
        <v>77</v>
      </c>
      <c r="T992" s="142">
        <f>B992*IBGE_2!T$992/100</f>
        <v>233</v>
      </c>
      <c r="U992" s="142">
        <f>B992*IBGE_2!U$992/100</f>
        <v>0.3</v>
      </c>
      <c r="V992" s="142">
        <f>B992*IBGE_2!V$992/100</f>
        <v>1.27</v>
      </c>
      <c r="W992" s="142">
        <f>B992*IBGE_2!W$992/100</f>
        <v>18</v>
      </c>
      <c r="X992" s="142">
        <f>B992*IBGE_2!X$992/100</f>
        <v>0.11</v>
      </c>
      <c r="Y992" s="142">
        <f>B992*IBGE_2!Y$992/100</f>
        <v>0.18</v>
      </c>
      <c r="Z992" s="142">
        <f>B992*IBGE_2!Z$992/100</f>
        <v>0.12</v>
      </c>
      <c r="AA992" s="142">
        <f>B992*IBGE_2!AA$992/100</f>
        <v>3</v>
      </c>
      <c r="AB992" s="142" t="s">
        <v>3047</v>
      </c>
      <c r="AC992" s="142">
        <f>B992*IBGE_2!AC$992/100</f>
        <v>6.6669999999999989</v>
      </c>
      <c r="AD992" s="142">
        <f>B992*IBGE_2!AD$992/100</f>
        <v>1.01</v>
      </c>
      <c r="AE992" s="142">
        <f>B992*IBGE_2!AE$992/100</f>
        <v>15</v>
      </c>
      <c r="AF992" s="142" t="s">
        <v>3047</v>
      </c>
      <c r="AG992" s="142">
        <f>B992*IBGE_2!AG$992/100</f>
        <v>0.84</v>
      </c>
      <c r="AH992" s="142">
        <f>B992*IBGE_2!AH$992/100</f>
        <v>2.4E-2</v>
      </c>
      <c r="AI992" s="142">
        <f>B992*IBGE_2!AI$992/100</f>
        <v>333</v>
      </c>
      <c r="AJ992" s="142">
        <f>B992*IBGE_2!AJ$992/100</f>
        <v>26.675000000000001</v>
      </c>
      <c r="AK992" s="142">
        <f>B992*IBGE_2!AK$992/100</f>
        <v>18</v>
      </c>
      <c r="AL992" s="142" t="s">
        <v>3047</v>
      </c>
      <c r="AM992" s="142" t="s">
        <v>3047</v>
      </c>
      <c r="AN992" s="161"/>
    </row>
    <row r="993" spans="1:40">
      <c r="A993" s="143" t="s">
        <v>2053</v>
      </c>
      <c r="B993" s="141">
        <v>100</v>
      </c>
      <c r="C993" s="142">
        <f>B993*IBGE_2!C$993/100</f>
        <v>212</v>
      </c>
      <c r="D993" s="142">
        <f>B993*IBGE_2!D$993/100</f>
        <v>34.85</v>
      </c>
      <c r="E993" s="142">
        <f>B993*IBGE_2!E$993/100</f>
        <v>6.96</v>
      </c>
      <c r="F993" s="142">
        <f>B993*IBGE_2!F$993/100</f>
        <v>2.0699999999999998</v>
      </c>
      <c r="G993" s="142">
        <f>B993*IBGE_2!G$993/100</f>
        <v>1.89</v>
      </c>
      <c r="H993" s="142">
        <f>B993*IBGE_2!H$993/100</f>
        <v>1.35</v>
      </c>
      <c r="I993" s="142">
        <f>B993*IBGE_2!I$993/100</f>
        <v>1.07</v>
      </c>
      <c r="J993" s="142">
        <f>B993*IBGE_2!J$993/100</f>
        <v>0.28000000000000003</v>
      </c>
      <c r="K993" s="142">
        <f>B993*IBGE_2!K$993/100</f>
        <v>117</v>
      </c>
      <c r="L993" s="142" t="s">
        <v>3047</v>
      </c>
      <c r="M993" s="142" t="s">
        <v>3047</v>
      </c>
      <c r="N993" s="142">
        <f>B993*IBGE_2!N$993/100</f>
        <v>22</v>
      </c>
      <c r="O993" s="142">
        <f>B993*IBGE_2!O$993/100</f>
        <v>29</v>
      </c>
      <c r="P993" s="142">
        <f>B993*IBGE_2!P$993/100</f>
        <v>3.2000000000000001E-2</v>
      </c>
      <c r="Q993" s="142">
        <f>B993*IBGE_2!Q$993/100</f>
        <v>292</v>
      </c>
      <c r="R993" s="142">
        <f>B993*IBGE_2!R$993/100</f>
        <v>10</v>
      </c>
      <c r="S993" s="142">
        <f>B993*IBGE_2!S$993/100</f>
        <v>59</v>
      </c>
      <c r="T993" s="142">
        <f>B993*IBGE_2!T$993/100</f>
        <v>403</v>
      </c>
      <c r="U993" s="142">
        <f>B993*IBGE_2!U$993/100</f>
        <v>0.18899999999999997</v>
      </c>
      <c r="V993" s="142">
        <f>B993*IBGE_2!V$993/100</f>
        <v>2.27</v>
      </c>
      <c r="W993" s="142" t="s">
        <v>3047</v>
      </c>
      <c r="X993" s="142">
        <f>B993*IBGE_2!X$993/100</f>
        <v>0.05</v>
      </c>
      <c r="Y993" s="142">
        <f>B993*IBGE_2!Y$993/100</f>
        <v>0.31</v>
      </c>
      <c r="Z993" s="142">
        <f>B993*IBGE_2!Z$993/100</f>
        <v>0.47</v>
      </c>
      <c r="AA993" s="142">
        <f>B993*IBGE_2!AA$993/100</f>
        <v>2.2000000000000002</v>
      </c>
      <c r="AB993" s="142">
        <f>B993*IBGE_2!AB$993/100</f>
        <v>3</v>
      </c>
      <c r="AC993" s="142">
        <f>B993*IBGE_2!AC$993/100</f>
        <v>2.2000000000000002</v>
      </c>
      <c r="AD993" s="142">
        <f>B993*IBGE_2!AD$993/100</f>
        <v>8.3000000000000007</v>
      </c>
      <c r="AE993" s="142">
        <f>B993*IBGE_2!AE$993/100</f>
        <v>11</v>
      </c>
      <c r="AF993" s="142" t="s">
        <v>3047</v>
      </c>
      <c r="AG993" s="142">
        <f>B993*IBGE_2!AG$993/100</f>
        <v>0.45</v>
      </c>
      <c r="AH993" s="145" t="s">
        <v>3047</v>
      </c>
      <c r="AI993" s="142">
        <f>B993*IBGE_2!AI$993/100</f>
        <v>333</v>
      </c>
      <c r="AJ993" s="142">
        <f>B993*IBGE_2!AJ$993/100</f>
        <v>43.1</v>
      </c>
      <c r="AK993" s="142" t="s">
        <v>3047</v>
      </c>
      <c r="AL993" s="142" t="s">
        <v>3047</v>
      </c>
      <c r="AM993" s="142" t="s">
        <v>3047</v>
      </c>
      <c r="AN993" s="161"/>
    </row>
    <row r="994" spans="1:40">
      <c r="A994" s="143" t="s">
        <v>2054</v>
      </c>
      <c r="B994" s="141">
        <v>100</v>
      </c>
      <c r="C994" s="142">
        <f>B994*IBGE_2!C$994/100</f>
        <v>212</v>
      </c>
      <c r="D994" s="142">
        <f>B994*IBGE_2!D$994/100</f>
        <v>34.85</v>
      </c>
      <c r="E994" s="142">
        <f>B994*IBGE_2!E$994/100</f>
        <v>6.96</v>
      </c>
      <c r="F994" s="142">
        <f>B994*IBGE_2!F$994/100</f>
        <v>2.0699999999999998</v>
      </c>
      <c r="G994" s="142">
        <f>B994*IBGE_2!G$994/100</f>
        <v>1.89</v>
      </c>
      <c r="H994" s="142">
        <f>B994*IBGE_2!H$994/100</f>
        <v>1.35</v>
      </c>
      <c r="I994" s="142">
        <f>B994*IBGE_2!I$994/100</f>
        <v>1.07</v>
      </c>
      <c r="J994" s="142">
        <f>B994*IBGE_2!J$994/100</f>
        <v>0.28000000000000003</v>
      </c>
      <c r="K994" s="142">
        <f>B994*IBGE_2!K$994/100</f>
        <v>117</v>
      </c>
      <c r="L994" s="142" t="s">
        <v>3047</v>
      </c>
      <c r="M994" s="142" t="s">
        <v>3047</v>
      </c>
      <c r="N994" s="142">
        <f>B994*IBGE_2!N$994/100</f>
        <v>22</v>
      </c>
      <c r="O994" s="142">
        <f>B994*IBGE_2!O$994/100</f>
        <v>29</v>
      </c>
      <c r="P994" s="142">
        <f>B994*IBGE_2!P$994/100</f>
        <v>3.2000000000000001E-2</v>
      </c>
      <c r="Q994" s="142">
        <f>B994*IBGE_2!Q$994/100</f>
        <v>292</v>
      </c>
      <c r="R994" s="142">
        <f>B994*IBGE_2!R$994/100</f>
        <v>10</v>
      </c>
      <c r="S994" s="142">
        <f>B994*IBGE_2!S$994/100</f>
        <v>59</v>
      </c>
      <c r="T994" s="142">
        <f>B994*IBGE_2!T$994/100</f>
        <v>403</v>
      </c>
      <c r="U994" s="142">
        <f>B994*IBGE_2!U$994/100</f>
        <v>0.18899999999999997</v>
      </c>
      <c r="V994" s="142">
        <f>B994*IBGE_2!V$994/100</f>
        <v>2.27</v>
      </c>
      <c r="W994" s="142" t="s">
        <v>3047</v>
      </c>
      <c r="X994" s="142">
        <f>B994*IBGE_2!X$994/100</f>
        <v>0.05</v>
      </c>
      <c r="Y994" s="142">
        <f>B994*IBGE_2!Y$994/100</f>
        <v>0.31</v>
      </c>
      <c r="Z994" s="142">
        <f>B994*IBGE_2!Z$994/100</f>
        <v>0.47</v>
      </c>
      <c r="AA994" s="142">
        <f>B994*IBGE_2!AA$994/100</f>
        <v>2.2000000000000002</v>
      </c>
      <c r="AB994" s="142">
        <f>B994*IBGE_2!AB$994/100</f>
        <v>3</v>
      </c>
      <c r="AC994" s="142">
        <f>B994*IBGE_2!AC$994/100</f>
        <v>2.2000000000000002</v>
      </c>
      <c r="AD994" s="142">
        <f>B994*IBGE_2!AD$994/100</f>
        <v>8.3000000000000007</v>
      </c>
      <c r="AE994" s="142">
        <f>B994*IBGE_2!AE$994/100</f>
        <v>11</v>
      </c>
      <c r="AF994" s="142" t="s">
        <v>3047</v>
      </c>
      <c r="AG994" s="142">
        <f>B994*IBGE_2!AG$994/100</f>
        <v>0.45</v>
      </c>
      <c r="AH994" s="145" t="s">
        <v>3047</v>
      </c>
      <c r="AI994" s="142">
        <f>B994*IBGE_2!AI$994/100</f>
        <v>333</v>
      </c>
      <c r="AJ994" s="142">
        <f>B994*IBGE_2!AJ$994/100</f>
        <v>43.1</v>
      </c>
      <c r="AK994" s="142" t="s">
        <v>3047</v>
      </c>
      <c r="AL994" s="142" t="s">
        <v>3047</v>
      </c>
      <c r="AM994" s="142" t="s">
        <v>3047</v>
      </c>
      <c r="AN994" s="161"/>
    </row>
    <row r="995" spans="1:40">
      <c r="A995" s="143" t="s">
        <v>2055</v>
      </c>
      <c r="B995" s="141">
        <v>100</v>
      </c>
      <c r="C995" s="142">
        <f>B995*IBGE_2!C$995/100</f>
        <v>234.65899999999999</v>
      </c>
      <c r="D995" s="142">
        <f>B995*IBGE_2!D$995/100</f>
        <v>34.85</v>
      </c>
      <c r="E995" s="142">
        <f>B995*IBGE_2!E$995/100</f>
        <v>9.5229999999999997</v>
      </c>
      <c r="F995" s="142">
        <f>B995*IBGE_2!F$995/100</f>
        <v>2.4710000000000001</v>
      </c>
      <c r="G995" s="142">
        <f>B995*IBGE_2!G$995/100</f>
        <v>2.4740000000000002</v>
      </c>
      <c r="H995" s="142">
        <f>B995*IBGE_2!H$995/100</f>
        <v>2.83</v>
      </c>
      <c r="I995" s="142">
        <f>B995*IBGE_2!I$995/100</f>
        <v>2.3759999999999999</v>
      </c>
      <c r="J995" s="142">
        <f>B995*IBGE_2!J$995/100</f>
        <v>0.45399999999999996</v>
      </c>
      <c r="K995" s="142">
        <f>B995*IBGE_2!K$995/100</f>
        <v>117</v>
      </c>
      <c r="L995" s="142" t="s">
        <v>3047</v>
      </c>
      <c r="M995" s="142" t="s">
        <v>3047</v>
      </c>
      <c r="N995" s="142">
        <f>B995*IBGE_2!N$995/100</f>
        <v>22</v>
      </c>
      <c r="O995" s="142">
        <f>B995*IBGE_2!O$995/100</f>
        <v>29</v>
      </c>
      <c r="P995" s="142">
        <f>B995*IBGE_2!P$995/100</f>
        <v>3.2000000000000001E-2</v>
      </c>
      <c r="Q995" s="142">
        <f>B995*IBGE_2!Q$995/100</f>
        <v>292</v>
      </c>
      <c r="R995" s="142">
        <f>B995*IBGE_2!R$995/100</f>
        <v>10.000999999999999</v>
      </c>
      <c r="S995" s="142">
        <f>B995*IBGE_2!S$995/100</f>
        <v>59</v>
      </c>
      <c r="T995" s="142">
        <f>B995*IBGE_2!T$995/100</f>
        <v>403</v>
      </c>
      <c r="U995" s="142">
        <f>B995*IBGE_2!U$995/100</f>
        <v>0.18899999999999997</v>
      </c>
      <c r="V995" s="142">
        <f>B995*IBGE_2!V$995/100</f>
        <v>2.27</v>
      </c>
      <c r="W995" s="142" t="s">
        <v>3047</v>
      </c>
      <c r="X995" s="142">
        <f>B995*IBGE_2!X$995/100</f>
        <v>0.05</v>
      </c>
      <c r="Y995" s="142">
        <f>B995*IBGE_2!Y$995/100</f>
        <v>0.31</v>
      </c>
      <c r="Z995" s="142">
        <f>B995*IBGE_2!Z$995/100</f>
        <v>0.47</v>
      </c>
      <c r="AA995" s="142">
        <f>B995*IBGE_2!AA$995/100</f>
        <v>2.2000000000000002</v>
      </c>
      <c r="AB995" s="142">
        <f>B995*IBGE_2!AB$995/100</f>
        <v>3</v>
      </c>
      <c r="AC995" s="142">
        <f>B995*IBGE_2!AC$995/100</f>
        <v>2.2000000000000002</v>
      </c>
      <c r="AD995" s="142">
        <f>B995*IBGE_2!AD$995/100</f>
        <v>8.3000000000000007</v>
      </c>
      <c r="AE995" s="142">
        <f>B995*IBGE_2!AE$995/100</f>
        <v>11</v>
      </c>
      <c r="AF995" s="142" t="s">
        <v>3047</v>
      </c>
      <c r="AG995" s="142">
        <f>B995*IBGE_2!AG$995/100</f>
        <v>0.66</v>
      </c>
      <c r="AH995" s="142">
        <f>B995*IBGE_2!AH$995/100</f>
        <v>1.4000000000000002E-2</v>
      </c>
      <c r="AI995" s="142">
        <f>B995*IBGE_2!AI$995/100</f>
        <v>333</v>
      </c>
      <c r="AJ995" s="142">
        <f>B995*IBGE_2!AJ$995/100</f>
        <v>44.274999999999999</v>
      </c>
      <c r="AK995" s="142" t="s">
        <v>3047</v>
      </c>
      <c r="AL995" s="142" t="s">
        <v>3047</v>
      </c>
      <c r="AM995" s="142" t="s">
        <v>3047</v>
      </c>
      <c r="AN995" s="161"/>
    </row>
    <row r="996" spans="1:40">
      <c r="A996" s="143" t="s">
        <v>2056</v>
      </c>
      <c r="B996" s="141">
        <v>100</v>
      </c>
      <c r="C996" s="142">
        <f>B996*IBGE_2!C$996/100</f>
        <v>212</v>
      </c>
      <c r="D996" s="142">
        <f>B996*IBGE_2!D$996/100</f>
        <v>34.85</v>
      </c>
      <c r="E996" s="142">
        <f>B996*IBGE_2!E$996/100</f>
        <v>6.96</v>
      </c>
      <c r="F996" s="142">
        <f>B996*IBGE_2!F$996/100</f>
        <v>2.0699999999999998</v>
      </c>
      <c r="G996" s="142">
        <f>B996*IBGE_2!G$996/100</f>
        <v>1.89</v>
      </c>
      <c r="H996" s="142">
        <f>B996*IBGE_2!H$996/100</f>
        <v>1.35</v>
      </c>
      <c r="I996" s="142">
        <f>B996*IBGE_2!I$996/100</f>
        <v>1.07</v>
      </c>
      <c r="J996" s="142">
        <f>B996*IBGE_2!J$996/100</f>
        <v>0.28000000000000003</v>
      </c>
      <c r="K996" s="142">
        <f>B996*IBGE_2!K$996/100</f>
        <v>117</v>
      </c>
      <c r="L996" s="142" t="s">
        <v>3047</v>
      </c>
      <c r="M996" s="142" t="s">
        <v>3047</v>
      </c>
      <c r="N996" s="142">
        <f>B996*IBGE_2!N$996/100</f>
        <v>22</v>
      </c>
      <c r="O996" s="142">
        <f>B996*IBGE_2!O$996/100</f>
        <v>29</v>
      </c>
      <c r="P996" s="142">
        <f>B996*IBGE_2!P$996/100</f>
        <v>3.2000000000000001E-2</v>
      </c>
      <c r="Q996" s="142">
        <f>B996*IBGE_2!Q$996/100</f>
        <v>292</v>
      </c>
      <c r="R996" s="142">
        <f>B996*IBGE_2!R$996/100</f>
        <v>10</v>
      </c>
      <c r="S996" s="142">
        <f>B996*IBGE_2!S$996/100</f>
        <v>59</v>
      </c>
      <c r="T996" s="142">
        <f>B996*IBGE_2!T$996/100</f>
        <v>403</v>
      </c>
      <c r="U996" s="142">
        <f>B996*IBGE_2!U$996/100</f>
        <v>0.18899999999999997</v>
      </c>
      <c r="V996" s="142">
        <f>B996*IBGE_2!V$996/100</f>
        <v>2.27</v>
      </c>
      <c r="W996" s="142" t="s">
        <v>3047</v>
      </c>
      <c r="X996" s="142">
        <f>B996*IBGE_2!X$996/100</f>
        <v>0.05</v>
      </c>
      <c r="Y996" s="142">
        <f>B996*IBGE_2!Y$996/100</f>
        <v>0.31</v>
      </c>
      <c r="Z996" s="142">
        <f>B996*IBGE_2!Z$996/100</f>
        <v>0.47</v>
      </c>
      <c r="AA996" s="142">
        <f>B996*IBGE_2!AA$996/100</f>
        <v>2.2000000000000002</v>
      </c>
      <c r="AB996" s="142">
        <f>B996*IBGE_2!AB$996/100</f>
        <v>3</v>
      </c>
      <c r="AC996" s="142">
        <f>B996*IBGE_2!AC$996/100</f>
        <v>2.2000000000000002</v>
      </c>
      <c r="AD996" s="142">
        <f>B996*IBGE_2!AD$996/100</f>
        <v>8.3000000000000007</v>
      </c>
      <c r="AE996" s="142">
        <f>B996*IBGE_2!AE$996/100</f>
        <v>11</v>
      </c>
      <c r="AF996" s="142" t="s">
        <v>3047</v>
      </c>
      <c r="AG996" s="142">
        <f>B996*IBGE_2!AG$996/100</f>
        <v>0.45</v>
      </c>
      <c r="AH996" s="145" t="s">
        <v>3047</v>
      </c>
      <c r="AI996" s="142">
        <f>B996*IBGE_2!AI$996/100</f>
        <v>333</v>
      </c>
      <c r="AJ996" s="142">
        <f>B996*IBGE_2!AJ$996/100</f>
        <v>43.1</v>
      </c>
      <c r="AK996" s="142" t="s">
        <v>3047</v>
      </c>
      <c r="AL996" s="142" t="s">
        <v>3047</v>
      </c>
      <c r="AM996" s="142" t="s">
        <v>3047</v>
      </c>
      <c r="AN996" s="161"/>
    </row>
    <row r="997" spans="1:40">
      <c r="A997" s="143" t="s">
        <v>2057</v>
      </c>
      <c r="B997" s="141">
        <v>100</v>
      </c>
      <c r="C997" s="142">
        <f>B997*IBGE_2!C$997/100</f>
        <v>212</v>
      </c>
      <c r="D997" s="142">
        <f>B997*IBGE_2!D$997/100</f>
        <v>34.85</v>
      </c>
      <c r="E997" s="142">
        <f>B997*IBGE_2!E$997/100</f>
        <v>6.96</v>
      </c>
      <c r="F997" s="142">
        <f>B997*IBGE_2!F$997/100</f>
        <v>2.0699999999999998</v>
      </c>
      <c r="G997" s="142">
        <f>B997*IBGE_2!G$997/100</f>
        <v>1.89</v>
      </c>
      <c r="H997" s="142">
        <f>B997*IBGE_2!H$997/100</f>
        <v>1.35</v>
      </c>
      <c r="I997" s="142">
        <f>B997*IBGE_2!I$997/100</f>
        <v>1.07</v>
      </c>
      <c r="J997" s="142">
        <f>B997*IBGE_2!J$997/100</f>
        <v>0.28000000000000003</v>
      </c>
      <c r="K997" s="142">
        <f>B997*IBGE_2!K$997/100</f>
        <v>117</v>
      </c>
      <c r="L997" s="142" t="s">
        <v>3047</v>
      </c>
      <c r="M997" s="142" t="s">
        <v>3047</v>
      </c>
      <c r="N997" s="142">
        <f>B997*IBGE_2!N$997/100</f>
        <v>22</v>
      </c>
      <c r="O997" s="142">
        <f>B997*IBGE_2!O$997/100</f>
        <v>29</v>
      </c>
      <c r="P997" s="142">
        <f>B997*IBGE_2!P$997/100</f>
        <v>3.2000000000000001E-2</v>
      </c>
      <c r="Q997" s="142">
        <f>B997*IBGE_2!Q$997/100</f>
        <v>292</v>
      </c>
      <c r="R997" s="142">
        <f>B997*IBGE_2!R$997/100</f>
        <v>10</v>
      </c>
      <c r="S997" s="142">
        <f>B997*IBGE_2!S$997/100</f>
        <v>59</v>
      </c>
      <c r="T997" s="142">
        <f>B997*IBGE_2!T$997/100</f>
        <v>403</v>
      </c>
      <c r="U997" s="142">
        <f>B997*IBGE_2!U$997/100</f>
        <v>0.18899999999999997</v>
      </c>
      <c r="V997" s="142">
        <f>B997*IBGE_2!V$997/100</f>
        <v>2.27</v>
      </c>
      <c r="W997" s="142" t="s">
        <v>3047</v>
      </c>
      <c r="X997" s="142">
        <f>B997*IBGE_2!X$997/100</f>
        <v>0.05</v>
      </c>
      <c r="Y997" s="142">
        <f>B997*IBGE_2!Y$997/100</f>
        <v>0.31</v>
      </c>
      <c r="Z997" s="142">
        <f>B997*IBGE_2!Z$997/100</f>
        <v>0.47</v>
      </c>
      <c r="AA997" s="142">
        <f>B997*IBGE_2!AA$997/100</f>
        <v>2.2000000000000002</v>
      </c>
      <c r="AB997" s="142">
        <f>B997*IBGE_2!AB$997/100</f>
        <v>3</v>
      </c>
      <c r="AC997" s="142">
        <f>B997*IBGE_2!AC$997/100</f>
        <v>2.2000000000000002</v>
      </c>
      <c r="AD997" s="142">
        <f>B997*IBGE_2!AD$997/100</f>
        <v>8.3000000000000007</v>
      </c>
      <c r="AE997" s="142">
        <f>B997*IBGE_2!AE$997/100</f>
        <v>11</v>
      </c>
      <c r="AF997" s="145" t="s">
        <v>3047</v>
      </c>
      <c r="AG997" s="142">
        <f>B997*IBGE_2!AG$997/100</f>
        <v>0.45</v>
      </c>
      <c r="AH997" s="145" t="s">
        <v>3047</v>
      </c>
      <c r="AI997" s="142">
        <f>B997*IBGE_2!AI$997/100</f>
        <v>333</v>
      </c>
      <c r="AJ997" s="142">
        <f>B997*IBGE_2!AJ$997/100</f>
        <v>43.1</v>
      </c>
      <c r="AK997" s="142" t="s">
        <v>3047</v>
      </c>
      <c r="AL997" s="142" t="s">
        <v>3047</v>
      </c>
      <c r="AM997" s="142" t="s">
        <v>3047</v>
      </c>
      <c r="AN997" s="161"/>
    </row>
    <row r="998" spans="1:40">
      <c r="A998" s="143" t="s">
        <v>2058</v>
      </c>
      <c r="B998" s="141">
        <v>100</v>
      </c>
      <c r="C998" s="142">
        <f>B998*IBGE_2!C$998/100</f>
        <v>117</v>
      </c>
      <c r="D998" s="142">
        <f>B998*IBGE_2!D$998/100</f>
        <v>24.16</v>
      </c>
      <c r="E998" s="142">
        <f>B998*IBGE_2!E$998/100</f>
        <v>1.53</v>
      </c>
      <c r="F998" s="142">
        <f>B998*IBGE_2!F$998/100</f>
        <v>0.36299999999999999</v>
      </c>
      <c r="G998" s="142">
        <f>B998*IBGE_2!G$998/100</f>
        <v>0.27600000000000002</v>
      </c>
      <c r="H998" s="142">
        <f>B998*IBGE_2!H$998/100</f>
        <v>0.64600000000000013</v>
      </c>
      <c r="I998" s="142">
        <f>B998*IBGE_2!I$998/100</f>
        <v>1.4000000000000002E-2</v>
      </c>
      <c r="J998" s="142">
        <f>B998*IBGE_2!J$998/100</f>
        <v>1.6E-2</v>
      </c>
      <c r="K998" s="142">
        <f>B998*IBGE_2!K$998/100</f>
        <v>68</v>
      </c>
      <c r="L998" s="142" t="s">
        <v>3047</v>
      </c>
      <c r="M998" s="142" t="s">
        <v>3047</v>
      </c>
      <c r="N998" s="142">
        <f>B998*IBGE_2!N$998/100</f>
        <v>18</v>
      </c>
      <c r="O998" s="142">
        <f>B998*IBGE_2!O$998/100</f>
        <v>58</v>
      </c>
      <c r="P998" s="142">
        <f>B998*IBGE_2!P$998/100</f>
        <v>0.02</v>
      </c>
      <c r="Q998" s="142">
        <f>B998*IBGE_2!Q$998/100</f>
        <v>289</v>
      </c>
      <c r="R998" s="142">
        <f>B998*IBGE_2!R$998/100</f>
        <v>0.34</v>
      </c>
      <c r="S998" s="142">
        <f>B998*IBGE_2!S$998/100</f>
        <v>105</v>
      </c>
      <c r="T998" s="142">
        <f>B998*IBGE_2!T$998/100</f>
        <v>344</v>
      </c>
      <c r="U998" s="142">
        <f>B998*IBGE_2!U$998/100</f>
        <v>2.6000000000000002E-2</v>
      </c>
      <c r="V998" s="142">
        <f>B998*IBGE_2!V$998/100</f>
        <v>0.63</v>
      </c>
      <c r="W998" s="142">
        <f>B998*IBGE_2!W$998/100</f>
        <v>13</v>
      </c>
      <c r="X998" s="142">
        <f>B998*IBGE_2!X$998/100</f>
        <v>0.08</v>
      </c>
      <c r="Y998" s="142">
        <f>B998*IBGE_2!Y$998/100</f>
        <v>0.114</v>
      </c>
      <c r="Z998" s="142">
        <f>B998*IBGE_2!Z$998/100</f>
        <v>0.24</v>
      </c>
      <c r="AA998" s="142">
        <f>B998*IBGE_2!AA$998/100</f>
        <v>2.1789999999999998</v>
      </c>
      <c r="AB998" s="142" t="s">
        <v>3047</v>
      </c>
      <c r="AC998" s="142">
        <f>B998*IBGE_2!AC$998/100</f>
        <v>6.6960000000000006</v>
      </c>
      <c r="AD998" s="142">
        <f>B998*IBGE_2!AD$998/100</f>
        <v>2.5099999999999998</v>
      </c>
      <c r="AE998" s="142">
        <f>B998*IBGE_2!AE$998/100</f>
        <v>9</v>
      </c>
      <c r="AF998" s="142">
        <f>B998*IBGE_2!AF$998/100</f>
        <v>1.92</v>
      </c>
      <c r="AG998" s="142">
        <f>B998*IBGE_2!AG$998/100</f>
        <v>0.66</v>
      </c>
      <c r="AH998" s="145" t="s">
        <v>3047</v>
      </c>
      <c r="AI998" s="142">
        <f>B998*IBGE_2!AI$998/100</f>
        <v>333</v>
      </c>
      <c r="AJ998" s="142">
        <f>B998*IBGE_2!AJ$998/100</f>
        <v>58.2</v>
      </c>
      <c r="AK998" s="142">
        <f>B998*IBGE_2!AK$998/100</f>
        <v>13</v>
      </c>
      <c r="AL998" s="142" t="s">
        <v>3047</v>
      </c>
      <c r="AM998" s="142" t="s">
        <v>3047</v>
      </c>
      <c r="AN998" s="161"/>
    </row>
    <row r="999" spans="1:40">
      <c r="A999" s="143" t="s">
        <v>2059</v>
      </c>
      <c r="B999" s="141">
        <v>100</v>
      </c>
      <c r="C999" s="142">
        <f>B999*IBGE_2!C$999/100</f>
        <v>204</v>
      </c>
      <c r="D999" s="142">
        <f>B999*IBGE_2!D$999/100</f>
        <v>30.67</v>
      </c>
      <c r="E999" s="142">
        <f>B999*IBGE_2!E$999/100</f>
        <v>9</v>
      </c>
      <c r="F999" s="142">
        <f>B999*IBGE_2!F$999/100</f>
        <v>3.415</v>
      </c>
      <c r="G999" s="142">
        <f>B999*IBGE_2!G$999/100</f>
        <v>3.9180000000000001</v>
      </c>
      <c r="H999" s="142">
        <f>B999*IBGE_2!H$999/100</f>
        <v>0.34699999999999998</v>
      </c>
      <c r="I999" s="142">
        <f>B999*IBGE_2!I$999/100</f>
        <v>0.23799999999999996</v>
      </c>
      <c r="J999" s="142">
        <f>B999*IBGE_2!J$999/100</f>
        <v>8.6999999999999994E-2</v>
      </c>
      <c r="K999" s="142">
        <f>B999*IBGE_2!K$999/100</f>
        <v>58</v>
      </c>
      <c r="L999" s="142" t="s">
        <v>3047</v>
      </c>
      <c r="M999" s="142" t="s">
        <v>3047</v>
      </c>
      <c r="N999" s="142">
        <f>B999*IBGE_2!N$999/100</f>
        <v>7</v>
      </c>
      <c r="O999" s="142">
        <f>B999*IBGE_2!O$999/100</f>
        <v>20</v>
      </c>
      <c r="P999" s="142">
        <f>B999*IBGE_2!P$999/100</f>
        <v>1.0999999999999999E-2</v>
      </c>
      <c r="Q999" s="142">
        <f>B999*IBGE_2!Q$999/100</f>
        <v>193</v>
      </c>
      <c r="R999" s="142">
        <f>B999*IBGE_2!R$999/100</f>
        <v>2.5299999999999998</v>
      </c>
      <c r="S999" s="142">
        <f>B999*IBGE_2!S$999/100</f>
        <v>41</v>
      </c>
      <c r="T999" s="142">
        <f>B999*IBGE_2!T$999/100</f>
        <v>252</v>
      </c>
      <c r="U999" s="142">
        <f>B999*IBGE_2!U$999/100</f>
        <v>7.3999999999999996E-2</v>
      </c>
      <c r="V999" s="142">
        <f>B999*IBGE_2!V$999/100</f>
        <v>5.2</v>
      </c>
      <c r="W999" s="142" t="s">
        <v>3047</v>
      </c>
      <c r="X999" s="142">
        <f>B999*IBGE_2!X$999/100</f>
        <v>7.0000000000000007E-2</v>
      </c>
      <c r="Y999" s="142">
        <f>B999*IBGE_2!Y$999/100</f>
        <v>0.16300000000000001</v>
      </c>
      <c r="Z999" s="142">
        <f>B999*IBGE_2!Z$999/100</f>
        <v>0.40300000000000002</v>
      </c>
      <c r="AA999" s="142">
        <f>B999*IBGE_2!AA$999/100</f>
        <v>5.36</v>
      </c>
      <c r="AB999" s="142" t="s">
        <v>3047</v>
      </c>
      <c r="AC999" s="142">
        <f>B999*IBGE_2!AC$999/100</f>
        <v>8.7270000000000003</v>
      </c>
      <c r="AD999" s="142">
        <f>B999*IBGE_2!AD$999/100</f>
        <v>1.71</v>
      </c>
      <c r="AE999" s="142">
        <f>B999*IBGE_2!AE$999/100</f>
        <v>10</v>
      </c>
      <c r="AF999" s="142">
        <f>B999*IBGE_2!AF$999/100</f>
        <v>0.6</v>
      </c>
      <c r="AG999" s="142">
        <f>B999*IBGE_2!AG$999/100</f>
        <v>0.43</v>
      </c>
      <c r="AH999" s="142">
        <f>B999*IBGE_2!AH$999/100</f>
        <v>0.40899999999999997</v>
      </c>
      <c r="AI999" s="142">
        <f>B999*IBGE_2!AI$999/100</f>
        <v>333</v>
      </c>
      <c r="AJ999" s="142">
        <f>B999*IBGE_2!AJ$999/100</f>
        <v>31.7</v>
      </c>
      <c r="AK999" s="142" t="s">
        <v>3047</v>
      </c>
      <c r="AL999" s="142" t="s">
        <v>3047</v>
      </c>
      <c r="AM999" s="142" t="s">
        <v>3047</v>
      </c>
      <c r="AN999" s="161"/>
    </row>
    <row r="1000" spans="1:40">
      <c r="A1000" s="143" t="s">
        <v>2060</v>
      </c>
      <c r="B1000" s="141">
        <v>100</v>
      </c>
      <c r="C1000" s="142">
        <f>B1000*IBGE_2!C$1000/100</f>
        <v>204</v>
      </c>
      <c r="D1000" s="142">
        <f>B1000*IBGE_2!D$1000/100</f>
        <v>30.67</v>
      </c>
      <c r="E1000" s="142">
        <f>B1000*IBGE_2!E$1000/100</f>
        <v>9</v>
      </c>
      <c r="F1000" s="142">
        <f>B1000*IBGE_2!F$1000/100</f>
        <v>3.415</v>
      </c>
      <c r="G1000" s="142">
        <f>B1000*IBGE_2!G$1000/100</f>
        <v>3.9180000000000001</v>
      </c>
      <c r="H1000" s="142">
        <f>B1000*IBGE_2!H$1000/100</f>
        <v>0.34699999999999998</v>
      </c>
      <c r="I1000" s="142">
        <f>B1000*IBGE_2!I$1000/100</f>
        <v>0.23799999999999996</v>
      </c>
      <c r="J1000" s="142">
        <f>B1000*IBGE_2!J$1000/100</f>
        <v>8.6999999999999994E-2</v>
      </c>
      <c r="K1000" s="142">
        <f>B1000*IBGE_2!K$1000/100</f>
        <v>58</v>
      </c>
      <c r="L1000" s="142" t="s">
        <v>3047</v>
      </c>
      <c r="M1000" s="142" t="s">
        <v>3047</v>
      </c>
      <c r="N1000" s="142">
        <f>B1000*IBGE_2!N$1000/100</f>
        <v>7</v>
      </c>
      <c r="O1000" s="142">
        <f>B1000*IBGE_2!O$1000/100</f>
        <v>20</v>
      </c>
      <c r="P1000" s="142">
        <f>B1000*IBGE_2!P$1000/100</f>
        <v>1.0999999999999999E-2</v>
      </c>
      <c r="Q1000" s="142">
        <f>B1000*IBGE_2!Q$1000/100</f>
        <v>193</v>
      </c>
      <c r="R1000" s="142">
        <f>B1000*IBGE_2!R$1000/100</f>
        <v>2.5299999999999998</v>
      </c>
      <c r="S1000" s="142">
        <f>B1000*IBGE_2!S$1000/100</f>
        <v>41</v>
      </c>
      <c r="T1000" s="142">
        <f>B1000*IBGE_2!T$1000/100</f>
        <v>252</v>
      </c>
      <c r="U1000" s="142">
        <f>B1000*IBGE_2!U$1000/100</f>
        <v>7.3999999999999996E-2</v>
      </c>
      <c r="V1000" s="142">
        <f>B1000*IBGE_2!V$1000/100</f>
        <v>5.2</v>
      </c>
      <c r="W1000" s="142" t="s">
        <v>3047</v>
      </c>
      <c r="X1000" s="142">
        <f>B1000*IBGE_2!X$1000/100</f>
        <v>7.0000000000000007E-2</v>
      </c>
      <c r="Y1000" s="142">
        <f>B1000*IBGE_2!Y$1000/100</f>
        <v>0.16300000000000001</v>
      </c>
      <c r="Z1000" s="142">
        <f>B1000*IBGE_2!Z$1000/100</f>
        <v>0.40300000000000002</v>
      </c>
      <c r="AA1000" s="142">
        <f>B1000*IBGE_2!AA$1000/100</f>
        <v>5.36</v>
      </c>
      <c r="AB1000" s="142" t="s">
        <v>3047</v>
      </c>
      <c r="AC1000" s="142">
        <f>B1000*IBGE_2!AC$1000/100</f>
        <v>8.7270000000000003</v>
      </c>
      <c r="AD1000" s="142">
        <f>B1000*IBGE_2!AD$1000/100</f>
        <v>1.71</v>
      </c>
      <c r="AE1000" s="142">
        <f>B1000*IBGE_2!AE$1000/100</f>
        <v>10</v>
      </c>
      <c r="AF1000" s="142">
        <f>B1000*IBGE_2!AF$1000/100</f>
        <v>0.6</v>
      </c>
      <c r="AG1000" s="142">
        <f>B1000*IBGE_2!AG$1000/100</f>
        <v>0.43</v>
      </c>
      <c r="AH1000" s="142">
        <f>B1000*IBGE_2!AH$1000/100</f>
        <v>0.40899999999999997</v>
      </c>
      <c r="AI1000" s="142">
        <f>B1000*IBGE_2!AI$1000/100</f>
        <v>333</v>
      </c>
      <c r="AJ1000" s="142">
        <f>B1000*IBGE_2!AJ$1000/100</f>
        <v>31.7</v>
      </c>
      <c r="AK1000" s="142" t="s">
        <v>3047</v>
      </c>
      <c r="AL1000" s="142" t="s">
        <v>3047</v>
      </c>
      <c r="AM1000" s="142" t="s">
        <v>3047</v>
      </c>
      <c r="AN1000" s="161"/>
    </row>
    <row r="1001" spans="1:40">
      <c r="A1001" s="143" t="s">
        <v>2061</v>
      </c>
      <c r="B1001" s="141">
        <v>100</v>
      </c>
      <c r="C1001" s="142">
        <f>B1001*IBGE_2!C$1001/100</f>
        <v>204</v>
      </c>
      <c r="D1001" s="142">
        <f>B1001*IBGE_2!D$1001/100</f>
        <v>30.67</v>
      </c>
      <c r="E1001" s="142">
        <f>B1001*IBGE_2!E$1001/100</f>
        <v>9</v>
      </c>
      <c r="F1001" s="142">
        <f>B1001*IBGE_2!F$1001/100</f>
        <v>3.415</v>
      </c>
      <c r="G1001" s="142">
        <f>B1001*IBGE_2!G$1001/100</f>
        <v>3.9180000000000001</v>
      </c>
      <c r="H1001" s="142">
        <f>B1001*IBGE_2!H$1001/100</f>
        <v>0.34699999999999998</v>
      </c>
      <c r="I1001" s="142">
        <f>B1001*IBGE_2!I$1001/100</f>
        <v>0.23799999999999996</v>
      </c>
      <c r="J1001" s="142">
        <f>B1001*IBGE_2!J$1001/100</f>
        <v>8.6999999999999994E-2</v>
      </c>
      <c r="K1001" s="142">
        <f>B1001*IBGE_2!K$1001/100</f>
        <v>58</v>
      </c>
      <c r="L1001" s="142" t="s">
        <v>3047</v>
      </c>
      <c r="M1001" s="142" t="s">
        <v>3047</v>
      </c>
      <c r="N1001" s="142">
        <f>B1001*IBGE_2!N$1001/100</f>
        <v>7</v>
      </c>
      <c r="O1001" s="142">
        <f>B1001*IBGE_2!O$1001/100</f>
        <v>20</v>
      </c>
      <c r="P1001" s="142">
        <f>B1001*IBGE_2!P$1001/100</f>
        <v>1.0999999999999999E-2</v>
      </c>
      <c r="Q1001" s="142">
        <f>B1001*IBGE_2!Q$1001/100</f>
        <v>193</v>
      </c>
      <c r="R1001" s="142">
        <f>B1001*IBGE_2!R$1001/100</f>
        <v>2.5299999999999998</v>
      </c>
      <c r="S1001" s="142">
        <f>B1001*IBGE_2!S$1001/100</f>
        <v>41</v>
      </c>
      <c r="T1001" s="142">
        <f>B1001*IBGE_2!T$1001/100</f>
        <v>252</v>
      </c>
      <c r="U1001" s="142">
        <f>B1001*IBGE_2!U$1001/100</f>
        <v>7.3999999999999996E-2</v>
      </c>
      <c r="V1001" s="142">
        <f>B1001*IBGE_2!V$1001/100</f>
        <v>5.2</v>
      </c>
      <c r="W1001" s="142" t="s">
        <v>3047</v>
      </c>
      <c r="X1001" s="142">
        <f>B1001*IBGE_2!X$1001/100</f>
        <v>7.0000000000000007E-2</v>
      </c>
      <c r="Y1001" s="142">
        <f>B1001*IBGE_2!Y$1001/100</f>
        <v>0.16300000000000001</v>
      </c>
      <c r="Z1001" s="142">
        <f>B1001*IBGE_2!Z$1001/100</f>
        <v>0.40300000000000002</v>
      </c>
      <c r="AA1001" s="142">
        <f>B1001*IBGE_2!AA$1001/100</f>
        <v>5.36</v>
      </c>
      <c r="AB1001" s="142" t="s">
        <v>3047</v>
      </c>
      <c r="AC1001" s="142">
        <f>B1001*IBGE_2!AC$1001/100</f>
        <v>8.7270000000000003</v>
      </c>
      <c r="AD1001" s="142">
        <f>B1001*IBGE_2!AD$1001/100</f>
        <v>1.71</v>
      </c>
      <c r="AE1001" s="142">
        <f>B1001*IBGE_2!AE$1001/100</f>
        <v>10</v>
      </c>
      <c r="AF1001" s="142">
        <f>B1001*IBGE_2!AF$1001/100</f>
        <v>0.6</v>
      </c>
      <c r="AG1001" s="142">
        <f>B1001*IBGE_2!AG$1001/100</f>
        <v>0.43</v>
      </c>
      <c r="AH1001" s="142">
        <f>B1001*IBGE_2!AH$1001/100</f>
        <v>0.40899999999999997</v>
      </c>
      <c r="AI1001" s="142">
        <f>B1001*IBGE_2!AI$1001/100</f>
        <v>333</v>
      </c>
      <c r="AJ1001" s="142">
        <f>B1001*IBGE_2!AJ$1001/100</f>
        <v>31.7</v>
      </c>
      <c r="AK1001" s="142" t="s">
        <v>3047</v>
      </c>
      <c r="AL1001" s="142" t="s">
        <v>3047</v>
      </c>
      <c r="AM1001" s="142" t="s">
        <v>3047</v>
      </c>
      <c r="AN1001" s="161"/>
    </row>
    <row r="1002" spans="1:40">
      <c r="A1002" s="143" t="s">
        <v>2062</v>
      </c>
      <c r="B1002" s="141">
        <v>100</v>
      </c>
      <c r="C1002" s="142">
        <f>B1002*IBGE_2!C$1002/100</f>
        <v>226.65899999999999</v>
      </c>
      <c r="D1002" s="142">
        <f>B1002*IBGE_2!D$1002/100</f>
        <v>30.67</v>
      </c>
      <c r="E1002" s="142">
        <f>B1002*IBGE_2!E$1002/100</f>
        <v>11.562999999999999</v>
      </c>
      <c r="F1002" s="142">
        <f>B1002*IBGE_2!F$1002/100</f>
        <v>3.8159999999999998</v>
      </c>
      <c r="G1002" s="142">
        <f>B1002*IBGE_2!G$1002/100</f>
        <v>4.5019999999999998</v>
      </c>
      <c r="H1002" s="142">
        <f>B1002*IBGE_2!H$1002/100</f>
        <v>1.827</v>
      </c>
      <c r="I1002" s="142">
        <f>B1002*IBGE_2!I$1002/100</f>
        <v>1.544</v>
      </c>
      <c r="J1002" s="142">
        <f>B1002*IBGE_2!J$1002/100</f>
        <v>0.26100000000000001</v>
      </c>
      <c r="K1002" s="142">
        <f>B1002*IBGE_2!K$1002/100</f>
        <v>58</v>
      </c>
      <c r="L1002" s="142" t="s">
        <v>3047</v>
      </c>
      <c r="M1002" s="142" t="s">
        <v>3047</v>
      </c>
      <c r="N1002" s="142">
        <f>B1002*IBGE_2!N$1002/100</f>
        <v>7</v>
      </c>
      <c r="O1002" s="142">
        <f>B1002*IBGE_2!O$1002/100</f>
        <v>20</v>
      </c>
      <c r="P1002" s="142">
        <f>B1002*IBGE_2!P$1002/100</f>
        <v>1.0999999999999999E-2</v>
      </c>
      <c r="Q1002" s="142">
        <f>B1002*IBGE_2!Q$1002/100</f>
        <v>193</v>
      </c>
      <c r="R1002" s="142">
        <f>B1002*IBGE_2!R$1002/100</f>
        <v>2.5310000000000001</v>
      </c>
      <c r="S1002" s="142">
        <f>B1002*IBGE_2!S$1002/100</f>
        <v>41</v>
      </c>
      <c r="T1002" s="142">
        <f>B1002*IBGE_2!T$1002/100</f>
        <v>252</v>
      </c>
      <c r="U1002" s="142">
        <f>B1002*IBGE_2!U$1002/100</f>
        <v>7.3999999999999996E-2</v>
      </c>
      <c r="V1002" s="142">
        <f>B1002*IBGE_2!V$1002/100</f>
        <v>5.2</v>
      </c>
      <c r="W1002" s="142" t="s">
        <v>3047</v>
      </c>
      <c r="X1002" s="142">
        <f>B1002*IBGE_2!X$1002/100</f>
        <v>7.0000000000000007E-2</v>
      </c>
      <c r="Y1002" s="142">
        <f>B1002*IBGE_2!Y$1002/100</f>
        <v>0.16300000000000001</v>
      </c>
      <c r="Z1002" s="142">
        <f>B1002*IBGE_2!Z$1002/100</f>
        <v>0.40300000000000002</v>
      </c>
      <c r="AA1002" s="142">
        <f>B1002*IBGE_2!AA$1002/100</f>
        <v>5.36</v>
      </c>
      <c r="AB1002" s="142" t="s">
        <v>3047</v>
      </c>
      <c r="AC1002" s="142">
        <f>B1002*IBGE_2!AC$1002/100</f>
        <v>8.7270000000000003</v>
      </c>
      <c r="AD1002" s="142">
        <f>B1002*IBGE_2!AD$1002/100</f>
        <v>1.71</v>
      </c>
      <c r="AE1002" s="142">
        <f>B1002*IBGE_2!AE$1002/100</f>
        <v>10</v>
      </c>
      <c r="AF1002" s="142">
        <f>B1002*IBGE_2!AF$1002/100</f>
        <v>0.6</v>
      </c>
      <c r="AG1002" s="142">
        <f>B1002*IBGE_2!AG$1002/100</f>
        <v>0.64</v>
      </c>
      <c r="AH1002" s="142">
        <f>B1002*IBGE_2!AH$1002/100</f>
        <v>0.42299999999999999</v>
      </c>
      <c r="AI1002" s="142">
        <f>B1002*IBGE_2!AI$1002/100</f>
        <v>333</v>
      </c>
      <c r="AJ1002" s="142">
        <f>B1002*IBGE_2!AJ$1002/100</f>
        <v>32.875</v>
      </c>
      <c r="AK1002" s="142" t="s">
        <v>3047</v>
      </c>
      <c r="AL1002" s="142" t="s">
        <v>3047</v>
      </c>
      <c r="AM1002" s="142" t="s">
        <v>3047</v>
      </c>
      <c r="AN1002" s="161"/>
    </row>
    <row r="1003" spans="1:40">
      <c r="A1003" s="143" t="s">
        <v>2063</v>
      </c>
      <c r="B1003" s="141">
        <v>100</v>
      </c>
      <c r="C1003" s="142">
        <f>B1003*IBGE_2!C$1003/100</f>
        <v>242.83699999999996</v>
      </c>
      <c r="D1003" s="142">
        <f>B1003*IBGE_2!D$1003/100</f>
        <v>31.129000000000001</v>
      </c>
      <c r="E1003" s="142">
        <f>B1003*IBGE_2!E$1003/100</f>
        <v>11.606999999999998</v>
      </c>
      <c r="F1003" s="142">
        <f>B1003*IBGE_2!F$1003/100</f>
        <v>3.823</v>
      </c>
      <c r="G1003" s="142">
        <f>B1003*IBGE_2!G$1003/100</f>
        <v>4.5060000000000002</v>
      </c>
      <c r="H1003" s="142">
        <f>B1003*IBGE_2!H$1003/100</f>
        <v>1.845</v>
      </c>
      <c r="I1003" s="142">
        <f>B1003*IBGE_2!I$1003/100</f>
        <v>1.5609999999999999</v>
      </c>
      <c r="J1003" s="142">
        <f>B1003*IBGE_2!J$1003/100</f>
        <v>0.26200000000000001</v>
      </c>
      <c r="K1003" s="142">
        <f>B1003*IBGE_2!K$1003/100</f>
        <v>58</v>
      </c>
      <c r="L1003" s="142">
        <f>B1003*IBGE_2!L$1003/100</f>
        <v>3.3919999999999999</v>
      </c>
      <c r="M1003" s="142">
        <f>B1003*IBGE_2!M$1003/100</f>
        <v>0.13500000000000001</v>
      </c>
      <c r="N1003" s="142">
        <f>B1003*IBGE_2!N$1003/100</f>
        <v>7.6669999999999989</v>
      </c>
      <c r="O1003" s="142">
        <f>B1003*IBGE_2!O$1003/100</f>
        <v>20.978000000000002</v>
      </c>
      <c r="P1003" s="142">
        <f>B1003*IBGE_2!P$1003/100</f>
        <v>4.1000000000000009E-2</v>
      </c>
      <c r="Q1003" s="142">
        <f>B1003*IBGE_2!Q$1003/100</f>
        <v>197.8</v>
      </c>
      <c r="R1003" s="142">
        <f>B1003*IBGE_2!R$1003/100</f>
        <v>2.738</v>
      </c>
      <c r="S1003" s="142">
        <f>B1003*IBGE_2!S$1003/100</f>
        <v>41.088999999999999</v>
      </c>
      <c r="T1003" s="142">
        <f>B1003*IBGE_2!T$1003/100</f>
        <v>256.75599999999997</v>
      </c>
      <c r="U1003" s="142">
        <f>B1003*IBGE_2!U$1003/100</f>
        <v>0.08</v>
      </c>
      <c r="V1003" s="142">
        <f>B1003*IBGE_2!V$1003/100</f>
        <v>5.2309999999999999</v>
      </c>
      <c r="W1003" s="142" t="s">
        <v>3047</v>
      </c>
      <c r="X1003" s="142">
        <f>B1003*IBGE_2!X$1003/100</f>
        <v>0.105</v>
      </c>
      <c r="Y1003" s="142">
        <f>B1003*IBGE_2!Y$1003/100</f>
        <v>0.185</v>
      </c>
      <c r="Z1003" s="142">
        <f>B1003*IBGE_2!Z$1003/100</f>
        <v>0.40500000000000003</v>
      </c>
      <c r="AA1003" s="142">
        <f>B1003*IBGE_2!AA$1003/100</f>
        <v>5.6220000000000008</v>
      </c>
      <c r="AB1003" s="142" t="s">
        <v>3047</v>
      </c>
      <c r="AC1003" s="142">
        <f>B1003*IBGE_2!AC$1003/100</f>
        <v>9.0830000000000002</v>
      </c>
      <c r="AD1003" s="142">
        <f>B1003*IBGE_2!AD$1003/100</f>
        <v>1.71</v>
      </c>
      <c r="AE1003" s="142">
        <f>B1003*IBGE_2!AE$1003/100</f>
        <v>19.067</v>
      </c>
      <c r="AF1003" s="142">
        <f>B1003*IBGE_2!AF$1003/100</f>
        <v>0.6</v>
      </c>
      <c r="AG1003" s="142">
        <f>B1003*IBGE_2!AG$1003/100</f>
        <v>0.64200000000000002</v>
      </c>
      <c r="AH1003" s="142">
        <f>B1003*IBGE_2!AH$1003/100</f>
        <v>0.42299999999999999</v>
      </c>
      <c r="AI1003" s="142">
        <f>B1003*IBGE_2!AI$1003/100</f>
        <v>333</v>
      </c>
      <c r="AJ1003" s="142">
        <f>B1003*IBGE_2!AJ$1003/100</f>
        <v>34.381</v>
      </c>
      <c r="AK1003" s="142" t="s">
        <v>3047</v>
      </c>
      <c r="AL1003" s="142">
        <f>B1003*IBGE_2!AL$1003/100</f>
        <v>1.4000000000000002E-2</v>
      </c>
      <c r="AM1003" s="142" t="s">
        <v>3047</v>
      </c>
      <c r="AN1003" s="161"/>
    </row>
    <row r="1004" spans="1:40">
      <c r="A1004" s="143" t="s">
        <v>2064</v>
      </c>
      <c r="B1004" s="141">
        <v>100</v>
      </c>
      <c r="C1004" s="142">
        <f>B1004*IBGE_2!C$1004/100</f>
        <v>226.65899999999999</v>
      </c>
      <c r="D1004" s="142">
        <f>B1004*IBGE_2!D$1004/100</f>
        <v>30.67</v>
      </c>
      <c r="E1004" s="142">
        <f>B1004*IBGE_2!E$1004/100</f>
        <v>11.562999999999999</v>
      </c>
      <c r="F1004" s="142">
        <f>B1004*IBGE_2!F$1004/100</f>
        <v>3.8159999999999998</v>
      </c>
      <c r="G1004" s="142">
        <f>B1004*IBGE_2!G$1004/100</f>
        <v>4.5019999999999998</v>
      </c>
      <c r="H1004" s="142">
        <f>B1004*IBGE_2!H$1004/100</f>
        <v>1.827</v>
      </c>
      <c r="I1004" s="142">
        <f>B1004*IBGE_2!I$1004/100</f>
        <v>1.544</v>
      </c>
      <c r="J1004" s="142">
        <f>B1004*IBGE_2!J$1004/100</f>
        <v>0.26100000000000001</v>
      </c>
      <c r="K1004" s="142">
        <f>B1004*IBGE_2!K$1004/100</f>
        <v>58</v>
      </c>
      <c r="L1004" s="142" t="s">
        <v>3047</v>
      </c>
      <c r="M1004" s="142" t="s">
        <v>3047</v>
      </c>
      <c r="N1004" s="142">
        <f>B1004*IBGE_2!N$1004/100</f>
        <v>7</v>
      </c>
      <c r="O1004" s="142">
        <f>B1004*IBGE_2!O$1004/100</f>
        <v>20</v>
      </c>
      <c r="P1004" s="142">
        <f>B1004*IBGE_2!P$1004/100</f>
        <v>1.0999999999999999E-2</v>
      </c>
      <c r="Q1004" s="142">
        <f>B1004*IBGE_2!Q$1004/100</f>
        <v>193</v>
      </c>
      <c r="R1004" s="142">
        <f>B1004*IBGE_2!R$1004/100</f>
        <v>2.5310000000000001</v>
      </c>
      <c r="S1004" s="142">
        <f>B1004*IBGE_2!S$1004/100</f>
        <v>41</v>
      </c>
      <c r="T1004" s="142">
        <f>B1004*IBGE_2!T$1004/100</f>
        <v>252</v>
      </c>
      <c r="U1004" s="142">
        <f>B1004*IBGE_2!U$1004/100</f>
        <v>7.3999999999999996E-2</v>
      </c>
      <c r="V1004" s="142">
        <f>B1004*IBGE_2!V$1004/100</f>
        <v>5.2</v>
      </c>
      <c r="W1004" s="142" t="s">
        <v>3047</v>
      </c>
      <c r="X1004" s="142">
        <f>B1004*IBGE_2!X$1004/100</f>
        <v>7.0000000000000007E-2</v>
      </c>
      <c r="Y1004" s="142">
        <f>B1004*IBGE_2!Y$1004/100</f>
        <v>0.16300000000000001</v>
      </c>
      <c r="Z1004" s="142">
        <f>B1004*IBGE_2!Z$1004/100</f>
        <v>0.40300000000000002</v>
      </c>
      <c r="AA1004" s="142">
        <f>B1004*IBGE_2!AA$1004/100</f>
        <v>5.36</v>
      </c>
      <c r="AB1004" s="142" t="s">
        <v>3047</v>
      </c>
      <c r="AC1004" s="142">
        <f>B1004*IBGE_2!AC$1004/100</f>
        <v>8.7270000000000003</v>
      </c>
      <c r="AD1004" s="142">
        <f>B1004*IBGE_2!AD$1004/100</f>
        <v>1.71</v>
      </c>
      <c r="AE1004" s="142">
        <f>B1004*IBGE_2!AE$1004/100</f>
        <v>10</v>
      </c>
      <c r="AF1004" s="142">
        <f>B1004*IBGE_2!AF$1004/100</f>
        <v>0.6</v>
      </c>
      <c r="AG1004" s="142">
        <f>B1004*IBGE_2!AG$1004/100</f>
        <v>0.64</v>
      </c>
      <c r="AH1004" s="142">
        <f>B1004*IBGE_2!AH$1004/100</f>
        <v>0.42299999999999999</v>
      </c>
      <c r="AI1004" s="142">
        <f>B1004*IBGE_2!AI$1004/100</f>
        <v>333</v>
      </c>
      <c r="AJ1004" s="142">
        <f>B1004*IBGE_2!AJ$1004/100</f>
        <v>32.875</v>
      </c>
      <c r="AK1004" s="145" t="s">
        <v>3047</v>
      </c>
      <c r="AL1004" s="145" t="s">
        <v>3047</v>
      </c>
      <c r="AM1004" s="142" t="s">
        <v>3047</v>
      </c>
      <c r="AN1004" s="161"/>
    </row>
    <row r="1005" spans="1:40">
      <c r="A1005" s="143" t="s">
        <v>2065</v>
      </c>
      <c r="B1005" s="141">
        <v>100</v>
      </c>
      <c r="C1005" s="142">
        <f>B1005*IBGE_2!C$1005/100</f>
        <v>168</v>
      </c>
      <c r="D1005" s="142">
        <f>B1005*IBGE_2!D$1005/100</f>
        <v>24.8</v>
      </c>
      <c r="E1005" s="142">
        <f>B1005*IBGE_2!E$1005/100</f>
        <v>7.2360000000000007</v>
      </c>
      <c r="F1005" s="142">
        <f>B1005*IBGE_2!F$1005/100</f>
        <v>2.7370000000000001</v>
      </c>
      <c r="G1005" s="142">
        <f>B1005*IBGE_2!G$1005/100</f>
        <v>3.14</v>
      </c>
      <c r="H1005" s="142">
        <f>B1005*IBGE_2!H$1005/100</f>
        <v>0.29199999999999998</v>
      </c>
      <c r="I1005" s="142">
        <f>B1005*IBGE_2!I$1005/100</f>
        <v>0.20399999999999999</v>
      </c>
      <c r="J1005" s="142">
        <f>B1005*IBGE_2!J$1005/100</f>
        <v>7.0000000000000007E-2</v>
      </c>
      <c r="K1005" s="142">
        <f>B1005*IBGE_2!K$1005/100</f>
        <v>46.4</v>
      </c>
      <c r="L1005" s="142">
        <f>B1005*IBGE_2!L$1005/100</f>
        <v>1.0760000000000001</v>
      </c>
      <c r="M1005" s="142">
        <f>B1005*IBGE_2!M$1005/100</f>
        <v>0.3</v>
      </c>
      <c r="N1005" s="142">
        <f>B1005*IBGE_2!N$1005/100</f>
        <v>8.1999999999999993</v>
      </c>
      <c r="O1005" s="142">
        <f>B1005*IBGE_2!O$1005/100</f>
        <v>19.2</v>
      </c>
      <c r="P1005" s="142">
        <f>B1005*IBGE_2!P$1005/100</f>
        <v>0.03</v>
      </c>
      <c r="Q1005" s="142">
        <f>B1005*IBGE_2!Q$1005/100</f>
        <v>159.6</v>
      </c>
      <c r="R1005" s="142">
        <f>B1005*IBGE_2!R$1005/100</f>
        <v>2.2280000000000002</v>
      </c>
      <c r="S1005" s="142">
        <f>B1005*IBGE_2!S$1005/100</f>
        <v>137.6</v>
      </c>
      <c r="T1005" s="142">
        <f>B1005*IBGE_2!T$1005/100</f>
        <v>267.8</v>
      </c>
      <c r="U1005" s="142">
        <f>B1005*IBGE_2!U$1005/100</f>
        <v>8.3000000000000004E-2</v>
      </c>
      <c r="V1005" s="142">
        <f>B1005*IBGE_2!V$1005/100</f>
        <v>4.2</v>
      </c>
      <c r="W1005" s="142" t="s">
        <v>3047</v>
      </c>
      <c r="X1005" s="142">
        <f>B1005*IBGE_2!X$1005/100</f>
        <v>6.0999999999999999E-2</v>
      </c>
      <c r="Y1005" s="142">
        <f>B1005*IBGE_2!Y$1005/100</f>
        <v>0.14399999999999999</v>
      </c>
      <c r="Z1005" s="142">
        <f>B1005*IBGE_2!Z$1005/100</f>
        <v>0.34200000000000003</v>
      </c>
      <c r="AA1005" s="142">
        <f>B1005*IBGE_2!AA$1005/100</f>
        <v>4.4829999999999997</v>
      </c>
      <c r="AB1005" s="142">
        <f>B1005*IBGE_2!AB$1005/100</f>
        <v>1.4</v>
      </c>
      <c r="AC1005" s="142">
        <f>B1005*IBGE_2!AC$1005/100</f>
        <v>7.21</v>
      </c>
      <c r="AD1005" s="142">
        <f>B1005*IBGE_2!AD$1005/100</f>
        <v>1.3680000000000001</v>
      </c>
      <c r="AE1005" s="142">
        <f>B1005*IBGE_2!AE$1005/100</f>
        <v>10.199999999999999</v>
      </c>
      <c r="AF1005" s="142">
        <f>B1005*IBGE_2!AF$1005/100</f>
        <v>0.48</v>
      </c>
      <c r="AG1005" s="142">
        <f>B1005*IBGE_2!AG$1005/100</f>
        <v>0.628</v>
      </c>
      <c r="AH1005" s="142">
        <f>B1005*IBGE_2!AH$1005/100</f>
        <v>0.32700000000000001</v>
      </c>
      <c r="AI1005" s="142">
        <f>B1005*IBGE_2!AI$1005/100</f>
        <v>333</v>
      </c>
      <c r="AJ1005" s="142">
        <f>B1005*IBGE_2!AJ$1005/100</f>
        <v>25.4</v>
      </c>
      <c r="AK1005" s="142">
        <f>B1005*IBGE_2!AK$1005/100</f>
        <v>3.4830000000000001</v>
      </c>
      <c r="AL1005" s="142">
        <f>B1005*IBGE_2!AL$1005/100</f>
        <v>0.85</v>
      </c>
      <c r="AM1005" s="142" t="s">
        <v>3047</v>
      </c>
      <c r="AN1005" s="161"/>
    </row>
    <row r="1006" spans="1:40">
      <c r="A1006" s="143" t="s">
        <v>2066</v>
      </c>
      <c r="B1006" s="141">
        <v>100</v>
      </c>
      <c r="C1006" s="142">
        <f>B1006*IBGE_2!C$1006/100</f>
        <v>195.79</v>
      </c>
      <c r="D1006" s="142">
        <f>B1006*IBGE_2!D$1006/100</f>
        <v>25.315000000000001</v>
      </c>
      <c r="E1006" s="142">
        <f>B1006*IBGE_2!E$1006/100</f>
        <v>9.6890000000000001</v>
      </c>
      <c r="F1006" s="142">
        <f>B1006*IBGE_2!F$1006/100</f>
        <v>4.2640000000000002</v>
      </c>
      <c r="G1006" s="142">
        <f>B1006*IBGE_2!G$1006/100</f>
        <v>3.7709999999999995</v>
      </c>
      <c r="H1006" s="142">
        <f>B1006*IBGE_2!H$1006/100</f>
        <v>0.39</v>
      </c>
      <c r="I1006" s="142">
        <f>B1006*IBGE_2!I$1006/100</f>
        <v>0.28100000000000003</v>
      </c>
      <c r="J1006" s="142">
        <f>B1006*IBGE_2!J$1006/100</f>
        <v>9.1999999999999998E-2</v>
      </c>
      <c r="K1006" s="142">
        <f>B1006*IBGE_2!K$1006/100</f>
        <v>53.23299999999999</v>
      </c>
      <c r="L1006" s="142">
        <f>B1006*IBGE_2!L$1006/100</f>
        <v>1.851</v>
      </c>
      <c r="M1006" s="142">
        <f>B1006*IBGE_2!M$1006/100</f>
        <v>4.2999999999999997E-2</v>
      </c>
      <c r="N1006" s="142">
        <f>B1006*IBGE_2!N$1006/100</f>
        <v>28.478999999999999</v>
      </c>
      <c r="O1006" s="142">
        <f>B1006*IBGE_2!O$1006/100</f>
        <v>18.312000000000001</v>
      </c>
      <c r="P1006" s="142">
        <f>B1006*IBGE_2!P$1006/100</f>
        <v>1.9E-2</v>
      </c>
      <c r="Q1006" s="142">
        <f>B1006*IBGE_2!Q$1006/100</f>
        <v>174.09299999999999</v>
      </c>
      <c r="R1006" s="142">
        <f>B1006*IBGE_2!R$1006/100</f>
        <v>2.0939999999999999</v>
      </c>
      <c r="S1006" s="142">
        <f>B1006*IBGE_2!S$1006/100</f>
        <v>53.716999999999999</v>
      </c>
      <c r="T1006" s="142">
        <f>B1006*IBGE_2!T$1006/100</f>
        <v>231.65400000000002</v>
      </c>
      <c r="U1006" s="142">
        <f>B1006*IBGE_2!U$1006/100</f>
        <v>6.3E-2</v>
      </c>
      <c r="V1006" s="142">
        <f>B1006*IBGE_2!V$1006/100</f>
        <v>4.2489999999999997</v>
      </c>
      <c r="W1006" s="142">
        <f>B1006*IBGE_2!W$1006/100</f>
        <v>20.696999999999999</v>
      </c>
      <c r="X1006" s="142">
        <f>B1006*IBGE_2!X$1006/100</f>
        <v>7.4999999999999997E-2</v>
      </c>
      <c r="Y1006" s="142">
        <f>B1006*IBGE_2!Y$1006/100</f>
        <v>0.17299999999999996</v>
      </c>
      <c r="Z1006" s="142">
        <f>B1006*IBGE_2!Z$1006/100</f>
        <v>0.33</v>
      </c>
      <c r="AA1006" s="142">
        <f>B1006*IBGE_2!AA$1006/100</f>
        <v>4.3840000000000003</v>
      </c>
      <c r="AB1006" s="142">
        <f>B1006*IBGE_2!AB$1006/100</f>
        <v>4.0000000000000001E-3</v>
      </c>
      <c r="AC1006" s="142">
        <f>B1006*IBGE_2!AC$1006/100</f>
        <v>7.3520000000000003</v>
      </c>
      <c r="AD1006" s="142">
        <f>B1006*IBGE_2!AD$1006/100</f>
        <v>1.4579999999999997</v>
      </c>
      <c r="AE1006" s="142">
        <f>B1006*IBGE_2!AE$1006/100</f>
        <v>11.595999999999998</v>
      </c>
      <c r="AF1006" s="142">
        <f>B1006*IBGE_2!AF$1006/100</f>
        <v>0.70700000000000007</v>
      </c>
      <c r="AG1006" s="142">
        <f>B1006*IBGE_2!AG$1006/100</f>
        <v>0.40899999999999997</v>
      </c>
      <c r="AH1006" s="142">
        <f>B1006*IBGE_2!AH$1006/100</f>
        <v>0.42399999999999999</v>
      </c>
      <c r="AI1006" s="142">
        <f>B1006*IBGE_2!AI$1006/100</f>
        <v>333</v>
      </c>
      <c r="AJ1006" s="142">
        <f>B1006*IBGE_2!AJ$1006/100</f>
        <v>26.529</v>
      </c>
      <c r="AK1006" s="142">
        <f>B1006*IBGE_2!AK$1006/100</f>
        <v>21.081</v>
      </c>
      <c r="AL1006" s="142">
        <f>B1006*IBGE_2!AL$1006/100</f>
        <v>1.0329999999999999</v>
      </c>
      <c r="AM1006" s="142" t="s">
        <v>3047</v>
      </c>
      <c r="AN1006" s="161"/>
    </row>
    <row r="1007" spans="1:40">
      <c r="A1007" s="143" t="s">
        <v>2067</v>
      </c>
      <c r="B1007" s="141">
        <v>100</v>
      </c>
      <c r="C1007" s="142">
        <f>B1007*IBGE_2!C$1007/100</f>
        <v>223.137</v>
      </c>
      <c r="D1007" s="142">
        <f>B1007*IBGE_2!D$1007/100</f>
        <v>30.693000000000001</v>
      </c>
      <c r="E1007" s="142">
        <f>B1007*IBGE_2!E$1007/100</f>
        <v>11.164999999999999</v>
      </c>
      <c r="F1007" s="142">
        <f>B1007*IBGE_2!F$1007/100</f>
        <v>4.7859999999999996</v>
      </c>
      <c r="G1007" s="142">
        <f>B1007*IBGE_2!G$1007/100</f>
        <v>4.4790000000000001</v>
      </c>
      <c r="H1007" s="142">
        <f>B1007*IBGE_2!H$1007/100</f>
        <v>0.42799999999999999</v>
      </c>
      <c r="I1007" s="142">
        <f>B1007*IBGE_2!I$1007/100</f>
        <v>0.311</v>
      </c>
      <c r="J1007" s="142">
        <f>B1007*IBGE_2!J$1007/100</f>
        <v>9.5000000000000001E-2</v>
      </c>
      <c r="K1007" s="142">
        <f>B1007*IBGE_2!K$1007/100</f>
        <v>63.738</v>
      </c>
      <c r="L1007" s="142">
        <f>B1007*IBGE_2!L$1007/100</f>
        <v>2E-3</v>
      </c>
      <c r="M1007" s="142" t="s">
        <v>3047</v>
      </c>
      <c r="N1007" s="142">
        <f>B1007*IBGE_2!N$1007/100</f>
        <v>7.641</v>
      </c>
      <c r="O1007" s="142">
        <f>B1007*IBGE_2!O$1007/100</f>
        <v>20.053000000000001</v>
      </c>
      <c r="P1007" s="142">
        <f>B1007*IBGE_2!P$1007/100</f>
        <v>1.0999999999999999E-2</v>
      </c>
      <c r="Q1007" s="142">
        <f>B1007*IBGE_2!Q$1007/100</f>
        <v>193.64099999999999</v>
      </c>
      <c r="R1007" s="142">
        <f>B1007*IBGE_2!R$1007/100</f>
        <v>2.5310000000000001</v>
      </c>
      <c r="S1007" s="142">
        <f>B1007*IBGE_2!S$1007/100</f>
        <v>56.374000000000002</v>
      </c>
      <c r="T1007" s="142">
        <f>B1007*IBGE_2!T$1007/100</f>
        <v>252.64099999999999</v>
      </c>
      <c r="U1007" s="142">
        <f>B1007*IBGE_2!U$1007/100</f>
        <v>7.3999999999999996E-2</v>
      </c>
      <c r="V1007" s="142">
        <f>B1007*IBGE_2!V$1007/100</f>
        <v>5.2020000000000008</v>
      </c>
      <c r="W1007" s="142">
        <f>B1007*IBGE_2!W$1007/100</f>
        <v>17.908999999999999</v>
      </c>
      <c r="X1007" s="142">
        <f>B1007*IBGE_2!X$1007/100</f>
        <v>7.0000000000000007E-2</v>
      </c>
      <c r="Y1007" s="142">
        <f>B1007*IBGE_2!Y$1007/100</f>
        <v>0.16400000000000003</v>
      </c>
      <c r="Z1007" s="142">
        <f>B1007*IBGE_2!Z$1007/100</f>
        <v>0.40300000000000002</v>
      </c>
      <c r="AA1007" s="142">
        <f>B1007*IBGE_2!AA$1007/100</f>
        <v>5.3610000000000007</v>
      </c>
      <c r="AB1007" s="142" t="s">
        <v>3047</v>
      </c>
      <c r="AC1007" s="142">
        <f>B1007*IBGE_2!AC$1007/100</f>
        <v>8.7330000000000005</v>
      </c>
      <c r="AD1007" s="142">
        <f>B1007*IBGE_2!AD$1007/100</f>
        <v>1.7150000000000001</v>
      </c>
      <c r="AE1007" s="142">
        <f>B1007*IBGE_2!AE$1007/100</f>
        <v>10.08</v>
      </c>
      <c r="AF1007" s="142">
        <f>B1007*IBGE_2!AF$1007/100</f>
        <v>0.63700000000000001</v>
      </c>
      <c r="AG1007" s="142">
        <f>B1007*IBGE_2!AG$1007/100</f>
        <v>0.49200000000000005</v>
      </c>
      <c r="AH1007" s="142">
        <f>B1007*IBGE_2!AH$1007/100</f>
        <v>0.496</v>
      </c>
      <c r="AI1007" s="142">
        <f>B1007*IBGE_2!AI$1007/100</f>
        <v>333</v>
      </c>
      <c r="AJ1007" s="142">
        <f>B1007*IBGE_2!AJ$1007/100</f>
        <v>31.726999999999997</v>
      </c>
      <c r="AK1007" s="142">
        <f>B1007*IBGE_2!AK$1007/100</f>
        <v>18.260999999999999</v>
      </c>
      <c r="AL1007" s="142">
        <f>B1007*IBGE_2!AL$1007/100</f>
        <v>3.0000000000000001E-3</v>
      </c>
      <c r="AM1007" s="142" t="s">
        <v>3047</v>
      </c>
      <c r="AN1007" s="161"/>
    </row>
    <row r="1008" spans="1:40">
      <c r="A1008" s="143" t="s">
        <v>2068</v>
      </c>
      <c r="B1008" s="141">
        <v>100</v>
      </c>
      <c r="C1008" s="142">
        <f>B1008*IBGE_2!C$1008/100</f>
        <v>204</v>
      </c>
      <c r="D1008" s="142">
        <f>B1008*IBGE_2!D$1008/100</f>
        <v>30.67</v>
      </c>
      <c r="E1008" s="142">
        <f>B1008*IBGE_2!E$1008/100</f>
        <v>9</v>
      </c>
      <c r="F1008" s="142">
        <f>B1008*IBGE_2!F$1008/100</f>
        <v>3.415</v>
      </c>
      <c r="G1008" s="142">
        <f>B1008*IBGE_2!G$1008/100</f>
        <v>3.9180000000000001</v>
      </c>
      <c r="H1008" s="142">
        <f>B1008*IBGE_2!H$1008/100</f>
        <v>0.34699999999999998</v>
      </c>
      <c r="I1008" s="142">
        <f>B1008*IBGE_2!I$1008/100</f>
        <v>0.23799999999999996</v>
      </c>
      <c r="J1008" s="142">
        <f>B1008*IBGE_2!J$1008/100</f>
        <v>8.6999999999999994E-2</v>
      </c>
      <c r="K1008" s="142">
        <f>B1008*IBGE_2!K$1008/100</f>
        <v>58</v>
      </c>
      <c r="L1008" s="142" t="s">
        <v>3047</v>
      </c>
      <c r="M1008" s="142" t="s">
        <v>3047</v>
      </c>
      <c r="N1008" s="142">
        <f>B1008*IBGE_2!N$1008/100</f>
        <v>7</v>
      </c>
      <c r="O1008" s="142">
        <f>B1008*IBGE_2!O$1008/100</f>
        <v>20</v>
      </c>
      <c r="P1008" s="142">
        <f>B1008*IBGE_2!P$1008/100</f>
        <v>1.0999999999999999E-2</v>
      </c>
      <c r="Q1008" s="142">
        <f>B1008*IBGE_2!Q$1008/100</f>
        <v>193</v>
      </c>
      <c r="R1008" s="142">
        <f>B1008*IBGE_2!R$1008/100</f>
        <v>2.5299999999999998</v>
      </c>
      <c r="S1008" s="142">
        <f>B1008*IBGE_2!S$1008/100</f>
        <v>41</v>
      </c>
      <c r="T1008" s="142">
        <f>B1008*IBGE_2!T$1008/100</f>
        <v>252</v>
      </c>
      <c r="U1008" s="142">
        <f>B1008*IBGE_2!U$1008/100</f>
        <v>7.3999999999999996E-2</v>
      </c>
      <c r="V1008" s="142">
        <f>B1008*IBGE_2!V$1008/100</f>
        <v>5.2</v>
      </c>
      <c r="W1008" s="142" t="s">
        <v>3047</v>
      </c>
      <c r="X1008" s="142">
        <f>B1008*IBGE_2!X$1008/100</f>
        <v>7.0000000000000007E-2</v>
      </c>
      <c r="Y1008" s="142">
        <f>B1008*IBGE_2!Y$1008/100</f>
        <v>0.16300000000000001</v>
      </c>
      <c r="Z1008" s="142">
        <f>B1008*IBGE_2!Z$1008/100</f>
        <v>0.40300000000000002</v>
      </c>
      <c r="AA1008" s="142">
        <f>B1008*IBGE_2!AA$1008/100</f>
        <v>5.36</v>
      </c>
      <c r="AB1008" s="142" t="s">
        <v>3047</v>
      </c>
      <c r="AC1008" s="142">
        <f>B1008*IBGE_2!AC$1008/100</f>
        <v>8.7270000000000003</v>
      </c>
      <c r="AD1008" s="142">
        <f>B1008*IBGE_2!AD$1008/100</f>
        <v>1.71</v>
      </c>
      <c r="AE1008" s="142">
        <f>B1008*IBGE_2!AE$1008/100</f>
        <v>10</v>
      </c>
      <c r="AF1008" s="142">
        <f>B1008*IBGE_2!AF$1008/100</f>
        <v>0.6</v>
      </c>
      <c r="AG1008" s="142">
        <f>B1008*IBGE_2!AG$1008/100</f>
        <v>0.43</v>
      </c>
      <c r="AH1008" s="142">
        <f>B1008*IBGE_2!AH$1008/100</f>
        <v>0.40899999999999997</v>
      </c>
      <c r="AI1008" s="142">
        <f>B1008*IBGE_2!AI$1008/100</f>
        <v>333</v>
      </c>
      <c r="AJ1008" s="142">
        <f>B1008*IBGE_2!AJ$1008/100</f>
        <v>31.7</v>
      </c>
      <c r="AK1008" s="142" t="s">
        <v>3047</v>
      </c>
      <c r="AL1008" s="142" t="s">
        <v>3047</v>
      </c>
      <c r="AM1008" s="142" t="s">
        <v>3047</v>
      </c>
      <c r="AN1008" s="161"/>
    </row>
    <row r="1009" spans="1:40">
      <c r="A1009" s="143" t="s">
        <v>2069</v>
      </c>
      <c r="B1009" s="141">
        <v>100</v>
      </c>
      <c r="C1009" s="142">
        <f>B1009*IBGE_2!C$1009/100</f>
        <v>204</v>
      </c>
      <c r="D1009" s="142">
        <f>B1009*IBGE_2!D$1009/100</f>
        <v>30.67</v>
      </c>
      <c r="E1009" s="142">
        <f>B1009*IBGE_2!E$1009/100</f>
        <v>9</v>
      </c>
      <c r="F1009" s="142">
        <f>B1009*IBGE_2!F$1009/100</f>
        <v>3.415</v>
      </c>
      <c r="G1009" s="142">
        <f>B1009*IBGE_2!G$1009/100</f>
        <v>3.9180000000000001</v>
      </c>
      <c r="H1009" s="142">
        <f>B1009*IBGE_2!H$1009/100</f>
        <v>0.34699999999999998</v>
      </c>
      <c r="I1009" s="142">
        <f>B1009*IBGE_2!I$1009/100</f>
        <v>0.23799999999999996</v>
      </c>
      <c r="J1009" s="142">
        <f>B1009*IBGE_2!J$1009/100</f>
        <v>8.6999999999999994E-2</v>
      </c>
      <c r="K1009" s="142">
        <f>B1009*IBGE_2!K$1009/100</f>
        <v>58</v>
      </c>
      <c r="L1009" s="142" t="s">
        <v>3047</v>
      </c>
      <c r="M1009" s="142" t="s">
        <v>3047</v>
      </c>
      <c r="N1009" s="142">
        <f>B1009*IBGE_2!N$1009/100</f>
        <v>7</v>
      </c>
      <c r="O1009" s="142">
        <f>B1009*IBGE_2!O$1009/100</f>
        <v>20</v>
      </c>
      <c r="P1009" s="142">
        <f>B1009*IBGE_2!P$1009/100</f>
        <v>1.0999999999999999E-2</v>
      </c>
      <c r="Q1009" s="142">
        <f>B1009*IBGE_2!Q$1009/100</f>
        <v>193</v>
      </c>
      <c r="R1009" s="142">
        <f>B1009*IBGE_2!R$1009/100</f>
        <v>2.5299999999999998</v>
      </c>
      <c r="S1009" s="142">
        <f>B1009*IBGE_2!S$1009/100</f>
        <v>41</v>
      </c>
      <c r="T1009" s="142">
        <f>B1009*IBGE_2!T$1009/100</f>
        <v>252</v>
      </c>
      <c r="U1009" s="142">
        <f>B1009*IBGE_2!U$1009/100</f>
        <v>7.3999999999999996E-2</v>
      </c>
      <c r="V1009" s="142">
        <f>B1009*IBGE_2!V$1009/100</f>
        <v>5.2</v>
      </c>
      <c r="W1009" s="142" t="s">
        <v>3047</v>
      </c>
      <c r="X1009" s="142">
        <f>B1009*IBGE_2!X$1009/100</f>
        <v>7.0000000000000007E-2</v>
      </c>
      <c r="Y1009" s="142">
        <f>B1009*IBGE_2!Y$1009/100</f>
        <v>0.16300000000000001</v>
      </c>
      <c r="Z1009" s="142">
        <f>B1009*IBGE_2!Z$1009/100</f>
        <v>0.40300000000000002</v>
      </c>
      <c r="AA1009" s="142">
        <f>B1009*IBGE_2!AA$1009/100</f>
        <v>5.36</v>
      </c>
      <c r="AB1009" s="142" t="s">
        <v>3047</v>
      </c>
      <c r="AC1009" s="142">
        <f>B1009*IBGE_2!AC$1009/100</f>
        <v>8.7270000000000003</v>
      </c>
      <c r="AD1009" s="142">
        <f>B1009*IBGE_2!AD$1009/100</f>
        <v>1.71</v>
      </c>
      <c r="AE1009" s="142">
        <f>B1009*IBGE_2!AE$1009/100</f>
        <v>10</v>
      </c>
      <c r="AF1009" s="142">
        <f>B1009*IBGE_2!AF$1009/100</f>
        <v>0.6</v>
      </c>
      <c r="AG1009" s="142">
        <f>B1009*IBGE_2!AG$1009/100</f>
        <v>0.43</v>
      </c>
      <c r="AH1009" s="142">
        <f>B1009*IBGE_2!AH$1009/100</f>
        <v>0.40899999999999997</v>
      </c>
      <c r="AI1009" s="142">
        <f>B1009*IBGE_2!AI$1009/100</f>
        <v>333</v>
      </c>
      <c r="AJ1009" s="142">
        <f>B1009*IBGE_2!AJ$1009/100</f>
        <v>31.7</v>
      </c>
      <c r="AK1009" s="142" t="s">
        <v>3047</v>
      </c>
      <c r="AL1009" s="142" t="s">
        <v>3047</v>
      </c>
      <c r="AM1009" s="142" t="s">
        <v>3047</v>
      </c>
      <c r="AN1009" s="161"/>
    </row>
    <row r="1010" spans="1:40">
      <c r="A1010" s="143" t="s">
        <v>2070</v>
      </c>
      <c r="B1010" s="141">
        <v>100</v>
      </c>
      <c r="C1010" s="142">
        <f>B1010*IBGE_2!C$1010/100</f>
        <v>204</v>
      </c>
      <c r="D1010" s="142">
        <f>B1010*IBGE_2!D$1010/100</f>
        <v>30.67</v>
      </c>
      <c r="E1010" s="142">
        <f>B1010*IBGE_2!E$1010/100</f>
        <v>9</v>
      </c>
      <c r="F1010" s="142">
        <f>B1010*IBGE_2!F$1010/100</f>
        <v>3.415</v>
      </c>
      <c r="G1010" s="142">
        <f>B1010*IBGE_2!G$1010/100</f>
        <v>3.9180000000000001</v>
      </c>
      <c r="H1010" s="142">
        <f>B1010*IBGE_2!H$1010/100</f>
        <v>0.34699999999999998</v>
      </c>
      <c r="I1010" s="142">
        <f>B1010*IBGE_2!I$1010/100</f>
        <v>0.23799999999999996</v>
      </c>
      <c r="J1010" s="142">
        <f>B1010*IBGE_2!J$1010/100</f>
        <v>8.6999999999999994E-2</v>
      </c>
      <c r="K1010" s="142">
        <f>B1010*IBGE_2!K$1010/100</f>
        <v>58</v>
      </c>
      <c r="L1010" s="142" t="s">
        <v>3047</v>
      </c>
      <c r="M1010" s="142" t="s">
        <v>3047</v>
      </c>
      <c r="N1010" s="142">
        <f>B1010*IBGE_2!N$1010/100</f>
        <v>7</v>
      </c>
      <c r="O1010" s="142">
        <f>B1010*IBGE_2!O$1010/100</f>
        <v>20</v>
      </c>
      <c r="P1010" s="142">
        <f>B1010*IBGE_2!P$1010/100</f>
        <v>1.0999999999999999E-2</v>
      </c>
      <c r="Q1010" s="142">
        <f>B1010*IBGE_2!Q$1010/100</f>
        <v>193</v>
      </c>
      <c r="R1010" s="142">
        <f>B1010*IBGE_2!R$1010/100</f>
        <v>2.5299999999999998</v>
      </c>
      <c r="S1010" s="142">
        <f>B1010*IBGE_2!S$1010/100</f>
        <v>41</v>
      </c>
      <c r="T1010" s="142">
        <f>B1010*IBGE_2!T$1010/100</f>
        <v>252</v>
      </c>
      <c r="U1010" s="142">
        <f>B1010*IBGE_2!U$1010/100</f>
        <v>7.3999999999999996E-2</v>
      </c>
      <c r="V1010" s="142">
        <f>B1010*IBGE_2!V$1010/100</f>
        <v>5.2</v>
      </c>
      <c r="W1010" s="142" t="s">
        <v>3047</v>
      </c>
      <c r="X1010" s="142">
        <f>B1010*IBGE_2!X$1010/100</f>
        <v>7.0000000000000007E-2</v>
      </c>
      <c r="Y1010" s="142">
        <f>B1010*IBGE_2!Y$1010/100</f>
        <v>0.16300000000000001</v>
      </c>
      <c r="Z1010" s="142">
        <f>B1010*IBGE_2!Z$1010/100</f>
        <v>0.40300000000000002</v>
      </c>
      <c r="AA1010" s="142">
        <f>B1010*IBGE_2!AA$1010/100</f>
        <v>5.36</v>
      </c>
      <c r="AB1010" s="142" t="s">
        <v>3047</v>
      </c>
      <c r="AC1010" s="142">
        <f>B1010*IBGE_2!AC$1010/100</f>
        <v>8.7270000000000003</v>
      </c>
      <c r="AD1010" s="142">
        <f>B1010*IBGE_2!AD$1010/100</f>
        <v>1.71</v>
      </c>
      <c r="AE1010" s="142">
        <f>B1010*IBGE_2!AE$1010/100</f>
        <v>10</v>
      </c>
      <c r="AF1010" s="142">
        <f>B1010*IBGE_2!AF$1010/100</f>
        <v>0.6</v>
      </c>
      <c r="AG1010" s="142">
        <f>B1010*IBGE_2!AG$1010/100</f>
        <v>0.43</v>
      </c>
      <c r="AH1010" s="142">
        <f>B1010*IBGE_2!AH$1010/100</f>
        <v>0.40899999999999997</v>
      </c>
      <c r="AI1010" s="142">
        <f>B1010*IBGE_2!AI$1010/100</f>
        <v>333</v>
      </c>
      <c r="AJ1010" s="142">
        <f>B1010*IBGE_2!AJ$1010/100</f>
        <v>31.7</v>
      </c>
      <c r="AK1010" s="142" t="s">
        <v>3047</v>
      </c>
      <c r="AL1010" s="142" t="s">
        <v>3047</v>
      </c>
      <c r="AM1010" s="142" t="s">
        <v>3047</v>
      </c>
      <c r="AN1010" s="161"/>
    </row>
    <row r="1011" spans="1:40">
      <c r="A1011" s="143" t="s">
        <v>2071</v>
      </c>
      <c r="B1011" s="141">
        <v>100</v>
      </c>
      <c r="C1011" s="142">
        <f>B1011*IBGE_2!C$1011/100</f>
        <v>226.65899999999999</v>
      </c>
      <c r="D1011" s="142">
        <f>B1011*IBGE_2!D$1011/100</f>
        <v>30.67</v>
      </c>
      <c r="E1011" s="142">
        <f>B1011*IBGE_2!E$1011/100</f>
        <v>11.562999999999999</v>
      </c>
      <c r="F1011" s="142">
        <f>B1011*IBGE_2!F$1011/100</f>
        <v>3.8159999999999998</v>
      </c>
      <c r="G1011" s="142">
        <f>B1011*IBGE_2!G$1011/100</f>
        <v>4.5019999999999998</v>
      </c>
      <c r="H1011" s="142">
        <f>B1011*IBGE_2!H$1011/100</f>
        <v>1.827</v>
      </c>
      <c r="I1011" s="142">
        <f>B1011*IBGE_2!I$1011/100</f>
        <v>1.544</v>
      </c>
      <c r="J1011" s="142">
        <f>B1011*IBGE_2!J$1011/100</f>
        <v>0.26100000000000001</v>
      </c>
      <c r="K1011" s="142">
        <f>B1011*IBGE_2!K$1011/100</f>
        <v>58</v>
      </c>
      <c r="L1011" s="142" t="s">
        <v>3047</v>
      </c>
      <c r="M1011" s="142" t="s">
        <v>3047</v>
      </c>
      <c r="N1011" s="142">
        <f>B1011*IBGE_2!N$1011/100</f>
        <v>7</v>
      </c>
      <c r="O1011" s="142">
        <f>B1011*IBGE_2!O$1011/100</f>
        <v>20</v>
      </c>
      <c r="P1011" s="142">
        <f>B1011*IBGE_2!P$1011/100</f>
        <v>1.0999999999999999E-2</v>
      </c>
      <c r="Q1011" s="142">
        <f>B1011*IBGE_2!Q$1011/100</f>
        <v>193</v>
      </c>
      <c r="R1011" s="142">
        <f>B1011*IBGE_2!R$1011/100</f>
        <v>2.5310000000000001</v>
      </c>
      <c r="S1011" s="142">
        <f>B1011*IBGE_2!S$1011/100</f>
        <v>41</v>
      </c>
      <c r="T1011" s="142">
        <f>B1011*IBGE_2!T$1011/100</f>
        <v>252</v>
      </c>
      <c r="U1011" s="142">
        <f>B1011*IBGE_2!U$1011/100</f>
        <v>7.3999999999999996E-2</v>
      </c>
      <c r="V1011" s="142">
        <f>B1011*IBGE_2!V$1011/100</f>
        <v>5.2</v>
      </c>
      <c r="W1011" s="142" t="s">
        <v>3047</v>
      </c>
      <c r="X1011" s="142">
        <f>B1011*IBGE_2!X$1011/100</f>
        <v>7.0000000000000007E-2</v>
      </c>
      <c r="Y1011" s="142">
        <f>B1011*IBGE_2!Y$1011/100</f>
        <v>0.16300000000000001</v>
      </c>
      <c r="Z1011" s="142">
        <f>B1011*IBGE_2!Z$1011/100</f>
        <v>0.40300000000000002</v>
      </c>
      <c r="AA1011" s="142">
        <f>B1011*IBGE_2!AA$1011/100</f>
        <v>5.36</v>
      </c>
      <c r="AB1011" s="142" t="s">
        <v>3047</v>
      </c>
      <c r="AC1011" s="142">
        <f>B1011*IBGE_2!AC$1011/100</f>
        <v>8.7270000000000003</v>
      </c>
      <c r="AD1011" s="142">
        <f>B1011*IBGE_2!AD$1011/100</f>
        <v>1.71</v>
      </c>
      <c r="AE1011" s="142">
        <f>B1011*IBGE_2!AE$1011/100</f>
        <v>10</v>
      </c>
      <c r="AF1011" s="142">
        <f>B1011*IBGE_2!AF$1011/100</f>
        <v>0.6</v>
      </c>
      <c r="AG1011" s="142">
        <f>B1011*IBGE_2!AG$1011/100</f>
        <v>0.64</v>
      </c>
      <c r="AH1011" s="142">
        <f>B1011*IBGE_2!AH$1011/100</f>
        <v>0.42299999999999999</v>
      </c>
      <c r="AI1011" s="142">
        <f>B1011*IBGE_2!AI$1011/100</f>
        <v>333</v>
      </c>
      <c r="AJ1011" s="142">
        <f>B1011*IBGE_2!AJ$1011/100</f>
        <v>32.875</v>
      </c>
      <c r="AK1011" s="142" t="s">
        <v>3047</v>
      </c>
      <c r="AL1011" s="142" t="s">
        <v>3047</v>
      </c>
      <c r="AM1011" s="142" t="s">
        <v>3047</v>
      </c>
      <c r="AN1011" s="161"/>
    </row>
    <row r="1012" spans="1:40">
      <c r="A1012" s="143" t="s">
        <v>2072</v>
      </c>
      <c r="B1012" s="141">
        <v>100</v>
      </c>
      <c r="C1012" s="142">
        <f>B1012*IBGE_2!C$1012/100</f>
        <v>204</v>
      </c>
      <c r="D1012" s="142">
        <f>B1012*IBGE_2!D$1012/100</f>
        <v>30.67</v>
      </c>
      <c r="E1012" s="142">
        <f>B1012*IBGE_2!E$1012/100</f>
        <v>9</v>
      </c>
      <c r="F1012" s="142">
        <f>B1012*IBGE_2!F$1012/100</f>
        <v>3.415</v>
      </c>
      <c r="G1012" s="142">
        <f>B1012*IBGE_2!G$1012/100</f>
        <v>3.9180000000000001</v>
      </c>
      <c r="H1012" s="142">
        <f>B1012*IBGE_2!H$1012/100</f>
        <v>0.34699999999999998</v>
      </c>
      <c r="I1012" s="142">
        <f>B1012*IBGE_2!I$1012/100</f>
        <v>0.23799999999999996</v>
      </c>
      <c r="J1012" s="142">
        <f>B1012*IBGE_2!J$1012/100</f>
        <v>8.6999999999999994E-2</v>
      </c>
      <c r="K1012" s="142">
        <f>B1012*IBGE_2!K$1012/100</f>
        <v>58</v>
      </c>
      <c r="L1012" s="142" t="s">
        <v>3047</v>
      </c>
      <c r="M1012" s="142" t="s">
        <v>3047</v>
      </c>
      <c r="N1012" s="142">
        <f>B1012*IBGE_2!N$1012/100</f>
        <v>7</v>
      </c>
      <c r="O1012" s="142">
        <f>B1012*IBGE_2!O$1012/100</f>
        <v>20</v>
      </c>
      <c r="P1012" s="142">
        <f>B1012*IBGE_2!P$1012/100</f>
        <v>1.0999999999999999E-2</v>
      </c>
      <c r="Q1012" s="142">
        <f>B1012*IBGE_2!Q$1012/100</f>
        <v>193</v>
      </c>
      <c r="R1012" s="142">
        <f>B1012*IBGE_2!R$1012/100</f>
        <v>2.5299999999999998</v>
      </c>
      <c r="S1012" s="142">
        <f>B1012*IBGE_2!S$1012/100</f>
        <v>41</v>
      </c>
      <c r="T1012" s="142">
        <f>B1012*IBGE_2!T$1012/100</f>
        <v>252</v>
      </c>
      <c r="U1012" s="142">
        <f>B1012*IBGE_2!U$1012/100</f>
        <v>7.3999999999999996E-2</v>
      </c>
      <c r="V1012" s="142">
        <f>B1012*IBGE_2!V$1012/100</f>
        <v>5.2</v>
      </c>
      <c r="W1012" s="142" t="s">
        <v>3047</v>
      </c>
      <c r="X1012" s="142">
        <f>B1012*IBGE_2!X$1012/100</f>
        <v>7.0000000000000007E-2</v>
      </c>
      <c r="Y1012" s="142">
        <f>B1012*IBGE_2!Y$1012/100</f>
        <v>0.16300000000000001</v>
      </c>
      <c r="Z1012" s="142">
        <f>B1012*IBGE_2!Z$1012/100</f>
        <v>0.40300000000000002</v>
      </c>
      <c r="AA1012" s="142">
        <f>B1012*IBGE_2!AA$1012/100</f>
        <v>5.36</v>
      </c>
      <c r="AB1012" s="142" t="s">
        <v>3047</v>
      </c>
      <c r="AC1012" s="142">
        <f>B1012*IBGE_2!AC$1012/100</f>
        <v>8.7270000000000003</v>
      </c>
      <c r="AD1012" s="142">
        <f>B1012*IBGE_2!AD$1012/100</f>
        <v>1.71</v>
      </c>
      <c r="AE1012" s="142">
        <f>B1012*IBGE_2!AE$1012/100</f>
        <v>10</v>
      </c>
      <c r="AF1012" s="142">
        <f>B1012*IBGE_2!AF$1012/100</f>
        <v>0.6</v>
      </c>
      <c r="AG1012" s="142">
        <f>B1012*IBGE_2!AG$1012/100</f>
        <v>0.43</v>
      </c>
      <c r="AH1012" s="142">
        <f>B1012*IBGE_2!AH$1012/100</f>
        <v>0.40899999999999997</v>
      </c>
      <c r="AI1012" s="145" t="s">
        <v>3047</v>
      </c>
      <c r="AJ1012" s="142">
        <f>B1012*IBGE_2!AJ$1012/100</f>
        <v>31.7</v>
      </c>
      <c r="AK1012" s="142" t="s">
        <v>3047</v>
      </c>
      <c r="AL1012" s="142" t="s">
        <v>3047</v>
      </c>
      <c r="AM1012" s="142" t="s">
        <v>3047</v>
      </c>
      <c r="AN1012" s="161"/>
    </row>
    <row r="1013" spans="1:40">
      <c r="A1013" s="143" t="s">
        <v>2073</v>
      </c>
      <c r="B1013" s="141">
        <v>100</v>
      </c>
      <c r="C1013" s="142">
        <f>B1013*IBGE_2!C$1013/100</f>
        <v>204</v>
      </c>
      <c r="D1013" s="142">
        <f>B1013*IBGE_2!D$1013/100</f>
        <v>30.67</v>
      </c>
      <c r="E1013" s="142">
        <f>B1013*IBGE_2!E$1013/100</f>
        <v>9</v>
      </c>
      <c r="F1013" s="142">
        <f>B1013*IBGE_2!F$1013/100</f>
        <v>3.415</v>
      </c>
      <c r="G1013" s="142">
        <f>B1013*IBGE_2!G$1013/100</f>
        <v>3.9180000000000001</v>
      </c>
      <c r="H1013" s="142">
        <f>B1013*IBGE_2!H$1013/100</f>
        <v>0.34699999999999998</v>
      </c>
      <c r="I1013" s="142">
        <f>B1013*IBGE_2!I$1013/100</f>
        <v>0.23799999999999996</v>
      </c>
      <c r="J1013" s="142">
        <f>B1013*IBGE_2!J$1013/100</f>
        <v>8.6999999999999994E-2</v>
      </c>
      <c r="K1013" s="142">
        <f>B1013*IBGE_2!K$1013/100</f>
        <v>58</v>
      </c>
      <c r="L1013" s="142" t="s">
        <v>3047</v>
      </c>
      <c r="M1013" s="142" t="s">
        <v>3047</v>
      </c>
      <c r="N1013" s="142">
        <f>B1013*IBGE_2!N$1013/100</f>
        <v>7</v>
      </c>
      <c r="O1013" s="142">
        <f>B1013*IBGE_2!O$1013/100</f>
        <v>20</v>
      </c>
      <c r="P1013" s="142">
        <f>B1013*IBGE_2!P$1013/100</f>
        <v>1.0999999999999999E-2</v>
      </c>
      <c r="Q1013" s="142">
        <f>B1013*IBGE_2!Q$1013/100</f>
        <v>193</v>
      </c>
      <c r="R1013" s="142">
        <f>B1013*IBGE_2!R$1013/100</f>
        <v>2.5299999999999998</v>
      </c>
      <c r="S1013" s="142">
        <f>B1013*IBGE_2!S$1013/100</f>
        <v>41</v>
      </c>
      <c r="T1013" s="142">
        <f>B1013*IBGE_2!T$1013/100</f>
        <v>252</v>
      </c>
      <c r="U1013" s="142">
        <f>B1013*IBGE_2!U$1013/100</f>
        <v>7.3999999999999996E-2</v>
      </c>
      <c r="V1013" s="142">
        <f>B1013*IBGE_2!V$1013/100</f>
        <v>5.2</v>
      </c>
      <c r="W1013" s="142" t="s">
        <v>3047</v>
      </c>
      <c r="X1013" s="142">
        <f>B1013*IBGE_2!X$1013/100</f>
        <v>7.0000000000000007E-2</v>
      </c>
      <c r="Y1013" s="142">
        <f>B1013*IBGE_2!Y$1013/100</f>
        <v>0.16300000000000001</v>
      </c>
      <c r="Z1013" s="142">
        <f>B1013*IBGE_2!Z$1013/100</f>
        <v>0.40300000000000002</v>
      </c>
      <c r="AA1013" s="142">
        <f>B1013*IBGE_2!AA$1013/100</f>
        <v>5.36</v>
      </c>
      <c r="AB1013" s="142" t="s">
        <v>3047</v>
      </c>
      <c r="AC1013" s="142">
        <f>B1013*IBGE_2!AC$1013/100</f>
        <v>8.7270000000000003</v>
      </c>
      <c r="AD1013" s="142">
        <f>B1013*IBGE_2!AD$1013/100</f>
        <v>1.71</v>
      </c>
      <c r="AE1013" s="142">
        <f>B1013*IBGE_2!AE$1013/100</f>
        <v>10</v>
      </c>
      <c r="AF1013" s="142">
        <f>B1013*IBGE_2!AF$1013/100</f>
        <v>0.6</v>
      </c>
      <c r="AG1013" s="142">
        <f>B1013*IBGE_2!AG$1013/100</f>
        <v>0.43</v>
      </c>
      <c r="AH1013" s="142">
        <f>B1013*IBGE_2!AH$1013/100</f>
        <v>0.40899999999999997</v>
      </c>
      <c r="AI1013" s="142">
        <f>B1013*IBGE_2!AI$1013/100</f>
        <v>333</v>
      </c>
      <c r="AJ1013" s="142">
        <f>B1013*IBGE_2!AJ$1013/100</f>
        <v>31.7</v>
      </c>
      <c r="AK1013" s="142" t="s">
        <v>3047</v>
      </c>
      <c r="AL1013" s="142" t="s">
        <v>3047</v>
      </c>
      <c r="AM1013" s="142" t="s">
        <v>3047</v>
      </c>
      <c r="AN1013" s="161"/>
    </row>
    <row r="1014" spans="1:40">
      <c r="A1014" s="143" t="s">
        <v>2074</v>
      </c>
      <c r="B1014" s="141">
        <v>100</v>
      </c>
      <c r="C1014" s="142">
        <f>B1014*IBGE_2!C$1014/100</f>
        <v>204</v>
      </c>
      <c r="D1014" s="142">
        <f>B1014*IBGE_2!D$1014/100</f>
        <v>30.67</v>
      </c>
      <c r="E1014" s="142">
        <f>B1014*IBGE_2!E$1014/100</f>
        <v>9</v>
      </c>
      <c r="F1014" s="142">
        <f>B1014*IBGE_2!F$1014/100</f>
        <v>3.415</v>
      </c>
      <c r="G1014" s="142">
        <f>B1014*IBGE_2!G$1014/100</f>
        <v>3.9180000000000001</v>
      </c>
      <c r="H1014" s="142">
        <f>B1014*IBGE_2!H$1014/100</f>
        <v>0.34699999999999998</v>
      </c>
      <c r="I1014" s="142">
        <f>B1014*IBGE_2!I$1014/100</f>
        <v>0.23799999999999996</v>
      </c>
      <c r="J1014" s="142">
        <f>B1014*IBGE_2!J$1014/100</f>
        <v>8.6999999999999994E-2</v>
      </c>
      <c r="K1014" s="142">
        <f>B1014*IBGE_2!K$1014/100</f>
        <v>58</v>
      </c>
      <c r="L1014" s="142" t="s">
        <v>3047</v>
      </c>
      <c r="M1014" s="142" t="s">
        <v>3047</v>
      </c>
      <c r="N1014" s="142">
        <f>B1014*IBGE_2!N$1014/100</f>
        <v>7</v>
      </c>
      <c r="O1014" s="142">
        <f>B1014*IBGE_2!O$1014/100</f>
        <v>20</v>
      </c>
      <c r="P1014" s="142">
        <f>B1014*IBGE_2!P$1014/100</f>
        <v>1.0999999999999999E-2</v>
      </c>
      <c r="Q1014" s="142">
        <f>B1014*IBGE_2!Q$1014/100</f>
        <v>193</v>
      </c>
      <c r="R1014" s="142">
        <f>B1014*IBGE_2!R$1014/100</f>
        <v>2.5299999999999998</v>
      </c>
      <c r="S1014" s="142">
        <f>B1014*IBGE_2!S$1014/100</f>
        <v>41</v>
      </c>
      <c r="T1014" s="142">
        <f>B1014*IBGE_2!T$1014/100</f>
        <v>252</v>
      </c>
      <c r="U1014" s="142">
        <f>B1014*IBGE_2!U$1014/100</f>
        <v>7.3999999999999996E-2</v>
      </c>
      <c r="V1014" s="142">
        <f>B1014*IBGE_2!V$1014/100</f>
        <v>5.2</v>
      </c>
      <c r="W1014" s="142" t="s">
        <v>3047</v>
      </c>
      <c r="X1014" s="142">
        <f>B1014*IBGE_2!X$1014/100</f>
        <v>7.0000000000000007E-2</v>
      </c>
      <c r="Y1014" s="142">
        <f>B1014*IBGE_2!Y$1014/100</f>
        <v>0.16300000000000001</v>
      </c>
      <c r="Z1014" s="142">
        <f>B1014*IBGE_2!Z$1014/100</f>
        <v>0.40300000000000002</v>
      </c>
      <c r="AA1014" s="142">
        <f>B1014*IBGE_2!AA$1014/100</f>
        <v>5.36</v>
      </c>
      <c r="AB1014" s="142" t="s">
        <v>3047</v>
      </c>
      <c r="AC1014" s="142">
        <f>B1014*IBGE_2!AC$1014/100</f>
        <v>8.7270000000000003</v>
      </c>
      <c r="AD1014" s="142">
        <f>B1014*IBGE_2!AD$1014/100</f>
        <v>1.71</v>
      </c>
      <c r="AE1014" s="142">
        <f>B1014*IBGE_2!AE$1014/100</f>
        <v>10</v>
      </c>
      <c r="AF1014" s="142">
        <f>B1014*IBGE_2!AF$1014/100</f>
        <v>0.6</v>
      </c>
      <c r="AG1014" s="142">
        <f>B1014*IBGE_2!AG$1014/100</f>
        <v>0.43</v>
      </c>
      <c r="AH1014" s="142">
        <f>B1014*IBGE_2!AH$1014/100</f>
        <v>0.40899999999999997</v>
      </c>
      <c r="AI1014" s="142">
        <f>B1014*IBGE_2!AI$1014/100</f>
        <v>333</v>
      </c>
      <c r="AJ1014" s="142">
        <f>B1014*IBGE_2!AJ$1014/100</f>
        <v>31.7</v>
      </c>
      <c r="AK1014" s="142" t="s">
        <v>3047</v>
      </c>
      <c r="AL1014" s="142" t="s">
        <v>3047</v>
      </c>
      <c r="AM1014" s="142" t="s">
        <v>3047</v>
      </c>
      <c r="AN1014" s="161"/>
    </row>
    <row r="1015" spans="1:40">
      <c r="A1015" s="143" t="s">
        <v>2075</v>
      </c>
      <c r="B1015" s="141">
        <v>100</v>
      </c>
      <c r="C1015" s="142">
        <f>B1015*IBGE_2!C$1015/100</f>
        <v>204</v>
      </c>
      <c r="D1015" s="142">
        <f>B1015*IBGE_2!D$1015/100</f>
        <v>30.67</v>
      </c>
      <c r="E1015" s="142">
        <f>B1015*IBGE_2!E$1015/100</f>
        <v>9</v>
      </c>
      <c r="F1015" s="142">
        <f>B1015*IBGE_2!F$1015/100</f>
        <v>3.415</v>
      </c>
      <c r="G1015" s="142">
        <f>B1015*IBGE_2!G$1015/100</f>
        <v>3.9180000000000001</v>
      </c>
      <c r="H1015" s="142">
        <f>B1015*IBGE_2!H$1015/100</f>
        <v>0.34699999999999998</v>
      </c>
      <c r="I1015" s="142">
        <f>B1015*IBGE_2!I$1015/100</f>
        <v>0.23799999999999996</v>
      </c>
      <c r="J1015" s="142">
        <f>B1015*IBGE_2!J$1015/100</f>
        <v>8.6999999999999994E-2</v>
      </c>
      <c r="K1015" s="142">
        <f>B1015*IBGE_2!K$1015/100</f>
        <v>58</v>
      </c>
      <c r="L1015" s="142" t="s">
        <v>3047</v>
      </c>
      <c r="M1015" s="142" t="s">
        <v>3047</v>
      </c>
      <c r="N1015" s="142">
        <f>B1015*IBGE_2!N$1015/100</f>
        <v>7</v>
      </c>
      <c r="O1015" s="142">
        <f>B1015*IBGE_2!O$1015/100</f>
        <v>20</v>
      </c>
      <c r="P1015" s="142">
        <f>B1015*IBGE_2!P$1015/100</f>
        <v>1.0999999999999999E-2</v>
      </c>
      <c r="Q1015" s="142">
        <f>B1015*IBGE_2!Q$1015/100</f>
        <v>193</v>
      </c>
      <c r="R1015" s="142">
        <f>B1015*IBGE_2!R$1015/100</f>
        <v>2.5299999999999998</v>
      </c>
      <c r="S1015" s="142">
        <f>B1015*IBGE_2!S$1015/100</f>
        <v>41</v>
      </c>
      <c r="T1015" s="142">
        <f>B1015*IBGE_2!T$1015/100</f>
        <v>252</v>
      </c>
      <c r="U1015" s="142">
        <f>B1015*IBGE_2!U$1015/100</f>
        <v>7.3999999999999996E-2</v>
      </c>
      <c r="V1015" s="142">
        <f>B1015*IBGE_2!V$1015/100</f>
        <v>5.2</v>
      </c>
      <c r="W1015" s="142" t="s">
        <v>3047</v>
      </c>
      <c r="X1015" s="142">
        <f>B1015*IBGE_2!X$1015/100</f>
        <v>7.0000000000000007E-2</v>
      </c>
      <c r="Y1015" s="142">
        <f>B1015*IBGE_2!Y$1015/100</f>
        <v>0.16300000000000001</v>
      </c>
      <c r="Z1015" s="142">
        <f>B1015*IBGE_2!Z$1015/100</f>
        <v>0.40300000000000002</v>
      </c>
      <c r="AA1015" s="142">
        <f>B1015*IBGE_2!AA$1015/100</f>
        <v>5.36</v>
      </c>
      <c r="AB1015" s="142" t="s">
        <v>3047</v>
      </c>
      <c r="AC1015" s="142">
        <f>B1015*IBGE_2!AC$1015/100</f>
        <v>8.7270000000000003</v>
      </c>
      <c r="AD1015" s="142">
        <f>B1015*IBGE_2!AD$1015/100</f>
        <v>1.71</v>
      </c>
      <c r="AE1015" s="142">
        <f>B1015*IBGE_2!AE$1015/100</f>
        <v>10</v>
      </c>
      <c r="AF1015" s="142">
        <f>B1015*IBGE_2!AF$1015/100</f>
        <v>0.6</v>
      </c>
      <c r="AG1015" s="142">
        <f>B1015*IBGE_2!AG$1015/100</f>
        <v>0.43</v>
      </c>
      <c r="AH1015" s="142">
        <f>B1015*IBGE_2!AH$1015/100</f>
        <v>0.40899999999999997</v>
      </c>
      <c r="AI1015" s="142">
        <f>B1015*IBGE_2!AI$1015/100</f>
        <v>333</v>
      </c>
      <c r="AJ1015" s="142">
        <f>B1015*IBGE_2!AJ$1015/100</f>
        <v>31.7</v>
      </c>
      <c r="AK1015" s="142" t="s">
        <v>3047</v>
      </c>
      <c r="AL1015" s="142" t="s">
        <v>3047</v>
      </c>
      <c r="AM1015" s="142" t="s">
        <v>3047</v>
      </c>
      <c r="AN1015" s="161"/>
    </row>
    <row r="1016" spans="1:40">
      <c r="A1016" s="143" t="s">
        <v>2076</v>
      </c>
      <c r="B1016" s="141">
        <v>100</v>
      </c>
      <c r="C1016" s="142">
        <f>B1016*IBGE_2!C$1016/100</f>
        <v>226.65899999999999</v>
      </c>
      <c r="D1016" s="142">
        <f>B1016*IBGE_2!D$1016/100</f>
        <v>30.67</v>
      </c>
      <c r="E1016" s="142">
        <f>B1016*IBGE_2!E$1016/100</f>
        <v>11.562999999999999</v>
      </c>
      <c r="F1016" s="142">
        <f>B1016*IBGE_2!F$1016/100</f>
        <v>3.8159999999999998</v>
      </c>
      <c r="G1016" s="142">
        <f>B1016*IBGE_2!G$1016/100</f>
        <v>4.5019999999999998</v>
      </c>
      <c r="H1016" s="142">
        <f>B1016*IBGE_2!H$1016/100</f>
        <v>1.827</v>
      </c>
      <c r="I1016" s="142">
        <f>B1016*IBGE_2!I$1016/100</f>
        <v>1.544</v>
      </c>
      <c r="J1016" s="142">
        <f>B1016*IBGE_2!J$1016/100</f>
        <v>0.26100000000000001</v>
      </c>
      <c r="K1016" s="142">
        <f>B1016*IBGE_2!K$1016/100</f>
        <v>58</v>
      </c>
      <c r="L1016" s="142" t="s">
        <v>3047</v>
      </c>
      <c r="M1016" s="142" t="s">
        <v>3047</v>
      </c>
      <c r="N1016" s="142">
        <f>B1016*IBGE_2!N$1016/100</f>
        <v>7</v>
      </c>
      <c r="O1016" s="142">
        <f>B1016*IBGE_2!O$1016/100</f>
        <v>20</v>
      </c>
      <c r="P1016" s="142">
        <f>B1016*IBGE_2!P$1016/100</f>
        <v>1.0999999999999999E-2</v>
      </c>
      <c r="Q1016" s="142">
        <f>B1016*IBGE_2!Q$1016/100</f>
        <v>193</v>
      </c>
      <c r="R1016" s="142">
        <f>B1016*IBGE_2!R$1016/100</f>
        <v>2.5310000000000001</v>
      </c>
      <c r="S1016" s="142">
        <f>B1016*IBGE_2!S$1016/100</f>
        <v>41</v>
      </c>
      <c r="T1016" s="142">
        <f>B1016*IBGE_2!T$1016/100</f>
        <v>252</v>
      </c>
      <c r="U1016" s="142">
        <f>B1016*IBGE_2!U$1016/100</f>
        <v>7.3999999999999996E-2</v>
      </c>
      <c r="V1016" s="142">
        <f>B1016*IBGE_2!V$1016/100</f>
        <v>5.2</v>
      </c>
      <c r="W1016" s="142" t="s">
        <v>3047</v>
      </c>
      <c r="X1016" s="142">
        <f>B1016*IBGE_2!X$1016/100</f>
        <v>7.0000000000000007E-2</v>
      </c>
      <c r="Y1016" s="142">
        <f>B1016*IBGE_2!Y$1016/100</f>
        <v>0.16300000000000001</v>
      </c>
      <c r="Z1016" s="142">
        <f>B1016*IBGE_2!Z$1016/100</f>
        <v>0.40300000000000002</v>
      </c>
      <c r="AA1016" s="142">
        <f>B1016*IBGE_2!AA$1016/100</f>
        <v>5.36</v>
      </c>
      <c r="AB1016" s="142" t="s">
        <v>3047</v>
      </c>
      <c r="AC1016" s="142">
        <f>B1016*IBGE_2!AC$1016/100</f>
        <v>8.7270000000000003</v>
      </c>
      <c r="AD1016" s="142">
        <f>B1016*IBGE_2!AD$1016/100</f>
        <v>1.71</v>
      </c>
      <c r="AE1016" s="142">
        <f>B1016*IBGE_2!AE$1016/100</f>
        <v>10</v>
      </c>
      <c r="AF1016" s="142">
        <f>B1016*IBGE_2!AF$1016/100</f>
        <v>0.6</v>
      </c>
      <c r="AG1016" s="142">
        <f>B1016*IBGE_2!AG$1016/100</f>
        <v>0.64</v>
      </c>
      <c r="AH1016" s="142">
        <f>B1016*IBGE_2!AH$1016/100</f>
        <v>0.42299999999999999</v>
      </c>
      <c r="AI1016" s="142">
        <f>B1016*IBGE_2!AI$1016/100</f>
        <v>333</v>
      </c>
      <c r="AJ1016" s="142">
        <f>B1016*IBGE_2!AJ$1016/100</f>
        <v>32.875</v>
      </c>
      <c r="AK1016" s="142" t="s">
        <v>3047</v>
      </c>
      <c r="AL1016" s="142" t="s">
        <v>3047</v>
      </c>
      <c r="AM1016" s="142" t="s">
        <v>3047</v>
      </c>
      <c r="AN1016" s="161"/>
    </row>
    <row r="1017" spans="1:40">
      <c r="A1017" s="143" t="s">
        <v>2077</v>
      </c>
      <c r="B1017" s="141">
        <v>100</v>
      </c>
      <c r="C1017" s="142">
        <f>B1017*IBGE_2!C$1017/100</f>
        <v>242.83699999999996</v>
      </c>
      <c r="D1017" s="142">
        <f>B1017*IBGE_2!D$1017/100</f>
        <v>31.129000000000001</v>
      </c>
      <c r="E1017" s="142">
        <f>B1017*IBGE_2!E$1017/100</f>
        <v>11.606999999999998</v>
      </c>
      <c r="F1017" s="142">
        <f>B1017*IBGE_2!F$1017/100</f>
        <v>3.823</v>
      </c>
      <c r="G1017" s="142">
        <f>B1017*IBGE_2!G$1017/100</f>
        <v>4.5060000000000002</v>
      </c>
      <c r="H1017" s="142">
        <f>B1017*IBGE_2!H$1017/100</f>
        <v>1.845</v>
      </c>
      <c r="I1017" s="142">
        <f>B1017*IBGE_2!I$1017/100</f>
        <v>1.5609999999999999</v>
      </c>
      <c r="J1017" s="142">
        <f>B1017*IBGE_2!J$1017/100</f>
        <v>0.26200000000000001</v>
      </c>
      <c r="K1017" s="142">
        <f>B1017*IBGE_2!K$1017/100</f>
        <v>58</v>
      </c>
      <c r="L1017" s="142">
        <f>B1017*IBGE_2!L$1017/100</f>
        <v>3.3919999999999999</v>
      </c>
      <c r="M1017" s="142">
        <f>B1017*IBGE_2!M$1017/100</f>
        <v>0.13500000000000001</v>
      </c>
      <c r="N1017" s="142">
        <f>B1017*IBGE_2!N$1017/100</f>
        <v>7.6669999999999989</v>
      </c>
      <c r="O1017" s="142">
        <f>B1017*IBGE_2!O$1017/100</f>
        <v>20.978000000000002</v>
      </c>
      <c r="P1017" s="142">
        <f>B1017*IBGE_2!P$1017/100</f>
        <v>4.1000000000000009E-2</v>
      </c>
      <c r="Q1017" s="142">
        <f>B1017*IBGE_2!Q$1017/100</f>
        <v>197.8</v>
      </c>
      <c r="R1017" s="142">
        <f>B1017*IBGE_2!R$1017/100</f>
        <v>2.738</v>
      </c>
      <c r="S1017" s="142">
        <f>B1017*IBGE_2!S$1017/100</f>
        <v>41.088999999999999</v>
      </c>
      <c r="T1017" s="142">
        <f>B1017*IBGE_2!T$1017/100</f>
        <v>256.75599999999997</v>
      </c>
      <c r="U1017" s="142">
        <f>B1017*IBGE_2!U$1017/100</f>
        <v>0.08</v>
      </c>
      <c r="V1017" s="142">
        <f>B1017*IBGE_2!V$1017/100</f>
        <v>5.2309999999999999</v>
      </c>
      <c r="W1017" s="142" t="s">
        <v>3047</v>
      </c>
      <c r="X1017" s="142">
        <f>B1017*IBGE_2!X$1017/100</f>
        <v>0.105</v>
      </c>
      <c r="Y1017" s="142">
        <f>B1017*IBGE_2!Y$1017/100</f>
        <v>0.185</v>
      </c>
      <c r="Z1017" s="142">
        <f>B1017*IBGE_2!Z$1017/100</f>
        <v>0.40500000000000003</v>
      </c>
      <c r="AA1017" s="142">
        <f>B1017*IBGE_2!AA$1017/100</f>
        <v>5.6220000000000008</v>
      </c>
      <c r="AB1017" s="142" t="s">
        <v>3047</v>
      </c>
      <c r="AC1017" s="142">
        <f>B1017*IBGE_2!AC$1017/100</f>
        <v>9.0830000000000002</v>
      </c>
      <c r="AD1017" s="142">
        <f>B1017*IBGE_2!AD$1017/100</f>
        <v>1.71</v>
      </c>
      <c r="AE1017" s="142">
        <f>B1017*IBGE_2!AE$1017/100</f>
        <v>19.067</v>
      </c>
      <c r="AF1017" s="142">
        <f>B1017*IBGE_2!AF$1017/100</f>
        <v>0.6</v>
      </c>
      <c r="AG1017" s="142">
        <f>B1017*IBGE_2!AG$1017/100</f>
        <v>0.64200000000000002</v>
      </c>
      <c r="AH1017" s="142">
        <f>B1017*IBGE_2!AH$1017/100</f>
        <v>0.42299999999999999</v>
      </c>
      <c r="AI1017" s="142">
        <f>B1017*IBGE_2!AI$1017/100</f>
        <v>333</v>
      </c>
      <c r="AJ1017" s="142">
        <f>B1017*IBGE_2!AJ$1017/100</f>
        <v>34.381</v>
      </c>
      <c r="AK1017" s="145" t="s">
        <v>3047</v>
      </c>
      <c r="AL1017" s="142">
        <f>B1017*IBGE_2!AL$1017/100</f>
        <v>1.4000000000000002E-2</v>
      </c>
      <c r="AM1017" s="142" t="s">
        <v>3047</v>
      </c>
      <c r="AN1017" s="161"/>
    </row>
    <row r="1018" spans="1:40">
      <c r="A1018" s="143" t="s">
        <v>2078</v>
      </c>
      <c r="B1018" s="141">
        <v>100</v>
      </c>
      <c r="C1018" s="142">
        <f>B1018*IBGE_2!C$1018/100</f>
        <v>226.65899999999999</v>
      </c>
      <c r="D1018" s="142">
        <f>B1018*IBGE_2!D$1018/100</f>
        <v>30.67</v>
      </c>
      <c r="E1018" s="142">
        <f>B1018*IBGE_2!E$1018/100</f>
        <v>11.562999999999999</v>
      </c>
      <c r="F1018" s="142">
        <f>B1018*IBGE_2!F$1018/100</f>
        <v>3.8159999999999998</v>
      </c>
      <c r="G1018" s="142">
        <f>B1018*IBGE_2!G$1018/100</f>
        <v>4.5019999999999998</v>
      </c>
      <c r="H1018" s="142">
        <f>B1018*IBGE_2!H$1018/100</f>
        <v>1.827</v>
      </c>
      <c r="I1018" s="142">
        <f>B1018*IBGE_2!I$1018/100</f>
        <v>1.544</v>
      </c>
      <c r="J1018" s="142">
        <f>B1018*IBGE_2!J$1018/100</f>
        <v>0.26100000000000001</v>
      </c>
      <c r="K1018" s="142">
        <f>B1018*IBGE_2!K$1018/100</f>
        <v>58</v>
      </c>
      <c r="L1018" s="142" t="s">
        <v>3047</v>
      </c>
      <c r="M1018" s="142" t="s">
        <v>3047</v>
      </c>
      <c r="N1018" s="142">
        <f>B1018*IBGE_2!N$1018/100</f>
        <v>7</v>
      </c>
      <c r="O1018" s="142">
        <f>B1018*IBGE_2!O$1018/100</f>
        <v>20</v>
      </c>
      <c r="P1018" s="142">
        <f>B1018*IBGE_2!P$1018/100</f>
        <v>1.0999999999999999E-2</v>
      </c>
      <c r="Q1018" s="142">
        <f>B1018*IBGE_2!Q$1018/100</f>
        <v>193</v>
      </c>
      <c r="R1018" s="142">
        <f>B1018*IBGE_2!R$1018/100</f>
        <v>2.5310000000000001</v>
      </c>
      <c r="S1018" s="142">
        <f>B1018*IBGE_2!S$1018/100</f>
        <v>41</v>
      </c>
      <c r="T1018" s="142">
        <f>B1018*IBGE_2!T$1018/100</f>
        <v>252</v>
      </c>
      <c r="U1018" s="142">
        <f>B1018*IBGE_2!U$1018/100</f>
        <v>7.3999999999999996E-2</v>
      </c>
      <c r="V1018" s="142">
        <f>B1018*IBGE_2!V$1018/100</f>
        <v>5.2</v>
      </c>
      <c r="W1018" s="142" t="s">
        <v>3047</v>
      </c>
      <c r="X1018" s="142">
        <f>B1018*IBGE_2!X$1018/100</f>
        <v>7.0000000000000007E-2</v>
      </c>
      <c r="Y1018" s="142">
        <f>B1018*IBGE_2!Y$1018/100</f>
        <v>0.16300000000000001</v>
      </c>
      <c r="Z1018" s="142">
        <f>B1018*IBGE_2!Z$1018/100</f>
        <v>0.40300000000000002</v>
      </c>
      <c r="AA1018" s="142">
        <f>B1018*IBGE_2!AA$1018/100</f>
        <v>5.36</v>
      </c>
      <c r="AB1018" s="142" t="s">
        <v>3047</v>
      </c>
      <c r="AC1018" s="142">
        <f>B1018*IBGE_2!AC$1018/100</f>
        <v>8.7270000000000003</v>
      </c>
      <c r="AD1018" s="142">
        <f>B1018*IBGE_2!AD$1018/100</f>
        <v>1.71</v>
      </c>
      <c r="AE1018" s="142">
        <f>B1018*IBGE_2!AE$1018/100</f>
        <v>10</v>
      </c>
      <c r="AF1018" s="142">
        <f>B1018*IBGE_2!AF$1018/100</f>
        <v>0.6</v>
      </c>
      <c r="AG1018" s="142">
        <f>B1018*IBGE_2!AG$1018/100</f>
        <v>0.64</v>
      </c>
      <c r="AH1018" s="142">
        <f>B1018*IBGE_2!AH$1018/100</f>
        <v>0.42299999999999999</v>
      </c>
      <c r="AI1018" s="142">
        <f>B1018*IBGE_2!AI$1018/100</f>
        <v>333</v>
      </c>
      <c r="AJ1018" s="142">
        <f>B1018*IBGE_2!AJ$1018/100</f>
        <v>32.875</v>
      </c>
      <c r="AK1018" s="145" t="s">
        <v>3047</v>
      </c>
      <c r="AL1018" s="145" t="s">
        <v>3047</v>
      </c>
      <c r="AM1018" s="142" t="s">
        <v>3047</v>
      </c>
      <c r="AN1018" s="161"/>
    </row>
    <row r="1019" spans="1:40">
      <c r="A1019" s="143" t="s">
        <v>2079</v>
      </c>
      <c r="B1019" s="141">
        <v>100</v>
      </c>
      <c r="C1019" s="142">
        <f>B1019*IBGE_2!C$1019/100</f>
        <v>168</v>
      </c>
      <c r="D1019" s="142">
        <f>B1019*IBGE_2!D$1019/100</f>
        <v>24.8</v>
      </c>
      <c r="E1019" s="142">
        <f>B1019*IBGE_2!E$1019/100</f>
        <v>7.2360000000000007</v>
      </c>
      <c r="F1019" s="142">
        <f>B1019*IBGE_2!F$1019/100</f>
        <v>2.7370000000000001</v>
      </c>
      <c r="G1019" s="142">
        <f>B1019*IBGE_2!G$1019/100</f>
        <v>3.14</v>
      </c>
      <c r="H1019" s="142">
        <f>B1019*IBGE_2!H$1019/100</f>
        <v>0.29199999999999998</v>
      </c>
      <c r="I1019" s="142">
        <f>B1019*IBGE_2!I$1019/100</f>
        <v>0.20399999999999999</v>
      </c>
      <c r="J1019" s="142">
        <f>B1019*IBGE_2!J$1019/100</f>
        <v>7.0000000000000007E-2</v>
      </c>
      <c r="K1019" s="142">
        <f>B1019*IBGE_2!K$1019/100</f>
        <v>46.4</v>
      </c>
      <c r="L1019" s="142">
        <f>B1019*IBGE_2!L$1019/100</f>
        <v>1.0760000000000001</v>
      </c>
      <c r="M1019" s="142">
        <f>B1019*IBGE_2!M$1019/100</f>
        <v>0.3</v>
      </c>
      <c r="N1019" s="142">
        <f>B1019*IBGE_2!N$1019/100</f>
        <v>8.1999999999999993</v>
      </c>
      <c r="O1019" s="142">
        <f>B1019*IBGE_2!O$1019/100</f>
        <v>19.2</v>
      </c>
      <c r="P1019" s="142">
        <f>B1019*IBGE_2!P$1019/100</f>
        <v>0.03</v>
      </c>
      <c r="Q1019" s="142">
        <f>B1019*IBGE_2!Q$1019/100</f>
        <v>159.6</v>
      </c>
      <c r="R1019" s="142">
        <f>B1019*IBGE_2!R$1019/100</f>
        <v>2.2280000000000002</v>
      </c>
      <c r="S1019" s="142">
        <f>B1019*IBGE_2!S$1019/100</f>
        <v>137.6</v>
      </c>
      <c r="T1019" s="142">
        <f>B1019*IBGE_2!T$1019/100</f>
        <v>267.8</v>
      </c>
      <c r="U1019" s="142">
        <f>B1019*IBGE_2!U$1019/100</f>
        <v>8.3000000000000004E-2</v>
      </c>
      <c r="V1019" s="142">
        <f>B1019*IBGE_2!V$1019/100</f>
        <v>4.2</v>
      </c>
      <c r="W1019" s="142" t="s">
        <v>3047</v>
      </c>
      <c r="X1019" s="142">
        <f>B1019*IBGE_2!X$1019/100</f>
        <v>6.0999999999999999E-2</v>
      </c>
      <c r="Y1019" s="142">
        <f>B1019*IBGE_2!Y$1019/100</f>
        <v>0.14399999999999999</v>
      </c>
      <c r="Z1019" s="142">
        <f>B1019*IBGE_2!Z$1019/100</f>
        <v>0.34200000000000003</v>
      </c>
      <c r="AA1019" s="142">
        <f>B1019*IBGE_2!AA$1019/100</f>
        <v>4.4829999999999997</v>
      </c>
      <c r="AB1019" s="142">
        <f>B1019*IBGE_2!AB$1019/100</f>
        <v>1.4</v>
      </c>
      <c r="AC1019" s="142">
        <f>B1019*IBGE_2!AC$1019/100</f>
        <v>7.21</v>
      </c>
      <c r="AD1019" s="142">
        <f>B1019*IBGE_2!AD$1019/100</f>
        <v>1.3680000000000001</v>
      </c>
      <c r="AE1019" s="142">
        <f>B1019*IBGE_2!AE$1019/100</f>
        <v>10.199999999999999</v>
      </c>
      <c r="AF1019" s="142">
        <f>B1019*IBGE_2!AF$1019/100</f>
        <v>0.48</v>
      </c>
      <c r="AG1019" s="142">
        <f>B1019*IBGE_2!AG$1019/100</f>
        <v>0.628</v>
      </c>
      <c r="AH1019" s="142">
        <f>B1019*IBGE_2!AH$1019/100</f>
        <v>0.32700000000000001</v>
      </c>
      <c r="AI1019" s="142">
        <f>B1019*IBGE_2!AI$1019/100</f>
        <v>333</v>
      </c>
      <c r="AJ1019" s="142">
        <f>B1019*IBGE_2!AJ$1019/100</f>
        <v>25.4</v>
      </c>
      <c r="AK1019" s="142">
        <f>B1019*IBGE_2!AK$1019/100</f>
        <v>3.4830000000000001</v>
      </c>
      <c r="AL1019" s="142">
        <f>B1019*IBGE_2!AL$1019/100</f>
        <v>0.85</v>
      </c>
      <c r="AM1019" s="142" t="s">
        <v>3047</v>
      </c>
      <c r="AN1019" s="161"/>
    </row>
    <row r="1020" spans="1:40">
      <c r="A1020" s="143" t="s">
        <v>2080</v>
      </c>
      <c r="B1020" s="141">
        <v>100</v>
      </c>
      <c r="C1020" s="142">
        <f>B1020*IBGE_2!C$1020/100</f>
        <v>223.137</v>
      </c>
      <c r="D1020" s="142">
        <f>B1020*IBGE_2!D$1020/100</f>
        <v>30.693000000000001</v>
      </c>
      <c r="E1020" s="142">
        <f>B1020*IBGE_2!E$1020/100</f>
        <v>11.164999999999999</v>
      </c>
      <c r="F1020" s="142">
        <f>B1020*IBGE_2!F$1020/100</f>
        <v>4.7859999999999996</v>
      </c>
      <c r="G1020" s="142">
        <f>B1020*IBGE_2!G$1020/100</f>
        <v>4.4790000000000001</v>
      </c>
      <c r="H1020" s="142">
        <f>B1020*IBGE_2!H$1020/100</f>
        <v>0.42799999999999999</v>
      </c>
      <c r="I1020" s="142">
        <f>B1020*IBGE_2!I$1020/100</f>
        <v>0.311</v>
      </c>
      <c r="J1020" s="142">
        <f>B1020*IBGE_2!J$1020/100</f>
        <v>9.5000000000000001E-2</v>
      </c>
      <c r="K1020" s="142">
        <f>B1020*IBGE_2!K$1020/100</f>
        <v>63.738</v>
      </c>
      <c r="L1020" s="142">
        <f>B1020*IBGE_2!L$1020/100</f>
        <v>2E-3</v>
      </c>
      <c r="M1020" s="142" t="s">
        <v>3047</v>
      </c>
      <c r="N1020" s="142">
        <f>B1020*IBGE_2!N$1020/100</f>
        <v>7.641</v>
      </c>
      <c r="O1020" s="142">
        <f>B1020*IBGE_2!O$1020/100</f>
        <v>20.053000000000001</v>
      </c>
      <c r="P1020" s="142">
        <f>B1020*IBGE_2!P$1020/100</f>
        <v>1.0999999999999999E-2</v>
      </c>
      <c r="Q1020" s="142">
        <f>B1020*IBGE_2!Q$1020/100</f>
        <v>193.64099999999999</v>
      </c>
      <c r="R1020" s="142">
        <f>B1020*IBGE_2!R$1020/100</f>
        <v>2.5310000000000001</v>
      </c>
      <c r="S1020" s="142">
        <f>B1020*IBGE_2!S$1020/100</f>
        <v>56.374000000000002</v>
      </c>
      <c r="T1020" s="142">
        <f>B1020*IBGE_2!T$1020/100</f>
        <v>252.64099999999999</v>
      </c>
      <c r="U1020" s="142">
        <f>B1020*IBGE_2!U$1020/100</f>
        <v>7.3999999999999996E-2</v>
      </c>
      <c r="V1020" s="142">
        <f>B1020*IBGE_2!V$1020/100</f>
        <v>5.2020000000000008</v>
      </c>
      <c r="W1020" s="142">
        <f>B1020*IBGE_2!W$1020/100</f>
        <v>17.908999999999999</v>
      </c>
      <c r="X1020" s="142">
        <f>B1020*IBGE_2!X$1020/100</f>
        <v>7.0000000000000007E-2</v>
      </c>
      <c r="Y1020" s="142">
        <f>B1020*IBGE_2!Y$1020/100</f>
        <v>0.16400000000000003</v>
      </c>
      <c r="Z1020" s="142">
        <f>B1020*IBGE_2!Z$1020/100</f>
        <v>0.40300000000000002</v>
      </c>
      <c r="AA1020" s="142">
        <f>B1020*IBGE_2!AA$1020/100</f>
        <v>5.3610000000000007</v>
      </c>
      <c r="AB1020" s="142" t="s">
        <v>3047</v>
      </c>
      <c r="AC1020" s="142">
        <f>B1020*IBGE_2!AC$1020/100</f>
        <v>8.7330000000000005</v>
      </c>
      <c r="AD1020" s="142">
        <f>B1020*IBGE_2!AD$1020/100</f>
        <v>1.7150000000000001</v>
      </c>
      <c r="AE1020" s="142">
        <f>B1020*IBGE_2!AE$1020/100</f>
        <v>10.08</v>
      </c>
      <c r="AF1020" s="142">
        <f>B1020*IBGE_2!AF$1020/100</f>
        <v>0.63700000000000001</v>
      </c>
      <c r="AG1020" s="142">
        <f>B1020*IBGE_2!AG$1020/100</f>
        <v>0.49200000000000005</v>
      </c>
      <c r="AH1020" s="142">
        <f>B1020*IBGE_2!AH$1020/100</f>
        <v>0.496</v>
      </c>
      <c r="AI1020" s="142">
        <f>B1020*IBGE_2!AI$1020/100</f>
        <v>333</v>
      </c>
      <c r="AJ1020" s="142">
        <f>B1020*IBGE_2!AJ$1020/100</f>
        <v>31.726999999999997</v>
      </c>
      <c r="AK1020" s="142">
        <f>B1020*IBGE_2!AK$1020/100</f>
        <v>18.260999999999999</v>
      </c>
      <c r="AL1020" s="142">
        <f>B1020*IBGE_2!AL$1020/100</f>
        <v>3.0000000000000001E-3</v>
      </c>
      <c r="AM1020" s="142" t="s">
        <v>3047</v>
      </c>
      <c r="AN1020" s="161"/>
    </row>
    <row r="1021" spans="1:40">
      <c r="A1021" s="143" t="s">
        <v>2081</v>
      </c>
      <c r="B1021" s="141">
        <v>100</v>
      </c>
      <c r="C1021" s="142">
        <f>B1021*IBGE_2!C$1021/100</f>
        <v>226.65899999999999</v>
      </c>
      <c r="D1021" s="142">
        <f>B1021*IBGE_2!D$1021/100</f>
        <v>30.67</v>
      </c>
      <c r="E1021" s="142">
        <f>B1021*IBGE_2!E$1021/100</f>
        <v>11.562999999999999</v>
      </c>
      <c r="F1021" s="142">
        <f>B1021*IBGE_2!F$1021/100</f>
        <v>3.8159999999999998</v>
      </c>
      <c r="G1021" s="142">
        <f>B1021*IBGE_2!G$1021/100</f>
        <v>4.5019999999999998</v>
      </c>
      <c r="H1021" s="142">
        <f>B1021*IBGE_2!H$1021/100</f>
        <v>1.827</v>
      </c>
      <c r="I1021" s="142">
        <f>B1021*IBGE_2!I$1021/100</f>
        <v>1.544</v>
      </c>
      <c r="J1021" s="142">
        <f>B1021*IBGE_2!J$1021/100</f>
        <v>0.26100000000000001</v>
      </c>
      <c r="K1021" s="142">
        <f>B1021*IBGE_2!K$1021/100</f>
        <v>58</v>
      </c>
      <c r="L1021" s="142" t="s">
        <v>3047</v>
      </c>
      <c r="M1021" s="142" t="s">
        <v>3047</v>
      </c>
      <c r="N1021" s="142">
        <f>B1021*IBGE_2!N$1021/100</f>
        <v>7</v>
      </c>
      <c r="O1021" s="142">
        <f>B1021*IBGE_2!O$1021/100</f>
        <v>20</v>
      </c>
      <c r="P1021" s="142">
        <f>B1021*IBGE_2!P$1021/100</f>
        <v>1.0999999999999999E-2</v>
      </c>
      <c r="Q1021" s="142">
        <f>B1021*IBGE_2!Q$1021/100</f>
        <v>193</v>
      </c>
      <c r="R1021" s="142">
        <f>B1021*IBGE_2!R$1021/100</f>
        <v>2.5310000000000001</v>
      </c>
      <c r="S1021" s="142">
        <f>B1021*IBGE_2!S$1021/100</f>
        <v>41</v>
      </c>
      <c r="T1021" s="142">
        <f>B1021*IBGE_2!T$1021/100</f>
        <v>252</v>
      </c>
      <c r="U1021" s="142">
        <f>B1021*IBGE_2!U$1021/100</f>
        <v>7.3999999999999996E-2</v>
      </c>
      <c r="V1021" s="142">
        <f>B1021*IBGE_2!V$1021/100</f>
        <v>5.2</v>
      </c>
      <c r="W1021" s="142" t="s">
        <v>3047</v>
      </c>
      <c r="X1021" s="142">
        <f>B1021*IBGE_2!X$1021/100</f>
        <v>7.0000000000000007E-2</v>
      </c>
      <c r="Y1021" s="142">
        <f>B1021*IBGE_2!Y$1021/100</f>
        <v>0.16300000000000001</v>
      </c>
      <c r="Z1021" s="142">
        <f>B1021*IBGE_2!Z$1021/100</f>
        <v>0.40300000000000002</v>
      </c>
      <c r="AA1021" s="142">
        <f>B1021*IBGE_2!AA$1021/100</f>
        <v>5.36</v>
      </c>
      <c r="AB1021" s="142" t="s">
        <v>3047</v>
      </c>
      <c r="AC1021" s="142">
        <f>B1021*IBGE_2!AC$1021/100</f>
        <v>8.7270000000000003</v>
      </c>
      <c r="AD1021" s="142">
        <f>B1021*IBGE_2!AD$1021/100</f>
        <v>1.71</v>
      </c>
      <c r="AE1021" s="142">
        <f>B1021*IBGE_2!AE$1021/100</f>
        <v>10</v>
      </c>
      <c r="AF1021" s="142">
        <f>B1021*IBGE_2!AF$1021/100</f>
        <v>0.6</v>
      </c>
      <c r="AG1021" s="142">
        <f>B1021*IBGE_2!AG$1021/100</f>
        <v>0.64</v>
      </c>
      <c r="AH1021" s="142">
        <f>B1021*IBGE_2!AH$1021/100</f>
        <v>0.42299999999999999</v>
      </c>
      <c r="AI1021" s="142">
        <f>B1021*IBGE_2!AI$1021/100</f>
        <v>333</v>
      </c>
      <c r="AJ1021" s="142">
        <f>B1021*IBGE_2!AJ$1021/100</f>
        <v>32.875</v>
      </c>
      <c r="AK1021" s="145" t="s">
        <v>3047</v>
      </c>
      <c r="AL1021" s="142" t="s">
        <v>3047</v>
      </c>
      <c r="AM1021" s="142" t="s">
        <v>3047</v>
      </c>
      <c r="AN1021" s="161"/>
    </row>
    <row r="1022" spans="1:40">
      <c r="A1022" s="143" t="s">
        <v>2082</v>
      </c>
      <c r="B1022" s="141">
        <v>100</v>
      </c>
      <c r="C1022" s="142">
        <f>B1022*IBGE_2!C$1022/100</f>
        <v>204</v>
      </c>
      <c r="D1022" s="142">
        <f>B1022*IBGE_2!D$1022/100</f>
        <v>30.67</v>
      </c>
      <c r="E1022" s="142">
        <f>B1022*IBGE_2!E$1022/100</f>
        <v>9</v>
      </c>
      <c r="F1022" s="142">
        <f>B1022*IBGE_2!F$1022/100</f>
        <v>3.415</v>
      </c>
      <c r="G1022" s="142">
        <f>B1022*IBGE_2!G$1022/100</f>
        <v>3.9180000000000001</v>
      </c>
      <c r="H1022" s="142">
        <f>B1022*IBGE_2!H$1022/100</f>
        <v>0.34699999999999998</v>
      </c>
      <c r="I1022" s="142">
        <f>B1022*IBGE_2!I$1022/100</f>
        <v>0.23799999999999996</v>
      </c>
      <c r="J1022" s="142">
        <f>B1022*IBGE_2!J$1022/100</f>
        <v>8.6999999999999994E-2</v>
      </c>
      <c r="K1022" s="142">
        <f>B1022*IBGE_2!K$1022/100</f>
        <v>58</v>
      </c>
      <c r="L1022" s="142" t="s">
        <v>3047</v>
      </c>
      <c r="M1022" s="142" t="s">
        <v>3047</v>
      </c>
      <c r="N1022" s="142">
        <f>B1022*IBGE_2!N$1022/100</f>
        <v>7</v>
      </c>
      <c r="O1022" s="142">
        <f>B1022*IBGE_2!O$1022/100</f>
        <v>20</v>
      </c>
      <c r="P1022" s="142">
        <f>B1022*IBGE_2!P$1022/100</f>
        <v>1.0999999999999999E-2</v>
      </c>
      <c r="Q1022" s="142">
        <f>B1022*IBGE_2!Q$1022/100</f>
        <v>193</v>
      </c>
      <c r="R1022" s="142">
        <f>B1022*IBGE_2!R$1022/100</f>
        <v>2.5299999999999998</v>
      </c>
      <c r="S1022" s="142">
        <f>B1022*IBGE_2!S$1022/100</f>
        <v>41</v>
      </c>
      <c r="T1022" s="142">
        <f>B1022*IBGE_2!T$1022/100</f>
        <v>252</v>
      </c>
      <c r="U1022" s="142">
        <f>B1022*IBGE_2!U$1022/100</f>
        <v>7.3999999999999996E-2</v>
      </c>
      <c r="V1022" s="142">
        <f>B1022*IBGE_2!V$1022/100</f>
        <v>5.2</v>
      </c>
      <c r="W1022" s="142" t="s">
        <v>3047</v>
      </c>
      <c r="X1022" s="142">
        <f>B1022*IBGE_2!X$1022/100</f>
        <v>7.0000000000000007E-2</v>
      </c>
      <c r="Y1022" s="142">
        <f>B1022*IBGE_2!Y$1022/100</f>
        <v>0.16300000000000001</v>
      </c>
      <c r="Z1022" s="142">
        <f>B1022*IBGE_2!Z$1022/100</f>
        <v>0.40300000000000002</v>
      </c>
      <c r="AA1022" s="142">
        <f>B1022*IBGE_2!AA$1022/100</f>
        <v>5.36</v>
      </c>
      <c r="AB1022" s="142" t="s">
        <v>3047</v>
      </c>
      <c r="AC1022" s="142">
        <f>B1022*IBGE_2!AC$1022/100</f>
        <v>8.7270000000000003</v>
      </c>
      <c r="AD1022" s="142">
        <f>B1022*IBGE_2!AD$1022/100</f>
        <v>1.71</v>
      </c>
      <c r="AE1022" s="142">
        <f>B1022*IBGE_2!AE$1022/100</f>
        <v>10</v>
      </c>
      <c r="AF1022" s="142">
        <f>B1022*IBGE_2!AF$1022/100</f>
        <v>0.6</v>
      </c>
      <c r="AG1022" s="142">
        <f>B1022*IBGE_2!AG$1022/100</f>
        <v>0.43</v>
      </c>
      <c r="AH1022" s="142">
        <f>B1022*IBGE_2!AH$1022/100</f>
        <v>0.40899999999999997</v>
      </c>
      <c r="AI1022" s="142">
        <f>B1022*IBGE_2!AI$1022/100</f>
        <v>333</v>
      </c>
      <c r="AJ1022" s="142">
        <f>B1022*IBGE_2!AJ$1022/100</f>
        <v>31.7</v>
      </c>
      <c r="AK1022" s="145" t="s">
        <v>3047</v>
      </c>
      <c r="AL1022" s="142" t="s">
        <v>3047</v>
      </c>
      <c r="AM1022" s="142" t="s">
        <v>3047</v>
      </c>
      <c r="AN1022" s="161"/>
    </row>
    <row r="1023" spans="1:40">
      <c r="A1023" s="143" t="s">
        <v>2083</v>
      </c>
      <c r="B1023" s="141">
        <v>100</v>
      </c>
      <c r="C1023" s="142">
        <f>B1023*IBGE_2!C$1023/100</f>
        <v>191</v>
      </c>
      <c r="D1023" s="142">
        <f>B1023*IBGE_2!D$1023/100</f>
        <v>29.08</v>
      </c>
      <c r="E1023" s="142">
        <f>B1023*IBGE_2!E$1023/100</f>
        <v>5.26</v>
      </c>
      <c r="F1023" s="142">
        <f>B1023*IBGE_2!F$1023/100</f>
        <v>1.696</v>
      </c>
      <c r="G1023" s="142">
        <f>B1023*IBGE_2!G$1023/100</f>
        <v>0.64700000000000002</v>
      </c>
      <c r="H1023" s="142">
        <f>B1023*IBGE_2!H$1023/100</f>
        <v>0.63900000000000001</v>
      </c>
      <c r="I1023" s="142" t="s">
        <v>3047</v>
      </c>
      <c r="J1023" s="142" t="s">
        <v>3047</v>
      </c>
      <c r="K1023" s="142">
        <f>B1023*IBGE_2!K$1023/100</f>
        <v>396</v>
      </c>
      <c r="L1023" s="142">
        <f>B1023*IBGE_2!L$1023/100</f>
        <v>5.13</v>
      </c>
      <c r="M1023" s="142" t="s">
        <v>3047</v>
      </c>
      <c r="N1023" s="142">
        <f>B1023*IBGE_2!N$1023/100</f>
        <v>6</v>
      </c>
      <c r="O1023" s="142">
        <f>B1023*IBGE_2!O$1023/100</f>
        <v>21</v>
      </c>
      <c r="P1023" s="142">
        <f>B1023*IBGE_2!P$1023/100</f>
        <v>0.35600000000000004</v>
      </c>
      <c r="Q1023" s="142">
        <f>B1023*IBGE_2!Q$1023/100</f>
        <v>497</v>
      </c>
      <c r="R1023" s="142">
        <f>B1023*IBGE_2!R$1023/100</f>
        <v>6.54</v>
      </c>
      <c r="S1023" s="142">
        <f>B1023*IBGE_2!S$1023/100</f>
        <v>79</v>
      </c>
      <c r="T1023" s="142">
        <f>B1023*IBGE_2!T$1023/100</f>
        <v>352</v>
      </c>
      <c r="U1023" s="142">
        <f>B1023*IBGE_2!U$1023/100</f>
        <v>14.282999999999999</v>
      </c>
      <c r="V1023" s="142">
        <f>B1023*IBGE_2!V$1023/100</f>
        <v>5.3</v>
      </c>
      <c r="W1023" s="142">
        <f>B1023*IBGE_2!W$1023/100</f>
        <v>9428</v>
      </c>
      <c r="X1023" s="142">
        <f>B1023*IBGE_2!X$1023/100</f>
        <v>0.19400000000000003</v>
      </c>
      <c r="Y1023" s="142">
        <f>B1023*IBGE_2!Y$1023/100</f>
        <v>3.4249999999999998</v>
      </c>
      <c r="Z1023" s="142">
        <f>B1023*IBGE_2!Z$1023/100</f>
        <v>1.0169999999999999</v>
      </c>
      <c r="AA1023" s="142">
        <f>B1023*IBGE_2!AA$1023/100</f>
        <v>17.524999999999999</v>
      </c>
      <c r="AB1023" s="142">
        <f>B1023*IBGE_2!AB$1023/100</f>
        <v>1.9</v>
      </c>
      <c r="AC1023" s="142">
        <f>B1023*IBGE_2!AC$1023/100</f>
        <v>23.658000000000001</v>
      </c>
      <c r="AD1023" s="142">
        <f>B1023*IBGE_2!AD$1023/100</f>
        <v>70.58</v>
      </c>
      <c r="AE1023" s="142">
        <f>B1023*IBGE_2!AE$1023/100</f>
        <v>253</v>
      </c>
      <c r="AF1023" s="142">
        <f>B1023*IBGE_2!AF$1023/100</f>
        <v>0.4</v>
      </c>
      <c r="AG1023" s="142">
        <f>B1023*IBGE_2!AG$1023/100</f>
        <v>0.51</v>
      </c>
      <c r="AH1023" s="142">
        <f>B1023*IBGE_2!AH$1023/100</f>
        <v>0.21</v>
      </c>
      <c r="AI1023" s="142">
        <f>B1023*IBGE_2!AI$1023/100</f>
        <v>333</v>
      </c>
      <c r="AJ1023" s="142">
        <f>B1023*IBGE_2!AJ$1023/100</f>
        <v>36.1</v>
      </c>
      <c r="AK1023" s="142">
        <f>B1023*IBGE_2!AK$1023/100</f>
        <v>9442.4169999999995</v>
      </c>
      <c r="AL1023" s="142" t="s">
        <v>3047</v>
      </c>
      <c r="AM1023" s="142" t="s">
        <v>3047</v>
      </c>
      <c r="AN1023" s="161"/>
    </row>
    <row r="1024" spans="1:40">
      <c r="A1024" s="143" t="s">
        <v>2084</v>
      </c>
      <c r="B1024" s="141">
        <v>100</v>
      </c>
      <c r="C1024" s="142">
        <f>B1024*IBGE_2!C$1024/100</f>
        <v>214</v>
      </c>
      <c r="D1024" s="142">
        <f>B1024*IBGE_2!D$1024/100</f>
        <v>28.81</v>
      </c>
      <c r="E1024" s="142">
        <f>B1024*IBGE_2!E$1024/100</f>
        <v>10.130000000000001</v>
      </c>
      <c r="F1024" s="142">
        <f>B1024*IBGE_2!F$1024/100</f>
        <v>3.54</v>
      </c>
      <c r="G1024" s="142">
        <f>B1024*IBGE_2!G$1024/100</f>
        <v>4.49</v>
      </c>
      <c r="H1024" s="142">
        <f>B1024*IBGE_2!H$1024/100</f>
        <v>0.85</v>
      </c>
      <c r="I1024" s="142">
        <f>B1024*IBGE_2!I$1024/100</f>
        <v>0.73</v>
      </c>
      <c r="J1024" s="142">
        <f>B1024*IBGE_2!J$1024/100</f>
        <v>0.02</v>
      </c>
      <c r="K1024" s="142">
        <f>B1024*IBGE_2!K$1024/100</f>
        <v>83</v>
      </c>
      <c r="L1024" s="142" t="s">
        <v>3047</v>
      </c>
      <c r="M1024" s="142" t="s">
        <v>3047</v>
      </c>
      <c r="N1024" s="142">
        <f>B1024*IBGE_2!N$1024/100</f>
        <v>6</v>
      </c>
      <c r="O1024" s="142">
        <f>B1024*IBGE_2!O$1024/100</f>
        <v>24</v>
      </c>
      <c r="P1024" s="142">
        <f>B1024*IBGE_2!P$1024/100</f>
        <v>1.0999999999999999E-2</v>
      </c>
      <c r="Q1024" s="142">
        <f>B1024*IBGE_2!Q$1024/100</f>
        <v>222</v>
      </c>
      <c r="R1024" s="142">
        <f>B1024*IBGE_2!R$1024/100</f>
        <v>1</v>
      </c>
      <c r="S1024" s="142">
        <f>B1024*IBGE_2!S$1024/100</f>
        <v>50</v>
      </c>
      <c r="T1024" s="142">
        <f>B1024*IBGE_2!T$1024/100</f>
        <v>363</v>
      </c>
      <c r="U1024" s="142">
        <f>B1024*IBGE_2!U$1024/100</f>
        <v>1.2E-2</v>
      </c>
      <c r="V1024" s="142">
        <f>B1024*IBGE_2!V$1024/100</f>
        <v>2.83</v>
      </c>
      <c r="W1024" s="142">
        <f>B1024*IBGE_2!W$1024/100</f>
        <v>2</v>
      </c>
      <c r="X1024" s="142">
        <f>B1024*IBGE_2!X$1024/100</f>
        <v>0.63900000000000001</v>
      </c>
      <c r="Y1024" s="142">
        <f>B1024*IBGE_2!Y$1024/100</f>
        <v>0.312</v>
      </c>
      <c r="Z1024" s="142">
        <f>B1024*IBGE_2!Z$1024/100</f>
        <v>0.4</v>
      </c>
      <c r="AA1024" s="142">
        <f>B1024*IBGE_2!AA$1024/100</f>
        <v>5.3550000000000004</v>
      </c>
      <c r="AB1024" s="142">
        <f>B1024*IBGE_2!AB$1024/100</f>
        <v>0.4</v>
      </c>
      <c r="AC1024" s="142">
        <f>B1024*IBGE_2!AC$1024/100</f>
        <v>11.455</v>
      </c>
      <c r="AD1024" s="142">
        <f>B1024*IBGE_2!AD$1024/100</f>
        <v>0.55000000000000004</v>
      </c>
      <c r="AE1024" s="142">
        <f>B1024*IBGE_2!AE$1024/100</f>
        <v>9</v>
      </c>
      <c r="AF1024" s="142">
        <f>B1024*IBGE_2!AF$1024/100</f>
        <v>0.8</v>
      </c>
      <c r="AG1024" s="142">
        <f>B1024*IBGE_2!AG$1024/100</f>
        <v>0.32</v>
      </c>
      <c r="AH1024" s="142">
        <f>B1024*IBGE_2!AH$1024/100</f>
        <v>0.03</v>
      </c>
      <c r="AI1024" s="142">
        <f>B1024*IBGE_2!AI$1024/100</f>
        <v>333</v>
      </c>
      <c r="AJ1024" s="142">
        <f>B1024*IBGE_2!AJ$1024/100</f>
        <v>43.2</v>
      </c>
      <c r="AK1024" s="142">
        <f>B1024*IBGE_2!AK$1024/100</f>
        <v>2</v>
      </c>
      <c r="AL1024" s="142" t="s">
        <v>3047</v>
      </c>
      <c r="AM1024" s="142" t="s">
        <v>3047</v>
      </c>
      <c r="AN1024" s="161"/>
    </row>
    <row r="1025" spans="1:40">
      <c r="A1025" s="143" t="s">
        <v>2085</v>
      </c>
      <c r="B1025" s="141">
        <v>100</v>
      </c>
      <c r="C1025" s="142">
        <f>B1025*IBGE_2!C$1025/100</f>
        <v>214</v>
      </c>
      <c r="D1025" s="142">
        <f>B1025*IBGE_2!D$1025/100</f>
        <v>28.81</v>
      </c>
      <c r="E1025" s="142">
        <f>B1025*IBGE_2!E$1025/100</f>
        <v>10.130000000000001</v>
      </c>
      <c r="F1025" s="142">
        <f>B1025*IBGE_2!F$1025/100</f>
        <v>3.54</v>
      </c>
      <c r="G1025" s="142">
        <f>B1025*IBGE_2!G$1025/100</f>
        <v>4.49</v>
      </c>
      <c r="H1025" s="142">
        <f>B1025*IBGE_2!H$1025/100</f>
        <v>0.85</v>
      </c>
      <c r="I1025" s="142">
        <f>B1025*IBGE_2!I$1025/100</f>
        <v>0.73</v>
      </c>
      <c r="J1025" s="142">
        <f>B1025*IBGE_2!J$1025/100</f>
        <v>0.02</v>
      </c>
      <c r="K1025" s="142">
        <f>B1025*IBGE_2!K$1025/100</f>
        <v>83</v>
      </c>
      <c r="L1025" s="142" t="s">
        <v>3047</v>
      </c>
      <c r="M1025" s="142" t="s">
        <v>3047</v>
      </c>
      <c r="N1025" s="142">
        <f>B1025*IBGE_2!N$1025/100</f>
        <v>6</v>
      </c>
      <c r="O1025" s="142">
        <f>B1025*IBGE_2!O$1025/100</f>
        <v>24</v>
      </c>
      <c r="P1025" s="142">
        <f>B1025*IBGE_2!P$1025/100</f>
        <v>1.0999999999999999E-2</v>
      </c>
      <c r="Q1025" s="142">
        <f>B1025*IBGE_2!Q$1025/100</f>
        <v>222</v>
      </c>
      <c r="R1025" s="142">
        <f>B1025*IBGE_2!R$1025/100</f>
        <v>1</v>
      </c>
      <c r="S1025" s="142">
        <f>B1025*IBGE_2!S$1025/100</f>
        <v>50</v>
      </c>
      <c r="T1025" s="142">
        <f>B1025*IBGE_2!T$1025/100</f>
        <v>363</v>
      </c>
      <c r="U1025" s="142">
        <f>B1025*IBGE_2!U$1025/100</f>
        <v>1.2E-2</v>
      </c>
      <c r="V1025" s="142">
        <f>B1025*IBGE_2!V$1025/100</f>
        <v>2.83</v>
      </c>
      <c r="W1025" s="142">
        <f>B1025*IBGE_2!W$1025/100</f>
        <v>2</v>
      </c>
      <c r="X1025" s="142">
        <f>B1025*IBGE_2!X$1025/100</f>
        <v>0.63900000000000001</v>
      </c>
      <c r="Y1025" s="142">
        <f>B1025*IBGE_2!Y$1025/100</f>
        <v>0.312</v>
      </c>
      <c r="Z1025" s="142">
        <f>B1025*IBGE_2!Z$1025/100</f>
        <v>0.4</v>
      </c>
      <c r="AA1025" s="142">
        <f>B1025*IBGE_2!AA$1025/100</f>
        <v>5.3550000000000004</v>
      </c>
      <c r="AB1025" s="142">
        <f>B1025*IBGE_2!AB$1025/100</f>
        <v>0.4</v>
      </c>
      <c r="AC1025" s="142">
        <f>B1025*IBGE_2!AC$1025/100</f>
        <v>11.455</v>
      </c>
      <c r="AD1025" s="142">
        <f>B1025*IBGE_2!AD$1025/100</f>
        <v>0.55000000000000004</v>
      </c>
      <c r="AE1025" s="142">
        <f>B1025*IBGE_2!AE$1025/100</f>
        <v>9</v>
      </c>
      <c r="AF1025" s="142">
        <f>B1025*IBGE_2!AF$1025/100</f>
        <v>0.8</v>
      </c>
      <c r="AG1025" s="142">
        <f>B1025*IBGE_2!AG$1025/100</f>
        <v>0.32</v>
      </c>
      <c r="AH1025" s="142">
        <f>B1025*IBGE_2!AH$1025/100</f>
        <v>0.03</v>
      </c>
      <c r="AI1025" s="142">
        <f>B1025*IBGE_2!AI$1025/100</f>
        <v>333</v>
      </c>
      <c r="AJ1025" s="142">
        <f>B1025*IBGE_2!AJ$1025/100</f>
        <v>43.2</v>
      </c>
      <c r="AK1025" s="142">
        <f>B1025*IBGE_2!AK$1025/100</f>
        <v>2</v>
      </c>
      <c r="AL1025" s="142" t="s">
        <v>3047</v>
      </c>
      <c r="AM1025" s="142" t="s">
        <v>3047</v>
      </c>
      <c r="AN1025" s="161"/>
    </row>
    <row r="1026" spans="1:40">
      <c r="A1026" s="143" t="s">
        <v>2086</v>
      </c>
      <c r="B1026" s="141">
        <v>100</v>
      </c>
      <c r="C1026" s="142">
        <f>B1026*IBGE_2!C$1026/100</f>
        <v>236.65899999999999</v>
      </c>
      <c r="D1026" s="142">
        <f>B1026*IBGE_2!D$1026/100</f>
        <v>28.81</v>
      </c>
      <c r="E1026" s="142">
        <f>B1026*IBGE_2!E$1026/100</f>
        <v>12.693</v>
      </c>
      <c r="F1026" s="142">
        <f>B1026*IBGE_2!F$1026/100</f>
        <v>3.9409999999999998</v>
      </c>
      <c r="G1026" s="142">
        <f>B1026*IBGE_2!G$1026/100</f>
        <v>5.0739999999999998</v>
      </c>
      <c r="H1026" s="142">
        <f>B1026*IBGE_2!H$1026/100</f>
        <v>2.33</v>
      </c>
      <c r="I1026" s="142">
        <f>B1026*IBGE_2!I$1026/100</f>
        <v>2.036</v>
      </c>
      <c r="J1026" s="142">
        <f>B1026*IBGE_2!J$1026/100</f>
        <v>0.19400000000000003</v>
      </c>
      <c r="K1026" s="142">
        <f>B1026*IBGE_2!K$1026/100</f>
        <v>83</v>
      </c>
      <c r="L1026" s="142" t="s">
        <v>3047</v>
      </c>
      <c r="M1026" s="142" t="s">
        <v>3047</v>
      </c>
      <c r="N1026" s="142">
        <f>B1026*IBGE_2!N$1026/100</f>
        <v>6</v>
      </c>
      <c r="O1026" s="142">
        <f>B1026*IBGE_2!O$1026/100</f>
        <v>24</v>
      </c>
      <c r="P1026" s="142">
        <f>B1026*IBGE_2!P$1026/100</f>
        <v>1.0999999999999999E-2</v>
      </c>
      <c r="Q1026" s="142">
        <f>B1026*IBGE_2!Q$1026/100</f>
        <v>222</v>
      </c>
      <c r="R1026" s="142">
        <f>B1026*IBGE_2!R$1026/100</f>
        <v>1.0009999999999999</v>
      </c>
      <c r="S1026" s="142">
        <f>B1026*IBGE_2!S$1026/100</f>
        <v>50</v>
      </c>
      <c r="T1026" s="142">
        <f>B1026*IBGE_2!T$1026/100</f>
        <v>363</v>
      </c>
      <c r="U1026" s="142">
        <f>B1026*IBGE_2!U$1026/100</f>
        <v>1.2E-2</v>
      </c>
      <c r="V1026" s="142">
        <f>B1026*IBGE_2!V$1026/100</f>
        <v>2.83</v>
      </c>
      <c r="W1026" s="142">
        <f>B1026*IBGE_2!W$1026/100</f>
        <v>2</v>
      </c>
      <c r="X1026" s="142">
        <f>B1026*IBGE_2!X$1026/100</f>
        <v>0.63900000000000001</v>
      </c>
      <c r="Y1026" s="142">
        <f>B1026*IBGE_2!Y$1026/100</f>
        <v>0.312</v>
      </c>
      <c r="Z1026" s="142">
        <f>B1026*IBGE_2!Z$1026/100</f>
        <v>0.4</v>
      </c>
      <c r="AA1026" s="142">
        <f>B1026*IBGE_2!AA$1026/100</f>
        <v>5.3550000000000004</v>
      </c>
      <c r="AB1026" s="142">
        <f>B1026*IBGE_2!AB$1026/100</f>
        <v>0.4</v>
      </c>
      <c r="AC1026" s="142">
        <f>B1026*IBGE_2!AC$1026/100</f>
        <v>11.455</v>
      </c>
      <c r="AD1026" s="142">
        <f>B1026*IBGE_2!AD$1026/100</f>
        <v>0.55000000000000004</v>
      </c>
      <c r="AE1026" s="142">
        <f>B1026*IBGE_2!AE$1026/100</f>
        <v>9</v>
      </c>
      <c r="AF1026" s="142">
        <f>B1026*IBGE_2!AF$1026/100</f>
        <v>0.8</v>
      </c>
      <c r="AG1026" s="142">
        <f>B1026*IBGE_2!AG$1026/100</f>
        <v>0.53</v>
      </c>
      <c r="AH1026" s="142">
        <f>B1026*IBGE_2!AH$1026/100</f>
        <v>4.3999999999999997E-2</v>
      </c>
      <c r="AI1026" s="142">
        <f>B1026*IBGE_2!AI$1026/100</f>
        <v>333</v>
      </c>
      <c r="AJ1026" s="142">
        <f>B1026*IBGE_2!AJ$1026/100</f>
        <v>44.375</v>
      </c>
      <c r="AK1026" s="142">
        <f>B1026*IBGE_2!AK$1026/100</f>
        <v>2</v>
      </c>
      <c r="AL1026" s="142" t="s">
        <v>3047</v>
      </c>
      <c r="AM1026" s="142" t="s">
        <v>3047</v>
      </c>
      <c r="AN1026" s="161"/>
    </row>
    <row r="1027" spans="1:40">
      <c r="A1027" s="143" t="s">
        <v>2087</v>
      </c>
      <c r="B1027" s="141">
        <v>100</v>
      </c>
      <c r="C1027" s="142">
        <f>B1027*IBGE_2!C$1027/100</f>
        <v>242</v>
      </c>
      <c r="D1027" s="142">
        <f>B1027*IBGE_2!D$1027/100</f>
        <v>24.22</v>
      </c>
      <c r="E1027" s="142">
        <f>B1027*IBGE_2!E$1027/100</f>
        <v>15.42</v>
      </c>
      <c r="F1027" s="142">
        <f>B1027*IBGE_2!F$1027/100</f>
        <v>5.7380000000000004</v>
      </c>
      <c r="G1027" s="142">
        <f>B1027*IBGE_2!G$1027/100</f>
        <v>7.0019999999999989</v>
      </c>
      <c r="H1027" s="142">
        <f>B1027*IBGE_2!H$1027/100</f>
        <v>0.61299999999999999</v>
      </c>
      <c r="I1027" s="142">
        <f>B1027*IBGE_2!I$1027/100</f>
        <v>0.41600000000000004</v>
      </c>
      <c r="J1027" s="142">
        <f>B1027*IBGE_2!J$1027/100</f>
        <v>0.16400000000000003</v>
      </c>
      <c r="K1027" s="142">
        <f>B1027*IBGE_2!K$1027/100</f>
        <v>75</v>
      </c>
      <c r="L1027" s="142" t="s">
        <v>3047</v>
      </c>
      <c r="M1027" s="142" t="s">
        <v>3047</v>
      </c>
      <c r="N1027" s="142">
        <f>B1027*IBGE_2!N$1027/100</f>
        <v>8</v>
      </c>
      <c r="O1027" s="142">
        <f>B1027*IBGE_2!O$1027/100</f>
        <v>20</v>
      </c>
      <c r="P1027" s="142">
        <f>B1027*IBGE_2!P$1027/100</f>
        <v>1E-3</v>
      </c>
      <c r="Q1027" s="142">
        <f>B1027*IBGE_2!Q$1027/100</f>
        <v>196</v>
      </c>
      <c r="R1027" s="142">
        <f>B1027*IBGE_2!R$1027/100</f>
        <v>2.81</v>
      </c>
      <c r="S1027" s="142">
        <f>B1027*IBGE_2!S$1027/100</f>
        <v>67</v>
      </c>
      <c r="T1027" s="142">
        <f>B1027*IBGE_2!T$1027/100</f>
        <v>337</v>
      </c>
      <c r="U1027" s="142">
        <f>B1027*IBGE_2!U$1027/100</f>
        <v>9.3000000000000013E-2</v>
      </c>
      <c r="V1027" s="142">
        <f>B1027*IBGE_2!V$1027/100</f>
        <v>5.71</v>
      </c>
      <c r="W1027" s="142" t="s">
        <v>3047</v>
      </c>
      <c r="X1027" s="142">
        <f>B1027*IBGE_2!X$1027/100</f>
        <v>8.1000000000000003E-2</v>
      </c>
      <c r="Y1027" s="142">
        <f>B1027*IBGE_2!Y$1027/100</f>
        <v>0.22600000000000001</v>
      </c>
      <c r="Z1027" s="142">
        <f>B1027*IBGE_2!Z$1027/100</f>
        <v>0.255</v>
      </c>
      <c r="AA1027" s="142">
        <f>B1027*IBGE_2!AA$1027/100</f>
        <v>3.2069999999999999</v>
      </c>
      <c r="AB1027" s="142" t="s">
        <v>3047</v>
      </c>
      <c r="AC1027" s="142">
        <f>B1027*IBGE_2!AC$1027/100</f>
        <v>7.5739999999999998</v>
      </c>
      <c r="AD1027" s="142">
        <f>B1027*IBGE_2!AD$1027/100</f>
        <v>2.83</v>
      </c>
      <c r="AE1027" s="142">
        <f>B1027*IBGE_2!AE$1027/100</f>
        <v>9</v>
      </c>
      <c r="AF1027" s="142">
        <f>B1027*IBGE_2!AF$1027/100</f>
        <v>0.7</v>
      </c>
      <c r="AG1027" s="142">
        <f>B1027*IBGE_2!AG$1027/100</f>
        <v>0.14000000000000001</v>
      </c>
      <c r="AH1027" s="142">
        <f>B1027*IBGE_2!AH$1027/100</f>
        <v>0.68</v>
      </c>
      <c r="AI1027" s="142">
        <f>B1027*IBGE_2!AI$1027/100</f>
        <v>333</v>
      </c>
      <c r="AJ1027" s="142">
        <f>B1027*IBGE_2!AJ$1027/100</f>
        <v>28.3</v>
      </c>
      <c r="AK1027" s="142" t="s">
        <v>3047</v>
      </c>
      <c r="AL1027" s="142" t="s">
        <v>3047</v>
      </c>
      <c r="AM1027" s="142" t="s">
        <v>3047</v>
      </c>
      <c r="AN1027" s="161"/>
    </row>
    <row r="1028" spans="1:40">
      <c r="A1028" s="143" t="s">
        <v>2088</v>
      </c>
      <c r="B1028" s="141">
        <v>100</v>
      </c>
      <c r="C1028" s="142">
        <f>B1028*IBGE_2!C$1028/100</f>
        <v>242</v>
      </c>
      <c r="D1028" s="142">
        <f>B1028*IBGE_2!D$1028/100</f>
        <v>24.22</v>
      </c>
      <c r="E1028" s="142">
        <f>B1028*IBGE_2!E$1028/100</f>
        <v>15.42</v>
      </c>
      <c r="F1028" s="142">
        <f>B1028*IBGE_2!F$1028/100</f>
        <v>5.7380000000000004</v>
      </c>
      <c r="G1028" s="142">
        <f>B1028*IBGE_2!G$1028/100</f>
        <v>7.0019999999999989</v>
      </c>
      <c r="H1028" s="142">
        <f>B1028*IBGE_2!H$1028/100</f>
        <v>0.61299999999999999</v>
      </c>
      <c r="I1028" s="142">
        <f>B1028*IBGE_2!I$1028/100</f>
        <v>0.41600000000000004</v>
      </c>
      <c r="J1028" s="142">
        <f>B1028*IBGE_2!J$1028/100</f>
        <v>0.16400000000000003</v>
      </c>
      <c r="K1028" s="142">
        <f>B1028*IBGE_2!K$1028/100</f>
        <v>75</v>
      </c>
      <c r="L1028" s="142" t="s">
        <v>3047</v>
      </c>
      <c r="M1028" s="142" t="s">
        <v>3047</v>
      </c>
      <c r="N1028" s="142">
        <f>B1028*IBGE_2!N$1028/100</f>
        <v>8</v>
      </c>
      <c r="O1028" s="142">
        <f>B1028*IBGE_2!O$1028/100</f>
        <v>20</v>
      </c>
      <c r="P1028" s="142">
        <f>B1028*IBGE_2!P$1028/100</f>
        <v>1E-3</v>
      </c>
      <c r="Q1028" s="142">
        <f>B1028*IBGE_2!Q$1028/100</f>
        <v>196</v>
      </c>
      <c r="R1028" s="142">
        <f>B1028*IBGE_2!R$1028/100</f>
        <v>2.81</v>
      </c>
      <c r="S1028" s="142">
        <f>B1028*IBGE_2!S$1028/100</f>
        <v>67</v>
      </c>
      <c r="T1028" s="142">
        <f>B1028*IBGE_2!T$1028/100</f>
        <v>337</v>
      </c>
      <c r="U1028" s="142">
        <f>B1028*IBGE_2!U$1028/100</f>
        <v>9.3000000000000013E-2</v>
      </c>
      <c r="V1028" s="142">
        <f>B1028*IBGE_2!V$1028/100</f>
        <v>5.71</v>
      </c>
      <c r="W1028" s="142" t="s">
        <v>3047</v>
      </c>
      <c r="X1028" s="142">
        <f>B1028*IBGE_2!X$1028/100</f>
        <v>8.1000000000000003E-2</v>
      </c>
      <c r="Y1028" s="142">
        <f>B1028*IBGE_2!Y$1028/100</f>
        <v>0.22600000000000001</v>
      </c>
      <c r="Z1028" s="142">
        <f>B1028*IBGE_2!Z$1028/100</f>
        <v>0.255</v>
      </c>
      <c r="AA1028" s="142">
        <f>B1028*IBGE_2!AA$1028/100</f>
        <v>3.2069999999999999</v>
      </c>
      <c r="AB1028" s="142" t="s">
        <v>3047</v>
      </c>
      <c r="AC1028" s="142">
        <f>B1028*IBGE_2!AC$1028/100</f>
        <v>7.5739999999999998</v>
      </c>
      <c r="AD1028" s="142">
        <f>B1028*IBGE_2!AD$1028/100</f>
        <v>2.83</v>
      </c>
      <c r="AE1028" s="142">
        <f>B1028*IBGE_2!AE$1028/100</f>
        <v>9</v>
      </c>
      <c r="AF1028" s="142">
        <f>B1028*IBGE_2!AF$1028/100</f>
        <v>0.7</v>
      </c>
      <c r="AG1028" s="142">
        <f>B1028*IBGE_2!AG$1028/100</f>
        <v>0.14000000000000001</v>
      </c>
      <c r="AH1028" s="142">
        <f>B1028*IBGE_2!AH$1028/100</f>
        <v>0.68</v>
      </c>
      <c r="AI1028" s="142">
        <f>B1028*IBGE_2!AI$1028/100</f>
        <v>333</v>
      </c>
      <c r="AJ1028" s="142">
        <f>B1028*IBGE_2!AJ$1028/100</f>
        <v>28.3</v>
      </c>
      <c r="AK1028" s="142" t="s">
        <v>3047</v>
      </c>
      <c r="AL1028" s="142" t="s">
        <v>3047</v>
      </c>
      <c r="AM1028" s="142" t="s">
        <v>3047</v>
      </c>
      <c r="AN1028" s="161"/>
    </row>
    <row r="1029" spans="1:40">
      <c r="A1029" s="143" t="s">
        <v>2089</v>
      </c>
      <c r="B1029" s="141">
        <v>100</v>
      </c>
      <c r="C1029" s="142">
        <f>B1029*IBGE_2!C$1029/100</f>
        <v>242</v>
      </c>
      <c r="D1029" s="142">
        <f>B1029*IBGE_2!D$1029/100</f>
        <v>24.22</v>
      </c>
      <c r="E1029" s="142">
        <f>B1029*IBGE_2!E$1029/100</f>
        <v>15.42</v>
      </c>
      <c r="F1029" s="142">
        <f>B1029*IBGE_2!F$1029/100</f>
        <v>5.7380000000000004</v>
      </c>
      <c r="G1029" s="142">
        <f>B1029*IBGE_2!G$1029/100</f>
        <v>7.0019999999999989</v>
      </c>
      <c r="H1029" s="142">
        <f>B1029*IBGE_2!H$1029/100</f>
        <v>0.61299999999999999</v>
      </c>
      <c r="I1029" s="142">
        <f>B1029*IBGE_2!I$1029/100</f>
        <v>0.41600000000000004</v>
      </c>
      <c r="J1029" s="142">
        <f>B1029*IBGE_2!J$1029/100</f>
        <v>0.16400000000000003</v>
      </c>
      <c r="K1029" s="142">
        <f>B1029*IBGE_2!K$1029/100</f>
        <v>75</v>
      </c>
      <c r="L1029" s="142" t="s">
        <v>3047</v>
      </c>
      <c r="M1029" s="142" t="s">
        <v>3047</v>
      </c>
      <c r="N1029" s="142">
        <f>B1029*IBGE_2!N$1029/100</f>
        <v>8</v>
      </c>
      <c r="O1029" s="142">
        <f>B1029*IBGE_2!O$1029/100</f>
        <v>20</v>
      </c>
      <c r="P1029" s="142">
        <f>B1029*IBGE_2!P$1029/100</f>
        <v>1E-3</v>
      </c>
      <c r="Q1029" s="142">
        <f>B1029*IBGE_2!Q$1029/100</f>
        <v>196</v>
      </c>
      <c r="R1029" s="142">
        <f>B1029*IBGE_2!R$1029/100</f>
        <v>2.81</v>
      </c>
      <c r="S1029" s="142">
        <f>B1029*IBGE_2!S$1029/100</f>
        <v>67</v>
      </c>
      <c r="T1029" s="142">
        <f>B1029*IBGE_2!T$1029/100</f>
        <v>337</v>
      </c>
      <c r="U1029" s="142">
        <f>B1029*IBGE_2!U$1029/100</f>
        <v>9.3000000000000013E-2</v>
      </c>
      <c r="V1029" s="142">
        <f>B1029*IBGE_2!V$1029/100</f>
        <v>5.71</v>
      </c>
      <c r="W1029" s="142" t="s">
        <v>3047</v>
      </c>
      <c r="X1029" s="142">
        <f>B1029*IBGE_2!X$1029/100</f>
        <v>8.1000000000000003E-2</v>
      </c>
      <c r="Y1029" s="142">
        <f>B1029*IBGE_2!Y$1029/100</f>
        <v>0.22600000000000001</v>
      </c>
      <c r="Z1029" s="142">
        <f>B1029*IBGE_2!Z$1029/100</f>
        <v>0.255</v>
      </c>
      <c r="AA1029" s="142">
        <f>B1029*IBGE_2!AA$1029/100</f>
        <v>3.2069999999999999</v>
      </c>
      <c r="AB1029" s="142" t="s">
        <v>3047</v>
      </c>
      <c r="AC1029" s="142">
        <f>B1029*IBGE_2!AC$1029/100</f>
        <v>7.5739999999999998</v>
      </c>
      <c r="AD1029" s="142">
        <f>B1029*IBGE_2!AD$1029/100</f>
        <v>2.83</v>
      </c>
      <c r="AE1029" s="142">
        <f>B1029*IBGE_2!AE$1029/100</f>
        <v>9</v>
      </c>
      <c r="AF1029" s="142">
        <f>B1029*IBGE_2!AF$1029/100</f>
        <v>0.7</v>
      </c>
      <c r="AG1029" s="142">
        <f>B1029*IBGE_2!AG$1029/100</f>
        <v>0.14000000000000001</v>
      </c>
      <c r="AH1029" s="142">
        <f>B1029*IBGE_2!AH$1029/100</f>
        <v>0.68</v>
      </c>
      <c r="AI1029" s="142">
        <f>B1029*IBGE_2!AI$1029/100</f>
        <v>333</v>
      </c>
      <c r="AJ1029" s="142">
        <f>B1029*IBGE_2!AJ$1029/100</f>
        <v>28.3</v>
      </c>
      <c r="AK1029" s="142" t="s">
        <v>3047</v>
      </c>
      <c r="AL1029" s="142" t="s">
        <v>3047</v>
      </c>
      <c r="AM1029" s="142" t="s">
        <v>3047</v>
      </c>
      <c r="AN1029" s="161"/>
    </row>
    <row r="1030" spans="1:40">
      <c r="A1030" s="143" t="s">
        <v>2090</v>
      </c>
      <c r="B1030" s="141">
        <v>100</v>
      </c>
      <c r="C1030" s="142">
        <f>B1030*IBGE_2!C$1030/100</f>
        <v>242</v>
      </c>
      <c r="D1030" s="142">
        <f>B1030*IBGE_2!D$1030/100</f>
        <v>24.22</v>
      </c>
      <c r="E1030" s="142">
        <f>B1030*IBGE_2!E$1030/100</f>
        <v>15.42</v>
      </c>
      <c r="F1030" s="142">
        <f>B1030*IBGE_2!F$1030/100</f>
        <v>5.7380000000000004</v>
      </c>
      <c r="G1030" s="142">
        <f>B1030*IBGE_2!G$1030/100</f>
        <v>7.0019999999999989</v>
      </c>
      <c r="H1030" s="142">
        <f>B1030*IBGE_2!H$1030/100</f>
        <v>0.61299999999999999</v>
      </c>
      <c r="I1030" s="142">
        <f>B1030*IBGE_2!I$1030/100</f>
        <v>0.41600000000000004</v>
      </c>
      <c r="J1030" s="142">
        <f>B1030*IBGE_2!J$1030/100</f>
        <v>0.16400000000000003</v>
      </c>
      <c r="K1030" s="142">
        <f>B1030*IBGE_2!K$1030/100</f>
        <v>75</v>
      </c>
      <c r="L1030" s="142" t="s">
        <v>3047</v>
      </c>
      <c r="M1030" s="142" t="s">
        <v>3047</v>
      </c>
      <c r="N1030" s="142">
        <f>B1030*IBGE_2!N$1030/100</f>
        <v>8</v>
      </c>
      <c r="O1030" s="142">
        <f>B1030*IBGE_2!O$1030/100</f>
        <v>20</v>
      </c>
      <c r="P1030" s="142">
        <f>B1030*IBGE_2!P$1030/100</f>
        <v>1E-3</v>
      </c>
      <c r="Q1030" s="142">
        <f>B1030*IBGE_2!Q$1030/100</f>
        <v>196</v>
      </c>
      <c r="R1030" s="142">
        <f>B1030*IBGE_2!R$1030/100</f>
        <v>2.81</v>
      </c>
      <c r="S1030" s="142">
        <f>B1030*IBGE_2!S$1030/100</f>
        <v>67</v>
      </c>
      <c r="T1030" s="142">
        <f>B1030*IBGE_2!T$1030/100</f>
        <v>337</v>
      </c>
      <c r="U1030" s="142">
        <f>B1030*IBGE_2!U$1030/100</f>
        <v>9.3000000000000013E-2</v>
      </c>
      <c r="V1030" s="142">
        <f>B1030*IBGE_2!V$1030/100</f>
        <v>5.71</v>
      </c>
      <c r="W1030" s="142" t="s">
        <v>3047</v>
      </c>
      <c r="X1030" s="142">
        <f>B1030*IBGE_2!X$1030/100</f>
        <v>8.1000000000000003E-2</v>
      </c>
      <c r="Y1030" s="142">
        <f>B1030*IBGE_2!Y$1030/100</f>
        <v>0.22600000000000001</v>
      </c>
      <c r="Z1030" s="142">
        <f>B1030*IBGE_2!Z$1030/100</f>
        <v>0.255</v>
      </c>
      <c r="AA1030" s="142">
        <f>B1030*IBGE_2!AA$1030/100</f>
        <v>3.2069999999999999</v>
      </c>
      <c r="AB1030" s="142" t="s">
        <v>3047</v>
      </c>
      <c r="AC1030" s="142">
        <f>B1030*IBGE_2!AC$1030/100</f>
        <v>7.5739999999999998</v>
      </c>
      <c r="AD1030" s="142">
        <f>B1030*IBGE_2!AD$1030/100</f>
        <v>2.83</v>
      </c>
      <c r="AE1030" s="142">
        <f>B1030*IBGE_2!AE$1030/100</f>
        <v>9</v>
      </c>
      <c r="AF1030" s="142">
        <f>B1030*IBGE_2!AF$1030/100</f>
        <v>0.7</v>
      </c>
      <c r="AG1030" s="142">
        <f>B1030*IBGE_2!AG$1030/100</f>
        <v>0.14000000000000001</v>
      </c>
      <c r="AH1030" s="142">
        <f>B1030*IBGE_2!AH$1030/100</f>
        <v>0.68</v>
      </c>
      <c r="AI1030" s="142">
        <f>B1030*IBGE_2!AI$1030/100</f>
        <v>333</v>
      </c>
      <c r="AJ1030" s="142">
        <f>B1030*IBGE_2!AJ$1030/100</f>
        <v>28.3</v>
      </c>
      <c r="AK1030" s="142" t="s">
        <v>3047</v>
      </c>
      <c r="AL1030" s="145" t="s">
        <v>3047</v>
      </c>
      <c r="AM1030" s="142" t="s">
        <v>3047</v>
      </c>
      <c r="AN1030" s="161"/>
    </row>
    <row r="1031" spans="1:40">
      <c r="A1031" s="143" t="s">
        <v>2091</v>
      </c>
      <c r="B1031" s="141">
        <v>100</v>
      </c>
      <c r="C1031" s="142">
        <f>B1031*IBGE_2!C$1031/100</f>
        <v>264.65899999999999</v>
      </c>
      <c r="D1031" s="142">
        <f>B1031*IBGE_2!D$1031/100</f>
        <v>24.22</v>
      </c>
      <c r="E1031" s="142">
        <f>B1031*IBGE_2!E$1031/100</f>
        <v>17.983000000000001</v>
      </c>
      <c r="F1031" s="142">
        <f>B1031*IBGE_2!F$1031/100</f>
        <v>6.1389999999999993</v>
      </c>
      <c r="G1031" s="142">
        <f>B1031*IBGE_2!G$1031/100</f>
        <v>7.5860000000000003</v>
      </c>
      <c r="H1031" s="142">
        <f>B1031*IBGE_2!H$1031/100</f>
        <v>2.093</v>
      </c>
      <c r="I1031" s="142">
        <f>B1031*IBGE_2!I$1031/100</f>
        <v>1.722</v>
      </c>
      <c r="J1031" s="142">
        <f>B1031*IBGE_2!J$1031/100</f>
        <v>0.33800000000000002</v>
      </c>
      <c r="K1031" s="142">
        <f>B1031*IBGE_2!K$1031/100</f>
        <v>75</v>
      </c>
      <c r="L1031" s="142" t="s">
        <v>3047</v>
      </c>
      <c r="M1031" s="142" t="s">
        <v>3047</v>
      </c>
      <c r="N1031" s="142">
        <f>B1031*IBGE_2!N$1031/100</f>
        <v>8</v>
      </c>
      <c r="O1031" s="142">
        <f>B1031*IBGE_2!O$1031/100</f>
        <v>20</v>
      </c>
      <c r="P1031" s="142">
        <f>B1031*IBGE_2!P$1031/100</f>
        <v>1E-3</v>
      </c>
      <c r="Q1031" s="142">
        <f>B1031*IBGE_2!Q$1031/100</f>
        <v>196</v>
      </c>
      <c r="R1031" s="142">
        <f>B1031*IBGE_2!R$1031/100</f>
        <v>2.8110000000000004</v>
      </c>
      <c r="S1031" s="142">
        <f>B1031*IBGE_2!S$1031/100</f>
        <v>67</v>
      </c>
      <c r="T1031" s="142">
        <f>B1031*IBGE_2!T$1031/100</f>
        <v>337</v>
      </c>
      <c r="U1031" s="142">
        <f>B1031*IBGE_2!U$1031/100</f>
        <v>9.3000000000000013E-2</v>
      </c>
      <c r="V1031" s="142">
        <f>B1031*IBGE_2!V$1031/100</f>
        <v>5.71</v>
      </c>
      <c r="W1031" s="142" t="s">
        <v>3047</v>
      </c>
      <c r="X1031" s="142">
        <f>B1031*IBGE_2!X$1031/100</f>
        <v>8.1000000000000003E-2</v>
      </c>
      <c r="Y1031" s="142">
        <f>B1031*IBGE_2!Y$1031/100</f>
        <v>0.22600000000000001</v>
      </c>
      <c r="Z1031" s="142">
        <f>B1031*IBGE_2!Z$1031/100</f>
        <v>0.255</v>
      </c>
      <c r="AA1031" s="142">
        <f>B1031*IBGE_2!AA$1031/100</f>
        <v>3.2069999999999999</v>
      </c>
      <c r="AB1031" s="142" t="s">
        <v>3047</v>
      </c>
      <c r="AC1031" s="142">
        <f>B1031*IBGE_2!AC$1031/100</f>
        <v>7.5739999999999998</v>
      </c>
      <c r="AD1031" s="142">
        <f>B1031*IBGE_2!AD$1031/100</f>
        <v>2.83</v>
      </c>
      <c r="AE1031" s="142">
        <f>B1031*IBGE_2!AE$1031/100</f>
        <v>9</v>
      </c>
      <c r="AF1031" s="142">
        <f>B1031*IBGE_2!AF$1031/100</f>
        <v>0.7</v>
      </c>
      <c r="AG1031" s="142">
        <f>B1031*IBGE_2!AG$1031/100</f>
        <v>0.35</v>
      </c>
      <c r="AH1031" s="142">
        <f>B1031*IBGE_2!AH$1031/100</f>
        <v>0.69399999999999995</v>
      </c>
      <c r="AI1031" s="142">
        <f>B1031*IBGE_2!AI$1031/100</f>
        <v>333</v>
      </c>
      <c r="AJ1031" s="142">
        <f>B1031*IBGE_2!AJ$1031/100</f>
        <v>29.475000000000001</v>
      </c>
      <c r="AK1031" s="142" t="s">
        <v>3047</v>
      </c>
      <c r="AL1031" s="145" t="s">
        <v>3047</v>
      </c>
      <c r="AM1031" s="142" t="s">
        <v>3047</v>
      </c>
      <c r="AN1031" s="161"/>
    </row>
    <row r="1032" spans="1:40">
      <c r="A1032" s="143" t="s">
        <v>2092</v>
      </c>
      <c r="B1032" s="141">
        <v>100</v>
      </c>
      <c r="C1032" s="142">
        <f>B1032*IBGE_2!C$1032/100</f>
        <v>280.83699999999999</v>
      </c>
      <c r="D1032" s="142">
        <f>B1032*IBGE_2!D$1032/100</f>
        <v>24.678999999999995</v>
      </c>
      <c r="E1032" s="142">
        <f>B1032*IBGE_2!E$1032/100</f>
        <v>18.027000000000001</v>
      </c>
      <c r="F1032" s="142">
        <f>B1032*IBGE_2!F$1032/100</f>
        <v>6.1459999999999999</v>
      </c>
      <c r="G1032" s="142">
        <f>B1032*IBGE_2!G$1032/100</f>
        <v>7.59</v>
      </c>
      <c r="H1032" s="142">
        <f>B1032*IBGE_2!H$1032/100</f>
        <v>2.1110000000000002</v>
      </c>
      <c r="I1032" s="142">
        <f>B1032*IBGE_2!I$1032/100</f>
        <v>1.7390000000000001</v>
      </c>
      <c r="J1032" s="142">
        <f>B1032*IBGE_2!J$1032/100</f>
        <v>0.33900000000000008</v>
      </c>
      <c r="K1032" s="142">
        <f>B1032*IBGE_2!K$1032/100</f>
        <v>75</v>
      </c>
      <c r="L1032" s="142">
        <f>B1032*IBGE_2!L$1032/100</f>
        <v>3.3919999999999999</v>
      </c>
      <c r="M1032" s="142">
        <f>B1032*IBGE_2!M$1032/100</f>
        <v>0.13500000000000001</v>
      </c>
      <c r="N1032" s="142">
        <f>B1032*IBGE_2!N$1032/100</f>
        <v>8.6669999999999998</v>
      </c>
      <c r="O1032" s="142">
        <f>B1032*IBGE_2!O$1032/100</f>
        <v>20.978000000000002</v>
      </c>
      <c r="P1032" s="142">
        <f>B1032*IBGE_2!P$1032/100</f>
        <v>3.1E-2</v>
      </c>
      <c r="Q1032" s="142">
        <f>B1032*IBGE_2!Q$1032/100</f>
        <v>200.8</v>
      </c>
      <c r="R1032" s="142">
        <f>B1032*IBGE_2!R$1032/100</f>
        <v>3.0179999999999993</v>
      </c>
      <c r="S1032" s="142">
        <f>B1032*IBGE_2!S$1032/100</f>
        <v>67.088999999999999</v>
      </c>
      <c r="T1032" s="142">
        <f>B1032*IBGE_2!T$1032/100</f>
        <v>341.75599999999997</v>
      </c>
      <c r="U1032" s="142">
        <f>B1032*IBGE_2!U$1032/100</f>
        <v>9.9000000000000005E-2</v>
      </c>
      <c r="V1032" s="142">
        <f>B1032*IBGE_2!V$1032/100</f>
        <v>5.7409999999999988</v>
      </c>
      <c r="W1032" s="142" t="s">
        <v>3047</v>
      </c>
      <c r="X1032" s="142">
        <f>B1032*IBGE_2!X$1032/100</f>
        <v>0.11600000000000002</v>
      </c>
      <c r="Y1032" s="142">
        <f>B1032*IBGE_2!Y$1032/100</f>
        <v>0.248</v>
      </c>
      <c r="Z1032" s="142">
        <f>B1032*IBGE_2!Z$1032/100</f>
        <v>0.25700000000000001</v>
      </c>
      <c r="AA1032" s="142">
        <f>B1032*IBGE_2!AA$1032/100</f>
        <v>3.4689999999999999</v>
      </c>
      <c r="AB1032" s="142" t="s">
        <v>3047</v>
      </c>
      <c r="AC1032" s="142">
        <f>B1032*IBGE_2!AC$1032/100</f>
        <v>7.93</v>
      </c>
      <c r="AD1032" s="142">
        <f>B1032*IBGE_2!AD$1032/100</f>
        <v>2.83</v>
      </c>
      <c r="AE1032" s="142">
        <f>B1032*IBGE_2!AE$1032/100</f>
        <v>18.067</v>
      </c>
      <c r="AF1032" s="142">
        <f>B1032*IBGE_2!AF$1032/100</f>
        <v>0.7</v>
      </c>
      <c r="AG1032" s="142">
        <f>B1032*IBGE_2!AG$1032/100</f>
        <v>0.35199999999999998</v>
      </c>
      <c r="AH1032" s="142">
        <f>B1032*IBGE_2!AH$1032/100</f>
        <v>0.69399999999999995</v>
      </c>
      <c r="AI1032" s="142">
        <f>B1032*IBGE_2!AI$1032/100</f>
        <v>333</v>
      </c>
      <c r="AJ1032" s="142">
        <f>B1032*IBGE_2!AJ$1032/100</f>
        <v>30.981000000000005</v>
      </c>
      <c r="AK1032" s="142" t="s">
        <v>3047</v>
      </c>
      <c r="AL1032" s="142">
        <f>B1032*IBGE_2!AL$1032/100</f>
        <v>1.4000000000000002E-2</v>
      </c>
      <c r="AM1032" s="142" t="s">
        <v>3047</v>
      </c>
      <c r="AN1032" s="161"/>
    </row>
    <row r="1033" spans="1:40">
      <c r="A1033" s="143" t="s">
        <v>2093</v>
      </c>
      <c r="B1033" s="141">
        <v>100</v>
      </c>
      <c r="C1033" s="142">
        <f>B1033*IBGE_2!C$1033/100</f>
        <v>264.65899999999999</v>
      </c>
      <c r="D1033" s="142">
        <f>B1033*IBGE_2!D$1033/100</f>
        <v>24.22</v>
      </c>
      <c r="E1033" s="142">
        <f>B1033*IBGE_2!E$1033/100</f>
        <v>17.983000000000001</v>
      </c>
      <c r="F1033" s="142">
        <f>B1033*IBGE_2!F$1033/100</f>
        <v>6.1389999999999993</v>
      </c>
      <c r="G1033" s="142">
        <f>B1033*IBGE_2!G$1033/100</f>
        <v>7.5860000000000003</v>
      </c>
      <c r="H1033" s="142">
        <f>B1033*IBGE_2!H$1033/100</f>
        <v>2.093</v>
      </c>
      <c r="I1033" s="142">
        <f>B1033*IBGE_2!I$1033/100</f>
        <v>1.722</v>
      </c>
      <c r="J1033" s="142">
        <f>B1033*IBGE_2!J$1033/100</f>
        <v>0.33800000000000002</v>
      </c>
      <c r="K1033" s="142">
        <f>B1033*IBGE_2!K$1033/100</f>
        <v>75</v>
      </c>
      <c r="L1033" s="142" t="s">
        <v>3047</v>
      </c>
      <c r="M1033" s="142" t="s">
        <v>3047</v>
      </c>
      <c r="N1033" s="142">
        <f>B1033*IBGE_2!N$1033/100</f>
        <v>8</v>
      </c>
      <c r="O1033" s="142">
        <f>B1033*IBGE_2!O$1033/100</f>
        <v>20</v>
      </c>
      <c r="P1033" s="142">
        <f>B1033*IBGE_2!P$1033/100</f>
        <v>1E-3</v>
      </c>
      <c r="Q1033" s="142">
        <f>B1033*IBGE_2!Q$1033/100</f>
        <v>196</v>
      </c>
      <c r="R1033" s="142">
        <f>B1033*IBGE_2!R$1033/100</f>
        <v>2.8110000000000004</v>
      </c>
      <c r="S1033" s="142">
        <f>B1033*IBGE_2!S$1033/100</f>
        <v>67</v>
      </c>
      <c r="T1033" s="142">
        <f>B1033*IBGE_2!T$1033/100</f>
        <v>337</v>
      </c>
      <c r="U1033" s="142">
        <f>B1033*IBGE_2!U$1033/100</f>
        <v>9.3000000000000013E-2</v>
      </c>
      <c r="V1033" s="142">
        <f>B1033*IBGE_2!V$1033/100</f>
        <v>5.71</v>
      </c>
      <c r="W1033" s="142" t="s">
        <v>3047</v>
      </c>
      <c r="X1033" s="142">
        <f>B1033*IBGE_2!X$1033/100</f>
        <v>8.1000000000000003E-2</v>
      </c>
      <c r="Y1033" s="142">
        <f>B1033*IBGE_2!Y$1033/100</f>
        <v>0.22600000000000001</v>
      </c>
      <c r="Z1033" s="142">
        <f>B1033*IBGE_2!Z$1033/100</f>
        <v>0.255</v>
      </c>
      <c r="AA1033" s="142">
        <f>B1033*IBGE_2!AA$1033/100</f>
        <v>3.2069999999999999</v>
      </c>
      <c r="AB1033" s="142" t="s">
        <v>3047</v>
      </c>
      <c r="AC1033" s="142">
        <f>B1033*IBGE_2!AC$1033/100</f>
        <v>7.5739999999999998</v>
      </c>
      <c r="AD1033" s="142">
        <f>B1033*IBGE_2!AD$1033/100</f>
        <v>2.83</v>
      </c>
      <c r="AE1033" s="142">
        <f>B1033*IBGE_2!AE$1033/100</f>
        <v>9</v>
      </c>
      <c r="AF1033" s="142">
        <f>B1033*IBGE_2!AF$1033/100</f>
        <v>0.7</v>
      </c>
      <c r="AG1033" s="142">
        <f>B1033*IBGE_2!AG$1033/100</f>
        <v>0.35</v>
      </c>
      <c r="AH1033" s="142">
        <f>B1033*IBGE_2!AH$1033/100</f>
        <v>0.69399999999999995</v>
      </c>
      <c r="AI1033" s="142">
        <f>B1033*IBGE_2!AI$1033/100</f>
        <v>333</v>
      </c>
      <c r="AJ1033" s="142">
        <f>B1033*IBGE_2!AJ$1033/100</f>
        <v>29.475000000000001</v>
      </c>
      <c r="AK1033" s="142" t="s">
        <v>3047</v>
      </c>
      <c r="AL1033" s="145" t="s">
        <v>3047</v>
      </c>
      <c r="AM1033" s="142" t="s">
        <v>3047</v>
      </c>
      <c r="AN1033" s="161"/>
    </row>
    <row r="1034" spans="1:40">
      <c r="A1034" s="143" t="s">
        <v>2094</v>
      </c>
      <c r="B1034" s="141">
        <v>100</v>
      </c>
      <c r="C1034" s="142">
        <f>B1034*IBGE_2!C$1034/100</f>
        <v>198.4</v>
      </c>
      <c r="D1034" s="142">
        <f>B1034*IBGE_2!D$1034/100</f>
        <v>19.64</v>
      </c>
      <c r="E1034" s="142">
        <f>B1034*IBGE_2!E$1034/100</f>
        <v>12.372</v>
      </c>
      <c r="F1034" s="142">
        <f>B1034*IBGE_2!F$1034/100</f>
        <v>4.5949999999999998</v>
      </c>
      <c r="G1034" s="142">
        <f>B1034*IBGE_2!G$1034/100</f>
        <v>5.6070000000000002</v>
      </c>
      <c r="H1034" s="142">
        <f>B1034*IBGE_2!H$1034/100</f>
        <v>0.505</v>
      </c>
      <c r="I1034" s="142">
        <f>B1034*IBGE_2!I$1034/100</f>
        <v>0.34699999999999998</v>
      </c>
      <c r="J1034" s="142">
        <f>B1034*IBGE_2!J$1034/100</f>
        <v>0.13200000000000001</v>
      </c>
      <c r="K1034" s="142">
        <f>B1034*IBGE_2!K$1034/100</f>
        <v>60</v>
      </c>
      <c r="L1034" s="142">
        <f>B1034*IBGE_2!L$1034/100</f>
        <v>1.0760000000000001</v>
      </c>
      <c r="M1034" s="142">
        <f>B1034*IBGE_2!M$1034/100</f>
        <v>0.3</v>
      </c>
      <c r="N1034" s="142">
        <f>B1034*IBGE_2!N$1034/100</f>
        <v>9</v>
      </c>
      <c r="O1034" s="142">
        <f>B1034*IBGE_2!O$1034/100</f>
        <v>19.2</v>
      </c>
      <c r="P1034" s="142">
        <f>B1034*IBGE_2!P$1034/100</f>
        <v>2.1999999999999999E-2</v>
      </c>
      <c r="Q1034" s="142">
        <f>B1034*IBGE_2!Q$1034/100</f>
        <v>162</v>
      </c>
      <c r="R1034" s="142">
        <f>B1034*IBGE_2!R$1034/100</f>
        <v>2.452</v>
      </c>
      <c r="S1034" s="142">
        <f>B1034*IBGE_2!S$1034/100</f>
        <v>158.4</v>
      </c>
      <c r="T1034" s="142">
        <f>B1034*IBGE_2!T$1034/100</f>
        <v>335.8</v>
      </c>
      <c r="U1034" s="142">
        <f>B1034*IBGE_2!U$1034/100</f>
        <v>9.8000000000000004E-2</v>
      </c>
      <c r="V1034" s="142">
        <f>B1034*IBGE_2!V$1034/100</f>
        <v>4.6079999999999997</v>
      </c>
      <c r="W1034" s="142" t="s">
        <v>3047</v>
      </c>
      <c r="X1034" s="142">
        <f>B1034*IBGE_2!X$1034/100</f>
        <v>7.0000000000000007E-2</v>
      </c>
      <c r="Y1034" s="142">
        <f>B1034*IBGE_2!Y$1034/100</f>
        <v>0.19400000000000003</v>
      </c>
      <c r="Z1034" s="142">
        <f>B1034*IBGE_2!Z$1034/100</f>
        <v>0.223</v>
      </c>
      <c r="AA1034" s="142">
        <f>B1034*IBGE_2!AA$1034/100</f>
        <v>2.7610000000000001</v>
      </c>
      <c r="AB1034" s="142">
        <f>B1034*IBGE_2!AB$1034/100</f>
        <v>1.4</v>
      </c>
      <c r="AC1034" s="142">
        <f>B1034*IBGE_2!AC$1034/100</f>
        <v>6.2870000000000008</v>
      </c>
      <c r="AD1034" s="142">
        <f>B1034*IBGE_2!AD$1034/100</f>
        <v>2.2639999999999998</v>
      </c>
      <c r="AE1034" s="142">
        <f>B1034*IBGE_2!AE$1034/100</f>
        <v>9.4</v>
      </c>
      <c r="AF1034" s="142">
        <f>B1034*IBGE_2!AF$1034/100</f>
        <v>0.56000000000000005</v>
      </c>
      <c r="AG1034" s="142">
        <f>B1034*IBGE_2!AG$1034/100</f>
        <v>0.39600000000000002</v>
      </c>
      <c r="AH1034" s="142">
        <f>B1034*IBGE_2!AH$1034/100</f>
        <v>0.54400000000000004</v>
      </c>
      <c r="AI1034" s="142">
        <f>B1034*IBGE_2!AI$1034/100</f>
        <v>333</v>
      </c>
      <c r="AJ1034" s="142">
        <f>B1034*IBGE_2!AJ$1034/100</f>
        <v>22.68</v>
      </c>
      <c r="AK1034" s="142">
        <f>B1034*IBGE_2!AK$1034/100</f>
        <v>3.4830000000000001</v>
      </c>
      <c r="AL1034" s="142">
        <f>B1034*IBGE_2!AL$1034/100</f>
        <v>0.85</v>
      </c>
      <c r="AM1034" s="142" t="s">
        <v>3047</v>
      </c>
      <c r="AN1034" s="161"/>
    </row>
    <row r="1035" spans="1:40">
      <c r="A1035" s="143" t="s">
        <v>2095</v>
      </c>
      <c r="B1035" s="141">
        <v>100</v>
      </c>
      <c r="C1035" s="142">
        <f>B1035*IBGE_2!C$1035/100</f>
        <v>226.19</v>
      </c>
      <c r="D1035" s="142">
        <f>B1035*IBGE_2!D$1035/100</f>
        <v>20.155000000000001</v>
      </c>
      <c r="E1035" s="142">
        <f>B1035*IBGE_2!E$1035/100</f>
        <v>14.824999999999999</v>
      </c>
      <c r="F1035" s="142">
        <f>B1035*IBGE_2!F$1035/100</f>
        <v>6.1230000000000011</v>
      </c>
      <c r="G1035" s="142">
        <f>B1035*IBGE_2!G$1035/100</f>
        <v>6.2389999999999999</v>
      </c>
      <c r="H1035" s="142">
        <f>B1035*IBGE_2!H$1035/100</f>
        <v>0.60299999999999998</v>
      </c>
      <c r="I1035" s="142">
        <f>B1035*IBGE_2!I$1035/100</f>
        <v>0.42299999999999999</v>
      </c>
      <c r="J1035" s="142">
        <f>B1035*IBGE_2!J$1035/100</f>
        <v>0.153</v>
      </c>
      <c r="K1035" s="142">
        <f>B1035*IBGE_2!K$1035/100</f>
        <v>66.832999999999998</v>
      </c>
      <c r="L1035" s="142">
        <f>B1035*IBGE_2!L$1035/100</f>
        <v>1.851</v>
      </c>
      <c r="M1035" s="142">
        <f>B1035*IBGE_2!M$1035/100</f>
        <v>4.2999999999999997E-2</v>
      </c>
      <c r="N1035" s="142">
        <f>B1035*IBGE_2!N$1035/100</f>
        <v>29.279</v>
      </c>
      <c r="O1035" s="142">
        <f>B1035*IBGE_2!O$1035/100</f>
        <v>18.312000000000001</v>
      </c>
      <c r="P1035" s="142">
        <f>B1035*IBGE_2!P$1035/100</f>
        <v>1.0999999999999999E-2</v>
      </c>
      <c r="Q1035" s="142">
        <f>B1035*IBGE_2!Q$1035/100</f>
        <v>176.49299999999999</v>
      </c>
      <c r="R1035" s="142">
        <f>B1035*IBGE_2!R$1035/100</f>
        <v>2.3180000000000001</v>
      </c>
      <c r="S1035" s="142">
        <f>B1035*IBGE_2!S$1035/100</f>
        <v>74.516999999999996</v>
      </c>
      <c r="T1035" s="142">
        <f>B1035*IBGE_2!T$1035/100</f>
        <v>299.654</v>
      </c>
      <c r="U1035" s="142">
        <f>B1035*IBGE_2!U$1035/100</f>
        <v>7.9000000000000001E-2</v>
      </c>
      <c r="V1035" s="142">
        <f>B1035*IBGE_2!V$1035/100</f>
        <v>4.657</v>
      </c>
      <c r="W1035" s="142">
        <f>B1035*IBGE_2!W$1035/100</f>
        <v>20.696999999999999</v>
      </c>
      <c r="X1035" s="142">
        <f>B1035*IBGE_2!X$1035/100</f>
        <v>8.3000000000000004E-2</v>
      </c>
      <c r="Y1035" s="142">
        <f>B1035*IBGE_2!Y$1035/100</f>
        <v>0.22400000000000003</v>
      </c>
      <c r="Z1035" s="142">
        <f>B1035*IBGE_2!Z$1035/100</f>
        <v>0.21199999999999999</v>
      </c>
      <c r="AA1035" s="142">
        <f>B1035*IBGE_2!AA$1035/100</f>
        <v>2.661</v>
      </c>
      <c r="AB1035" s="142">
        <f>B1035*IBGE_2!AB$1035/100</f>
        <v>4.0000000000000001E-3</v>
      </c>
      <c r="AC1035" s="142">
        <f>B1035*IBGE_2!AC$1035/100</f>
        <v>6.43</v>
      </c>
      <c r="AD1035" s="142">
        <f>B1035*IBGE_2!AD$1035/100</f>
        <v>2.3540000000000001</v>
      </c>
      <c r="AE1035" s="142">
        <f>B1035*IBGE_2!AE$1035/100</f>
        <v>10.795999999999999</v>
      </c>
      <c r="AF1035" s="142">
        <f>B1035*IBGE_2!AF$1035/100</f>
        <v>0.78700000000000003</v>
      </c>
      <c r="AG1035" s="142">
        <f>B1035*IBGE_2!AG$1035/100</f>
        <v>0.17699999999999999</v>
      </c>
      <c r="AH1035" s="142">
        <f>B1035*IBGE_2!AH$1035/100</f>
        <v>0.6409999999999999</v>
      </c>
      <c r="AI1035" s="142">
        <f>B1035*IBGE_2!AI$1035/100</f>
        <v>333</v>
      </c>
      <c r="AJ1035" s="142">
        <f>B1035*IBGE_2!AJ$1035/100</f>
        <v>23.809000000000001</v>
      </c>
      <c r="AK1035" s="142">
        <f>B1035*IBGE_2!AK$1035/100</f>
        <v>21.081</v>
      </c>
      <c r="AL1035" s="142">
        <f>B1035*IBGE_2!AL$1035/100</f>
        <v>1.0329999999999999</v>
      </c>
      <c r="AM1035" s="142" t="s">
        <v>3047</v>
      </c>
      <c r="AN1035" s="161"/>
    </row>
    <row r="1036" spans="1:40">
      <c r="A1036" s="143" t="s">
        <v>2096</v>
      </c>
      <c r="B1036" s="141">
        <v>100</v>
      </c>
      <c r="C1036" s="142">
        <f>B1036*IBGE_2!C$1036/100</f>
        <v>261.137</v>
      </c>
      <c r="D1036" s="142">
        <f>B1036*IBGE_2!D$1036/100</f>
        <v>24.242999999999999</v>
      </c>
      <c r="E1036" s="142">
        <f>B1036*IBGE_2!E$1036/100</f>
        <v>17.585000000000001</v>
      </c>
      <c r="F1036" s="142">
        <f>B1036*IBGE_2!F$1036/100</f>
        <v>7.109</v>
      </c>
      <c r="G1036" s="142">
        <f>B1036*IBGE_2!G$1036/100</f>
        <v>7.5629999999999997</v>
      </c>
      <c r="H1036" s="142">
        <f>B1036*IBGE_2!H$1036/100</f>
        <v>0.69399999999999995</v>
      </c>
      <c r="I1036" s="142">
        <f>B1036*IBGE_2!I$1036/100</f>
        <v>0.48899999999999999</v>
      </c>
      <c r="J1036" s="142">
        <f>B1036*IBGE_2!J$1036/100</f>
        <v>0.17199999999999999</v>
      </c>
      <c r="K1036" s="142">
        <f>B1036*IBGE_2!K$1036/100</f>
        <v>80.738</v>
      </c>
      <c r="L1036" s="142">
        <f>B1036*IBGE_2!L$1036/100</f>
        <v>2E-3</v>
      </c>
      <c r="M1036" s="142" t="s">
        <v>3047</v>
      </c>
      <c r="N1036" s="142">
        <f>B1036*IBGE_2!N$1036/100</f>
        <v>8.641</v>
      </c>
      <c r="O1036" s="142">
        <f>B1036*IBGE_2!O$1036/100</f>
        <v>20.053000000000001</v>
      </c>
      <c r="P1036" s="142">
        <f>B1036*IBGE_2!P$1036/100</f>
        <v>1E-3</v>
      </c>
      <c r="Q1036" s="142">
        <f>B1036*IBGE_2!Q$1036/100</f>
        <v>196.64099999999999</v>
      </c>
      <c r="R1036" s="142">
        <f>B1036*IBGE_2!R$1036/100</f>
        <v>2.8110000000000004</v>
      </c>
      <c r="S1036" s="142">
        <f>B1036*IBGE_2!S$1036/100</f>
        <v>82.373999999999995</v>
      </c>
      <c r="T1036" s="142">
        <f>B1036*IBGE_2!T$1036/100</f>
        <v>337.64099999999996</v>
      </c>
      <c r="U1036" s="142">
        <f>B1036*IBGE_2!U$1036/100</f>
        <v>9.3000000000000013E-2</v>
      </c>
      <c r="V1036" s="142">
        <f>B1036*IBGE_2!V$1036/100</f>
        <v>5.7119999999999997</v>
      </c>
      <c r="W1036" s="142">
        <f>B1036*IBGE_2!W$1036/100</f>
        <v>17.908999999999999</v>
      </c>
      <c r="X1036" s="142">
        <f>B1036*IBGE_2!X$1036/100</f>
        <v>8.1000000000000003E-2</v>
      </c>
      <c r="Y1036" s="142">
        <f>B1036*IBGE_2!Y$1036/100</f>
        <v>0.22699999999999998</v>
      </c>
      <c r="Z1036" s="142">
        <f>B1036*IBGE_2!Z$1036/100</f>
        <v>0.255</v>
      </c>
      <c r="AA1036" s="142">
        <f>B1036*IBGE_2!AA$1036/100</f>
        <v>3.2080000000000002</v>
      </c>
      <c r="AB1036" s="142" t="s">
        <v>3047</v>
      </c>
      <c r="AC1036" s="142">
        <f>B1036*IBGE_2!AC$1036/100</f>
        <v>7.58</v>
      </c>
      <c r="AD1036" s="142">
        <f>B1036*IBGE_2!AD$1036/100</f>
        <v>2.835</v>
      </c>
      <c r="AE1036" s="142">
        <f>B1036*IBGE_2!AE$1036/100</f>
        <v>9.08</v>
      </c>
      <c r="AF1036" s="142">
        <f>B1036*IBGE_2!AF$1036/100</f>
        <v>0.73699999999999999</v>
      </c>
      <c r="AG1036" s="142">
        <f>B1036*IBGE_2!AG$1036/100</f>
        <v>0.20200000000000004</v>
      </c>
      <c r="AH1036" s="142">
        <f>B1036*IBGE_2!AH$1036/100</f>
        <v>0.76700000000000002</v>
      </c>
      <c r="AI1036" s="142">
        <f>B1036*IBGE_2!AI$1036/100</f>
        <v>333</v>
      </c>
      <c r="AJ1036" s="142">
        <f>B1036*IBGE_2!AJ$1036/100</f>
        <v>28.327000000000002</v>
      </c>
      <c r="AK1036" s="142">
        <f>B1036*IBGE_2!AK$1036/100</f>
        <v>18.260999999999999</v>
      </c>
      <c r="AL1036" s="142">
        <f>B1036*IBGE_2!AL$1036/100</f>
        <v>3.0000000000000001E-3</v>
      </c>
      <c r="AM1036" s="142" t="s">
        <v>3047</v>
      </c>
      <c r="AN1036" s="161"/>
    </row>
    <row r="1037" spans="1:40">
      <c r="A1037" s="143" t="s">
        <v>2097</v>
      </c>
      <c r="B1037" s="141">
        <v>100</v>
      </c>
      <c r="C1037" s="142">
        <f>B1037*IBGE_2!C$1037/100</f>
        <v>261.137</v>
      </c>
      <c r="D1037" s="142">
        <f>B1037*IBGE_2!D$1037/100</f>
        <v>24.242999999999999</v>
      </c>
      <c r="E1037" s="142">
        <f>B1037*IBGE_2!E$1037/100</f>
        <v>17.585000000000001</v>
      </c>
      <c r="F1037" s="142">
        <f>B1037*IBGE_2!F$1037/100</f>
        <v>7.109</v>
      </c>
      <c r="G1037" s="142">
        <f>B1037*IBGE_2!G$1037/100</f>
        <v>7.5629999999999997</v>
      </c>
      <c r="H1037" s="142">
        <f>B1037*IBGE_2!H$1037/100</f>
        <v>0.69399999999999995</v>
      </c>
      <c r="I1037" s="142">
        <f>B1037*IBGE_2!I$1037/100</f>
        <v>0.48899999999999999</v>
      </c>
      <c r="J1037" s="142">
        <f>B1037*IBGE_2!J$1037/100</f>
        <v>0.17199999999999999</v>
      </c>
      <c r="K1037" s="142">
        <f>B1037*IBGE_2!K$1037/100</f>
        <v>80.738</v>
      </c>
      <c r="L1037" s="142">
        <f>B1037*IBGE_2!L$1037/100</f>
        <v>2E-3</v>
      </c>
      <c r="M1037" s="142" t="s">
        <v>3047</v>
      </c>
      <c r="N1037" s="142">
        <f>B1037*IBGE_2!N$1037/100</f>
        <v>8.641</v>
      </c>
      <c r="O1037" s="142">
        <f>B1037*IBGE_2!O$1037/100</f>
        <v>20.053000000000001</v>
      </c>
      <c r="P1037" s="142">
        <f>B1037*IBGE_2!P$1037/100</f>
        <v>1E-3</v>
      </c>
      <c r="Q1037" s="142">
        <f>B1037*IBGE_2!Q$1037/100</f>
        <v>196.64099999999999</v>
      </c>
      <c r="R1037" s="142">
        <f>B1037*IBGE_2!R$1037/100</f>
        <v>2.8110000000000004</v>
      </c>
      <c r="S1037" s="142">
        <f>B1037*IBGE_2!S$1037/100</f>
        <v>82.373999999999995</v>
      </c>
      <c r="T1037" s="142">
        <f>B1037*IBGE_2!T$1037/100</f>
        <v>337.64099999999996</v>
      </c>
      <c r="U1037" s="142">
        <f>B1037*IBGE_2!U$1037/100</f>
        <v>9.3000000000000013E-2</v>
      </c>
      <c r="V1037" s="142">
        <f>B1037*IBGE_2!V$1037/100</f>
        <v>5.7119999999999997</v>
      </c>
      <c r="W1037" s="142">
        <f>B1037*IBGE_2!W$1037/100</f>
        <v>17.908999999999999</v>
      </c>
      <c r="X1037" s="142">
        <f>B1037*IBGE_2!X$1037/100</f>
        <v>8.1000000000000003E-2</v>
      </c>
      <c r="Y1037" s="142">
        <f>B1037*IBGE_2!Y$1037/100</f>
        <v>0.22699999999999998</v>
      </c>
      <c r="Z1037" s="142">
        <f>B1037*IBGE_2!Z$1037/100</f>
        <v>0.255</v>
      </c>
      <c r="AA1037" s="142">
        <f>B1037*IBGE_2!AA$1037/100</f>
        <v>3.2080000000000002</v>
      </c>
      <c r="AB1037" s="142" t="s">
        <v>3047</v>
      </c>
      <c r="AC1037" s="142">
        <f>B1037*IBGE_2!AC$1037/100</f>
        <v>7.58</v>
      </c>
      <c r="AD1037" s="142">
        <f>B1037*IBGE_2!AD$1037/100</f>
        <v>2.835</v>
      </c>
      <c r="AE1037" s="142">
        <f>B1037*IBGE_2!AE$1037/100</f>
        <v>9.08</v>
      </c>
      <c r="AF1037" s="142">
        <f>B1037*IBGE_2!AF$1037/100</f>
        <v>0.73699999999999999</v>
      </c>
      <c r="AG1037" s="142">
        <f>B1037*IBGE_2!AG$1037/100</f>
        <v>0.20200000000000004</v>
      </c>
      <c r="AH1037" s="142">
        <f>B1037*IBGE_2!AH$1037/100</f>
        <v>0.76700000000000002</v>
      </c>
      <c r="AI1037" s="142">
        <f>B1037*IBGE_2!AI$1037/100</f>
        <v>333</v>
      </c>
      <c r="AJ1037" s="142">
        <f>B1037*IBGE_2!AJ$1037/100</f>
        <v>28.327000000000002</v>
      </c>
      <c r="AK1037" s="142">
        <f>B1037*IBGE_2!AK$1037/100</f>
        <v>18.260999999999999</v>
      </c>
      <c r="AL1037" s="142">
        <f>B1037*IBGE_2!AL$1037/100</f>
        <v>3.0000000000000001E-3</v>
      </c>
      <c r="AM1037" s="142" t="s">
        <v>3047</v>
      </c>
      <c r="AN1037" s="161"/>
    </row>
    <row r="1038" spans="1:40">
      <c r="A1038" s="143" t="s">
        <v>2098</v>
      </c>
      <c r="B1038" s="141">
        <v>100</v>
      </c>
      <c r="C1038" s="142">
        <f>B1038*IBGE_2!C$1038/100</f>
        <v>242</v>
      </c>
      <c r="D1038" s="142">
        <f>B1038*IBGE_2!D$1038/100</f>
        <v>24.22</v>
      </c>
      <c r="E1038" s="142">
        <f>B1038*IBGE_2!E$1038/100</f>
        <v>15.42</v>
      </c>
      <c r="F1038" s="142">
        <f>B1038*IBGE_2!F$1038/100</f>
        <v>5.7380000000000004</v>
      </c>
      <c r="G1038" s="142">
        <f>B1038*IBGE_2!G$1038/100</f>
        <v>7.0019999999999989</v>
      </c>
      <c r="H1038" s="142">
        <f>B1038*IBGE_2!H$1038/100</f>
        <v>0.61299999999999999</v>
      </c>
      <c r="I1038" s="142">
        <f>B1038*IBGE_2!I$1038/100</f>
        <v>0.41600000000000004</v>
      </c>
      <c r="J1038" s="142">
        <f>B1038*IBGE_2!J$1038/100</f>
        <v>0.16400000000000003</v>
      </c>
      <c r="K1038" s="142">
        <f>B1038*IBGE_2!K$1038/100</f>
        <v>75</v>
      </c>
      <c r="L1038" s="142" t="s">
        <v>3047</v>
      </c>
      <c r="M1038" s="142" t="s">
        <v>3047</v>
      </c>
      <c r="N1038" s="142">
        <f>B1038*IBGE_2!N$1038/100</f>
        <v>8</v>
      </c>
      <c r="O1038" s="142">
        <f>B1038*IBGE_2!O$1038/100</f>
        <v>20</v>
      </c>
      <c r="P1038" s="142">
        <f>B1038*IBGE_2!P$1038/100</f>
        <v>1E-3</v>
      </c>
      <c r="Q1038" s="142">
        <f>B1038*IBGE_2!Q$1038/100</f>
        <v>196</v>
      </c>
      <c r="R1038" s="142">
        <f>B1038*IBGE_2!R$1038/100</f>
        <v>2.81</v>
      </c>
      <c r="S1038" s="142">
        <f>B1038*IBGE_2!S$1038/100</f>
        <v>67</v>
      </c>
      <c r="T1038" s="142">
        <f>B1038*IBGE_2!T$1038/100</f>
        <v>337</v>
      </c>
      <c r="U1038" s="142">
        <f>B1038*IBGE_2!U$1038/100</f>
        <v>9.3000000000000013E-2</v>
      </c>
      <c r="V1038" s="142">
        <f>B1038*IBGE_2!V$1038/100</f>
        <v>5.71</v>
      </c>
      <c r="W1038" s="142" t="s">
        <v>3047</v>
      </c>
      <c r="X1038" s="142">
        <f>B1038*IBGE_2!X$1038/100</f>
        <v>8.1000000000000003E-2</v>
      </c>
      <c r="Y1038" s="142">
        <f>B1038*IBGE_2!Y$1038/100</f>
        <v>0.22600000000000001</v>
      </c>
      <c r="Z1038" s="142">
        <f>B1038*IBGE_2!Z$1038/100</f>
        <v>0.255</v>
      </c>
      <c r="AA1038" s="142">
        <f>B1038*IBGE_2!AA$1038/100</f>
        <v>3.2069999999999999</v>
      </c>
      <c r="AB1038" s="142" t="s">
        <v>3047</v>
      </c>
      <c r="AC1038" s="142">
        <f>B1038*IBGE_2!AC$1038/100</f>
        <v>7.5739999999999998</v>
      </c>
      <c r="AD1038" s="142">
        <f>B1038*IBGE_2!AD$1038/100</f>
        <v>2.83</v>
      </c>
      <c r="AE1038" s="142">
        <f>B1038*IBGE_2!AE$1038/100</f>
        <v>9</v>
      </c>
      <c r="AF1038" s="142">
        <f>B1038*IBGE_2!AF$1038/100</f>
        <v>0.7</v>
      </c>
      <c r="AG1038" s="142">
        <f>B1038*IBGE_2!AG$1038/100</f>
        <v>0.14000000000000001</v>
      </c>
      <c r="AH1038" s="142">
        <f>B1038*IBGE_2!AH$1038/100</f>
        <v>0.68</v>
      </c>
      <c r="AI1038" s="142">
        <f>B1038*IBGE_2!AI$1038/100</f>
        <v>333</v>
      </c>
      <c r="AJ1038" s="142">
        <f>B1038*IBGE_2!AJ$1038/100</f>
        <v>28.3</v>
      </c>
      <c r="AK1038" s="145" t="s">
        <v>3047</v>
      </c>
      <c r="AL1038" s="145" t="s">
        <v>3047</v>
      </c>
      <c r="AM1038" s="142" t="s">
        <v>3047</v>
      </c>
      <c r="AN1038" s="161"/>
    </row>
    <row r="1039" spans="1:40">
      <c r="A1039" s="143" t="s">
        <v>2099</v>
      </c>
      <c r="B1039" s="141">
        <v>100</v>
      </c>
      <c r="C1039" s="142">
        <f>B1039*IBGE_2!C$1039/100</f>
        <v>264.65899999999999</v>
      </c>
      <c r="D1039" s="142">
        <f>B1039*IBGE_2!D$1039/100</f>
        <v>24.22</v>
      </c>
      <c r="E1039" s="142">
        <f>B1039*IBGE_2!E$1039/100</f>
        <v>17.983000000000001</v>
      </c>
      <c r="F1039" s="142">
        <f>B1039*IBGE_2!F$1039/100</f>
        <v>6.1389999999999993</v>
      </c>
      <c r="G1039" s="142">
        <f>B1039*IBGE_2!G$1039/100</f>
        <v>7.5860000000000003</v>
      </c>
      <c r="H1039" s="142">
        <f>B1039*IBGE_2!H$1039/100</f>
        <v>2.093</v>
      </c>
      <c r="I1039" s="142">
        <f>B1039*IBGE_2!I$1039/100</f>
        <v>1.722</v>
      </c>
      <c r="J1039" s="142">
        <f>B1039*IBGE_2!J$1039/100</f>
        <v>0.33800000000000002</v>
      </c>
      <c r="K1039" s="142">
        <f>B1039*IBGE_2!K$1039/100</f>
        <v>75</v>
      </c>
      <c r="L1039" s="142" t="s">
        <v>3047</v>
      </c>
      <c r="M1039" s="142" t="s">
        <v>3047</v>
      </c>
      <c r="N1039" s="142">
        <f>B1039*IBGE_2!N$1039/100</f>
        <v>8</v>
      </c>
      <c r="O1039" s="142">
        <f>B1039*IBGE_2!O$1039/100</f>
        <v>20</v>
      </c>
      <c r="P1039" s="142">
        <f>B1039*IBGE_2!P$1039/100</f>
        <v>1E-3</v>
      </c>
      <c r="Q1039" s="142">
        <f>B1039*IBGE_2!Q$1039/100</f>
        <v>196</v>
      </c>
      <c r="R1039" s="142">
        <f>B1039*IBGE_2!R$1039/100</f>
        <v>2.8110000000000004</v>
      </c>
      <c r="S1039" s="142">
        <f>B1039*IBGE_2!S$1039/100</f>
        <v>67</v>
      </c>
      <c r="T1039" s="142">
        <f>B1039*IBGE_2!T$1039/100</f>
        <v>337</v>
      </c>
      <c r="U1039" s="142">
        <f>B1039*IBGE_2!U$1039/100</f>
        <v>9.3000000000000013E-2</v>
      </c>
      <c r="V1039" s="142">
        <f>B1039*IBGE_2!V$1039/100</f>
        <v>5.71</v>
      </c>
      <c r="W1039" s="142" t="s">
        <v>3047</v>
      </c>
      <c r="X1039" s="142">
        <f>B1039*IBGE_2!X$1039/100</f>
        <v>8.1000000000000003E-2</v>
      </c>
      <c r="Y1039" s="142">
        <f>B1039*IBGE_2!Y$1039/100</f>
        <v>0.22600000000000001</v>
      </c>
      <c r="Z1039" s="142">
        <f>B1039*IBGE_2!Z$1039/100</f>
        <v>0.255</v>
      </c>
      <c r="AA1039" s="142">
        <f>B1039*IBGE_2!AA$1039/100</f>
        <v>3.2069999999999999</v>
      </c>
      <c r="AB1039" s="142" t="s">
        <v>3047</v>
      </c>
      <c r="AC1039" s="142">
        <f>B1039*IBGE_2!AC$1039/100</f>
        <v>7.5739999999999998</v>
      </c>
      <c r="AD1039" s="142">
        <f>B1039*IBGE_2!AD$1039/100</f>
        <v>2.83</v>
      </c>
      <c r="AE1039" s="142">
        <f>B1039*IBGE_2!AE$1039/100</f>
        <v>9</v>
      </c>
      <c r="AF1039" s="142">
        <f>B1039*IBGE_2!AF$1039/100</f>
        <v>0.7</v>
      </c>
      <c r="AG1039" s="142">
        <f>B1039*IBGE_2!AG$1039/100</f>
        <v>0.35</v>
      </c>
      <c r="AH1039" s="142">
        <f>B1039*IBGE_2!AH$1039/100</f>
        <v>0.69399999999999995</v>
      </c>
      <c r="AI1039" s="142">
        <f>B1039*IBGE_2!AI$1039/100</f>
        <v>333</v>
      </c>
      <c r="AJ1039" s="142">
        <f>B1039*IBGE_2!AJ$1039/100</f>
        <v>29.475000000000001</v>
      </c>
      <c r="AK1039" s="145" t="s">
        <v>3047</v>
      </c>
      <c r="AL1039" s="145" t="s">
        <v>3047</v>
      </c>
      <c r="AM1039" s="142" t="s">
        <v>3047</v>
      </c>
      <c r="AN1039" s="161"/>
    </row>
    <row r="1040" spans="1:40">
      <c r="A1040" s="143" t="s">
        <v>2100</v>
      </c>
      <c r="B1040" s="141">
        <v>100</v>
      </c>
      <c r="C1040" s="142">
        <f>B1040*IBGE_2!C$1040/100</f>
        <v>63.941000000000003</v>
      </c>
      <c r="D1040" s="142">
        <f>B1040*IBGE_2!D$1040/100</f>
        <v>3.8119999999999998</v>
      </c>
      <c r="E1040" s="142">
        <f>B1040*IBGE_2!E$1040/100</f>
        <v>1.8069999999999999</v>
      </c>
      <c r="F1040" s="142">
        <f>B1040*IBGE_2!F$1040/100</f>
        <v>0.67700000000000005</v>
      </c>
      <c r="G1040" s="142">
        <f>B1040*IBGE_2!G$1040/100</f>
        <v>0.79200000000000004</v>
      </c>
      <c r="H1040" s="142">
        <f>B1040*IBGE_2!H$1040/100</f>
        <v>9.4E-2</v>
      </c>
      <c r="I1040" s="142">
        <f>B1040*IBGE_2!I$1040/100</f>
        <v>7.1999999999999995E-2</v>
      </c>
      <c r="J1040" s="142">
        <f>B1040*IBGE_2!J$1040/100</f>
        <v>1.9E-2</v>
      </c>
      <c r="K1040" s="142">
        <f>B1040*IBGE_2!K$1040/100</f>
        <v>7.86</v>
      </c>
      <c r="L1040" s="142">
        <f>B1040*IBGE_2!L$1040/100</f>
        <v>7.7320000000000002</v>
      </c>
      <c r="M1040" s="142">
        <f>B1040*IBGE_2!M$1040/100</f>
        <v>0.39200000000000002</v>
      </c>
      <c r="N1040" s="142">
        <f>B1040*IBGE_2!N$1040/100</f>
        <v>6.6289999999999996</v>
      </c>
      <c r="O1040" s="142">
        <f>B1040*IBGE_2!O$1040/100</f>
        <v>7.0270000000000001</v>
      </c>
      <c r="P1040" s="142">
        <f>B1040*IBGE_2!P$1040/100</f>
        <v>5.2000000000000005E-2</v>
      </c>
      <c r="Q1040" s="142">
        <f>B1040*IBGE_2!Q$1040/100</f>
        <v>39.854999999999997</v>
      </c>
      <c r="R1040" s="142">
        <f>B1040*IBGE_2!R$1040/100</f>
        <v>0.65200000000000002</v>
      </c>
      <c r="S1040" s="142">
        <f>B1040*IBGE_2!S$1040/100</f>
        <v>364.00900000000001</v>
      </c>
      <c r="T1040" s="142">
        <f>B1040*IBGE_2!T$1040/100</f>
        <v>125.684</v>
      </c>
      <c r="U1040" s="142">
        <f>B1040*IBGE_2!U$1040/100</f>
        <v>4.9000000000000002E-2</v>
      </c>
      <c r="V1040" s="142">
        <f>B1040*IBGE_2!V$1040/100</f>
        <v>0.68200000000000005</v>
      </c>
      <c r="W1040" s="142" t="s">
        <v>3047</v>
      </c>
      <c r="X1040" s="142">
        <f>B1040*IBGE_2!X$1040/100</f>
        <v>4.7E-2</v>
      </c>
      <c r="Y1040" s="142">
        <f>B1040*IBGE_2!Y$1040/100</f>
        <v>6.3E-2</v>
      </c>
      <c r="Z1040" s="142">
        <f>B1040*IBGE_2!Z$1040/100</f>
        <v>6.9000000000000006E-2</v>
      </c>
      <c r="AA1040" s="142">
        <f>B1040*IBGE_2!AA$1040/100</f>
        <v>1.2769999999999999</v>
      </c>
      <c r="AB1040" s="142">
        <f>B1040*IBGE_2!AB$1040/100</f>
        <v>1.5740000000000001</v>
      </c>
      <c r="AC1040" s="142">
        <f>B1040*IBGE_2!AC$1040/100</f>
        <v>1.962</v>
      </c>
      <c r="AD1040" s="142">
        <f>B1040*IBGE_2!AD$1040/100</f>
        <v>0.33900000000000008</v>
      </c>
      <c r="AE1040" s="142">
        <f>B1040*IBGE_2!AE$1040/100</f>
        <v>10.132999999999999</v>
      </c>
      <c r="AF1040" s="142">
        <f>B1040*IBGE_2!AF$1040/100</f>
        <v>8.900000000000001E-2</v>
      </c>
      <c r="AG1040" s="142">
        <f>B1040*IBGE_2!AG$1040/100</f>
        <v>3.9E-2</v>
      </c>
      <c r="AH1040" s="142">
        <f>B1040*IBGE_2!AH$1040/100</f>
        <v>7.6999999999999999E-2</v>
      </c>
      <c r="AI1040" s="145" t="s">
        <v>3047</v>
      </c>
      <c r="AJ1040" s="142">
        <f>B1040*IBGE_2!AJ$1040/100</f>
        <v>4.8079999999999998</v>
      </c>
      <c r="AK1040" s="142">
        <f>B1040*IBGE_2!AK$1040/100</f>
        <v>0.745</v>
      </c>
      <c r="AL1040" s="142">
        <f>B1040*IBGE_2!AL$1040/100</f>
        <v>0.24199999999999999</v>
      </c>
      <c r="AM1040" s="142" t="s">
        <v>3047</v>
      </c>
      <c r="AN1040" s="161"/>
    </row>
    <row r="1041" spans="1:40">
      <c r="A1041" s="143" t="s">
        <v>2101</v>
      </c>
      <c r="B1041" s="141">
        <v>100</v>
      </c>
      <c r="C1041" s="142">
        <f>B1041*IBGE_2!C$1041/100</f>
        <v>242</v>
      </c>
      <c r="D1041" s="142">
        <f>B1041*IBGE_2!D$1041/100</f>
        <v>24.22</v>
      </c>
      <c r="E1041" s="142">
        <f>B1041*IBGE_2!E$1041/100</f>
        <v>15.42</v>
      </c>
      <c r="F1041" s="142">
        <f>B1041*IBGE_2!F$1041/100</f>
        <v>5.7380000000000004</v>
      </c>
      <c r="G1041" s="142">
        <f>B1041*IBGE_2!G$1041/100</f>
        <v>7.0019999999999989</v>
      </c>
      <c r="H1041" s="142">
        <f>B1041*IBGE_2!H$1041/100</f>
        <v>0.61299999999999999</v>
      </c>
      <c r="I1041" s="142">
        <f>B1041*IBGE_2!I$1041/100</f>
        <v>0.41600000000000004</v>
      </c>
      <c r="J1041" s="142">
        <f>B1041*IBGE_2!J$1041/100</f>
        <v>0.16400000000000003</v>
      </c>
      <c r="K1041" s="142">
        <f>B1041*IBGE_2!K$1041/100</f>
        <v>75</v>
      </c>
      <c r="L1041" s="142" t="s">
        <v>3047</v>
      </c>
      <c r="M1041" s="142" t="s">
        <v>3047</v>
      </c>
      <c r="N1041" s="142">
        <f>B1041*IBGE_2!N$1041/100</f>
        <v>8</v>
      </c>
      <c r="O1041" s="142">
        <f>B1041*IBGE_2!O$1041/100</f>
        <v>20</v>
      </c>
      <c r="P1041" s="142">
        <f>B1041*IBGE_2!P$1041/100</f>
        <v>1E-3</v>
      </c>
      <c r="Q1041" s="142">
        <f>B1041*IBGE_2!Q$1041/100</f>
        <v>196</v>
      </c>
      <c r="R1041" s="142">
        <f>B1041*IBGE_2!R$1041/100</f>
        <v>2.81</v>
      </c>
      <c r="S1041" s="142">
        <f>B1041*IBGE_2!S$1041/100</f>
        <v>67</v>
      </c>
      <c r="T1041" s="142">
        <f>B1041*IBGE_2!T$1041/100</f>
        <v>337</v>
      </c>
      <c r="U1041" s="142">
        <f>B1041*IBGE_2!U$1041/100</f>
        <v>9.3000000000000013E-2</v>
      </c>
      <c r="V1041" s="142">
        <f>B1041*IBGE_2!V$1041/100</f>
        <v>5.71</v>
      </c>
      <c r="W1041" s="142" t="s">
        <v>3047</v>
      </c>
      <c r="X1041" s="142">
        <f>B1041*IBGE_2!X$1041/100</f>
        <v>8.1000000000000003E-2</v>
      </c>
      <c r="Y1041" s="142">
        <f>B1041*IBGE_2!Y$1041/100</f>
        <v>0.22600000000000001</v>
      </c>
      <c r="Z1041" s="142">
        <f>B1041*IBGE_2!Z$1041/100</f>
        <v>0.255</v>
      </c>
      <c r="AA1041" s="142">
        <f>B1041*IBGE_2!AA$1041/100</f>
        <v>3.2069999999999999</v>
      </c>
      <c r="AB1041" s="142" t="s">
        <v>3047</v>
      </c>
      <c r="AC1041" s="142">
        <f>B1041*IBGE_2!AC$1041/100</f>
        <v>7.5739999999999998</v>
      </c>
      <c r="AD1041" s="142">
        <f>B1041*IBGE_2!AD$1041/100</f>
        <v>2.83</v>
      </c>
      <c r="AE1041" s="142">
        <f>B1041*IBGE_2!AE$1041/100</f>
        <v>9</v>
      </c>
      <c r="AF1041" s="142">
        <f>B1041*IBGE_2!AF$1041/100</f>
        <v>0.7</v>
      </c>
      <c r="AG1041" s="142">
        <f>B1041*IBGE_2!AG$1041/100</f>
        <v>0.14000000000000001</v>
      </c>
      <c r="AH1041" s="142">
        <f>B1041*IBGE_2!AH$1041/100</f>
        <v>0.68</v>
      </c>
      <c r="AI1041" s="142">
        <f>B1041*IBGE_2!AI$1041/100</f>
        <v>333</v>
      </c>
      <c r="AJ1041" s="142">
        <f>B1041*IBGE_2!AJ$1041/100</f>
        <v>28.3</v>
      </c>
      <c r="AK1041" s="145" t="s">
        <v>3047</v>
      </c>
      <c r="AL1041" s="142" t="s">
        <v>3047</v>
      </c>
      <c r="AM1041" s="142" t="s">
        <v>3047</v>
      </c>
      <c r="AN1041" s="161"/>
    </row>
    <row r="1042" spans="1:40">
      <c r="A1042" s="143" t="s">
        <v>2102</v>
      </c>
      <c r="B1042" s="141">
        <v>100</v>
      </c>
      <c r="C1042" s="142">
        <f>B1042*IBGE_2!C$1042/100</f>
        <v>289</v>
      </c>
      <c r="D1042" s="142">
        <f>B1042*IBGE_2!D$1042/100</f>
        <v>25.34</v>
      </c>
      <c r="E1042" s="142">
        <f>B1042*IBGE_2!E$1042/100</f>
        <v>20.059999999999999</v>
      </c>
      <c r="F1042" s="142">
        <f>B1042*IBGE_2!F$1042/100</f>
        <v>7.36</v>
      </c>
      <c r="G1042" s="142">
        <f>B1042*IBGE_2!G$1042/100</f>
        <v>9.02</v>
      </c>
      <c r="H1042" s="142">
        <f>B1042*IBGE_2!H$1042/100</f>
        <v>1.89</v>
      </c>
      <c r="I1042" s="142">
        <f>B1042*IBGE_2!I$1042/100</f>
        <v>1.71</v>
      </c>
      <c r="J1042" s="142">
        <f>B1042*IBGE_2!J$1042/100</f>
        <v>0.06</v>
      </c>
      <c r="K1042" s="142">
        <f>B1042*IBGE_2!K$1042/100</f>
        <v>92</v>
      </c>
      <c r="L1042" s="142" t="s">
        <v>3047</v>
      </c>
      <c r="M1042" s="142" t="s">
        <v>3047</v>
      </c>
      <c r="N1042" s="142">
        <f>B1042*IBGE_2!N$1042/100</f>
        <v>15</v>
      </c>
      <c r="O1042" s="142">
        <f>B1042*IBGE_2!O$1042/100</f>
        <v>22</v>
      </c>
      <c r="P1042" s="142">
        <f>B1042*IBGE_2!P$1042/100</f>
        <v>2.8000000000000004E-2</v>
      </c>
      <c r="Q1042" s="142">
        <f>B1042*IBGE_2!Q$1042/100</f>
        <v>257</v>
      </c>
      <c r="R1042" s="142">
        <f>B1042*IBGE_2!R$1042/100</f>
        <v>0.98</v>
      </c>
      <c r="S1042" s="142">
        <f>B1042*IBGE_2!S$1042/100</f>
        <v>59</v>
      </c>
      <c r="T1042" s="142">
        <f>B1042*IBGE_2!T$1042/100</f>
        <v>338</v>
      </c>
      <c r="U1042" s="142">
        <f>B1042*IBGE_2!U$1042/100</f>
        <v>9.8000000000000004E-2</v>
      </c>
      <c r="V1042" s="142">
        <f>B1042*IBGE_2!V$1042/100</f>
        <v>3.06</v>
      </c>
      <c r="W1042" s="142">
        <f>B1042*IBGE_2!W$1042/100</f>
        <v>3</v>
      </c>
      <c r="X1042" s="142">
        <f>B1042*IBGE_2!X$1042/100</f>
        <v>0.57799999999999996</v>
      </c>
      <c r="Y1042" s="142">
        <f>B1042*IBGE_2!Y$1042/100</f>
        <v>0.30199999999999999</v>
      </c>
      <c r="Z1042" s="142">
        <f>B1042*IBGE_2!Z$1042/100</f>
        <v>0.40100000000000002</v>
      </c>
      <c r="AA1042" s="142">
        <f>B1042*IBGE_2!AA$1042/100</f>
        <v>4.46</v>
      </c>
      <c r="AB1042" s="142">
        <f>B1042*IBGE_2!AB$1042/100</f>
        <v>0.3</v>
      </c>
      <c r="AC1042" s="142">
        <f>B1042*IBGE_2!AC$1042/100</f>
        <v>9.4770000000000003</v>
      </c>
      <c r="AD1042" s="142">
        <f>B1042*IBGE_2!AD$1042/100</f>
        <v>0.66</v>
      </c>
      <c r="AE1042" s="142">
        <f>B1042*IBGE_2!AE$1042/100</f>
        <v>5</v>
      </c>
      <c r="AF1042" s="142">
        <f>B1042*IBGE_2!AF$1042/100</f>
        <v>1.1000000000000001</v>
      </c>
      <c r="AG1042" s="142">
        <f>B1042*IBGE_2!AG$1042/100</f>
        <v>0.22</v>
      </c>
      <c r="AH1042" s="142">
        <f>B1042*IBGE_2!AH$1042/100</f>
        <v>3.6999999999999998E-2</v>
      </c>
      <c r="AI1042" s="142">
        <f>B1042*IBGE_2!AI$1042/100</f>
        <v>166</v>
      </c>
      <c r="AJ1042" s="142">
        <f>B1042*IBGE_2!AJ$1042/100</f>
        <v>43.3</v>
      </c>
      <c r="AK1042" s="142">
        <f>B1042*IBGE_2!AK$1042/100</f>
        <v>3</v>
      </c>
      <c r="AL1042" s="142" t="s">
        <v>3047</v>
      </c>
      <c r="AM1042" s="142" t="s">
        <v>3047</v>
      </c>
      <c r="AN1042" s="161"/>
    </row>
    <row r="1043" spans="1:40">
      <c r="A1043" s="143" t="s">
        <v>2103</v>
      </c>
      <c r="B1043" s="141">
        <v>100</v>
      </c>
      <c r="C1043" s="142">
        <f>B1043*IBGE_2!C$1043/100</f>
        <v>289</v>
      </c>
      <c r="D1043" s="142">
        <f>B1043*IBGE_2!D$1043/100</f>
        <v>25.34</v>
      </c>
      <c r="E1043" s="142">
        <f>B1043*IBGE_2!E$1043/100</f>
        <v>20.059999999999999</v>
      </c>
      <c r="F1043" s="142">
        <f>B1043*IBGE_2!F$1043/100</f>
        <v>7.36</v>
      </c>
      <c r="G1043" s="142">
        <f>B1043*IBGE_2!G$1043/100</f>
        <v>9.02</v>
      </c>
      <c r="H1043" s="142">
        <f>B1043*IBGE_2!H$1043/100</f>
        <v>1.89</v>
      </c>
      <c r="I1043" s="142">
        <f>B1043*IBGE_2!I$1043/100</f>
        <v>1.71</v>
      </c>
      <c r="J1043" s="142">
        <f>B1043*IBGE_2!J$1043/100</f>
        <v>0.06</v>
      </c>
      <c r="K1043" s="142">
        <f>B1043*IBGE_2!K$1043/100</f>
        <v>92</v>
      </c>
      <c r="L1043" s="142" t="s">
        <v>3047</v>
      </c>
      <c r="M1043" s="142" t="s">
        <v>3047</v>
      </c>
      <c r="N1043" s="142">
        <f>B1043*IBGE_2!N$1043/100</f>
        <v>15</v>
      </c>
      <c r="O1043" s="142">
        <f>B1043*IBGE_2!O$1043/100</f>
        <v>22</v>
      </c>
      <c r="P1043" s="142">
        <f>B1043*IBGE_2!P$1043/100</f>
        <v>2.8000000000000004E-2</v>
      </c>
      <c r="Q1043" s="142">
        <f>B1043*IBGE_2!Q$1043/100</f>
        <v>257</v>
      </c>
      <c r="R1043" s="142">
        <f>B1043*IBGE_2!R$1043/100</f>
        <v>0.98</v>
      </c>
      <c r="S1043" s="142">
        <f>B1043*IBGE_2!S$1043/100</f>
        <v>59</v>
      </c>
      <c r="T1043" s="142">
        <f>B1043*IBGE_2!T$1043/100</f>
        <v>338</v>
      </c>
      <c r="U1043" s="142">
        <f>B1043*IBGE_2!U$1043/100</f>
        <v>9.8000000000000004E-2</v>
      </c>
      <c r="V1043" s="142">
        <f>B1043*IBGE_2!V$1043/100</f>
        <v>3.06</v>
      </c>
      <c r="W1043" s="142">
        <f>B1043*IBGE_2!W$1043/100</f>
        <v>3</v>
      </c>
      <c r="X1043" s="142">
        <f>B1043*IBGE_2!X$1043/100</f>
        <v>0.57799999999999996</v>
      </c>
      <c r="Y1043" s="142">
        <f>B1043*IBGE_2!Y$1043/100</f>
        <v>0.30199999999999999</v>
      </c>
      <c r="Z1043" s="142">
        <f>B1043*IBGE_2!Z$1043/100</f>
        <v>0.40100000000000002</v>
      </c>
      <c r="AA1043" s="142">
        <f>B1043*IBGE_2!AA$1043/100</f>
        <v>4.46</v>
      </c>
      <c r="AB1043" s="142">
        <f>B1043*IBGE_2!AB$1043/100</f>
        <v>0.3</v>
      </c>
      <c r="AC1043" s="142">
        <f>B1043*IBGE_2!AC$1043/100</f>
        <v>9.4770000000000003</v>
      </c>
      <c r="AD1043" s="142">
        <f>B1043*IBGE_2!AD$1043/100</f>
        <v>0.66</v>
      </c>
      <c r="AE1043" s="142">
        <f>B1043*IBGE_2!AE$1043/100</f>
        <v>5</v>
      </c>
      <c r="AF1043" s="142">
        <f>B1043*IBGE_2!AF$1043/100</f>
        <v>1.1000000000000001</v>
      </c>
      <c r="AG1043" s="142">
        <f>B1043*IBGE_2!AG$1043/100</f>
        <v>0.22</v>
      </c>
      <c r="AH1043" s="142">
        <f>B1043*IBGE_2!AH$1043/100</f>
        <v>3.6999999999999998E-2</v>
      </c>
      <c r="AI1043" s="142">
        <f>B1043*IBGE_2!AI$1043/100</f>
        <v>166</v>
      </c>
      <c r="AJ1043" s="142">
        <f>B1043*IBGE_2!AJ$1043/100</f>
        <v>43.3</v>
      </c>
      <c r="AK1043" s="142">
        <f>B1043*IBGE_2!AK$1043/100</f>
        <v>3</v>
      </c>
      <c r="AL1043" s="142" t="s">
        <v>3047</v>
      </c>
      <c r="AM1043" s="142" t="s">
        <v>3047</v>
      </c>
      <c r="AN1043" s="161"/>
    </row>
    <row r="1044" spans="1:40">
      <c r="A1044" s="143" t="s">
        <v>2104</v>
      </c>
      <c r="B1044" s="141">
        <v>100</v>
      </c>
      <c r="C1044" s="142">
        <f>B1044*IBGE_2!C$1044/100</f>
        <v>289</v>
      </c>
      <c r="D1044" s="142">
        <f>B1044*IBGE_2!D$1044/100</f>
        <v>25.34</v>
      </c>
      <c r="E1044" s="142">
        <f>B1044*IBGE_2!E$1044/100</f>
        <v>20.059999999999999</v>
      </c>
      <c r="F1044" s="142">
        <f>B1044*IBGE_2!F$1044/100</f>
        <v>7.36</v>
      </c>
      <c r="G1044" s="142">
        <f>B1044*IBGE_2!G$1044/100</f>
        <v>9.02</v>
      </c>
      <c r="H1044" s="142">
        <f>B1044*IBGE_2!H$1044/100</f>
        <v>1.89</v>
      </c>
      <c r="I1044" s="142">
        <f>B1044*IBGE_2!I$1044/100</f>
        <v>1.71</v>
      </c>
      <c r="J1044" s="142">
        <f>B1044*IBGE_2!J$1044/100</f>
        <v>0.06</v>
      </c>
      <c r="K1044" s="142">
        <f>B1044*IBGE_2!K$1044/100</f>
        <v>92</v>
      </c>
      <c r="L1044" s="142" t="s">
        <v>3047</v>
      </c>
      <c r="M1044" s="142" t="s">
        <v>3047</v>
      </c>
      <c r="N1044" s="142">
        <f>B1044*IBGE_2!N$1044/100</f>
        <v>15</v>
      </c>
      <c r="O1044" s="142">
        <f>B1044*IBGE_2!O$1044/100</f>
        <v>22</v>
      </c>
      <c r="P1044" s="142">
        <f>B1044*IBGE_2!P$1044/100</f>
        <v>2.8000000000000004E-2</v>
      </c>
      <c r="Q1044" s="142">
        <f>B1044*IBGE_2!Q$1044/100</f>
        <v>257</v>
      </c>
      <c r="R1044" s="142">
        <f>B1044*IBGE_2!R$1044/100</f>
        <v>0.98</v>
      </c>
      <c r="S1044" s="142">
        <f>B1044*IBGE_2!S$1044/100</f>
        <v>59</v>
      </c>
      <c r="T1044" s="142">
        <f>B1044*IBGE_2!T$1044/100</f>
        <v>338</v>
      </c>
      <c r="U1044" s="142">
        <f>B1044*IBGE_2!U$1044/100</f>
        <v>9.8000000000000004E-2</v>
      </c>
      <c r="V1044" s="142">
        <f>B1044*IBGE_2!V$1044/100</f>
        <v>3.06</v>
      </c>
      <c r="W1044" s="142">
        <f>B1044*IBGE_2!W$1044/100</f>
        <v>3</v>
      </c>
      <c r="X1044" s="142">
        <f>B1044*IBGE_2!X$1044/100</f>
        <v>0.57799999999999996</v>
      </c>
      <c r="Y1044" s="142">
        <f>B1044*IBGE_2!Y$1044/100</f>
        <v>0.30199999999999999</v>
      </c>
      <c r="Z1044" s="142">
        <f>B1044*IBGE_2!Z$1044/100</f>
        <v>0.40100000000000002</v>
      </c>
      <c r="AA1044" s="142">
        <f>B1044*IBGE_2!AA$1044/100</f>
        <v>4.46</v>
      </c>
      <c r="AB1044" s="142">
        <f>B1044*IBGE_2!AB$1044/100</f>
        <v>0.3</v>
      </c>
      <c r="AC1044" s="142">
        <f>B1044*IBGE_2!AC$1044/100</f>
        <v>9.4770000000000003</v>
      </c>
      <c r="AD1044" s="142">
        <f>B1044*IBGE_2!AD$1044/100</f>
        <v>0.66</v>
      </c>
      <c r="AE1044" s="142">
        <f>B1044*IBGE_2!AE$1044/100</f>
        <v>5</v>
      </c>
      <c r="AF1044" s="142">
        <f>B1044*IBGE_2!AF$1044/100</f>
        <v>1.1000000000000001</v>
      </c>
      <c r="AG1044" s="142">
        <f>B1044*IBGE_2!AG$1044/100</f>
        <v>0.22</v>
      </c>
      <c r="AH1044" s="142">
        <f>B1044*IBGE_2!AH$1044/100</f>
        <v>3.6999999999999998E-2</v>
      </c>
      <c r="AI1044" s="142">
        <f>B1044*IBGE_2!AI$1044/100</f>
        <v>166</v>
      </c>
      <c r="AJ1044" s="142">
        <f>B1044*IBGE_2!AJ$1044/100</f>
        <v>43.3</v>
      </c>
      <c r="AK1044" s="142">
        <f>B1044*IBGE_2!AK$1044/100</f>
        <v>3</v>
      </c>
      <c r="AL1044" s="142" t="s">
        <v>3047</v>
      </c>
      <c r="AM1044" s="142" t="s">
        <v>3047</v>
      </c>
      <c r="AN1044" s="161"/>
    </row>
    <row r="1045" spans="1:40">
      <c r="A1045" s="143" t="s">
        <v>2105</v>
      </c>
      <c r="B1045" s="141">
        <v>100</v>
      </c>
      <c r="C1045" s="142">
        <f>B1045*IBGE_2!C$1045/100</f>
        <v>338.56699999999995</v>
      </c>
      <c r="D1045" s="142">
        <f>B1045*IBGE_2!D$1045/100</f>
        <v>25.34</v>
      </c>
      <c r="E1045" s="142">
        <f>B1045*IBGE_2!E$1045/100</f>
        <v>25.667000000000002</v>
      </c>
      <c r="F1045" s="142">
        <f>B1045*IBGE_2!F$1045/100</f>
        <v>8.2379999999999995</v>
      </c>
      <c r="G1045" s="142">
        <f>B1045*IBGE_2!G$1045/100</f>
        <v>10.297000000000001</v>
      </c>
      <c r="H1045" s="142">
        <f>B1045*IBGE_2!H$1045/100</f>
        <v>5.1279999999999992</v>
      </c>
      <c r="I1045" s="142">
        <f>B1045*IBGE_2!I$1045/100</f>
        <v>4.5670000000000002</v>
      </c>
      <c r="J1045" s="142">
        <f>B1045*IBGE_2!J$1045/100</f>
        <v>0.441</v>
      </c>
      <c r="K1045" s="142">
        <f>B1045*IBGE_2!K$1045/100</f>
        <v>92</v>
      </c>
      <c r="L1045" s="142" t="s">
        <v>3047</v>
      </c>
      <c r="M1045" s="142" t="s">
        <v>3047</v>
      </c>
      <c r="N1045" s="142">
        <f>B1045*IBGE_2!N$1045/100</f>
        <v>15</v>
      </c>
      <c r="O1045" s="142">
        <f>B1045*IBGE_2!O$1045/100</f>
        <v>22</v>
      </c>
      <c r="P1045" s="142">
        <f>B1045*IBGE_2!P$1045/100</f>
        <v>2.8000000000000004E-2</v>
      </c>
      <c r="Q1045" s="142">
        <f>B1045*IBGE_2!Q$1045/100</f>
        <v>257</v>
      </c>
      <c r="R1045" s="142">
        <f>B1045*IBGE_2!R$1045/100</f>
        <v>0.98299999999999998</v>
      </c>
      <c r="S1045" s="142">
        <f>B1045*IBGE_2!S$1045/100</f>
        <v>59</v>
      </c>
      <c r="T1045" s="142">
        <f>B1045*IBGE_2!T$1045/100</f>
        <v>338</v>
      </c>
      <c r="U1045" s="142">
        <f>B1045*IBGE_2!U$1045/100</f>
        <v>9.8000000000000004E-2</v>
      </c>
      <c r="V1045" s="142">
        <f>B1045*IBGE_2!V$1045/100</f>
        <v>3.0610000000000004</v>
      </c>
      <c r="W1045" s="142">
        <f>B1045*IBGE_2!W$1045/100</f>
        <v>3</v>
      </c>
      <c r="X1045" s="142">
        <f>B1045*IBGE_2!X$1045/100</f>
        <v>0.57799999999999996</v>
      </c>
      <c r="Y1045" s="142">
        <f>B1045*IBGE_2!Y$1045/100</f>
        <v>0.30199999999999999</v>
      </c>
      <c r="Z1045" s="142">
        <f>B1045*IBGE_2!Z$1045/100</f>
        <v>0.40100000000000002</v>
      </c>
      <c r="AA1045" s="142">
        <f>B1045*IBGE_2!AA$1045/100</f>
        <v>4.46</v>
      </c>
      <c r="AB1045" s="142">
        <f>B1045*IBGE_2!AB$1045/100</f>
        <v>0.3</v>
      </c>
      <c r="AC1045" s="142">
        <f>B1045*IBGE_2!AC$1045/100</f>
        <v>9.4770000000000003</v>
      </c>
      <c r="AD1045" s="142">
        <f>B1045*IBGE_2!AD$1045/100</f>
        <v>0.66</v>
      </c>
      <c r="AE1045" s="142">
        <f>B1045*IBGE_2!AE$1045/100</f>
        <v>5</v>
      </c>
      <c r="AF1045" s="142">
        <f>B1045*IBGE_2!AF$1045/100</f>
        <v>1.1000000000000001</v>
      </c>
      <c r="AG1045" s="142">
        <f>B1045*IBGE_2!AG$1045/100</f>
        <v>0.67900000000000005</v>
      </c>
      <c r="AH1045" s="142">
        <f>B1045*IBGE_2!AH$1045/100</f>
        <v>6.7000000000000004E-2</v>
      </c>
      <c r="AI1045" s="142">
        <f>B1045*IBGE_2!AI$1045/100</f>
        <v>166</v>
      </c>
      <c r="AJ1045" s="142">
        <f>B1045*IBGE_2!AJ$1045/100</f>
        <v>45.87</v>
      </c>
      <c r="AK1045" s="142">
        <f>B1045*IBGE_2!AK$1045/100</f>
        <v>3</v>
      </c>
      <c r="AL1045" s="142" t="s">
        <v>3047</v>
      </c>
      <c r="AM1045" s="142" t="s">
        <v>3047</v>
      </c>
      <c r="AN1045" s="161"/>
    </row>
    <row r="1046" spans="1:40">
      <c r="A1046" s="143" t="s">
        <v>2106</v>
      </c>
      <c r="B1046" s="141">
        <v>100</v>
      </c>
      <c r="C1046" s="142">
        <f>B1046*IBGE_2!C$1046/100</f>
        <v>289</v>
      </c>
      <c r="D1046" s="142">
        <f>B1046*IBGE_2!D$1046/100</f>
        <v>25.34</v>
      </c>
      <c r="E1046" s="142">
        <f>B1046*IBGE_2!E$1046/100</f>
        <v>20.059999999999999</v>
      </c>
      <c r="F1046" s="142">
        <f>B1046*IBGE_2!F$1046/100</f>
        <v>7.36</v>
      </c>
      <c r="G1046" s="142">
        <f>B1046*IBGE_2!G$1046/100</f>
        <v>9.02</v>
      </c>
      <c r="H1046" s="142">
        <f>B1046*IBGE_2!H$1046/100</f>
        <v>1.89</v>
      </c>
      <c r="I1046" s="142">
        <f>B1046*IBGE_2!I$1046/100</f>
        <v>1.71</v>
      </c>
      <c r="J1046" s="142">
        <f>B1046*IBGE_2!J$1046/100</f>
        <v>0.06</v>
      </c>
      <c r="K1046" s="142">
        <f>B1046*IBGE_2!K$1046/100</f>
        <v>92</v>
      </c>
      <c r="L1046" s="142" t="s">
        <v>3047</v>
      </c>
      <c r="M1046" s="142" t="s">
        <v>3047</v>
      </c>
      <c r="N1046" s="142">
        <f>B1046*IBGE_2!N$1046/100</f>
        <v>15</v>
      </c>
      <c r="O1046" s="142">
        <f>B1046*IBGE_2!O$1046/100</f>
        <v>22</v>
      </c>
      <c r="P1046" s="142">
        <f>B1046*IBGE_2!P$1046/100</f>
        <v>2.8000000000000004E-2</v>
      </c>
      <c r="Q1046" s="142">
        <f>B1046*IBGE_2!Q$1046/100</f>
        <v>257</v>
      </c>
      <c r="R1046" s="142">
        <f>B1046*IBGE_2!R$1046/100</f>
        <v>0.98</v>
      </c>
      <c r="S1046" s="142">
        <f>B1046*IBGE_2!S$1046/100</f>
        <v>59</v>
      </c>
      <c r="T1046" s="142">
        <f>B1046*IBGE_2!T$1046/100</f>
        <v>338</v>
      </c>
      <c r="U1046" s="142">
        <f>B1046*IBGE_2!U$1046/100</f>
        <v>9.8000000000000004E-2</v>
      </c>
      <c r="V1046" s="142">
        <f>B1046*IBGE_2!V$1046/100</f>
        <v>3.06</v>
      </c>
      <c r="W1046" s="142">
        <f>B1046*IBGE_2!W$1046/100</f>
        <v>3</v>
      </c>
      <c r="X1046" s="142">
        <f>B1046*IBGE_2!X$1046/100</f>
        <v>0.57799999999999996</v>
      </c>
      <c r="Y1046" s="142">
        <f>B1046*IBGE_2!Y$1046/100</f>
        <v>0.30199999999999999</v>
      </c>
      <c r="Z1046" s="142">
        <f>B1046*IBGE_2!Z$1046/100</f>
        <v>0.40100000000000002</v>
      </c>
      <c r="AA1046" s="142">
        <f>B1046*IBGE_2!AA$1046/100</f>
        <v>4.46</v>
      </c>
      <c r="AB1046" s="142">
        <f>B1046*IBGE_2!AB$1046/100</f>
        <v>0.3</v>
      </c>
      <c r="AC1046" s="142">
        <f>B1046*IBGE_2!AC$1046/100</f>
        <v>9.4770000000000003</v>
      </c>
      <c r="AD1046" s="142">
        <f>B1046*IBGE_2!AD$1046/100</f>
        <v>0.66</v>
      </c>
      <c r="AE1046" s="142">
        <f>B1046*IBGE_2!AE$1046/100</f>
        <v>5</v>
      </c>
      <c r="AF1046" s="142">
        <f>B1046*IBGE_2!AF$1046/100</f>
        <v>1.1000000000000001</v>
      </c>
      <c r="AG1046" s="142">
        <f>B1046*IBGE_2!AG$1046/100</f>
        <v>0.22</v>
      </c>
      <c r="AH1046" s="142">
        <f>B1046*IBGE_2!AH$1046/100</f>
        <v>3.6999999999999998E-2</v>
      </c>
      <c r="AI1046" s="142">
        <f>B1046*IBGE_2!AI$1046/100</f>
        <v>166</v>
      </c>
      <c r="AJ1046" s="142">
        <f>B1046*IBGE_2!AJ$1046/100</f>
        <v>43.3</v>
      </c>
      <c r="AK1046" s="142">
        <f>B1046*IBGE_2!AK$1046/100</f>
        <v>3</v>
      </c>
      <c r="AL1046" s="142" t="s">
        <v>3047</v>
      </c>
      <c r="AM1046" s="142" t="s">
        <v>3047</v>
      </c>
      <c r="AN1046" s="161"/>
    </row>
    <row r="1047" spans="1:40">
      <c r="A1047" s="143" t="s">
        <v>2107</v>
      </c>
      <c r="B1047" s="141">
        <v>100</v>
      </c>
      <c r="C1047" s="142">
        <f>B1047*IBGE_2!C$1047/100</f>
        <v>199</v>
      </c>
      <c r="D1047" s="142">
        <f>B1047*IBGE_2!D$1047/100</f>
        <v>36.119999999999997</v>
      </c>
      <c r="E1047" s="142">
        <f>B1047*IBGE_2!E$1047/100</f>
        <v>5</v>
      </c>
      <c r="F1047" s="142">
        <f>B1047*IBGE_2!F$1047/100</f>
        <v>1.72</v>
      </c>
      <c r="G1047" s="142">
        <f>B1047*IBGE_2!G$1047/100</f>
        <v>2</v>
      </c>
      <c r="H1047" s="142">
        <f>B1047*IBGE_2!H$1047/100</f>
        <v>0.22</v>
      </c>
      <c r="I1047" s="142">
        <f>B1047*IBGE_2!I$1047/100</f>
        <v>0.17</v>
      </c>
      <c r="J1047" s="142">
        <f>B1047*IBGE_2!J$1047/100</f>
        <v>0.02</v>
      </c>
      <c r="K1047" s="142">
        <f>B1047*IBGE_2!K$1047/100</f>
        <v>90</v>
      </c>
      <c r="L1047" s="142" t="s">
        <v>3047</v>
      </c>
      <c r="M1047" s="142" t="s">
        <v>3047</v>
      </c>
      <c r="N1047" s="142">
        <f>B1047*IBGE_2!N$1047/100</f>
        <v>4</v>
      </c>
      <c r="O1047" s="142">
        <f>B1047*IBGE_2!O$1047/100</f>
        <v>26</v>
      </c>
      <c r="P1047" s="142">
        <f>B1047*IBGE_2!P$1047/100</f>
        <v>1.7999999999999999E-2</v>
      </c>
      <c r="Q1047" s="142">
        <f>B1047*IBGE_2!Q$1047/100</f>
        <v>226</v>
      </c>
      <c r="R1047" s="142">
        <f>B1047*IBGE_2!R$1047/100</f>
        <v>3.32</v>
      </c>
      <c r="S1047" s="142">
        <f>B1047*IBGE_2!S$1047/100</f>
        <v>45</v>
      </c>
      <c r="T1047" s="142">
        <f>B1047*IBGE_2!T$1047/100</f>
        <v>334</v>
      </c>
      <c r="U1047" s="142">
        <f>B1047*IBGE_2!U$1047/100</f>
        <v>0.124</v>
      </c>
      <c r="V1047" s="142">
        <f>B1047*IBGE_2!V$1047/100</f>
        <v>4.5599999999999996</v>
      </c>
      <c r="W1047" s="142" t="s">
        <v>3047</v>
      </c>
      <c r="X1047" s="142">
        <f>B1047*IBGE_2!X$1047/100</f>
        <v>7.0000000000000007E-2</v>
      </c>
      <c r="Y1047" s="142">
        <f>B1047*IBGE_2!Y$1047/100</f>
        <v>0.25</v>
      </c>
      <c r="Z1047" s="142">
        <f>B1047*IBGE_2!Z$1047/100</f>
        <v>0.28000000000000003</v>
      </c>
      <c r="AA1047" s="142">
        <f>B1047*IBGE_2!AA$1047/100</f>
        <v>3.81</v>
      </c>
      <c r="AB1047" s="142" t="s">
        <v>3047</v>
      </c>
      <c r="AC1047" s="142">
        <f>B1047*IBGE_2!AC$1047/100</f>
        <v>7.76</v>
      </c>
      <c r="AD1047" s="142">
        <f>B1047*IBGE_2!AD$1047/100</f>
        <v>2.7</v>
      </c>
      <c r="AE1047" s="142">
        <f>B1047*IBGE_2!AE$1047/100</f>
        <v>9</v>
      </c>
      <c r="AF1047" s="142">
        <f>B1047*IBGE_2!AF$1047/100</f>
        <v>0.7</v>
      </c>
      <c r="AG1047" s="142">
        <f>B1047*IBGE_2!AG$1047/100</f>
        <v>0.14000000000000001</v>
      </c>
      <c r="AH1047" s="142">
        <f>B1047*IBGE_2!AH$1047/100</f>
        <v>0.22699999999999998</v>
      </c>
      <c r="AI1047" s="142">
        <f>B1047*IBGE_2!AI$1047/100</f>
        <v>333</v>
      </c>
      <c r="AJ1047" s="142">
        <f>B1047*IBGE_2!AJ$1047/100</f>
        <v>33</v>
      </c>
      <c r="AK1047" s="142" t="s">
        <v>3047</v>
      </c>
      <c r="AL1047" s="142" t="s">
        <v>3047</v>
      </c>
      <c r="AM1047" s="142" t="s">
        <v>3047</v>
      </c>
      <c r="AN1047" s="161"/>
    </row>
    <row r="1048" spans="1:40">
      <c r="A1048" s="143" t="s">
        <v>2108</v>
      </c>
      <c r="B1048" s="141">
        <v>100</v>
      </c>
      <c r="C1048" s="142">
        <f>B1048*IBGE_2!C$1048/100</f>
        <v>221.65899999999999</v>
      </c>
      <c r="D1048" s="142">
        <f>B1048*IBGE_2!D$1048/100</f>
        <v>36.119999999999997</v>
      </c>
      <c r="E1048" s="142">
        <f>B1048*IBGE_2!E$1048/100</f>
        <v>7.5629999999999997</v>
      </c>
      <c r="F1048" s="142">
        <f>B1048*IBGE_2!F$1048/100</f>
        <v>2.121</v>
      </c>
      <c r="G1048" s="142">
        <f>B1048*IBGE_2!G$1048/100</f>
        <v>2.5840000000000005</v>
      </c>
      <c r="H1048" s="142">
        <f>B1048*IBGE_2!H$1048/100</f>
        <v>1.7</v>
      </c>
      <c r="I1048" s="142">
        <f>B1048*IBGE_2!I$1048/100</f>
        <v>1.476</v>
      </c>
      <c r="J1048" s="142">
        <f>B1048*IBGE_2!J$1048/100</f>
        <v>0.19400000000000003</v>
      </c>
      <c r="K1048" s="142">
        <f>B1048*IBGE_2!K$1048/100</f>
        <v>90</v>
      </c>
      <c r="L1048" s="142" t="s">
        <v>3047</v>
      </c>
      <c r="M1048" s="142" t="s">
        <v>3047</v>
      </c>
      <c r="N1048" s="142">
        <f>B1048*IBGE_2!N$1048/100</f>
        <v>4</v>
      </c>
      <c r="O1048" s="142">
        <f>B1048*IBGE_2!O$1048/100</f>
        <v>26</v>
      </c>
      <c r="P1048" s="142">
        <f>B1048*IBGE_2!P$1048/100</f>
        <v>1.7999999999999999E-2</v>
      </c>
      <c r="Q1048" s="142">
        <f>B1048*IBGE_2!Q$1048/100</f>
        <v>226</v>
      </c>
      <c r="R1048" s="142">
        <f>B1048*IBGE_2!R$1048/100</f>
        <v>3.3210000000000002</v>
      </c>
      <c r="S1048" s="142">
        <f>B1048*IBGE_2!S$1048/100</f>
        <v>45</v>
      </c>
      <c r="T1048" s="142">
        <f>B1048*IBGE_2!T$1048/100</f>
        <v>334</v>
      </c>
      <c r="U1048" s="142">
        <f>B1048*IBGE_2!U$1048/100</f>
        <v>0.124</v>
      </c>
      <c r="V1048" s="142">
        <f>B1048*IBGE_2!V$1048/100</f>
        <v>4.5599999999999996</v>
      </c>
      <c r="W1048" s="142" t="s">
        <v>3047</v>
      </c>
      <c r="X1048" s="142">
        <f>B1048*IBGE_2!X$1048/100</f>
        <v>7.0000000000000007E-2</v>
      </c>
      <c r="Y1048" s="142">
        <f>B1048*IBGE_2!Y$1048/100</f>
        <v>0.25</v>
      </c>
      <c r="Z1048" s="142">
        <f>B1048*IBGE_2!Z$1048/100</f>
        <v>0.28000000000000003</v>
      </c>
      <c r="AA1048" s="142">
        <f>B1048*IBGE_2!AA$1048/100</f>
        <v>3.81</v>
      </c>
      <c r="AB1048" s="142" t="s">
        <v>3047</v>
      </c>
      <c r="AC1048" s="142">
        <f>B1048*IBGE_2!AC$1048/100</f>
        <v>7.76</v>
      </c>
      <c r="AD1048" s="142">
        <f>B1048*IBGE_2!AD$1048/100</f>
        <v>2.7</v>
      </c>
      <c r="AE1048" s="142">
        <f>B1048*IBGE_2!AE$1048/100</f>
        <v>9</v>
      </c>
      <c r="AF1048" s="142">
        <f>B1048*IBGE_2!AF$1048/100</f>
        <v>0.7</v>
      </c>
      <c r="AG1048" s="142">
        <f>B1048*IBGE_2!AG$1048/100</f>
        <v>0.35</v>
      </c>
      <c r="AH1048" s="142">
        <f>B1048*IBGE_2!AH$1048/100</f>
        <v>0.24099999999999999</v>
      </c>
      <c r="AI1048" s="142">
        <f>B1048*IBGE_2!AI$1048/100</f>
        <v>333</v>
      </c>
      <c r="AJ1048" s="142">
        <f>B1048*IBGE_2!AJ$1048/100</f>
        <v>34.174999999999997</v>
      </c>
      <c r="AK1048" s="142" t="s">
        <v>3047</v>
      </c>
      <c r="AL1048" s="142" t="s">
        <v>3047</v>
      </c>
      <c r="AM1048" s="142" t="s">
        <v>3047</v>
      </c>
      <c r="AN1048" s="161"/>
    </row>
    <row r="1049" spans="1:40">
      <c r="A1049" s="143" t="s">
        <v>2109</v>
      </c>
      <c r="B1049" s="141">
        <v>100</v>
      </c>
      <c r="C1049" s="142">
        <f>B1049*IBGE_2!C$1049/100</f>
        <v>164</v>
      </c>
      <c r="D1049" s="142">
        <f>B1049*IBGE_2!D$1049/100</f>
        <v>26.13</v>
      </c>
      <c r="E1049" s="142">
        <f>B1049*IBGE_2!E$1049/100</f>
        <v>5.81</v>
      </c>
      <c r="F1049" s="142">
        <f>B1049*IBGE_2!F$1049/100</f>
        <v>2.31</v>
      </c>
      <c r="G1049" s="142">
        <f>B1049*IBGE_2!G$1049/100</f>
        <v>2.16</v>
      </c>
      <c r="H1049" s="142">
        <f>B1049*IBGE_2!H$1049/100</f>
        <v>0.43</v>
      </c>
      <c r="I1049" s="142">
        <f>B1049*IBGE_2!I$1049/100</f>
        <v>0.32</v>
      </c>
      <c r="J1049" s="142">
        <f>B1049*IBGE_2!J$1049/100</f>
        <v>0.04</v>
      </c>
      <c r="K1049" s="142">
        <f>B1049*IBGE_2!K$1049/100</f>
        <v>109</v>
      </c>
      <c r="L1049" s="142" t="s">
        <v>3047</v>
      </c>
      <c r="M1049" s="142" t="s">
        <v>3047</v>
      </c>
      <c r="N1049" s="142">
        <f>B1049*IBGE_2!N$1049/100</f>
        <v>27</v>
      </c>
      <c r="O1049" s="142">
        <f>B1049*IBGE_2!O$1049/100</f>
        <v>27</v>
      </c>
      <c r="P1049" s="142">
        <f>B1049*IBGE_2!P$1049/100</f>
        <v>0.03</v>
      </c>
      <c r="Q1049" s="142">
        <f>B1049*IBGE_2!Q$1049/100</f>
        <v>226</v>
      </c>
      <c r="R1049" s="142">
        <f>B1049*IBGE_2!R$1049/100</f>
        <v>1.1599999999999999</v>
      </c>
      <c r="S1049" s="142">
        <f>B1049*IBGE_2!S$1049/100</f>
        <v>91</v>
      </c>
      <c r="T1049" s="142">
        <f>B1049*IBGE_2!T$1049/100</f>
        <v>356</v>
      </c>
      <c r="U1049" s="142">
        <f>B1049*IBGE_2!U$1049/100</f>
        <v>0.14599999999999999</v>
      </c>
      <c r="V1049" s="142">
        <f>B1049*IBGE_2!V$1049/100</f>
        <v>4.32</v>
      </c>
      <c r="W1049" s="142" t="s">
        <v>3047</v>
      </c>
      <c r="X1049" s="142">
        <f>B1049*IBGE_2!X$1049/100</f>
        <v>7.0000000000000007E-2</v>
      </c>
      <c r="Y1049" s="142">
        <f>B1049*IBGE_2!Y$1049/100</f>
        <v>0.33</v>
      </c>
      <c r="Z1049" s="142">
        <f>B1049*IBGE_2!Z$1049/100</f>
        <v>0.3</v>
      </c>
      <c r="AA1049" s="142">
        <f>B1049*IBGE_2!AA$1049/100</f>
        <v>8.24</v>
      </c>
      <c r="AB1049" s="142" t="s">
        <v>3047</v>
      </c>
      <c r="AC1049" s="142">
        <f>B1049*IBGE_2!AC$1049/100</f>
        <v>12.657</v>
      </c>
      <c r="AD1049" s="142">
        <f>B1049*IBGE_2!AD$1049/100</f>
        <v>1.57</v>
      </c>
      <c r="AE1049" s="142">
        <f>B1049*IBGE_2!AE$1049/100</f>
        <v>17</v>
      </c>
      <c r="AF1049" s="142">
        <f>B1049*IBGE_2!AF$1049/100</f>
        <v>1.5</v>
      </c>
      <c r="AG1049" s="142">
        <f>B1049*IBGE_2!AG$1049/100</f>
        <v>0.5</v>
      </c>
      <c r="AH1049" s="142">
        <f>B1049*IBGE_2!AH$1049/100</f>
        <v>0.1</v>
      </c>
      <c r="AI1049" s="142">
        <f>B1049*IBGE_2!AI$1049/100</f>
        <v>333</v>
      </c>
      <c r="AJ1049" s="142">
        <f>B1049*IBGE_2!AJ$1049/100</f>
        <v>11.3</v>
      </c>
      <c r="AK1049" s="142" t="s">
        <v>3047</v>
      </c>
      <c r="AL1049" s="142" t="s">
        <v>3047</v>
      </c>
      <c r="AM1049" s="142" t="s">
        <v>3047</v>
      </c>
      <c r="AN1049" s="161"/>
    </row>
    <row r="1050" spans="1:40">
      <c r="A1050" s="143" t="s">
        <v>2110</v>
      </c>
      <c r="B1050" s="141">
        <v>100</v>
      </c>
      <c r="C1050" s="142">
        <f>B1050*IBGE_2!C$1050/100</f>
        <v>186.65899999999999</v>
      </c>
      <c r="D1050" s="142">
        <f>B1050*IBGE_2!D$1050/100</f>
        <v>26.13</v>
      </c>
      <c r="E1050" s="142">
        <f>B1050*IBGE_2!E$1050/100</f>
        <v>8.3729999999999993</v>
      </c>
      <c r="F1050" s="142">
        <f>B1050*IBGE_2!F$1050/100</f>
        <v>2.7109999999999999</v>
      </c>
      <c r="G1050" s="142">
        <f>B1050*IBGE_2!G$1050/100</f>
        <v>2.7440000000000002</v>
      </c>
      <c r="H1050" s="142">
        <f>B1050*IBGE_2!H$1050/100</f>
        <v>1.91</v>
      </c>
      <c r="I1050" s="142">
        <f>B1050*IBGE_2!I$1050/100</f>
        <v>1.6259999999999999</v>
      </c>
      <c r="J1050" s="142">
        <f>B1050*IBGE_2!J$1050/100</f>
        <v>0.214</v>
      </c>
      <c r="K1050" s="142">
        <f>B1050*IBGE_2!K$1050/100</f>
        <v>109</v>
      </c>
      <c r="L1050" s="142" t="s">
        <v>3047</v>
      </c>
      <c r="M1050" s="142" t="s">
        <v>3047</v>
      </c>
      <c r="N1050" s="142">
        <f>B1050*IBGE_2!N$1050/100</f>
        <v>27</v>
      </c>
      <c r="O1050" s="142">
        <f>B1050*IBGE_2!O$1050/100</f>
        <v>27</v>
      </c>
      <c r="P1050" s="142">
        <f>B1050*IBGE_2!P$1050/100</f>
        <v>0.03</v>
      </c>
      <c r="Q1050" s="142">
        <f>B1050*IBGE_2!Q$1050/100</f>
        <v>226</v>
      </c>
      <c r="R1050" s="142">
        <f>B1050*IBGE_2!R$1050/100</f>
        <v>1.161</v>
      </c>
      <c r="S1050" s="142">
        <f>B1050*IBGE_2!S$1050/100</f>
        <v>91</v>
      </c>
      <c r="T1050" s="142">
        <f>B1050*IBGE_2!T$1050/100</f>
        <v>356</v>
      </c>
      <c r="U1050" s="142">
        <f>B1050*IBGE_2!U$1050/100</f>
        <v>0.14599999999999999</v>
      </c>
      <c r="V1050" s="142">
        <f>B1050*IBGE_2!V$1050/100</f>
        <v>4.32</v>
      </c>
      <c r="W1050" s="142" t="s">
        <v>3047</v>
      </c>
      <c r="X1050" s="142">
        <f>B1050*IBGE_2!X$1050/100</f>
        <v>7.0000000000000007E-2</v>
      </c>
      <c r="Y1050" s="142">
        <f>B1050*IBGE_2!Y$1050/100</f>
        <v>0.33</v>
      </c>
      <c r="Z1050" s="142">
        <f>B1050*IBGE_2!Z$1050/100</f>
        <v>0.3</v>
      </c>
      <c r="AA1050" s="142">
        <f>B1050*IBGE_2!AA$1050/100</f>
        <v>8.24</v>
      </c>
      <c r="AB1050" s="142" t="s">
        <v>3047</v>
      </c>
      <c r="AC1050" s="142">
        <f>B1050*IBGE_2!AC$1050/100</f>
        <v>12.657</v>
      </c>
      <c r="AD1050" s="142">
        <f>B1050*IBGE_2!AD$1050/100</f>
        <v>1.57</v>
      </c>
      <c r="AE1050" s="142">
        <f>B1050*IBGE_2!AE$1050/100</f>
        <v>17</v>
      </c>
      <c r="AF1050" s="142">
        <f>B1050*IBGE_2!AF$1050/100</f>
        <v>1.5</v>
      </c>
      <c r="AG1050" s="142">
        <f>B1050*IBGE_2!AG$1050/100</f>
        <v>0.71</v>
      </c>
      <c r="AH1050" s="142">
        <f>B1050*IBGE_2!AH$1050/100</f>
        <v>0.114</v>
      </c>
      <c r="AI1050" s="142">
        <f>B1050*IBGE_2!AI$1050/100</f>
        <v>333</v>
      </c>
      <c r="AJ1050" s="142">
        <f>B1050*IBGE_2!AJ$1050/100</f>
        <v>12.475</v>
      </c>
      <c r="AK1050" s="142" t="s">
        <v>3047</v>
      </c>
      <c r="AL1050" s="142" t="s">
        <v>3047</v>
      </c>
      <c r="AM1050" s="142" t="s">
        <v>3047</v>
      </c>
      <c r="AN1050" s="161"/>
    </row>
    <row r="1051" spans="1:40">
      <c r="A1051" s="143" t="s">
        <v>2111</v>
      </c>
      <c r="B1051" s="141">
        <v>100</v>
      </c>
      <c r="C1051" s="142">
        <f>B1051*IBGE_2!C$1051/100</f>
        <v>164</v>
      </c>
      <c r="D1051" s="142">
        <f>B1051*IBGE_2!D$1051/100</f>
        <v>26.13</v>
      </c>
      <c r="E1051" s="142">
        <f>B1051*IBGE_2!E$1051/100</f>
        <v>5.81</v>
      </c>
      <c r="F1051" s="142">
        <f>B1051*IBGE_2!F$1051/100</f>
        <v>2.31</v>
      </c>
      <c r="G1051" s="142">
        <f>B1051*IBGE_2!G$1051/100</f>
        <v>2.16</v>
      </c>
      <c r="H1051" s="142">
        <f>B1051*IBGE_2!H$1051/100</f>
        <v>0.43</v>
      </c>
      <c r="I1051" s="142">
        <f>B1051*IBGE_2!I$1051/100</f>
        <v>0.32</v>
      </c>
      <c r="J1051" s="142">
        <f>B1051*IBGE_2!J$1051/100</f>
        <v>0.04</v>
      </c>
      <c r="K1051" s="142">
        <f>B1051*IBGE_2!K$1051/100</f>
        <v>109</v>
      </c>
      <c r="L1051" s="142" t="s">
        <v>3047</v>
      </c>
      <c r="M1051" s="142" t="s">
        <v>3047</v>
      </c>
      <c r="N1051" s="142">
        <f>B1051*IBGE_2!N$1051/100</f>
        <v>27</v>
      </c>
      <c r="O1051" s="142">
        <f>B1051*IBGE_2!O$1051/100</f>
        <v>27</v>
      </c>
      <c r="P1051" s="142">
        <f>B1051*IBGE_2!P$1051/100</f>
        <v>0.03</v>
      </c>
      <c r="Q1051" s="142">
        <f>B1051*IBGE_2!Q$1051/100</f>
        <v>226</v>
      </c>
      <c r="R1051" s="142">
        <f>B1051*IBGE_2!R$1051/100</f>
        <v>1.1599999999999999</v>
      </c>
      <c r="S1051" s="142">
        <f>B1051*IBGE_2!S$1051/100</f>
        <v>91</v>
      </c>
      <c r="T1051" s="142">
        <f>B1051*IBGE_2!T$1051/100</f>
        <v>356</v>
      </c>
      <c r="U1051" s="142">
        <f>B1051*IBGE_2!U$1051/100</f>
        <v>0.14599999999999999</v>
      </c>
      <c r="V1051" s="142">
        <f>B1051*IBGE_2!V$1051/100</f>
        <v>4.32</v>
      </c>
      <c r="W1051" s="142" t="s">
        <v>3047</v>
      </c>
      <c r="X1051" s="142">
        <f>B1051*IBGE_2!X$1051/100</f>
        <v>7.0000000000000007E-2</v>
      </c>
      <c r="Y1051" s="142">
        <f>B1051*IBGE_2!Y$1051/100</f>
        <v>0.33</v>
      </c>
      <c r="Z1051" s="142">
        <f>B1051*IBGE_2!Z$1051/100</f>
        <v>0.3</v>
      </c>
      <c r="AA1051" s="142">
        <f>B1051*IBGE_2!AA$1051/100</f>
        <v>8.24</v>
      </c>
      <c r="AB1051" s="142" t="s">
        <v>3047</v>
      </c>
      <c r="AC1051" s="142">
        <f>B1051*IBGE_2!AC$1051/100</f>
        <v>12.657</v>
      </c>
      <c r="AD1051" s="142">
        <f>B1051*IBGE_2!AD$1051/100</f>
        <v>1.57</v>
      </c>
      <c r="AE1051" s="142">
        <f>B1051*IBGE_2!AE$1051/100</f>
        <v>17</v>
      </c>
      <c r="AF1051" s="142">
        <f>B1051*IBGE_2!AF$1051/100</f>
        <v>1.5</v>
      </c>
      <c r="AG1051" s="142">
        <f>B1051*IBGE_2!AG$1051/100</f>
        <v>0.5</v>
      </c>
      <c r="AH1051" s="142">
        <f>B1051*IBGE_2!AH$1051/100</f>
        <v>0.1</v>
      </c>
      <c r="AI1051" s="142">
        <f>B1051*IBGE_2!AI$1051/100</f>
        <v>333</v>
      </c>
      <c r="AJ1051" s="142">
        <f>B1051*IBGE_2!AJ$1051/100</f>
        <v>11.3</v>
      </c>
      <c r="AK1051" s="142" t="s">
        <v>3047</v>
      </c>
      <c r="AL1051" s="142" t="s">
        <v>3047</v>
      </c>
      <c r="AM1051" s="142" t="s">
        <v>3047</v>
      </c>
      <c r="AN1051" s="161"/>
    </row>
    <row r="1052" spans="1:40">
      <c r="A1052" s="143" t="s">
        <v>2112</v>
      </c>
      <c r="B1052" s="141">
        <v>100</v>
      </c>
      <c r="C1052" s="142">
        <f>B1052*IBGE_2!C$1052/100</f>
        <v>164</v>
      </c>
      <c r="D1052" s="142">
        <f>B1052*IBGE_2!D$1052/100</f>
        <v>26.13</v>
      </c>
      <c r="E1052" s="142">
        <f>B1052*IBGE_2!E$1052/100</f>
        <v>5.81</v>
      </c>
      <c r="F1052" s="142">
        <f>B1052*IBGE_2!F$1052/100</f>
        <v>2.31</v>
      </c>
      <c r="G1052" s="142">
        <f>B1052*IBGE_2!G$1052/100</f>
        <v>2.16</v>
      </c>
      <c r="H1052" s="142">
        <f>B1052*IBGE_2!H$1052/100</f>
        <v>0.43</v>
      </c>
      <c r="I1052" s="142">
        <f>B1052*IBGE_2!I$1052/100</f>
        <v>0.32</v>
      </c>
      <c r="J1052" s="142">
        <f>B1052*IBGE_2!J$1052/100</f>
        <v>0.04</v>
      </c>
      <c r="K1052" s="142">
        <f>B1052*IBGE_2!K$1052/100</f>
        <v>109</v>
      </c>
      <c r="L1052" s="142" t="s">
        <v>3047</v>
      </c>
      <c r="M1052" s="142" t="s">
        <v>3047</v>
      </c>
      <c r="N1052" s="142">
        <f>B1052*IBGE_2!N$1052/100</f>
        <v>27</v>
      </c>
      <c r="O1052" s="142">
        <f>B1052*IBGE_2!O$1052/100</f>
        <v>27</v>
      </c>
      <c r="P1052" s="142">
        <f>B1052*IBGE_2!P$1052/100</f>
        <v>0.03</v>
      </c>
      <c r="Q1052" s="142">
        <f>B1052*IBGE_2!Q$1052/100</f>
        <v>226</v>
      </c>
      <c r="R1052" s="142">
        <f>B1052*IBGE_2!R$1052/100</f>
        <v>1.1599999999999999</v>
      </c>
      <c r="S1052" s="142">
        <f>B1052*IBGE_2!S$1052/100</f>
        <v>91</v>
      </c>
      <c r="T1052" s="142">
        <f>B1052*IBGE_2!T$1052/100</f>
        <v>356</v>
      </c>
      <c r="U1052" s="142">
        <f>B1052*IBGE_2!U$1052/100</f>
        <v>0.14599999999999999</v>
      </c>
      <c r="V1052" s="142">
        <f>B1052*IBGE_2!V$1052/100</f>
        <v>4.32</v>
      </c>
      <c r="W1052" s="142" t="s">
        <v>3047</v>
      </c>
      <c r="X1052" s="142">
        <f>B1052*IBGE_2!X$1052/100</f>
        <v>7.0000000000000007E-2</v>
      </c>
      <c r="Y1052" s="142">
        <f>B1052*IBGE_2!Y$1052/100</f>
        <v>0.33</v>
      </c>
      <c r="Z1052" s="142">
        <f>B1052*IBGE_2!Z$1052/100</f>
        <v>0.3</v>
      </c>
      <c r="AA1052" s="142">
        <f>B1052*IBGE_2!AA$1052/100</f>
        <v>8.24</v>
      </c>
      <c r="AB1052" s="142" t="s">
        <v>3047</v>
      </c>
      <c r="AC1052" s="142">
        <f>B1052*IBGE_2!AC$1052/100</f>
        <v>12.657</v>
      </c>
      <c r="AD1052" s="142">
        <f>B1052*IBGE_2!AD$1052/100</f>
        <v>1.57</v>
      </c>
      <c r="AE1052" s="142">
        <f>B1052*IBGE_2!AE$1052/100</f>
        <v>17</v>
      </c>
      <c r="AF1052" s="142">
        <f>B1052*IBGE_2!AF$1052/100</f>
        <v>1.5</v>
      </c>
      <c r="AG1052" s="142">
        <f>B1052*IBGE_2!AG$1052/100</f>
        <v>0.5</v>
      </c>
      <c r="AH1052" s="142">
        <f>B1052*IBGE_2!AH$1052/100</f>
        <v>0.1</v>
      </c>
      <c r="AI1052" s="142">
        <f>B1052*IBGE_2!AI$1052/100</f>
        <v>333</v>
      </c>
      <c r="AJ1052" s="142">
        <f>B1052*IBGE_2!AJ$1052/100</f>
        <v>11.3</v>
      </c>
      <c r="AK1052" s="142" t="s">
        <v>3047</v>
      </c>
      <c r="AL1052" s="142" t="s">
        <v>3047</v>
      </c>
      <c r="AM1052" s="142" t="s">
        <v>3047</v>
      </c>
      <c r="AN1052" s="161"/>
    </row>
    <row r="1053" spans="1:40">
      <c r="A1053" s="143" t="s">
        <v>2113</v>
      </c>
      <c r="B1053" s="141">
        <v>100</v>
      </c>
      <c r="C1053" s="142">
        <f>B1053*IBGE_2!C$1053/100</f>
        <v>242</v>
      </c>
      <c r="D1053" s="142">
        <f>B1053*IBGE_2!D$1053/100</f>
        <v>24.22</v>
      </c>
      <c r="E1053" s="142">
        <f>B1053*IBGE_2!E$1053/100</f>
        <v>15.42</v>
      </c>
      <c r="F1053" s="142">
        <f>B1053*IBGE_2!F$1053/100</f>
        <v>5.7380000000000004</v>
      </c>
      <c r="G1053" s="142">
        <f>B1053*IBGE_2!G$1053/100</f>
        <v>7.0019999999999989</v>
      </c>
      <c r="H1053" s="142">
        <f>B1053*IBGE_2!H$1053/100</f>
        <v>0.61299999999999999</v>
      </c>
      <c r="I1053" s="142">
        <f>B1053*IBGE_2!I$1053/100</f>
        <v>0.41600000000000004</v>
      </c>
      <c r="J1053" s="142">
        <f>B1053*IBGE_2!J$1053/100</f>
        <v>0.16400000000000003</v>
      </c>
      <c r="K1053" s="142">
        <f>B1053*IBGE_2!K$1053/100</f>
        <v>75</v>
      </c>
      <c r="L1053" s="142" t="s">
        <v>3047</v>
      </c>
      <c r="M1053" s="142" t="s">
        <v>3047</v>
      </c>
      <c r="N1053" s="142">
        <f>B1053*IBGE_2!N$1053/100</f>
        <v>8</v>
      </c>
      <c r="O1053" s="142">
        <f>B1053*IBGE_2!O$1053/100</f>
        <v>20</v>
      </c>
      <c r="P1053" s="142">
        <f>B1053*IBGE_2!P$1053/100</f>
        <v>1E-3</v>
      </c>
      <c r="Q1053" s="142">
        <f>B1053*IBGE_2!Q$1053/100</f>
        <v>196</v>
      </c>
      <c r="R1053" s="142">
        <f>B1053*IBGE_2!R$1053/100</f>
        <v>2.81</v>
      </c>
      <c r="S1053" s="142">
        <f>B1053*IBGE_2!S$1053/100</f>
        <v>67</v>
      </c>
      <c r="T1053" s="142">
        <f>B1053*IBGE_2!T$1053/100</f>
        <v>337</v>
      </c>
      <c r="U1053" s="142">
        <f>B1053*IBGE_2!U$1053/100</f>
        <v>9.3000000000000013E-2</v>
      </c>
      <c r="V1053" s="142">
        <f>B1053*IBGE_2!V$1053/100</f>
        <v>5.71</v>
      </c>
      <c r="W1053" s="142" t="s">
        <v>3047</v>
      </c>
      <c r="X1053" s="142">
        <f>B1053*IBGE_2!X$1053/100</f>
        <v>8.1000000000000003E-2</v>
      </c>
      <c r="Y1053" s="142">
        <f>B1053*IBGE_2!Y$1053/100</f>
        <v>0.22600000000000001</v>
      </c>
      <c r="Z1053" s="142">
        <f>B1053*IBGE_2!Z$1053/100</f>
        <v>0.255</v>
      </c>
      <c r="AA1053" s="142">
        <f>B1053*IBGE_2!AA$1053/100</f>
        <v>3.2069999999999999</v>
      </c>
      <c r="AB1053" s="142" t="s">
        <v>3047</v>
      </c>
      <c r="AC1053" s="142">
        <f>B1053*IBGE_2!AC$1053/100</f>
        <v>7.5739999999999998</v>
      </c>
      <c r="AD1053" s="142">
        <f>B1053*IBGE_2!AD$1053/100</f>
        <v>2.83</v>
      </c>
      <c r="AE1053" s="142">
        <f>B1053*IBGE_2!AE$1053/100</f>
        <v>9</v>
      </c>
      <c r="AF1053" s="142">
        <f>B1053*IBGE_2!AF$1053/100</f>
        <v>0.7</v>
      </c>
      <c r="AG1053" s="142">
        <f>B1053*IBGE_2!AG$1053/100</f>
        <v>0.14000000000000001</v>
      </c>
      <c r="AH1053" s="142">
        <f>B1053*IBGE_2!AH$1053/100</f>
        <v>0.68</v>
      </c>
      <c r="AI1053" s="142">
        <f>B1053*IBGE_2!AI$1053/100</f>
        <v>333</v>
      </c>
      <c r="AJ1053" s="142">
        <f>B1053*IBGE_2!AJ$1053/100</f>
        <v>28.3</v>
      </c>
      <c r="AK1053" s="142" t="s">
        <v>3047</v>
      </c>
      <c r="AL1053" s="142" t="s">
        <v>3047</v>
      </c>
      <c r="AM1053" s="142" t="s">
        <v>3047</v>
      </c>
      <c r="AN1053" s="161"/>
    </row>
    <row r="1054" spans="1:40">
      <c r="A1054" s="143" t="s">
        <v>2114</v>
      </c>
      <c r="B1054" s="141">
        <v>100</v>
      </c>
      <c r="C1054" s="142">
        <f>B1054*IBGE_2!C$1054/100</f>
        <v>242</v>
      </c>
      <c r="D1054" s="142">
        <f>B1054*IBGE_2!D$1054/100</f>
        <v>24.22</v>
      </c>
      <c r="E1054" s="142">
        <f>B1054*IBGE_2!E$1054/100</f>
        <v>15.42</v>
      </c>
      <c r="F1054" s="142">
        <f>B1054*IBGE_2!F$1054/100</f>
        <v>5.7380000000000004</v>
      </c>
      <c r="G1054" s="142">
        <f>B1054*IBGE_2!G$1054/100</f>
        <v>7.0019999999999989</v>
      </c>
      <c r="H1054" s="142">
        <f>B1054*IBGE_2!H$1054/100</f>
        <v>0.61299999999999999</v>
      </c>
      <c r="I1054" s="142">
        <f>B1054*IBGE_2!I$1054/100</f>
        <v>0.41600000000000004</v>
      </c>
      <c r="J1054" s="142">
        <f>B1054*IBGE_2!J$1054/100</f>
        <v>0.16400000000000003</v>
      </c>
      <c r="K1054" s="142">
        <f>B1054*IBGE_2!K$1054/100</f>
        <v>75</v>
      </c>
      <c r="L1054" s="142" t="s">
        <v>3047</v>
      </c>
      <c r="M1054" s="142" t="s">
        <v>3047</v>
      </c>
      <c r="N1054" s="142">
        <f>B1054*IBGE_2!N$1054/100</f>
        <v>8</v>
      </c>
      <c r="O1054" s="142">
        <f>B1054*IBGE_2!O$1054/100</f>
        <v>20</v>
      </c>
      <c r="P1054" s="142">
        <f>B1054*IBGE_2!P$1054/100</f>
        <v>1E-3</v>
      </c>
      <c r="Q1054" s="142">
        <f>B1054*IBGE_2!Q$1054/100</f>
        <v>196</v>
      </c>
      <c r="R1054" s="142">
        <f>B1054*IBGE_2!R$1054/100</f>
        <v>2.81</v>
      </c>
      <c r="S1054" s="142">
        <f>B1054*IBGE_2!S$1054/100</f>
        <v>67</v>
      </c>
      <c r="T1054" s="142">
        <f>B1054*IBGE_2!T$1054/100</f>
        <v>337</v>
      </c>
      <c r="U1054" s="142">
        <f>B1054*IBGE_2!U$1054/100</f>
        <v>9.3000000000000013E-2</v>
      </c>
      <c r="V1054" s="142">
        <f>B1054*IBGE_2!V$1054/100</f>
        <v>5.71</v>
      </c>
      <c r="W1054" s="142" t="s">
        <v>3047</v>
      </c>
      <c r="X1054" s="142">
        <f>B1054*IBGE_2!X$1054/100</f>
        <v>8.1000000000000003E-2</v>
      </c>
      <c r="Y1054" s="142">
        <f>B1054*IBGE_2!Y$1054/100</f>
        <v>0.22600000000000001</v>
      </c>
      <c r="Z1054" s="142">
        <f>B1054*IBGE_2!Z$1054/100</f>
        <v>0.255</v>
      </c>
      <c r="AA1054" s="142">
        <f>B1054*IBGE_2!AA$1054/100</f>
        <v>3.2069999999999999</v>
      </c>
      <c r="AB1054" s="142" t="s">
        <v>3047</v>
      </c>
      <c r="AC1054" s="142">
        <f>B1054*IBGE_2!AC$1054/100</f>
        <v>7.5739999999999998</v>
      </c>
      <c r="AD1054" s="142">
        <f>B1054*IBGE_2!AD$1054/100</f>
        <v>2.83</v>
      </c>
      <c r="AE1054" s="142">
        <f>B1054*IBGE_2!AE$1054/100</f>
        <v>9</v>
      </c>
      <c r="AF1054" s="142">
        <f>B1054*IBGE_2!AF$1054/100</f>
        <v>0.7</v>
      </c>
      <c r="AG1054" s="142">
        <f>B1054*IBGE_2!AG$1054/100</f>
        <v>0.14000000000000001</v>
      </c>
      <c r="AH1054" s="142">
        <f>B1054*IBGE_2!AH$1054/100</f>
        <v>0.68</v>
      </c>
      <c r="AI1054" s="142">
        <f>B1054*IBGE_2!AI$1054/100</f>
        <v>333</v>
      </c>
      <c r="AJ1054" s="142">
        <f>B1054*IBGE_2!AJ$1054/100</f>
        <v>28.3</v>
      </c>
      <c r="AK1054" s="142" t="s">
        <v>3047</v>
      </c>
      <c r="AL1054" s="142" t="s">
        <v>3047</v>
      </c>
      <c r="AM1054" s="142" t="s">
        <v>3047</v>
      </c>
      <c r="AN1054" s="161"/>
    </row>
    <row r="1055" spans="1:40">
      <c r="A1055" s="143" t="s">
        <v>2115</v>
      </c>
      <c r="B1055" s="141">
        <v>100</v>
      </c>
      <c r="C1055" s="142">
        <f>B1055*IBGE_2!C$1055/100</f>
        <v>242</v>
      </c>
      <c r="D1055" s="142">
        <f>B1055*IBGE_2!D$1055/100</f>
        <v>24.22</v>
      </c>
      <c r="E1055" s="142">
        <f>B1055*IBGE_2!E$1055/100</f>
        <v>15.42</v>
      </c>
      <c r="F1055" s="142">
        <f>B1055*IBGE_2!F$1055/100</f>
        <v>5.7380000000000004</v>
      </c>
      <c r="G1055" s="142">
        <f>B1055*IBGE_2!G$1055/100</f>
        <v>7.0019999999999989</v>
      </c>
      <c r="H1055" s="142">
        <f>B1055*IBGE_2!H$1055/100</f>
        <v>0.61299999999999999</v>
      </c>
      <c r="I1055" s="142">
        <f>B1055*IBGE_2!I$1055/100</f>
        <v>0.41600000000000004</v>
      </c>
      <c r="J1055" s="142">
        <f>B1055*IBGE_2!J$1055/100</f>
        <v>0.16400000000000003</v>
      </c>
      <c r="K1055" s="142">
        <f>B1055*IBGE_2!K$1055/100</f>
        <v>75</v>
      </c>
      <c r="L1055" s="142" t="s">
        <v>3047</v>
      </c>
      <c r="M1055" s="142" t="s">
        <v>3047</v>
      </c>
      <c r="N1055" s="142">
        <f>B1055*IBGE_2!N$1055/100</f>
        <v>8</v>
      </c>
      <c r="O1055" s="142">
        <f>B1055*IBGE_2!O$1055/100</f>
        <v>20</v>
      </c>
      <c r="P1055" s="142">
        <f>B1055*IBGE_2!P$1055/100</f>
        <v>1E-3</v>
      </c>
      <c r="Q1055" s="142">
        <f>B1055*IBGE_2!Q$1055/100</f>
        <v>196</v>
      </c>
      <c r="R1055" s="142">
        <f>B1055*IBGE_2!R$1055/100</f>
        <v>2.81</v>
      </c>
      <c r="S1055" s="142">
        <f>B1055*IBGE_2!S$1055/100</f>
        <v>67</v>
      </c>
      <c r="T1055" s="142">
        <f>B1055*IBGE_2!T$1055/100</f>
        <v>337</v>
      </c>
      <c r="U1055" s="142">
        <f>B1055*IBGE_2!U$1055/100</f>
        <v>9.3000000000000013E-2</v>
      </c>
      <c r="V1055" s="142">
        <f>B1055*IBGE_2!V$1055/100</f>
        <v>5.71</v>
      </c>
      <c r="W1055" s="142" t="s">
        <v>3047</v>
      </c>
      <c r="X1055" s="142">
        <f>B1055*IBGE_2!X$1055/100</f>
        <v>8.1000000000000003E-2</v>
      </c>
      <c r="Y1055" s="142">
        <f>B1055*IBGE_2!Y$1055/100</f>
        <v>0.22600000000000001</v>
      </c>
      <c r="Z1055" s="142">
        <f>B1055*IBGE_2!Z$1055/100</f>
        <v>0.255</v>
      </c>
      <c r="AA1055" s="142">
        <f>B1055*IBGE_2!AA$1055/100</f>
        <v>3.2069999999999999</v>
      </c>
      <c r="AB1055" s="142" t="s">
        <v>3047</v>
      </c>
      <c r="AC1055" s="142">
        <f>B1055*IBGE_2!AC$1055/100</f>
        <v>7.5739999999999998</v>
      </c>
      <c r="AD1055" s="142">
        <f>B1055*IBGE_2!AD$1055/100</f>
        <v>2.83</v>
      </c>
      <c r="AE1055" s="142">
        <f>B1055*IBGE_2!AE$1055/100</f>
        <v>9</v>
      </c>
      <c r="AF1055" s="142">
        <f>B1055*IBGE_2!AF$1055/100</f>
        <v>0.7</v>
      </c>
      <c r="AG1055" s="142">
        <f>B1055*IBGE_2!AG$1055/100</f>
        <v>0.14000000000000001</v>
      </c>
      <c r="AH1055" s="142">
        <f>B1055*IBGE_2!AH$1055/100</f>
        <v>0.68</v>
      </c>
      <c r="AI1055" s="142">
        <f>B1055*IBGE_2!AI$1055/100</f>
        <v>333</v>
      </c>
      <c r="AJ1055" s="142">
        <f>B1055*IBGE_2!AJ$1055/100</f>
        <v>28.3</v>
      </c>
      <c r="AK1055" s="142" t="s">
        <v>3047</v>
      </c>
      <c r="AL1055" s="142" t="s">
        <v>3047</v>
      </c>
      <c r="AM1055" s="142" t="s">
        <v>3047</v>
      </c>
      <c r="AN1055" s="161"/>
    </row>
    <row r="1056" spans="1:40">
      <c r="A1056" s="143" t="s">
        <v>2116</v>
      </c>
      <c r="B1056" s="141">
        <v>100</v>
      </c>
      <c r="C1056" s="142">
        <f>B1056*IBGE_2!C$1056/100</f>
        <v>242</v>
      </c>
      <c r="D1056" s="142">
        <f>B1056*IBGE_2!D$1056/100</f>
        <v>24.22</v>
      </c>
      <c r="E1056" s="142">
        <f>B1056*IBGE_2!E$1056/100</f>
        <v>15.42</v>
      </c>
      <c r="F1056" s="142">
        <f>B1056*IBGE_2!F$1056/100</f>
        <v>5.7380000000000004</v>
      </c>
      <c r="G1056" s="142">
        <f>B1056*IBGE_2!G$1056/100</f>
        <v>7.0019999999999989</v>
      </c>
      <c r="H1056" s="142">
        <f>B1056*IBGE_2!H$1056/100</f>
        <v>0.61299999999999999</v>
      </c>
      <c r="I1056" s="142">
        <f>B1056*IBGE_2!I$1056/100</f>
        <v>0.41600000000000004</v>
      </c>
      <c r="J1056" s="142">
        <f>B1056*IBGE_2!J$1056/100</f>
        <v>0.16400000000000003</v>
      </c>
      <c r="K1056" s="142">
        <f>B1056*IBGE_2!K$1056/100</f>
        <v>75</v>
      </c>
      <c r="L1056" s="142" t="s">
        <v>3047</v>
      </c>
      <c r="M1056" s="142" t="s">
        <v>3047</v>
      </c>
      <c r="N1056" s="142">
        <f>B1056*IBGE_2!N$1056/100</f>
        <v>8</v>
      </c>
      <c r="O1056" s="142">
        <f>B1056*IBGE_2!O$1056/100</f>
        <v>20</v>
      </c>
      <c r="P1056" s="142">
        <f>B1056*IBGE_2!P$1056/100</f>
        <v>1E-3</v>
      </c>
      <c r="Q1056" s="142">
        <f>B1056*IBGE_2!Q$1056/100</f>
        <v>196</v>
      </c>
      <c r="R1056" s="142">
        <f>B1056*IBGE_2!R$1056/100</f>
        <v>2.81</v>
      </c>
      <c r="S1056" s="142">
        <f>B1056*IBGE_2!S$1056/100</f>
        <v>67</v>
      </c>
      <c r="T1056" s="142">
        <f>B1056*IBGE_2!T$1056/100</f>
        <v>337</v>
      </c>
      <c r="U1056" s="142">
        <f>B1056*IBGE_2!U$1056/100</f>
        <v>9.3000000000000013E-2</v>
      </c>
      <c r="V1056" s="142">
        <f>B1056*IBGE_2!V$1056/100</f>
        <v>5.71</v>
      </c>
      <c r="W1056" s="142" t="s">
        <v>3047</v>
      </c>
      <c r="X1056" s="142">
        <f>B1056*IBGE_2!X$1056/100</f>
        <v>8.1000000000000003E-2</v>
      </c>
      <c r="Y1056" s="142">
        <f>B1056*IBGE_2!Y$1056/100</f>
        <v>0.22600000000000001</v>
      </c>
      <c r="Z1056" s="142">
        <f>B1056*IBGE_2!Z$1056/100</f>
        <v>0.255</v>
      </c>
      <c r="AA1056" s="142">
        <f>B1056*IBGE_2!AA$1056/100</f>
        <v>3.2069999999999999</v>
      </c>
      <c r="AB1056" s="142" t="s">
        <v>3047</v>
      </c>
      <c r="AC1056" s="142">
        <f>B1056*IBGE_2!AC$1056/100</f>
        <v>7.5739999999999998</v>
      </c>
      <c r="AD1056" s="142">
        <f>B1056*IBGE_2!AD$1056/100</f>
        <v>2.83</v>
      </c>
      <c r="AE1056" s="142">
        <f>B1056*IBGE_2!AE$1056/100</f>
        <v>9</v>
      </c>
      <c r="AF1056" s="142">
        <f>B1056*IBGE_2!AF$1056/100</f>
        <v>0.7</v>
      </c>
      <c r="AG1056" s="142">
        <f>B1056*IBGE_2!AG$1056/100</f>
        <v>0.14000000000000001</v>
      </c>
      <c r="AH1056" s="142">
        <f>B1056*IBGE_2!AH$1056/100</f>
        <v>0.68</v>
      </c>
      <c r="AI1056" s="142">
        <f>B1056*IBGE_2!AI$1056/100</f>
        <v>333</v>
      </c>
      <c r="AJ1056" s="142">
        <f>B1056*IBGE_2!AJ$1056/100</f>
        <v>28.3</v>
      </c>
      <c r="AK1056" s="142" t="s">
        <v>3047</v>
      </c>
      <c r="AL1056" s="142" t="s">
        <v>3047</v>
      </c>
      <c r="AM1056" s="142" t="s">
        <v>3047</v>
      </c>
      <c r="AN1056" s="161"/>
    </row>
    <row r="1057" spans="1:40">
      <c r="A1057" s="143" t="s">
        <v>2117</v>
      </c>
      <c r="B1057" s="141">
        <v>100</v>
      </c>
      <c r="C1057" s="142">
        <f>B1057*IBGE_2!C$1057/100</f>
        <v>264.65899999999999</v>
      </c>
      <c r="D1057" s="142">
        <f>B1057*IBGE_2!D$1057/100</f>
        <v>24.22</v>
      </c>
      <c r="E1057" s="142">
        <f>B1057*IBGE_2!E$1057/100</f>
        <v>17.983000000000001</v>
      </c>
      <c r="F1057" s="142">
        <f>B1057*IBGE_2!F$1057/100</f>
        <v>6.1389999999999993</v>
      </c>
      <c r="G1057" s="142">
        <f>B1057*IBGE_2!G$1057/100</f>
        <v>7.5860000000000003</v>
      </c>
      <c r="H1057" s="142">
        <f>B1057*IBGE_2!H$1057/100</f>
        <v>2.093</v>
      </c>
      <c r="I1057" s="142">
        <f>B1057*IBGE_2!I$1057/100</f>
        <v>1.722</v>
      </c>
      <c r="J1057" s="142">
        <f>B1057*IBGE_2!J$1057/100</f>
        <v>0.33800000000000002</v>
      </c>
      <c r="K1057" s="142">
        <f>B1057*IBGE_2!K$1057/100</f>
        <v>75</v>
      </c>
      <c r="L1057" s="142" t="s">
        <v>3047</v>
      </c>
      <c r="M1057" s="142" t="s">
        <v>3047</v>
      </c>
      <c r="N1057" s="142">
        <f>B1057*IBGE_2!N$1057/100</f>
        <v>8</v>
      </c>
      <c r="O1057" s="142">
        <f>B1057*IBGE_2!O$1057/100</f>
        <v>20</v>
      </c>
      <c r="P1057" s="142">
        <f>B1057*IBGE_2!P$1057/100</f>
        <v>1E-3</v>
      </c>
      <c r="Q1057" s="142">
        <f>B1057*IBGE_2!Q$1057/100</f>
        <v>196</v>
      </c>
      <c r="R1057" s="142">
        <f>B1057*IBGE_2!R$1057/100</f>
        <v>2.8110000000000004</v>
      </c>
      <c r="S1057" s="142">
        <f>B1057*IBGE_2!S$1057/100</f>
        <v>67</v>
      </c>
      <c r="T1057" s="142">
        <f>B1057*IBGE_2!T$1057/100</f>
        <v>337</v>
      </c>
      <c r="U1057" s="142">
        <f>B1057*IBGE_2!U$1057/100</f>
        <v>9.3000000000000013E-2</v>
      </c>
      <c r="V1057" s="142">
        <f>B1057*IBGE_2!V$1057/100</f>
        <v>5.71</v>
      </c>
      <c r="W1057" s="142" t="s">
        <v>3047</v>
      </c>
      <c r="X1057" s="142">
        <f>B1057*IBGE_2!X$1057/100</f>
        <v>8.1000000000000003E-2</v>
      </c>
      <c r="Y1057" s="142">
        <f>B1057*IBGE_2!Y$1057/100</f>
        <v>0.22600000000000001</v>
      </c>
      <c r="Z1057" s="142">
        <f>B1057*IBGE_2!Z$1057/100</f>
        <v>0.255</v>
      </c>
      <c r="AA1057" s="142">
        <f>B1057*IBGE_2!AA$1057/100</f>
        <v>3.2069999999999999</v>
      </c>
      <c r="AB1057" s="142" t="s">
        <v>3047</v>
      </c>
      <c r="AC1057" s="142">
        <f>B1057*IBGE_2!AC$1057/100</f>
        <v>7.5739999999999998</v>
      </c>
      <c r="AD1057" s="142">
        <f>B1057*IBGE_2!AD$1057/100</f>
        <v>2.83</v>
      </c>
      <c r="AE1057" s="142">
        <f>B1057*IBGE_2!AE$1057/100</f>
        <v>9</v>
      </c>
      <c r="AF1057" s="142">
        <f>B1057*IBGE_2!AF$1057/100</f>
        <v>0.7</v>
      </c>
      <c r="AG1057" s="142">
        <f>B1057*IBGE_2!AG$1057/100</f>
        <v>0.35</v>
      </c>
      <c r="AH1057" s="142">
        <f>B1057*IBGE_2!AH$1057/100</f>
        <v>0.69399999999999995</v>
      </c>
      <c r="AI1057" s="142">
        <f>B1057*IBGE_2!AI$1057/100</f>
        <v>333</v>
      </c>
      <c r="AJ1057" s="142">
        <f>B1057*IBGE_2!AJ$1057/100</f>
        <v>29.475000000000001</v>
      </c>
      <c r="AK1057" s="142" t="s">
        <v>3047</v>
      </c>
      <c r="AL1057" s="142" t="s">
        <v>3047</v>
      </c>
      <c r="AM1057" s="142" t="s">
        <v>3047</v>
      </c>
      <c r="AN1057" s="161"/>
    </row>
    <row r="1058" spans="1:40">
      <c r="A1058" s="143" t="s">
        <v>2118</v>
      </c>
      <c r="B1058" s="141">
        <v>100</v>
      </c>
      <c r="C1058" s="142">
        <f>B1058*IBGE_2!C$1058/100</f>
        <v>280.83699999999999</v>
      </c>
      <c r="D1058" s="142">
        <f>B1058*IBGE_2!D$1058/100</f>
        <v>24.678999999999995</v>
      </c>
      <c r="E1058" s="142">
        <f>B1058*IBGE_2!E$1058/100</f>
        <v>18.027000000000001</v>
      </c>
      <c r="F1058" s="142">
        <f>B1058*IBGE_2!F$1058/100</f>
        <v>6.1459999999999999</v>
      </c>
      <c r="G1058" s="142">
        <f>B1058*IBGE_2!G$1058/100</f>
        <v>7.59</v>
      </c>
      <c r="H1058" s="142">
        <f>B1058*IBGE_2!H$1058/100</f>
        <v>2.1110000000000002</v>
      </c>
      <c r="I1058" s="142">
        <f>B1058*IBGE_2!I$1058/100</f>
        <v>1.7390000000000001</v>
      </c>
      <c r="J1058" s="142">
        <f>B1058*IBGE_2!J$1058/100</f>
        <v>0.33900000000000008</v>
      </c>
      <c r="K1058" s="142">
        <f>B1058*IBGE_2!K$1058/100</f>
        <v>75</v>
      </c>
      <c r="L1058" s="142">
        <f>B1058*IBGE_2!L$1058/100</f>
        <v>3.3919999999999999</v>
      </c>
      <c r="M1058" s="142">
        <f>B1058*IBGE_2!M$1058/100</f>
        <v>0.13500000000000001</v>
      </c>
      <c r="N1058" s="142">
        <f>B1058*IBGE_2!N$1058/100</f>
        <v>8.6669999999999998</v>
      </c>
      <c r="O1058" s="142">
        <f>B1058*IBGE_2!O$1058/100</f>
        <v>20.978000000000002</v>
      </c>
      <c r="P1058" s="142">
        <f>B1058*IBGE_2!P$1058/100</f>
        <v>3.1E-2</v>
      </c>
      <c r="Q1058" s="142">
        <f>B1058*IBGE_2!Q$1058/100</f>
        <v>200.8</v>
      </c>
      <c r="R1058" s="142">
        <f>B1058*IBGE_2!R$1058/100</f>
        <v>3.0179999999999993</v>
      </c>
      <c r="S1058" s="142">
        <f>B1058*IBGE_2!S$1058/100</f>
        <v>67.088999999999999</v>
      </c>
      <c r="T1058" s="142">
        <f>B1058*IBGE_2!T$1058/100</f>
        <v>341.75599999999997</v>
      </c>
      <c r="U1058" s="142">
        <f>B1058*IBGE_2!U$1058/100</f>
        <v>9.9000000000000005E-2</v>
      </c>
      <c r="V1058" s="142">
        <f>B1058*IBGE_2!V$1058/100</f>
        <v>5.7409999999999988</v>
      </c>
      <c r="W1058" s="142" t="s">
        <v>3047</v>
      </c>
      <c r="X1058" s="142">
        <f>B1058*IBGE_2!X$1058/100</f>
        <v>0.11600000000000002</v>
      </c>
      <c r="Y1058" s="142">
        <f>B1058*IBGE_2!Y$1058/100</f>
        <v>0.248</v>
      </c>
      <c r="Z1058" s="142">
        <f>B1058*IBGE_2!Z$1058/100</f>
        <v>0.25700000000000001</v>
      </c>
      <c r="AA1058" s="142">
        <f>B1058*IBGE_2!AA$1058/100</f>
        <v>3.4689999999999999</v>
      </c>
      <c r="AB1058" s="142" t="s">
        <v>3047</v>
      </c>
      <c r="AC1058" s="142">
        <f>B1058*IBGE_2!AC$1058/100</f>
        <v>7.93</v>
      </c>
      <c r="AD1058" s="142">
        <f>B1058*IBGE_2!AD$1058/100</f>
        <v>2.83</v>
      </c>
      <c r="AE1058" s="142">
        <f>B1058*IBGE_2!AE$1058/100</f>
        <v>18.067</v>
      </c>
      <c r="AF1058" s="142">
        <f>B1058*IBGE_2!AF$1058/100</f>
        <v>0.7</v>
      </c>
      <c r="AG1058" s="142">
        <f>B1058*IBGE_2!AG$1058/100</f>
        <v>0.35199999999999998</v>
      </c>
      <c r="AH1058" s="142">
        <f>B1058*IBGE_2!AH$1058/100</f>
        <v>0.69399999999999995</v>
      </c>
      <c r="AI1058" s="142">
        <f>B1058*IBGE_2!AI$1058/100</f>
        <v>333</v>
      </c>
      <c r="AJ1058" s="142">
        <f>B1058*IBGE_2!AJ$1058/100</f>
        <v>30.981000000000005</v>
      </c>
      <c r="AK1058" s="142" t="s">
        <v>3047</v>
      </c>
      <c r="AL1058" s="142">
        <f>B1058*IBGE_2!AL$1058/100</f>
        <v>1.4000000000000002E-2</v>
      </c>
      <c r="AM1058" s="142" t="s">
        <v>3047</v>
      </c>
      <c r="AN1058" s="161"/>
    </row>
    <row r="1059" spans="1:40">
      <c r="A1059" s="143" t="s">
        <v>2119</v>
      </c>
      <c r="B1059" s="141">
        <v>100</v>
      </c>
      <c r="C1059" s="142">
        <f>B1059*IBGE_2!C$1059/100</f>
        <v>264.65899999999999</v>
      </c>
      <c r="D1059" s="142">
        <f>B1059*IBGE_2!D$1059/100</f>
        <v>24.22</v>
      </c>
      <c r="E1059" s="142">
        <f>B1059*IBGE_2!E$1059/100</f>
        <v>17.983000000000001</v>
      </c>
      <c r="F1059" s="142">
        <f>B1059*IBGE_2!F$1059/100</f>
        <v>6.1389999999999993</v>
      </c>
      <c r="G1059" s="142">
        <f>B1059*IBGE_2!G$1059/100</f>
        <v>7.5860000000000003</v>
      </c>
      <c r="H1059" s="142">
        <f>B1059*IBGE_2!H$1059/100</f>
        <v>2.093</v>
      </c>
      <c r="I1059" s="142">
        <f>B1059*IBGE_2!I$1059/100</f>
        <v>1.722</v>
      </c>
      <c r="J1059" s="142">
        <f>B1059*IBGE_2!J$1059/100</f>
        <v>0.33800000000000002</v>
      </c>
      <c r="K1059" s="142">
        <f>B1059*IBGE_2!K$1059/100</f>
        <v>75</v>
      </c>
      <c r="L1059" s="142" t="s">
        <v>3047</v>
      </c>
      <c r="M1059" s="142" t="s">
        <v>3047</v>
      </c>
      <c r="N1059" s="142">
        <f>B1059*IBGE_2!N$1059/100</f>
        <v>8</v>
      </c>
      <c r="O1059" s="142">
        <f>B1059*IBGE_2!O$1059/100</f>
        <v>20</v>
      </c>
      <c r="P1059" s="142">
        <f>B1059*IBGE_2!P$1059/100</f>
        <v>1E-3</v>
      </c>
      <c r="Q1059" s="142">
        <f>B1059*IBGE_2!Q$1059/100</f>
        <v>196</v>
      </c>
      <c r="R1059" s="142">
        <f>B1059*IBGE_2!R$1059/100</f>
        <v>2.8110000000000004</v>
      </c>
      <c r="S1059" s="142">
        <f>B1059*IBGE_2!S$1059/100</f>
        <v>67</v>
      </c>
      <c r="T1059" s="142">
        <f>B1059*IBGE_2!T$1059/100</f>
        <v>337</v>
      </c>
      <c r="U1059" s="142">
        <f>B1059*IBGE_2!U$1059/100</f>
        <v>9.3000000000000013E-2</v>
      </c>
      <c r="V1059" s="142">
        <f>B1059*IBGE_2!V$1059/100</f>
        <v>5.71</v>
      </c>
      <c r="W1059" s="142" t="s">
        <v>3047</v>
      </c>
      <c r="X1059" s="142">
        <f>B1059*IBGE_2!X$1059/100</f>
        <v>8.1000000000000003E-2</v>
      </c>
      <c r="Y1059" s="142">
        <f>B1059*IBGE_2!Y$1059/100</f>
        <v>0.22600000000000001</v>
      </c>
      <c r="Z1059" s="142">
        <f>B1059*IBGE_2!Z$1059/100</f>
        <v>0.255</v>
      </c>
      <c r="AA1059" s="142">
        <f>B1059*IBGE_2!AA$1059/100</f>
        <v>3.2069999999999999</v>
      </c>
      <c r="AB1059" s="142" t="s">
        <v>3047</v>
      </c>
      <c r="AC1059" s="142">
        <f>B1059*IBGE_2!AC$1059/100</f>
        <v>7.5739999999999998</v>
      </c>
      <c r="AD1059" s="142">
        <f>B1059*IBGE_2!AD$1059/100</f>
        <v>2.83</v>
      </c>
      <c r="AE1059" s="142">
        <f>B1059*IBGE_2!AE$1059/100</f>
        <v>9</v>
      </c>
      <c r="AF1059" s="142">
        <f>B1059*IBGE_2!AF$1059/100</f>
        <v>0.7</v>
      </c>
      <c r="AG1059" s="142">
        <f>B1059*IBGE_2!AG$1059/100</f>
        <v>0.35</v>
      </c>
      <c r="AH1059" s="142">
        <f>B1059*IBGE_2!AH$1059/100</f>
        <v>0.69399999999999995</v>
      </c>
      <c r="AI1059" s="142">
        <f>B1059*IBGE_2!AI$1059/100</f>
        <v>333</v>
      </c>
      <c r="AJ1059" s="142">
        <f>B1059*IBGE_2!AJ$1059/100</f>
        <v>29.475000000000001</v>
      </c>
      <c r="AK1059" s="142" t="s">
        <v>3047</v>
      </c>
      <c r="AL1059" s="145" t="s">
        <v>3047</v>
      </c>
      <c r="AM1059" s="142" t="s">
        <v>3047</v>
      </c>
      <c r="AN1059" s="161"/>
    </row>
    <row r="1060" spans="1:40">
      <c r="A1060" s="143" t="s">
        <v>2120</v>
      </c>
      <c r="B1060" s="141">
        <v>100</v>
      </c>
      <c r="C1060" s="142">
        <f>B1060*IBGE_2!C$1060/100</f>
        <v>198.4</v>
      </c>
      <c r="D1060" s="142">
        <f>B1060*IBGE_2!D$1060/100</f>
        <v>19.64</v>
      </c>
      <c r="E1060" s="142">
        <f>B1060*IBGE_2!E$1060/100</f>
        <v>12.372</v>
      </c>
      <c r="F1060" s="142">
        <f>B1060*IBGE_2!F$1060/100</f>
        <v>4.5949999999999998</v>
      </c>
      <c r="G1060" s="142">
        <f>B1060*IBGE_2!G$1060/100</f>
        <v>5.6070000000000002</v>
      </c>
      <c r="H1060" s="142">
        <f>B1060*IBGE_2!H$1060/100</f>
        <v>0.505</v>
      </c>
      <c r="I1060" s="142">
        <f>B1060*IBGE_2!I$1060/100</f>
        <v>0.34699999999999998</v>
      </c>
      <c r="J1060" s="142">
        <f>B1060*IBGE_2!J$1060/100</f>
        <v>0.13200000000000001</v>
      </c>
      <c r="K1060" s="142">
        <f>B1060*IBGE_2!K$1060/100</f>
        <v>60</v>
      </c>
      <c r="L1060" s="142">
        <f>B1060*IBGE_2!L$1060/100</f>
        <v>1.0760000000000001</v>
      </c>
      <c r="M1060" s="142">
        <f>B1060*IBGE_2!M$1060/100</f>
        <v>0.3</v>
      </c>
      <c r="N1060" s="142">
        <f>B1060*IBGE_2!N$1060/100</f>
        <v>9</v>
      </c>
      <c r="O1060" s="142">
        <f>B1060*IBGE_2!O$1060/100</f>
        <v>19.2</v>
      </c>
      <c r="P1060" s="142">
        <f>B1060*IBGE_2!P$1060/100</f>
        <v>2.1999999999999999E-2</v>
      </c>
      <c r="Q1060" s="142">
        <f>B1060*IBGE_2!Q$1060/100</f>
        <v>162</v>
      </c>
      <c r="R1060" s="142">
        <f>B1060*IBGE_2!R$1060/100</f>
        <v>2.452</v>
      </c>
      <c r="S1060" s="142">
        <f>B1060*IBGE_2!S$1060/100</f>
        <v>158.4</v>
      </c>
      <c r="T1060" s="142">
        <f>B1060*IBGE_2!T$1060/100</f>
        <v>335.8</v>
      </c>
      <c r="U1060" s="142">
        <f>B1060*IBGE_2!U$1060/100</f>
        <v>9.8000000000000004E-2</v>
      </c>
      <c r="V1060" s="142">
        <f>B1060*IBGE_2!V$1060/100</f>
        <v>4.6079999999999997</v>
      </c>
      <c r="W1060" s="142" t="s">
        <v>3047</v>
      </c>
      <c r="X1060" s="142">
        <f>B1060*IBGE_2!X$1060/100</f>
        <v>7.0000000000000007E-2</v>
      </c>
      <c r="Y1060" s="142">
        <f>B1060*IBGE_2!Y$1060/100</f>
        <v>0.19400000000000003</v>
      </c>
      <c r="Z1060" s="142">
        <f>B1060*IBGE_2!Z$1060/100</f>
        <v>0.223</v>
      </c>
      <c r="AA1060" s="142">
        <f>B1060*IBGE_2!AA$1060/100</f>
        <v>2.7610000000000001</v>
      </c>
      <c r="AB1060" s="142">
        <f>B1060*IBGE_2!AB$1060/100</f>
        <v>1.4</v>
      </c>
      <c r="AC1060" s="142">
        <f>B1060*IBGE_2!AC$1060/100</f>
        <v>6.2870000000000008</v>
      </c>
      <c r="AD1060" s="142">
        <f>B1060*IBGE_2!AD$1060/100</f>
        <v>2.2639999999999998</v>
      </c>
      <c r="AE1060" s="142">
        <f>B1060*IBGE_2!AE$1060/100</f>
        <v>9.4</v>
      </c>
      <c r="AF1060" s="142">
        <f>B1060*IBGE_2!AF$1060/100</f>
        <v>0.56000000000000005</v>
      </c>
      <c r="AG1060" s="142">
        <f>B1060*IBGE_2!AG$1060/100</f>
        <v>0.39600000000000002</v>
      </c>
      <c r="AH1060" s="142">
        <f>B1060*IBGE_2!AH$1060/100</f>
        <v>0.54400000000000004</v>
      </c>
      <c r="AI1060" s="142">
        <f>B1060*IBGE_2!AI$1060/100</f>
        <v>333</v>
      </c>
      <c r="AJ1060" s="142">
        <f>B1060*IBGE_2!AJ$1060/100</f>
        <v>22.68</v>
      </c>
      <c r="AK1060" s="142">
        <f>B1060*IBGE_2!AK$1060/100</f>
        <v>3.4830000000000001</v>
      </c>
      <c r="AL1060" s="142">
        <f>B1060*IBGE_2!AL$1060/100</f>
        <v>0.85</v>
      </c>
      <c r="AM1060" s="142" t="s">
        <v>3047</v>
      </c>
      <c r="AN1060" s="161"/>
    </row>
    <row r="1061" spans="1:40">
      <c r="A1061" s="143" t="s">
        <v>2121</v>
      </c>
      <c r="B1061" s="141">
        <v>100</v>
      </c>
      <c r="C1061" s="142">
        <f>B1061*IBGE_2!C$1061/100</f>
        <v>261.137</v>
      </c>
      <c r="D1061" s="142">
        <f>B1061*IBGE_2!D$1061/100</f>
        <v>24.242999999999999</v>
      </c>
      <c r="E1061" s="142">
        <f>B1061*IBGE_2!E$1061/100</f>
        <v>17.585000000000001</v>
      </c>
      <c r="F1061" s="142">
        <f>B1061*IBGE_2!F$1061/100</f>
        <v>7.109</v>
      </c>
      <c r="G1061" s="142">
        <f>B1061*IBGE_2!G$1061/100</f>
        <v>7.5629999999999997</v>
      </c>
      <c r="H1061" s="142">
        <f>B1061*IBGE_2!H$1061/100</f>
        <v>0.69399999999999995</v>
      </c>
      <c r="I1061" s="142">
        <f>B1061*IBGE_2!I$1061/100</f>
        <v>0.48899999999999999</v>
      </c>
      <c r="J1061" s="142">
        <f>B1061*IBGE_2!J$1061/100</f>
        <v>0.17199999999999999</v>
      </c>
      <c r="K1061" s="142">
        <f>B1061*IBGE_2!K$1061/100</f>
        <v>80.738</v>
      </c>
      <c r="L1061" s="142">
        <f>B1061*IBGE_2!L$1061/100</f>
        <v>2E-3</v>
      </c>
      <c r="M1061" s="142" t="s">
        <v>3047</v>
      </c>
      <c r="N1061" s="142">
        <f>B1061*IBGE_2!N$1061/100</f>
        <v>8.641</v>
      </c>
      <c r="O1061" s="142">
        <f>B1061*IBGE_2!O$1061/100</f>
        <v>20.053000000000001</v>
      </c>
      <c r="P1061" s="142">
        <f>B1061*IBGE_2!P$1061/100</f>
        <v>1E-3</v>
      </c>
      <c r="Q1061" s="142">
        <f>B1061*IBGE_2!Q$1061/100</f>
        <v>196.64099999999999</v>
      </c>
      <c r="R1061" s="142">
        <f>B1061*IBGE_2!R$1061/100</f>
        <v>2.8110000000000004</v>
      </c>
      <c r="S1061" s="142">
        <f>B1061*IBGE_2!S$1061/100</f>
        <v>82.373999999999995</v>
      </c>
      <c r="T1061" s="142">
        <f>B1061*IBGE_2!T$1061/100</f>
        <v>337.64099999999996</v>
      </c>
      <c r="U1061" s="142">
        <f>B1061*IBGE_2!U$1061/100</f>
        <v>9.3000000000000013E-2</v>
      </c>
      <c r="V1061" s="142">
        <f>B1061*IBGE_2!V$1061/100</f>
        <v>5.7119999999999997</v>
      </c>
      <c r="W1061" s="142">
        <f>B1061*IBGE_2!W$1061/100</f>
        <v>17.908999999999999</v>
      </c>
      <c r="X1061" s="142">
        <f>B1061*IBGE_2!X$1061/100</f>
        <v>8.1000000000000003E-2</v>
      </c>
      <c r="Y1061" s="142">
        <f>B1061*IBGE_2!Y$1061/100</f>
        <v>0.22699999999999998</v>
      </c>
      <c r="Z1061" s="142">
        <f>B1061*IBGE_2!Z$1061/100</f>
        <v>0.255</v>
      </c>
      <c r="AA1061" s="142">
        <f>B1061*IBGE_2!AA$1061/100</f>
        <v>3.2080000000000002</v>
      </c>
      <c r="AB1061" s="142" t="s">
        <v>3047</v>
      </c>
      <c r="AC1061" s="142">
        <f>B1061*IBGE_2!AC$1061/100</f>
        <v>7.58</v>
      </c>
      <c r="AD1061" s="142">
        <f>B1061*IBGE_2!AD$1061/100</f>
        <v>2.835</v>
      </c>
      <c r="AE1061" s="142">
        <f>B1061*IBGE_2!AE$1061/100</f>
        <v>9.08</v>
      </c>
      <c r="AF1061" s="142">
        <f>B1061*IBGE_2!AF$1061/100</f>
        <v>0.73699999999999999</v>
      </c>
      <c r="AG1061" s="142">
        <f>B1061*IBGE_2!AG$1061/100</f>
        <v>0.20200000000000004</v>
      </c>
      <c r="AH1061" s="142">
        <f>B1061*IBGE_2!AH$1061/100</f>
        <v>0.76700000000000002</v>
      </c>
      <c r="AI1061" s="142">
        <f>B1061*IBGE_2!AI$1061/100</f>
        <v>333</v>
      </c>
      <c r="AJ1061" s="142">
        <f>B1061*IBGE_2!AJ$1061/100</f>
        <v>28.327000000000002</v>
      </c>
      <c r="AK1061" s="142">
        <f>B1061*IBGE_2!AK$1061/100</f>
        <v>18.260999999999999</v>
      </c>
      <c r="AL1061" s="142">
        <f>B1061*IBGE_2!AL$1061/100</f>
        <v>3.0000000000000001E-3</v>
      </c>
      <c r="AM1061" s="142" t="s">
        <v>3047</v>
      </c>
      <c r="AN1061" s="161"/>
    </row>
    <row r="1062" spans="1:40">
      <c r="A1062" s="143" t="s">
        <v>2122</v>
      </c>
      <c r="B1062" s="141">
        <v>100</v>
      </c>
      <c r="C1062" s="142">
        <f>B1062*IBGE_2!C$1062/100</f>
        <v>264.65899999999999</v>
      </c>
      <c r="D1062" s="142">
        <f>B1062*IBGE_2!D$1062/100</f>
        <v>24.22</v>
      </c>
      <c r="E1062" s="142">
        <f>B1062*IBGE_2!E$1062/100</f>
        <v>17.983000000000001</v>
      </c>
      <c r="F1062" s="142">
        <f>B1062*IBGE_2!F$1062/100</f>
        <v>6.1389999999999993</v>
      </c>
      <c r="G1062" s="142">
        <f>B1062*IBGE_2!G$1062/100</f>
        <v>7.5860000000000003</v>
      </c>
      <c r="H1062" s="142">
        <f>B1062*IBGE_2!H$1062/100</f>
        <v>2.093</v>
      </c>
      <c r="I1062" s="142">
        <f>B1062*IBGE_2!I$1062/100</f>
        <v>1.722</v>
      </c>
      <c r="J1062" s="142">
        <f>B1062*IBGE_2!J$1062/100</f>
        <v>0.33800000000000002</v>
      </c>
      <c r="K1062" s="142">
        <f>B1062*IBGE_2!K$1062/100</f>
        <v>75</v>
      </c>
      <c r="L1062" s="142" t="s">
        <v>3047</v>
      </c>
      <c r="M1062" s="142" t="s">
        <v>3047</v>
      </c>
      <c r="N1062" s="142">
        <f>B1062*IBGE_2!N$1062/100</f>
        <v>8</v>
      </c>
      <c r="O1062" s="142">
        <f>B1062*IBGE_2!O$1062/100</f>
        <v>20</v>
      </c>
      <c r="P1062" s="142">
        <f>B1062*IBGE_2!P$1062/100</f>
        <v>1E-3</v>
      </c>
      <c r="Q1062" s="142">
        <f>B1062*IBGE_2!Q$1062/100</f>
        <v>196</v>
      </c>
      <c r="R1062" s="142">
        <f>B1062*IBGE_2!R$1062/100</f>
        <v>2.8110000000000004</v>
      </c>
      <c r="S1062" s="142">
        <f>B1062*IBGE_2!S$1062/100</f>
        <v>67</v>
      </c>
      <c r="T1062" s="142">
        <f>B1062*IBGE_2!T$1062/100</f>
        <v>337</v>
      </c>
      <c r="U1062" s="142">
        <f>B1062*IBGE_2!U$1062/100</f>
        <v>9.3000000000000013E-2</v>
      </c>
      <c r="V1062" s="142">
        <f>B1062*IBGE_2!V$1062/100</f>
        <v>5.71</v>
      </c>
      <c r="W1062" s="142" t="s">
        <v>3047</v>
      </c>
      <c r="X1062" s="142">
        <f>B1062*IBGE_2!X$1062/100</f>
        <v>8.1000000000000003E-2</v>
      </c>
      <c r="Y1062" s="142">
        <f>B1062*IBGE_2!Y$1062/100</f>
        <v>0.22600000000000001</v>
      </c>
      <c r="Z1062" s="142">
        <f>B1062*IBGE_2!Z$1062/100</f>
        <v>0.255</v>
      </c>
      <c r="AA1062" s="142">
        <f>B1062*IBGE_2!AA$1062/100</f>
        <v>3.2069999999999999</v>
      </c>
      <c r="AB1062" s="142" t="s">
        <v>3047</v>
      </c>
      <c r="AC1062" s="142">
        <f>B1062*IBGE_2!AC$1062/100</f>
        <v>7.5739999999999998</v>
      </c>
      <c r="AD1062" s="142">
        <f>B1062*IBGE_2!AD$1062/100</f>
        <v>2.83</v>
      </c>
      <c r="AE1062" s="142">
        <f>B1062*IBGE_2!AE$1062/100</f>
        <v>9</v>
      </c>
      <c r="AF1062" s="142">
        <f>B1062*IBGE_2!AF$1062/100</f>
        <v>0.7</v>
      </c>
      <c r="AG1062" s="142">
        <f>B1062*IBGE_2!AG$1062/100</f>
        <v>0.35</v>
      </c>
      <c r="AH1062" s="142">
        <f>B1062*IBGE_2!AH$1062/100</f>
        <v>0.69399999999999995</v>
      </c>
      <c r="AI1062" s="142">
        <f>B1062*IBGE_2!AI$1062/100</f>
        <v>333</v>
      </c>
      <c r="AJ1062" s="142">
        <f>B1062*IBGE_2!AJ$1062/100</f>
        <v>29.475000000000001</v>
      </c>
      <c r="AK1062" s="142" t="s">
        <v>3047</v>
      </c>
      <c r="AL1062" s="142" t="s">
        <v>3047</v>
      </c>
      <c r="AM1062" s="142" t="s">
        <v>3047</v>
      </c>
      <c r="AN1062" s="161"/>
    </row>
    <row r="1063" spans="1:40">
      <c r="A1063" s="143" t="s">
        <v>2123</v>
      </c>
      <c r="B1063" s="141">
        <v>100</v>
      </c>
      <c r="C1063" s="142">
        <f>B1063*IBGE_2!C$1063/100</f>
        <v>204</v>
      </c>
      <c r="D1063" s="142">
        <f>B1063*IBGE_2!D$1063/100</f>
        <v>30.67</v>
      </c>
      <c r="E1063" s="142">
        <f>B1063*IBGE_2!E$1063/100</f>
        <v>9</v>
      </c>
      <c r="F1063" s="142">
        <f>B1063*IBGE_2!F$1063/100</f>
        <v>3.415</v>
      </c>
      <c r="G1063" s="142">
        <f>B1063*IBGE_2!G$1063/100</f>
        <v>3.9180000000000001</v>
      </c>
      <c r="H1063" s="142">
        <f>B1063*IBGE_2!H$1063/100</f>
        <v>0.34699999999999998</v>
      </c>
      <c r="I1063" s="142">
        <f>B1063*IBGE_2!I$1063/100</f>
        <v>0.23799999999999996</v>
      </c>
      <c r="J1063" s="142">
        <f>B1063*IBGE_2!J$1063/100</f>
        <v>8.6999999999999994E-2</v>
      </c>
      <c r="K1063" s="142">
        <f>B1063*IBGE_2!K$1063/100</f>
        <v>58</v>
      </c>
      <c r="L1063" s="142" t="s">
        <v>3047</v>
      </c>
      <c r="M1063" s="142" t="s">
        <v>3047</v>
      </c>
      <c r="N1063" s="142">
        <f>B1063*IBGE_2!N$1063/100</f>
        <v>7</v>
      </c>
      <c r="O1063" s="142">
        <f>B1063*IBGE_2!O$1063/100</f>
        <v>20</v>
      </c>
      <c r="P1063" s="142">
        <f>B1063*IBGE_2!P$1063/100</f>
        <v>1.0999999999999999E-2</v>
      </c>
      <c r="Q1063" s="142">
        <f>B1063*IBGE_2!Q$1063/100</f>
        <v>193</v>
      </c>
      <c r="R1063" s="142">
        <f>B1063*IBGE_2!R$1063/100</f>
        <v>2.5299999999999998</v>
      </c>
      <c r="S1063" s="142">
        <f>B1063*IBGE_2!S$1063/100</f>
        <v>41</v>
      </c>
      <c r="T1063" s="142">
        <f>B1063*IBGE_2!T$1063/100</f>
        <v>252</v>
      </c>
      <c r="U1063" s="142">
        <f>B1063*IBGE_2!U$1063/100</f>
        <v>7.3999999999999996E-2</v>
      </c>
      <c r="V1063" s="142">
        <f>B1063*IBGE_2!V$1063/100</f>
        <v>5.2</v>
      </c>
      <c r="W1063" s="142" t="s">
        <v>3047</v>
      </c>
      <c r="X1063" s="142">
        <f>B1063*IBGE_2!X$1063/100</f>
        <v>7.0000000000000007E-2</v>
      </c>
      <c r="Y1063" s="142">
        <f>B1063*IBGE_2!Y$1063/100</f>
        <v>0.16300000000000001</v>
      </c>
      <c r="Z1063" s="142">
        <f>B1063*IBGE_2!Z$1063/100</f>
        <v>0.40300000000000002</v>
      </c>
      <c r="AA1063" s="142">
        <f>B1063*IBGE_2!AA$1063/100</f>
        <v>5.36</v>
      </c>
      <c r="AB1063" s="142" t="s">
        <v>3047</v>
      </c>
      <c r="AC1063" s="142">
        <f>B1063*IBGE_2!AC$1063/100</f>
        <v>8.7270000000000003</v>
      </c>
      <c r="AD1063" s="142">
        <f>B1063*IBGE_2!AD$1063/100</f>
        <v>1.71</v>
      </c>
      <c r="AE1063" s="142">
        <f>B1063*IBGE_2!AE$1063/100</f>
        <v>10</v>
      </c>
      <c r="AF1063" s="142">
        <f>B1063*IBGE_2!AF$1063/100</f>
        <v>0.6</v>
      </c>
      <c r="AG1063" s="142">
        <f>B1063*IBGE_2!AG$1063/100</f>
        <v>0.43</v>
      </c>
      <c r="AH1063" s="142">
        <f>B1063*IBGE_2!AH$1063/100</f>
        <v>0.40899999999999997</v>
      </c>
      <c r="AI1063" s="142">
        <f>B1063*IBGE_2!AI$1063/100</f>
        <v>333</v>
      </c>
      <c r="AJ1063" s="142">
        <f>B1063*IBGE_2!AJ$1063/100</f>
        <v>31.7</v>
      </c>
      <c r="AK1063" s="142" t="s">
        <v>3047</v>
      </c>
      <c r="AL1063" s="142" t="s">
        <v>3047</v>
      </c>
      <c r="AM1063" s="142" t="s">
        <v>3047</v>
      </c>
      <c r="AN1063" s="161"/>
    </row>
    <row r="1064" spans="1:40">
      <c r="A1064" s="143" t="s">
        <v>2124</v>
      </c>
      <c r="B1064" s="141">
        <v>100</v>
      </c>
      <c r="C1064" s="142">
        <f>B1064*IBGE_2!C$1064/100</f>
        <v>471</v>
      </c>
      <c r="D1064" s="142">
        <f>B1064*IBGE_2!D$1064/100</f>
        <v>21.57</v>
      </c>
      <c r="E1064" s="142">
        <f>B1064*IBGE_2!E$1064/100</f>
        <v>41.98</v>
      </c>
      <c r="F1064" s="142">
        <f>B1064*IBGE_2!F$1064/100</f>
        <v>17.8</v>
      </c>
      <c r="G1064" s="142">
        <f>B1064*IBGE_2!G$1064/100</f>
        <v>18.88</v>
      </c>
      <c r="H1064" s="142">
        <f>B1064*IBGE_2!H$1064/100</f>
        <v>1.53</v>
      </c>
      <c r="I1064" s="142">
        <f>B1064*IBGE_2!I$1064/100</f>
        <v>0.98</v>
      </c>
      <c r="J1064" s="142">
        <f>B1064*IBGE_2!J$1064/100</f>
        <v>0.5</v>
      </c>
      <c r="K1064" s="142">
        <f>B1064*IBGE_2!K$1064/100</f>
        <v>94</v>
      </c>
      <c r="L1064" s="142" t="s">
        <v>3047</v>
      </c>
      <c r="M1064" s="142" t="s">
        <v>3047</v>
      </c>
      <c r="N1064" s="142">
        <f>B1064*IBGE_2!N$1064/100</f>
        <v>12</v>
      </c>
      <c r="O1064" s="142">
        <f>B1064*IBGE_2!O$1064/100</f>
        <v>15</v>
      </c>
      <c r="P1064" s="142">
        <f>B1064*IBGE_2!P$1064/100</f>
        <v>1.3000000000000001E-2</v>
      </c>
      <c r="Q1064" s="142">
        <f>B1064*IBGE_2!Q$1064/100</f>
        <v>162</v>
      </c>
      <c r="R1064" s="142">
        <f>B1064*IBGE_2!R$1064/100</f>
        <v>2.31</v>
      </c>
      <c r="S1064" s="142">
        <f>B1064*IBGE_2!S$1064/100</f>
        <v>50</v>
      </c>
      <c r="T1064" s="142">
        <f>B1064*IBGE_2!T$1064/100</f>
        <v>224</v>
      </c>
      <c r="U1064" s="142">
        <f>B1064*IBGE_2!U$1064/100</f>
        <v>9.9000000000000005E-2</v>
      </c>
      <c r="V1064" s="142">
        <f>B1064*IBGE_2!V$1064/100</f>
        <v>4.88</v>
      </c>
      <c r="W1064" s="142" t="s">
        <v>3047</v>
      </c>
      <c r="X1064" s="142">
        <f>B1064*IBGE_2!X$1064/100</f>
        <v>0.05</v>
      </c>
      <c r="Y1064" s="142">
        <f>B1064*IBGE_2!Y$1064/100</f>
        <v>0.15</v>
      </c>
      <c r="Z1064" s="142">
        <f>B1064*IBGE_2!Z$1064/100</f>
        <v>0.22</v>
      </c>
      <c r="AA1064" s="142">
        <f>B1064*IBGE_2!AA$1064/100</f>
        <v>2.452</v>
      </c>
      <c r="AB1064" s="142" t="s">
        <v>3047</v>
      </c>
      <c r="AC1064" s="142">
        <f>B1064*IBGE_2!AC$1064/100</f>
        <v>4.819</v>
      </c>
      <c r="AD1064" s="142">
        <f>B1064*IBGE_2!AD$1064/100</f>
        <v>2.62</v>
      </c>
      <c r="AE1064" s="142">
        <f>B1064*IBGE_2!AE$1064/100</f>
        <v>5</v>
      </c>
      <c r="AF1064" s="142">
        <f>B1064*IBGE_2!AF$1064/100</f>
        <v>0.6</v>
      </c>
      <c r="AG1064" s="142">
        <f>B1064*IBGE_2!AG$1064/100</f>
        <v>0.28999999999999998</v>
      </c>
      <c r="AH1064" s="142">
        <f>B1064*IBGE_2!AH$1064/100</f>
        <v>1.91</v>
      </c>
      <c r="AI1064" s="142">
        <f>B1064*IBGE_2!AI$1064/100</f>
        <v>333</v>
      </c>
      <c r="AJ1064" s="142">
        <f>B1064*IBGE_2!AJ$1064/100</f>
        <v>20.8</v>
      </c>
      <c r="AK1064" s="142" t="s">
        <v>3047</v>
      </c>
      <c r="AL1064" s="142" t="s">
        <v>3047</v>
      </c>
      <c r="AM1064" s="142" t="s">
        <v>3047</v>
      </c>
      <c r="AN1064" s="161"/>
    </row>
    <row r="1065" spans="1:40">
      <c r="A1065" s="143" t="s">
        <v>2125</v>
      </c>
      <c r="B1065" s="141">
        <v>100</v>
      </c>
      <c r="C1065" s="142">
        <f>B1065*IBGE_2!C$1065/100</f>
        <v>471</v>
      </c>
      <c r="D1065" s="142">
        <f>B1065*IBGE_2!D$1065/100</f>
        <v>21.57</v>
      </c>
      <c r="E1065" s="142">
        <f>B1065*IBGE_2!E$1065/100</f>
        <v>41.98</v>
      </c>
      <c r="F1065" s="142">
        <f>B1065*IBGE_2!F$1065/100</f>
        <v>17.8</v>
      </c>
      <c r="G1065" s="142">
        <f>B1065*IBGE_2!G$1065/100</f>
        <v>18.88</v>
      </c>
      <c r="H1065" s="142">
        <f>B1065*IBGE_2!H$1065/100</f>
        <v>1.53</v>
      </c>
      <c r="I1065" s="142">
        <f>B1065*IBGE_2!I$1065/100</f>
        <v>0.98</v>
      </c>
      <c r="J1065" s="142">
        <f>B1065*IBGE_2!J$1065/100</f>
        <v>0.5</v>
      </c>
      <c r="K1065" s="142">
        <f>B1065*IBGE_2!K$1065/100</f>
        <v>94</v>
      </c>
      <c r="L1065" s="142" t="s">
        <v>3047</v>
      </c>
      <c r="M1065" s="142" t="s">
        <v>3047</v>
      </c>
      <c r="N1065" s="142">
        <f>B1065*IBGE_2!N$1065/100</f>
        <v>12</v>
      </c>
      <c r="O1065" s="142">
        <f>B1065*IBGE_2!O$1065/100</f>
        <v>15</v>
      </c>
      <c r="P1065" s="142">
        <f>B1065*IBGE_2!P$1065/100</f>
        <v>1.3000000000000001E-2</v>
      </c>
      <c r="Q1065" s="142">
        <f>B1065*IBGE_2!Q$1065/100</f>
        <v>162</v>
      </c>
      <c r="R1065" s="142">
        <f>B1065*IBGE_2!R$1065/100</f>
        <v>2.31</v>
      </c>
      <c r="S1065" s="142">
        <f>B1065*IBGE_2!S$1065/100</f>
        <v>50</v>
      </c>
      <c r="T1065" s="142">
        <f>B1065*IBGE_2!T$1065/100</f>
        <v>224</v>
      </c>
      <c r="U1065" s="142">
        <f>B1065*IBGE_2!U$1065/100</f>
        <v>9.9000000000000005E-2</v>
      </c>
      <c r="V1065" s="142">
        <f>B1065*IBGE_2!V$1065/100</f>
        <v>4.88</v>
      </c>
      <c r="W1065" s="142" t="s">
        <v>3047</v>
      </c>
      <c r="X1065" s="142">
        <f>B1065*IBGE_2!X$1065/100</f>
        <v>0.05</v>
      </c>
      <c r="Y1065" s="142">
        <f>B1065*IBGE_2!Y$1065/100</f>
        <v>0.15</v>
      </c>
      <c r="Z1065" s="142">
        <f>B1065*IBGE_2!Z$1065/100</f>
        <v>0.22</v>
      </c>
      <c r="AA1065" s="142">
        <f>B1065*IBGE_2!AA$1065/100</f>
        <v>2.452</v>
      </c>
      <c r="AB1065" s="142" t="s">
        <v>3047</v>
      </c>
      <c r="AC1065" s="142">
        <f>B1065*IBGE_2!AC$1065/100</f>
        <v>4.819</v>
      </c>
      <c r="AD1065" s="142">
        <f>B1065*IBGE_2!AD$1065/100</f>
        <v>2.62</v>
      </c>
      <c r="AE1065" s="142">
        <f>B1065*IBGE_2!AE$1065/100</f>
        <v>5</v>
      </c>
      <c r="AF1065" s="142">
        <f>B1065*IBGE_2!AF$1065/100</f>
        <v>0.6</v>
      </c>
      <c r="AG1065" s="142">
        <f>B1065*IBGE_2!AG$1065/100</f>
        <v>0.28999999999999998</v>
      </c>
      <c r="AH1065" s="142">
        <f>B1065*IBGE_2!AH$1065/100</f>
        <v>1.91</v>
      </c>
      <c r="AI1065" s="142">
        <f>B1065*IBGE_2!AI$1065/100</f>
        <v>333</v>
      </c>
      <c r="AJ1065" s="142">
        <f>B1065*IBGE_2!AJ$1065/100</f>
        <v>20.8</v>
      </c>
      <c r="AK1065" s="142" t="s">
        <v>3047</v>
      </c>
      <c r="AL1065" s="142" t="s">
        <v>3047</v>
      </c>
      <c r="AM1065" s="142" t="s">
        <v>3047</v>
      </c>
      <c r="AN1065" s="161"/>
    </row>
    <row r="1066" spans="1:40">
      <c r="A1066" s="143" t="s">
        <v>2126</v>
      </c>
      <c r="B1066" s="141">
        <v>100</v>
      </c>
      <c r="C1066" s="142">
        <f>B1066*IBGE_2!C$1066/100</f>
        <v>199</v>
      </c>
      <c r="D1066" s="142">
        <f>B1066*IBGE_2!D$1066/100</f>
        <v>36.119999999999997</v>
      </c>
      <c r="E1066" s="142">
        <f>B1066*IBGE_2!E$1066/100</f>
        <v>5</v>
      </c>
      <c r="F1066" s="142">
        <f>B1066*IBGE_2!F$1066/100</f>
        <v>1.72</v>
      </c>
      <c r="G1066" s="142">
        <f>B1066*IBGE_2!G$1066/100</f>
        <v>2</v>
      </c>
      <c r="H1066" s="142">
        <f>B1066*IBGE_2!H$1066/100</f>
        <v>0.22</v>
      </c>
      <c r="I1066" s="142">
        <f>B1066*IBGE_2!I$1066/100</f>
        <v>0.17</v>
      </c>
      <c r="J1066" s="142">
        <f>B1066*IBGE_2!J$1066/100</f>
        <v>0.02</v>
      </c>
      <c r="K1066" s="142">
        <f>B1066*IBGE_2!K$1066/100</f>
        <v>90</v>
      </c>
      <c r="L1066" s="142" t="s">
        <v>3047</v>
      </c>
      <c r="M1066" s="142" t="s">
        <v>3047</v>
      </c>
      <c r="N1066" s="142">
        <f>B1066*IBGE_2!N$1066/100</f>
        <v>4</v>
      </c>
      <c r="O1066" s="142">
        <f>B1066*IBGE_2!O$1066/100</f>
        <v>26</v>
      </c>
      <c r="P1066" s="142">
        <f>B1066*IBGE_2!P$1066/100</f>
        <v>1.7999999999999999E-2</v>
      </c>
      <c r="Q1066" s="142">
        <f>B1066*IBGE_2!Q$1066/100</f>
        <v>226</v>
      </c>
      <c r="R1066" s="142">
        <f>B1066*IBGE_2!R$1066/100</f>
        <v>3.32</v>
      </c>
      <c r="S1066" s="142">
        <f>B1066*IBGE_2!S$1066/100</f>
        <v>45</v>
      </c>
      <c r="T1066" s="142">
        <f>B1066*IBGE_2!T$1066/100</f>
        <v>334</v>
      </c>
      <c r="U1066" s="142">
        <f>B1066*IBGE_2!U$1066/100</f>
        <v>0.124</v>
      </c>
      <c r="V1066" s="142">
        <f>B1066*IBGE_2!V$1066/100</f>
        <v>4.5599999999999996</v>
      </c>
      <c r="W1066" s="142" t="s">
        <v>3047</v>
      </c>
      <c r="X1066" s="142">
        <f>B1066*IBGE_2!X$1066/100</f>
        <v>7.0000000000000007E-2</v>
      </c>
      <c r="Y1066" s="142">
        <f>B1066*IBGE_2!Y$1066/100</f>
        <v>0.25</v>
      </c>
      <c r="Z1066" s="142">
        <f>B1066*IBGE_2!Z$1066/100</f>
        <v>0.28000000000000003</v>
      </c>
      <c r="AA1066" s="142">
        <f>B1066*IBGE_2!AA$1066/100</f>
        <v>3.81</v>
      </c>
      <c r="AB1066" s="142" t="s">
        <v>3047</v>
      </c>
      <c r="AC1066" s="142">
        <f>B1066*IBGE_2!AC$1066/100</f>
        <v>7.76</v>
      </c>
      <c r="AD1066" s="142">
        <f>B1066*IBGE_2!AD$1066/100</f>
        <v>2.7</v>
      </c>
      <c r="AE1066" s="142">
        <f>B1066*IBGE_2!AE$1066/100</f>
        <v>9</v>
      </c>
      <c r="AF1066" s="142">
        <f>B1066*IBGE_2!AF$1066/100</f>
        <v>0.7</v>
      </c>
      <c r="AG1066" s="142">
        <f>B1066*IBGE_2!AG$1066/100</f>
        <v>0.14000000000000001</v>
      </c>
      <c r="AH1066" s="142">
        <f>B1066*IBGE_2!AH$1066/100</f>
        <v>0.22699999999999998</v>
      </c>
      <c r="AI1066" s="142">
        <f>B1066*IBGE_2!AI$1066/100</f>
        <v>333</v>
      </c>
      <c r="AJ1066" s="142">
        <f>B1066*IBGE_2!AJ$1066/100</f>
        <v>33</v>
      </c>
      <c r="AK1066" s="142" t="s">
        <v>3047</v>
      </c>
      <c r="AL1066" s="142" t="s">
        <v>3047</v>
      </c>
      <c r="AM1066" s="142" t="s">
        <v>3047</v>
      </c>
      <c r="AN1066" s="161"/>
    </row>
    <row r="1067" spans="1:40">
      <c r="A1067" s="143" t="s">
        <v>2127</v>
      </c>
      <c r="B1067" s="141">
        <v>100</v>
      </c>
      <c r="C1067" s="142">
        <f>B1067*IBGE_2!C$1067/100</f>
        <v>199</v>
      </c>
      <c r="D1067" s="142">
        <f>B1067*IBGE_2!D$1067/100</f>
        <v>36.119999999999997</v>
      </c>
      <c r="E1067" s="142">
        <f>B1067*IBGE_2!E$1067/100</f>
        <v>5</v>
      </c>
      <c r="F1067" s="142">
        <f>B1067*IBGE_2!F$1067/100</f>
        <v>1.72</v>
      </c>
      <c r="G1067" s="142">
        <f>B1067*IBGE_2!G$1067/100</f>
        <v>2</v>
      </c>
      <c r="H1067" s="142">
        <f>B1067*IBGE_2!H$1067/100</f>
        <v>0.22</v>
      </c>
      <c r="I1067" s="142">
        <f>B1067*IBGE_2!I$1067/100</f>
        <v>0.17</v>
      </c>
      <c r="J1067" s="142">
        <f>B1067*IBGE_2!J$1067/100</f>
        <v>0.02</v>
      </c>
      <c r="K1067" s="142">
        <f>B1067*IBGE_2!K$1067/100</f>
        <v>90</v>
      </c>
      <c r="L1067" s="142" t="s">
        <v>3047</v>
      </c>
      <c r="M1067" s="142" t="s">
        <v>3047</v>
      </c>
      <c r="N1067" s="142">
        <f>B1067*IBGE_2!N$1067/100</f>
        <v>4</v>
      </c>
      <c r="O1067" s="142">
        <f>B1067*IBGE_2!O$1067/100</f>
        <v>26</v>
      </c>
      <c r="P1067" s="142">
        <f>B1067*IBGE_2!P$1067/100</f>
        <v>1.7999999999999999E-2</v>
      </c>
      <c r="Q1067" s="142">
        <f>B1067*IBGE_2!Q$1067/100</f>
        <v>226</v>
      </c>
      <c r="R1067" s="142">
        <f>B1067*IBGE_2!R$1067/100</f>
        <v>3.32</v>
      </c>
      <c r="S1067" s="142">
        <f>B1067*IBGE_2!S$1067/100</f>
        <v>45</v>
      </c>
      <c r="T1067" s="142">
        <f>B1067*IBGE_2!T$1067/100</f>
        <v>334</v>
      </c>
      <c r="U1067" s="142">
        <f>B1067*IBGE_2!U$1067/100</f>
        <v>0.124</v>
      </c>
      <c r="V1067" s="142">
        <f>B1067*IBGE_2!V$1067/100</f>
        <v>4.5599999999999996</v>
      </c>
      <c r="W1067" s="142" t="s">
        <v>3047</v>
      </c>
      <c r="X1067" s="142">
        <f>B1067*IBGE_2!X$1067/100</f>
        <v>7.0000000000000007E-2</v>
      </c>
      <c r="Y1067" s="142">
        <f>B1067*IBGE_2!Y$1067/100</f>
        <v>0.25</v>
      </c>
      <c r="Z1067" s="142">
        <f>B1067*IBGE_2!Z$1067/100</f>
        <v>0.28000000000000003</v>
      </c>
      <c r="AA1067" s="142">
        <f>B1067*IBGE_2!AA$1067/100</f>
        <v>3.81</v>
      </c>
      <c r="AB1067" s="142" t="s">
        <v>3047</v>
      </c>
      <c r="AC1067" s="142">
        <f>B1067*IBGE_2!AC$1067/100</f>
        <v>7.76</v>
      </c>
      <c r="AD1067" s="142">
        <f>B1067*IBGE_2!AD$1067/100</f>
        <v>2.7</v>
      </c>
      <c r="AE1067" s="142">
        <f>B1067*IBGE_2!AE$1067/100</f>
        <v>9</v>
      </c>
      <c r="AF1067" s="142">
        <f>B1067*IBGE_2!AF$1067/100</f>
        <v>0.7</v>
      </c>
      <c r="AG1067" s="142">
        <f>B1067*IBGE_2!AG$1067/100</f>
        <v>0.14000000000000001</v>
      </c>
      <c r="AH1067" s="142">
        <f>B1067*IBGE_2!AH$1067/100</f>
        <v>0.22699999999999998</v>
      </c>
      <c r="AI1067" s="142">
        <f>B1067*IBGE_2!AI$1067/100</f>
        <v>333</v>
      </c>
      <c r="AJ1067" s="142">
        <f>B1067*IBGE_2!AJ$1067/100</f>
        <v>33</v>
      </c>
      <c r="AK1067" s="142" t="s">
        <v>3047</v>
      </c>
      <c r="AL1067" s="142" t="s">
        <v>3047</v>
      </c>
      <c r="AM1067" s="142" t="s">
        <v>3047</v>
      </c>
      <c r="AN1067" s="161"/>
    </row>
    <row r="1068" spans="1:40">
      <c r="A1068" s="143" t="s">
        <v>2128</v>
      </c>
      <c r="B1068" s="141">
        <v>100</v>
      </c>
      <c r="C1068" s="142">
        <f>B1068*IBGE_2!C$1068/100</f>
        <v>248.56700000000001</v>
      </c>
      <c r="D1068" s="142">
        <f>B1068*IBGE_2!D$1068/100</f>
        <v>36.119999999999997</v>
      </c>
      <c r="E1068" s="142">
        <f>B1068*IBGE_2!E$1068/100</f>
        <v>10.606999999999998</v>
      </c>
      <c r="F1068" s="142">
        <f>B1068*IBGE_2!F$1068/100</f>
        <v>2.5980000000000003</v>
      </c>
      <c r="G1068" s="142">
        <f>B1068*IBGE_2!G$1068/100</f>
        <v>3.2769999999999997</v>
      </c>
      <c r="H1068" s="142">
        <f>B1068*IBGE_2!H$1068/100</f>
        <v>3.4580000000000002</v>
      </c>
      <c r="I1068" s="142">
        <f>B1068*IBGE_2!I$1068/100</f>
        <v>3.0269999999999997</v>
      </c>
      <c r="J1068" s="142">
        <f>B1068*IBGE_2!J$1068/100</f>
        <v>0.40100000000000002</v>
      </c>
      <c r="K1068" s="142">
        <f>B1068*IBGE_2!K$1068/100</f>
        <v>90</v>
      </c>
      <c r="L1068" s="142" t="s">
        <v>3047</v>
      </c>
      <c r="M1068" s="142" t="s">
        <v>3047</v>
      </c>
      <c r="N1068" s="142">
        <f>B1068*IBGE_2!N$1068/100</f>
        <v>4</v>
      </c>
      <c r="O1068" s="142">
        <f>B1068*IBGE_2!O$1068/100</f>
        <v>26</v>
      </c>
      <c r="P1068" s="142">
        <f>B1068*IBGE_2!P$1068/100</f>
        <v>1.7999999999999999E-2</v>
      </c>
      <c r="Q1068" s="142">
        <f>B1068*IBGE_2!Q$1068/100</f>
        <v>226</v>
      </c>
      <c r="R1068" s="142">
        <f>B1068*IBGE_2!R$1068/100</f>
        <v>3.323</v>
      </c>
      <c r="S1068" s="142">
        <f>B1068*IBGE_2!S$1068/100</f>
        <v>45</v>
      </c>
      <c r="T1068" s="142">
        <f>B1068*IBGE_2!T$1068/100</f>
        <v>334</v>
      </c>
      <c r="U1068" s="142">
        <f>B1068*IBGE_2!U$1068/100</f>
        <v>0.124</v>
      </c>
      <c r="V1068" s="142">
        <f>B1068*IBGE_2!V$1068/100</f>
        <v>4.5609999999999999</v>
      </c>
      <c r="W1068" s="142" t="s">
        <v>3047</v>
      </c>
      <c r="X1068" s="142">
        <f>B1068*IBGE_2!X$1068/100</f>
        <v>7.0000000000000007E-2</v>
      </c>
      <c r="Y1068" s="142">
        <f>B1068*IBGE_2!Y$1068/100</f>
        <v>0.25</v>
      </c>
      <c r="Z1068" s="142">
        <f>B1068*IBGE_2!Z$1068/100</f>
        <v>0.28000000000000003</v>
      </c>
      <c r="AA1068" s="142">
        <f>B1068*IBGE_2!AA$1068/100</f>
        <v>3.81</v>
      </c>
      <c r="AB1068" s="142" t="s">
        <v>3047</v>
      </c>
      <c r="AC1068" s="142">
        <f>B1068*IBGE_2!AC$1068/100</f>
        <v>7.76</v>
      </c>
      <c r="AD1068" s="142">
        <f>B1068*IBGE_2!AD$1068/100</f>
        <v>2.7</v>
      </c>
      <c r="AE1068" s="142">
        <f>B1068*IBGE_2!AE$1068/100</f>
        <v>9</v>
      </c>
      <c r="AF1068" s="142">
        <f>B1068*IBGE_2!AF$1068/100</f>
        <v>0.7</v>
      </c>
      <c r="AG1068" s="142">
        <f>B1068*IBGE_2!AG$1068/100</f>
        <v>0.59899999999999998</v>
      </c>
      <c r="AH1068" s="142">
        <f>B1068*IBGE_2!AH$1068/100</f>
        <v>0.25700000000000001</v>
      </c>
      <c r="AI1068" s="142">
        <f>B1068*IBGE_2!AI$1068/100</f>
        <v>333</v>
      </c>
      <c r="AJ1068" s="142">
        <f>B1068*IBGE_2!AJ$1068/100</f>
        <v>35.57</v>
      </c>
      <c r="AK1068" s="142" t="s">
        <v>3047</v>
      </c>
      <c r="AL1068" s="142" t="s">
        <v>3047</v>
      </c>
      <c r="AM1068" s="142" t="s">
        <v>3047</v>
      </c>
      <c r="AN1068" s="161"/>
    </row>
    <row r="1069" spans="1:40">
      <c r="A1069" s="143" t="s">
        <v>2129</v>
      </c>
      <c r="B1069" s="141">
        <v>100</v>
      </c>
      <c r="C1069" s="142">
        <f>B1069*IBGE_2!C$1069/100</f>
        <v>199</v>
      </c>
      <c r="D1069" s="142">
        <f>B1069*IBGE_2!D$1069/100</f>
        <v>36.119999999999997</v>
      </c>
      <c r="E1069" s="142">
        <f>B1069*IBGE_2!E$1069/100</f>
        <v>5</v>
      </c>
      <c r="F1069" s="142">
        <f>B1069*IBGE_2!F$1069/100</f>
        <v>1.72</v>
      </c>
      <c r="G1069" s="142">
        <f>B1069*IBGE_2!G$1069/100</f>
        <v>2</v>
      </c>
      <c r="H1069" s="142">
        <f>B1069*IBGE_2!H$1069/100</f>
        <v>0.22</v>
      </c>
      <c r="I1069" s="142">
        <f>B1069*IBGE_2!I$1069/100</f>
        <v>0.17</v>
      </c>
      <c r="J1069" s="142">
        <f>B1069*IBGE_2!J$1069/100</f>
        <v>0.02</v>
      </c>
      <c r="K1069" s="142">
        <f>B1069*IBGE_2!K$1069/100</f>
        <v>90</v>
      </c>
      <c r="L1069" s="142" t="s">
        <v>3047</v>
      </c>
      <c r="M1069" s="142" t="s">
        <v>3047</v>
      </c>
      <c r="N1069" s="142">
        <f>B1069*IBGE_2!N$1069/100</f>
        <v>4</v>
      </c>
      <c r="O1069" s="142">
        <f>B1069*IBGE_2!O$1069/100</f>
        <v>26</v>
      </c>
      <c r="P1069" s="142">
        <f>B1069*IBGE_2!P$1069/100</f>
        <v>1.7999999999999999E-2</v>
      </c>
      <c r="Q1069" s="142">
        <f>B1069*IBGE_2!Q$1069/100</f>
        <v>226</v>
      </c>
      <c r="R1069" s="142">
        <f>B1069*IBGE_2!R$1069/100</f>
        <v>3.32</v>
      </c>
      <c r="S1069" s="142">
        <f>B1069*IBGE_2!S$1069/100</f>
        <v>45</v>
      </c>
      <c r="T1069" s="142">
        <f>B1069*IBGE_2!T$1069/100</f>
        <v>334</v>
      </c>
      <c r="U1069" s="142">
        <f>B1069*IBGE_2!U$1069/100</f>
        <v>0.124</v>
      </c>
      <c r="V1069" s="142">
        <f>B1069*IBGE_2!V$1069/100</f>
        <v>4.5599999999999996</v>
      </c>
      <c r="W1069" s="142" t="s">
        <v>3047</v>
      </c>
      <c r="X1069" s="142">
        <f>B1069*IBGE_2!X$1069/100</f>
        <v>7.0000000000000007E-2</v>
      </c>
      <c r="Y1069" s="142">
        <f>B1069*IBGE_2!Y$1069/100</f>
        <v>0.25</v>
      </c>
      <c r="Z1069" s="142">
        <f>B1069*IBGE_2!Z$1069/100</f>
        <v>0.28000000000000003</v>
      </c>
      <c r="AA1069" s="142">
        <f>B1069*IBGE_2!AA$1069/100</f>
        <v>3.81</v>
      </c>
      <c r="AB1069" s="142" t="s">
        <v>3047</v>
      </c>
      <c r="AC1069" s="142">
        <f>B1069*IBGE_2!AC$1069/100</f>
        <v>7.76</v>
      </c>
      <c r="AD1069" s="142">
        <f>B1069*IBGE_2!AD$1069/100</f>
        <v>2.7</v>
      </c>
      <c r="AE1069" s="142">
        <f>B1069*IBGE_2!AE$1069/100</f>
        <v>9</v>
      </c>
      <c r="AF1069" s="142">
        <f>B1069*IBGE_2!AF$1069/100</f>
        <v>0.7</v>
      </c>
      <c r="AG1069" s="142">
        <f>B1069*IBGE_2!AG$1069/100</f>
        <v>0.14000000000000001</v>
      </c>
      <c r="AH1069" s="142">
        <f>B1069*IBGE_2!AH$1069/100</f>
        <v>0.22699999999999998</v>
      </c>
      <c r="AI1069" s="142">
        <f>B1069*IBGE_2!AI$1069/100</f>
        <v>333</v>
      </c>
      <c r="AJ1069" s="142">
        <f>B1069*IBGE_2!AJ$1069/100</f>
        <v>33</v>
      </c>
      <c r="AK1069" s="142" t="s">
        <v>3047</v>
      </c>
      <c r="AL1069" s="142" t="s">
        <v>3047</v>
      </c>
      <c r="AM1069" s="142" t="s">
        <v>3047</v>
      </c>
      <c r="AN1069" s="161"/>
    </row>
    <row r="1070" spans="1:40">
      <c r="A1070" s="143" t="s">
        <v>2130</v>
      </c>
      <c r="B1070" s="141">
        <v>100</v>
      </c>
      <c r="C1070" s="142">
        <f>B1070*IBGE_2!C$1070/100</f>
        <v>117</v>
      </c>
      <c r="D1070" s="142">
        <f>B1070*IBGE_2!D$1070/100</f>
        <v>24.16</v>
      </c>
      <c r="E1070" s="142">
        <f>B1070*IBGE_2!E$1070/100</f>
        <v>1.53</v>
      </c>
      <c r="F1070" s="142">
        <f>B1070*IBGE_2!F$1070/100</f>
        <v>0.36</v>
      </c>
      <c r="G1070" s="142">
        <f>B1070*IBGE_2!G$1070/100</f>
        <v>0.28000000000000003</v>
      </c>
      <c r="H1070" s="142">
        <f>B1070*IBGE_2!H$1070/100</f>
        <v>0.65</v>
      </c>
      <c r="I1070" s="142">
        <f>B1070*IBGE_2!I$1070/100</f>
        <v>0.01</v>
      </c>
      <c r="J1070" s="142">
        <f>B1070*IBGE_2!J$1070/100</f>
        <v>0.02</v>
      </c>
      <c r="K1070" s="142">
        <f>B1070*IBGE_2!K$1070/100</f>
        <v>68</v>
      </c>
      <c r="L1070" s="142" t="s">
        <v>3047</v>
      </c>
      <c r="M1070" s="142" t="s">
        <v>3047</v>
      </c>
      <c r="N1070" s="142">
        <f>B1070*IBGE_2!N$1070/100</f>
        <v>18</v>
      </c>
      <c r="O1070" s="142">
        <f>B1070*IBGE_2!O$1070/100</f>
        <v>58</v>
      </c>
      <c r="P1070" s="142">
        <f>B1070*IBGE_2!P$1070/100</f>
        <v>0.02</v>
      </c>
      <c r="Q1070" s="142">
        <f>B1070*IBGE_2!Q$1070/100</f>
        <v>289</v>
      </c>
      <c r="R1070" s="142">
        <f>B1070*IBGE_2!R$1070/100</f>
        <v>0.34</v>
      </c>
      <c r="S1070" s="142">
        <f>B1070*IBGE_2!S$1070/100</f>
        <v>105</v>
      </c>
      <c r="T1070" s="142">
        <f>B1070*IBGE_2!T$1070/100</f>
        <v>344</v>
      </c>
      <c r="U1070" s="142">
        <f>B1070*IBGE_2!U$1070/100</f>
        <v>0.03</v>
      </c>
      <c r="V1070" s="142">
        <f>B1070*IBGE_2!V$1070/100</f>
        <v>0.63</v>
      </c>
      <c r="W1070" s="142">
        <f>B1070*IBGE_2!W$1070/100</f>
        <v>13</v>
      </c>
      <c r="X1070" s="142">
        <f>B1070*IBGE_2!X$1070/100</f>
        <v>0.08</v>
      </c>
      <c r="Y1070" s="142">
        <f>B1070*IBGE_2!Y$1070/100</f>
        <v>0.11</v>
      </c>
      <c r="Z1070" s="142">
        <f>B1070*IBGE_2!Z$1070/100</f>
        <v>0.24</v>
      </c>
      <c r="AA1070" s="142">
        <f>B1070*IBGE_2!AA$1070/100</f>
        <v>2.1800000000000002</v>
      </c>
      <c r="AB1070" s="142" t="s">
        <v>3047</v>
      </c>
      <c r="AC1070" s="142">
        <f>B1070*IBGE_2!AC$1070/100</f>
        <v>6.7</v>
      </c>
      <c r="AD1070" s="142">
        <f>B1070*IBGE_2!AD$1070/100</f>
        <v>2.5099999999999998</v>
      </c>
      <c r="AE1070" s="142">
        <f>B1070*IBGE_2!AE$1070/100</f>
        <v>9</v>
      </c>
      <c r="AF1070" s="142">
        <f>B1070*IBGE_2!AF$1070/100</f>
        <v>1.1000000000000001</v>
      </c>
      <c r="AG1070" s="142">
        <f>B1070*IBGE_2!AG$1070/100</f>
        <v>0.66</v>
      </c>
      <c r="AH1070" s="142" t="s">
        <v>3047</v>
      </c>
      <c r="AI1070" s="142">
        <f>B1070*IBGE_2!AI$1070/100</f>
        <v>333</v>
      </c>
      <c r="AJ1070" s="142">
        <f>B1070*IBGE_2!AJ$1070/100</f>
        <v>58.2</v>
      </c>
      <c r="AK1070" s="142">
        <f>B1070*IBGE_2!AK$1070/100</f>
        <v>13</v>
      </c>
      <c r="AL1070" s="142" t="s">
        <v>3047</v>
      </c>
      <c r="AM1070" s="142" t="s">
        <v>3047</v>
      </c>
      <c r="AN1070" s="161"/>
    </row>
    <row r="1071" spans="1:40">
      <c r="A1071" s="143" t="s">
        <v>2131</v>
      </c>
      <c r="B1071" s="141">
        <v>100</v>
      </c>
      <c r="C1071" s="142">
        <f>B1071*IBGE_2!C$1071/100</f>
        <v>117</v>
      </c>
      <c r="D1071" s="142">
        <f>B1071*IBGE_2!D$1071/100</f>
        <v>24.16</v>
      </c>
      <c r="E1071" s="142">
        <f>B1071*IBGE_2!E$1071/100</f>
        <v>1.53</v>
      </c>
      <c r="F1071" s="142">
        <f>B1071*IBGE_2!F$1071/100</f>
        <v>0.36</v>
      </c>
      <c r="G1071" s="142">
        <f>B1071*IBGE_2!G$1071/100</f>
        <v>0.28000000000000003</v>
      </c>
      <c r="H1071" s="142">
        <f>B1071*IBGE_2!H$1071/100</f>
        <v>0.65</v>
      </c>
      <c r="I1071" s="142">
        <f>B1071*IBGE_2!I$1071/100</f>
        <v>0.01</v>
      </c>
      <c r="J1071" s="142">
        <f>B1071*IBGE_2!J$1071/100</f>
        <v>0.02</v>
      </c>
      <c r="K1071" s="142">
        <f>B1071*IBGE_2!K$1071/100</f>
        <v>68</v>
      </c>
      <c r="L1071" s="142" t="s">
        <v>3047</v>
      </c>
      <c r="M1071" s="142" t="s">
        <v>3047</v>
      </c>
      <c r="N1071" s="142">
        <f>B1071*IBGE_2!N$1071/100</f>
        <v>18</v>
      </c>
      <c r="O1071" s="142">
        <f>B1071*IBGE_2!O$1071/100</f>
        <v>58</v>
      </c>
      <c r="P1071" s="142">
        <f>B1071*IBGE_2!P$1071/100</f>
        <v>0.02</v>
      </c>
      <c r="Q1071" s="142">
        <f>B1071*IBGE_2!Q$1071/100</f>
        <v>289</v>
      </c>
      <c r="R1071" s="142">
        <f>B1071*IBGE_2!R$1071/100</f>
        <v>0.34</v>
      </c>
      <c r="S1071" s="142">
        <f>B1071*IBGE_2!S$1071/100</f>
        <v>105</v>
      </c>
      <c r="T1071" s="142">
        <f>B1071*IBGE_2!T$1071/100</f>
        <v>344</v>
      </c>
      <c r="U1071" s="142">
        <f>B1071*IBGE_2!U$1071/100</f>
        <v>0.03</v>
      </c>
      <c r="V1071" s="142">
        <f>B1071*IBGE_2!V$1071/100</f>
        <v>0.63</v>
      </c>
      <c r="W1071" s="142">
        <f>B1071*IBGE_2!W$1071/100</f>
        <v>13</v>
      </c>
      <c r="X1071" s="142">
        <f>B1071*IBGE_2!X$1071/100</f>
        <v>0.08</v>
      </c>
      <c r="Y1071" s="142">
        <f>B1071*IBGE_2!Y$1071/100</f>
        <v>0.11</v>
      </c>
      <c r="Z1071" s="142">
        <f>B1071*IBGE_2!Z$1071/100</f>
        <v>0.24</v>
      </c>
      <c r="AA1071" s="142">
        <f>B1071*IBGE_2!AA$1071/100</f>
        <v>2.1800000000000002</v>
      </c>
      <c r="AB1071" s="142" t="s">
        <v>3047</v>
      </c>
      <c r="AC1071" s="142">
        <f>B1071*IBGE_2!AC$1071/100</f>
        <v>6.7</v>
      </c>
      <c r="AD1071" s="142">
        <f>B1071*IBGE_2!AD$1071/100</f>
        <v>2.5099999999999998</v>
      </c>
      <c r="AE1071" s="142">
        <f>B1071*IBGE_2!AE$1071/100</f>
        <v>9</v>
      </c>
      <c r="AF1071" s="142">
        <f>B1071*IBGE_2!AF$1071/100</f>
        <v>1.1000000000000001</v>
      </c>
      <c r="AG1071" s="142">
        <f>B1071*IBGE_2!AG$1071/100</f>
        <v>0.66</v>
      </c>
      <c r="AH1071" s="142" t="s">
        <v>3047</v>
      </c>
      <c r="AI1071" s="142">
        <f>B1071*IBGE_2!AI$1071/100</f>
        <v>333</v>
      </c>
      <c r="AJ1071" s="142">
        <f>B1071*IBGE_2!AJ$1071/100</f>
        <v>58.2</v>
      </c>
      <c r="AK1071" s="142">
        <f>B1071*IBGE_2!AK$1071/100</f>
        <v>13</v>
      </c>
      <c r="AL1071" s="142" t="s">
        <v>3047</v>
      </c>
      <c r="AM1071" s="142" t="s">
        <v>3047</v>
      </c>
      <c r="AN1071" s="161"/>
    </row>
    <row r="1072" spans="1:40">
      <c r="A1072" s="143" t="s">
        <v>2132</v>
      </c>
      <c r="B1072" s="141">
        <v>100</v>
      </c>
      <c r="C1072" s="142">
        <f>B1072*IBGE_2!C$1072/100</f>
        <v>117</v>
      </c>
      <c r="D1072" s="142">
        <f>B1072*IBGE_2!D$1072/100</f>
        <v>24.16</v>
      </c>
      <c r="E1072" s="142">
        <f>B1072*IBGE_2!E$1072/100</f>
        <v>1.53</v>
      </c>
      <c r="F1072" s="142">
        <f>B1072*IBGE_2!F$1072/100</f>
        <v>0.36</v>
      </c>
      <c r="G1072" s="142">
        <f>B1072*IBGE_2!G$1072/100</f>
        <v>0.28000000000000003</v>
      </c>
      <c r="H1072" s="142">
        <f>B1072*IBGE_2!H$1072/100</f>
        <v>0.65</v>
      </c>
      <c r="I1072" s="142">
        <f>B1072*IBGE_2!I$1072/100</f>
        <v>0.01</v>
      </c>
      <c r="J1072" s="142">
        <f>B1072*IBGE_2!J$1072/100</f>
        <v>0.02</v>
      </c>
      <c r="K1072" s="142">
        <f>B1072*IBGE_2!K$1072/100</f>
        <v>68</v>
      </c>
      <c r="L1072" s="142" t="s">
        <v>3047</v>
      </c>
      <c r="M1072" s="142" t="s">
        <v>3047</v>
      </c>
      <c r="N1072" s="142">
        <f>B1072*IBGE_2!N$1072/100</f>
        <v>18</v>
      </c>
      <c r="O1072" s="142">
        <f>B1072*IBGE_2!O$1072/100</f>
        <v>58</v>
      </c>
      <c r="P1072" s="142">
        <f>B1072*IBGE_2!P$1072/100</f>
        <v>0.02</v>
      </c>
      <c r="Q1072" s="142">
        <f>B1072*IBGE_2!Q$1072/100</f>
        <v>289</v>
      </c>
      <c r="R1072" s="142">
        <f>B1072*IBGE_2!R$1072/100</f>
        <v>0.34</v>
      </c>
      <c r="S1072" s="142">
        <f>B1072*IBGE_2!S$1072/100</f>
        <v>105</v>
      </c>
      <c r="T1072" s="142">
        <f>B1072*IBGE_2!T$1072/100</f>
        <v>344</v>
      </c>
      <c r="U1072" s="142">
        <f>B1072*IBGE_2!U$1072/100</f>
        <v>0.03</v>
      </c>
      <c r="V1072" s="142">
        <f>B1072*IBGE_2!V$1072/100</f>
        <v>0.63</v>
      </c>
      <c r="W1072" s="142">
        <f>B1072*IBGE_2!W$1072/100</f>
        <v>13</v>
      </c>
      <c r="X1072" s="142">
        <f>B1072*IBGE_2!X$1072/100</f>
        <v>0.08</v>
      </c>
      <c r="Y1072" s="142">
        <f>B1072*IBGE_2!Y$1072/100</f>
        <v>0.11</v>
      </c>
      <c r="Z1072" s="142">
        <f>B1072*IBGE_2!Z$1072/100</f>
        <v>0.24</v>
      </c>
      <c r="AA1072" s="142">
        <f>B1072*IBGE_2!AA$1072/100</f>
        <v>2.1800000000000002</v>
      </c>
      <c r="AB1072" s="142" t="s">
        <v>3047</v>
      </c>
      <c r="AC1072" s="142">
        <f>B1072*IBGE_2!AC$1072/100</f>
        <v>6.7</v>
      </c>
      <c r="AD1072" s="142">
        <f>B1072*IBGE_2!AD$1072/100</f>
        <v>2.5099999999999998</v>
      </c>
      <c r="AE1072" s="142">
        <f>B1072*IBGE_2!AE$1072/100</f>
        <v>9</v>
      </c>
      <c r="AF1072" s="142">
        <f>B1072*IBGE_2!AF$1072/100</f>
        <v>1.1000000000000001</v>
      </c>
      <c r="AG1072" s="142">
        <f>B1072*IBGE_2!AG$1072/100</f>
        <v>0.66</v>
      </c>
      <c r="AH1072" s="142" t="s">
        <v>3047</v>
      </c>
      <c r="AI1072" s="142">
        <f>B1072*IBGE_2!AI$1072/100</f>
        <v>333</v>
      </c>
      <c r="AJ1072" s="142">
        <f>B1072*IBGE_2!AJ$1072/100</f>
        <v>58.2</v>
      </c>
      <c r="AK1072" s="142">
        <f>B1072*IBGE_2!AK$1072/100</f>
        <v>13</v>
      </c>
      <c r="AL1072" s="142" t="s">
        <v>3047</v>
      </c>
      <c r="AM1072" s="142" t="s">
        <v>3047</v>
      </c>
      <c r="AN1072" s="161"/>
    </row>
    <row r="1073" spans="1:40">
      <c r="A1073" s="143" t="s">
        <v>2133</v>
      </c>
      <c r="B1073" s="141">
        <v>100</v>
      </c>
      <c r="C1073" s="142">
        <f>B1073*IBGE_2!C$1073/100</f>
        <v>117</v>
      </c>
      <c r="D1073" s="142">
        <f>B1073*IBGE_2!D$1073/100</f>
        <v>24.16</v>
      </c>
      <c r="E1073" s="142">
        <f>B1073*IBGE_2!E$1073/100</f>
        <v>1.53</v>
      </c>
      <c r="F1073" s="142">
        <f>B1073*IBGE_2!F$1073/100</f>
        <v>0.36</v>
      </c>
      <c r="G1073" s="142">
        <f>B1073*IBGE_2!G$1073/100</f>
        <v>0.28000000000000003</v>
      </c>
      <c r="H1073" s="142">
        <f>B1073*IBGE_2!H$1073/100</f>
        <v>0.65</v>
      </c>
      <c r="I1073" s="142">
        <f>B1073*IBGE_2!I$1073/100</f>
        <v>0.01</v>
      </c>
      <c r="J1073" s="142">
        <f>B1073*IBGE_2!J$1073/100</f>
        <v>0.02</v>
      </c>
      <c r="K1073" s="142">
        <f>B1073*IBGE_2!K$1073/100</f>
        <v>68</v>
      </c>
      <c r="L1073" s="142" t="s">
        <v>3047</v>
      </c>
      <c r="M1073" s="142" t="s">
        <v>3047</v>
      </c>
      <c r="N1073" s="142">
        <f>B1073*IBGE_2!N$1073/100</f>
        <v>18</v>
      </c>
      <c r="O1073" s="142">
        <f>B1073*IBGE_2!O$1073/100</f>
        <v>58</v>
      </c>
      <c r="P1073" s="142">
        <f>B1073*IBGE_2!P$1073/100</f>
        <v>0.02</v>
      </c>
      <c r="Q1073" s="142">
        <f>B1073*IBGE_2!Q$1073/100</f>
        <v>289</v>
      </c>
      <c r="R1073" s="142">
        <f>B1073*IBGE_2!R$1073/100</f>
        <v>0.34</v>
      </c>
      <c r="S1073" s="142">
        <f>B1073*IBGE_2!S$1073/100</f>
        <v>105</v>
      </c>
      <c r="T1073" s="142">
        <f>B1073*IBGE_2!T$1073/100</f>
        <v>344</v>
      </c>
      <c r="U1073" s="142">
        <f>B1073*IBGE_2!U$1073/100</f>
        <v>0.03</v>
      </c>
      <c r="V1073" s="142">
        <f>B1073*IBGE_2!V$1073/100</f>
        <v>0.63</v>
      </c>
      <c r="W1073" s="142">
        <f>B1073*IBGE_2!W$1073/100</f>
        <v>13</v>
      </c>
      <c r="X1073" s="142">
        <f>B1073*IBGE_2!X$1073/100</f>
        <v>0.08</v>
      </c>
      <c r="Y1073" s="142">
        <f>B1073*IBGE_2!Y$1073/100</f>
        <v>0.11</v>
      </c>
      <c r="Z1073" s="142">
        <f>B1073*IBGE_2!Z$1073/100</f>
        <v>0.24</v>
      </c>
      <c r="AA1073" s="142">
        <f>B1073*IBGE_2!AA$1073/100</f>
        <v>2.1800000000000002</v>
      </c>
      <c r="AB1073" s="142" t="s">
        <v>3047</v>
      </c>
      <c r="AC1073" s="142">
        <f>B1073*IBGE_2!AC$1073/100</f>
        <v>6.7</v>
      </c>
      <c r="AD1073" s="142">
        <f>B1073*IBGE_2!AD$1073/100</f>
        <v>2.5099999999999998</v>
      </c>
      <c r="AE1073" s="142">
        <f>B1073*IBGE_2!AE$1073/100</f>
        <v>9</v>
      </c>
      <c r="AF1073" s="142">
        <f>B1073*IBGE_2!AF$1073/100</f>
        <v>1.1000000000000001</v>
      </c>
      <c r="AG1073" s="142">
        <f>B1073*IBGE_2!AG$1073/100</f>
        <v>0.66</v>
      </c>
      <c r="AH1073" s="142" t="s">
        <v>3047</v>
      </c>
      <c r="AI1073" s="142">
        <f>B1073*IBGE_2!AI$1073/100</f>
        <v>333</v>
      </c>
      <c r="AJ1073" s="142">
        <f>B1073*IBGE_2!AJ$1073/100</f>
        <v>58.2</v>
      </c>
      <c r="AK1073" s="142">
        <f>B1073*IBGE_2!AK$1073/100</f>
        <v>13</v>
      </c>
      <c r="AL1073" s="142" t="s">
        <v>3047</v>
      </c>
      <c r="AM1073" s="142" t="s">
        <v>3047</v>
      </c>
      <c r="AN1073" s="161"/>
    </row>
    <row r="1074" spans="1:40">
      <c r="A1074" s="143" t="s">
        <v>2134</v>
      </c>
      <c r="B1074" s="141">
        <v>100</v>
      </c>
      <c r="C1074" s="142">
        <f>B1074*IBGE_2!C$1074/100</f>
        <v>139.66</v>
      </c>
      <c r="D1074" s="142">
        <f>B1074*IBGE_2!D$1074/100</f>
        <v>24.16</v>
      </c>
      <c r="E1074" s="142">
        <f>B1074*IBGE_2!E$1074/100</f>
        <v>4.09</v>
      </c>
      <c r="F1074" s="142">
        <f>B1074*IBGE_2!F$1074/100</f>
        <v>0.73</v>
      </c>
      <c r="G1074" s="142">
        <f>B1074*IBGE_2!G$1074/100</f>
        <v>0.87</v>
      </c>
      <c r="H1074" s="142">
        <f>B1074*IBGE_2!H$1074/100</f>
        <v>2.13</v>
      </c>
      <c r="I1074" s="142">
        <f>B1074*IBGE_2!I$1074/100</f>
        <v>1.32</v>
      </c>
      <c r="J1074" s="142">
        <f>B1074*IBGE_2!J$1074/100</f>
        <v>0.19</v>
      </c>
      <c r="K1074" s="142">
        <f>B1074*IBGE_2!K$1074/100</f>
        <v>68</v>
      </c>
      <c r="L1074" s="142" t="s">
        <v>3047</v>
      </c>
      <c r="M1074" s="142" t="s">
        <v>3047</v>
      </c>
      <c r="N1074" s="142">
        <f>B1074*IBGE_2!N$1074/100</f>
        <v>18</v>
      </c>
      <c r="O1074" s="142">
        <f>B1074*IBGE_2!O$1074/100</f>
        <v>58</v>
      </c>
      <c r="P1074" s="142">
        <f>B1074*IBGE_2!P$1074/100</f>
        <v>0.02</v>
      </c>
      <c r="Q1074" s="142">
        <f>B1074*IBGE_2!Q$1074/100</f>
        <v>289</v>
      </c>
      <c r="R1074" s="142">
        <f>B1074*IBGE_2!R$1074/100</f>
        <v>0.34</v>
      </c>
      <c r="S1074" s="142">
        <f>B1074*IBGE_2!S$1074/100</f>
        <v>105</v>
      </c>
      <c r="T1074" s="142">
        <f>B1074*IBGE_2!T$1074/100</f>
        <v>344</v>
      </c>
      <c r="U1074" s="142">
        <f>B1074*IBGE_2!U$1074/100</f>
        <v>0.03</v>
      </c>
      <c r="V1074" s="142">
        <f>B1074*IBGE_2!V$1074/100</f>
        <v>0.63</v>
      </c>
      <c r="W1074" s="142">
        <f>B1074*IBGE_2!W$1074/100</f>
        <v>13</v>
      </c>
      <c r="X1074" s="142">
        <f>B1074*IBGE_2!X$1074/100</f>
        <v>0.08</v>
      </c>
      <c r="Y1074" s="142">
        <f>B1074*IBGE_2!Y$1074/100</f>
        <v>0.11</v>
      </c>
      <c r="Z1074" s="142">
        <f>B1074*IBGE_2!Z$1074/100</f>
        <v>0.24</v>
      </c>
      <c r="AA1074" s="142">
        <f>B1074*IBGE_2!AA$1074/100</f>
        <v>2.1800000000000002</v>
      </c>
      <c r="AB1074" s="142" t="s">
        <v>3047</v>
      </c>
      <c r="AC1074" s="142">
        <f>B1074*IBGE_2!AC$1074/100</f>
        <v>6.7</v>
      </c>
      <c r="AD1074" s="142">
        <f>B1074*IBGE_2!AD$1074/100</f>
        <v>2.5099999999999998</v>
      </c>
      <c r="AE1074" s="142">
        <f>B1074*IBGE_2!AE$1074/100</f>
        <v>9</v>
      </c>
      <c r="AF1074" s="142">
        <f>B1074*IBGE_2!AF$1074/100</f>
        <v>1.1000000000000001</v>
      </c>
      <c r="AG1074" s="142">
        <f>B1074*IBGE_2!AG$1074/100</f>
        <v>0.9</v>
      </c>
      <c r="AH1074" s="142" t="s">
        <v>3047</v>
      </c>
      <c r="AI1074" s="142">
        <f>B1074*IBGE_2!AI$1074/100</f>
        <v>333</v>
      </c>
      <c r="AJ1074" s="142">
        <f>B1074*IBGE_2!AJ$1074/100</f>
        <v>59.37</v>
      </c>
      <c r="AK1074" s="142">
        <f>B1074*IBGE_2!AK$1074/100</f>
        <v>13</v>
      </c>
      <c r="AL1074" s="142" t="s">
        <v>3047</v>
      </c>
      <c r="AM1074" s="142" t="s">
        <v>3047</v>
      </c>
      <c r="AN1074" s="161"/>
    </row>
    <row r="1075" spans="1:40">
      <c r="A1075" s="143" t="s">
        <v>2135</v>
      </c>
      <c r="B1075" s="141">
        <v>100</v>
      </c>
      <c r="C1075" s="142">
        <f>B1075*IBGE_2!C$1075/100</f>
        <v>155.84</v>
      </c>
      <c r="D1075" s="142">
        <f>B1075*IBGE_2!D$1075/100</f>
        <v>24.62</v>
      </c>
      <c r="E1075" s="142">
        <f>B1075*IBGE_2!E$1075/100</f>
        <v>4.1399999999999997</v>
      </c>
      <c r="F1075" s="142">
        <f>B1075*IBGE_2!F$1075/100</f>
        <v>0.74</v>
      </c>
      <c r="G1075" s="142">
        <f>B1075*IBGE_2!G$1075/100</f>
        <v>0.88</v>
      </c>
      <c r="H1075" s="142">
        <f>B1075*IBGE_2!H$1075/100</f>
        <v>2.15</v>
      </c>
      <c r="I1075" s="142">
        <f>B1075*IBGE_2!I$1075/100</f>
        <v>1.34</v>
      </c>
      <c r="J1075" s="142">
        <f>B1075*IBGE_2!J$1075/100</f>
        <v>0.19</v>
      </c>
      <c r="K1075" s="142">
        <f>B1075*IBGE_2!K$1075/100</f>
        <v>68</v>
      </c>
      <c r="L1075" s="142">
        <f>B1075*IBGE_2!L$1075/100</f>
        <v>3.39</v>
      </c>
      <c r="M1075" s="142">
        <f>B1075*IBGE_2!M$1075/100</f>
        <v>0.14000000000000001</v>
      </c>
      <c r="N1075" s="142">
        <f>B1075*IBGE_2!N$1075/100</f>
        <v>18.670000000000002</v>
      </c>
      <c r="O1075" s="142">
        <f>B1075*IBGE_2!O$1075/100</f>
        <v>58.98</v>
      </c>
      <c r="P1075" s="142">
        <f>B1075*IBGE_2!P$1075/100</f>
        <v>0.05</v>
      </c>
      <c r="Q1075" s="142">
        <f>B1075*IBGE_2!Q$1075/100</f>
        <v>293.8</v>
      </c>
      <c r="R1075" s="142">
        <f>B1075*IBGE_2!R$1075/100</f>
        <v>0.55000000000000004</v>
      </c>
      <c r="S1075" s="142">
        <f>B1075*IBGE_2!S$1075/100</f>
        <v>105.09</v>
      </c>
      <c r="T1075" s="142">
        <f>B1075*IBGE_2!T$1075/100</f>
        <v>348.76</v>
      </c>
      <c r="U1075" s="142">
        <f>B1075*IBGE_2!U$1075/100</f>
        <v>0.03</v>
      </c>
      <c r="V1075" s="142">
        <f>B1075*IBGE_2!V$1075/100</f>
        <v>0.66</v>
      </c>
      <c r="W1075" s="142">
        <f>B1075*IBGE_2!W$1075/100</f>
        <v>13</v>
      </c>
      <c r="X1075" s="142">
        <f>B1075*IBGE_2!X$1075/100</f>
        <v>0.11</v>
      </c>
      <c r="Y1075" s="142">
        <f>B1075*IBGE_2!Y$1075/100</f>
        <v>0.14000000000000001</v>
      </c>
      <c r="Z1075" s="142">
        <f>B1075*IBGE_2!Z$1075/100</f>
        <v>0.24</v>
      </c>
      <c r="AA1075" s="142">
        <f>B1075*IBGE_2!AA$1075/100</f>
        <v>2.44</v>
      </c>
      <c r="AB1075" s="142" t="s">
        <v>3047</v>
      </c>
      <c r="AC1075" s="142">
        <f>B1075*IBGE_2!AC$1075/100</f>
        <v>7.05</v>
      </c>
      <c r="AD1075" s="142">
        <f>B1075*IBGE_2!AD$1075/100</f>
        <v>2.5099999999999998</v>
      </c>
      <c r="AE1075" s="142">
        <f>B1075*IBGE_2!AE$1075/100</f>
        <v>18.07</v>
      </c>
      <c r="AF1075" s="142">
        <f>B1075*IBGE_2!AF$1075/100</f>
        <v>1.1000000000000001</v>
      </c>
      <c r="AG1075" s="142">
        <f>B1075*IBGE_2!AG$1075/100</f>
        <v>0.9</v>
      </c>
      <c r="AH1075" s="142" t="s">
        <v>3047</v>
      </c>
      <c r="AI1075" s="142">
        <f>B1075*IBGE_2!AI$1075/100</f>
        <v>333</v>
      </c>
      <c r="AJ1075" s="142">
        <f>B1075*IBGE_2!AJ$1075/100</f>
        <v>60.88</v>
      </c>
      <c r="AK1075" s="142">
        <f>B1075*IBGE_2!AK$1075/100</f>
        <v>13</v>
      </c>
      <c r="AL1075" s="142">
        <f>B1075*IBGE_2!AL$1075/100</f>
        <v>0.01</v>
      </c>
      <c r="AM1075" s="142" t="s">
        <v>3047</v>
      </c>
      <c r="AN1075" s="161"/>
    </row>
    <row r="1076" spans="1:40">
      <c r="A1076" s="143" t="s">
        <v>2136</v>
      </c>
      <c r="B1076" s="141">
        <v>100</v>
      </c>
      <c r="C1076" s="142">
        <f>B1076*IBGE_2!C$1076/100</f>
        <v>98.4</v>
      </c>
      <c r="D1076" s="142">
        <f>B1076*IBGE_2!D$1076/100</f>
        <v>19.59</v>
      </c>
      <c r="E1076" s="142">
        <f>B1076*IBGE_2!E$1076/100</f>
        <v>1.26</v>
      </c>
      <c r="F1076" s="142">
        <f>B1076*IBGE_2!F$1076/100</f>
        <v>0.3</v>
      </c>
      <c r="G1076" s="142">
        <f>B1076*IBGE_2!G$1076/100</f>
        <v>0.23</v>
      </c>
      <c r="H1076" s="142">
        <f>B1076*IBGE_2!H$1076/100</f>
        <v>0.53</v>
      </c>
      <c r="I1076" s="142">
        <f>B1076*IBGE_2!I$1076/100</f>
        <v>0.03</v>
      </c>
      <c r="J1076" s="142">
        <f>B1076*IBGE_2!J$1076/100</f>
        <v>0.01</v>
      </c>
      <c r="K1076" s="142">
        <f>B1076*IBGE_2!K$1076/100</f>
        <v>54.4</v>
      </c>
      <c r="L1076" s="142">
        <f>B1076*IBGE_2!L$1076/100</f>
        <v>1.08</v>
      </c>
      <c r="M1076" s="142">
        <f>B1076*IBGE_2!M$1076/100</f>
        <v>0.3</v>
      </c>
      <c r="N1076" s="142">
        <f>B1076*IBGE_2!N$1076/100</f>
        <v>17</v>
      </c>
      <c r="O1076" s="142">
        <f>B1076*IBGE_2!O$1076/100</f>
        <v>49.6</v>
      </c>
      <c r="P1076" s="142">
        <f>B1076*IBGE_2!P$1076/100</f>
        <v>0.04</v>
      </c>
      <c r="Q1076" s="142">
        <f>B1076*IBGE_2!Q$1076/100</f>
        <v>236.4</v>
      </c>
      <c r="R1076" s="142">
        <f>B1076*IBGE_2!R$1076/100</f>
        <v>0.48</v>
      </c>
      <c r="S1076" s="142">
        <f>B1076*IBGE_2!S$1076/100</f>
        <v>188.8</v>
      </c>
      <c r="T1076" s="142">
        <f>B1076*IBGE_2!T$1076/100</f>
        <v>341.4</v>
      </c>
      <c r="U1076" s="142">
        <f>B1076*IBGE_2!U$1076/100</f>
        <v>0.04</v>
      </c>
      <c r="V1076" s="142">
        <f>B1076*IBGE_2!V$1076/100</f>
        <v>0.54</v>
      </c>
      <c r="W1076" s="142">
        <f>B1076*IBGE_2!W$1076/100</f>
        <v>10.4</v>
      </c>
      <c r="X1076" s="142">
        <f>B1076*IBGE_2!X$1076/100</f>
        <v>7.0000000000000007E-2</v>
      </c>
      <c r="Y1076" s="142">
        <f>B1076*IBGE_2!Y$1076/100</f>
        <v>0.1</v>
      </c>
      <c r="Z1076" s="142">
        <f>B1076*IBGE_2!Z$1076/100</f>
        <v>0.21</v>
      </c>
      <c r="AA1076" s="142">
        <f>B1076*IBGE_2!AA$1076/100</f>
        <v>1.94</v>
      </c>
      <c r="AB1076" s="142">
        <f>B1076*IBGE_2!AB$1076/100</f>
        <v>1.4</v>
      </c>
      <c r="AC1076" s="142">
        <f>B1076*IBGE_2!AC$1076/100</f>
        <v>5.58</v>
      </c>
      <c r="AD1076" s="142">
        <f>B1076*IBGE_2!AD$1076/100</f>
        <v>2.0099999999999998</v>
      </c>
      <c r="AE1076" s="142">
        <f>B1076*IBGE_2!AE$1076/100</f>
        <v>9.4</v>
      </c>
      <c r="AF1076" s="142">
        <f>B1076*IBGE_2!AF$1076/100</f>
        <v>0.88</v>
      </c>
      <c r="AG1076" s="142">
        <f>B1076*IBGE_2!AG$1076/100</f>
        <v>0.81</v>
      </c>
      <c r="AH1076" s="142" t="s">
        <v>3047</v>
      </c>
      <c r="AI1076" s="142">
        <f>B1076*IBGE_2!AI$1076/100</f>
        <v>333</v>
      </c>
      <c r="AJ1076" s="142">
        <f>B1076*IBGE_2!AJ$1076/100</f>
        <v>46.6</v>
      </c>
      <c r="AK1076" s="142">
        <f>B1076*IBGE_2!AK$1076/100</f>
        <v>13.88</v>
      </c>
      <c r="AL1076" s="142">
        <f>B1076*IBGE_2!AL$1076/100</f>
        <v>0.85</v>
      </c>
      <c r="AM1076" s="142" t="s">
        <v>3047</v>
      </c>
      <c r="AN1076" s="161"/>
    </row>
    <row r="1077" spans="1:40">
      <c r="A1077" s="143" t="s">
        <v>2137</v>
      </c>
      <c r="B1077" s="141">
        <v>100</v>
      </c>
      <c r="C1077" s="142">
        <f>B1077*IBGE_2!C$1077/100</f>
        <v>140.05000000000001</v>
      </c>
      <c r="D1077" s="142">
        <f>B1077*IBGE_2!D$1077/100</f>
        <v>20.81</v>
      </c>
      <c r="E1077" s="142">
        <f>B1077*IBGE_2!E$1077/100</f>
        <v>5.1100000000000003</v>
      </c>
      <c r="F1077" s="142">
        <f>B1077*IBGE_2!F$1077/100</f>
        <v>2.3199999999999998</v>
      </c>
      <c r="G1077" s="142">
        <f>B1077*IBGE_2!G$1077/100</f>
        <v>1.3</v>
      </c>
      <c r="H1077" s="142">
        <f>B1077*IBGE_2!H$1077/100</f>
        <v>1.06</v>
      </c>
      <c r="I1077" s="142">
        <f>B1077*IBGE_2!I$1077/100</f>
        <v>0.45</v>
      </c>
      <c r="J1077" s="142">
        <f>B1077*IBGE_2!J$1077/100</f>
        <v>0.09</v>
      </c>
      <c r="K1077" s="142">
        <f>B1077*IBGE_2!K$1077/100</f>
        <v>68.33</v>
      </c>
      <c r="L1077" s="142">
        <f>B1077*IBGE_2!L$1077/100</f>
        <v>1.47</v>
      </c>
      <c r="M1077" s="142">
        <f>B1077*IBGE_2!M$1077/100</f>
        <v>7.0000000000000007E-2</v>
      </c>
      <c r="N1077" s="142">
        <f>B1077*IBGE_2!N$1077/100</f>
        <v>27.08</v>
      </c>
      <c r="O1077" s="142">
        <f>B1077*IBGE_2!O$1077/100</f>
        <v>48.76</v>
      </c>
      <c r="P1077" s="142">
        <f>B1077*IBGE_2!P$1077/100</f>
        <v>7.0000000000000007E-2</v>
      </c>
      <c r="Q1077" s="142">
        <f>B1077*IBGE_2!Q$1077/100</f>
        <v>254.53</v>
      </c>
      <c r="R1077" s="142">
        <f>B1077*IBGE_2!R$1077/100</f>
        <v>1.6</v>
      </c>
      <c r="S1077" s="142">
        <f>B1077*IBGE_2!S$1077/100</f>
        <v>92.8</v>
      </c>
      <c r="T1077" s="142">
        <f>B1077*IBGE_2!T$1077/100</f>
        <v>321.14999999999998</v>
      </c>
      <c r="U1077" s="142">
        <f>B1077*IBGE_2!U$1077/100</f>
        <v>0.06</v>
      </c>
      <c r="V1077" s="142">
        <f>B1077*IBGE_2!V$1077/100</f>
        <v>0.67</v>
      </c>
      <c r="W1077" s="142">
        <f>B1077*IBGE_2!W$1077/100</f>
        <v>45.47</v>
      </c>
      <c r="X1077" s="142">
        <f>B1077*IBGE_2!X$1077/100</f>
        <v>0.08</v>
      </c>
      <c r="Y1077" s="142">
        <f>B1077*IBGE_2!Y$1077/100</f>
        <v>0.13</v>
      </c>
      <c r="Z1077" s="142">
        <f>B1077*IBGE_2!Z$1077/100</f>
        <v>0.21</v>
      </c>
      <c r="AA1077" s="142">
        <f>B1077*IBGE_2!AA$1077/100</f>
        <v>1.96</v>
      </c>
      <c r="AB1077" s="142">
        <f>B1077*IBGE_2!AB$1077/100</f>
        <v>1.72</v>
      </c>
      <c r="AC1077" s="142">
        <f>B1077*IBGE_2!AC$1077/100</f>
        <v>5.86</v>
      </c>
      <c r="AD1077" s="142">
        <f>B1077*IBGE_2!AD$1077/100</f>
        <v>6.4</v>
      </c>
      <c r="AE1077" s="142">
        <f>B1077*IBGE_2!AE$1077/100</f>
        <v>11.51</v>
      </c>
      <c r="AF1077" s="142">
        <f>B1077*IBGE_2!AF$1077/100</f>
        <v>1</v>
      </c>
      <c r="AG1077" s="142">
        <f>B1077*IBGE_2!AG$1077/100</f>
        <v>0.72</v>
      </c>
      <c r="AH1077" s="142">
        <f>B1077*IBGE_2!AH$1077/100</f>
        <v>0.11</v>
      </c>
      <c r="AI1077" s="142">
        <f>B1077*IBGE_2!AI$1077/100</f>
        <v>333</v>
      </c>
      <c r="AJ1077" s="142">
        <f>B1077*IBGE_2!AJ$1077/100</f>
        <v>49.41</v>
      </c>
      <c r="AK1077" s="142">
        <f>B1077*IBGE_2!AK$1077/100</f>
        <v>47.69</v>
      </c>
      <c r="AL1077" s="142">
        <f>B1077*IBGE_2!AL$1077/100</f>
        <v>0.39</v>
      </c>
      <c r="AM1077" s="142" t="s">
        <v>3047</v>
      </c>
      <c r="AN1077" s="161"/>
    </row>
    <row r="1078" spans="1:40">
      <c r="A1078" s="143" t="s">
        <v>2138</v>
      </c>
      <c r="B1078" s="141">
        <v>100</v>
      </c>
      <c r="C1078" s="142">
        <f>B1078*IBGE_2!C$1078/100</f>
        <v>139.66</v>
      </c>
      <c r="D1078" s="142">
        <f>B1078*IBGE_2!D$1078/100</f>
        <v>24.16</v>
      </c>
      <c r="E1078" s="142">
        <f>B1078*IBGE_2!E$1078/100</f>
        <v>4.09</v>
      </c>
      <c r="F1078" s="142">
        <f>B1078*IBGE_2!F$1078/100</f>
        <v>0.73</v>
      </c>
      <c r="G1078" s="142">
        <f>B1078*IBGE_2!G$1078/100</f>
        <v>0.87</v>
      </c>
      <c r="H1078" s="142">
        <f>B1078*IBGE_2!H$1078/100</f>
        <v>2.13</v>
      </c>
      <c r="I1078" s="142">
        <f>B1078*IBGE_2!I$1078/100</f>
        <v>1.32</v>
      </c>
      <c r="J1078" s="142">
        <f>B1078*IBGE_2!J$1078/100</f>
        <v>0.19</v>
      </c>
      <c r="K1078" s="142">
        <f>B1078*IBGE_2!K$1078/100</f>
        <v>68</v>
      </c>
      <c r="L1078" s="142" t="s">
        <v>3047</v>
      </c>
      <c r="M1078" s="142" t="s">
        <v>3047</v>
      </c>
      <c r="N1078" s="142">
        <f>B1078*IBGE_2!N$1078/100</f>
        <v>18</v>
      </c>
      <c r="O1078" s="142">
        <f>B1078*IBGE_2!O$1078/100</f>
        <v>58</v>
      </c>
      <c r="P1078" s="142">
        <f>B1078*IBGE_2!P$1078/100</f>
        <v>0.02</v>
      </c>
      <c r="Q1078" s="142">
        <f>B1078*IBGE_2!Q$1078/100</f>
        <v>289</v>
      </c>
      <c r="R1078" s="142">
        <f>B1078*IBGE_2!R$1078/100</f>
        <v>0.34</v>
      </c>
      <c r="S1078" s="142">
        <f>B1078*IBGE_2!S$1078/100</f>
        <v>105</v>
      </c>
      <c r="T1078" s="142">
        <f>B1078*IBGE_2!T$1078/100</f>
        <v>344</v>
      </c>
      <c r="U1078" s="142">
        <f>B1078*IBGE_2!U$1078/100</f>
        <v>0.03</v>
      </c>
      <c r="V1078" s="142">
        <f>B1078*IBGE_2!V$1078/100</f>
        <v>0.63</v>
      </c>
      <c r="W1078" s="142">
        <f>B1078*IBGE_2!W$1078/100</f>
        <v>13</v>
      </c>
      <c r="X1078" s="142">
        <f>B1078*IBGE_2!X$1078/100</f>
        <v>0.08</v>
      </c>
      <c r="Y1078" s="142">
        <f>B1078*IBGE_2!Y$1078/100</f>
        <v>0.11</v>
      </c>
      <c r="Z1078" s="142">
        <f>B1078*IBGE_2!Z$1078/100</f>
        <v>0.24</v>
      </c>
      <c r="AA1078" s="142">
        <f>B1078*IBGE_2!AA$1078/100</f>
        <v>2.1800000000000002</v>
      </c>
      <c r="AB1078" s="142" t="s">
        <v>3047</v>
      </c>
      <c r="AC1078" s="142">
        <f>B1078*IBGE_2!AC$1078/100</f>
        <v>6.7</v>
      </c>
      <c r="AD1078" s="142">
        <f>B1078*IBGE_2!AD$1078/100</f>
        <v>2.5099999999999998</v>
      </c>
      <c r="AE1078" s="142">
        <f>B1078*IBGE_2!AE$1078/100</f>
        <v>9</v>
      </c>
      <c r="AF1078" s="142">
        <f>B1078*IBGE_2!AF$1078/100</f>
        <v>1.1000000000000001</v>
      </c>
      <c r="AG1078" s="142">
        <f>B1078*IBGE_2!AG$1078/100</f>
        <v>0.9</v>
      </c>
      <c r="AH1078" s="142" t="s">
        <v>3047</v>
      </c>
      <c r="AI1078" s="142">
        <f>B1078*IBGE_2!AI$1078/100</f>
        <v>333</v>
      </c>
      <c r="AJ1078" s="142">
        <f>B1078*IBGE_2!AJ$1078/100</f>
        <v>59.37</v>
      </c>
      <c r="AK1078" s="142">
        <f>B1078*IBGE_2!AK$1078/100</f>
        <v>13</v>
      </c>
      <c r="AL1078" s="142" t="s">
        <v>3047</v>
      </c>
      <c r="AM1078" s="142" t="s">
        <v>3047</v>
      </c>
      <c r="AN1078" s="161"/>
    </row>
    <row r="1079" spans="1:40">
      <c r="A1079" s="143" t="s">
        <v>2139</v>
      </c>
      <c r="B1079" s="141">
        <v>100</v>
      </c>
      <c r="C1079" s="142">
        <f>B1079*IBGE_2!C$1079/100</f>
        <v>117</v>
      </c>
      <c r="D1079" s="142">
        <f>B1079*IBGE_2!D$1079/100</f>
        <v>24.16</v>
      </c>
      <c r="E1079" s="142">
        <f>B1079*IBGE_2!E$1079/100</f>
        <v>1.53</v>
      </c>
      <c r="F1079" s="142">
        <f>B1079*IBGE_2!F$1079/100</f>
        <v>0.36</v>
      </c>
      <c r="G1079" s="142">
        <f>B1079*IBGE_2!G$1079/100</f>
        <v>0.28000000000000003</v>
      </c>
      <c r="H1079" s="142">
        <f>B1079*IBGE_2!H$1079/100</f>
        <v>0.65</v>
      </c>
      <c r="I1079" s="142">
        <f>B1079*IBGE_2!I$1079/100</f>
        <v>0.01</v>
      </c>
      <c r="J1079" s="142">
        <f>B1079*IBGE_2!J$1079/100</f>
        <v>0.02</v>
      </c>
      <c r="K1079" s="142">
        <f>B1079*IBGE_2!K$1079/100</f>
        <v>68</v>
      </c>
      <c r="L1079" s="142" t="s">
        <v>3047</v>
      </c>
      <c r="M1079" s="142" t="s">
        <v>3047</v>
      </c>
      <c r="N1079" s="142">
        <f>B1079*IBGE_2!N$1079/100</f>
        <v>18</v>
      </c>
      <c r="O1079" s="142">
        <f>B1079*IBGE_2!O$1079/100</f>
        <v>58</v>
      </c>
      <c r="P1079" s="142">
        <f>B1079*IBGE_2!P$1079/100</f>
        <v>0.02</v>
      </c>
      <c r="Q1079" s="142">
        <f>B1079*IBGE_2!Q$1079/100</f>
        <v>289</v>
      </c>
      <c r="R1079" s="142">
        <f>B1079*IBGE_2!R$1079/100</f>
        <v>0.34</v>
      </c>
      <c r="S1079" s="142">
        <f>B1079*IBGE_2!S$1079/100</f>
        <v>105</v>
      </c>
      <c r="T1079" s="142">
        <f>B1079*IBGE_2!T$1079/100</f>
        <v>344</v>
      </c>
      <c r="U1079" s="142">
        <f>B1079*IBGE_2!U$1079/100</f>
        <v>0.03</v>
      </c>
      <c r="V1079" s="142">
        <f>B1079*IBGE_2!V$1079/100</f>
        <v>0.63</v>
      </c>
      <c r="W1079" s="142">
        <f>B1079*IBGE_2!W$1079/100</f>
        <v>13</v>
      </c>
      <c r="X1079" s="142">
        <f>B1079*IBGE_2!X$1079/100</f>
        <v>0.08</v>
      </c>
      <c r="Y1079" s="142">
        <f>B1079*IBGE_2!Y$1079/100</f>
        <v>0.11</v>
      </c>
      <c r="Z1079" s="142">
        <f>B1079*IBGE_2!Z$1079/100</f>
        <v>0.24</v>
      </c>
      <c r="AA1079" s="142">
        <f>B1079*IBGE_2!AA$1079/100</f>
        <v>2.1800000000000002</v>
      </c>
      <c r="AB1079" s="142" t="s">
        <v>3047</v>
      </c>
      <c r="AC1079" s="142">
        <f>B1079*IBGE_2!AC$1079/100</f>
        <v>6.7</v>
      </c>
      <c r="AD1079" s="142">
        <f>B1079*IBGE_2!AD$1079/100</f>
        <v>2.5099999999999998</v>
      </c>
      <c r="AE1079" s="142">
        <f>B1079*IBGE_2!AE$1079/100</f>
        <v>9</v>
      </c>
      <c r="AF1079" s="142">
        <f>B1079*IBGE_2!AF$1079/100</f>
        <v>1.1000000000000001</v>
      </c>
      <c r="AG1079" s="142">
        <f>B1079*IBGE_2!AG$1079/100</f>
        <v>0.66</v>
      </c>
      <c r="AH1079" s="142" t="s">
        <v>3047</v>
      </c>
      <c r="AI1079" s="142" t="s">
        <v>3047</v>
      </c>
      <c r="AJ1079" s="142">
        <f>B1079*IBGE_2!AJ$1079/100</f>
        <v>58.2</v>
      </c>
      <c r="AK1079" s="142">
        <f>B1079*IBGE_2!AK$1079/100</f>
        <v>13</v>
      </c>
      <c r="AL1079" s="142" t="s">
        <v>3047</v>
      </c>
      <c r="AM1079" s="142" t="s">
        <v>3047</v>
      </c>
      <c r="AN1079" s="161"/>
    </row>
    <row r="1080" spans="1:40">
      <c r="A1080" s="143" t="s">
        <v>2140</v>
      </c>
      <c r="B1080" s="141">
        <v>100</v>
      </c>
      <c r="C1080" s="142">
        <f>B1080*IBGE_2!C$1080/100</f>
        <v>117</v>
      </c>
      <c r="D1080" s="142">
        <f>B1080*IBGE_2!D$1080/100</f>
        <v>24.16</v>
      </c>
      <c r="E1080" s="142">
        <f>B1080*IBGE_2!E$1080/100</f>
        <v>1.53</v>
      </c>
      <c r="F1080" s="142">
        <f>B1080*IBGE_2!F$1080/100</f>
        <v>0.36</v>
      </c>
      <c r="G1080" s="142">
        <f>B1080*IBGE_2!G$1080/100</f>
        <v>0.28000000000000003</v>
      </c>
      <c r="H1080" s="142">
        <f>B1080*IBGE_2!H$1080/100</f>
        <v>0.65</v>
      </c>
      <c r="I1080" s="142">
        <f>B1080*IBGE_2!I$1080/100</f>
        <v>0.01</v>
      </c>
      <c r="J1080" s="142">
        <f>B1080*IBGE_2!J$1080/100</f>
        <v>0.02</v>
      </c>
      <c r="K1080" s="142">
        <f>B1080*IBGE_2!K$1080/100</f>
        <v>68</v>
      </c>
      <c r="L1080" s="142" t="s">
        <v>3047</v>
      </c>
      <c r="M1080" s="142" t="s">
        <v>3047</v>
      </c>
      <c r="N1080" s="142">
        <f>B1080*IBGE_2!N$1080/100</f>
        <v>18</v>
      </c>
      <c r="O1080" s="142">
        <f>B1080*IBGE_2!O$1080/100</f>
        <v>58</v>
      </c>
      <c r="P1080" s="142">
        <f>B1080*IBGE_2!P$1080/100</f>
        <v>0.02</v>
      </c>
      <c r="Q1080" s="142">
        <f>B1080*IBGE_2!Q$1080/100</f>
        <v>289</v>
      </c>
      <c r="R1080" s="142">
        <f>B1080*IBGE_2!R$1080/100</f>
        <v>0.34</v>
      </c>
      <c r="S1080" s="142">
        <f>B1080*IBGE_2!S$1080/100</f>
        <v>105</v>
      </c>
      <c r="T1080" s="142">
        <f>B1080*IBGE_2!T$1080/100</f>
        <v>344</v>
      </c>
      <c r="U1080" s="142">
        <f>B1080*IBGE_2!U$1080/100</f>
        <v>0.03</v>
      </c>
      <c r="V1080" s="142">
        <f>B1080*IBGE_2!V$1080/100</f>
        <v>0.63</v>
      </c>
      <c r="W1080" s="142">
        <f>B1080*IBGE_2!W$1080/100</f>
        <v>13</v>
      </c>
      <c r="X1080" s="142">
        <f>B1080*IBGE_2!X$1080/100</f>
        <v>0.08</v>
      </c>
      <c r="Y1080" s="142">
        <f>B1080*IBGE_2!Y$1080/100</f>
        <v>0.11</v>
      </c>
      <c r="Z1080" s="142">
        <f>B1080*IBGE_2!Z$1080/100</f>
        <v>0.24</v>
      </c>
      <c r="AA1080" s="142">
        <f>B1080*IBGE_2!AA$1080/100</f>
        <v>2.1800000000000002</v>
      </c>
      <c r="AB1080" s="142" t="s">
        <v>3047</v>
      </c>
      <c r="AC1080" s="142">
        <f>B1080*IBGE_2!AC$1080/100</f>
        <v>6.7</v>
      </c>
      <c r="AD1080" s="142">
        <f>B1080*IBGE_2!AD$1080/100</f>
        <v>2.5099999999999998</v>
      </c>
      <c r="AE1080" s="142">
        <f>B1080*IBGE_2!AE$1080/100</f>
        <v>9</v>
      </c>
      <c r="AF1080" s="142">
        <f>B1080*IBGE_2!AF$1080/100</f>
        <v>1.1000000000000001</v>
      </c>
      <c r="AG1080" s="142">
        <f>B1080*IBGE_2!AG$1080/100</f>
        <v>0.66</v>
      </c>
      <c r="AH1080" s="142" t="s">
        <v>3047</v>
      </c>
      <c r="AI1080" s="142" t="s">
        <v>3047</v>
      </c>
      <c r="AJ1080" s="142">
        <f>B1080*IBGE_2!AJ$1080/100</f>
        <v>58.2</v>
      </c>
      <c r="AK1080" s="142">
        <f>B1080*IBGE_2!AK$1080/100</f>
        <v>13</v>
      </c>
      <c r="AL1080" s="142" t="s">
        <v>3047</v>
      </c>
      <c r="AM1080" s="142" t="s">
        <v>3047</v>
      </c>
      <c r="AN1080" s="161"/>
    </row>
    <row r="1081" spans="1:40">
      <c r="A1081" s="143" t="s">
        <v>2141</v>
      </c>
      <c r="B1081" s="141">
        <v>100</v>
      </c>
      <c r="C1081" s="142">
        <f>B1081*IBGE_2!C$1081/100</f>
        <v>117</v>
      </c>
      <c r="D1081" s="142">
        <f>B1081*IBGE_2!D$1081/100</f>
        <v>24.16</v>
      </c>
      <c r="E1081" s="142">
        <f>B1081*IBGE_2!E$1081/100</f>
        <v>1.53</v>
      </c>
      <c r="F1081" s="142">
        <f>B1081*IBGE_2!F$1081/100</f>
        <v>0.36</v>
      </c>
      <c r="G1081" s="142">
        <f>B1081*IBGE_2!G$1081/100</f>
        <v>0.28000000000000003</v>
      </c>
      <c r="H1081" s="142">
        <f>B1081*IBGE_2!H$1081/100</f>
        <v>0.65</v>
      </c>
      <c r="I1081" s="142">
        <f>B1081*IBGE_2!I$1081/100</f>
        <v>0.01</v>
      </c>
      <c r="J1081" s="142">
        <f>B1081*IBGE_2!J$1081/100</f>
        <v>0.02</v>
      </c>
      <c r="K1081" s="142">
        <f>B1081*IBGE_2!K$1081/100</f>
        <v>68</v>
      </c>
      <c r="L1081" s="142" t="s">
        <v>3047</v>
      </c>
      <c r="M1081" s="142" t="s">
        <v>3047</v>
      </c>
      <c r="N1081" s="142">
        <f>B1081*IBGE_2!N$1081/100</f>
        <v>18</v>
      </c>
      <c r="O1081" s="142">
        <f>B1081*IBGE_2!O$1081/100</f>
        <v>58</v>
      </c>
      <c r="P1081" s="142">
        <f>B1081*IBGE_2!P$1081/100</f>
        <v>0.02</v>
      </c>
      <c r="Q1081" s="142">
        <f>B1081*IBGE_2!Q$1081/100</f>
        <v>289</v>
      </c>
      <c r="R1081" s="142">
        <f>B1081*IBGE_2!R$1081/100</f>
        <v>0.34</v>
      </c>
      <c r="S1081" s="142">
        <f>B1081*IBGE_2!S$1081/100</f>
        <v>105</v>
      </c>
      <c r="T1081" s="142">
        <f>B1081*IBGE_2!T$1081/100</f>
        <v>344</v>
      </c>
      <c r="U1081" s="142">
        <f>B1081*IBGE_2!U$1081/100</f>
        <v>0.03</v>
      </c>
      <c r="V1081" s="142">
        <f>B1081*IBGE_2!V$1081/100</f>
        <v>0.63</v>
      </c>
      <c r="W1081" s="142">
        <f>B1081*IBGE_2!W$1081/100</f>
        <v>13</v>
      </c>
      <c r="X1081" s="142">
        <f>B1081*IBGE_2!X$1081/100</f>
        <v>0.08</v>
      </c>
      <c r="Y1081" s="142">
        <f>B1081*IBGE_2!Y$1081/100</f>
        <v>0.11</v>
      </c>
      <c r="Z1081" s="142">
        <f>B1081*IBGE_2!Z$1081/100</f>
        <v>0.24</v>
      </c>
      <c r="AA1081" s="142">
        <f>B1081*IBGE_2!AA$1081/100</f>
        <v>2.1800000000000002</v>
      </c>
      <c r="AB1081" s="142" t="s">
        <v>3047</v>
      </c>
      <c r="AC1081" s="142">
        <f>B1081*IBGE_2!AC$1081/100</f>
        <v>6.7</v>
      </c>
      <c r="AD1081" s="142">
        <f>B1081*IBGE_2!AD$1081/100</f>
        <v>2.5099999999999998</v>
      </c>
      <c r="AE1081" s="142">
        <f>B1081*IBGE_2!AE$1081/100</f>
        <v>9</v>
      </c>
      <c r="AF1081" s="142">
        <f>B1081*IBGE_2!AF$1081/100</f>
        <v>1.1000000000000001</v>
      </c>
      <c r="AG1081" s="142">
        <f>B1081*IBGE_2!AG$1081/100</f>
        <v>0.66</v>
      </c>
      <c r="AH1081" s="142" t="s">
        <v>3047</v>
      </c>
      <c r="AI1081" s="142" t="s">
        <v>3047</v>
      </c>
      <c r="AJ1081" s="142">
        <f>B1081*IBGE_2!AJ$1081/100</f>
        <v>58.2</v>
      </c>
      <c r="AK1081" s="142">
        <f>B1081*IBGE_2!AK$1081/100</f>
        <v>13</v>
      </c>
      <c r="AL1081" s="142" t="s">
        <v>3047</v>
      </c>
      <c r="AM1081" s="142" t="s">
        <v>3047</v>
      </c>
      <c r="AN1081" s="161"/>
    </row>
    <row r="1082" spans="1:40">
      <c r="A1082" s="143" t="s">
        <v>2142</v>
      </c>
      <c r="B1082" s="141">
        <v>100</v>
      </c>
      <c r="C1082" s="142">
        <f>B1082*IBGE_2!C$1082/100</f>
        <v>139.66</v>
      </c>
      <c r="D1082" s="142">
        <f>B1082*IBGE_2!D$1082/100</f>
        <v>24.16</v>
      </c>
      <c r="E1082" s="142">
        <f>B1082*IBGE_2!E$1082/100</f>
        <v>4.09</v>
      </c>
      <c r="F1082" s="142">
        <f>B1082*IBGE_2!F$1082/100</f>
        <v>0.73</v>
      </c>
      <c r="G1082" s="142">
        <f>B1082*IBGE_2!G$1082/100</f>
        <v>0.87</v>
      </c>
      <c r="H1082" s="142">
        <f>B1082*IBGE_2!H$1082/100</f>
        <v>2.13</v>
      </c>
      <c r="I1082" s="142">
        <f>B1082*IBGE_2!I$1082/100</f>
        <v>1.32</v>
      </c>
      <c r="J1082" s="142">
        <f>B1082*IBGE_2!J$1082/100</f>
        <v>0.19</v>
      </c>
      <c r="K1082" s="142">
        <f>B1082*IBGE_2!K$1082/100</f>
        <v>68</v>
      </c>
      <c r="L1082" s="142" t="s">
        <v>3047</v>
      </c>
      <c r="M1082" s="142" t="s">
        <v>3047</v>
      </c>
      <c r="N1082" s="142">
        <f>B1082*IBGE_2!N$1082/100</f>
        <v>18</v>
      </c>
      <c r="O1082" s="142">
        <f>B1082*IBGE_2!O$1082/100</f>
        <v>58</v>
      </c>
      <c r="P1082" s="142">
        <f>B1082*IBGE_2!P$1082/100</f>
        <v>0.02</v>
      </c>
      <c r="Q1082" s="142">
        <f>B1082*IBGE_2!Q$1082/100</f>
        <v>289</v>
      </c>
      <c r="R1082" s="142">
        <f>B1082*IBGE_2!R$1082/100</f>
        <v>0.34</v>
      </c>
      <c r="S1082" s="142">
        <f>B1082*IBGE_2!S$1082/100</f>
        <v>105</v>
      </c>
      <c r="T1082" s="142">
        <f>B1082*IBGE_2!T$1082/100</f>
        <v>344</v>
      </c>
      <c r="U1082" s="142">
        <f>B1082*IBGE_2!U$1082/100</f>
        <v>0.03</v>
      </c>
      <c r="V1082" s="142">
        <f>B1082*IBGE_2!V$1082/100</f>
        <v>0.63</v>
      </c>
      <c r="W1082" s="142">
        <f>B1082*IBGE_2!W$1082/100</f>
        <v>13</v>
      </c>
      <c r="X1082" s="142">
        <f>B1082*IBGE_2!X$1082/100</f>
        <v>0.08</v>
      </c>
      <c r="Y1082" s="142">
        <f>B1082*IBGE_2!Y$1082/100</f>
        <v>0.11</v>
      </c>
      <c r="Z1082" s="142">
        <f>B1082*IBGE_2!Z$1082/100</f>
        <v>0.24</v>
      </c>
      <c r="AA1082" s="142">
        <f>B1082*IBGE_2!AA$1082/100</f>
        <v>2.1800000000000002</v>
      </c>
      <c r="AB1082" s="142" t="s">
        <v>3047</v>
      </c>
      <c r="AC1082" s="142">
        <f>B1082*IBGE_2!AC$1082/100</f>
        <v>6.7</v>
      </c>
      <c r="AD1082" s="142">
        <f>B1082*IBGE_2!AD$1082/100</f>
        <v>2.5099999999999998</v>
      </c>
      <c r="AE1082" s="142">
        <f>B1082*IBGE_2!AE$1082/100</f>
        <v>9</v>
      </c>
      <c r="AF1082" s="142">
        <f>B1082*IBGE_2!AF$1082/100</f>
        <v>1.1000000000000001</v>
      </c>
      <c r="AG1082" s="142">
        <f>B1082*IBGE_2!AG$1082/100</f>
        <v>0.9</v>
      </c>
      <c r="AH1082" s="142" t="s">
        <v>3047</v>
      </c>
      <c r="AI1082" s="142" t="s">
        <v>3047</v>
      </c>
      <c r="AJ1082" s="142">
        <f>B1082*IBGE_2!AJ$1082/100</f>
        <v>59.37</v>
      </c>
      <c r="AK1082" s="142">
        <f>B1082*IBGE_2!AK$1082/100</f>
        <v>13</v>
      </c>
      <c r="AL1082" s="142" t="s">
        <v>3047</v>
      </c>
      <c r="AM1082" s="142" t="s">
        <v>3047</v>
      </c>
      <c r="AN1082" s="161"/>
    </row>
    <row r="1083" spans="1:40">
      <c r="A1083" s="143" t="s">
        <v>2143</v>
      </c>
      <c r="B1083" s="141">
        <v>100</v>
      </c>
      <c r="C1083" s="142">
        <f>B1083*IBGE_2!C$1083/100</f>
        <v>155.84</v>
      </c>
      <c r="D1083" s="142">
        <f>B1083*IBGE_2!D$1083/100</f>
        <v>24.62</v>
      </c>
      <c r="E1083" s="142">
        <f>B1083*IBGE_2!E$1083/100</f>
        <v>4.1399999999999997</v>
      </c>
      <c r="F1083" s="142">
        <f>B1083*IBGE_2!F$1083/100</f>
        <v>0.74</v>
      </c>
      <c r="G1083" s="142">
        <f>B1083*IBGE_2!G$1083/100</f>
        <v>0.88</v>
      </c>
      <c r="H1083" s="142">
        <f>B1083*IBGE_2!H$1083/100</f>
        <v>2.15</v>
      </c>
      <c r="I1083" s="142">
        <f>B1083*IBGE_2!I$1083/100</f>
        <v>1.34</v>
      </c>
      <c r="J1083" s="142">
        <f>B1083*IBGE_2!J$1083/100</f>
        <v>0.19</v>
      </c>
      <c r="K1083" s="142">
        <f>B1083*IBGE_2!K$1083/100</f>
        <v>68</v>
      </c>
      <c r="L1083" s="142">
        <f>B1083*IBGE_2!L$1083/100</f>
        <v>3.39</v>
      </c>
      <c r="M1083" s="142">
        <f>B1083*IBGE_2!M$1083/100</f>
        <v>0.14000000000000001</v>
      </c>
      <c r="N1083" s="142">
        <f>B1083*IBGE_2!N$1083/100</f>
        <v>18.670000000000002</v>
      </c>
      <c r="O1083" s="142">
        <f>B1083*IBGE_2!O$1083/100</f>
        <v>58.98</v>
      </c>
      <c r="P1083" s="142">
        <f>B1083*IBGE_2!P$1083/100</f>
        <v>0.05</v>
      </c>
      <c r="Q1083" s="142">
        <f>B1083*IBGE_2!Q$1083/100</f>
        <v>293.8</v>
      </c>
      <c r="R1083" s="142">
        <f>B1083*IBGE_2!R$1083/100</f>
        <v>0.55000000000000004</v>
      </c>
      <c r="S1083" s="142">
        <f>B1083*IBGE_2!S$1083/100</f>
        <v>105.09</v>
      </c>
      <c r="T1083" s="142">
        <f>B1083*IBGE_2!T$1083/100</f>
        <v>348.76</v>
      </c>
      <c r="U1083" s="142">
        <f>B1083*IBGE_2!U$1083/100</f>
        <v>0.03</v>
      </c>
      <c r="V1083" s="142">
        <f>B1083*IBGE_2!V$1083/100</f>
        <v>0.66</v>
      </c>
      <c r="W1083" s="142">
        <f>B1083*IBGE_2!W$1083/100</f>
        <v>13</v>
      </c>
      <c r="X1083" s="142">
        <f>B1083*IBGE_2!X$1083/100</f>
        <v>0.11</v>
      </c>
      <c r="Y1083" s="142">
        <f>B1083*IBGE_2!Y$1083/100</f>
        <v>0.14000000000000001</v>
      </c>
      <c r="Z1083" s="142">
        <f>B1083*IBGE_2!Z$1083/100</f>
        <v>0.24</v>
      </c>
      <c r="AA1083" s="142">
        <f>B1083*IBGE_2!AA$1083/100</f>
        <v>2.44</v>
      </c>
      <c r="AB1083" s="142" t="s">
        <v>3047</v>
      </c>
      <c r="AC1083" s="142">
        <f>B1083*IBGE_2!AC$1083/100</f>
        <v>7.05</v>
      </c>
      <c r="AD1083" s="142">
        <f>B1083*IBGE_2!AD$1083/100</f>
        <v>2.5099999999999998</v>
      </c>
      <c r="AE1083" s="142">
        <f>B1083*IBGE_2!AE$1083/100</f>
        <v>18.07</v>
      </c>
      <c r="AF1083" s="142">
        <f>B1083*IBGE_2!AF$1083/100</f>
        <v>1.1000000000000001</v>
      </c>
      <c r="AG1083" s="142">
        <f>B1083*IBGE_2!AG$1083/100</f>
        <v>0.9</v>
      </c>
      <c r="AH1083" s="142" t="s">
        <v>3047</v>
      </c>
      <c r="AI1083" s="142" t="s">
        <v>3047</v>
      </c>
      <c r="AJ1083" s="142">
        <f>B1083*IBGE_2!AJ$1083/100</f>
        <v>60.88</v>
      </c>
      <c r="AK1083" s="142">
        <f>B1083*IBGE_2!AK$1083/100</f>
        <v>13</v>
      </c>
      <c r="AL1083" s="142">
        <f>B1083*IBGE_2!AL$1083/100</f>
        <v>0.01</v>
      </c>
      <c r="AM1083" s="142" t="s">
        <v>3047</v>
      </c>
      <c r="AN1083" s="161"/>
    </row>
    <row r="1084" spans="1:40">
      <c r="A1084" s="143" t="s">
        <v>2144</v>
      </c>
      <c r="B1084" s="141">
        <v>100</v>
      </c>
      <c r="C1084" s="142">
        <f>B1084*IBGE_2!C$1084/100</f>
        <v>140.05000000000001</v>
      </c>
      <c r="D1084" s="142">
        <f>B1084*IBGE_2!D$1084/100</f>
        <v>20.81</v>
      </c>
      <c r="E1084" s="142">
        <f>B1084*IBGE_2!E$1084/100</f>
        <v>5.1100000000000003</v>
      </c>
      <c r="F1084" s="142">
        <f>B1084*IBGE_2!F$1084/100</f>
        <v>2.3199999999999998</v>
      </c>
      <c r="G1084" s="142">
        <f>B1084*IBGE_2!G$1084/100</f>
        <v>1.3</v>
      </c>
      <c r="H1084" s="142">
        <f>B1084*IBGE_2!H$1084/100</f>
        <v>1.06</v>
      </c>
      <c r="I1084" s="142">
        <f>B1084*IBGE_2!I$1084/100</f>
        <v>0.45</v>
      </c>
      <c r="J1084" s="142">
        <f>B1084*IBGE_2!J$1084/100</f>
        <v>0.09</v>
      </c>
      <c r="K1084" s="142">
        <f>B1084*IBGE_2!K$1084/100</f>
        <v>68.33</v>
      </c>
      <c r="L1084" s="142">
        <f>B1084*IBGE_2!L$1084/100</f>
        <v>1.47</v>
      </c>
      <c r="M1084" s="142">
        <f>B1084*IBGE_2!M$1084/100</f>
        <v>7.0000000000000007E-2</v>
      </c>
      <c r="N1084" s="142">
        <f>B1084*IBGE_2!N$1084/100</f>
        <v>27.08</v>
      </c>
      <c r="O1084" s="142">
        <f>B1084*IBGE_2!O$1084/100</f>
        <v>48.76</v>
      </c>
      <c r="P1084" s="142">
        <f>B1084*IBGE_2!P$1084/100</f>
        <v>7.0000000000000007E-2</v>
      </c>
      <c r="Q1084" s="142">
        <f>B1084*IBGE_2!Q$1084/100</f>
        <v>254.53</v>
      </c>
      <c r="R1084" s="142">
        <f>B1084*IBGE_2!R$1084/100</f>
        <v>1.6</v>
      </c>
      <c r="S1084" s="142">
        <f>B1084*IBGE_2!S$1084/100</f>
        <v>92.8</v>
      </c>
      <c r="T1084" s="142">
        <f>B1084*IBGE_2!T$1084/100</f>
        <v>321.14999999999998</v>
      </c>
      <c r="U1084" s="142">
        <f>B1084*IBGE_2!U$1084/100</f>
        <v>0.06</v>
      </c>
      <c r="V1084" s="142">
        <f>B1084*IBGE_2!V$1084/100</f>
        <v>0.67</v>
      </c>
      <c r="W1084" s="142">
        <f>B1084*IBGE_2!W$1084/100</f>
        <v>45.47</v>
      </c>
      <c r="X1084" s="142">
        <f>B1084*IBGE_2!X$1084/100</f>
        <v>0.08</v>
      </c>
      <c r="Y1084" s="142">
        <f>B1084*IBGE_2!Y$1084/100</f>
        <v>0.13</v>
      </c>
      <c r="Z1084" s="142">
        <f>B1084*IBGE_2!Z$1084/100</f>
        <v>0.21</v>
      </c>
      <c r="AA1084" s="142">
        <f>B1084*IBGE_2!AA$1084/100</f>
        <v>1.96</v>
      </c>
      <c r="AB1084" s="142">
        <f>B1084*IBGE_2!AB$1084/100</f>
        <v>1.72</v>
      </c>
      <c r="AC1084" s="142">
        <f>B1084*IBGE_2!AC$1084/100</f>
        <v>5.86</v>
      </c>
      <c r="AD1084" s="142">
        <f>B1084*IBGE_2!AD$1084/100</f>
        <v>6.4</v>
      </c>
      <c r="AE1084" s="142">
        <f>B1084*IBGE_2!AE$1084/100</f>
        <v>11.51</v>
      </c>
      <c r="AF1084" s="142">
        <f>B1084*IBGE_2!AF$1084/100</f>
        <v>1</v>
      </c>
      <c r="AG1084" s="142">
        <f>B1084*IBGE_2!AG$1084/100</f>
        <v>0.72</v>
      </c>
      <c r="AH1084" s="142">
        <f>B1084*IBGE_2!AH$1084/100</f>
        <v>0.11</v>
      </c>
      <c r="AI1084" s="142" t="s">
        <v>3047</v>
      </c>
      <c r="AJ1084" s="142">
        <f>B1084*IBGE_2!AJ$1084/100</f>
        <v>49.41</v>
      </c>
      <c r="AK1084" s="142">
        <f>B1084*IBGE_2!AK$1084/100</f>
        <v>47.69</v>
      </c>
      <c r="AL1084" s="142">
        <f>B1084*IBGE_2!AL$1084/100</f>
        <v>0.39</v>
      </c>
      <c r="AM1084" s="142" t="s">
        <v>3047</v>
      </c>
      <c r="AN1084" s="161"/>
    </row>
    <row r="1085" spans="1:40">
      <c r="A1085" s="143" t="s">
        <v>2145</v>
      </c>
      <c r="B1085" s="141">
        <v>100</v>
      </c>
      <c r="C1085" s="142">
        <f>B1085*IBGE_2!C$1085/100</f>
        <v>139.66</v>
      </c>
      <c r="D1085" s="142">
        <f>B1085*IBGE_2!D$1085/100</f>
        <v>24.16</v>
      </c>
      <c r="E1085" s="142">
        <f>B1085*IBGE_2!E$1085/100</f>
        <v>4.09</v>
      </c>
      <c r="F1085" s="142">
        <f>B1085*IBGE_2!F$1085/100</f>
        <v>0.73</v>
      </c>
      <c r="G1085" s="142">
        <f>B1085*IBGE_2!G$1085/100</f>
        <v>0.87</v>
      </c>
      <c r="H1085" s="142">
        <f>B1085*IBGE_2!H$1085/100</f>
        <v>2.13</v>
      </c>
      <c r="I1085" s="142">
        <f>B1085*IBGE_2!I$1085/100</f>
        <v>1.32</v>
      </c>
      <c r="J1085" s="142">
        <f>B1085*IBGE_2!J$1085/100</f>
        <v>0.19</v>
      </c>
      <c r="K1085" s="142">
        <f>B1085*IBGE_2!K$1085/100</f>
        <v>68</v>
      </c>
      <c r="L1085" s="142" t="s">
        <v>3047</v>
      </c>
      <c r="M1085" s="142" t="s">
        <v>3047</v>
      </c>
      <c r="N1085" s="142">
        <f>B1085*IBGE_2!N$1085/100</f>
        <v>18</v>
      </c>
      <c r="O1085" s="142">
        <f>B1085*IBGE_2!O$1085/100</f>
        <v>58</v>
      </c>
      <c r="P1085" s="142">
        <f>B1085*IBGE_2!P$1085/100</f>
        <v>0.02</v>
      </c>
      <c r="Q1085" s="142">
        <f>B1085*IBGE_2!Q$1085/100</f>
        <v>289</v>
      </c>
      <c r="R1085" s="142">
        <f>B1085*IBGE_2!R$1085/100</f>
        <v>0.34</v>
      </c>
      <c r="S1085" s="142">
        <f>B1085*IBGE_2!S$1085/100</f>
        <v>105</v>
      </c>
      <c r="T1085" s="142">
        <f>B1085*IBGE_2!T$1085/100</f>
        <v>344</v>
      </c>
      <c r="U1085" s="142">
        <f>B1085*IBGE_2!U$1085/100</f>
        <v>0.03</v>
      </c>
      <c r="V1085" s="142">
        <f>B1085*IBGE_2!V$1085/100</f>
        <v>0.63</v>
      </c>
      <c r="W1085" s="142">
        <f>B1085*IBGE_2!W$1085/100</f>
        <v>13</v>
      </c>
      <c r="X1085" s="142">
        <f>B1085*IBGE_2!X$1085/100</f>
        <v>0.08</v>
      </c>
      <c r="Y1085" s="142">
        <f>B1085*IBGE_2!Y$1085/100</f>
        <v>0.11</v>
      </c>
      <c r="Z1085" s="142">
        <f>B1085*IBGE_2!Z$1085/100</f>
        <v>0.24</v>
      </c>
      <c r="AA1085" s="142">
        <f>B1085*IBGE_2!AA$1085/100</f>
        <v>2.1800000000000002</v>
      </c>
      <c r="AB1085" s="142" t="s">
        <v>3047</v>
      </c>
      <c r="AC1085" s="142">
        <f>B1085*IBGE_2!AC$1085/100</f>
        <v>6.7</v>
      </c>
      <c r="AD1085" s="142">
        <f>B1085*IBGE_2!AD$1085/100</f>
        <v>2.5099999999999998</v>
      </c>
      <c r="AE1085" s="142">
        <f>B1085*IBGE_2!AE$1085/100</f>
        <v>9</v>
      </c>
      <c r="AF1085" s="142">
        <f>B1085*IBGE_2!AF$1085/100</f>
        <v>1.1000000000000001</v>
      </c>
      <c r="AG1085" s="142">
        <f>B1085*IBGE_2!AG$1085/100</f>
        <v>0.9</v>
      </c>
      <c r="AH1085" s="145" t="s">
        <v>3047</v>
      </c>
      <c r="AI1085" s="142" t="s">
        <v>3047</v>
      </c>
      <c r="AJ1085" s="142">
        <f>B1085*IBGE_2!AJ$1085/100</f>
        <v>59.37</v>
      </c>
      <c r="AK1085" s="142">
        <f>B1085*IBGE_2!AK$1085/100</f>
        <v>13</v>
      </c>
      <c r="AL1085" s="142" t="s">
        <v>3047</v>
      </c>
      <c r="AM1085" s="142" t="s">
        <v>3047</v>
      </c>
      <c r="AN1085" s="161"/>
    </row>
    <row r="1086" spans="1:40">
      <c r="A1086" s="143" t="s">
        <v>2146</v>
      </c>
      <c r="B1086" s="141">
        <v>100</v>
      </c>
      <c r="C1086" s="142">
        <f>B1086*IBGE_2!C$1086/100</f>
        <v>99</v>
      </c>
      <c r="D1086" s="142">
        <f>B1086*IBGE_2!D$1086/100</f>
        <v>20.91</v>
      </c>
      <c r="E1086" s="142">
        <f>B1086*IBGE_2!E$1086/100</f>
        <v>1.08</v>
      </c>
      <c r="F1086" s="142">
        <f>B1086*IBGE_2!F$1086/100</f>
        <v>0.28999999999999998</v>
      </c>
      <c r="G1086" s="142">
        <f>B1086*IBGE_2!G$1086/100</f>
        <v>0.2</v>
      </c>
      <c r="H1086" s="142">
        <f>B1086*IBGE_2!H$1086/100</f>
        <v>0.44</v>
      </c>
      <c r="I1086" s="142">
        <f>B1086*IBGE_2!I$1086/100</f>
        <v>0.02</v>
      </c>
      <c r="J1086" s="142">
        <f>B1086*IBGE_2!J$1086/100</f>
        <v>0.01</v>
      </c>
      <c r="K1086" s="142">
        <f>B1086*IBGE_2!K$1086/100</f>
        <v>195</v>
      </c>
      <c r="L1086" s="142" t="s">
        <v>3047</v>
      </c>
      <c r="M1086" s="142" t="s">
        <v>3047</v>
      </c>
      <c r="N1086" s="142">
        <f>B1086*IBGE_2!N$1086/100</f>
        <v>39</v>
      </c>
      <c r="O1086" s="142">
        <f>B1086*IBGE_2!O$1086/100</f>
        <v>34</v>
      </c>
      <c r="P1086" s="142">
        <f>B1086*IBGE_2!P$1086/100</f>
        <v>0.03</v>
      </c>
      <c r="Q1086" s="142">
        <f>B1086*IBGE_2!Q$1086/100</f>
        <v>137</v>
      </c>
      <c r="R1086" s="142">
        <f>B1086*IBGE_2!R$1086/100</f>
        <v>3.09</v>
      </c>
      <c r="S1086" s="142">
        <f>B1086*IBGE_2!S$1086/100</f>
        <v>224</v>
      </c>
      <c r="T1086" s="142">
        <f>B1086*IBGE_2!T$1086/100</f>
        <v>182</v>
      </c>
      <c r="U1086" s="142">
        <f>B1086*IBGE_2!U$1086/100</f>
        <v>0.19</v>
      </c>
      <c r="V1086" s="142">
        <f>B1086*IBGE_2!V$1086/100</f>
        <v>1.56</v>
      </c>
      <c r="W1086" s="142">
        <f>B1086*IBGE_2!W$1086/100</f>
        <v>68</v>
      </c>
      <c r="X1086" s="142">
        <f>B1086*IBGE_2!X$1086/100</f>
        <v>0.03</v>
      </c>
      <c r="Y1086" s="142">
        <f>B1086*IBGE_2!Y$1086/100</f>
        <v>0.03</v>
      </c>
      <c r="Z1086" s="142">
        <f>B1086*IBGE_2!Z$1086/100</f>
        <v>0.13</v>
      </c>
      <c r="AA1086" s="142">
        <f>B1086*IBGE_2!AA$1086/100</f>
        <v>2.59</v>
      </c>
      <c r="AB1086" s="142">
        <f>B1086*IBGE_2!AB$1086/100</f>
        <v>2.2000000000000002</v>
      </c>
      <c r="AC1086" s="142">
        <f>B1086*IBGE_2!AC$1086/100</f>
        <v>7.44</v>
      </c>
      <c r="AD1086" s="142">
        <f>B1086*IBGE_2!AD$1086/100</f>
        <v>1.49</v>
      </c>
      <c r="AE1086" s="142">
        <f>B1086*IBGE_2!AE$1086/100</f>
        <v>4</v>
      </c>
      <c r="AF1086" s="142">
        <f>B1086*IBGE_2!AF$1086/100</f>
        <v>3.58</v>
      </c>
      <c r="AG1086" s="142">
        <f>B1086*IBGE_2!AG$1086/100</f>
        <v>1.38</v>
      </c>
      <c r="AH1086" s="142">
        <f>B1086*IBGE_2!AH$1086/100</f>
        <v>0.02</v>
      </c>
      <c r="AI1086" s="142">
        <f>B1086*IBGE_2!AI$1086/100</f>
        <v>333</v>
      </c>
      <c r="AJ1086" s="142">
        <f>B1086*IBGE_2!AJ$1086/100</f>
        <v>39.6</v>
      </c>
      <c r="AK1086" s="142">
        <f>B1086*IBGE_2!AK$1086/100</f>
        <v>68</v>
      </c>
      <c r="AL1086" s="142" t="s">
        <v>3047</v>
      </c>
      <c r="AM1086" s="142" t="s">
        <v>3047</v>
      </c>
      <c r="AN1086" s="161"/>
    </row>
    <row r="1087" spans="1:40">
      <c r="A1087" s="143" t="s">
        <v>2147</v>
      </c>
      <c r="B1087" s="141">
        <v>100</v>
      </c>
      <c r="C1087" s="142">
        <f>B1087*IBGE_2!C$1087/100</f>
        <v>99</v>
      </c>
      <c r="D1087" s="142">
        <f>B1087*IBGE_2!D$1087/100</f>
        <v>20.91</v>
      </c>
      <c r="E1087" s="142">
        <f>B1087*IBGE_2!E$1087/100</f>
        <v>1.08</v>
      </c>
      <c r="F1087" s="142">
        <f>B1087*IBGE_2!F$1087/100</f>
        <v>0.28999999999999998</v>
      </c>
      <c r="G1087" s="142">
        <f>B1087*IBGE_2!G$1087/100</f>
        <v>0.2</v>
      </c>
      <c r="H1087" s="142">
        <f>B1087*IBGE_2!H$1087/100</f>
        <v>0.44</v>
      </c>
      <c r="I1087" s="142">
        <f>B1087*IBGE_2!I$1087/100</f>
        <v>0.02</v>
      </c>
      <c r="J1087" s="142">
        <f>B1087*IBGE_2!J$1087/100</f>
        <v>0.01</v>
      </c>
      <c r="K1087" s="142">
        <f>B1087*IBGE_2!K$1087/100</f>
        <v>195</v>
      </c>
      <c r="L1087" s="142" t="s">
        <v>3047</v>
      </c>
      <c r="M1087" s="142" t="s">
        <v>3047</v>
      </c>
      <c r="N1087" s="142">
        <f>B1087*IBGE_2!N$1087/100</f>
        <v>39</v>
      </c>
      <c r="O1087" s="142">
        <f>B1087*IBGE_2!O$1087/100</f>
        <v>34</v>
      </c>
      <c r="P1087" s="142">
        <f>B1087*IBGE_2!P$1087/100</f>
        <v>0.03</v>
      </c>
      <c r="Q1087" s="142">
        <f>B1087*IBGE_2!Q$1087/100</f>
        <v>137</v>
      </c>
      <c r="R1087" s="142">
        <f>B1087*IBGE_2!R$1087/100</f>
        <v>3.09</v>
      </c>
      <c r="S1087" s="142">
        <f>B1087*IBGE_2!S$1087/100</f>
        <v>224</v>
      </c>
      <c r="T1087" s="142">
        <f>B1087*IBGE_2!T$1087/100</f>
        <v>182</v>
      </c>
      <c r="U1087" s="142">
        <f>B1087*IBGE_2!U$1087/100</f>
        <v>0.19</v>
      </c>
      <c r="V1087" s="142">
        <f>B1087*IBGE_2!V$1087/100</f>
        <v>1.56</v>
      </c>
      <c r="W1087" s="142">
        <f>B1087*IBGE_2!W$1087/100</f>
        <v>68</v>
      </c>
      <c r="X1087" s="142">
        <f>B1087*IBGE_2!X$1087/100</f>
        <v>0.03</v>
      </c>
      <c r="Y1087" s="142">
        <f>B1087*IBGE_2!Y$1087/100</f>
        <v>0.03</v>
      </c>
      <c r="Z1087" s="142">
        <f>B1087*IBGE_2!Z$1087/100</f>
        <v>0.13</v>
      </c>
      <c r="AA1087" s="142">
        <f>B1087*IBGE_2!AA$1087/100</f>
        <v>2.59</v>
      </c>
      <c r="AB1087" s="142">
        <f>B1087*IBGE_2!AB$1087/100</f>
        <v>2.2000000000000002</v>
      </c>
      <c r="AC1087" s="142">
        <f>B1087*IBGE_2!AC$1087/100</f>
        <v>7.44</v>
      </c>
      <c r="AD1087" s="142">
        <f>B1087*IBGE_2!AD$1087/100</f>
        <v>1.49</v>
      </c>
      <c r="AE1087" s="142">
        <f>B1087*IBGE_2!AE$1087/100</f>
        <v>4</v>
      </c>
      <c r="AF1087" s="142">
        <f>B1087*IBGE_2!AF$1087/100</f>
        <v>3.58</v>
      </c>
      <c r="AG1087" s="142">
        <f>B1087*IBGE_2!AG$1087/100</f>
        <v>1.38</v>
      </c>
      <c r="AH1087" s="142">
        <f>B1087*IBGE_2!AH$1087/100</f>
        <v>0.02</v>
      </c>
      <c r="AI1087" s="142">
        <f>B1087*IBGE_2!AI$1087/100</f>
        <v>333</v>
      </c>
      <c r="AJ1087" s="142">
        <f>B1087*IBGE_2!AJ$1087/100</f>
        <v>39.6</v>
      </c>
      <c r="AK1087" s="142">
        <f>B1087*IBGE_2!AK$1087/100</f>
        <v>68</v>
      </c>
      <c r="AL1087" s="142" t="s">
        <v>3047</v>
      </c>
      <c r="AM1087" s="142" t="s">
        <v>3047</v>
      </c>
      <c r="AN1087" s="161"/>
    </row>
    <row r="1088" spans="1:40">
      <c r="A1088" s="143" t="s">
        <v>2148</v>
      </c>
      <c r="B1088" s="141">
        <v>100</v>
      </c>
      <c r="C1088" s="142">
        <f>B1088*IBGE_2!C$1088/100</f>
        <v>99</v>
      </c>
      <c r="D1088" s="142">
        <f>B1088*IBGE_2!D$1088/100</f>
        <v>20.91</v>
      </c>
      <c r="E1088" s="142">
        <f>B1088*IBGE_2!E$1088/100</f>
        <v>1.08</v>
      </c>
      <c r="F1088" s="142">
        <f>B1088*IBGE_2!F$1088/100</f>
        <v>0.28999999999999998</v>
      </c>
      <c r="G1088" s="142">
        <f>B1088*IBGE_2!G$1088/100</f>
        <v>0.2</v>
      </c>
      <c r="H1088" s="142">
        <f>B1088*IBGE_2!H$1088/100</f>
        <v>0.44</v>
      </c>
      <c r="I1088" s="142">
        <f>B1088*IBGE_2!I$1088/100</f>
        <v>0.02</v>
      </c>
      <c r="J1088" s="142">
        <f>B1088*IBGE_2!J$1088/100</f>
        <v>0.01</v>
      </c>
      <c r="K1088" s="142">
        <f>B1088*IBGE_2!K$1088/100</f>
        <v>195</v>
      </c>
      <c r="L1088" s="142" t="s">
        <v>3047</v>
      </c>
      <c r="M1088" s="142" t="s">
        <v>3047</v>
      </c>
      <c r="N1088" s="142">
        <f>B1088*IBGE_2!N$1088/100</f>
        <v>39</v>
      </c>
      <c r="O1088" s="142">
        <f>B1088*IBGE_2!O$1088/100</f>
        <v>34</v>
      </c>
      <c r="P1088" s="142">
        <f>B1088*IBGE_2!P$1088/100</f>
        <v>0.03</v>
      </c>
      <c r="Q1088" s="142">
        <f>B1088*IBGE_2!Q$1088/100</f>
        <v>137</v>
      </c>
      <c r="R1088" s="142">
        <f>B1088*IBGE_2!R$1088/100</f>
        <v>3.09</v>
      </c>
      <c r="S1088" s="142">
        <f>B1088*IBGE_2!S$1088/100</f>
        <v>224</v>
      </c>
      <c r="T1088" s="142">
        <f>B1088*IBGE_2!T$1088/100</f>
        <v>182</v>
      </c>
      <c r="U1088" s="142">
        <f>B1088*IBGE_2!U$1088/100</f>
        <v>0.19</v>
      </c>
      <c r="V1088" s="142">
        <f>B1088*IBGE_2!V$1088/100</f>
        <v>1.56</v>
      </c>
      <c r="W1088" s="142">
        <f>B1088*IBGE_2!W$1088/100</f>
        <v>68</v>
      </c>
      <c r="X1088" s="142">
        <f>B1088*IBGE_2!X$1088/100</f>
        <v>0.03</v>
      </c>
      <c r="Y1088" s="142">
        <f>B1088*IBGE_2!Y$1088/100</f>
        <v>0.03</v>
      </c>
      <c r="Z1088" s="142">
        <f>B1088*IBGE_2!Z$1088/100</f>
        <v>0.13</v>
      </c>
      <c r="AA1088" s="142">
        <f>B1088*IBGE_2!AA$1088/100</f>
        <v>2.59</v>
      </c>
      <c r="AB1088" s="142">
        <f>B1088*IBGE_2!AB$1088/100</f>
        <v>2.2000000000000002</v>
      </c>
      <c r="AC1088" s="142">
        <f>B1088*IBGE_2!AC$1088/100</f>
        <v>7.44</v>
      </c>
      <c r="AD1088" s="142">
        <f>B1088*IBGE_2!AD$1088/100</f>
        <v>1.49</v>
      </c>
      <c r="AE1088" s="142">
        <f>B1088*IBGE_2!AE$1088/100</f>
        <v>4</v>
      </c>
      <c r="AF1088" s="142">
        <f>B1088*IBGE_2!AF$1088/100</f>
        <v>3.58</v>
      </c>
      <c r="AG1088" s="142">
        <f>B1088*IBGE_2!AG$1088/100</f>
        <v>1.38</v>
      </c>
      <c r="AH1088" s="142">
        <f>B1088*IBGE_2!AH$1088/100</f>
        <v>0.02</v>
      </c>
      <c r="AI1088" s="142">
        <f>B1088*IBGE_2!AI$1088/100</f>
        <v>333</v>
      </c>
      <c r="AJ1088" s="142">
        <f>B1088*IBGE_2!AJ$1088/100</f>
        <v>39.6</v>
      </c>
      <c r="AK1088" s="142">
        <f>B1088*IBGE_2!AK$1088/100</f>
        <v>68</v>
      </c>
      <c r="AL1088" s="142" t="s">
        <v>3047</v>
      </c>
      <c r="AM1088" s="142" t="s">
        <v>3047</v>
      </c>
      <c r="AN1088" s="161"/>
    </row>
    <row r="1089" spans="1:40">
      <c r="A1089" s="143" t="s">
        <v>2149</v>
      </c>
      <c r="B1089" s="141">
        <v>100</v>
      </c>
      <c r="C1089" s="142">
        <f>B1089*IBGE_2!C$1089/100</f>
        <v>99</v>
      </c>
      <c r="D1089" s="142">
        <f>B1089*IBGE_2!D$1089/100</f>
        <v>20.91</v>
      </c>
      <c r="E1089" s="142">
        <f>B1089*IBGE_2!E$1089/100</f>
        <v>1.08</v>
      </c>
      <c r="F1089" s="142">
        <f>B1089*IBGE_2!F$1089/100</f>
        <v>0.28999999999999998</v>
      </c>
      <c r="G1089" s="142">
        <f>B1089*IBGE_2!G$1089/100</f>
        <v>0.2</v>
      </c>
      <c r="H1089" s="142">
        <f>B1089*IBGE_2!H$1089/100</f>
        <v>0.44</v>
      </c>
      <c r="I1089" s="142">
        <f>B1089*IBGE_2!I$1089/100</f>
        <v>0.02</v>
      </c>
      <c r="J1089" s="142">
        <f>B1089*IBGE_2!J$1089/100</f>
        <v>0.01</v>
      </c>
      <c r="K1089" s="142">
        <f>B1089*IBGE_2!K$1089/100</f>
        <v>195</v>
      </c>
      <c r="L1089" s="142" t="s">
        <v>3047</v>
      </c>
      <c r="M1089" s="142" t="s">
        <v>3047</v>
      </c>
      <c r="N1089" s="142">
        <f>B1089*IBGE_2!N$1089/100</f>
        <v>39</v>
      </c>
      <c r="O1089" s="142">
        <f>B1089*IBGE_2!O$1089/100</f>
        <v>34</v>
      </c>
      <c r="P1089" s="142">
        <f>B1089*IBGE_2!P$1089/100</f>
        <v>0.03</v>
      </c>
      <c r="Q1089" s="142">
        <f>B1089*IBGE_2!Q$1089/100</f>
        <v>137</v>
      </c>
      <c r="R1089" s="142">
        <f>B1089*IBGE_2!R$1089/100</f>
        <v>3.09</v>
      </c>
      <c r="S1089" s="142">
        <f>B1089*IBGE_2!S$1089/100</f>
        <v>224</v>
      </c>
      <c r="T1089" s="142">
        <f>B1089*IBGE_2!T$1089/100</f>
        <v>182</v>
      </c>
      <c r="U1089" s="142">
        <f>B1089*IBGE_2!U$1089/100</f>
        <v>0.19</v>
      </c>
      <c r="V1089" s="142">
        <f>B1089*IBGE_2!V$1089/100</f>
        <v>1.56</v>
      </c>
      <c r="W1089" s="142">
        <f>B1089*IBGE_2!W$1089/100</f>
        <v>68</v>
      </c>
      <c r="X1089" s="142">
        <f>B1089*IBGE_2!X$1089/100</f>
        <v>0.03</v>
      </c>
      <c r="Y1089" s="142">
        <f>B1089*IBGE_2!Y$1089/100</f>
        <v>0.03</v>
      </c>
      <c r="Z1089" s="142">
        <f>B1089*IBGE_2!Z$1089/100</f>
        <v>0.13</v>
      </c>
      <c r="AA1089" s="142">
        <f>B1089*IBGE_2!AA$1089/100</f>
        <v>2.59</v>
      </c>
      <c r="AB1089" s="142">
        <f>B1089*IBGE_2!AB$1089/100</f>
        <v>2.2000000000000002</v>
      </c>
      <c r="AC1089" s="142">
        <f>B1089*IBGE_2!AC$1089/100</f>
        <v>7.44</v>
      </c>
      <c r="AD1089" s="142">
        <f>B1089*IBGE_2!AD$1089/100</f>
        <v>1.49</v>
      </c>
      <c r="AE1089" s="142">
        <f>B1089*IBGE_2!AE$1089/100</f>
        <v>4</v>
      </c>
      <c r="AF1089" s="142">
        <f>B1089*IBGE_2!AF$1089/100</f>
        <v>3.58</v>
      </c>
      <c r="AG1089" s="142">
        <f>B1089*IBGE_2!AG$1089/100</f>
        <v>1.38</v>
      </c>
      <c r="AH1089" s="142">
        <f>B1089*IBGE_2!AH$1089/100</f>
        <v>0.02</v>
      </c>
      <c r="AI1089" s="142">
        <f>B1089*IBGE_2!AI$1089/100</f>
        <v>333</v>
      </c>
      <c r="AJ1089" s="142">
        <f>B1089*IBGE_2!AJ$1089/100</f>
        <v>39.6</v>
      </c>
      <c r="AK1089" s="142">
        <f>B1089*IBGE_2!AK$1089/100</f>
        <v>68</v>
      </c>
      <c r="AL1089" s="142" t="s">
        <v>3047</v>
      </c>
      <c r="AM1089" s="142" t="s">
        <v>3047</v>
      </c>
      <c r="AN1089" s="161"/>
    </row>
    <row r="1090" spans="1:40">
      <c r="A1090" s="143" t="s">
        <v>2150</v>
      </c>
      <c r="B1090" s="141">
        <v>100</v>
      </c>
      <c r="C1090" s="142">
        <f>B1090*IBGE_2!C$1090/100</f>
        <v>121.66</v>
      </c>
      <c r="D1090" s="142">
        <f>B1090*IBGE_2!D$1090/100</f>
        <v>20.91</v>
      </c>
      <c r="E1090" s="142">
        <f>B1090*IBGE_2!E$1090/100</f>
        <v>3.64</v>
      </c>
      <c r="F1090" s="142">
        <f>B1090*IBGE_2!F$1090/100</f>
        <v>0.66</v>
      </c>
      <c r="G1090" s="142">
        <f>B1090*IBGE_2!G$1090/100</f>
        <v>0.79</v>
      </c>
      <c r="H1090" s="142">
        <f>B1090*IBGE_2!H$1090/100</f>
        <v>1.92</v>
      </c>
      <c r="I1090" s="142">
        <f>B1090*IBGE_2!I$1090/100</f>
        <v>1.33</v>
      </c>
      <c r="J1090" s="142">
        <f>B1090*IBGE_2!J$1090/100</f>
        <v>0.19</v>
      </c>
      <c r="K1090" s="142">
        <f>B1090*IBGE_2!K$1090/100</f>
        <v>195</v>
      </c>
      <c r="L1090" s="142" t="s">
        <v>3047</v>
      </c>
      <c r="M1090" s="142" t="s">
        <v>3047</v>
      </c>
      <c r="N1090" s="142">
        <f>B1090*IBGE_2!N$1090/100</f>
        <v>39</v>
      </c>
      <c r="O1090" s="142">
        <f>B1090*IBGE_2!O$1090/100</f>
        <v>34</v>
      </c>
      <c r="P1090" s="142">
        <f>B1090*IBGE_2!P$1090/100</f>
        <v>0.03</v>
      </c>
      <c r="Q1090" s="142">
        <f>B1090*IBGE_2!Q$1090/100</f>
        <v>137</v>
      </c>
      <c r="R1090" s="142">
        <f>B1090*IBGE_2!R$1090/100</f>
        <v>3.09</v>
      </c>
      <c r="S1090" s="142">
        <f>B1090*IBGE_2!S$1090/100</f>
        <v>224</v>
      </c>
      <c r="T1090" s="142">
        <f>B1090*IBGE_2!T$1090/100</f>
        <v>182</v>
      </c>
      <c r="U1090" s="142">
        <f>B1090*IBGE_2!U$1090/100</f>
        <v>0.19</v>
      </c>
      <c r="V1090" s="142">
        <f>B1090*IBGE_2!V$1090/100</f>
        <v>1.56</v>
      </c>
      <c r="W1090" s="142">
        <f>B1090*IBGE_2!W$1090/100</f>
        <v>68</v>
      </c>
      <c r="X1090" s="142">
        <f>B1090*IBGE_2!X$1090/100</f>
        <v>0.03</v>
      </c>
      <c r="Y1090" s="142">
        <f>B1090*IBGE_2!Y$1090/100</f>
        <v>0.03</v>
      </c>
      <c r="Z1090" s="142">
        <f>B1090*IBGE_2!Z$1090/100</f>
        <v>0.13</v>
      </c>
      <c r="AA1090" s="142">
        <f>B1090*IBGE_2!AA$1090/100</f>
        <v>2.59</v>
      </c>
      <c r="AB1090" s="142">
        <f>B1090*IBGE_2!AB$1090/100</f>
        <v>2.2000000000000002</v>
      </c>
      <c r="AC1090" s="142">
        <f>B1090*IBGE_2!AC$1090/100</f>
        <v>7.44</v>
      </c>
      <c r="AD1090" s="142">
        <f>B1090*IBGE_2!AD$1090/100</f>
        <v>1.49</v>
      </c>
      <c r="AE1090" s="142">
        <f>B1090*IBGE_2!AE$1090/100</f>
        <v>4</v>
      </c>
      <c r="AF1090" s="142">
        <f>B1090*IBGE_2!AF$1090/100</f>
        <v>3.58</v>
      </c>
      <c r="AG1090" s="142">
        <f>B1090*IBGE_2!AG$1090/100</f>
        <v>1.62</v>
      </c>
      <c r="AH1090" s="142">
        <f>B1090*IBGE_2!AH$1090/100</f>
        <v>0.02</v>
      </c>
      <c r="AI1090" s="142">
        <f>B1090*IBGE_2!AI$1090/100</f>
        <v>333</v>
      </c>
      <c r="AJ1090" s="142">
        <f>B1090*IBGE_2!AJ$1090/100</f>
        <v>40.770000000000003</v>
      </c>
      <c r="AK1090" s="142">
        <f>B1090*IBGE_2!AK$1090/100</f>
        <v>68</v>
      </c>
      <c r="AL1090" s="142" t="s">
        <v>3047</v>
      </c>
      <c r="AM1090" s="142" t="s">
        <v>3047</v>
      </c>
      <c r="AN1090" s="161"/>
    </row>
    <row r="1091" spans="1:40">
      <c r="A1091" s="143" t="s">
        <v>2151</v>
      </c>
      <c r="B1091" s="141">
        <v>100</v>
      </c>
      <c r="C1091" s="142">
        <f>B1091*IBGE_2!C$1091/100</f>
        <v>137.84</v>
      </c>
      <c r="D1091" s="142">
        <f>B1091*IBGE_2!D$1091/100</f>
        <v>21.37</v>
      </c>
      <c r="E1091" s="142">
        <f>B1091*IBGE_2!E$1091/100</f>
        <v>3.69</v>
      </c>
      <c r="F1091" s="142">
        <f>B1091*IBGE_2!F$1091/100</f>
        <v>0.66</v>
      </c>
      <c r="G1091" s="142">
        <f>B1091*IBGE_2!G$1091/100</f>
        <v>0.8</v>
      </c>
      <c r="H1091" s="142">
        <f>B1091*IBGE_2!H$1091/100</f>
        <v>1.94</v>
      </c>
      <c r="I1091" s="142">
        <f>B1091*IBGE_2!I$1091/100</f>
        <v>1.35</v>
      </c>
      <c r="J1091" s="142">
        <f>B1091*IBGE_2!J$1091/100</f>
        <v>0.19</v>
      </c>
      <c r="K1091" s="142">
        <f>B1091*IBGE_2!K$1091/100</f>
        <v>195</v>
      </c>
      <c r="L1091" s="142">
        <f>B1091*IBGE_2!L$1091/100</f>
        <v>3.39</v>
      </c>
      <c r="M1091" s="142">
        <f>B1091*IBGE_2!M$1091/100</f>
        <v>0.14000000000000001</v>
      </c>
      <c r="N1091" s="142">
        <f>B1091*IBGE_2!N$1091/100</f>
        <v>39.67</v>
      </c>
      <c r="O1091" s="142">
        <f>B1091*IBGE_2!O$1091/100</f>
        <v>34.979999999999997</v>
      </c>
      <c r="P1091" s="142">
        <f>B1091*IBGE_2!P$1091/100</f>
        <v>0.06</v>
      </c>
      <c r="Q1091" s="142">
        <f>B1091*IBGE_2!Q$1091/100</f>
        <v>141.80000000000001</v>
      </c>
      <c r="R1091" s="142">
        <f>B1091*IBGE_2!R$1091/100</f>
        <v>3.3</v>
      </c>
      <c r="S1091" s="142">
        <f>B1091*IBGE_2!S$1091/100</f>
        <v>224.09</v>
      </c>
      <c r="T1091" s="142">
        <f>B1091*IBGE_2!T$1091/100</f>
        <v>186.76</v>
      </c>
      <c r="U1091" s="142">
        <f>B1091*IBGE_2!U$1091/100</f>
        <v>0.2</v>
      </c>
      <c r="V1091" s="142">
        <f>B1091*IBGE_2!V$1091/100</f>
        <v>1.59</v>
      </c>
      <c r="W1091" s="142">
        <f>B1091*IBGE_2!W$1091/100</f>
        <v>68</v>
      </c>
      <c r="X1091" s="142">
        <f>B1091*IBGE_2!X$1091/100</f>
        <v>7.0000000000000007E-2</v>
      </c>
      <c r="Y1091" s="142">
        <f>B1091*IBGE_2!Y$1091/100</f>
        <v>0.05</v>
      </c>
      <c r="Z1091" s="142">
        <f>B1091*IBGE_2!Z$1091/100</f>
        <v>0.13</v>
      </c>
      <c r="AA1091" s="142">
        <f>B1091*IBGE_2!AA$1091/100</f>
        <v>2.85</v>
      </c>
      <c r="AB1091" s="142">
        <f>B1091*IBGE_2!AB$1091/100</f>
        <v>2.2000000000000002</v>
      </c>
      <c r="AC1091" s="142">
        <f>B1091*IBGE_2!AC$1091/100</f>
        <v>7.8</v>
      </c>
      <c r="AD1091" s="142">
        <f>B1091*IBGE_2!AD$1091/100</f>
        <v>1.49</v>
      </c>
      <c r="AE1091" s="142">
        <f>B1091*IBGE_2!AE$1091/100</f>
        <v>13.07</v>
      </c>
      <c r="AF1091" s="142">
        <f>B1091*IBGE_2!AF$1091/100</f>
        <v>3.58</v>
      </c>
      <c r="AG1091" s="142">
        <f>B1091*IBGE_2!AG$1091/100</f>
        <v>1.62</v>
      </c>
      <c r="AH1091" s="142">
        <f>B1091*IBGE_2!AH$1091/100</f>
        <v>0.02</v>
      </c>
      <c r="AI1091" s="142">
        <f>B1091*IBGE_2!AI$1091/100</f>
        <v>333</v>
      </c>
      <c r="AJ1091" s="142">
        <f>B1091*IBGE_2!AJ$1091/100</f>
        <v>42.28</v>
      </c>
      <c r="AK1091" s="142">
        <f>B1091*IBGE_2!AK$1091/100</f>
        <v>68</v>
      </c>
      <c r="AL1091" s="142">
        <f>B1091*IBGE_2!AL$1091/100</f>
        <v>0.01</v>
      </c>
      <c r="AM1091" s="142" t="s">
        <v>3047</v>
      </c>
      <c r="AN1091" s="161"/>
    </row>
    <row r="1092" spans="1:40">
      <c r="A1092" s="143" t="s">
        <v>2152</v>
      </c>
      <c r="B1092" s="141">
        <v>100</v>
      </c>
      <c r="C1092" s="142">
        <f>B1092*IBGE_2!C$1092/100</f>
        <v>121.66</v>
      </c>
      <c r="D1092" s="142">
        <f>B1092*IBGE_2!D$1092/100</f>
        <v>20.91</v>
      </c>
      <c r="E1092" s="142">
        <f>B1092*IBGE_2!E$1092/100</f>
        <v>3.64</v>
      </c>
      <c r="F1092" s="142">
        <f>B1092*IBGE_2!F$1092/100</f>
        <v>0.66</v>
      </c>
      <c r="G1092" s="142">
        <f>B1092*IBGE_2!G$1092/100</f>
        <v>0.79</v>
      </c>
      <c r="H1092" s="142">
        <f>B1092*IBGE_2!H$1092/100</f>
        <v>1.92</v>
      </c>
      <c r="I1092" s="142">
        <f>B1092*IBGE_2!I$1092/100</f>
        <v>1.33</v>
      </c>
      <c r="J1092" s="142">
        <f>B1092*IBGE_2!J$1092/100</f>
        <v>0.19</v>
      </c>
      <c r="K1092" s="142">
        <f>B1092*IBGE_2!K$1092/100</f>
        <v>195</v>
      </c>
      <c r="L1092" s="142" t="s">
        <v>3047</v>
      </c>
      <c r="M1092" s="142" t="s">
        <v>3047</v>
      </c>
      <c r="N1092" s="142">
        <f>B1092*IBGE_2!N$1092/100</f>
        <v>39</v>
      </c>
      <c r="O1092" s="142">
        <f>B1092*IBGE_2!O$1092/100</f>
        <v>34</v>
      </c>
      <c r="P1092" s="142">
        <f>B1092*IBGE_2!P$1092/100</f>
        <v>0.03</v>
      </c>
      <c r="Q1092" s="142">
        <f>B1092*IBGE_2!Q$1092/100</f>
        <v>137</v>
      </c>
      <c r="R1092" s="142">
        <f>B1092*IBGE_2!R$1092/100</f>
        <v>3.09</v>
      </c>
      <c r="S1092" s="142">
        <f>B1092*IBGE_2!S$1092/100</f>
        <v>224</v>
      </c>
      <c r="T1092" s="142">
        <f>B1092*IBGE_2!T$1092/100</f>
        <v>182</v>
      </c>
      <c r="U1092" s="142">
        <f>B1092*IBGE_2!U$1092/100</f>
        <v>0.19</v>
      </c>
      <c r="V1092" s="142">
        <f>B1092*IBGE_2!V$1092/100</f>
        <v>1.56</v>
      </c>
      <c r="W1092" s="142">
        <f>B1092*IBGE_2!W$1092/100</f>
        <v>68</v>
      </c>
      <c r="X1092" s="142">
        <f>B1092*IBGE_2!X$1092/100</f>
        <v>0.03</v>
      </c>
      <c r="Y1092" s="142">
        <f>B1092*IBGE_2!Y$1092/100</f>
        <v>0.03</v>
      </c>
      <c r="Z1092" s="142">
        <f>B1092*IBGE_2!Z$1092/100</f>
        <v>0.13</v>
      </c>
      <c r="AA1092" s="142">
        <f>B1092*IBGE_2!AA$1092/100</f>
        <v>2.59</v>
      </c>
      <c r="AB1092" s="142">
        <f>B1092*IBGE_2!AB$1092/100</f>
        <v>2.2000000000000002</v>
      </c>
      <c r="AC1092" s="142">
        <f>B1092*IBGE_2!AC$1092/100</f>
        <v>7.44</v>
      </c>
      <c r="AD1092" s="142">
        <f>B1092*IBGE_2!AD$1092/100</f>
        <v>1.49</v>
      </c>
      <c r="AE1092" s="142">
        <f>B1092*IBGE_2!AE$1092/100</f>
        <v>4</v>
      </c>
      <c r="AF1092" s="142">
        <f>B1092*IBGE_2!AF$1092/100</f>
        <v>3.58</v>
      </c>
      <c r="AG1092" s="142">
        <f>B1092*IBGE_2!AG$1092/100</f>
        <v>1.62</v>
      </c>
      <c r="AH1092" s="142">
        <f>B1092*IBGE_2!AH$1092/100</f>
        <v>0.02</v>
      </c>
      <c r="AI1092" s="142">
        <f>B1092*IBGE_2!AI$1092/100</f>
        <v>333</v>
      </c>
      <c r="AJ1092" s="142">
        <f>B1092*IBGE_2!AJ$1092/100</f>
        <v>40.770000000000003</v>
      </c>
      <c r="AK1092" s="142">
        <f>B1092*IBGE_2!AK$1092/100</f>
        <v>68</v>
      </c>
      <c r="AL1092" s="145" t="s">
        <v>3047</v>
      </c>
      <c r="AM1092" s="142" t="s">
        <v>3047</v>
      </c>
      <c r="AN1092" s="161"/>
    </row>
    <row r="1093" spans="1:40">
      <c r="A1093" s="143" t="s">
        <v>2153</v>
      </c>
      <c r="B1093" s="141">
        <v>100</v>
      </c>
      <c r="C1093" s="142">
        <f>B1093*IBGE_2!C$1093/100</f>
        <v>84</v>
      </c>
      <c r="D1093" s="142">
        <f>B1093*IBGE_2!D$1093/100</f>
        <v>16.989999999999998</v>
      </c>
      <c r="E1093" s="142">
        <f>B1093*IBGE_2!E$1093/100</f>
        <v>0.9</v>
      </c>
      <c r="F1093" s="142">
        <f>B1093*IBGE_2!F$1093/100</f>
        <v>0.24</v>
      </c>
      <c r="G1093" s="142">
        <f>B1093*IBGE_2!G$1093/100</f>
        <v>0.16</v>
      </c>
      <c r="H1093" s="142">
        <f>B1093*IBGE_2!H$1093/100</f>
        <v>0.37</v>
      </c>
      <c r="I1093" s="142">
        <f>B1093*IBGE_2!I$1093/100</f>
        <v>0.03</v>
      </c>
      <c r="J1093" s="142">
        <f>B1093*IBGE_2!J$1093/100</f>
        <v>0.01</v>
      </c>
      <c r="K1093" s="142">
        <f>B1093*IBGE_2!K$1093/100</f>
        <v>156</v>
      </c>
      <c r="L1093" s="142">
        <f>B1093*IBGE_2!L$1093/100</f>
        <v>1.08</v>
      </c>
      <c r="M1093" s="142">
        <f>B1093*IBGE_2!M$1093/100</f>
        <v>0.3</v>
      </c>
      <c r="N1093" s="142">
        <f>B1093*IBGE_2!N$1093/100</f>
        <v>33.799999999999997</v>
      </c>
      <c r="O1093" s="142">
        <f>B1093*IBGE_2!O$1093/100</f>
        <v>30.4</v>
      </c>
      <c r="P1093" s="142">
        <f>B1093*IBGE_2!P$1093/100</f>
        <v>0.05</v>
      </c>
      <c r="Q1093" s="142">
        <f>B1093*IBGE_2!Q$1093/100</f>
        <v>114.8</v>
      </c>
      <c r="R1093" s="142">
        <f>B1093*IBGE_2!R$1093/100</f>
        <v>2.68</v>
      </c>
      <c r="S1093" s="142">
        <f>B1093*IBGE_2!S$1093/100</f>
        <v>284</v>
      </c>
      <c r="T1093" s="142">
        <f>B1093*IBGE_2!T$1093/100</f>
        <v>211.8</v>
      </c>
      <c r="U1093" s="142">
        <f>B1093*IBGE_2!U$1093/100</f>
        <v>0.18</v>
      </c>
      <c r="V1093" s="142">
        <f>B1093*IBGE_2!V$1093/100</f>
        <v>1.29</v>
      </c>
      <c r="W1093" s="142">
        <f>B1093*IBGE_2!W$1093/100</f>
        <v>54.4</v>
      </c>
      <c r="X1093" s="142">
        <f>B1093*IBGE_2!X$1093/100</f>
        <v>0.03</v>
      </c>
      <c r="Y1093" s="142">
        <f>B1093*IBGE_2!Y$1093/100</f>
        <v>0.04</v>
      </c>
      <c r="Z1093" s="142">
        <f>B1093*IBGE_2!Z$1093/100</f>
        <v>0.12</v>
      </c>
      <c r="AA1093" s="142">
        <f>B1093*IBGE_2!AA$1093/100</f>
        <v>2.27</v>
      </c>
      <c r="AB1093" s="142">
        <f>B1093*IBGE_2!AB$1093/100</f>
        <v>3.16</v>
      </c>
      <c r="AC1093" s="142">
        <f>B1093*IBGE_2!AC$1093/100</f>
        <v>6.18</v>
      </c>
      <c r="AD1093" s="142">
        <f>B1093*IBGE_2!AD$1093/100</f>
        <v>1.19</v>
      </c>
      <c r="AE1093" s="142">
        <f>B1093*IBGE_2!AE$1093/100</f>
        <v>5.4</v>
      </c>
      <c r="AF1093" s="142">
        <f>B1093*IBGE_2!AF$1093/100</f>
        <v>2.86</v>
      </c>
      <c r="AG1093" s="142">
        <f>B1093*IBGE_2!AG$1093/100</f>
        <v>1.39</v>
      </c>
      <c r="AH1093" s="142">
        <f>B1093*IBGE_2!AH$1093/100</f>
        <v>0.02</v>
      </c>
      <c r="AI1093" s="142">
        <f>B1093*IBGE_2!AI$1093/100</f>
        <v>333</v>
      </c>
      <c r="AJ1093" s="142">
        <f>B1093*IBGE_2!AJ$1093/100</f>
        <v>31.72</v>
      </c>
      <c r="AK1093" s="142">
        <f>B1093*IBGE_2!AK$1093/100</f>
        <v>57.88</v>
      </c>
      <c r="AL1093" s="142">
        <f>B1093*IBGE_2!AL$1093/100</f>
        <v>0.85</v>
      </c>
      <c r="AM1093" s="142" t="s">
        <v>3047</v>
      </c>
      <c r="AN1093" s="161"/>
    </row>
    <row r="1094" spans="1:40">
      <c r="A1094" s="143" t="s">
        <v>2154</v>
      </c>
      <c r="B1094" s="141">
        <v>100</v>
      </c>
      <c r="C1094" s="142">
        <f>B1094*IBGE_2!C$1094/100</f>
        <v>125.65</v>
      </c>
      <c r="D1094" s="142">
        <f>B1094*IBGE_2!D$1094/100</f>
        <v>18.21</v>
      </c>
      <c r="E1094" s="142">
        <f>B1094*IBGE_2!E$1094/100</f>
        <v>4.75</v>
      </c>
      <c r="F1094" s="142">
        <f>B1094*IBGE_2!F$1094/100</f>
        <v>2.2599999999999998</v>
      </c>
      <c r="G1094" s="142">
        <f>B1094*IBGE_2!G$1094/100</f>
        <v>1.24</v>
      </c>
      <c r="H1094" s="142">
        <f>B1094*IBGE_2!H$1094/100</f>
        <v>0.89</v>
      </c>
      <c r="I1094" s="142">
        <f>B1094*IBGE_2!I$1094/100</f>
        <v>0.46</v>
      </c>
      <c r="J1094" s="142">
        <f>B1094*IBGE_2!J$1094/100</f>
        <v>0.09</v>
      </c>
      <c r="K1094" s="142">
        <f>B1094*IBGE_2!K$1094/100</f>
        <v>169.93</v>
      </c>
      <c r="L1094" s="142">
        <f>B1094*IBGE_2!L$1094/100</f>
        <v>1.47</v>
      </c>
      <c r="M1094" s="142">
        <f>B1094*IBGE_2!M$1094/100</f>
        <v>7.0000000000000007E-2</v>
      </c>
      <c r="N1094" s="142">
        <f>B1094*IBGE_2!N$1094/100</f>
        <v>43.88</v>
      </c>
      <c r="O1094" s="142">
        <f>B1094*IBGE_2!O$1094/100</f>
        <v>29.56</v>
      </c>
      <c r="P1094" s="142">
        <f>B1094*IBGE_2!P$1094/100</f>
        <v>0.09</v>
      </c>
      <c r="Q1094" s="142">
        <f>B1094*IBGE_2!Q$1094/100</f>
        <v>132.93</v>
      </c>
      <c r="R1094" s="142">
        <f>B1094*IBGE_2!R$1094/100</f>
        <v>3.8</v>
      </c>
      <c r="S1094" s="142">
        <f>B1094*IBGE_2!S$1094/100</f>
        <v>188</v>
      </c>
      <c r="T1094" s="142">
        <f>B1094*IBGE_2!T$1094/100</f>
        <v>191.55</v>
      </c>
      <c r="U1094" s="142">
        <f>B1094*IBGE_2!U$1094/100</f>
        <v>0.19</v>
      </c>
      <c r="V1094" s="142">
        <f>B1094*IBGE_2!V$1094/100</f>
        <v>1.41</v>
      </c>
      <c r="W1094" s="142">
        <f>B1094*IBGE_2!W$1094/100</f>
        <v>89.47</v>
      </c>
      <c r="X1094" s="142">
        <f>B1094*IBGE_2!X$1094/100</f>
        <v>0.04</v>
      </c>
      <c r="Y1094" s="142">
        <f>B1094*IBGE_2!Y$1094/100</f>
        <v>0.06</v>
      </c>
      <c r="Z1094" s="142">
        <f>B1094*IBGE_2!Z$1094/100</f>
        <v>0.12</v>
      </c>
      <c r="AA1094" s="142">
        <f>B1094*IBGE_2!AA$1094/100</f>
        <v>2.29</v>
      </c>
      <c r="AB1094" s="142">
        <f>B1094*IBGE_2!AB$1094/100</f>
        <v>3.48</v>
      </c>
      <c r="AC1094" s="142">
        <f>B1094*IBGE_2!AC$1094/100</f>
        <v>6.46</v>
      </c>
      <c r="AD1094" s="142">
        <f>B1094*IBGE_2!AD$1094/100</f>
        <v>5.59</v>
      </c>
      <c r="AE1094" s="142">
        <f>B1094*IBGE_2!AE$1094/100</f>
        <v>7.51</v>
      </c>
      <c r="AF1094" s="142">
        <f>B1094*IBGE_2!AF$1094/100</f>
        <v>2.98</v>
      </c>
      <c r="AG1094" s="142">
        <f>B1094*IBGE_2!AG$1094/100</f>
        <v>1.29</v>
      </c>
      <c r="AH1094" s="142">
        <f>B1094*IBGE_2!AH$1094/100</f>
        <v>0.13</v>
      </c>
      <c r="AI1094" s="142">
        <f>B1094*IBGE_2!AI$1094/100</f>
        <v>333</v>
      </c>
      <c r="AJ1094" s="142">
        <f>B1094*IBGE_2!AJ$1094/100</f>
        <v>34.53</v>
      </c>
      <c r="AK1094" s="142">
        <f>B1094*IBGE_2!AK$1094/100</f>
        <v>91.69</v>
      </c>
      <c r="AL1094" s="142">
        <f>B1094*IBGE_2!AL$1094/100</f>
        <v>0.39</v>
      </c>
      <c r="AM1094" s="142" t="s">
        <v>3047</v>
      </c>
      <c r="AN1094" s="161"/>
    </row>
    <row r="1095" spans="1:40">
      <c r="A1095" s="143" t="s">
        <v>2155</v>
      </c>
      <c r="B1095" s="141">
        <v>100</v>
      </c>
      <c r="C1095" s="142">
        <f>B1095*IBGE_2!C$1095/100</f>
        <v>121.66</v>
      </c>
      <c r="D1095" s="142">
        <f>B1095*IBGE_2!D$1095/100</f>
        <v>20.91</v>
      </c>
      <c r="E1095" s="142">
        <f>B1095*IBGE_2!E$1095/100</f>
        <v>3.64</v>
      </c>
      <c r="F1095" s="142">
        <f>B1095*IBGE_2!F$1095/100</f>
        <v>0.66</v>
      </c>
      <c r="G1095" s="142">
        <f>B1095*IBGE_2!G$1095/100</f>
        <v>0.79</v>
      </c>
      <c r="H1095" s="142">
        <f>B1095*IBGE_2!H$1095/100</f>
        <v>1.92</v>
      </c>
      <c r="I1095" s="142">
        <f>B1095*IBGE_2!I$1095/100</f>
        <v>1.33</v>
      </c>
      <c r="J1095" s="142">
        <f>B1095*IBGE_2!J$1095/100</f>
        <v>0.19</v>
      </c>
      <c r="K1095" s="142">
        <f>B1095*IBGE_2!K$1095/100</f>
        <v>195</v>
      </c>
      <c r="L1095" s="142" t="s">
        <v>3047</v>
      </c>
      <c r="M1095" s="142" t="s">
        <v>3047</v>
      </c>
      <c r="N1095" s="142">
        <f>B1095*IBGE_2!N$1095/100</f>
        <v>39</v>
      </c>
      <c r="O1095" s="142">
        <f>B1095*IBGE_2!O$1095/100</f>
        <v>34</v>
      </c>
      <c r="P1095" s="142">
        <f>B1095*IBGE_2!P$1095/100</f>
        <v>0.03</v>
      </c>
      <c r="Q1095" s="142">
        <f>B1095*IBGE_2!Q$1095/100</f>
        <v>137</v>
      </c>
      <c r="R1095" s="142">
        <f>B1095*IBGE_2!R$1095/100</f>
        <v>3.09</v>
      </c>
      <c r="S1095" s="142">
        <f>B1095*IBGE_2!S$1095/100</f>
        <v>224</v>
      </c>
      <c r="T1095" s="142">
        <f>B1095*IBGE_2!T$1095/100</f>
        <v>182</v>
      </c>
      <c r="U1095" s="142">
        <f>B1095*IBGE_2!U$1095/100</f>
        <v>0.19</v>
      </c>
      <c r="V1095" s="142">
        <f>B1095*IBGE_2!V$1095/100</f>
        <v>1.56</v>
      </c>
      <c r="W1095" s="142">
        <f>B1095*IBGE_2!W$1095/100</f>
        <v>68</v>
      </c>
      <c r="X1095" s="142">
        <f>B1095*IBGE_2!X$1095/100</f>
        <v>0.03</v>
      </c>
      <c r="Y1095" s="142">
        <f>B1095*IBGE_2!Y$1095/100</f>
        <v>0.03</v>
      </c>
      <c r="Z1095" s="142">
        <f>B1095*IBGE_2!Z$1095/100</f>
        <v>0.13</v>
      </c>
      <c r="AA1095" s="142">
        <f>B1095*IBGE_2!AA$1095/100</f>
        <v>2.59</v>
      </c>
      <c r="AB1095" s="142">
        <f>B1095*IBGE_2!AB$1095/100</f>
        <v>2.2000000000000002</v>
      </c>
      <c r="AC1095" s="142">
        <f>B1095*IBGE_2!AC$1095/100</f>
        <v>7.44</v>
      </c>
      <c r="AD1095" s="142">
        <f>B1095*IBGE_2!AD$1095/100</f>
        <v>1.49</v>
      </c>
      <c r="AE1095" s="142">
        <f>B1095*IBGE_2!AE$1095/100</f>
        <v>4</v>
      </c>
      <c r="AF1095" s="142">
        <f>B1095*IBGE_2!AF$1095/100</f>
        <v>3.58</v>
      </c>
      <c r="AG1095" s="142">
        <f>B1095*IBGE_2!AG$1095/100</f>
        <v>1.62</v>
      </c>
      <c r="AH1095" s="142">
        <f>B1095*IBGE_2!AH$1095/100</f>
        <v>0.02</v>
      </c>
      <c r="AI1095" s="142">
        <f>B1095*IBGE_2!AI$1095/100</f>
        <v>333</v>
      </c>
      <c r="AJ1095" s="142">
        <f>B1095*IBGE_2!AJ$1095/100</f>
        <v>40.770000000000003</v>
      </c>
      <c r="AK1095" s="142">
        <f>B1095*IBGE_2!AK$1095/100</f>
        <v>68</v>
      </c>
      <c r="AL1095" s="142" t="s">
        <v>3047</v>
      </c>
      <c r="AM1095" s="142" t="s">
        <v>3047</v>
      </c>
      <c r="AN1095" s="161"/>
    </row>
    <row r="1096" spans="1:40">
      <c r="A1096" s="143" t="s">
        <v>2156</v>
      </c>
      <c r="B1096" s="141">
        <v>100</v>
      </c>
      <c r="C1096" s="142">
        <f>B1096*IBGE_2!C$1096/100</f>
        <v>121.66</v>
      </c>
      <c r="D1096" s="142">
        <f>B1096*IBGE_2!D$1096/100</f>
        <v>20.91</v>
      </c>
      <c r="E1096" s="142">
        <f>B1096*IBGE_2!E$1096/100</f>
        <v>3.64</v>
      </c>
      <c r="F1096" s="142">
        <f>B1096*IBGE_2!F$1096/100</f>
        <v>0.66</v>
      </c>
      <c r="G1096" s="142">
        <f>B1096*IBGE_2!G$1096/100</f>
        <v>0.79</v>
      </c>
      <c r="H1096" s="142">
        <f>B1096*IBGE_2!H$1096/100</f>
        <v>1.92</v>
      </c>
      <c r="I1096" s="142">
        <f>B1096*IBGE_2!I$1096/100</f>
        <v>1.33</v>
      </c>
      <c r="J1096" s="142">
        <f>B1096*IBGE_2!J$1096/100</f>
        <v>0.19</v>
      </c>
      <c r="K1096" s="142">
        <f>B1096*IBGE_2!K$1096/100</f>
        <v>195</v>
      </c>
      <c r="L1096" s="142" t="s">
        <v>3047</v>
      </c>
      <c r="M1096" s="142" t="s">
        <v>3047</v>
      </c>
      <c r="N1096" s="142">
        <f>B1096*IBGE_2!N$1096/100</f>
        <v>39</v>
      </c>
      <c r="O1096" s="142">
        <f>B1096*IBGE_2!O$1096/100</f>
        <v>34</v>
      </c>
      <c r="P1096" s="142">
        <f>B1096*IBGE_2!P$1096/100</f>
        <v>0.03</v>
      </c>
      <c r="Q1096" s="142">
        <f>B1096*IBGE_2!Q$1096/100</f>
        <v>137</v>
      </c>
      <c r="R1096" s="142">
        <f>B1096*IBGE_2!R$1096/100</f>
        <v>3.09</v>
      </c>
      <c r="S1096" s="142">
        <f>B1096*IBGE_2!S$1096/100</f>
        <v>224</v>
      </c>
      <c r="T1096" s="142">
        <f>B1096*IBGE_2!T$1096/100</f>
        <v>182</v>
      </c>
      <c r="U1096" s="142">
        <f>B1096*IBGE_2!U$1096/100</f>
        <v>0.19</v>
      </c>
      <c r="V1096" s="142">
        <f>B1096*IBGE_2!V$1096/100</f>
        <v>1.56</v>
      </c>
      <c r="W1096" s="142">
        <f>B1096*IBGE_2!W$1096/100</f>
        <v>68</v>
      </c>
      <c r="X1096" s="142">
        <f>B1096*IBGE_2!X$1096/100</f>
        <v>0.03</v>
      </c>
      <c r="Y1096" s="142">
        <f>B1096*IBGE_2!Y$1096/100</f>
        <v>0.03</v>
      </c>
      <c r="Z1096" s="142">
        <f>B1096*IBGE_2!Z$1096/100</f>
        <v>0.13</v>
      </c>
      <c r="AA1096" s="142">
        <f>B1096*IBGE_2!AA$1096/100</f>
        <v>2.59</v>
      </c>
      <c r="AB1096" s="142">
        <f>B1096*IBGE_2!AB$1096/100</f>
        <v>2.2000000000000002</v>
      </c>
      <c r="AC1096" s="142">
        <f>B1096*IBGE_2!AC$1096/100</f>
        <v>7.44</v>
      </c>
      <c r="AD1096" s="142">
        <f>B1096*IBGE_2!AD$1096/100</f>
        <v>1.49</v>
      </c>
      <c r="AE1096" s="142">
        <f>B1096*IBGE_2!AE$1096/100</f>
        <v>4</v>
      </c>
      <c r="AF1096" s="142">
        <f>B1096*IBGE_2!AF$1096/100</f>
        <v>3.58</v>
      </c>
      <c r="AG1096" s="142">
        <f>B1096*IBGE_2!AG$1096/100</f>
        <v>1.62</v>
      </c>
      <c r="AH1096" s="142">
        <f>B1096*IBGE_2!AH$1096/100</f>
        <v>0.02</v>
      </c>
      <c r="AI1096" s="142">
        <f>B1096*IBGE_2!AI$1096/100</f>
        <v>333</v>
      </c>
      <c r="AJ1096" s="142">
        <f>B1096*IBGE_2!AJ$1096/100</f>
        <v>40.770000000000003</v>
      </c>
      <c r="AK1096" s="142">
        <f>B1096*IBGE_2!AK$1096/100</f>
        <v>68</v>
      </c>
      <c r="AL1096" s="142" t="s">
        <v>3047</v>
      </c>
      <c r="AM1096" s="142" t="s">
        <v>3047</v>
      </c>
      <c r="AN1096" s="161"/>
    </row>
    <row r="1097" spans="1:40">
      <c r="A1097" s="143" t="s">
        <v>2157</v>
      </c>
      <c r="B1097" s="141">
        <v>100</v>
      </c>
      <c r="C1097" s="142">
        <f>B1097*IBGE_2!C$1097/100</f>
        <v>99</v>
      </c>
      <c r="D1097" s="142">
        <f>B1097*IBGE_2!D$1097/100</f>
        <v>20.91</v>
      </c>
      <c r="E1097" s="142">
        <f>B1097*IBGE_2!E$1097/100</f>
        <v>1.08</v>
      </c>
      <c r="F1097" s="142">
        <f>B1097*IBGE_2!F$1097/100</f>
        <v>0.28999999999999998</v>
      </c>
      <c r="G1097" s="142">
        <f>B1097*IBGE_2!G$1097/100</f>
        <v>0.2</v>
      </c>
      <c r="H1097" s="142">
        <f>B1097*IBGE_2!H$1097/100</f>
        <v>0.44</v>
      </c>
      <c r="I1097" s="142">
        <f>B1097*IBGE_2!I$1097/100</f>
        <v>0.02</v>
      </c>
      <c r="J1097" s="142">
        <f>B1097*IBGE_2!J$1097/100</f>
        <v>0.01</v>
      </c>
      <c r="K1097" s="142">
        <f>B1097*IBGE_2!K$1097/100</f>
        <v>195</v>
      </c>
      <c r="L1097" s="142" t="s">
        <v>3047</v>
      </c>
      <c r="M1097" s="142" t="s">
        <v>3047</v>
      </c>
      <c r="N1097" s="142">
        <f>B1097*IBGE_2!N$1097/100</f>
        <v>39</v>
      </c>
      <c r="O1097" s="142">
        <f>B1097*IBGE_2!O$1097/100</f>
        <v>34</v>
      </c>
      <c r="P1097" s="142">
        <f>B1097*IBGE_2!P$1097/100</f>
        <v>0.03</v>
      </c>
      <c r="Q1097" s="142">
        <f>B1097*IBGE_2!Q$1097/100</f>
        <v>137</v>
      </c>
      <c r="R1097" s="142">
        <f>B1097*IBGE_2!R$1097/100</f>
        <v>3.09</v>
      </c>
      <c r="S1097" s="142">
        <f>B1097*IBGE_2!S$1097/100</f>
        <v>224</v>
      </c>
      <c r="T1097" s="142">
        <f>B1097*IBGE_2!T$1097/100</f>
        <v>182</v>
      </c>
      <c r="U1097" s="142">
        <f>B1097*IBGE_2!U$1097/100</f>
        <v>0.19</v>
      </c>
      <c r="V1097" s="142">
        <f>B1097*IBGE_2!V$1097/100</f>
        <v>1.56</v>
      </c>
      <c r="W1097" s="142">
        <f>B1097*IBGE_2!W$1097/100</f>
        <v>68</v>
      </c>
      <c r="X1097" s="142">
        <f>B1097*IBGE_2!X$1097/100</f>
        <v>0.03</v>
      </c>
      <c r="Y1097" s="142">
        <f>B1097*IBGE_2!Y$1097/100</f>
        <v>0.03</v>
      </c>
      <c r="Z1097" s="142">
        <f>B1097*IBGE_2!Z$1097/100</f>
        <v>0.13</v>
      </c>
      <c r="AA1097" s="142">
        <f>B1097*IBGE_2!AA$1097/100</f>
        <v>2.59</v>
      </c>
      <c r="AB1097" s="142">
        <f>B1097*IBGE_2!AB$1097/100</f>
        <v>2.2000000000000002</v>
      </c>
      <c r="AC1097" s="142">
        <f>B1097*IBGE_2!AC$1097/100</f>
        <v>7.44</v>
      </c>
      <c r="AD1097" s="142">
        <f>B1097*IBGE_2!AD$1097/100</f>
        <v>1.49</v>
      </c>
      <c r="AE1097" s="142">
        <f>B1097*IBGE_2!AE$1097/100</f>
        <v>4</v>
      </c>
      <c r="AF1097" s="142">
        <f>B1097*IBGE_2!AF$1097/100</f>
        <v>3.58</v>
      </c>
      <c r="AG1097" s="142">
        <f>B1097*IBGE_2!AG$1097/100</f>
        <v>1.38</v>
      </c>
      <c r="AH1097" s="142">
        <f>B1097*IBGE_2!AH$1097/100</f>
        <v>0.02</v>
      </c>
      <c r="AI1097" s="142">
        <f>B1097*IBGE_2!AI$1097/100</f>
        <v>333</v>
      </c>
      <c r="AJ1097" s="142">
        <f>B1097*IBGE_2!AJ$1097/100</f>
        <v>39.6</v>
      </c>
      <c r="AK1097" s="142">
        <f>B1097*IBGE_2!AK$1097/100</f>
        <v>68</v>
      </c>
      <c r="AL1097" s="142" t="s">
        <v>3047</v>
      </c>
      <c r="AM1097" s="142" t="s">
        <v>3047</v>
      </c>
      <c r="AN1097" s="161"/>
    </row>
    <row r="1098" spans="1:40">
      <c r="A1098" s="143" t="s">
        <v>2158</v>
      </c>
      <c r="B1098" s="141">
        <v>100</v>
      </c>
      <c r="C1098" s="142">
        <f>B1098*IBGE_2!C$1098/100</f>
        <v>102</v>
      </c>
      <c r="D1098" s="142">
        <f>B1098*IBGE_2!D$1098/100</f>
        <v>20.2</v>
      </c>
      <c r="E1098" s="142">
        <f>B1098*IBGE_2!E$1098/100</f>
        <v>1.77</v>
      </c>
      <c r="F1098" s="142">
        <f>B1098*IBGE_2!F$1098/100</f>
        <v>0.23</v>
      </c>
      <c r="G1098" s="142">
        <f>B1098*IBGE_2!G$1098/100</f>
        <v>0.28000000000000003</v>
      </c>
      <c r="H1098" s="142">
        <f>B1098*IBGE_2!H$1098/100</f>
        <v>0.68</v>
      </c>
      <c r="I1098" s="142">
        <f>B1098*IBGE_2!I$1098/100</f>
        <v>0.03</v>
      </c>
      <c r="J1098" s="142">
        <f>B1098*IBGE_2!J$1098/100</f>
        <v>0.02</v>
      </c>
      <c r="K1098" s="142">
        <f>B1098*IBGE_2!K$1098/100</f>
        <v>100</v>
      </c>
      <c r="L1098" s="142" t="s">
        <v>3047</v>
      </c>
      <c r="M1098" s="142" t="s">
        <v>3047</v>
      </c>
      <c r="N1098" s="142">
        <f>B1098*IBGE_2!N$1098/100</f>
        <v>104</v>
      </c>
      <c r="O1098" s="142">
        <f>B1098*IBGE_2!O$1098/100</f>
        <v>33</v>
      </c>
      <c r="P1098" s="142">
        <f>B1098*IBGE_2!P$1098/100</f>
        <v>0.19</v>
      </c>
      <c r="Q1098" s="142">
        <f>B1098*IBGE_2!Q$1098/100</f>
        <v>206</v>
      </c>
      <c r="R1098" s="142">
        <f>B1098*IBGE_2!R$1098/100</f>
        <v>0.91</v>
      </c>
      <c r="S1098" s="142">
        <f>B1098*IBGE_2!S$1098/100</f>
        <v>279</v>
      </c>
      <c r="T1098" s="142">
        <f>B1098*IBGE_2!T$1098/100</f>
        <v>324</v>
      </c>
      <c r="U1098" s="142">
        <f>B1098*IBGE_2!U$1098/100</f>
        <v>0.65</v>
      </c>
      <c r="V1098" s="142">
        <f>B1098*IBGE_2!V$1098/100</f>
        <v>4.22</v>
      </c>
      <c r="W1098" s="142">
        <f>B1098*IBGE_2!W$1098/100</f>
        <v>2</v>
      </c>
      <c r="X1098" s="142">
        <f>B1098*IBGE_2!X$1098/100</f>
        <v>0.1</v>
      </c>
      <c r="Y1098" s="142">
        <f>B1098*IBGE_2!Y$1098/100</f>
        <v>0.05</v>
      </c>
      <c r="Z1098" s="142">
        <f>B1098*IBGE_2!Z$1098/100</f>
        <v>0.18</v>
      </c>
      <c r="AA1098" s="142">
        <f>B1098*IBGE_2!AA$1098/100</f>
        <v>3.3</v>
      </c>
      <c r="AB1098" s="142">
        <f>B1098*IBGE_2!AB$1098/100</f>
        <v>3.3</v>
      </c>
      <c r="AC1098" s="142">
        <f>B1098*IBGE_2!AC$1098/100</f>
        <v>7.98</v>
      </c>
      <c r="AD1098" s="142">
        <f>B1098*IBGE_2!AD$1098/100</f>
        <v>7.3</v>
      </c>
      <c r="AE1098" s="142">
        <f>B1098*IBGE_2!AE$1098/100</f>
        <v>51</v>
      </c>
      <c r="AF1098" s="142" t="s">
        <v>3047</v>
      </c>
      <c r="AG1098" s="142">
        <f>B1098*IBGE_2!AG$1098/100</f>
        <v>1.84</v>
      </c>
      <c r="AH1098" s="145" t="s">
        <v>3047</v>
      </c>
      <c r="AI1098" s="142">
        <f>B1098*IBGE_2!AI$1098/100</f>
        <v>333</v>
      </c>
      <c r="AJ1098" s="142">
        <f>B1098*IBGE_2!AJ$1098/100</f>
        <v>40.200000000000003</v>
      </c>
      <c r="AK1098" s="142">
        <f>B1098*IBGE_2!AK$1098/100</f>
        <v>2</v>
      </c>
      <c r="AL1098" s="142" t="s">
        <v>3047</v>
      </c>
      <c r="AM1098" s="142" t="s">
        <v>3047</v>
      </c>
      <c r="AN1098" s="161"/>
    </row>
    <row r="1099" spans="1:40">
      <c r="A1099" s="143" t="s">
        <v>2159</v>
      </c>
      <c r="B1099" s="141">
        <v>100</v>
      </c>
      <c r="C1099" s="142">
        <f>B1099*IBGE_2!C$1099/100</f>
        <v>140.83699999999999</v>
      </c>
      <c r="D1099" s="142">
        <f>B1099*IBGE_2!D$1099/100</f>
        <v>20.659000000000002</v>
      </c>
      <c r="E1099" s="142">
        <f>B1099*IBGE_2!E$1099/100</f>
        <v>4.3769999999999998</v>
      </c>
      <c r="F1099" s="142">
        <f>B1099*IBGE_2!F$1099/100</f>
        <v>0.63600000000000001</v>
      </c>
      <c r="G1099" s="142">
        <f>B1099*IBGE_2!G$1099/100</f>
        <v>0.86799999999999999</v>
      </c>
      <c r="H1099" s="142">
        <f>B1099*IBGE_2!H$1099/100</f>
        <v>2.1779999999999999</v>
      </c>
      <c r="I1099" s="142">
        <f>B1099*IBGE_2!I$1099/100</f>
        <v>1.351</v>
      </c>
      <c r="J1099" s="142">
        <f>B1099*IBGE_2!J$1099/100</f>
        <v>0.19600000000000001</v>
      </c>
      <c r="K1099" s="142">
        <f>B1099*IBGE_2!K$1099/100</f>
        <v>100</v>
      </c>
      <c r="L1099" s="142">
        <f>B1099*IBGE_2!L$1099/100</f>
        <v>3.3919999999999999</v>
      </c>
      <c r="M1099" s="142">
        <f>B1099*IBGE_2!M$1099/100</f>
        <v>0.13500000000000001</v>
      </c>
      <c r="N1099" s="142">
        <f>B1099*IBGE_2!N$1099/100</f>
        <v>104.667</v>
      </c>
      <c r="O1099" s="142">
        <f>B1099*IBGE_2!O$1099/100</f>
        <v>33.978000000000002</v>
      </c>
      <c r="P1099" s="142">
        <f>B1099*IBGE_2!P$1099/100</f>
        <v>0.22</v>
      </c>
      <c r="Q1099" s="142">
        <f>B1099*IBGE_2!Q$1099/100</f>
        <v>210.8</v>
      </c>
      <c r="R1099" s="142">
        <f>B1099*IBGE_2!R$1099/100</f>
        <v>1.1180000000000001</v>
      </c>
      <c r="S1099" s="142">
        <f>B1099*IBGE_2!S$1099/100</f>
        <v>279.089</v>
      </c>
      <c r="T1099" s="142">
        <f>B1099*IBGE_2!T$1099/100</f>
        <v>328.75599999999997</v>
      </c>
      <c r="U1099" s="142">
        <f>B1099*IBGE_2!U$1099/100</f>
        <v>0.65100000000000013</v>
      </c>
      <c r="V1099" s="142">
        <f>B1099*IBGE_2!V$1099/100</f>
        <v>4.2510000000000003</v>
      </c>
      <c r="W1099" s="142">
        <f>B1099*IBGE_2!W$1099/100</f>
        <v>2</v>
      </c>
      <c r="X1099" s="142">
        <f>B1099*IBGE_2!X$1099/100</f>
        <v>0.13500000000000001</v>
      </c>
      <c r="Y1099" s="142">
        <f>B1099*IBGE_2!Y$1099/100</f>
        <v>7.1999999999999995E-2</v>
      </c>
      <c r="Z1099" s="142">
        <f>B1099*IBGE_2!Z$1099/100</f>
        <v>0.182</v>
      </c>
      <c r="AA1099" s="142">
        <f>B1099*IBGE_2!AA$1099/100</f>
        <v>3.5619999999999998</v>
      </c>
      <c r="AB1099" s="142">
        <f>B1099*IBGE_2!AB$1099/100</f>
        <v>3.3</v>
      </c>
      <c r="AC1099" s="142">
        <f>B1099*IBGE_2!AC$1099/100</f>
        <v>8.34</v>
      </c>
      <c r="AD1099" s="142">
        <f>B1099*IBGE_2!AD$1099/100</f>
        <v>7.3</v>
      </c>
      <c r="AE1099" s="142">
        <f>B1099*IBGE_2!AE$1099/100</f>
        <v>60.067</v>
      </c>
      <c r="AF1099" s="142" t="s">
        <v>3047</v>
      </c>
      <c r="AG1099" s="142">
        <f>B1099*IBGE_2!AG$1099/100</f>
        <v>2.052</v>
      </c>
      <c r="AH1099" s="142">
        <f>B1099*IBGE_2!AH$1099/100</f>
        <v>1.4000000000000002E-2</v>
      </c>
      <c r="AI1099" s="142">
        <f>B1099*IBGE_2!AI$1099/100</f>
        <v>333</v>
      </c>
      <c r="AJ1099" s="142">
        <f>B1099*IBGE_2!AJ$1099/100</f>
        <v>42.881</v>
      </c>
      <c r="AK1099" s="142">
        <f>B1099*IBGE_2!AK$1099/100</f>
        <v>2</v>
      </c>
      <c r="AL1099" s="142">
        <f>B1099*IBGE_2!AL$1099/100</f>
        <v>1.4000000000000002E-2</v>
      </c>
      <c r="AM1099" s="142" t="s">
        <v>3047</v>
      </c>
      <c r="AN1099" s="161"/>
    </row>
    <row r="1100" spans="1:40">
      <c r="A1100" s="143" t="s">
        <v>2160</v>
      </c>
      <c r="B1100" s="141">
        <v>100</v>
      </c>
      <c r="C1100" s="142">
        <f>B1100*IBGE_2!C$1100/100</f>
        <v>124.66</v>
      </c>
      <c r="D1100" s="142">
        <f>B1100*IBGE_2!D$1100/100</f>
        <v>20.2</v>
      </c>
      <c r="E1100" s="142">
        <f>B1100*IBGE_2!E$1100/100</f>
        <v>4.33</v>
      </c>
      <c r="F1100" s="142">
        <f>B1100*IBGE_2!F$1100/100</f>
        <v>0.6</v>
      </c>
      <c r="G1100" s="142">
        <f>B1100*IBGE_2!G$1100/100</f>
        <v>0.88</v>
      </c>
      <c r="H1100" s="142">
        <f>B1100*IBGE_2!H$1100/100</f>
        <v>2.16</v>
      </c>
      <c r="I1100" s="142">
        <f>B1100*IBGE_2!I$1100/100</f>
        <v>1.34</v>
      </c>
      <c r="J1100" s="142">
        <f>B1100*IBGE_2!J$1100/100</f>
        <v>0.2</v>
      </c>
      <c r="K1100" s="142">
        <f>B1100*IBGE_2!K$1100/100</f>
        <v>100</v>
      </c>
      <c r="L1100" s="142" t="s">
        <v>3047</v>
      </c>
      <c r="M1100" s="142" t="s">
        <v>3047</v>
      </c>
      <c r="N1100" s="142">
        <f>B1100*IBGE_2!N$1100/100</f>
        <v>104</v>
      </c>
      <c r="O1100" s="142">
        <f>B1100*IBGE_2!O$1100/100</f>
        <v>33</v>
      </c>
      <c r="P1100" s="142">
        <f>B1100*IBGE_2!P$1100/100</f>
        <v>0.19</v>
      </c>
      <c r="Q1100" s="142">
        <f>B1100*IBGE_2!Q$1100/100</f>
        <v>206</v>
      </c>
      <c r="R1100" s="142">
        <f>B1100*IBGE_2!R$1100/100</f>
        <v>0.91</v>
      </c>
      <c r="S1100" s="142">
        <f>B1100*IBGE_2!S$1100/100</f>
        <v>279</v>
      </c>
      <c r="T1100" s="142">
        <f>B1100*IBGE_2!T$1100/100</f>
        <v>324</v>
      </c>
      <c r="U1100" s="142">
        <f>B1100*IBGE_2!U$1100/100</f>
        <v>0.65</v>
      </c>
      <c r="V1100" s="142">
        <f>B1100*IBGE_2!V$1100/100</f>
        <v>4.22</v>
      </c>
      <c r="W1100" s="142">
        <f>B1100*IBGE_2!W$1100/100</f>
        <v>2</v>
      </c>
      <c r="X1100" s="142">
        <f>B1100*IBGE_2!X$1100/100</f>
        <v>0.1</v>
      </c>
      <c r="Y1100" s="142">
        <f>B1100*IBGE_2!Y$1100/100</f>
        <v>0.05</v>
      </c>
      <c r="Z1100" s="142">
        <f>B1100*IBGE_2!Z$1100/100</f>
        <v>0.18</v>
      </c>
      <c r="AA1100" s="142">
        <f>B1100*IBGE_2!AA$1100/100</f>
        <v>3.3</v>
      </c>
      <c r="AB1100" s="142">
        <f>B1100*IBGE_2!AB$1100/100</f>
        <v>3.3</v>
      </c>
      <c r="AC1100" s="142">
        <f>B1100*IBGE_2!AC$1100/100</f>
        <v>7.98</v>
      </c>
      <c r="AD1100" s="142">
        <f>B1100*IBGE_2!AD$1100/100</f>
        <v>7.3</v>
      </c>
      <c r="AE1100" s="142">
        <f>B1100*IBGE_2!AE$1100/100</f>
        <v>51</v>
      </c>
      <c r="AF1100" s="142" t="s">
        <v>3047</v>
      </c>
      <c r="AG1100" s="142">
        <f>B1100*IBGE_2!AG$1100/100</f>
        <v>2.08</v>
      </c>
      <c r="AH1100" s="142" t="s">
        <v>3047</v>
      </c>
      <c r="AI1100" s="142">
        <f>B1100*IBGE_2!AI$1100/100</f>
        <v>333</v>
      </c>
      <c r="AJ1100" s="142">
        <f>B1100*IBGE_2!AJ$1100/100</f>
        <v>41.37</v>
      </c>
      <c r="AK1100" s="142">
        <f>B1100*IBGE_2!AK$1100/100</f>
        <v>2</v>
      </c>
      <c r="AL1100" s="142" t="s">
        <v>3047</v>
      </c>
      <c r="AM1100" s="142" t="s">
        <v>3047</v>
      </c>
      <c r="AN1100" s="161"/>
    </row>
    <row r="1101" spans="1:40">
      <c r="A1101" s="143" t="s">
        <v>2161</v>
      </c>
      <c r="B1101" s="141">
        <v>100</v>
      </c>
      <c r="C1101" s="142">
        <f>B1101*IBGE_2!C$1101/100</f>
        <v>102</v>
      </c>
      <c r="D1101" s="142">
        <f>B1101*IBGE_2!D$1101/100</f>
        <v>20.2</v>
      </c>
      <c r="E1101" s="142">
        <f>B1101*IBGE_2!E$1101/100</f>
        <v>1.77</v>
      </c>
      <c r="F1101" s="142">
        <f>B1101*IBGE_2!F$1101/100</f>
        <v>0.23</v>
      </c>
      <c r="G1101" s="142">
        <f>B1101*IBGE_2!G$1101/100</f>
        <v>0.28000000000000003</v>
      </c>
      <c r="H1101" s="142">
        <f>B1101*IBGE_2!H$1101/100</f>
        <v>0.68</v>
      </c>
      <c r="I1101" s="142">
        <f>B1101*IBGE_2!I$1101/100</f>
        <v>0.03</v>
      </c>
      <c r="J1101" s="142">
        <f>B1101*IBGE_2!J$1101/100</f>
        <v>0.02</v>
      </c>
      <c r="K1101" s="142">
        <f>B1101*IBGE_2!K$1101/100</f>
        <v>100</v>
      </c>
      <c r="L1101" s="142" t="s">
        <v>3047</v>
      </c>
      <c r="M1101" s="142" t="s">
        <v>3047</v>
      </c>
      <c r="N1101" s="142">
        <f>B1101*IBGE_2!N$1101/100</f>
        <v>104</v>
      </c>
      <c r="O1101" s="142">
        <f>B1101*IBGE_2!O$1101/100</f>
        <v>33</v>
      </c>
      <c r="P1101" s="142">
        <f>B1101*IBGE_2!P$1101/100</f>
        <v>0.19</v>
      </c>
      <c r="Q1101" s="142">
        <f>B1101*IBGE_2!Q$1101/100</f>
        <v>206</v>
      </c>
      <c r="R1101" s="142">
        <f>B1101*IBGE_2!R$1101/100</f>
        <v>0.91</v>
      </c>
      <c r="S1101" s="142">
        <f>B1101*IBGE_2!S$1101/100</f>
        <v>279</v>
      </c>
      <c r="T1101" s="142">
        <f>B1101*IBGE_2!T$1101/100</f>
        <v>324</v>
      </c>
      <c r="U1101" s="142">
        <f>B1101*IBGE_2!U$1101/100</f>
        <v>0.65</v>
      </c>
      <c r="V1101" s="142">
        <f>B1101*IBGE_2!V$1101/100</f>
        <v>4.22</v>
      </c>
      <c r="W1101" s="142">
        <f>B1101*IBGE_2!W$1101/100</f>
        <v>2</v>
      </c>
      <c r="X1101" s="142">
        <f>B1101*IBGE_2!X$1101/100</f>
        <v>0.1</v>
      </c>
      <c r="Y1101" s="142" t="s">
        <v>3270</v>
      </c>
      <c r="Z1101" s="142">
        <f>B1101*IBGE_2!Z$1101/100</f>
        <v>0.18</v>
      </c>
      <c r="AA1101" s="142">
        <f>B1101*IBGE_2!AA$1101/100</f>
        <v>3.3</v>
      </c>
      <c r="AB1101" s="142">
        <f>B1101*IBGE_2!AB$1101/100</f>
        <v>3.3</v>
      </c>
      <c r="AC1101" s="142">
        <f>B1101*IBGE_2!AC$1101/100</f>
        <v>7.98</v>
      </c>
      <c r="AD1101" s="142">
        <f>B1101*IBGE_2!AD$1101/100</f>
        <v>7.3</v>
      </c>
      <c r="AE1101" s="142">
        <f>B1101*IBGE_2!AE$1101/100</f>
        <v>51</v>
      </c>
      <c r="AF1101" s="142" t="s">
        <v>3047</v>
      </c>
      <c r="AG1101" s="142">
        <f>B1101*IBGE_2!AG$1101/100</f>
        <v>1.84</v>
      </c>
      <c r="AH1101" s="142" t="s">
        <v>3047</v>
      </c>
      <c r="AI1101" s="142">
        <f>B1101*IBGE_2!AI$1101/100</f>
        <v>333</v>
      </c>
      <c r="AJ1101" s="142">
        <f>B1101*IBGE_2!AJ$1101/100</f>
        <v>40.200000000000003</v>
      </c>
      <c r="AK1101" s="142">
        <f>B1101*IBGE_2!AK$1101/100</f>
        <v>2</v>
      </c>
      <c r="AL1101" s="142" t="s">
        <v>3047</v>
      </c>
      <c r="AM1101" s="142" t="s">
        <v>3047</v>
      </c>
      <c r="AN1101" s="161"/>
    </row>
    <row r="1102" spans="1:40">
      <c r="A1102" s="143" t="s">
        <v>2162</v>
      </c>
      <c r="B1102" s="141">
        <v>100</v>
      </c>
      <c r="C1102" s="142">
        <f>B1102*IBGE_2!C$1102/100</f>
        <v>102</v>
      </c>
      <c r="D1102" s="142">
        <f>B1102*IBGE_2!D$1102/100</f>
        <v>20.2</v>
      </c>
      <c r="E1102" s="142">
        <f>B1102*IBGE_2!E$1102/100</f>
        <v>1.77</v>
      </c>
      <c r="F1102" s="142">
        <f>B1102*IBGE_2!F$1102/100</f>
        <v>0.23</v>
      </c>
      <c r="G1102" s="142">
        <f>B1102*IBGE_2!G$1102/100</f>
        <v>0.28000000000000003</v>
      </c>
      <c r="H1102" s="142">
        <f>B1102*IBGE_2!H$1102/100</f>
        <v>0.68</v>
      </c>
      <c r="I1102" s="142">
        <f>B1102*IBGE_2!I$1102/100</f>
        <v>0.03</v>
      </c>
      <c r="J1102" s="142">
        <f>B1102*IBGE_2!J$1102/100</f>
        <v>0.02</v>
      </c>
      <c r="K1102" s="142">
        <f>B1102*IBGE_2!K$1102/100</f>
        <v>100</v>
      </c>
      <c r="L1102" s="142" t="s">
        <v>3047</v>
      </c>
      <c r="M1102" s="142" t="s">
        <v>3047</v>
      </c>
      <c r="N1102" s="142">
        <f>B1102*IBGE_2!N$1102/100</f>
        <v>104</v>
      </c>
      <c r="O1102" s="142">
        <f>B1102*IBGE_2!O$1102/100</f>
        <v>33</v>
      </c>
      <c r="P1102" s="142">
        <f>B1102*IBGE_2!P$1102/100</f>
        <v>0.19</v>
      </c>
      <c r="Q1102" s="142">
        <f>B1102*IBGE_2!Q$1102/100</f>
        <v>206</v>
      </c>
      <c r="R1102" s="142">
        <f>B1102*IBGE_2!R$1102/100</f>
        <v>0.91</v>
      </c>
      <c r="S1102" s="142">
        <f>B1102*IBGE_2!S$1102/100</f>
        <v>279</v>
      </c>
      <c r="T1102" s="142">
        <f>B1102*IBGE_2!T$1102/100</f>
        <v>324</v>
      </c>
      <c r="U1102" s="142">
        <f>B1102*IBGE_2!U$1102/100</f>
        <v>0.65</v>
      </c>
      <c r="V1102" s="142">
        <f>B1102*IBGE_2!V$1102/100</f>
        <v>4.22</v>
      </c>
      <c r="W1102" s="142">
        <f>B1102*IBGE_2!W$1102/100</f>
        <v>2</v>
      </c>
      <c r="X1102" s="142">
        <f>B1102*IBGE_2!X$1102/100</f>
        <v>0.1</v>
      </c>
      <c r="Y1102" s="142">
        <f>B1102*IBGE_2!Y$1102/100</f>
        <v>0.05</v>
      </c>
      <c r="Z1102" s="142">
        <f>B1102*IBGE_2!Z$1102/100</f>
        <v>0.18</v>
      </c>
      <c r="AA1102" s="142">
        <f>B1102*IBGE_2!AA$1102/100</f>
        <v>3.3</v>
      </c>
      <c r="AB1102" s="142">
        <f>B1102*IBGE_2!AB$1102/100</f>
        <v>3.3</v>
      </c>
      <c r="AC1102" s="142">
        <f>B1102*IBGE_2!AC$1102/100</f>
        <v>7.98</v>
      </c>
      <c r="AD1102" s="142">
        <f>B1102*IBGE_2!AD$1102/100</f>
        <v>7.3</v>
      </c>
      <c r="AE1102" s="142">
        <f>B1102*IBGE_2!AE$1102/100</f>
        <v>51</v>
      </c>
      <c r="AF1102" s="142" t="s">
        <v>3047</v>
      </c>
      <c r="AG1102" s="142">
        <f>B1102*IBGE_2!AG$1102/100</f>
        <v>1.84</v>
      </c>
      <c r="AH1102" s="142" t="s">
        <v>3047</v>
      </c>
      <c r="AI1102" s="142">
        <f>B1102*IBGE_2!AI$1102/100</f>
        <v>333</v>
      </c>
      <c r="AJ1102" s="142">
        <f>B1102*IBGE_2!AJ$1102/100</f>
        <v>40.200000000000003</v>
      </c>
      <c r="AK1102" s="142">
        <f>B1102*IBGE_2!AK$1102/100</f>
        <v>2</v>
      </c>
      <c r="AL1102" s="142" t="s">
        <v>3047</v>
      </c>
      <c r="AM1102" s="142" t="s">
        <v>3047</v>
      </c>
      <c r="AN1102" s="161"/>
    </row>
    <row r="1103" spans="1:40">
      <c r="A1103" s="143" t="s">
        <v>2163</v>
      </c>
      <c r="B1103" s="141">
        <v>100</v>
      </c>
      <c r="C1103" s="142">
        <f>B1103*IBGE_2!C$1103/100</f>
        <v>102</v>
      </c>
      <c r="D1103" s="142">
        <f>B1103*IBGE_2!D$1103/100</f>
        <v>20.2</v>
      </c>
      <c r="E1103" s="142">
        <f>B1103*IBGE_2!E$1103/100</f>
        <v>1.77</v>
      </c>
      <c r="F1103" s="142">
        <f>B1103*IBGE_2!F$1103/100</f>
        <v>0.23</v>
      </c>
      <c r="G1103" s="142">
        <f>B1103*IBGE_2!G$1103/100</f>
        <v>0.28000000000000003</v>
      </c>
      <c r="H1103" s="142">
        <f>B1103*IBGE_2!H$1103/100</f>
        <v>0.68</v>
      </c>
      <c r="I1103" s="142">
        <f>B1103*IBGE_2!I$1103/100</f>
        <v>0.03</v>
      </c>
      <c r="J1103" s="142">
        <f>B1103*IBGE_2!J$1103/100</f>
        <v>0.02</v>
      </c>
      <c r="K1103" s="142">
        <f>B1103*IBGE_2!K$1103/100</f>
        <v>100</v>
      </c>
      <c r="L1103" s="142" t="s">
        <v>3047</v>
      </c>
      <c r="M1103" s="142" t="s">
        <v>3047</v>
      </c>
      <c r="N1103" s="142">
        <f>B1103*IBGE_2!N$1103/100</f>
        <v>104</v>
      </c>
      <c r="O1103" s="142">
        <f>B1103*IBGE_2!O$1103/100</f>
        <v>33</v>
      </c>
      <c r="P1103" s="142">
        <f>B1103*IBGE_2!P$1103/100</f>
        <v>0.19</v>
      </c>
      <c r="Q1103" s="142">
        <f>B1103*IBGE_2!Q$1103/100</f>
        <v>206</v>
      </c>
      <c r="R1103" s="142">
        <f>B1103*IBGE_2!R$1103/100</f>
        <v>0.91</v>
      </c>
      <c r="S1103" s="142">
        <f>B1103*IBGE_2!S$1103/100</f>
        <v>279</v>
      </c>
      <c r="T1103" s="142">
        <f>B1103*IBGE_2!T$1103/100</f>
        <v>324</v>
      </c>
      <c r="U1103" s="142">
        <f>B1103*IBGE_2!U$1103/100</f>
        <v>0.65</v>
      </c>
      <c r="V1103" s="142">
        <f>B1103*IBGE_2!V$1103/100</f>
        <v>4.22</v>
      </c>
      <c r="W1103" s="142">
        <f>B1103*IBGE_2!W$1103/100</f>
        <v>2</v>
      </c>
      <c r="X1103" s="142">
        <f>B1103*IBGE_2!X$1103/100</f>
        <v>0.1</v>
      </c>
      <c r="Y1103" s="142">
        <f>B1103*IBGE_2!Y$1103/100</f>
        <v>0.05</v>
      </c>
      <c r="Z1103" s="142">
        <f>B1103*IBGE_2!Z$1103/100</f>
        <v>0.18</v>
      </c>
      <c r="AA1103" s="142">
        <f>B1103*IBGE_2!AA$1103/100</f>
        <v>3.3</v>
      </c>
      <c r="AB1103" s="142">
        <f>B1103*IBGE_2!AB$1103/100</f>
        <v>3.3</v>
      </c>
      <c r="AC1103" s="142">
        <f>B1103*IBGE_2!AC$1103/100</f>
        <v>7.98</v>
      </c>
      <c r="AD1103" s="142">
        <f>B1103*IBGE_2!AD$1103/100</f>
        <v>7.3</v>
      </c>
      <c r="AE1103" s="142">
        <f>B1103*IBGE_2!AE$1103/100</f>
        <v>51</v>
      </c>
      <c r="AF1103" s="142" t="s">
        <v>3047</v>
      </c>
      <c r="AG1103" s="142">
        <f>B1103*IBGE_2!AG$1103/100</f>
        <v>1.84</v>
      </c>
      <c r="AH1103" s="142" t="s">
        <v>3047</v>
      </c>
      <c r="AI1103" s="142">
        <f>B1103*IBGE_2!AI$1103/100</f>
        <v>333</v>
      </c>
      <c r="AJ1103" s="142">
        <f>B1103*IBGE_2!AJ$1103/100</f>
        <v>40.200000000000003</v>
      </c>
      <c r="AK1103" s="142">
        <f>B1103*IBGE_2!AK$1103/100</f>
        <v>2</v>
      </c>
      <c r="AL1103" s="142" t="s">
        <v>3047</v>
      </c>
      <c r="AM1103" s="142" t="s">
        <v>3047</v>
      </c>
      <c r="AN1103" s="161"/>
    </row>
    <row r="1104" spans="1:40">
      <c r="A1104" s="143" t="s">
        <v>2164</v>
      </c>
      <c r="B1104" s="141">
        <v>100</v>
      </c>
      <c r="C1104" s="142">
        <f>B1104*IBGE_2!C$1104/100</f>
        <v>102</v>
      </c>
      <c r="D1104" s="142">
        <f>B1104*IBGE_2!D$1104/100</f>
        <v>20.2</v>
      </c>
      <c r="E1104" s="142">
        <f>B1104*IBGE_2!E$1104/100</f>
        <v>1.77</v>
      </c>
      <c r="F1104" s="142">
        <f>B1104*IBGE_2!F$1104/100</f>
        <v>0.23</v>
      </c>
      <c r="G1104" s="142">
        <f>B1104*IBGE_2!G$1104/100</f>
        <v>0.28000000000000003</v>
      </c>
      <c r="H1104" s="142">
        <f>B1104*IBGE_2!H$1104/100</f>
        <v>0.68</v>
      </c>
      <c r="I1104" s="142">
        <f>B1104*IBGE_2!I$1104/100</f>
        <v>0.03</v>
      </c>
      <c r="J1104" s="142">
        <f>B1104*IBGE_2!J$1104/100</f>
        <v>0.02</v>
      </c>
      <c r="K1104" s="142">
        <f>B1104*IBGE_2!K$1104/100</f>
        <v>100</v>
      </c>
      <c r="L1104" s="142" t="s">
        <v>3047</v>
      </c>
      <c r="M1104" s="142" t="s">
        <v>3047</v>
      </c>
      <c r="N1104" s="142">
        <f>B1104*IBGE_2!N$1104/100</f>
        <v>104</v>
      </c>
      <c r="O1104" s="142">
        <f>B1104*IBGE_2!O$1104/100</f>
        <v>33</v>
      </c>
      <c r="P1104" s="142">
        <f>B1104*IBGE_2!P$1104/100</f>
        <v>0.19</v>
      </c>
      <c r="Q1104" s="142">
        <f>B1104*IBGE_2!Q$1104/100</f>
        <v>206</v>
      </c>
      <c r="R1104" s="142">
        <f>B1104*IBGE_2!R$1104/100</f>
        <v>0.91</v>
      </c>
      <c r="S1104" s="142">
        <f>B1104*IBGE_2!S$1104/100</f>
        <v>279</v>
      </c>
      <c r="T1104" s="142">
        <f>B1104*IBGE_2!T$1104/100</f>
        <v>324</v>
      </c>
      <c r="U1104" s="142">
        <f>B1104*IBGE_2!U$1104/100</f>
        <v>0.65</v>
      </c>
      <c r="V1104" s="142">
        <f>B1104*IBGE_2!V$1104/100</f>
        <v>4.22</v>
      </c>
      <c r="W1104" s="142">
        <f>B1104*IBGE_2!W$1104/100</f>
        <v>2</v>
      </c>
      <c r="X1104" s="142">
        <f>B1104*IBGE_2!X$1104/100</f>
        <v>0.1</v>
      </c>
      <c r="Y1104" s="142">
        <f>B1104*IBGE_2!Y$1104/100</f>
        <v>0.05</v>
      </c>
      <c r="Z1104" s="142">
        <f>B1104*IBGE_2!Z$1104/100</f>
        <v>0.18</v>
      </c>
      <c r="AA1104" s="142">
        <f>B1104*IBGE_2!AA$1104/100</f>
        <v>3.3</v>
      </c>
      <c r="AB1104" s="142">
        <f>B1104*IBGE_2!AB$1104/100</f>
        <v>3.3</v>
      </c>
      <c r="AC1104" s="142">
        <f>B1104*IBGE_2!AC$1104/100</f>
        <v>7.98</v>
      </c>
      <c r="AD1104" s="142">
        <f>B1104*IBGE_2!AD$1104/100</f>
        <v>7.3</v>
      </c>
      <c r="AE1104" s="142">
        <f>B1104*IBGE_2!AE$1104/100</f>
        <v>51</v>
      </c>
      <c r="AF1104" s="142" t="s">
        <v>3047</v>
      </c>
      <c r="AG1104" s="142">
        <f>B1104*IBGE_2!AG$1104/100</f>
        <v>1.84</v>
      </c>
      <c r="AH1104" s="142" t="s">
        <v>3047</v>
      </c>
      <c r="AI1104" s="142">
        <f>B1104*IBGE_2!AI$1104/100</f>
        <v>333</v>
      </c>
      <c r="AJ1104" s="142">
        <f>B1104*IBGE_2!AJ$1104/100</f>
        <v>40.200000000000003</v>
      </c>
      <c r="AK1104" s="142">
        <f>B1104*IBGE_2!AK$1104/100</f>
        <v>2</v>
      </c>
      <c r="AL1104" s="142" t="s">
        <v>3047</v>
      </c>
      <c r="AM1104" s="142" t="s">
        <v>3047</v>
      </c>
      <c r="AN1104" s="161"/>
    </row>
    <row r="1105" spans="1:40">
      <c r="A1105" s="143" t="s">
        <v>2165</v>
      </c>
      <c r="B1105" s="141">
        <v>100</v>
      </c>
      <c r="C1105" s="142">
        <f>B1105*IBGE_2!C$1105/100</f>
        <v>102</v>
      </c>
      <c r="D1105" s="142">
        <f>B1105*IBGE_2!D$1105/100</f>
        <v>20.2</v>
      </c>
      <c r="E1105" s="142">
        <f>B1105*IBGE_2!E$1105/100</f>
        <v>1.77</v>
      </c>
      <c r="F1105" s="142">
        <f>B1105*IBGE_2!F$1105/100</f>
        <v>0.23</v>
      </c>
      <c r="G1105" s="142">
        <f>B1105*IBGE_2!G$1105/100</f>
        <v>0.28000000000000003</v>
      </c>
      <c r="H1105" s="142">
        <f>B1105*IBGE_2!H$1105/100</f>
        <v>0.68</v>
      </c>
      <c r="I1105" s="142">
        <f>B1105*IBGE_2!I$1105/100</f>
        <v>0.03</v>
      </c>
      <c r="J1105" s="142">
        <f>B1105*IBGE_2!J$1105/100</f>
        <v>0.02</v>
      </c>
      <c r="K1105" s="142">
        <f>B1105*IBGE_2!K$1105/100</f>
        <v>100</v>
      </c>
      <c r="L1105" s="142" t="s">
        <v>3047</v>
      </c>
      <c r="M1105" s="142" t="s">
        <v>3047</v>
      </c>
      <c r="N1105" s="142">
        <f>B1105*IBGE_2!N$1105/100</f>
        <v>104</v>
      </c>
      <c r="O1105" s="142">
        <f>B1105*IBGE_2!O$1105/100</f>
        <v>33</v>
      </c>
      <c r="P1105" s="142">
        <f>B1105*IBGE_2!P$1105/100</f>
        <v>0.19</v>
      </c>
      <c r="Q1105" s="142">
        <f>B1105*IBGE_2!Q$1105/100</f>
        <v>206</v>
      </c>
      <c r="R1105" s="142">
        <f>B1105*IBGE_2!R$1105/100</f>
        <v>0.91</v>
      </c>
      <c r="S1105" s="142">
        <f>B1105*IBGE_2!S$1105/100</f>
        <v>279</v>
      </c>
      <c r="T1105" s="142">
        <f>B1105*IBGE_2!T$1105/100</f>
        <v>324</v>
      </c>
      <c r="U1105" s="142">
        <f>B1105*IBGE_2!U$1105/100</f>
        <v>0.65</v>
      </c>
      <c r="V1105" s="142">
        <f>B1105*IBGE_2!V$1105/100</f>
        <v>4.22</v>
      </c>
      <c r="W1105" s="142">
        <f>B1105*IBGE_2!W$1105/100</f>
        <v>2</v>
      </c>
      <c r="X1105" s="142">
        <f>B1105*IBGE_2!X$1105/100</f>
        <v>0.1</v>
      </c>
      <c r="Y1105" s="142">
        <f>B1105*IBGE_2!Y$1105/100</f>
        <v>0.05</v>
      </c>
      <c r="Z1105" s="142">
        <f>B1105*IBGE_2!Z$1105/100</f>
        <v>0.18</v>
      </c>
      <c r="AA1105" s="142">
        <f>B1105*IBGE_2!AA$1105/100</f>
        <v>3.3</v>
      </c>
      <c r="AB1105" s="142">
        <f>B1105*IBGE_2!AB$1105/100</f>
        <v>3.3</v>
      </c>
      <c r="AC1105" s="142">
        <f>B1105*IBGE_2!AC$1105/100</f>
        <v>7.98</v>
      </c>
      <c r="AD1105" s="142">
        <f>B1105*IBGE_2!AD$1105/100</f>
        <v>7.3</v>
      </c>
      <c r="AE1105" s="142">
        <f>B1105*IBGE_2!AE$1105/100</f>
        <v>51</v>
      </c>
      <c r="AF1105" s="142" t="s">
        <v>3047</v>
      </c>
      <c r="AG1105" s="142">
        <f>B1105*IBGE_2!AG$1105/100</f>
        <v>1.84</v>
      </c>
      <c r="AH1105" s="142" t="s">
        <v>3047</v>
      </c>
      <c r="AI1105" s="142">
        <f>B1105*IBGE_2!AI$1105/100</f>
        <v>333</v>
      </c>
      <c r="AJ1105" s="142">
        <f>B1105*IBGE_2!AJ$1105/100</f>
        <v>40.200000000000003</v>
      </c>
      <c r="AK1105" s="142">
        <f>B1105*IBGE_2!AK$1105/100</f>
        <v>2</v>
      </c>
      <c r="AL1105" s="142" t="s">
        <v>3047</v>
      </c>
      <c r="AM1105" s="142" t="s">
        <v>3047</v>
      </c>
      <c r="AN1105" s="161"/>
    </row>
    <row r="1106" spans="1:40">
      <c r="A1106" s="143" t="s">
        <v>2166</v>
      </c>
      <c r="B1106" s="141">
        <v>100</v>
      </c>
      <c r="C1106" s="142">
        <f>B1106*IBGE_2!C$1106/100</f>
        <v>102</v>
      </c>
      <c r="D1106" s="142">
        <f>B1106*IBGE_2!D$1106/100</f>
        <v>20.2</v>
      </c>
      <c r="E1106" s="142">
        <f>B1106*IBGE_2!E$1106/100</f>
        <v>1.77</v>
      </c>
      <c r="F1106" s="142">
        <f>B1106*IBGE_2!F$1106/100</f>
        <v>0.23</v>
      </c>
      <c r="G1106" s="142">
        <f>B1106*IBGE_2!G$1106/100</f>
        <v>0.28000000000000003</v>
      </c>
      <c r="H1106" s="142">
        <f>B1106*IBGE_2!H$1106/100</f>
        <v>0.68</v>
      </c>
      <c r="I1106" s="142">
        <f>B1106*IBGE_2!I$1106/100</f>
        <v>0.03</v>
      </c>
      <c r="J1106" s="142">
        <f>B1106*IBGE_2!J$1106/100</f>
        <v>0.02</v>
      </c>
      <c r="K1106" s="142">
        <f>B1106*IBGE_2!K$1106/100</f>
        <v>100</v>
      </c>
      <c r="L1106" s="142" t="s">
        <v>3047</v>
      </c>
      <c r="M1106" s="142" t="s">
        <v>3047</v>
      </c>
      <c r="N1106" s="142">
        <f>B1106*IBGE_2!N$1106/100</f>
        <v>104</v>
      </c>
      <c r="O1106" s="142">
        <f>B1106*IBGE_2!O$1106/100</f>
        <v>33</v>
      </c>
      <c r="P1106" s="142">
        <f>B1106*IBGE_2!P$1106/100</f>
        <v>0.19</v>
      </c>
      <c r="Q1106" s="142">
        <f>B1106*IBGE_2!Q$1106/100</f>
        <v>206</v>
      </c>
      <c r="R1106" s="142">
        <f>B1106*IBGE_2!R$1106/100</f>
        <v>0.91</v>
      </c>
      <c r="S1106" s="142">
        <f>B1106*IBGE_2!S$1106/100</f>
        <v>279</v>
      </c>
      <c r="T1106" s="142">
        <f>B1106*IBGE_2!T$1106/100</f>
        <v>324</v>
      </c>
      <c r="U1106" s="142">
        <f>B1106*IBGE_2!U$1106/100</f>
        <v>0.65</v>
      </c>
      <c r="V1106" s="142">
        <f>B1106*IBGE_2!V$1106/100</f>
        <v>4.22</v>
      </c>
      <c r="W1106" s="142">
        <f>B1106*IBGE_2!W$1106/100</f>
        <v>2</v>
      </c>
      <c r="X1106" s="142">
        <f>B1106*IBGE_2!X$1106/100</f>
        <v>0.1</v>
      </c>
      <c r="Y1106" s="142">
        <f>B1106*IBGE_2!Y$1106/100</f>
        <v>0.05</v>
      </c>
      <c r="Z1106" s="142">
        <f>B1106*IBGE_2!Z$1106/100</f>
        <v>0.18</v>
      </c>
      <c r="AA1106" s="142">
        <f>B1106*IBGE_2!AA$1106/100</f>
        <v>3.3</v>
      </c>
      <c r="AB1106" s="142">
        <f>B1106*IBGE_2!AB$1106/100</f>
        <v>3.3</v>
      </c>
      <c r="AC1106" s="142">
        <f>B1106*IBGE_2!AC$1106/100</f>
        <v>7.98</v>
      </c>
      <c r="AD1106" s="142">
        <f>B1106*IBGE_2!AD$1106/100</f>
        <v>7.3</v>
      </c>
      <c r="AE1106" s="142">
        <f>B1106*IBGE_2!AE$1106/100</f>
        <v>51</v>
      </c>
      <c r="AF1106" s="142" t="s">
        <v>3047</v>
      </c>
      <c r="AG1106" s="142">
        <f>B1106*IBGE_2!AG$1106/100</f>
        <v>1.84</v>
      </c>
      <c r="AH1106" s="142" t="s">
        <v>3047</v>
      </c>
      <c r="AI1106" s="142">
        <f>B1106*IBGE_2!AI$1106/100</f>
        <v>333</v>
      </c>
      <c r="AJ1106" s="142">
        <f>B1106*IBGE_2!AJ$1106/100</f>
        <v>40.200000000000003</v>
      </c>
      <c r="AK1106" s="142">
        <f>B1106*IBGE_2!AK$1106/100</f>
        <v>2</v>
      </c>
      <c r="AL1106" s="142" t="s">
        <v>3047</v>
      </c>
      <c r="AM1106" s="142" t="s">
        <v>3047</v>
      </c>
      <c r="AN1106" s="161"/>
    </row>
    <row r="1107" spans="1:40">
      <c r="A1107" s="143" t="s">
        <v>2167</v>
      </c>
      <c r="B1107" s="141">
        <v>100</v>
      </c>
      <c r="C1107" s="142">
        <f>B1107*IBGE_2!C$1107/100</f>
        <v>148</v>
      </c>
      <c r="D1107" s="142">
        <f>B1107*IBGE_2!D$1107/100</f>
        <v>25.55</v>
      </c>
      <c r="E1107" s="142">
        <f>B1107*IBGE_2!E$1107/100</f>
        <v>1.95</v>
      </c>
      <c r="F1107" s="142">
        <f>B1107*IBGE_2!F$1107/100</f>
        <v>0.188</v>
      </c>
      <c r="G1107" s="142">
        <f>B1107*IBGE_2!G$1107/100</f>
        <v>0.17199999999999999</v>
      </c>
      <c r="H1107" s="142">
        <f>B1107*IBGE_2!H$1107/100</f>
        <v>0.55200000000000005</v>
      </c>
      <c r="I1107" s="142">
        <f>B1107*IBGE_2!I$1107/100</f>
        <v>3.2000000000000001E-2</v>
      </c>
      <c r="J1107" s="142">
        <f>B1107*IBGE_2!J$1107/100</f>
        <v>8.0000000000000002E-3</v>
      </c>
      <c r="K1107" s="142">
        <f>B1107*IBGE_2!K$1107/100</f>
        <v>67</v>
      </c>
      <c r="L1107" s="142">
        <f>B1107*IBGE_2!L$1107/100</f>
        <v>5.13</v>
      </c>
      <c r="M1107" s="142" t="s">
        <v>3047</v>
      </c>
      <c r="N1107" s="142">
        <f>B1107*IBGE_2!N$1107/100</f>
        <v>92</v>
      </c>
      <c r="O1107" s="142">
        <f>B1107*IBGE_2!O$1107/100</f>
        <v>18</v>
      </c>
      <c r="P1107" s="142">
        <f>B1107*IBGE_2!P$1107/100</f>
        <v>1</v>
      </c>
      <c r="Q1107" s="142">
        <f>B1107*IBGE_2!Q$1107/100</f>
        <v>338</v>
      </c>
      <c r="R1107" s="142">
        <f>B1107*IBGE_2!R$1107/100</f>
        <v>27.96</v>
      </c>
      <c r="S1107" s="142">
        <f>B1107*IBGE_2!S$1107/100</f>
        <v>112</v>
      </c>
      <c r="T1107" s="142">
        <f>B1107*IBGE_2!T$1107/100</f>
        <v>628</v>
      </c>
      <c r="U1107" s="142">
        <f>B1107*IBGE_2!U$1107/100</f>
        <v>0.68799999999999994</v>
      </c>
      <c r="V1107" s="142">
        <f>B1107*IBGE_2!V$1107/100</f>
        <v>2.73</v>
      </c>
      <c r="W1107" s="142">
        <f>B1107*IBGE_2!W$1107/100</f>
        <v>181</v>
      </c>
      <c r="X1107" s="142">
        <f>B1107*IBGE_2!X$1107/100</f>
        <v>0.15</v>
      </c>
      <c r="Y1107" s="142">
        <f>B1107*IBGE_2!Y$1107/100</f>
        <v>0.42599999999999999</v>
      </c>
      <c r="Z1107" s="142">
        <f>B1107*IBGE_2!Z$1107/100</f>
        <v>0.11</v>
      </c>
      <c r="AA1107" s="142">
        <f>B1107*IBGE_2!AA$1107/100</f>
        <v>3.3540000000000005</v>
      </c>
      <c r="AB1107" s="142">
        <f>B1107*IBGE_2!AB$1107/100</f>
        <v>22.1</v>
      </c>
      <c r="AC1107" s="142">
        <f>B1107*IBGE_2!AC$1107/100</f>
        <v>8.1210000000000004</v>
      </c>
      <c r="AD1107" s="142">
        <f>B1107*IBGE_2!AD$1107/100</f>
        <v>98.89</v>
      </c>
      <c r="AE1107" s="142">
        <f>B1107*IBGE_2!AE$1107/100</f>
        <v>29</v>
      </c>
      <c r="AF1107" s="142">
        <f>B1107*IBGE_2!AF$1107/100</f>
        <v>0.2</v>
      </c>
      <c r="AG1107" s="142">
        <f>B1107*IBGE_2!AG$1107/100</f>
        <v>0.62</v>
      </c>
      <c r="AH1107" s="142" t="s">
        <v>3047</v>
      </c>
      <c r="AI1107" s="142">
        <f>B1107*IBGE_2!AI$1107/100</f>
        <v>333</v>
      </c>
      <c r="AJ1107" s="142">
        <f>B1107*IBGE_2!AJ$1107/100</f>
        <v>48.6</v>
      </c>
      <c r="AK1107" s="142">
        <f>B1107*IBGE_2!AK$1107/100</f>
        <v>181</v>
      </c>
      <c r="AL1107" s="142" t="s">
        <v>3047</v>
      </c>
      <c r="AM1107" s="142" t="s">
        <v>3047</v>
      </c>
      <c r="AN1107" s="161"/>
    </row>
    <row r="1108" spans="1:40">
      <c r="A1108" s="143" t="s">
        <v>2168</v>
      </c>
      <c r="B1108" s="141">
        <v>100</v>
      </c>
      <c r="C1108" s="142">
        <f>B1108*IBGE_2!C$1108/100</f>
        <v>170.65899999999999</v>
      </c>
      <c r="D1108" s="142">
        <f>B1108*IBGE_2!D$1108/100</f>
        <v>25.55</v>
      </c>
      <c r="E1108" s="142">
        <f>B1108*IBGE_2!E$1108/100</f>
        <v>4.5129999999999999</v>
      </c>
      <c r="F1108" s="142">
        <f>B1108*IBGE_2!F$1108/100</f>
        <v>0.58899999999999997</v>
      </c>
      <c r="G1108" s="142">
        <f>B1108*IBGE_2!G$1108/100</f>
        <v>0.75599999999999989</v>
      </c>
      <c r="H1108" s="142">
        <f>B1108*IBGE_2!H$1108/100</f>
        <v>2.032</v>
      </c>
      <c r="I1108" s="142">
        <f>B1108*IBGE_2!I$1108/100</f>
        <v>1.3380000000000001</v>
      </c>
      <c r="J1108" s="142">
        <f>B1108*IBGE_2!J$1108/100</f>
        <v>0.182</v>
      </c>
      <c r="K1108" s="142">
        <f>B1108*IBGE_2!K$1108/100</f>
        <v>67</v>
      </c>
      <c r="L1108" s="142">
        <f>B1108*IBGE_2!L$1108/100</f>
        <v>5.13</v>
      </c>
      <c r="M1108" s="142" t="s">
        <v>3047</v>
      </c>
      <c r="N1108" s="142">
        <f>B1108*IBGE_2!N$1108/100</f>
        <v>92</v>
      </c>
      <c r="O1108" s="142">
        <f>B1108*IBGE_2!O$1108/100</f>
        <v>18</v>
      </c>
      <c r="P1108" s="142">
        <f>B1108*IBGE_2!P$1108/100</f>
        <v>1</v>
      </c>
      <c r="Q1108" s="142">
        <f>B1108*IBGE_2!Q$1108/100</f>
        <v>338</v>
      </c>
      <c r="R1108" s="142">
        <f>B1108*IBGE_2!R$1108/100</f>
        <v>27.960999999999999</v>
      </c>
      <c r="S1108" s="142">
        <f>B1108*IBGE_2!S$1108/100</f>
        <v>112</v>
      </c>
      <c r="T1108" s="142">
        <f>B1108*IBGE_2!T$1108/100</f>
        <v>628</v>
      </c>
      <c r="U1108" s="142">
        <f>B1108*IBGE_2!U$1108/100</f>
        <v>0.68799999999999994</v>
      </c>
      <c r="V1108" s="142">
        <f>B1108*IBGE_2!V$1108/100</f>
        <v>2.73</v>
      </c>
      <c r="W1108" s="142">
        <f>B1108*IBGE_2!W$1108/100</f>
        <v>181</v>
      </c>
      <c r="X1108" s="142">
        <f>B1108*IBGE_2!X$1108/100</f>
        <v>0.15</v>
      </c>
      <c r="Y1108" s="142">
        <f>B1108*IBGE_2!Y$1108/100</f>
        <v>0.42599999999999999</v>
      </c>
      <c r="Z1108" s="142">
        <f>B1108*IBGE_2!Z$1108/100</f>
        <v>0.11</v>
      </c>
      <c r="AA1108" s="142">
        <f>B1108*IBGE_2!AA$1108/100</f>
        <v>3.3540000000000005</v>
      </c>
      <c r="AB1108" s="142">
        <f>B1108*IBGE_2!AB$1108/100</f>
        <v>22.1</v>
      </c>
      <c r="AC1108" s="142">
        <f>B1108*IBGE_2!AC$1108/100</f>
        <v>8.1210000000000004</v>
      </c>
      <c r="AD1108" s="142">
        <f>B1108*IBGE_2!AD$1108/100</f>
        <v>98.89</v>
      </c>
      <c r="AE1108" s="142">
        <f>B1108*IBGE_2!AE$1108/100</f>
        <v>29</v>
      </c>
      <c r="AF1108" s="142">
        <f>B1108*IBGE_2!AF$1108/100</f>
        <v>0.2</v>
      </c>
      <c r="AG1108" s="142">
        <f>B1108*IBGE_2!AG$1108/100</f>
        <v>0.83</v>
      </c>
      <c r="AH1108" s="142">
        <f>B1108*IBGE_2!AH$1108/100</f>
        <v>1.4000000000000002E-2</v>
      </c>
      <c r="AI1108" s="142">
        <f>B1108*IBGE_2!AI$1108/100</f>
        <v>333</v>
      </c>
      <c r="AJ1108" s="142">
        <f>B1108*IBGE_2!AJ$1108/100</f>
        <v>49.774999999999999</v>
      </c>
      <c r="AK1108" s="142">
        <f>B1108*IBGE_2!AK$1108/100</f>
        <v>181</v>
      </c>
      <c r="AL1108" s="142" t="s">
        <v>3047</v>
      </c>
      <c r="AM1108" s="142" t="s">
        <v>3047</v>
      </c>
      <c r="AN1108" s="161"/>
    </row>
    <row r="1109" spans="1:40">
      <c r="A1109" s="143" t="s">
        <v>2169</v>
      </c>
      <c r="B1109" s="141">
        <v>100</v>
      </c>
      <c r="C1109" s="142">
        <f>B1109*IBGE_2!C$1109/100</f>
        <v>123.2</v>
      </c>
      <c r="D1109" s="142">
        <f>B1109*IBGE_2!D$1109/100</f>
        <v>20.704000000000001</v>
      </c>
      <c r="E1109" s="142">
        <f>B1109*IBGE_2!E$1109/100</f>
        <v>1.5960000000000003</v>
      </c>
      <c r="F1109" s="142">
        <f>B1109*IBGE_2!F$1109/100</f>
        <v>0.155</v>
      </c>
      <c r="G1109" s="142">
        <f>B1109*IBGE_2!G$1109/100</f>
        <v>0.14299999999999999</v>
      </c>
      <c r="H1109" s="142">
        <f>B1109*IBGE_2!H$1109/100</f>
        <v>0.45600000000000002</v>
      </c>
      <c r="I1109" s="142">
        <f>B1109*IBGE_2!I$1109/100</f>
        <v>3.9E-2</v>
      </c>
      <c r="J1109" s="142">
        <f>B1109*IBGE_2!J$1109/100</f>
        <v>7.000000000000001E-3</v>
      </c>
      <c r="K1109" s="142">
        <f>B1109*IBGE_2!K$1109/100</f>
        <v>53.6</v>
      </c>
      <c r="L1109" s="142">
        <f>B1109*IBGE_2!L$1109/100</f>
        <v>5.18</v>
      </c>
      <c r="M1109" s="142">
        <f>B1109*IBGE_2!M$1109/100</f>
        <v>0.3</v>
      </c>
      <c r="N1109" s="142">
        <f>B1109*IBGE_2!N$1109/100</f>
        <v>76.2</v>
      </c>
      <c r="O1109" s="142">
        <f>B1109*IBGE_2!O$1109/100</f>
        <v>17.600000000000001</v>
      </c>
      <c r="P1109" s="142">
        <f>B1109*IBGE_2!P$1109/100</f>
        <v>0.82099999999999995</v>
      </c>
      <c r="Q1109" s="142">
        <f>B1109*IBGE_2!Q$1109/100</f>
        <v>275.60000000000002</v>
      </c>
      <c r="R1109" s="142">
        <f>B1109*IBGE_2!R$1109/100</f>
        <v>22.571999999999999</v>
      </c>
      <c r="S1109" s="142">
        <f>B1109*IBGE_2!S$1109/100</f>
        <v>194.4</v>
      </c>
      <c r="T1109" s="142">
        <f>B1109*IBGE_2!T$1109/100</f>
        <v>568.6</v>
      </c>
      <c r="U1109" s="142">
        <f>B1109*IBGE_2!U$1109/100</f>
        <v>0.57399999999999995</v>
      </c>
      <c r="V1109" s="142">
        <f>B1109*IBGE_2!V$1109/100</f>
        <v>2.2240000000000002</v>
      </c>
      <c r="W1109" s="142">
        <f>B1109*IBGE_2!W$1109/100</f>
        <v>144.80000000000001</v>
      </c>
      <c r="X1109" s="142">
        <f>B1109*IBGE_2!X$1109/100</f>
        <v>0.125</v>
      </c>
      <c r="Y1109" s="142">
        <f>B1109*IBGE_2!Y$1109/100</f>
        <v>0.35399999999999998</v>
      </c>
      <c r="Z1109" s="142">
        <f>B1109*IBGE_2!Z$1109/100</f>
        <v>0.107</v>
      </c>
      <c r="AA1109" s="142">
        <f>B1109*IBGE_2!AA$1109/100</f>
        <v>2.8780000000000001</v>
      </c>
      <c r="AB1109" s="142">
        <f>B1109*IBGE_2!AB$1109/100</f>
        <v>19.079999999999998</v>
      </c>
      <c r="AC1109" s="142">
        <f>B1109*IBGE_2!AC$1109/100</f>
        <v>6.7249999999999996</v>
      </c>
      <c r="AD1109" s="142">
        <f>B1109*IBGE_2!AD$1109/100</f>
        <v>79.111999999999995</v>
      </c>
      <c r="AE1109" s="142">
        <f>B1109*IBGE_2!AE$1109/100</f>
        <v>25.4</v>
      </c>
      <c r="AF1109" s="142">
        <f>B1109*IBGE_2!AF$1109/100</f>
        <v>0.16</v>
      </c>
      <c r="AG1109" s="142">
        <f>B1109*IBGE_2!AG$1109/100</f>
        <v>0.78</v>
      </c>
      <c r="AH1109" s="145" t="s">
        <v>3047</v>
      </c>
      <c r="AI1109" s="142">
        <f>B1109*IBGE_2!AI$1109/100</f>
        <v>333</v>
      </c>
      <c r="AJ1109" s="142">
        <f>B1109*IBGE_2!AJ$1109/100</f>
        <v>38.92</v>
      </c>
      <c r="AK1109" s="142">
        <f>B1109*IBGE_2!AK$1109/100</f>
        <v>148.28299999999999</v>
      </c>
      <c r="AL1109" s="142">
        <f>B1109*IBGE_2!AL$1109/100</f>
        <v>0.85</v>
      </c>
      <c r="AM1109" s="142" t="s">
        <v>3047</v>
      </c>
      <c r="AN1109" s="161"/>
    </row>
    <row r="1110" spans="1:40">
      <c r="A1110" s="143" t="s">
        <v>2170</v>
      </c>
      <c r="B1110" s="141">
        <v>100</v>
      </c>
      <c r="C1110" s="142">
        <f>B1110*IBGE_2!C$1110/100</f>
        <v>148</v>
      </c>
      <c r="D1110" s="142">
        <f>B1110*IBGE_2!D$1110/100</f>
        <v>25.55</v>
      </c>
      <c r="E1110" s="142">
        <f>B1110*IBGE_2!E$1110/100</f>
        <v>1.95</v>
      </c>
      <c r="F1110" s="142">
        <f>B1110*IBGE_2!F$1110/100</f>
        <v>0.188</v>
      </c>
      <c r="G1110" s="142">
        <f>B1110*IBGE_2!G$1110/100</f>
        <v>0.17199999999999999</v>
      </c>
      <c r="H1110" s="142">
        <f>B1110*IBGE_2!H$1110/100</f>
        <v>0.55200000000000005</v>
      </c>
      <c r="I1110" s="142">
        <f>B1110*IBGE_2!I$1110/100</f>
        <v>3.2000000000000001E-2</v>
      </c>
      <c r="J1110" s="142">
        <f>B1110*IBGE_2!J$1110/100</f>
        <v>8.0000000000000002E-3</v>
      </c>
      <c r="K1110" s="142">
        <f>B1110*IBGE_2!K$1110/100</f>
        <v>67</v>
      </c>
      <c r="L1110" s="142">
        <f>B1110*IBGE_2!L$1110/100</f>
        <v>5.13</v>
      </c>
      <c r="M1110" s="142" t="s">
        <v>3047</v>
      </c>
      <c r="N1110" s="142">
        <f>B1110*IBGE_2!N$1110/100</f>
        <v>92</v>
      </c>
      <c r="O1110" s="142">
        <f>B1110*IBGE_2!O$1110/100</f>
        <v>18</v>
      </c>
      <c r="P1110" s="142">
        <f>B1110*IBGE_2!P$1110/100</f>
        <v>1</v>
      </c>
      <c r="Q1110" s="142">
        <f>B1110*IBGE_2!Q$1110/100</f>
        <v>338</v>
      </c>
      <c r="R1110" s="142">
        <f>B1110*IBGE_2!R$1110/100</f>
        <v>27.96</v>
      </c>
      <c r="S1110" s="142">
        <f>B1110*IBGE_2!S$1110/100</f>
        <v>112</v>
      </c>
      <c r="T1110" s="142">
        <f>B1110*IBGE_2!T$1110/100</f>
        <v>628</v>
      </c>
      <c r="U1110" s="142">
        <f>B1110*IBGE_2!U$1110/100</f>
        <v>0.68799999999999994</v>
      </c>
      <c r="V1110" s="142">
        <f>B1110*IBGE_2!V$1110/100</f>
        <v>2.73</v>
      </c>
      <c r="W1110" s="142">
        <f>B1110*IBGE_2!W$1110/100</f>
        <v>181</v>
      </c>
      <c r="X1110" s="142">
        <f>B1110*IBGE_2!X$1110/100</f>
        <v>0.15</v>
      </c>
      <c r="Y1110" s="142">
        <f>B1110*IBGE_2!Y$1110/100</f>
        <v>0.42599999999999999</v>
      </c>
      <c r="Z1110" s="142">
        <f>B1110*IBGE_2!Z$1110/100</f>
        <v>0.11</v>
      </c>
      <c r="AA1110" s="142">
        <f>B1110*IBGE_2!AA$1110/100</f>
        <v>3.3540000000000005</v>
      </c>
      <c r="AB1110" s="142">
        <f>B1110*IBGE_2!AB$1110/100</f>
        <v>22.1</v>
      </c>
      <c r="AC1110" s="142">
        <f>B1110*IBGE_2!AC$1110/100</f>
        <v>8.1210000000000004</v>
      </c>
      <c r="AD1110" s="142">
        <f>B1110*IBGE_2!AD$1110/100</f>
        <v>98.89</v>
      </c>
      <c r="AE1110" s="142">
        <f>B1110*IBGE_2!AE$1110/100</f>
        <v>29</v>
      </c>
      <c r="AF1110" s="142">
        <f>B1110*IBGE_2!AF$1110/100</f>
        <v>0.2</v>
      </c>
      <c r="AG1110" s="142">
        <f>B1110*IBGE_2!AG$1110/100</f>
        <v>0.62</v>
      </c>
      <c r="AH1110" s="145" t="s">
        <v>3047</v>
      </c>
      <c r="AI1110" s="142">
        <f>B1110*IBGE_2!AI$1110/100</f>
        <v>333</v>
      </c>
      <c r="AJ1110" s="142">
        <f>B1110*IBGE_2!AJ$1110/100</f>
        <v>48.6</v>
      </c>
      <c r="AK1110" s="142">
        <f>B1110*IBGE_2!AK$1110/100</f>
        <v>181</v>
      </c>
      <c r="AL1110" s="145" t="s">
        <v>3047</v>
      </c>
      <c r="AM1110" s="142" t="s">
        <v>3047</v>
      </c>
      <c r="AN1110" s="161"/>
    </row>
    <row r="1111" spans="1:40">
      <c r="A1111" s="143" t="s">
        <v>2171</v>
      </c>
      <c r="B1111" s="141">
        <v>100</v>
      </c>
      <c r="C1111" s="142">
        <f>B1111*IBGE_2!C$1111/100</f>
        <v>137</v>
      </c>
      <c r="D1111" s="142">
        <f>B1111*IBGE_2!D$1111/100</f>
        <v>14.1</v>
      </c>
      <c r="E1111" s="142">
        <f>B1111*IBGE_2!E$1111/100</f>
        <v>4.91</v>
      </c>
      <c r="F1111" s="142">
        <f>B1111*IBGE_2!F$1111/100</f>
        <v>1.544</v>
      </c>
      <c r="G1111" s="142">
        <f>B1111*IBGE_2!G$1111/100</f>
        <v>0.628</v>
      </c>
      <c r="H1111" s="142">
        <f>B1111*IBGE_2!H$1111/100</f>
        <v>1.9359999999999999</v>
      </c>
      <c r="I1111" s="142">
        <f>B1111*IBGE_2!I$1111/100</f>
        <v>0.11700000000000001</v>
      </c>
      <c r="J1111" s="142">
        <f>B1111*IBGE_2!J$1111/100</f>
        <v>0.1</v>
      </c>
      <c r="K1111" s="142">
        <f>B1111*IBGE_2!K$1111/100</f>
        <v>105</v>
      </c>
      <c r="L1111" s="142">
        <f>B1111*IBGE_2!L$1111/100</f>
        <v>7.82</v>
      </c>
      <c r="M1111" s="142" t="s">
        <v>3047</v>
      </c>
      <c r="N1111" s="142">
        <f>B1111*IBGE_2!N$1111/100</f>
        <v>90</v>
      </c>
      <c r="O1111" s="142">
        <f>B1111*IBGE_2!O$1111/100</f>
        <v>95</v>
      </c>
      <c r="P1111" s="142">
        <f>B1111*IBGE_2!P$1111/100</f>
        <v>0.69699999999999984</v>
      </c>
      <c r="Q1111" s="142">
        <f>B1111*IBGE_2!Q$1111/100</f>
        <v>203</v>
      </c>
      <c r="R1111" s="142">
        <f>B1111*IBGE_2!R$1111/100</f>
        <v>11.99</v>
      </c>
      <c r="S1111" s="142">
        <f>B1111*IBGE_2!S$1111/100</f>
        <v>422</v>
      </c>
      <c r="T1111" s="142">
        <f>B1111*IBGE_2!T$1111/100</f>
        <v>281</v>
      </c>
      <c r="U1111" s="142">
        <f>B1111*IBGE_2!U$1111/100</f>
        <v>7.569</v>
      </c>
      <c r="V1111" s="142">
        <f>B1111*IBGE_2!V$1111/100</f>
        <v>181.61</v>
      </c>
      <c r="W1111" s="142">
        <f>B1111*IBGE_2!W$1111/100</f>
        <v>54</v>
      </c>
      <c r="X1111" s="142">
        <f>B1111*IBGE_2!X$1111/100</f>
        <v>0.19</v>
      </c>
      <c r="Y1111" s="142">
        <f>B1111*IBGE_2!Y$1111/100</f>
        <v>0.18099999999999997</v>
      </c>
      <c r="Z1111" s="142">
        <f>B1111*IBGE_2!Z$1111/100</f>
        <v>0.11799999999999999</v>
      </c>
      <c r="AA1111" s="142">
        <f>B1111*IBGE_2!AA$1111/100</f>
        <v>2.484</v>
      </c>
      <c r="AB1111" s="142">
        <f>B1111*IBGE_2!AB$1111/100</f>
        <v>6</v>
      </c>
      <c r="AC1111" s="142">
        <f>B1111*IBGE_2!AC$1111/100</f>
        <v>5.117</v>
      </c>
      <c r="AD1111" s="142">
        <f>B1111*IBGE_2!AD$1111/100</f>
        <v>35.020000000000003</v>
      </c>
      <c r="AE1111" s="142">
        <f>B1111*IBGE_2!AE$1111/100</f>
        <v>14</v>
      </c>
      <c r="AF1111" s="142">
        <f>B1111*IBGE_2!AF$1111/100</f>
        <v>16</v>
      </c>
      <c r="AG1111" s="142">
        <f>B1111*IBGE_2!AG$1111/100</f>
        <v>1.7</v>
      </c>
      <c r="AH1111" s="145" t="s">
        <v>3047</v>
      </c>
      <c r="AI1111" s="142">
        <f>B1111*IBGE_2!AI$1111/100</f>
        <v>333</v>
      </c>
      <c r="AJ1111" s="142">
        <f>B1111*IBGE_2!AJ$1111/100</f>
        <v>71.599999999999994</v>
      </c>
      <c r="AK1111" s="142">
        <f>B1111*IBGE_2!AK$1111/100</f>
        <v>54</v>
      </c>
      <c r="AL1111" s="145" t="s">
        <v>3047</v>
      </c>
      <c r="AM1111" s="142" t="s">
        <v>3047</v>
      </c>
      <c r="AN1111" s="161"/>
    </row>
    <row r="1112" spans="1:40">
      <c r="A1112" s="143" t="s">
        <v>2172</v>
      </c>
      <c r="B1112" s="141">
        <v>100</v>
      </c>
      <c r="C1112" s="142">
        <f>B1112*IBGE_2!C$1112/100</f>
        <v>143.83699999999999</v>
      </c>
      <c r="D1112" s="142">
        <f>B1112*IBGE_2!D$1112/100</f>
        <v>18.318999999999999</v>
      </c>
      <c r="E1112" s="142">
        <f>B1112*IBGE_2!E$1112/100</f>
        <v>4.1870000000000003</v>
      </c>
      <c r="F1112" s="142">
        <f>B1112*IBGE_2!F$1112/100</f>
        <v>0.82799999999999996</v>
      </c>
      <c r="G1112" s="142">
        <f>B1112*IBGE_2!G$1112/100</f>
        <v>0.68799999999999994</v>
      </c>
      <c r="H1112" s="142">
        <f>B1112*IBGE_2!H$1112/100</f>
        <v>1.9780000000000002</v>
      </c>
      <c r="I1112" s="142">
        <f>B1112*IBGE_2!I$1112/100</f>
        <v>1.3329999999999997</v>
      </c>
      <c r="J1112" s="142">
        <f>B1112*IBGE_2!J$1112/100</f>
        <v>0.185</v>
      </c>
      <c r="K1112" s="142">
        <f>B1112*IBGE_2!K$1112/100</f>
        <v>267</v>
      </c>
      <c r="L1112" s="142">
        <f>B1112*IBGE_2!L$1112/100</f>
        <v>6.9219999999999997</v>
      </c>
      <c r="M1112" s="142">
        <f>B1112*IBGE_2!M$1112/100</f>
        <v>0.13500000000000001</v>
      </c>
      <c r="N1112" s="142">
        <f>B1112*IBGE_2!N$1112/100</f>
        <v>37.587000000000003</v>
      </c>
      <c r="O1112" s="142">
        <f>B1112*IBGE_2!O$1112/100</f>
        <v>35.037999999999997</v>
      </c>
      <c r="P1112" s="142">
        <f>B1112*IBGE_2!P$1112/100</f>
        <v>6.5000000000000002E-2</v>
      </c>
      <c r="Q1112" s="142">
        <f>B1112*IBGE_2!Q$1112/100</f>
        <v>207.49</v>
      </c>
      <c r="R1112" s="142">
        <f>B1112*IBGE_2!R$1112/100</f>
        <v>0.94799999999999995</v>
      </c>
      <c r="S1112" s="142">
        <f>B1112*IBGE_2!S$1112/100</f>
        <v>51.088999999999999</v>
      </c>
      <c r="T1112" s="142">
        <f>B1112*IBGE_2!T$1112/100</f>
        <v>230.45599999999999</v>
      </c>
      <c r="U1112" s="142">
        <f>B1112*IBGE_2!U$1112/100</f>
        <v>2.0659999999999998</v>
      </c>
      <c r="V1112" s="142">
        <f>B1112*IBGE_2!V$1112/100</f>
        <v>1.7909999999999999</v>
      </c>
      <c r="W1112" s="142">
        <f>B1112*IBGE_2!W$1112/100</f>
        <v>12</v>
      </c>
      <c r="X1112" s="142">
        <f>B1112*IBGE_2!X$1112/100</f>
        <v>5.5E-2</v>
      </c>
      <c r="Y1112" s="142">
        <f>B1112*IBGE_2!Y$1112/100</f>
        <v>0.40200000000000002</v>
      </c>
      <c r="Z1112" s="142">
        <f>B1112*IBGE_2!Z$1112/100</f>
        <v>5.2000000000000005E-2</v>
      </c>
      <c r="AA1112" s="142">
        <f>B1112*IBGE_2!AA$1112/100</f>
        <v>2.262</v>
      </c>
      <c r="AB1112" s="142">
        <f>B1112*IBGE_2!AB$1112/100</f>
        <v>3.77</v>
      </c>
      <c r="AC1112" s="142">
        <f>B1112*IBGE_2!AC$1112/100</f>
        <v>5.69</v>
      </c>
      <c r="AD1112" s="142">
        <f>B1112*IBGE_2!AD$1112/100</f>
        <v>1.1200000000000001</v>
      </c>
      <c r="AE1112" s="142">
        <f>B1112*IBGE_2!AE$1112/100</f>
        <v>13.276999999999997</v>
      </c>
      <c r="AF1112" s="145" t="s">
        <v>3047</v>
      </c>
      <c r="AG1112" s="142">
        <f>B1112*IBGE_2!AG$1112/100</f>
        <v>1.641</v>
      </c>
      <c r="AH1112" s="142">
        <f>B1112*IBGE_2!AH$1112/100</f>
        <v>1.4000000000000002E-2</v>
      </c>
      <c r="AI1112" s="142">
        <f>B1112*IBGE_2!AI$1112/100</f>
        <v>333</v>
      </c>
      <c r="AJ1112" s="142">
        <f>B1112*IBGE_2!AJ$1112/100</f>
        <v>82.781000000000006</v>
      </c>
      <c r="AK1112" s="142">
        <f>B1112*IBGE_2!AK$1112/100</f>
        <v>12</v>
      </c>
      <c r="AL1112" s="142">
        <f>B1112*IBGE_2!AL$1112/100</f>
        <v>1.4000000000000002E-2</v>
      </c>
      <c r="AM1112" s="142" t="s">
        <v>3047</v>
      </c>
      <c r="AN1112" s="161"/>
    </row>
    <row r="1113" spans="1:40">
      <c r="A1113" s="143" t="s">
        <v>2173</v>
      </c>
      <c r="B1113" s="141">
        <v>100</v>
      </c>
      <c r="C1113" s="142">
        <f>B1113*IBGE_2!C$1113/100</f>
        <v>148</v>
      </c>
      <c r="D1113" s="142">
        <f>B1113*IBGE_2!D$1113/100</f>
        <v>25.55</v>
      </c>
      <c r="E1113" s="142">
        <f>B1113*IBGE_2!E$1113/100</f>
        <v>1.95</v>
      </c>
      <c r="F1113" s="142">
        <f>B1113*IBGE_2!F$1113/100</f>
        <v>0.188</v>
      </c>
      <c r="G1113" s="142">
        <f>B1113*IBGE_2!G$1113/100</f>
        <v>0.17199999999999999</v>
      </c>
      <c r="H1113" s="142">
        <f>B1113*IBGE_2!H$1113/100</f>
        <v>0.55200000000000005</v>
      </c>
      <c r="I1113" s="142">
        <f>B1113*IBGE_2!I$1113/100</f>
        <v>3.2000000000000001E-2</v>
      </c>
      <c r="J1113" s="142">
        <f>B1113*IBGE_2!J$1113/100</f>
        <v>8.0000000000000002E-3</v>
      </c>
      <c r="K1113" s="142">
        <f>B1113*IBGE_2!K$1113/100</f>
        <v>67</v>
      </c>
      <c r="L1113" s="142">
        <f>B1113*IBGE_2!L$1113/100</f>
        <v>5.13</v>
      </c>
      <c r="M1113" s="142" t="s">
        <v>3047</v>
      </c>
      <c r="N1113" s="142">
        <f>B1113*IBGE_2!N$1113/100</f>
        <v>92</v>
      </c>
      <c r="O1113" s="142">
        <f>B1113*IBGE_2!O$1113/100</f>
        <v>18</v>
      </c>
      <c r="P1113" s="142">
        <f>B1113*IBGE_2!P$1113/100</f>
        <v>1</v>
      </c>
      <c r="Q1113" s="142">
        <f>B1113*IBGE_2!Q$1113/100</f>
        <v>338</v>
      </c>
      <c r="R1113" s="142">
        <f>B1113*IBGE_2!R$1113/100</f>
        <v>27.96</v>
      </c>
      <c r="S1113" s="142">
        <f>B1113*IBGE_2!S$1113/100</f>
        <v>112</v>
      </c>
      <c r="T1113" s="142">
        <f>B1113*IBGE_2!T$1113/100</f>
        <v>628</v>
      </c>
      <c r="U1113" s="142">
        <f>B1113*IBGE_2!U$1113/100</f>
        <v>0.68799999999999994</v>
      </c>
      <c r="V1113" s="142">
        <f>B1113*IBGE_2!V$1113/100</f>
        <v>2.73</v>
      </c>
      <c r="W1113" s="142">
        <f>B1113*IBGE_2!W$1113/100</f>
        <v>181</v>
      </c>
      <c r="X1113" s="142">
        <f>B1113*IBGE_2!X$1113/100</f>
        <v>0.15</v>
      </c>
      <c r="Y1113" s="142">
        <f>B1113*IBGE_2!Y$1113/100</f>
        <v>0.42599999999999999</v>
      </c>
      <c r="Z1113" s="142">
        <f>B1113*IBGE_2!Z$1113/100</f>
        <v>0.11</v>
      </c>
      <c r="AA1113" s="142">
        <f>B1113*IBGE_2!AA$1113/100</f>
        <v>3.3540000000000005</v>
      </c>
      <c r="AB1113" s="142">
        <f>B1113*IBGE_2!AB$1113/100</f>
        <v>22.1</v>
      </c>
      <c r="AC1113" s="142">
        <f>B1113*IBGE_2!AC$1113/100</f>
        <v>8.1210000000000004</v>
      </c>
      <c r="AD1113" s="142">
        <f>B1113*IBGE_2!AD$1113/100</f>
        <v>98.89</v>
      </c>
      <c r="AE1113" s="142">
        <f>B1113*IBGE_2!AE$1113/100</f>
        <v>29</v>
      </c>
      <c r="AF1113" s="142">
        <f>B1113*IBGE_2!AF$1113/100</f>
        <v>0.2</v>
      </c>
      <c r="AG1113" s="142">
        <f>B1113*IBGE_2!AG$1113/100</f>
        <v>0.62</v>
      </c>
      <c r="AH1113" s="145" t="s">
        <v>3047</v>
      </c>
      <c r="AI1113" s="142">
        <f>B1113*IBGE_2!AI$1113/100</f>
        <v>333</v>
      </c>
      <c r="AJ1113" s="142">
        <f>B1113*IBGE_2!AJ$1113/100</f>
        <v>48.6</v>
      </c>
      <c r="AK1113" s="142">
        <f>B1113*IBGE_2!AK$1113/100</f>
        <v>181</v>
      </c>
      <c r="AL1113" s="142" t="s">
        <v>3047</v>
      </c>
      <c r="AM1113" s="142" t="s">
        <v>3047</v>
      </c>
      <c r="AN1113" s="161"/>
    </row>
    <row r="1114" spans="1:40">
      <c r="A1114" s="143" t="s">
        <v>2174</v>
      </c>
      <c r="B1114" s="141">
        <v>100</v>
      </c>
      <c r="C1114" s="142">
        <f>B1114*IBGE_2!C$1114/100</f>
        <v>170.65899999999999</v>
      </c>
      <c r="D1114" s="142">
        <f>B1114*IBGE_2!D$1114/100</f>
        <v>25.55</v>
      </c>
      <c r="E1114" s="142">
        <f>B1114*IBGE_2!E$1114/100</f>
        <v>4.5129999999999999</v>
      </c>
      <c r="F1114" s="142">
        <f>B1114*IBGE_2!F$1114/100</f>
        <v>0.58899999999999997</v>
      </c>
      <c r="G1114" s="142">
        <f>B1114*IBGE_2!G$1114/100</f>
        <v>0.75599999999999989</v>
      </c>
      <c r="H1114" s="142">
        <f>B1114*IBGE_2!H$1114/100</f>
        <v>2.032</v>
      </c>
      <c r="I1114" s="142">
        <f>B1114*IBGE_2!I$1114/100</f>
        <v>1.3380000000000001</v>
      </c>
      <c r="J1114" s="142">
        <f>B1114*IBGE_2!J$1114/100</f>
        <v>0.182</v>
      </c>
      <c r="K1114" s="142">
        <f>B1114*IBGE_2!K$1114/100</f>
        <v>67</v>
      </c>
      <c r="L1114" s="142">
        <f>B1114*IBGE_2!L$1114/100</f>
        <v>5.13</v>
      </c>
      <c r="M1114" s="142" t="s">
        <v>3047</v>
      </c>
      <c r="N1114" s="142">
        <f>B1114*IBGE_2!N$1114/100</f>
        <v>92</v>
      </c>
      <c r="O1114" s="142">
        <f>B1114*IBGE_2!O$1114/100</f>
        <v>18</v>
      </c>
      <c r="P1114" s="142">
        <f>B1114*IBGE_2!P$1114/100</f>
        <v>1</v>
      </c>
      <c r="Q1114" s="142">
        <f>B1114*IBGE_2!Q$1114/100</f>
        <v>338</v>
      </c>
      <c r="R1114" s="142">
        <f>B1114*IBGE_2!R$1114/100</f>
        <v>27.960999999999999</v>
      </c>
      <c r="S1114" s="142">
        <f>B1114*IBGE_2!S$1114/100</f>
        <v>112</v>
      </c>
      <c r="T1114" s="142">
        <f>B1114*IBGE_2!T$1114/100</f>
        <v>628</v>
      </c>
      <c r="U1114" s="142">
        <f>B1114*IBGE_2!U$1114/100</f>
        <v>0.68799999999999994</v>
      </c>
      <c r="V1114" s="142">
        <f>B1114*IBGE_2!V$1114/100</f>
        <v>2.73</v>
      </c>
      <c r="W1114" s="142">
        <f>B1114*IBGE_2!W$1114/100</f>
        <v>181</v>
      </c>
      <c r="X1114" s="142">
        <f>B1114*IBGE_2!X$1114/100</f>
        <v>0.15</v>
      </c>
      <c r="Y1114" s="142">
        <f>B1114*IBGE_2!Y$1114/100</f>
        <v>0.42599999999999999</v>
      </c>
      <c r="Z1114" s="142">
        <f>B1114*IBGE_2!Z$1114/100</f>
        <v>0.11</v>
      </c>
      <c r="AA1114" s="142">
        <f>B1114*IBGE_2!AA$1114/100</f>
        <v>3.3540000000000005</v>
      </c>
      <c r="AB1114" s="142">
        <f>B1114*IBGE_2!AB$1114/100</f>
        <v>22.1</v>
      </c>
      <c r="AC1114" s="142">
        <f>B1114*IBGE_2!AC$1114/100</f>
        <v>8.1210000000000004</v>
      </c>
      <c r="AD1114" s="142">
        <f>B1114*IBGE_2!AD$1114/100</f>
        <v>98.89</v>
      </c>
      <c r="AE1114" s="142">
        <f>B1114*IBGE_2!AE$1114/100</f>
        <v>29</v>
      </c>
      <c r="AF1114" s="142">
        <f>B1114*IBGE_2!AF$1114/100</f>
        <v>0.2</v>
      </c>
      <c r="AG1114" s="142">
        <f>B1114*IBGE_2!AG$1114/100</f>
        <v>0.83</v>
      </c>
      <c r="AH1114" s="142">
        <f>B1114*IBGE_2!AH$1114/100</f>
        <v>1.4000000000000002E-2</v>
      </c>
      <c r="AI1114" s="142">
        <f>B1114*IBGE_2!AI$1114/100</f>
        <v>333</v>
      </c>
      <c r="AJ1114" s="142">
        <f>B1114*IBGE_2!AJ$1114/100</f>
        <v>49.774999999999999</v>
      </c>
      <c r="AK1114" s="142">
        <f>B1114*IBGE_2!AK$1114/100</f>
        <v>181</v>
      </c>
      <c r="AL1114" s="142" t="s">
        <v>3047</v>
      </c>
      <c r="AM1114" s="142" t="s">
        <v>3047</v>
      </c>
      <c r="AN1114" s="161"/>
    </row>
    <row r="1115" spans="1:40">
      <c r="A1115" s="143" t="s">
        <v>2175</v>
      </c>
      <c r="B1115" s="141">
        <v>100</v>
      </c>
      <c r="C1115" s="142">
        <f>B1115*IBGE_2!C$1115/100</f>
        <v>117</v>
      </c>
      <c r="D1115" s="142">
        <f>B1115*IBGE_2!D$1115/100</f>
        <v>24.16</v>
      </c>
      <c r="E1115" s="142">
        <f>B1115*IBGE_2!E$1115/100</f>
        <v>1.53</v>
      </c>
      <c r="F1115" s="142">
        <f>B1115*IBGE_2!F$1115/100</f>
        <v>0.36</v>
      </c>
      <c r="G1115" s="142">
        <f>B1115*IBGE_2!G$1115/100</f>
        <v>0.28000000000000003</v>
      </c>
      <c r="H1115" s="142">
        <f>B1115*IBGE_2!H$1115/100</f>
        <v>0.65</v>
      </c>
      <c r="I1115" s="142">
        <f>B1115*IBGE_2!I$1115/100</f>
        <v>0.01</v>
      </c>
      <c r="J1115" s="142">
        <f>B1115*IBGE_2!J$1115/100</f>
        <v>0.02</v>
      </c>
      <c r="K1115" s="142">
        <f>B1115*IBGE_2!K$1115/100</f>
        <v>68</v>
      </c>
      <c r="L1115" s="142" t="s">
        <v>3047</v>
      </c>
      <c r="M1115" s="142" t="s">
        <v>3047</v>
      </c>
      <c r="N1115" s="142">
        <f>B1115*IBGE_2!N$1115/100</f>
        <v>18</v>
      </c>
      <c r="O1115" s="142">
        <f>B1115*IBGE_2!O$1115/100</f>
        <v>58</v>
      </c>
      <c r="P1115" s="142">
        <f>B1115*IBGE_2!P$1115/100</f>
        <v>0.02</v>
      </c>
      <c r="Q1115" s="142">
        <f>B1115*IBGE_2!Q$1115/100</f>
        <v>289</v>
      </c>
      <c r="R1115" s="142">
        <f>B1115*IBGE_2!R$1115/100</f>
        <v>0.34</v>
      </c>
      <c r="S1115" s="142">
        <f>B1115*IBGE_2!S$1115/100</f>
        <v>105</v>
      </c>
      <c r="T1115" s="142">
        <f>B1115*IBGE_2!T$1115/100</f>
        <v>344</v>
      </c>
      <c r="U1115" s="142">
        <f>B1115*IBGE_2!U$1115/100</f>
        <v>0.03</v>
      </c>
      <c r="V1115" s="142">
        <f>B1115*IBGE_2!V$1115/100</f>
        <v>0.63</v>
      </c>
      <c r="W1115" s="142">
        <f>B1115*IBGE_2!W$1115/100</f>
        <v>13</v>
      </c>
      <c r="X1115" s="142">
        <f>B1115*IBGE_2!X$1115/100</f>
        <v>0.08</v>
      </c>
      <c r="Y1115" s="142">
        <f>B1115*IBGE_2!Y$1115/100</f>
        <v>0.11</v>
      </c>
      <c r="Z1115" s="142">
        <f>B1115*IBGE_2!Z$1115/100</f>
        <v>0.24</v>
      </c>
      <c r="AA1115" s="142">
        <f>B1115*IBGE_2!AA$1115/100</f>
        <v>2.1800000000000002</v>
      </c>
      <c r="AB1115" s="142" t="s">
        <v>3047</v>
      </c>
      <c r="AC1115" s="142">
        <f>B1115*IBGE_2!AC$1115/100</f>
        <v>6.7</v>
      </c>
      <c r="AD1115" s="142">
        <f>B1115*IBGE_2!AD$1115/100</f>
        <v>2.5099999999999998</v>
      </c>
      <c r="AE1115" s="142">
        <f>B1115*IBGE_2!AE$1115/100</f>
        <v>9</v>
      </c>
      <c r="AF1115" s="142">
        <f>B1115*IBGE_2!AF$1115/100</f>
        <v>1.1000000000000001</v>
      </c>
      <c r="AG1115" s="142">
        <f>B1115*IBGE_2!AG$1115/100</f>
        <v>0.66</v>
      </c>
      <c r="AH1115" s="142" t="s">
        <v>3047</v>
      </c>
      <c r="AI1115" s="142" t="s">
        <v>3047</v>
      </c>
      <c r="AJ1115" s="142">
        <f>B1115*IBGE_2!AJ$1115/100</f>
        <v>58.2</v>
      </c>
      <c r="AK1115" s="142">
        <f>B1115*IBGE_2!AK$1115/100</f>
        <v>13</v>
      </c>
      <c r="AL1115" s="142" t="s">
        <v>3047</v>
      </c>
      <c r="AM1115" s="142" t="s">
        <v>3047</v>
      </c>
      <c r="AN1115" s="161"/>
    </row>
    <row r="1116" spans="1:40">
      <c r="A1116" s="143" t="s">
        <v>2176</v>
      </c>
      <c r="B1116" s="141">
        <v>100</v>
      </c>
      <c r="C1116" s="142">
        <f>B1116*IBGE_2!C$1116/100</f>
        <v>117</v>
      </c>
      <c r="D1116" s="142">
        <f>B1116*IBGE_2!D$1116/100</f>
        <v>24.16</v>
      </c>
      <c r="E1116" s="142">
        <f>B1116*IBGE_2!E$1116/100</f>
        <v>1.53</v>
      </c>
      <c r="F1116" s="142">
        <f>B1116*IBGE_2!F$1116/100</f>
        <v>0.36</v>
      </c>
      <c r="G1116" s="142">
        <f>B1116*IBGE_2!G$1116/100</f>
        <v>0.28000000000000003</v>
      </c>
      <c r="H1116" s="142">
        <f>B1116*IBGE_2!H$1116/100</f>
        <v>0.65</v>
      </c>
      <c r="I1116" s="142">
        <f>B1116*IBGE_2!I$1116/100</f>
        <v>0.01</v>
      </c>
      <c r="J1116" s="142">
        <f>B1116*IBGE_2!J$1116/100</f>
        <v>0.02</v>
      </c>
      <c r="K1116" s="142">
        <f>B1116*IBGE_2!K$1116/100</f>
        <v>68</v>
      </c>
      <c r="L1116" s="142" t="s">
        <v>3047</v>
      </c>
      <c r="M1116" s="142" t="s">
        <v>3047</v>
      </c>
      <c r="N1116" s="142">
        <f>B1116*IBGE_2!N$1116/100</f>
        <v>18</v>
      </c>
      <c r="O1116" s="142">
        <f>B1116*IBGE_2!O$1116/100</f>
        <v>58</v>
      </c>
      <c r="P1116" s="142">
        <f>B1116*IBGE_2!P$1116/100</f>
        <v>0.02</v>
      </c>
      <c r="Q1116" s="142">
        <f>B1116*IBGE_2!Q$1116/100</f>
        <v>289</v>
      </c>
      <c r="R1116" s="142">
        <f>B1116*IBGE_2!R$1116/100</f>
        <v>0.34</v>
      </c>
      <c r="S1116" s="142">
        <f>B1116*IBGE_2!S$1116/100</f>
        <v>105</v>
      </c>
      <c r="T1116" s="142">
        <f>B1116*IBGE_2!T$1116/100</f>
        <v>344</v>
      </c>
      <c r="U1116" s="142">
        <f>B1116*IBGE_2!U$1116/100</f>
        <v>0.03</v>
      </c>
      <c r="V1116" s="142">
        <f>B1116*IBGE_2!V$1116/100</f>
        <v>0.63</v>
      </c>
      <c r="W1116" s="142">
        <f>B1116*IBGE_2!W$1116/100</f>
        <v>13</v>
      </c>
      <c r="X1116" s="142">
        <f>B1116*IBGE_2!X$1116/100</f>
        <v>0.08</v>
      </c>
      <c r="Y1116" s="142">
        <f>B1116*IBGE_2!Y$1116/100</f>
        <v>0.11</v>
      </c>
      <c r="Z1116" s="142">
        <f>B1116*IBGE_2!Z$1116/100</f>
        <v>0.24</v>
      </c>
      <c r="AA1116" s="142">
        <f>B1116*IBGE_2!AA$1116/100</f>
        <v>2.1800000000000002</v>
      </c>
      <c r="AB1116" s="142" t="s">
        <v>3047</v>
      </c>
      <c r="AC1116" s="142">
        <f>B1116*IBGE_2!AC$1116/100</f>
        <v>6.7</v>
      </c>
      <c r="AD1116" s="142">
        <f>B1116*IBGE_2!AD$1116/100</f>
        <v>2.5099999999999998</v>
      </c>
      <c r="AE1116" s="142">
        <f>B1116*IBGE_2!AE$1116/100</f>
        <v>9</v>
      </c>
      <c r="AF1116" s="142">
        <f>B1116*IBGE_2!AF$1116/100</f>
        <v>1.1000000000000001</v>
      </c>
      <c r="AG1116" s="142">
        <f>B1116*IBGE_2!AG$1116/100</f>
        <v>0.66</v>
      </c>
      <c r="AH1116" s="142" t="s">
        <v>3047</v>
      </c>
      <c r="AI1116" s="142" t="s">
        <v>3047</v>
      </c>
      <c r="AJ1116" s="142">
        <f>B1116*IBGE_2!AJ$1116/100</f>
        <v>58.2</v>
      </c>
      <c r="AK1116" s="142">
        <f>B1116*IBGE_2!AK$1116/100</f>
        <v>13</v>
      </c>
      <c r="AL1116" s="142" t="s">
        <v>3047</v>
      </c>
      <c r="AM1116" s="142" t="s">
        <v>3047</v>
      </c>
      <c r="AN1116" s="161"/>
    </row>
    <row r="1117" spans="1:40">
      <c r="A1117" s="143" t="s">
        <v>2177</v>
      </c>
      <c r="B1117" s="141">
        <v>100</v>
      </c>
      <c r="C1117" s="142">
        <f>B1117*IBGE_2!C$1117/100</f>
        <v>139.66</v>
      </c>
      <c r="D1117" s="142">
        <f>B1117*IBGE_2!D$1117/100</f>
        <v>24.16</v>
      </c>
      <c r="E1117" s="142">
        <f>B1117*IBGE_2!E$1117/100</f>
        <v>4.09</v>
      </c>
      <c r="F1117" s="142">
        <f>B1117*IBGE_2!F$1117/100</f>
        <v>0.73</v>
      </c>
      <c r="G1117" s="142">
        <f>B1117*IBGE_2!G$1117/100</f>
        <v>0.87</v>
      </c>
      <c r="H1117" s="142">
        <f>B1117*IBGE_2!H$1117/100</f>
        <v>2.13</v>
      </c>
      <c r="I1117" s="142">
        <f>B1117*IBGE_2!I$1117/100</f>
        <v>1.32</v>
      </c>
      <c r="J1117" s="142">
        <f>B1117*IBGE_2!J$1117/100</f>
        <v>0.19</v>
      </c>
      <c r="K1117" s="142">
        <f>B1117*IBGE_2!K$1117/100</f>
        <v>68</v>
      </c>
      <c r="L1117" s="142" t="s">
        <v>3047</v>
      </c>
      <c r="M1117" s="142" t="s">
        <v>3047</v>
      </c>
      <c r="N1117" s="142">
        <f>B1117*IBGE_2!N$1117/100</f>
        <v>18</v>
      </c>
      <c r="O1117" s="142">
        <f>B1117*IBGE_2!O$1117/100</f>
        <v>58</v>
      </c>
      <c r="P1117" s="142">
        <f>B1117*IBGE_2!P$1117/100</f>
        <v>0.02</v>
      </c>
      <c r="Q1117" s="142">
        <f>B1117*IBGE_2!Q$1117/100</f>
        <v>289</v>
      </c>
      <c r="R1117" s="142">
        <f>B1117*IBGE_2!R$1117/100</f>
        <v>0.34</v>
      </c>
      <c r="S1117" s="142">
        <f>B1117*IBGE_2!S$1117/100</f>
        <v>105</v>
      </c>
      <c r="T1117" s="142">
        <f>B1117*IBGE_2!T$1117/100</f>
        <v>344</v>
      </c>
      <c r="U1117" s="142">
        <f>B1117*IBGE_2!U$1117/100</f>
        <v>0.03</v>
      </c>
      <c r="V1117" s="142">
        <f>B1117*IBGE_2!V$1117/100</f>
        <v>0.63</v>
      </c>
      <c r="W1117" s="142">
        <f>B1117*IBGE_2!W$1117/100</f>
        <v>13</v>
      </c>
      <c r="X1117" s="142">
        <f>B1117*IBGE_2!X$1117/100</f>
        <v>0.08</v>
      </c>
      <c r="Y1117" s="142">
        <f>B1117*IBGE_2!Y$1117/100</f>
        <v>0.11</v>
      </c>
      <c r="Z1117" s="142">
        <f>B1117*IBGE_2!Z$1117/100</f>
        <v>0.24</v>
      </c>
      <c r="AA1117" s="142">
        <f>B1117*IBGE_2!AA$1117/100</f>
        <v>2.1800000000000002</v>
      </c>
      <c r="AB1117" s="142" t="s">
        <v>3047</v>
      </c>
      <c r="AC1117" s="142">
        <f>B1117*IBGE_2!AC$1117/100</f>
        <v>6.7</v>
      </c>
      <c r="AD1117" s="142">
        <f>B1117*IBGE_2!AD$1117/100</f>
        <v>2.5099999999999998</v>
      </c>
      <c r="AE1117" s="142">
        <f>B1117*IBGE_2!AE$1117/100</f>
        <v>9</v>
      </c>
      <c r="AF1117" s="142">
        <f>B1117*IBGE_2!AF$1117/100</f>
        <v>1.1000000000000001</v>
      </c>
      <c r="AG1117" s="142">
        <f>B1117*IBGE_2!AG$1117/100</f>
        <v>0.9</v>
      </c>
      <c r="AH1117" s="142" t="s">
        <v>3047</v>
      </c>
      <c r="AI1117" s="142" t="s">
        <v>3047</v>
      </c>
      <c r="AJ1117" s="142">
        <f>B1117*IBGE_2!AJ$1117/100</f>
        <v>59.37</v>
      </c>
      <c r="AK1117" s="142">
        <f>B1117*IBGE_2!AK$1117/100</f>
        <v>13</v>
      </c>
      <c r="AL1117" s="145" t="s">
        <v>3047</v>
      </c>
      <c r="AM1117" s="142" t="s">
        <v>3047</v>
      </c>
      <c r="AN1117" s="161"/>
    </row>
    <row r="1118" spans="1:40">
      <c r="A1118" s="143" t="s">
        <v>2178</v>
      </c>
      <c r="B1118" s="141">
        <v>100</v>
      </c>
      <c r="C1118" s="142">
        <f>B1118*IBGE_2!C$1118/100</f>
        <v>155.84</v>
      </c>
      <c r="D1118" s="142">
        <f>B1118*IBGE_2!D$1118/100</f>
        <v>24.62</v>
      </c>
      <c r="E1118" s="142">
        <f>B1118*IBGE_2!E$1118/100</f>
        <v>4.1399999999999997</v>
      </c>
      <c r="F1118" s="142">
        <f>B1118*IBGE_2!F$1118/100</f>
        <v>0.74</v>
      </c>
      <c r="G1118" s="142">
        <f>B1118*IBGE_2!G$1118/100</f>
        <v>0.88</v>
      </c>
      <c r="H1118" s="142">
        <f>B1118*IBGE_2!H$1118/100</f>
        <v>2.15</v>
      </c>
      <c r="I1118" s="142">
        <f>B1118*IBGE_2!I$1118/100</f>
        <v>1.34</v>
      </c>
      <c r="J1118" s="142">
        <f>B1118*IBGE_2!J$1118/100</f>
        <v>0.19</v>
      </c>
      <c r="K1118" s="142">
        <f>B1118*IBGE_2!K$1118/100</f>
        <v>68</v>
      </c>
      <c r="L1118" s="142">
        <f>B1118*IBGE_2!L$1118/100</f>
        <v>3.39</v>
      </c>
      <c r="M1118" s="142">
        <f>B1118*IBGE_2!M$1118/100</f>
        <v>0.14000000000000001</v>
      </c>
      <c r="N1118" s="142">
        <f>B1118*IBGE_2!N$1118/100</f>
        <v>18.670000000000002</v>
      </c>
      <c r="O1118" s="142">
        <f>B1118*IBGE_2!O$1118/100</f>
        <v>58.98</v>
      </c>
      <c r="P1118" s="142">
        <f>B1118*IBGE_2!P$1118/100</f>
        <v>0.05</v>
      </c>
      <c r="Q1118" s="142">
        <f>B1118*IBGE_2!Q$1118/100</f>
        <v>293.8</v>
      </c>
      <c r="R1118" s="142">
        <f>B1118*IBGE_2!R$1118/100</f>
        <v>0.55000000000000004</v>
      </c>
      <c r="S1118" s="142">
        <f>B1118*IBGE_2!S$1118/100</f>
        <v>105.09</v>
      </c>
      <c r="T1118" s="142">
        <f>B1118*IBGE_2!T$1118/100</f>
        <v>348.76</v>
      </c>
      <c r="U1118" s="142">
        <f>B1118*IBGE_2!U$1118/100</f>
        <v>0.03</v>
      </c>
      <c r="V1118" s="142">
        <f>B1118*IBGE_2!V$1118/100</f>
        <v>0.66</v>
      </c>
      <c r="W1118" s="142">
        <f>B1118*IBGE_2!W$1118/100</f>
        <v>13</v>
      </c>
      <c r="X1118" s="142">
        <f>B1118*IBGE_2!X$1118/100</f>
        <v>0.11</v>
      </c>
      <c r="Y1118" s="142">
        <f>B1118*IBGE_2!Y$1118/100</f>
        <v>0.14000000000000001</v>
      </c>
      <c r="Z1118" s="142">
        <f>B1118*IBGE_2!Z$1118/100</f>
        <v>0.24</v>
      </c>
      <c r="AA1118" s="142">
        <f>B1118*IBGE_2!AA$1118/100</f>
        <v>2.44</v>
      </c>
      <c r="AB1118" s="142" t="s">
        <v>3047</v>
      </c>
      <c r="AC1118" s="142">
        <f>B1118*IBGE_2!AC$1118/100</f>
        <v>7.05</v>
      </c>
      <c r="AD1118" s="142">
        <f>B1118*IBGE_2!AD$1118/100</f>
        <v>2.5099999999999998</v>
      </c>
      <c r="AE1118" s="142">
        <f>B1118*IBGE_2!AE$1118/100</f>
        <v>18.07</v>
      </c>
      <c r="AF1118" s="142">
        <f>B1118*IBGE_2!AF$1118/100</f>
        <v>1.1000000000000001</v>
      </c>
      <c r="AG1118" s="142">
        <f>B1118*IBGE_2!AG$1118/100</f>
        <v>0.9</v>
      </c>
      <c r="AH1118" s="142" t="s">
        <v>3047</v>
      </c>
      <c r="AI1118" s="142" t="s">
        <v>3047</v>
      </c>
      <c r="AJ1118" s="142">
        <f>B1118*IBGE_2!AJ$1118/100</f>
        <v>60.88</v>
      </c>
      <c r="AK1118" s="142">
        <f>B1118*IBGE_2!AK$1118/100</f>
        <v>13</v>
      </c>
      <c r="AL1118" s="142">
        <f>B1118*IBGE_2!AL$1118/100</f>
        <v>0.01</v>
      </c>
      <c r="AM1118" s="142" t="s">
        <v>3047</v>
      </c>
      <c r="AN1118" s="161"/>
    </row>
    <row r="1119" spans="1:40">
      <c r="A1119" s="143" t="s">
        <v>2179</v>
      </c>
      <c r="B1119" s="141">
        <v>100</v>
      </c>
      <c r="C1119" s="142">
        <f>B1119*IBGE_2!C$1119/100</f>
        <v>139.66</v>
      </c>
      <c r="D1119" s="142">
        <f>B1119*IBGE_2!D$1119/100</f>
        <v>24.16</v>
      </c>
      <c r="E1119" s="142">
        <f>B1119*IBGE_2!E$1119/100</f>
        <v>4.09</v>
      </c>
      <c r="F1119" s="142">
        <f>B1119*IBGE_2!F$1119/100</f>
        <v>0.73</v>
      </c>
      <c r="G1119" s="142">
        <f>B1119*IBGE_2!G$1119/100</f>
        <v>0.87</v>
      </c>
      <c r="H1119" s="142">
        <f>B1119*IBGE_2!H$1119/100</f>
        <v>2.13</v>
      </c>
      <c r="I1119" s="142">
        <f>B1119*IBGE_2!I$1119/100</f>
        <v>1.32</v>
      </c>
      <c r="J1119" s="142">
        <f>B1119*IBGE_2!J$1119/100</f>
        <v>0.19</v>
      </c>
      <c r="K1119" s="142">
        <f>B1119*IBGE_2!K$1119/100</f>
        <v>68</v>
      </c>
      <c r="L1119" s="142" t="s">
        <v>3047</v>
      </c>
      <c r="M1119" s="142" t="s">
        <v>3047</v>
      </c>
      <c r="N1119" s="142">
        <f>B1119*IBGE_2!N$1119/100</f>
        <v>18</v>
      </c>
      <c r="O1119" s="142">
        <f>B1119*IBGE_2!O$1119/100</f>
        <v>58</v>
      </c>
      <c r="P1119" s="142">
        <f>B1119*IBGE_2!P$1119/100</f>
        <v>0.02</v>
      </c>
      <c r="Q1119" s="142">
        <f>B1119*IBGE_2!Q$1119/100</f>
        <v>289</v>
      </c>
      <c r="R1119" s="142">
        <f>B1119*IBGE_2!R$1119/100</f>
        <v>0.34</v>
      </c>
      <c r="S1119" s="142">
        <f>B1119*IBGE_2!S$1119/100</f>
        <v>105</v>
      </c>
      <c r="T1119" s="142">
        <f>B1119*IBGE_2!T$1119/100</f>
        <v>344</v>
      </c>
      <c r="U1119" s="142">
        <f>B1119*IBGE_2!U$1119/100</f>
        <v>0.03</v>
      </c>
      <c r="V1119" s="142">
        <f>B1119*IBGE_2!V$1119/100</f>
        <v>0.63</v>
      </c>
      <c r="W1119" s="142">
        <f>B1119*IBGE_2!W$1119/100</f>
        <v>13</v>
      </c>
      <c r="X1119" s="142">
        <f>B1119*IBGE_2!X$1119/100</f>
        <v>0.08</v>
      </c>
      <c r="Y1119" s="142">
        <f>B1119*IBGE_2!Y$1119/100</f>
        <v>0.11</v>
      </c>
      <c r="Z1119" s="142">
        <f>B1119*IBGE_2!Z$1119/100</f>
        <v>0.24</v>
      </c>
      <c r="AA1119" s="142">
        <f>B1119*IBGE_2!AA$1119/100</f>
        <v>2.1800000000000002</v>
      </c>
      <c r="AB1119" s="142" t="s">
        <v>3047</v>
      </c>
      <c r="AC1119" s="142">
        <f>B1119*IBGE_2!AC$1119/100</f>
        <v>6.7</v>
      </c>
      <c r="AD1119" s="142">
        <f>B1119*IBGE_2!AD$1119/100</f>
        <v>2.5099999999999998</v>
      </c>
      <c r="AE1119" s="142">
        <f>B1119*IBGE_2!AE$1119/100</f>
        <v>9</v>
      </c>
      <c r="AF1119" s="142">
        <f>B1119*IBGE_2!AF$1119/100</f>
        <v>1.1000000000000001</v>
      </c>
      <c r="AG1119" s="142">
        <f>B1119*IBGE_2!AG$1119/100</f>
        <v>0.9</v>
      </c>
      <c r="AH1119" s="142" t="s">
        <v>3047</v>
      </c>
      <c r="AI1119" s="142" t="s">
        <v>3047</v>
      </c>
      <c r="AJ1119" s="142">
        <f>B1119*IBGE_2!AJ$1119/100</f>
        <v>59.37</v>
      </c>
      <c r="AK1119" s="142">
        <f>B1119*IBGE_2!AK$1119/100</f>
        <v>13</v>
      </c>
      <c r="AL1119" s="145" t="s">
        <v>3047</v>
      </c>
      <c r="AM1119" s="142" t="s">
        <v>3047</v>
      </c>
      <c r="AN1119" s="161"/>
    </row>
    <row r="1120" spans="1:40">
      <c r="A1120" s="143" t="s">
        <v>2180</v>
      </c>
      <c r="B1120" s="141">
        <v>100</v>
      </c>
      <c r="C1120" s="142">
        <f>B1120*IBGE_2!C$1120/100</f>
        <v>98.4</v>
      </c>
      <c r="D1120" s="142">
        <f>B1120*IBGE_2!D$1120/100</f>
        <v>19.59</v>
      </c>
      <c r="E1120" s="142">
        <f>B1120*IBGE_2!E$1120/100</f>
        <v>1.26</v>
      </c>
      <c r="F1120" s="142">
        <f>B1120*IBGE_2!F$1120/100</f>
        <v>0.3</v>
      </c>
      <c r="G1120" s="142">
        <f>B1120*IBGE_2!G$1120/100</f>
        <v>0.23</v>
      </c>
      <c r="H1120" s="142">
        <f>B1120*IBGE_2!H$1120/100</f>
        <v>0.53</v>
      </c>
      <c r="I1120" s="142">
        <f>B1120*IBGE_2!I$1120/100</f>
        <v>0.03</v>
      </c>
      <c r="J1120" s="142">
        <f>B1120*IBGE_2!J$1120/100</f>
        <v>0.01</v>
      </c>
      <c r="K1120" s="142">
        <f>B1120*IBGE_2!K$1120/100</f>
        <v>54.4</v>
      </c>
      <c r="L1120" s="142">
        <f>B1120*IBGE_2!L$1120/100</f>
        <v>1.08</v>
      </c>
      <c r="M1120" s="142">
        <f>B1120*IBGE_2!M$1120/100</f>
        <v>0.3</v>
      </c>
      <c r="N1120" s="142">
        <f>B1120*IBGE_2!N$1120/100</f>
        <v>17</v>
      </c>
      <c r="O1120" s="142">
        <f>B1120*IBGE_2!O$1120/100</f>
        <v>49.6</v>
      </c>
      <c r="P1120" s="142">
        <f>B1120*IBGE_2!P$1120/100</f>
        <v>0.04</v>
      </c>
      <c r="Q1120" s="142">
        <f>B1120*IBGE_2!Q$1120/100</f>
        <v>236.4</v>
      </c>
      <c r="R1120" s="142">
        <f>B1120*IBGE_2!R$1120/100</f>
        <v>0.48</v>
      </c>
      <c r="S1120" s="142">
        <f>B1120*IBGE_2!S$1120/100</f>
        <v>188.8</v>
      </c>
      <c r="T1120" s="142">
        <f>B1120*IBGE_2!T$1120/100</f>
        <v>341.4</v>
      </c>
      <c r="U1120" s="142">
        <f>B1120*IBGE_2!U$1120/100</f>
        <v>0.04</v>
      </c>
      <c r="V1120" s="142">
        <f>B1120*IBGE_2!V$1120/100</f>
        <v>0.54</v>
      </c>
      <c r="W1120" s="142">
        <f>B1120*IBGE_2!W$1120/100</f>
        <v>10.4</v>
      </c>
      <c r="X1120" s="142">
        <f>B1120*IBGE_2!X$1120/100</f>
        <v>7.0000000000000007E-2</v>
      </c>
      <c r="Y1120" s="142">
        <f>B1120*IBGE_2!Y$1120/100</f>
        <v>0.1</v>
      </c>
      <c r="Z1120" s="142">
        <f>B1120*IBGE_2!Z$1120/100</f>
        <v>0.21</v>
      </c>
      <c r="AA1120" s="142">
        <f>B1120*IBGE_2!AA$1120/100</f>
        <v>1.94</v>
      </c>
      <c r="AB1120" s="142">
        <f>B1120*IBGE_2!AB$1120/100</f>
        <v>1.4</v>
      </c>
      <c r="AC1120" s="142">
        <f>B1120*IBGE_2!AC$1120/100</f>
        <v>5.58</v>
      </c>
      <c r="AD1120" s="142">
        <f>B1120*IBGE_2!AD$1120/100</f>
        <v>2.0099999999999998</v>
      </c>
      <c r="AE1120" s="142">
        <f>B1120*IBGE_2!AE$1120/100</f>
        <v>9.4</v>
      </c>
      <c r="AF1120" s="142">
        <f>B1120*IBGE_2!AF$1120/100</f>
        <v>0.88</v>
      </c>
      <c r="AG1120" s="142">
        <f>B1120*IBGE_2!AG$1120/100</f>
        <v>0.81</v>
      </c>
      <c r="AH1120" s="142" t="s">
        <v>3047</v>
      </c>
      <c r="AI1120" s="142" t="s">
        <v>3047</v>
      </c>
      <c r="AJ1120" s="142">
        <f>B1120*IBGE_2!AJ$1120/100</f>
        <v>46.6</v>
      </c>
      <c r="AK1120" s="142">
        <f>B1120*IBGE_2!AK$1120/100</f>
        <v>13.88</v>
      </c>
      <c r="AL1120" s="142">
        <f>B1120*IBGE_2!AL$1120/100</f>
        <v>0.85</v>
      </c>
      <c r="AM1120" s="142" t="s">
        <v>3047</v>
      </c>
      <c r="AN1120" s="161"/>
    </row>
    <row r="1121" spans="1:40">
      <c r="A1121" s="143" t="s">
        <v>2181</v>
      </c>
      <c r="B1121" s="141">
        <v>100</v>
      </c>
      <c r="C1121" s="142">
        <f>B1121*IBGE_2!C$1121/100</f>
        <v>139.66</v>
      </c>
      <c r="D1121" s="142">
        <f>B1121*IBGE_2!D$1121/100</f>
        <v>24.16</v>
      </c>
      <c r="E1121" s="142">
        <f>B1121*IBGE_2!E$1121/100</f>
        <v>4.09</v>
      </c>
      <c r="F1121" s="142">
        <f>B1121*IBGE_2!F$1121/100</f>
        <v>0.73</v>
      </c>
      <c r="G1121" s="142">
        <f>B1121*IBGE_2!G$1121/100</f>
        <v>0.87</v>
      </c>
      <c r="H1121" s="142">
        <f>B1121*IBGE_2!H$1121/100</f>
        <v>2.13</v>
      </c>
      <c r="I1121" s="142">
        <f>B1121*IBGE_2!I$1121/100</f>
        <v>1.32</v>
      </c>
      <c r="J1121" s="142">
        <f>B1121*IBGE_2!J$1121/100</f>
        <v>0.19</v>
      </c>
      <c r="K1121" s="142">
        <f>B1121*IBGE_2!K$1121/100</f>
        <v>68</v>
      </c>
      <c r="L1121" s="142" t="s">
        <v>3047</v>
      </c>
      <c r="M1121" s="142" t="s">
        <v>3047</v>
      </c>
      <c r="N1121" s="142">
        <f>B1121*IBGE_2!N$1121/100</f>
        <v>18</v>
      </c>
      <c r="O1121" s="142">
        <f>B1121*IBGE_2!O$1121/100</f>
        <v>58</v>
      </c>
      <c r="P1121" s="142">
        <f>B1121*IBGE_2!P$1121/100</f>
        <v>0.02</v>
      </c>
      <c r="Q1121" s="142">
        <f>B1121*IBGE_2!Q$1121/100</f>
        <v>289</v>
      </c>
      <c r="R1121" s="142">
        <f>B1121*IBGE_2!R$1121/100</f>
        <v>0.34</v>
      </c>
      <c r="S1121" s="142">
        <f>B1121*IBGE_2!S$1121/100</f>
        <v>105</v>
      </c>
      <c r="T1121" s="142">
        <f>B1121*IBGE_2!T$1121/100</f>
        <v>344</v>
      </c>
      <c r="U1121" s="142">
        <f>B1121*IBGE_2!U$1121/100</f>
        <v>0.03</v>
      </c>
      <c r="V1121" s="142">
        <f>B1121*IBGE_2!V$1121/100</f>
        <v>0.63</v>
      </c>
      <c r="W1121" s="142">
        <f>B1121*IBGE_2!W$1121/100</f>
        <v>13</v>
      </c>
      <c r="X1121" s="142">
        <f>B1121*IBGE_2!X$1121/100</f>
        <v>0.08</v>
      </c>
      <c r="Y1121" s="142">
        <f>B1121*IBGE_2!Y$1121/100</f>
        <v>0.11</v>
      </c>
      <c r="Z1121" s="142">
        <f>B1121*IBGE_2!Z$1121/100</f>
        <v>0.24</v>
      </c>
      <c r="AA1121" s="142">
        <f>B1121*IBGE_2!AA$1121/100</f>
        <v>2.1800000000000002</v>
      </c>
      <c r="AB1121" s="142" t="s">
        <v>3047</v>
      </c>
      <c r="AC1121" s="142">
        <f>B1121*IBGE_2!AC$1121/100</f>
        <v>6.7</v>
      </c>
      <c r="AD1121" s="142">
        <f>B1121*IBGE_2!AD$1121/100</f>
        <v>2.5099999999999998</v>
      </c>
      <c r="AE1121" s="142">
        <f>B1121*IBGE_2!AE$1121/100</f>
        <v>9</v>
      </c>
      <c r="AF1121" s="142">
        <f>B1121*IBGE_2!AF$1121/100</f>
        <v>1.1000000000000001</v>
      </c>
      <c r="AG1121" s="142">
        <f>B1121*IBGE_2!AG$1121/100</f>
        <v>0.9</v>
      </c>
      <c r="AH1121" s="142" t="s">
        <v>3047</v>
      </c>
      <c r="AI1121" s="142" t="s">
        <v>3047</v>
      </c>
      <c r="AJ1121" s="142">
        <f>B1121*IBGE_2!AJ$1121/100</f>
        <v>59.37</v>
      </c>
      <c r="AK1121" s="142">
        <f>B1121*IBGE_2!AK$1121/100</f>
        <v>13</v>
      </c>
      <c r="AL1121" s="142" t="s">
        <v>3047</v>
      </c>
      <c r="AM1121" s="142" t="s">
        <v>3047</v>
      </c>
      <c r="AN1121" s="161"/>
    </row>
    <row r="1122" spans="1:40">
      <c r="A1122" s="143" t="s">
        <v>2182</v>
      </c>
      <c r="B1122" s="141">
        <v>100</v>
      </c>
      <c r="C1122" s="142">
        <f>B1122*IBGE_2!C$1122/100</f>
        <v>117</v>
      </c>
      <c r="D1122" s="142">
        <f>B1122*IBGE_2!D$1122/100</f>
        <v>24.16</v>
      </c>
      <c r="E1122" s="142">
        <f>B1122*IBGE_2!E$1122/100</f>
        <v>1.53</v>
      </c>
      <c r="F1122" s="142">
        <f>B1122*IBGE_2!F$1122/100</f>
        <v>0.36</v>
      </c>
      <c r="G1122" s="142">
        <f>B1122*IBGE_2!G$1122/100</f>
        <v>0.28000000000000003</v>
      </c>
      <c r="H1122" s="142">
        <f>B1122*IBGE_2!H$1122/100</f>
        <v>0.65</v>
      </c>
      <c r="I1122" s="142">
        <f>B1122*IBGE_2!I$1122/100</f>
        <v>0.01</v>
      </c>
      <c r="J1122" s="142">
        <f>B1122*IBGE_2!J$1122/100</f>
        <v>0.02</v>
      </c>
      <c r="K1122" s="142">
        <f>B1122*IBGE_2!K$1122/100</f>
        <v>68</v>
      </c>
      <c r="L1122" s="142" t="s">
        <v>3047</v>
      </c>
      <c r="M1122" s="142" t="s">
        <v>3047</v>
      </c>
      <c r="N1122" s="142">
        <f>B1122*IBGE_2!N$1122/100</f>
        <v>18</v>
      </c>
      <c r="O1122" s="142">
        <f>B1122*IBGE_2!O$1122/100</f>
        <v>58</v>
      </c>
      <c r="P1122" s="142">
        <f>B1122*IBGE_2!P$1122/100</f>
        <v>0.02</v>
      </c>
      <c r="Q1122" s="142">
        <f>B1122*IBGE_2!Q$1122/100</f>
        <v>289</v>
      </c>
      <c r="R1122" s="142">
        <f>B1122*IBGE_2!R$1122/100</f>
        <v>0.34</v>
      </c>
      <c r="S1122" s="142">
        <f>B1122*IBGE_2!S$1122/100</f>
        <v>105</v>
      </c>
      <c r="T1122" s="142">
        <f>B1122*IBGE_2!T$1122/100</f>
        <v>344</v>
      </c>
      <c r="U1122" s="142">
        <f>B1122*IBGE_2!U$1122/100</f>
        <v>0.03</v>
      </c>
      <c r="V1122" s="142">
        <f>B1122*IBGE_2!V$1122/100</f>
        <v>0.63</v>
      </c>
      <c r="W1122" s="142">
        <f>B1122*IBGE_2!W$1122/100</f>
        <v>13</v>
      </c>
      <c r="X1122" s="142">
        <f>B1122*IBGE_2!X$1122/100</f>
        <v>0.08</v>
      </c>
      <c r="Y1122" s="142">
        <f>B1122*IBGE_2!Y$1122/100</f>
        <v>0.11</v>
      </c>
      <c r="Z1122" s="142">
        <f>B1122*IBGE_2!Z$1122/100</f>
        <v>0.24</v>
      </c>
      <c r="AA1122" s="142">
        <f>B1122*IBGE_2!AA$1122/100</f>
        <v>2.1800000000000002</v>
      </c>
      <c r="AB1122" s="142" t="s">
        <v>3047</v>
      </c>
      <c r="AC1122" s="142">
        <f>B1122*IBGE_2!AC$1122/100</f>
        <v>6.7</v>
      </c>
      <c r="AD1122" s="142">
        <f>B1122*IBGE_2!AD$1122/100</f>
        <v>2.5099999999999998</v>
      </c>
      <c r="AE1122" s="142">
        <f>B1122*IBGE_2!AE$1122/100</f>
        <v>9</v>
      </c>
      <c r="AF1122" s="142">
        <f>B1122*IBGE_2!AF$1122/100</f>
        <v>1.1000000000000001</v>
      </c>
      <c r="AG1122" s="142">
        <f>B1122*IBGE_2!AG$1122/100</f>
        <v>0.66</v>
      </c>
      <c r="AH1122" s="142" t="s">
        <v>3047</v>
      </c>
      <c r="AI1122" s="142" t="s">
        <v>3047</v>
      </c>
      <c r="AJ1122" s="142">
        <f>B1122*IBGE_2!AJ$1122/100</f>
        <v>58.2</v>
      </c>
      <c r="AK1122" s="142">
        <f>B1122*IBGE_2!AK$1122/100</f>
        <v>13</v>
      </c>
      <c r="AL1122" s="142" t="s">
        <v>3047</v>
      </c>
      <c r="AM1122" s="142" t="s">
        <v>3047</v>
      </c>
      <c r="AN1122" s="161"/>
    </row>
    <row r="1123" spans="1:40">
      <c r="A1123" s="143" t="s">
        <v>2183</v>
      </c>
      <c r="B1123" s="141">
        <v>100</v>
      </c>
      <c r="C1123" s="142">
        <f>B1123*IBGE_2!C$1123/100</f>
        <v>204</v>
      </c>
      <c r="D1123" s="142">
        <f>B1123*IBGE_2!D$1123/100</f>
        <v>28.62</v>
      </c>
      <c r="E1123" s="142">
        <f>B1123*IBGE_2!E$1123/100</f>
        <v>8.23</v>
      </c>
      <c r="F1123" s="142">
        <f>B1123*IBGE_2!F$1123/100</f>
        <v>1.8660000000000003</v>
      </c>
      <c r="G1123" s="142">
        <f>B1123*IBGE_2!G$1123/100</f>
        <v>2.129</v>
      </c>
      <c r="H1123" s="142">
        <f>B1123*IBGE_2!H$1123/100</f>
        <v>3.4039999999999999</v>
      </c>
      <c r="I1123" s="142">
        <f>B1123*IBGE_2!I$1123/100</f>
        <v>3.6999999999999998E-2</v>
      </c>
      <c r="J1123" s="142">
        <f>B1123*IBGE_2!J$1123/100</f>
        <v>8.0000000000000002E-3</v>
      </c>
      <c r="K1123" s="142">
        <f>B1123*IBGE_2!K$1123/100</f>
        <v>479</v>
      </c>
      <c r="L1123" s="142">
        <f>B1123*IBGE_2!L$1123/100</f>
        <v>1.92</v>
      </c>
      <c r="M1123" s="142" t="s">
        <v>3047</v>
      </c>
      <c r="N1123" s="142">
        <f>B1123*IBGE_2!N$1123/100</f>
        <v>28</v>
      </c>
      <c r="O1123" s="142">
        <f>B1123*IBGE_2!O$1123/100</f>
        <v>26</v>
      </c>
      <c r="P1123" s="142">
        <f>B1123*IBGE_2!P$1123/100</f>
        <v>1.3000000000000001E-2</v>
      </c>
      <c r="Q1123" s="142">
        <f>B1123*IBGE_2!Q$1123/100</f>
        <v>515</v>
      </c>
      <c r="R1123" s="142">
        <f>B1123*IBGE_2!R$1123/100</f>
        <v>0.77</v>
      </c>
      <c r="S1123" s="142">
        <f>B1123*IBGE_2!S$1123/100</f>
        <v>117</v>
      </c>
      <c r="T1123" s="142">
        <f>B1123*IBGE_2!T$1123/100</f>
        <v>283</v>
      </c>
      <c r="U1123" s="142">
        <f>B1123*IBGE_2!U$1123/100</f>
        <v>0.128</v>
      </c>
      <c r="V1123" s="142">
        <f>B1123*IBGE_2!V$1123/100</f>
        <v>1.28</v>
      </c>
      <c r="W1123" s="142">
        <f>B1123*IBGE_2!W$1123/100</f>
        <v>91</v>
      </c>
      <c r="X1123" s="142">
        <f>B1123*IBGE_2!X$1123/100</f>
        <v>0.27700000000000002</v>
      </c>
      <c r="Y1123" s="142">
        <f>B1123*IBGE_2!Y$1123/100</f>
        <v>0.94899999999999995</v>
      </c>
      <c r="Z1123" s="142">
        <f>B1123*IBGE_2!Z$1123/100</f>
        <v>0.185</v>
      </c>
      <c r="AA1123" s="142">
        <f>B1123*IBGE_2!AA$1123/100</f>
        <v>2.1920000000000002</v>
      </c>
      <c r="AB1123" s="142">
        <f>B1123*IBGE_2!AB$1123/100</f>
        <v>16.399999999999999</v>
      </c>
      <c r="AC1123" s="142">
        <f>B1123*IBGE_2!AC$1123/100</f>
        <v>8.4420000000000002</v>
      </c>
      <c r="AD1123" s="142">
        <f>B1123*IBGE_2!AD$1123/100</f>
        <v>11.54</v>
      </c>
      <c r="AE1123" s="142">
        <f>B1123*IBGE_2!AE$1123/100</f>
        <v>92</v>
      </c>
      <c r="AF1123" s="142">
        <f>B1123*IBGE_2!AF$1123/100</f>
        <v>4</v>
      </c>
      <c r="AG1123" s="142">
        <f>B1123*IBGE_2!AG$1123/100</f>
        <v>8.9740000000000002</v>
      </c>
      <c r="AH1123" s="145" t="s">
        <v>3047</v>
      </c>
      <c r="AI1123" s="142">
        <f>B1123*IBGE_2!AI$1123/100</f>
        <v>333</v>
      </c>
      <c r="AJ1123" s="142">
        <f>B1123*IBGE_2!AJ$1123/100</f>
        <v>51.7</v>
      </c>
      <c r="AK1123" s="142">
        <f>B1123*IBGE_2!AK$1123/100</f>
        <v>91</v>
      </c>
      <c r="AL1123" s="142" t="s">
        <v>3047</v>
      </c>
      <c r="AM1123" s="142" t="s">
        <v>3047</v>
      </c>
      <c r="AN1123" s="161"/>
    </row>
    <row r="1124" spans="1:40">
      <c r="A1124" s="143" t="s">
        <v>2184</v>
      </c>
      <c r="B1124" s="141">
        <v>100</v>
      </c>
      <c r="C1124" s="142">
        <f>B1124*IBGE_2!C$1124/100</f>
        <v>226.65899999999999</v>
      </c>
      <c r="D1124" s="142">
        <f>B1124*IBGE_2!D$1124/100</f>
        <v>28.62</v>
      </c>
      <c r="E1124" s="142">
        <f>B1124*IBGE_2!E$1124/100</f>
        <v>10.792999999999999</v>
      </c>
      <c r="F1124" s="142">
        <f>B1124*IBGE_2!F$1124/100</f>
        <v>2.2669999999999999</v>
      </c>
      <c r="G1124" s="142">
        <f>B1124*IBGE_2!G$1124/100</f>
        <v>2.7130000000000001</v>
      </c>
      <c r="H1124" s="142">
        <f>B1124*IBGE_2!H$1124/100</f>
        <v>4.8840000000000003</v>
      </c>
      <c r="I1124" s="142">
        <f>B1124*IBGE_2!I$1124/100</f>
        <v>1.3430000000000002</v>
      </c>
      <c r="J1124" s="142">
        <f>B1124*IBGE_2!J$1124/100</f>
        <v>0.182</v>
      </c>
      <c r="K1124" s="142">
        <f>B1124*IBGE_2!K$1124/100</f>
        <v>479</v>
      </c>
      <c r="L1124" s="142">
        <f>B1124*IBGE_2!L$1124/100</f>
        <v>1.92</v>
      </c>
      <c r="M1124" s="142" t="s">
        <v>3047</v>
      </c>
      <c r="N1124" s="142">
        <f>B1124*IBGE_2!N$1124/100</f>
        <v>28</v>
      </c>
      <c r="O1124" s="142">
        <f>B1124*IBGE_2!O$1124/100</f>
        <v>26</v>
      </c>
      <c r="P1124" s="142">
        <f>B1124*IBGE_2!P$1124/100</f>
        <v>1.3000000000000001E-2</v>
      </c>
      <c r="Q1124" s="142">
        <f>B1124*IBGE_2!Q$1124/100</f>
        <v>515</v>
      </c>
      <c r="R1124" s="142">
        <f>B1124*IBGE_2!R$1124/100</f>
        <v>0.77100000000000013</v>
      </c>
      <c r="S1124" s="142">
        <f>B1124*IBGE_2!S$1124/100</f>
        <v>117</v>
      </c>
      <c r="T1124" s="142">
        <f>B1124*IBGE_2!T$1124/100</f>
        <v>283</v>
      </c>
      <c r="U1124" s="142">
        <f>B1124*IBGE_2!U$1124/100</f>
        <v>0.128</v>
      </c>
      <c r="V1124" s="142">
        <f>B1124*IBGE_2!V$1124/100</f>
        <v>1.28</v>
      </c>
      <c r="W1124" s="142">
        <f>B1124*IBGE_2!W$1124/100</f>
        <v>91</v>
      </c>
      <c r="X1124" s="142">
        <f>B1124*IBGE_2!X$1124/100</f>
        <v>0.27700000000000002</v>
      </c>
      <c r="Y1124" s="142">
        <f>B1124*IBGE_2!Y$1124/100</f>
        <v>0.94899999999999995</v>
      </c>
      <c r="Z1124" s="142">
        <f>B1124*IBGE_2!Z$1124/100</f>
        <v>0.185</v>
      </c>
      <c r="AA1124" s="142">
        <f>B1124*IBGE_2!AA$1124/100</f>
        <v>2.1920000000000002</v>
      </c>
      <c r="AB1124" s="142">
        <f>B1124*IBGE_2!AB$1124/100</f>
        <v>16.399999999999999</v>
      </c>
      <c r="AC1124" s="142">
        <f>B1124*IBGE_2!AC$1124/100</f>
        <v>8.4420000000000002</v>
      </c>
      <c r="AD1124" s="142">
        <f>B1124*IBGE_2!AD$1124/100</f>
        <v>11.54</v>
      </c>
      <c r="AE1124" s="142">
        <f>B1124*IBGE_2!AE$1124/100</f>
        <v>92</v>
      </c>
      <c r="AF1124" s="142">
        <f>B1124*IBGE_2!AF$1124/100</f>
        <v>4</v>
      </c>
      <c r="AG1124" s="142">
        <f>B1124*IBGE_2!AG$1124/100</f>
        <v>9.1839999999999993</v>
      </c>
      <c r="AH1124" s="142">
        <f>B1124*IBGE_2!AH$1124/100</f>
        <v>1.4000000000000002E-2</v>
      </c>
      <c r="AI1124" s="142">
        <f>B1124*IBGE_2!AI$1124/100</f>
        <v>333</v>
      </c>
      <c r="AJ1124" s="142">
        <f>B1124*IBGE_2!AJ$1124/100</f>
        <v>52.875</v>
      </c>
      <c r="AK1124" s="142">
        <f>B1124*IBGE_2!AK$1124/100</f>
        <v>91</v>
      </c>
      <c r="AL1124" s="142" t="s">
        <v>3047</v>
      </c>
      <c r="AM1124" s="142" t="s">
        <v>3047</v>
      </c>
      <c r="AN1124" s="161"/>
    </row>
    <row r="1125" spans="1:40">
      <c r="A1125" s="143" t="s">
        <v>2185</v>
      </c>
      <c r="B1125" s="141">
        <v>100</v>
      </c>
      <c r="C1125" s="142">
        <f>B1125*IBGE_2!C$1125/100</f>
        <v>117</v>
      </c>
      <c r="D1125" s="142">
        <f>B1125*IBGE_2!D$1125/100</f>
        <v>24.16</v>
      </c>
      <c r="E1125" s="142">
        <f>B1125*IBGE_2!E$1125/100</f>
        <v>1.53</v>
      </c>
      <c r="F1125" s="142">
        <f>B1125*IBGE_2!F$1125/100</f>
        <v>0.36</v>
      </c>
      <c r="G1125" s="142">
        <f>B1125*IBGE_2!G$1125/100</f>
        <v>0.28000000000000003</v>
      </c>
      <c r="H1125" s="142">
        <f>B1125*IBGE_2!H$1125/100</f>
        <v>0.65</v>
      </c>
      <c r="I1125" s="142">
        <f>B1125*IBGE_2!I$1125/100</f>
        <v>0.01</v>
      </c>
      <c r="J1125" s="142">
        <f>B1125*IBGE_2!J$1125/100</f>
        <v>0.02</v>
      </c>
      <c r="K1125" s="142">
        <f>B1125*IBGE_2!K$1125/100</f>
        <v>68</v>
      </c>
      <c r="L1125" s="142" t="s">
        <v>3047</v>
      </c>
      <c r="M1125" s="142" t="s">
        <v>3047</v>
      </c>
      <c r="N1125" s="142">
        <f>B1125*IBGE_2!N$1125/100</f>
        <v>18</v>
      </c>
      <c r="O1125" s="142">
        <f>B1125*IBGE_2!O$1125/100</f>
        <v>58</v>
      </c>
      <c r="P1125" s="142">
        <f>B1125*IBGE_2!P$1125/100</f>
        <v>0.02</v>
      </c>
      <c r="Q1125" s="142">
        <f>B1125*IBGE_2!Q$1125/100</f>
        <v>289</v>
      </c>
      <c r="R1125" s="142">
        <f>B1125*IBGE_2!R$1125/100</f>
        <v>0.34</v>
      </c>
      <c r="S1125" s="142">
        <f>B1125*IBGE_2!S$1125/100</f>
        <v>105</v>
      </c>
      <c r="T1125" s="142">
        <f>B1125*IBGE_2!T$1125/100</f>
        <v>344</v>
      </c>
      <c r="U1125" s="142">
        <f>B1125*IBGE_2!U$1125/100</f>
        <v>0.03</v>
      </c>
      <c r="V1125" s="142">
        <f>B1125*IBGE_2!V$1125/100</f>
        <v>0.63</v>
      </c>
      <c r="W1125" s="142">
        <f>B1125*IBGE_2!W$1125/100</f>
        <v>13</v>
      </c>
      <c r="X1125" s="142">
        <f>B1125*IBGE_2!X$1125/100</f>
        <v>0.08</v>
      </c>
      <c r="Y1125" s="142">
        <f>B1125*IBGE_2!Y$1125/100</f>
        <v>0.11</v>
      </c>
      <c r="Z1125" s="142">
        <f>B1125*IBGE_2!Z$1125/100</f>
        <v>0.24</v>
      </c>
      <c r="AA1125" s="142">
        <f>B1125*IBGE_2!AA$1125/100</f>
        <v>2.1800000000000002</v>
      </c>
      <c r="AB1125" s="142" t="s">
        <v>3047</v>
      </c>
      <c r="AC1125" s="142">
        <f>B1125*IBGE_2!AC$1125/100</f>
        <v>6.7</v>
      </c>
      <c r="AD1125" s="142">
        <f>B1125*IBGE_2!AD$1125/100</f>
        <v>2.5099999999999998</v>
      </c>
      <c r="AE1125" s="142">
        <f>B1125*IBGE_2!AE$1125/100</f>
        <v>9</v>
      </c>
      <c r="AF1125" s="142">
        <f>B1125*IBGE_2!AF$1125/100</f>
        <v>5.5</v>
      </c>
      <c r="AG1125" s="142">
        <f>B1125*IBGE_2!AG$1125/100</f>
        <v>0.66</v>
      </c>
      <c r="AH1125" s="142" t="s">
        <v>3047</v>
      </c>
      <c r="AI1125" s="142">
        <f>B1125*IBGE_2!AI$1125/100</f>
        <v>333</v>
      </c>
      <c r="AJ1125" s="142">
        <f>B1125*IBGE_2!AJ$1125/100</f>
        <v>58.2</v>
      </c>
      <c r="AK1125" s="142">
        <f>B1125*IBGE_2!AK$1125/100</f>
        <v>13</v>
      </c>
      <c r="AL1125" s="142" t="s">
        <v>3047</v>
      </c>
      <c r="AM1125" s="142" t="s">
        <v>3047</v>
      </c>
      <c r="AN1125" s="161"/>
    </row>
    <row r="1126" spans="1:40">
      <c r="A1126" s="143" t="s">
        <v>2186</v>
      </c>
      <c r="B1126" s="141">
        <v>100</v>
      </c>
      <c r="C1126" s="142">
        <f>B1126*IBGE_2!C$1126/100</f>
        <v>117</v>
      </c>
      <c r="D1126" s="142">
        <f>B1126*IBGE_2!D$1126/100</f>
        <v>24.16</v>
      </c>
      <c r="E1126" s="142">
        <f>B1126*IBGE_2!E$1126/100</f>
        <v>1.53</v>
      </c>
      <c r="F1126" s="142">
        <f>B1126*IBGE_2!F$1126/100</f>
        <v>0.36</v>
      </c>
      <c r="G1126" s="142">
        <f>B1126*IBGE_2!G$1126/100</f>
        <v>0.28000000000000003</v>
      </c>
      <c r="H1126" s="142">
        <f>B1126*IBGE_2!H$1126/100</f>
        <v>0.65</v>
      </c>
      <c r="I1126" s="142">
        <f>B1126*IBGE_2!I$1126/100</f>
        <v>0.01</v>
      </c>
      <c r="J1126" s="142">
        <f>B1126*IBGE_2!J$1126/100</f>
        <v>0.02</v>
      </c>
      <c r="K1126" s="142">
        <f>B1126*IBGE_2!K$1126/100</f>
        <v>68</v>
      </c>
      <c r="L1126" s="142" t="s">
        <v>3047</v>
      </c>
      <c r="M1126" s="142" t="s">
        <v>3047</v>
      </c>
      <c r="N1126" s="142">
        <f>B1126*IBGE_2!N$1126/100</f>
        <v>18</v>
      </c>
      <c r="O1126" s="142">
        <f>B1126*IBGE_2!O$1126/100</f>
        <v>58</v>
      </c>
      <c r="P1126" s="142">
        <f>B1126*IBGE_2!P$1126/100</f>
        <v>0.02</v>
      </c>
      <c r="Q1126" s="142">
        <f>B1126*IBGE_2!Q$1126/100</f>
        <v>289</v>
      </c>
      <c r="R1126" s="142">
        <f>B1126*IBGE_2!R$1126/100</f>
        <v>0.34</v>
      </c>
      <c r="S1126" s="142">
        <f>B1126*IBGE_2!S$1126/100</f>
        <v>105</v>
      </c>
      <c r="T1126" s="142">
        <f>B1126*IBGE_2!T$1126/100</f>
        <v>344</v>
      </c>
      <c r="U1126" s="142">
        <f>B1126*IBGE_2!U$1126/100</f>
        <v>0.03</v>
      </c>
      <c r="V1126" s="142">
        <f>B1126*IBGE_2!V$1126/100</f>
        <v>0.63</v>
      </c>
      <c r="W1126" s="142">
        <f>B1126*IBGE_2!W$1126/100</f>
        <v>13</v>
      </c>
      <c r="X1126" s="142">
        <f>B1126*IBGE_2!X$1126/100</f>
        <v>0.08</v>
      </c>
      <c r="Y1126" s="142">
        <f>B1126*IBGE_2!Y$1126/100</f>
        <v>0.11</v>
      </c>
      <c r="Z1126" s="142">
        <f>B1126*IBGE_2!Z$1126/100</f>
        <v>0.24</v>
      </c>
      <c r="AA1126" s="142">
        <f>B1126*IBGE_2!AA$1126/100</f>
        <v>2.1800000000000002</v>
      </c>
      <c r="AB1126" s="142" t="s">
        <v>3047</v>
      </c>
      <c r="AC1126" s="142">
        <f>B1126*IBGE_2!AC$1126/100</f>
        <v>6.7</v>
      </c>
      <c r="AD1126" s="142">
        <f>B1126*IBGE_2!AD$1126/100</f>
        <v>2.5099999999999998</v>
      </c>
      <c r="AE1126" s="142">
        <f>B1126*IBGE_2!AE$1126/100</f>
        <v>9</v>
      </c>
      <c r="AF1126" s="142">
        <f>B1126*IBGE_2!AF$1126/100</f>
        <v>5.5</v>
      </c>
      <c r="AG1126" s="142">
        <f>B1126*IBGE_2!AG$1126/100</f>
        <v>0.66</v>
      </c>
      <c r="AH1126" s="142" t="s">
        <v>3047</v>
      </c>
      <c r="AI1126" s="142">
        <f>B1126*IBGE_2!AI$1126/100</f>
        <v>333</v>
      </c>
      <c r="AJ1126" s="142">
        <f>B1126*IBGE_2!AJ$1126/100</f>
        <v>58.2</v>
      </c>
      <c r="AK1126" s="142">
        <f>B1126*IBGE_2!AK$1126/100</f>
        <v>13</v>
      </c>
      <c r="AL1126" s="142" t="s">
        <v>3047</v>
      </c>
      <c r="AM1126" s="142" t="s">
        <v>3047</v>
      </c>
      <c r="AN1126" s="161"/>
    </row>
    <row r="1127" spans="1:40">
      <c r="A1127" s="143" t="s">
        <v>2187</v>
      </c>
      <c r="B1127" s="141">
        <v>100</v>
      </c>
      <c r="C1127" s="142">
        <f>B1127*IBGE_2!C$1127/100</f>
        <v>117</v>
      </c>
      <c r="D1127" s="142">
        <f>B1127*IBGE_2!D$1127/100</f>
        <v>24.16</v>
      </c>
      <c r="E1127" s="142">
        <f>B1127*IBGE_2!E$1127/100</f>
        <v>1.53</v>
      </c>
      <c r="F1127" s="142">
        <f>B1127*IBGE_2!F$1127/100</f>
        <v>0.36</v>
      </c>
      <c r="G1127" s="142">
        <f>B1127*IBGE_2!G$1127/100</f>
        <v>0.28000000000000003</v>
      </c>
      <c r="H1127" s="142">
        <f>B1127*IBGE_2!H$1127/100</f>
        <v>0.65</v>
      </c>
      <c r="I1127" s="142">
        <f>B1127*IBGE_2!I$1127/100</f>
        <v>0.01</v>
      </c>
      <c r="J1127" s="142">
        <f>B1127*IBGE_2!J$1127/100</f>
        <v>0.02</v>
      </c>
      <c r="K1127" s="142">
        <f>B1127*IBGE_2!K$1127/100</f>
        <v>68</v>
      </c>
      <c r="L1127" s="142" t="s">
        <v>3047</v>
      </c>
      <c r="M1127" s="142" t="s">
        <v>3047</v>
      </c>
      <c r="N1127" s="142">
        <f>B1127*IBGE_2!N$1127/100</f>
        <v>18</v>
      </c>
      <c r="O1127" s="142">
        <f>B1127*IBGE_2!O$1127/100</f>
        <v>58</v>
      </c>
      <c r="P1127" s="142">
        <f>B1127*IBGE_2!P$1127/100</f>
        <v>0.02</v>
      </c>
      <c r="Q1127" s="142">
        <f>B1127*IBGE_2!Q$1127/100</f>
        <v>289</v>
      </c>
      <c r="R1127" s="142">
        <f>B1127*IBGE_2!R$1127/100</f>
        <v>0.34</v>
      </c>
      <c r="S1127" s="142">
        <f>B1127*IBGE_2!S$1127/100</f>
        <v>105</v>
      </c>
      <c r="T1127" s="142">
        <f>B1127*IBGE_2!T$1127/100</f>
        <v>344</v>
      </c>
      <c r="U1127" s="142">
        <f>B1127*IBGE_2!U$1127/100</f>
        <v>0.03</v>
      </c>
      <c r="V1127" s="142">
        <f>B1127*IBGE_2!V$1127/100</f>
        <v>0.63</v>
      </c>
      <c r="W1127" s="142">
        <f>B1127*IBGE_2!W$1127/100</f>
        <v>13</v>
      </c>
      <c r="X1127" s="142">
        <f>B1127*IBGE_2!X$1127/100</f>
        <v>0.08</v>
      </c>
      <c r="Y1127" s="142">
        <f>B1127*IBGE_2!Y$1127/100</f>
        <v>0.11</v>
      </c>
      <c r="Z1127" s="142">
        <f>B1127*IBGE_2!Z$1127/100</f>
        <v>0.24</v>
      </c>
      <c r="AA1127" s="142">
        <f>B1127*IBGE_2!AA$1127/100</f>
        <v>2.1800000000000002</v>
      </c>
      <c r="AB1127" s="142" t="s">
        <v>3047</v>
      </c>
      <c r="AC1127" s="142">
        <f>B1127*IBGE_2!AC$1127/100</f>
        <v>6.7</v>
      </c>
      <c r="AD1127" s="142">
        <f>B1127*IBGE_2!AD$1127/100</f>
        <v>2.5099999999999998</v>
      </c>
      <c r="AE1127" s="142">
        <f>B1127*IBGE_2!AE$1127/100</f>
        <v>9</v>
      </c>
      <c r="AF1127" s="142">
        <f>B1127*IBGE_2!AF$1127/100</f>
        <v>5.5</v>
      </c>
      <c r="AG1127" s="142">
        <f>B1127*IBGE_2!AG$1127/100</f>
        <v>0.66</v>
      </c>
      <c r="AH1127" s="142" t="s">
        <v>3047</v>
      </c>
      <c r="AI1127" s="142">
        <f>B1127*IBGE_2!AI$1127/100</f>
        <v>333</v>
      </c>
      <c r="AJ1127" s="142">
        <f>B1127*IBGE_2!AJ$1127/100</f>
        <v>58.2</v>
      </c>
      <c r="AK1127" s="142">
        <f>B1127*IBGE_2!AK$1127/100</f>
        <v>13</v>
      </c>
      <c r="AL1127" s="142" t="s">
        <v>3047</v>
      </c>
      <c r="AM1127" s="142" t="s">
        <v>3047</v>
      </c>
      <c r="AN1127" s="161"/>
    </row>
    <row r="1128" spans="1:40">
      <c r="A1128" s="143" t="s">
        <v>2188</v>
      </c>
      <c r="B1128" s="141">
        <v>100</v>
      </c>
      <c r="C1128" s="142">
        <f>B1128*IBGE_2!C$1128/100</f>
        <v>117</v>
      </c>
      <c r="D1128" s="142">
        <f>B1128*IBGE_2!D$1128/100</f>
        <v>24.16</v>
      </c>
      <c r="E1128" s="142">
        <f>B1128*IBGE_2!E$1128/100</f>
        <v>1.53</v>
      </c>
      <c r="F1128" s="142">
        <f>B1128*IBGE_2!F$1128/100</f>
        <v>0.36</v>
      </c>
      <c r="G1128" s="142">
        <f>B1128*IBGE_2!G$1128/100</f>
        <v>0.28000000000000003</v>
      </c>
      <c r="H1128" s="142">
        <f>B1128*IBGE_2!H$1128/100</f>
        <v>0.65</v>
      </c>
      <c r="I1128" s="142">
        <f>B1128*IBGE_2!I$1128/100</f>
        <v>0.01</v>
      </c>
      <c r="J1128" s="142">
        <f>B1128*IBGE_2!J$1128/100</f>
        <v>0.02</v>
      </c>
      <c r="K1128" s="142">
        <f>B1128*IBGE_2!K$1128/100</f>
        <v>68</v>
      </c>
      <c r="L1128" s="142" t="s">
        <v>3047</v>
      </c>
      <c r="M1128" s="142" t="s">
        <v>3047</v>
      </c>
      <c r="N1128" s="142">
        <f>B1128*IBGE_2!N$1128/100</f>
        <v>18</v>
      </c>
      <c r="O1128" s="142">
        <f>B1128*IBGE_2!O$1128/100</f>
        <v>58</v>
      </c>
      <c r="P1128" s="142">
        <f>B1128*IBGE_2!P$1128/100</f>
        <v>0.02</v>
      </c>
      <c r="Q1128" s="142">
        <f>B1128*IBGE_2!Q$1128/100</f>
        <v>289</v>
      </c>
      <c r="R1128" s="142">
        <f>B1128*IBGE_2!R$1128/100</f>
        <v>0.34</v>
      </c>
      <c r="S1128" s="142">
        <f>B1128*IBGE_2!S$1128/100</f>
        <v>105</v>
      </c>
      <c r="T1128" s="142">
        <f>B1128*IBGE_2!T$1128/100</f>
        <v>344</v>
      </c>
      <c r="U1128" s="142">
        <f>B1128*IBGE_2!U$1128/100</f>
        <v>0.03</v>
      </c>
      <c r="V1128" s="142">
        <f>B1128*IBGE_2!V$1128/100</f>
        <v>0.63</v>
      </c>
      <c r="W1128" s="142">
        <f>B1128*IBGE_2!W$1128/100</f>
        <v>13</v>
      </c>
      <c r="X1128" s="142">
        <f>B1128*IBGE_2!X$1128/100</f>
        <v>0.08</v>
      </c>
      <c r="Y1128" s="142">
        <f>B1128*IBGE_2!Y$1128/100</f>
        <v>0.11</v>
      </c>
      <c r="Z1128" s="142">
        <f>B1128*IBGE_2!Z$1128/100</f>
        <v>0.24</v>
      </c>
      <c r="AA1128" s="142">
        <f>B1128*IBGE_2!AA$1128/100</f>
        <v>2.1800000000000002</v>
      </c>
      <c r="AB1128" s="142" t="s">
        <v>3047</v>
      </c>
      <c r="AC1128" s="142">
        <f>B1128*IBGE_2!AC$1128/100</f>
        <v>6.7</v>
      </c>
      <c r="AD1128" s="142">
        <f>B1128*IBGE_2!AD$1128/100</f>
        <v>2.5099999999999998</v>
      </c>
      <c r="AE1128" s="142">
        <f>B1128*IBGE_2!AE$1128/100</f>
        <v>9</v>
      </c>
      <c r="AF1128" s="142">
        <f>B1128*IBGE_2!AF$1128/100</f>
        <v>5.5</v>
      </c>
      <c r="AG1128" s="142">
        <f>B1128*IBGE_2!AG$1128/100</f>
        <v>0.66</v>
      </c>
      <c r="AH1128" s="142" t="s">
        <v>3047</v>
      </c>
      <c r="AI1128" s="142">
        <f>B1128*IBGE_2!AI$1128/100</f>
        <v>333</v>
      </c>
      <c r="AJ1128" s="142">
        <f>B1128*IBGE_2!AJ$1128/100</f>
        <v>58.2</v>
      </c>
      <c r="AK1128" s="142">
        <f>B1128*IBGE_2!AK$1128/100</f>
        <v>13</v>
      </c>
      <c r="AL1128" s="142" t="s">
        <v>3047</v>
      </c>
      <c r="AM1128" s="142" t="s">
        <v>3047</v>
      </c>
      <c r="AN1128" s="161"/>
    </row>
    <row r="1129" spans="1:40">
      <c r="A1129" s="143" t="s">
        <v>2189</v>
      </c>
      <c r="B1129" s="141">
        <v>100</v>
      </c>
      <c r="C1129" s="142">
        <f>B1129*IBGE_2!C$1129/100</f>
        <v>139.66</v>
      </c>
      <c r="D1129" s="142">
        <f>B1129*IBGE_2!D$1129/100</f>
        <v>24.16</v>
      </c>
      <c r="E1129" s="142">
        <f>B1129*IBGE_2!E$1129/100</f>
        <v>4.09</v>
      </c>
      <c r="F1129" s="142">
        <f>B1129*IBGE_2!F$1129/100</f>
        <v>0.73</v>
      </c>
      <c r="G1129" s="142">
        <f>B1129*IBGE_2!G$1129/100</f>
        <v>0.87</v>
      </c>
      <c r="H1129" s="142">
        <f>B1129*IBGE_2!H$1129/100</f>
        <v>2.13</v>
      </c>
      <c r="I1129" s="142">
        <f>B1129*IBGE_2!I$1129/100</f>
        <v>1.32</v>
      </c>
      <c r="J1129" s="142">
        <f>B1129*IBGE_2!J$1129/100</f>
        <v>0.19</v>
      </c>
      <c r="K1129" s="142">
        <f>B1129*IBGE_2!K$1129/100</f>
        <v>68</v>
      </c>
      <c r="L1129" s="142" t="s">
        <v>3047</v>
      </c>
      <c r="M1129" s="142" t="s">
        <v>3047</v>
      </c>
      <c r="N1129" s="142">
        <f>B1129*IBGE_2!N$1129/100</f>
        <v>18</v>
      </c>
      <c r="O1129" s="142">
        <f>B1129*IBGE_2!O$1129/100</f>
        <v>58</v>
      </c>
      <c r="P1129" s="142">
        <f>B1129*IBGE_2!P$1129/100</f>
        <v>0.02</v>
      </c>
      <c r="Q1129" s="142">
        <f>B1129*IBGE_2!Q$1129/100</f>
        <v>289</v>
      </c>
      <c r="R1129" s="142">
        <f>B1129*IBGE_2!R$1129/100</f>
        <v>0.34</v>
      </c>
      <c r="S1129" s="142">
        <f>B1129*IBGE_2!S$1129/100</f>
        <v>105</v>
      </c>
      <c r="T1129" s="142">
        <f>B1129*IBGE_2!T$1129/100</f>
        <v>344</v>
      </c>
      <c r="U1129" s="142">
        <f>B1129*IBGE_2!U$1129/100</f>
        <v>0.03</v>
      </c>
      <c r="V1129" s="142">
        <f>B1129*IBGE_2!V$1129/100</f>
        <v>0.63</v>
      </c>
      <c r="W1129" s="142">
        <f>B1129*IBGE_2!W$1129/100</f>
        <v>13</v>
      </c>
      <c r="X1129" s="142">
        <f>B1129*IBGE_2!X$1129/100</f>
        <v>0.08</v>
      </c>
      <c r="Y1129" s="142">
        <f>B1129*IBGE_2!Y$1129/100</f>
        <v>0.11</v>
      </c>
      <c r="Z1129" s="142">
        <f>B1129*IBGE_2!Z$1129/100</f>
        <v>0.24</v>
      </c>
      <c r="AA1129" s="142">
        <f>B1129*IBGE_2!AA$1129/100</f>
        <v>2.1800000000000002</v>
      </c>
      <c r="AB1129" s="142" t="s">
        <v>3047</v>
      </c>
      <c r="AC1129" s="142">
        <f>B1129*IBGE_2!AC$1129/100</f>
        <v>6.7</v>
      </c>
      <c r="AD1129" s="142">
        <f>B1129*IBGE_2!AD$1129/100</f>
        <v>2.5099999999999998</v>
      </c>
      <c r="AE1129" s="142">
        <f>B1129*IBGE_2!AE$1129/100</f>
        <v>9</v>
      </c>
      <c r="AF1129" s="142">
        <f>B1129*IBGE_2!AF$1129/100</f>
        <v>5.5</v>
      </c>
      <c r="AG1129" s="142">
        <f>B1129*IBGE_2!AG$1129/100</f>
        <v>0.9</v>
      </c>
      <c r="AH1129" s="142" t="s">
        <v>3047</v>
      </c>
      <c r="AI1129" s="142">
        <f>B1129*IBGE_2!AI$1129/100</f>
        <v>333</v>
      </c>
      <c r="AJ1129" s="142">
        <f>B1129*IBGE_2!AJ$1129/100</f>
        <v>59.37</v>
      </c>
      <c r="AK1129" s="142">
        <f>B1129*IBGE_2!AK$1129/100</f>
        <v>13</v>
      </c>
      <c r="AL1129" s="145" t="s">
        <v>3047</v>
      </c>
      <c r="AM1129" s="142" t="s">
        <v>3047</v>
      </c>
      <c r="AN1129" s="161"/>
    </row>
    <row r="1130" spans="1:40">
      <c r="A1130" s="143" t="s">
        <v>2190</v>
      </c>
      <c r="B1130" s="141">
        <v>100</v>
      </c>
      <c r="C1130" s="142">
        <f>B1130*IBGE_2!C$1130/100</f>
        <v>155.84</v>
      </c>
      <c r="D1130" s="142">
        <f>B1130*IBGE_2!D$1130/100</f>
        <v>24.62</v>
      </c>
      <c r="E1130" s="142">
        <f>B1130*IBGE_2!E$1130/100</f>
        <v>4.1399999999999997</v>
      </c>
      <c r="F1130" s="142">
        <f>B1130*IBGE_2!F$1130/100</f>
        <v>0.74</v>
      </c>
      <c r="G1130" s="142">
        <f>B1130*IBGE_2!G$1130/100</f>
        <v>0.88</v>
      </c>
      <c r="H1130" s="142">
        <f>B1130*IBGE_2!H$1130/100</f>
        <v>2.15</v>
      </c>
      <c r="I1130" s="142">
        <f>B1130*IBGE_2!I$1130/100</f>
        <v>1.34</v>
      </c>
      <c r="J1130" s="142">
        <f>B1130*IBGE_2!J$1130/100</f>
        <v>0.19</v>
      </c>
      <c r="K1130" s="142">
        <f>B1130*IBGE_2!K$1130/100</f>
        <v>68</v>
      </c>
      <c r="L1130" s="142">
        <f>B1130*IBGE_2!L$1130/100</f>
        <v>3.39</v>
      </c>
      <c r="M1130" s="142">
        <f>B1130*IBGE_2!M$1130/100</f>
        <v>0.14000000000000001</v>
      </c>
      <c r="N1130" s="142">
        <f>B1130*IBGE_2!N$1130/100</f>
        <v>18.670000000000002</v>
      </c>
      <c r="O1130" s="142">
        <f>B1130*IBGE_2!O$1130/100</f>
        <v>58.98</v>
      </c>
      <c r="P1130" s="142">
        <f>B1130*IBGE_2!P$1130/100</f>
        <v>0.05</v>
      </c>
      <c r="Q1130" s="142">
        <f>B1130*IBGE_2!Q$1130/100</f>
        <v>293.8</v>
      </c>
      <c r="R1130" s="142">
        <f>B1130*IBGE_2!R$1130/100</f>
        <v>0.55000000000000004</v>
      </c>
      <c r="S1130" s="142">
        <f>B1130*IBGE_2!S$1130/100</f>
        <v>105.09</v>
      </c>
      <c r="T1130" s="142">
        <f>B1130*IBGE_2!T$1130/100</f>
        <v>348.76</v>
      </c>
      <c r="U1130" s="142">
        <f>B1130*IBGE_2!U$1130/100</f>
        <v>0.03</v>
      </c>
      <c r="V1130" s="142">
        <f>B1130*IBGE_2!V$1130/100</f>
        <v>0.66</v>
      </c>
      <c r="W1130" s="142">
        <f>B1130*IBGE_2!W$1130/100</f>
        <v>13</v>
      </c>
      <c r="X1130" s="142">
        <f>B1130*IBGE_2!X$1130/100</f>
        <v>0.11</v>
      </c>
      <c r="Y1130" s="142">
        <f>B1130*IBGE_2!Y$1130/100</f>
        <v>0.14000000000000001</v>
      </c>
      <c r="Z1130" s="142">
        <f>B1130*IBGE_2!Z$1130/100</f>
        <v>0.24</v>
      </c>
      <c r="AA1130" s="142">
        <f>B1130*IBGE_2!AA$1130/100</f>
        <v>2.44</v>
      </c>
      <c r="AB1130" s="142" t="s">
        <v>3047</v>
      </c>
      <c r="AC1130" s="142">
        <f>B1130*IBGE_2!AC$1130/100</f>
        <v>7.05</v>
      </c>
      <c r="AD1130" s="142">
        <f>B1130*IBGE_2!AD$1130/100</f>
        <v>2.5099999999999998</v>
      </c>
      <c r="AE1130" s="142">
        <f>B1130*IBGE_2!AE$1130/100</f>
        <v>18.07</v>
      </c>
      <c r="AF1130" s="142">
        <f>B1130*IBGE_2!AF$1130/100</f>
        <v>1.1000000000000001</v>
      </c>
      <c r="AG1130" s="142">
        <f>B1130*IBGE_2!AG$1130/100</f>
        <v>0.9</v>
      </c>
      <c r="AH1130" s="142" t="s">
        <v>3047</v>
      </c>
      <c r="AI1130" s="142">
        <f>B1130*IBGE_2!AI$1130/100</f>
        <v>333</v>
      </c>
      <c r="AJ1130" s="142">
        <f>B1130*IBGE_2!AJ$1130/100</f>
        <v>60.88</v>
      </c>
      <c r="AK1130" s="142">
        <f>B1130*IBGE_2!AK$1130/100</f>
        <v>13</v>
      </c>
      <c r="AL1130" s="142">
        <f>B1130*IBGE_2!AL$1130/100</f>
        <v>0.01</v>
      </c>
      <c r="AM1130" s="142" t="s">
        <v>3047</v>
      </c>
      <c r="AN1130" s="161"/>
    </row>
    <row r="1131" spans="1:40">
      <c r="A1131" s="143" t="s">
        <v>2191</v>
      </c>
      <c r="B1131" s="141">
        <v>100</v>
      </c>
      <c r="C1131" s="142">
        <f>B1131*IBGE_2!C$1131/100</f>
        <v>139.66</v>
      </c>
      <c r="D1131" s="142">
        <f>B1131*IBGE_2!D$1131/100</f>
        <v>24.16</v>
      </c>
      <c r="E1131" s="142">
        <f>B1131*IBGE_2!E$1131/100</f>
        <v>4.09</v>
      </c>
      <c r="F1131" s="142">
        <f>B1131*IBGE_2!F$1131/100</f>
        <v>0.73</v>
      </c>
      <c r="G1131" s="142">
        <f>B1131*IBGE_2!G$1131/100</f>
        <v>0.87</v>
      </c>
      <c r="H1131" s="142">
        <f>B1131*IBGE_2!H$1131/100</f>
        <v>2.13</v>
      </c>
      <c r="I1131" s="142">
        <f>B1131*IBGE_2!I$1131/100</f>
        <v>1.32</v>
      </c>
      <c r="J1131" s="142">
        <f>B1131*IBGE_2!J$1131/100</f>
        <v>0.19</v>
      </c>
      <c r="K1131" s="142">
        <f>B1131*IBGE_2!K$1131/100</f>
        <v>68</v>
      </c>
      <c r="L1131" s="142" t="s">
        <v>3047</v>
      </c>
      <c r="M1131" s="142" t="s">
        <v>3047</v>
      </c>
      <c r="N1131" s="142">
        <f>B1131*IBGE_2!N$1131/100</f>
        <v>18</v>
      </c>
      <c r="O1131" s="142">
        <f>B1131*IBGE_2!O$1131/100</f>
        <v>58</v>
      </c>
      <c r="P1131" s="142">
        <f>B1131*IBGE_2!P$1131/100</f>
        <v>0.02</v>
      </c>
      <c r="Q1131" s="142">
        <f>B1131*IBGE_2!Q$1131/100</f>
        <v>289</v>
      </c>
      <c r="R1131" s="142">
        <f>B1131*IBGE_2!R$1131/100</f>
        <v>0.34</v>
      </c>
      <c r="S1131" s="142">
        <f>B1131*IBGE_2!S$1131/100</f>
        <v>105</v>
      </c>
      <c r="T1131" s="142">
        <f>B1131*IBGE_2!T$1131/100</f>
        <v>344</v>
      </c>
      <c r="U1131" s="142">
        <f>B1131*IBGE_2!U$1131/100</f>
        <v>0.03</v>
      </c>
      <c r="V1131" s="142">
        <f>B1131*IBGE_2!V$1131/100</f>
        <v>0.63</v>
      </c>
      <c r="W1131" s="142">
        <f>B1131*IBGE_2!W$1131/100</f>
        <v>13</v>
      </c>
      <c r="X1131" s="142">
        <f>B1131*IBGE_2!X$1131/100</f>
        <v>0.08</v>
      </c>
      <c r="Y1131" s="142">
        <f>B1131*IBGE_2!Y$1131/100</f>
        <v>0.11</v>
      </c>
      <c r="Z1131" s="142">
        <f>B1131*IBGE_2!Z$1131/100</f>
        <v>0.24</v>
      </c>
      <c r="AA1131" s="142">
        <f>B1131*IBGE_2!AA$1131/100</f>
        <v>2.1800000000000002</v>
      </c>
      <c r="AB1131" s="142" t="s">
        <v>3047</v>
      </c>
      <c r="AC1131" s="142">
        <f>B1131*IBGE_2!AC$1131/100</f>
        <v>6.7</v>
      </c>
      <c r="AD1131" s="142">
        <f>B1131*IBGE_2!AD$1131/100</f>
        <v>2.5099999999999998</v>
      </c>
      <c r="AE1131" s="142">
        <f>B1131*IBGE_2!AE$1131/100</f>
        <v>9</v>
      </c>
      <c r="AF1131" s="142">
        <f>B1131*IBGE_2!AF$1131/100</f>
        <v>5.5</v>
      </c>
      <c r="AG1131" s="142">
        <f>B1131*IBGE_2!AG$1131/100</f>
        <v>0.9</v>
      </c>
      <c r="AH1131" s="142" t="s">
        <v>3047</v>
      </c>
      <c r="AI1131" s="142">
        <f>B1131*IBGE_2!AI$1131/100</f>
        <v>333</v>
      </c>
      <c r="AJ1131" s="142">
        <f>B1131*IBGE_2!AJ$1131/100</f>
        <v>59.37</v>
      </c>
      <c r="AK1131" s="142">
        <f>B1131*IBGE_2!AK$1131/100</f>
        <v>13</v>
      </c>
      <c r="AL1131" s="145" t="s">
        <v>3047</v>
      </c>
      <c r="AM1131" s="142" t="s">
        <v>3047</v>
      </c>
      <c r="AN1131" s="161"/>
    </row>
    <row r="1132" spans="1:40">
      <c r="A1132" s="143" t="s">
        <v>2192</v>
      </c>
      <c r="B1132" s="141">
        <v>100</v>
      </c>
      <c r="C1132" s="142">
        <f>B1132*IBGE_2!C$1132/100</f>
        <v>98.4</v>
      </c>
      <c r="D1132" s="142">
        <f>B1132*IBGE_2!D$1132/100</f>
        <v>19.59</v>
      </c>
      <c r="E1132" s="142">
        <f>B1132*IBGE_2!E$1132/100</f>
        <v>1.26</v>
      </c>
      <c r="F1132" s="142">
        <f>B1132*IBGE_2!F$1132/100</f>
        <v>0.3</v>
      </c>
      <c r="G1132" s="142">
        <f>B1132*IBGE_2!G$1132/100</f>
        <v>0.23</v>
      </c>
      <c r="H1132" s="142">
        <f>B1132*IBGE_2!H$1132/100</f>
        <v>0.53</v>
      </c>
      <c r="I1132" s="142">
        <f>B1132*IBGE_2!I$1132/100</f>
        <v>0.03</v>
      </c>
      <c r="J1132" s="142">
        <f>B1132*IBGE_2!J$1132/100</f>
        <v>0.01</v>
      </c>
      <c r="K1132" s="142">
        <f>B1132*IBGE_2!K$1132/100</f>
        <v>54.4</v>
      </c>
      <c r="L1132" s="142">
        <f>B1132*IBGE_2!L$1132/100</f>
        <v>1.08</v>
      </c>
      <c r="M1132" s="142">
        <f>B1132*IBGE_2!M$1132/100</f>
        <v>0.3</v>
      </c>
      <c r="N1132" s="142">
        <f>B1132*IBGE_2!N$1132/100</f>
        <v>17</v>
      </c>
      <c r="O1132" s="142">
        <f>B1132*IBGE_2!O$1132/100</f>
        <v>49.6</v>
      </c>
      <c r="P1132" s="142">
        <f>B1132*IBGE_2!P$1132/100</f>
        <v>0.04</v>
      </c>
      <c r="Q1132" s="142">
        <f>B1132*IBGE_2!Q$1132/100</f>
        <v>236.4</v>
      </c>
      <c r="R1132" s="142">
        <f>B1132*IBGE_2!R$1132/100</f>
        <v>0.48</v>
      </c>
      <c r="S1132" s="142">
        <f>B1132*IBGE_2!S$1132/100</f>
        <v>188.8</v>
      </c>
      <c r="T1132" s="142">
        <f>B1132*IBGE_2!T$1132/100</f>
        <v>341.4</v>
      </c>
      <c r="U1132" s="142">
        <f>B1132*IBGE_2!U$1132/100</f>
        <v>0.04</v>
      </c>
      <c r="V1132" s="142">
        <f>B1132*IBGE_2!V$1132/100</f>
        <v>0.54</v>
      </c>
      <c r="W1132" s="142">
        <f>B1132*IBGE_2!W$1132/100</f>
        <v>10.4</v>
      </c>
      <c r="X1132" s="142">
        <f>B1132*IBGE_2!X$1132/100</f>
        <v>7.0000000000000007E-2</v>
      </c>
      <c r="Y1132" s="142">
        <f>B1132*IBGE_2!Y$1132/100</f>
        <v>0.1</v>
      </c>
      <c r="Z1132" s="142">
        <f>B1132*IBGE_2!Z$1132/100</f>
        <v>0.21</v>
      </c>
      <c r="AA1132" s="142">
        <f>B1132*IBGE_2!AA$1132/100</f>
        <v>1.94</v>
      </c>
      <c r="AB1132" s="142">
        <f>B1132*IBGE_2!AB$1132/100</f>
        <v>1.4</v>
      </c>
      <c r="AC1132" s="142">
        <f>B1132*IBGE_2!AC$1132/100</f>
        <v>5.58</v>
      </c>
      <c r="AD1132" s="142">
        <f>B1132*IBGE_2!AD$1132/100</f>
        <v>2.0099999999999998</v>
      </c>
      <c r="AE1132" s="142">
        <f>B1132*IBGE_2!AE$1132/100</f>
        <v>9.4</v>
      </c>
      <c r="AF1132" s="142">
        <f>B1132*IBGE_2!AF$1132/100</f>
        <v>4.4000000000000004</v>
      </c>
      <c r="AG1132" s="142">
        <f>B1132*IBGE_2!AG$1132/100</f>
        <v>0.81</v>
      </c>
      <c r="AH1132" s="142" t="s">
        <v>3047</v>
      </c>
      <c r="AI1132" s="142">
        <f>B1132*IBGE_2!AI$1132/100</f>
        <v>333</v>
      </c>
      <c r="AJ1132" s="142">
        <f>B1132*IBGE_2!AJ$1132/100</f>
        <v>46.6</v>
      </c>
      <c r="AK1132" s="142">
        <f>B1132*IBGE_2!AK$1132/100</f>
        <v>13.88</v>
      </c>
      <c r="AL1132" s="142">
        <f>B1132*IBGE_2!AL$1132/100</f>
        <v>0.85</v>
      </c>
      <c r="AM1132" s="142" t="s">
        <v>3047</v>
      </c>
      <c r="AN1132" s="161"/>
    </row>
    <row r="1133" spans="1:40">
      <c r="A1133" s="143" t="s">
        <v>2193</v>
      </c>
      <c r="B1133" s="141">
        <v>100</v>
      </c>
      <c r="C1133" s="142">
        <f>B1133*IBGE_2!C$1133/100</f>
        <v>126.19</v>
      </c>
      <c r="D1133" s="142">
        <f>B1133*IBGE_2!D$1133/100</f>
        <v>20.106999999999999</v>
      </c>
      <c r="E1133" s="142">
        <f>B1133*IBGE_2!E$1133/100</f>
        <v>3.7130000000000001</v>
      </c>
      <c r="F1133" s="142">
        <f>B1133*IBGE_2!F$1133/100</f>
        <v>1.8229999999999997</v>
      </c>
      <c r="G1133" s="142">
        <f>B1133*IBGE_2!G$1133/100</f>
        <v>0.85799999999999998</v>
      </c>
      <c r="H1133" s="142">
        <f>B1133*IBGE_2!H$1133/100</f>
        <v>0.629</v>
      </c>
      <c r="I1133" s="142">
        <f>B1133*IBGE_2!I$1133/100</f>
        <v>0.10199999999999999</v>
      </c>
      <c r="J1133" s="142">
        <f>B1133*IBGE_2!J$1133/100</f>
        <v>3.5000000000000003E-2</v>
      </c>
      <c r="K1133" s="142">
        <f>B1133*IBGE_2!K$1133/100</f>
        <v>61.23299999999999</v>
      </c>
      <c r="L1133" s="142">
        <f>B1133*IBGE_2!L$1133/100</f>
        <v>1.851</v>
      </c>
      <c r="M1133" s="142">
        <f>B1133*IBGE_2!M$1133/100</f>
        <v>4.2999999999999997E-2</v>
      </c>
      <c r="N1133" s="142">
        <f>B1133*IBGE_2!N$1133/100</f>
        <v>37.279000000000003</v>
      </c>
      <c r="O1133" s="142">
        <f>B1133*IBGE_2!O$1133/100</f>
        <v>48.71200000000001</v>
      </c>
      <c r="P1133" s="142">
        <f>B1133*IBGE_2!P$1133/100</f>
        <v>2.6000000000000002E-2</v>
      </c>
      <c r="Q1133" s="142">
        <f>B1133*IBGE_2!Q$1133/100</f>
        <v>250.893</v>
      </c>
      <c r="R1133" s="142">
        <f>B1133*IBGE_2!R$1133/100</f>
        <v>0.34200000000000003</v>
      </c>
      <c r="S1133" s="142">
        <f>B1133*IBGE_2!S$1133/100</f>
        <v>104.917</v>
      </c>
      <c r="T1133" s="142">
        <f>B1133*IBGE_2!T$1133/100</f>
        <v>305.25400000000002</v>
      </c>
      <c r="U1133" s="142">
        <f>B1133*IBGE_2!U$1133/100</f>
        <v>2.5000000000000001E-2</v>
      </c>
      <c r="V1133" s="142">
        <f>B1133*IBGE_2!V$1133/100</f>
        <v>0.59299999999999997</v>
      </c>
      <c r="W1133" s="142">
        <f>B1133*IBGE_2!W$1133/100</f>
        <v>31.097000000000001</v>
      </c>
      <c r="X1133" s="142">
        <f>B1133*IBGE_2!X$1133/100</f>
        <v>8.3000000000000004E-2</v>
      </c>
      <c r="Y1133" s="142">
        <f>B1133*IBGE_2!Y$1133/100</f>
        <v>0.13400000000000001</v>
      </c>
      <c r="Z1133" s="142">
        <f>B1133*IBGE_2!Z$1133/100</f>
        <v>0.2</v>
      </c>
      <c r="AA1133" s="142">
        <f>B1133*IBGE_2!AA$1133/100</f>
        <v>1.839</v>
      </c>
      <c r="AB1133" s="142">
        <f>B1133*IBGE_2!AB$1133/100</f>
        <v>4.0000000000000001E-3</v>
      </c>
      <c r="AC1133" s="142">
        <f>B1133*IBGE_2!AC$1133/100</f>
        <v>5.7270000000000003</v>
      </c>
      <c r="AD1133" s="142">
        <f>B1133*IBGE_2!AD$1133/100</f>
        <v>2.0979999999999999</v>
      </c>
      <c r="AE1133" s="142">
        <f>B1133*IBGE_2!AE$1133/100</f>
        <v>10.795999999999999</v>
      </c>
      <c r="AF1133" s="142">
        <f>B1133*IBGE_2!AF$1133/100</f>
        <v>4.6269999999999998</v>
      </c>
      <c r="AG1133" s="142">
        <f>B1133*IBGE_2!AG$1133/100</f>
        <v>0.59299999999999997</v>
      </c>
      <c r="AH1133" s="142">
        <f>B1133*IBGE_2!AH$1133/100</f>
        <v>9.7000000000000017E-2</v>
      </c>
      <c r="AI1133" s="142">
        <f>B1133*IBGE_2!AI$1133/100</f>
        <v>333</v>
      </c>
      <c r="AJ1133" s="142">
        <f>B1133*IBGE_2!AJ$1133/100</f>
        <v>47.728999999999999</v>
      </c>
      <c r="AK1133" s="142">
        <f>B1133*IBGE_2!AK$1133/100</f>
        <v>31.481000000000005</v>
      </c>
      <c r="AL1133" s="142">
        <f>B1133*IBGE_2!AL$1133/100</f>
        <v>1.0329999999999999</v>
      </c>
      <c r="AM1133" s="142" t="s">
        <v>3047</v>
      </c>
      <c r="AN1133" s="161"/>
    </row>
    <row r="1134" spans="1:40">
      <c r="A1134" s="143" t="s">
        <v>2194</v>
      </c>
      <c r="B1134" s="141">
        <v>100</v>
      </c>
      <c r="C1134" s="142">
        <f>B1134*IBGE_2!C$1134/100</f>
        <v>139.66</v>
      </c>
      <c r="D1134" s="142">
        <f>B1134*IBGE_2!D$1134/100</f>
        <v>24.16</v>
      </c>
      <c r="E1134" s="142">
        <f>B1134*IBGE_2!E$1134/100</f>
        <v>4.09</v>
      </c>
      <c r="F1134" s="142">
        <f>B1134*IBGE_2!F$1134/100</f>
        <v>0.73</v>
      </c>
      <c r="G1134" s="142">
        <f>B1134*IBGE_2!G$1134/100</f>
        <v>0.87</v>
      </c>
      <c r="H1134" s="142">
        <f>B1134*IBGE_2!H$1134/100</f>
        <v>2.13</v>
      </c>
      <c r="I1134" s="142">
        <f>B1134*IBGE_2!I$1134/100</f>
        <v>1.32</v>
      </c>
      <c r="J1134" s="142">
        <f>B1134*IBGE_2!J$1134/100</f>
        <v>0.19</v>
      </c>
      <c r="K1134" s="142">
        <f>B1134*IBGE_2!K$1134/100</f>
        <v>68</v>
      </c>
      <c r="L1134" s="142" t="s">
        <v>3047</v>
      </c>
      <c r="M1134" s="142" t="s">
        <v>3047</v>
      </c>
      <c r="N1134" s="142">
        <f>B1134*IBGE_2!N$1134/100</f>
        <v>18</v>
      </c>
      <c r="O1134" s="142">
        <f>B1134*IBGE_2!O$1134/100</f>
        <v>58</v>
      </c>
      <c r="P1134" s="142">
        <f>B1134*IBGE_2!P$1134/100</f>
        <v>0.02</v>
      </c>
      <c r="Q1134" s="142">
        <f>B1134*IBGE_2!Q$1134/100</f>
        <v>289</v>
      </c>
      <c r="R1134" s="142">
        <f>B1134*IBGE_2!R$1134/100</f>
        <v>0.34</v>
      </c>
      <c r="S1134" s="142">
        <f>B1134*IBGE_2!S$1134/100</f>
        <v>105</v>
      </c>
      <c r="T1134" s="142">
        <f>B1134*IBGE_2!T$1134/100</f>
        <v>344</v>
      </c>
      <c r="U1134" s="142">
        <f>B1134*IBGE_2!U$1134/100</f>
        <v>0.03</v>
      </c>
      <c r="V1134" s="142">
        <f>B1134*IBGE_2!V$1134/100</f>
        <v>0.63</v>
      </c>
      <c r="W1134" s="142">
        <f>B1134*IBGE_2!W$1134/100</f>
        <v>13</v>
      </c>
      <c r="X1134" s="142">
        <f>B1134*IBGE_2!X$1134/100</f>
        <v>0.08</v>
      </c>
      <c r="Y1134" s="142">
        <f>B1134*IBGE_2!Y$1134/100</f>
        <v>0.11</v>
      </c>
      <c r="Z1134" s="142">
        <f>B1134*IBGE_2!Z$1134/100</f>
        <v>0.24</v>
      </c>
      <c r="AA1134" s="142">
        <f>B1134*IBGE_2!AA$1134/100</f>
        <v>2.1800000000000002</v>
      </c>
      <c r="AB1134" s="142" t="s">
        <v>3047</v>
      </c>
      <c r="AC1134" s="142">
        <f>B1134*IBGE_2!AC$1134/100</f>
        <v>6.7</v>
      </c>
      <c r="AD1134" s="142">
        <f>B1134*IBGE_2!AD$1134/100</f>
        <v>2.5099999999999998</v>
      </c>
      <c r="AE1134" s="142">
        <f>B1134*IBGE_2!AE$1134/100</f>
        <v>9</v>
      </c>
      <c r="AF1134" s="142">
        <f>B1134*IBGE_2!AF$1134/100</f>
        <v>5.5</v>
      </c>
      <c r="AG1134" s="142">
        <f>B1134*IBGE_2!AG$1134/100</f>
        <v>0.9</v>
      </c>
      <c r="AH1134" s="142" t="s">
        <v>3047</v>
      </c>
      <c r="AI1134" s="142">
        <f>B1134*IBGE_2!AI$1134/100</f>
        <v>333</v>
      </c>
      <c r="AJ1134" s="142">
        <f>B1134*IBGE_2!AJ$1134/100</f>
        <v>59.37</v>
      </c>
      <c r="AK1134" s="142">
        <f>B1134*IBGE_2!AK$1134/100</f>
        <v>13</v>
      </c>
      <c r="AL1134" s="145" t="s">
        <v>3047</v>
      </c>
      <c r="AM1134" s="142" t="s">
        <v>3047</v>
      </c>
      <c r="AN1134" s="161"/>
    </row>
    <row r="1135" spans="1:40">
      <c r="A1135" s="143" t="s">
        <v>2195</v>
      </c>
      <c r="B1135" s="141">
        <v>100</v>
      </c>
      <c r="C1135" s="142">
        <f>B1135*IBGE_2!C$1135/100</f>
        <v>117</v>
      </c>
      <c r="D1135" s="142">
        <f>B1135*IBGE_2!D$1135/100</f>
        <v>24.16</v>
      </c>
      <c r="E1135" s="142">
        <f>B1135*IBGE_2!E$1135/100</f>
        <v>1.53</v>
      </c>
      <c r="F1135" s="142">
        <f>B1135*IBGE_2!F$1135/100</f>
        <v>0.36</v>
      </c>
      <c r="G1135" s="142">
        <f>B1135*IBGE_2!G$1135/100</f>
        <v>0.28000000000000003</v>
      </c>
      <c r="H1135" s="142">
        <f>B1135*IBGE_2!H$1135/100</f>
        <v>0.65</v>
      </c>
      <c r="I1135" s="142">
        <f>B1135*IBGE_2!I$1135/100</f>
        <v>0.01</v>
      </c>
      <c r="J1135" s="142">
        <f>B1135*IBGE_2!J$1135/100</f>
        <v>0.02</v>
      </c>
      <c r="K1135" s="142">
        <f>B1135*IBGE_2!K$1135/100</f>
        <v>68</v>
      </c>
      <c r="L1135" s="142" t="s">
        <v>3047</v>
      </c>
      <c r="M1135" s="142" t="s">
        <v>3047</v>
      </c>
      <c r="N1135" s="142">
        <f>B1135*IBGE_2!N$1135/100</f>
        <v>18</v>
      </c>
      <c r="O1135" s="142">
        <f>B1135*IBGE_2!O$1135/100</f>
        <v>58</v>
      </c>
      <c r="P1135" s="142">
        <f>B1135*IBGE_2!P$1135/100</f>
        <v>0.02</v>
      </c>
      <c r="Q1135" s="142">
        <f>B1135*IBGE_2!Q$1135/100</f>
        <v>289</v>
      </c>
      <c r="R1135" s="142">
        <f>B1135*IBGE_2!R$1135/100</f>
        <v>0.34</v>
      </c>
      <c r="S1135" s="142">
        <f>B1135*IBGE_2!S$1135/100</f>
        <v>105</v>
      </c>
      <c r="T1135" s="142">
        <f>B1135*IBGE_2!T$1135/100</f>
        <v>344</v>
      </c>
      <c r="U1135" s="142">
        <f>B1135*IBGE_2!U$1135/100</f>
        <v>0.03</v>
      </c>
      <c r="V1135" s="142">
        <f>B1135*IBGE_2!V$1135/100</f>
        <v>0.63</v>
      </c>
      <c r="W1135" s="142">
        <f>B1135*IBGE_2!W$1135/100</f>
        <v>13</v>
      </c>
      <c r="X1135" s="142">
        <f>B1135*IBGE_2!X$1135/100</f>
        <v>0.08</v>
      </c>
      <c r="Y1135" s="142">
        <f>B1135*IBGE_2!Y$1135/100</f>
        <v>0.11</v>
      </c>
      <c r="Z1135" s="142">
        <f>B1135*IBGE_2!Z$1135/100</f>
        <v>0.24</v>
      </c>
      <c r="AA1135" s="142">
        <f>B1135*IBGE_2!AA$1135/100</f>
        <v>2.1800000000000002</v>
      </c>
      <c r="AB1135" s="142" t="s">
        <v>3047</v>
      </c>
      <c r="AC1135" s="142">
        <f>B1135*IBGE_2!AC$1135/100</f>
        <v>6.7</v>
      </c>
      <c r="AD1135" s="142">
        <f>B1135*IBGE_2!AD$1135/100</f>
        <v>2.5099999999999998</v>
      </c>
      <c r="AE1135" s="142">
        <f>B1135*IBGE_2!AE$1135/100</f>
        <v>9</v>
      </c>
      <c r="AF1135" s="142">
        <f>B1135*IBGE_2!AF$1135/100</f>
        <v>5.5</v>
      </c>
      <c r="AG1135" s="142">
        <f>B1135*IBGE_2!AG$1135/100</f>
        <v>0.66</v>
      </c>
      <c r="AH1135" s="142" t="s">
        <v>3047</v>
      </c>
      <c r="AI1135" s="142">
        <f>B1135*IBGE_2!AI$1135/100</f>
        <v>333</v>
      </c>
      <c r="AJ1135" s="142">
        <f>B1135*IBGE_2!AJ$1135/100</f>
        <v>58.2</v>
      </c>
      <c r="AK1135" s="142">
        <f>B1135*IBGE_2!AK$1135/100</f>
        <v>13</v>
      </c>
      <c r="AL1135" s="145" t="s">
        <v>3047</v>
      </c>
      <c r="AM1135" s="142" t="s">
        <v>3047</v>
      </c>
      <c r="AN1135" s="161"/>
    </row>
    <row r="1136" spans="1:40">
      <c r="A1136" s="143" t="s">
        <v>2196</v>
      </c>
      <c r="B1136" s="141">
        <v>100</v>
      </c>
      <c r="C1136" s="142">
        <f>B1136*IBGE_2!C$1136/100</f>
        <v>117</v>
      </c>
      <c r="D1136" s="142">
        <f>B1136*IBGE_2!D$1136/100</f>
        <v>24.16</v>
      </c>
      <c r="E1136" s="142">
        <f>B1136*IBGE_2!E$1136/100</f>
        <v>1.53</v>
      </c>
      <c r="F1136" s="142">
        <f>B1136*IBGE_2!F$1136/100</f>
        <v>0.36</v>
      </c>
      <c r="G1136" s="142">
        <f>B1136*IBGE_2!G$1136/100</f>
        <v>0.28000000000000003</v>
      </c>
      <c r="H1136" s="142">
        <f>B1136*IBGE_2!H$1136/100</f>
        <v>0.65</v>
      </c>
      <c r="I1136" s="142">
        <f>B1136*IBGE_2!I$1136/100</f>
        <v>0.01</v>
      </c>
      <c r="J1136" s="142">
        <f>B1136*IBGE_2!J$1136/100</f>
        <v>0.02</v>
      </c>
      <c r="K1136" s="142">
        <f>B1136*IBGE_2!K$1136/100</f>
        <v>68</v>
      </c>
      <c r="L1136" s="142" t="s">
        <v>3047</v>
      </c>
      <c r="M1136" s="142" t="s">
        <v>3047</v>
      </c>
      <c r="N1136" s="142">
        <f>B1136*IBGE_2!N$1136/100</f>
        <v>18</v>
      </c>
      <c r="O1136" s="142">
        <f>B1136*IBGE_2!O$1136/100</f>
        <v>58</v>
      </c>
      <c r="P1136" s="142">
        <f>B1136*IBGE_2!P$1136/100</f>
        <v>0.02</v>
      </c>
      <c r="Q1136" s="142">
        <f>B1136*IBGE_2!Q$1136/100</f>
        <v>289</v>
      </c>
      <c r="R1136" s="142">
        <f>B1136*IBGE_2!R$1136/100</f>
        <v>0.34</v>
      </c>
      <c r="S1136" s="142">
        <f>B1136*IBGE_2!S$1136/100</f>
        <v>105</v>
      </c>
      <c r="T1136" s="142">
        <f>B1136*IBGE_2!T$1136/100</f>
        <v>344</v>
      </c>
      <c r="U1136" s="142">
        <f>B1136*IBGE_2!U$1136/100</f>
        <v>0.03</v>
      </c>
      <c r="V1136" s="142">
        <f>B1136*IBGE_2!V$1136/100</f>
        <v>0.63</v>
      </c>
      <c r="W1136" s="142">
        <f>B1136*IBGE_2!W$1136/100</f>
        <v>13</v>
      </c>
      <c r="X1136" s="142">
        <f>B1136*IBGE_2!X$1136/100</f>
        <v>0.08</v>
      </c>
      <c r="Y1136" s="142">
        <f>B1136*IBGE_2!Y$1136/100</f>
        <v>0.11</v>
      </c>
      <c r="Z1136" s="142">
        <f>B1136*IBGE_2!Z$1136/100</f>
        <v>0.24</v>
      </c>
      <c r="AA1136" s="142">
        <f>B1136*IBGE_2!AA$1136/100</f>
        <v>2.1800000000000002</v>
      </c>
      <c r="AB1136" s="142" t="s">
        <v>3047</v>
      </c>
      <c r="AC1136" s="142">
        <f>B1136*IBGE_2!AC$1136/100</f>
        <v>6.7</v>
      </c>
      <c r="AD1136" s="142">
        <f>B1136*IBGE_2!AD$1136/100</f>
        <v>2.5099999999999998</v>
      </c>
      <c r="AE1136" s="142">
        <f>B1136*IBGE_2!AE$1136/100</f>
        <v>9</v>
      </c>
      <c r="AF1136" s="142">
        <f>B1136*IBGE_2!AF$1136/100</f>
        <v>1.1000000000000001</v>
      </c>
      <c r="AG1136" s="142">
        <f>B1136*IBGE_2!AG$1136/100</f>
        <v>0.66</v>
      </c>
      <c r="AH1136" s="142" t="s">
        <v>3047</v>
      </c>
      <c r="AI1136" s="145" t="s">
        <v>3047</v>
      </c>
      <c r="AJ1136" s="142">
        <f>B1136*IBGE_2!AJ$1136/100</f>
        <v>58.2</v>
      </c>
      <c r="AK1136" s="142">
        <f>B1136*IBGE_2!AK$1136/100</f>
        <v>13</v>
      </c>
      <c r="AL1136" s="145" t="s">
        <v>3047</v>
      </c>
      <c r="AM1136" s="142" t="s">
        <v>3047</v>
      </c>
      <c r="AN1136" s="161"/>
    </row>
    <row r="1137" spans="1:40">
      <c r="A1137" s="143" t="s">
        <v>2197</v>
      </c>
      <c r="B1137" s="141">
        <v>100</v>
      </c>
      <c r="C1137" s="142">
        <f>B1137*IBGE_2!C$1137/100</f>
        <v>117</v>
      </c>
      <c r="D1137" s="142">
        <f>B1137*IBGE_2!D$1137/100</f>
        <v>24.16</v>
      </c>
      <c r="E1137" s="142">
        <f>B1137*IBGE_2!E$1137/100</f>
        <v>1.53</v>
      </c>
      <c r="F1137" s="142">
        <f>B1137*IBGE_2!F$1137/100</f>
        <v>0.36</v>
      </c>
      <c r="G1137" s="142">
        <f>B1137*IBGE_2!G$1137/100</f>
        <v>0.28000000000000003</v>
      </c>
      <c r="H1137" s="142">
        <f>B1137*IBGE_2!H$1137/100</f>
        <v>0.65</v>
      </c>
      <c r="I1137" s="142">
        <f>B1137*IBGE_2!I$1137/100</f>
        <v>0.01</v>
      </c>
      <c r="J1137" s="142">
        <f>B1137*IBGE_2!J$1137/100</f>
        <v>0.02</v>
      </c>
      <c r="K1137" s="142">
        <f>B1137*IBGE_2!K$1137/100</f>
        <v>68</v>
      </c>
      <c r="L1137" s="142" t="s">
        <v>3047</v>
      </c>
      <c r="M1137" s="142" t="s">
        <v>3047</v>
      </c>
      <c r="N1137" s="142">
        <f>B1137*IBGE_2!N$1137/100</f>
        <v>18</v>
      </c>
      <c r="O1137" s="142">
        <f>B1137*IBGE_2!O$1137/100</f>
        <v>58</v>
      </c>
      <c r="P1137" s="142">
        <f>B1137*IBGE_2!P$1137/100</f>
        <v>0.02</v>
      </c>
      <c r="Q1137" s="142">
        <f>B1137*IBGE_2!Q$1137/100</f>
        <v>289</v>
      </c>
      <c r="R1137" s="142">
        <f>B1137*IBGE_2!R$1137/100</f>
        <v>0.34</v>
      </c>
      <c r="S1137" s="142">
        <f>B1137*IBGE_2!S$1137/100</f>
        <v>105</v>
      </c>
      <c r="T1137" s="142">
        <f>B1137*IBGE_2!T$1137/100</f>
        <v>344</v>
      </c>
      <c r="U1137" s="142">
        <f>B1137*IBGE_2!U$1137/100</f>
        <v>0.03</v>
      </c>
      <c r="V1137" s="142">
        <f>B1137*IBGE_2!V$1137/100</f>
        <v>0.63</v>
      </c>
      <c r="W1137" s="142">
        <f>B1137*IBGE_2!W$1137/100</f>
        <v>13</v>
      </c>
      <c r="X1137" s="142">
        <f>B1137*IBGE_2!X$1137/100</f>
        <v>0.08</v>
      </c>
      <c r="Y1137" s="142">
        <f>B1137*IBGE_2!Y$1137/100</f>
        <v>0.11</v>
      </c>
      <c r="Z1137" s="142">
        <f>B1137*IBGE_2!Z$1137/100</f>
        <v>0.24</v>
      </c>
      <c r="AA1137" s="142">
        <f>B1137*IBGE_2!AA$1137/100</f>
        <v>2.1800000000000002</v>
      </c>
      <c r="AB1137" s="142" t="s">
        <v>3047</v>
      </c>
      <c r="AC1137" s="142">
        <f>B1137*IBGE_2!AC$1137/100</f>
        <v>6.7</v>
      </c>
      <c r="AD1137" s="142">
        <f>B1137*IBGE_2!AD$1137/100</f>
        <v>2.5099999999999998</v>
      </c>
      <c r="AE1137" s="142">
        <f>B1137*IBGE_2!AE$1137/100</f>
        <v>9</v>
      </c>
      <c r="AF1137" s="142">
        <f>B1137*IBGE_2!AF$1137/100</f>
        <v>1.1000000000000001</v>
      </c>
      <c r="AG1137" s="142">
        <f>B1137*IBGE_2!AG$1137/100</f>
        <v>0.66</v>
      </c>
      <c r="AH1137" s="142" t="s">
        <v>3047</v>
      </c>
      <c r="AI1137" s="145" t="s">
        <v>3047</v>
      </c>
      <c r="AJ1137" s="142">
        <f>B1137*IBGE_2!AJ$1137/100</f>
        <v>58.2</v>
      </c>
      <c r="AK1137" s="142">
        <f>B1137*IBGE_2!AK$1137/100</f>
        <v>13</v>
      </c>
      <c r="AL1137" s="145" t="s">
        <v>3047</v>
      </c>
      <c r="AM1137" s="142" t="s">
        <v>3047</v>
      </c>
      <c r="AN1137" s="161"/>
    </row>
    <row r="1138" spans="1:40">
      <c r="A1138" s="143" t="s">
        <v>2198</v>
      </c>
      <c r="B1138" s="141">
        <v>100</v>
      </c>
      <c r="C1138" s="142">
        <f>B1138*IBGE_2!C$1138/100</f>
        <v>117</v>
      </c>
      <c r="D1138" s="142">
        <f>B1138*IBGE_2!D$1138/100</f>
        <v>24.16</v>
      </c>
      <c r="E1138" s="142">
        <f>B1138*IBGE_2!E$1138/100</f>
        <v>1.53</v>
      </c>
      <c r="F1138" s="142">
        <f>B1138*IBGE_2!F$1138/100</f>
        <v>0.36</v>
      </c>
      <c r="G1138" s="142">
        <f>B1138*IBGE_2!G$1138/100</f>
        <v>0.28000000000000003</v>
      </c>
      <c r="H1138" s="142">
        <f>B1138*IBGE_2!H$1138/100</f>
        <v>0.65</v>
      </c>
      <c r="I1138" s="142">
        <f>B1138*IBGE_2!I$1138/100</f>
        <v>0.01</v>
      </c>
      <c r="J1138" s="142">
        <f>B1138*IBGE_2!J$1138/100</f>
        <v>0.02</v>
      </c>
      <c r="K1138" s="142">
        <f>B1138*IBGE_2!K$1138/100</f>
        <v>68</v>
      </c>
      <c r="L1138" s="142" t="s">
        <v>3047</v>
      </c>
      <c r="M1138" s="142" t="s">
        <v>3047</v>
      </c>
      <c r="N1138" s="142">
        <f>B1138*IBGE_2!N$1138/100</f>
        <v>18</v>
      </c>
      <c r="O1138" s="142">
        <f>B1138*IBGE_2!O$1138/100</f>
        <v>58</v>
      </c>
      <c r="P1138" s="142">
        <f>B1138*IBGE_2!P$1138/100</f>
        <v>0.02</v>
      </c>
      <c r="Q1138" s="142">
        <f>B1138*IBGE_2!Q$1138/100</f>
        <v>289</v>
      </c>
      <c r="R1138" s="142">
        <f>B1138*IBGE_2!R$1138/100</f>
        <v>0.34</v>
      </c>
      <c r="S1138" s="142">
        <f>B1138*IBGE_2!S$1138/100</f>
        <v>105</v>
      </c>
      <c r="T1138" s="142">
        <f>B1138*IBGE_2!T$1138/100</f>
        <v>344</v>
      </c>
      <c r="U1138" s="142">
        <f>B1138*IBGE_2!U$1138/100</f>
        <v>0.03</v>
      </c>
      <c r="V1138" s="142">
        <f>B1138*IBGE_2!V$1138/100</f>
        <v>0.63</v>
      </c>
      <c r="W1138" s="142">
        <f>B1138*IBGE_2!W$1138/100</f>
        <v>13</v>
      </c>
      <c r="X1138" s="142">
        <f>B1138*IBGE_2!X$1138/100</f>
        <v>0.08</v>
      </c>
      <c r="Y1138" s="142">
        <f>B1138*IBGE_2!Y$1138/100</f>
        <v>0.11</v>
      </c>
      <c r="Z1138" s="142">
        <f>B1138*IBGE_2!Z$1138/100</f>
        <v>0.24</v>
      </c>
      <c r="AA1138" s="142">
        <f>B1138*IBGE_2!AA$1138/100</f>
        <v>2.1800000000000002</v>
      </c>
      <c r="AB1138" s="142" t="s">
        <v>3047</v>
      </c>
      <c r="AC1138" s="142">
        <f>B1138*IBGE_2!AC$1138/100</f>
        <v>6.7</v>
      </c>
      <c r="AD1138" s="142">
        <f>B1138*IBGE_2!AD$1138/100</f>
        <v>2.5099999999999998</v>
      </c>
      <c r="AE1138" s="142">
        <f>B1138*IBGE_2!AE$1138/100</f>
        <v>9</v>
      </c>
      <c r="AF1138" s="142">
        <f>B1138*IBGE_2!AF$1138/100</f>
        <v>1.1000000000000001</v>
      </c>
      <c r="AG1138" s="142">
        <f>B1138*IBGE_2!AG$1138/100</f>
        <v>0.66</v>
      </c>
      <c r="AH1138" s="142" t="s">
        <v>3047</v>
      </c>
      <c r="AI1138" s="145" t="s">
        <v>3047</v>
      </c>
      <c r="AJ1138" s="142">
        <f>B1138*IBGE_2!AJ$1138/100</f>
        <v>58.2</v>
      </c>
      <c r="AK1138" s="142">
        <f>B1138*IBGE_2!AK$1138/100</f>
        <v>13</v>
      </c>
      <c r="AL1138" s="145" t="s">
        <v>3047</v>
      </c>
      <c r="AM1138" s="142" t="s">
        <v>3047</v>
      </c>
      <c r="AN1138" s="161"/>
    </row>
    <row r="1139" spans="1:40">
      <c r="A1139" s="143" t="s">
        <v>2199</v>
      </c>
      <c r="B1139" s="141">
        <v>100</v>
      </c>
      <c r="C1139" s="142">
        <f>B1139*IBGE_2!C$1139/100</f>
        <v>139.66</v>
      </c>
      <c r="D1139" s="142">
        <f>B1139*IBGE_2!D$1139/100</f>
        <v>24.16</v>
      </c>
      <c r="E1139" s="142">
        <f>B1139*IBGE_2!E$1139/100</f>
        <v>4.09</v>
      </c>
      <c r="F1139" s="142">
        <f>B1139*IBGE_2!F$1139/100</f>
        <v>0.73</v>
      </c>
      <c r="G1139" s="142">
        <f>B1139*IBGE_2!G$1139/100</f>
        <v>0.87</v>
      </c>
      <c r="H1139" s="142">
        <f>B1139*IBGE_2!H$1139/100</f>
        <v>2.13</v>
      </c>
      <c r="I1139" s="142">
        <f>B1139*IBGE_2!I$1139/100</f>
        <v>1.32</v>
      </c>
      <c r="J1139" s="142">
        <f>B1139*IBGE_2!J$1139/100</f>
        <v>0.19</v>
      </c>
      <c r="K1139" s="142">
        <f>B1139*IBGE_2!K$1139/100</f>
        <v>68</v>
      </c>
      <c r="L1139" s="142" t="s">
        <v>3047</v>
      </c>
      <c r="M1139" s="142" t="s">
        <v>3047</v>
      </c>
      <c r="N1139" s="142">
        <f>B1139*IBGE_2!N$1139/100</f>
        <v>18</v>
      </c>
      <c r="O1139" s="142">
        <f>B1139*IBGE_2!O$1139/100</f>
        <v>58</v>
      </c>
      <c r="P1139" s="142">
        <f>B1139*IBGE_2!P$1139/100</f>
        <v>0.02</v>
      </c>
      <c r="Q1139" s="142">
        <f>B1139*IBGE_2!Q$1139/100</f>
        <v>289</v>
      </c>
      <c r="R1139" s="142">
        <f>B1139*IBGE_2!R$1139/100</f>
        <v>0.34</v>
      </c>
      <c r="S1139" s="142">
        <f>B1139*IBGE_2!S$1139/100</f>
        <v>105</v>
      </c>
      <c r="T1139" s="142">
        <f>B1139*IBGE_2!T$1139/100</f>
        <v>344</v>
      </c>
      <c r="U1139" s="142">
        <f>B1139*IBGE_2!U$1139/100</f>
        <v>0.03</v>
      </c>
      <c r="V1139" s="142">
        <f>B1139*IBGE_2!V$1139/100</f>
        <v>0.63</v>
      </c>
      <c r="W1139" s="142">
        <f>B1139*IBGE_2!W$1139/100</f>
        <v>13</v>
      </c>
      <c r="X1139" s="142">
        <f>B1139*IBGE_2!X$1139/100</f>
        <v>0.08</v>
      </c>
      <c r="Y1139" s="142">
        <f>B1139*IBGE_2!Y$1139/100</f>
        <v>0.11</v>
      </c>
      <c r="Z1139" s="142">
        <f>B1139*IBGE_2!Z$1139/100</f>
        <v>0.24</v>
      </c>
      <c r="AA1139" s="142">
        <f>B1139*IBGE_2!AA$1139/100</f>
        <v>2.1800000000000002</v>
      </c>
      <c r="AB1139" s="142" t="s">
        <v>3047</v>
      </c>
      <c r="AC1139" s="142">
        <f>B1139*IBGE_2!AC$1139/100</f>
        <v>6.7</v>
      </c>
      <c r="AD1139" s="142">
        <f>B1139*IBGE_2!AD$1139/100</f>
        <v>2.5099999999999998</v>
      </c>
      <c r="AE1139" s="142">
        <f>B1139*IBGE_2!AE$1139/100</f>
        <v>9</v>
      </c>
      <c r="AF1139" s="142">
        <f>B1139*IBGE_2!AF$1139/100</f>
        <v>1.1000000000000001</v>
      </c>
      <c r="AG1139" s="142">
        <f>B1139*IBGE_2!AG$1139/100</f>
        <v>0.9</v>
      </c>
      <c r="AH1139" s="142" t="s">
        <v>3047</v>
      </c>
      <c r="AI1139" s="145" t="s">
        <v>3047</v>
      </c>
      <c r="AJ1139" s="142">
        <f>B1139*IBGE_2!AJ$1139/100</f>
        <v>59.37</v>
      </c>
      <c r="AK1139" s="142">
        <f>B1139*IBGE_2!AK$1139/100</f>
        <v>13</v>
      </c>
      <c r="AL1139" s="145" t="s">
        <v>3047</v>
      </c>
      <c r="AM1139" s="142" t="s">
        <v>3047</v>
      </c>
      <c r="AN1139" s="161"/>
    </row>
    <row r="1140" spans="1:40">
      <c r="A1140" s="143" t="s">
        <v>2200</v>
      </c>
      <c r="B1140" s="141">
        <v>100</v>
      </c>
      <c r="C1140" s="142">
        <f>B1140*IBGE_2!C$1140/100</f>
        <v>155.84</v>
      </c>
      <c r="D1140" s="142">
        <f>B1140*IBGE_2!D$1140/100</f>
        <v>24.62</v>
      </c>
      <c r="E1140" s="142">
        <f>B1140*IBGE_2!E$1140/100</f>
        <v>4.1399999999999997</v>
      </c>
      <c r="F1140" s="142">
        <f>B1140*IBGE_2!F$1140/100</f>
        <v>0.74</v>
      </c>
      <c r="G1140" s="142">
        <f>B1140*IBGE_2!G$1140/100</f>
        <v>0.88</v>
      </c>
      <c r="H1140" s="142">
        <f>B1140*IBGE_2!H$1140/100</f>
        <v>2.15</v>
      </c>
      <c r="I1140" s="142">
        <f>B1140*IBGE_2!I$1140/100</f>
        <v>1.34</v>
      </c>
      <c r="J1140" s="142">
        <f>B1140*IBGE_2!J$1140/100</f>
        <v>0.19</v>
      </c>
      <c r="K1140" s="142">
        <f>B1140*IBGE_2!K$1140/100</f>
        <v>68</v>
      </c>
      <c r="L1140" s="142">
        <f>B1140*IBGE_2!L$1140/100</f>
        <v>3.39</v>
      </c>
      <c r="M1140" s="142">
        <f>B1140*IBGE_2!M$1140/100</f>
        <v>0.14000000000000001</v>
      </c>
      <c r="N1140" s="142">
        <f>B1140*IBGE_2!N$1140/100</f>
        <v>18.670000000000002</v>
      </c>
      <c r="O1140" s="142">
        <f>B1140*IBGE_2!O$1140/100</f>
        <v>58.98</v>
      </c>
      <c r="P1140" s="142">
        <f>B1140*IBGE_2!P$1140/100</f>
        <v>0.05</v>
      </c>
      <c r="Q1140" s="142">
        <f>B1140*IBGE_2!Q$1140/100</f>
        <v>293.8</v>
      </c>
      <c r="R1140" s="142">
        <f>B1140*IBGE_2!R$1140/100</f>
        <v>0.55000000000000004</v>
      </c>
      <c r="S1140" s="142">
        <f>B1140*IBGE_2!S$1140/100</f>
        <v>105.09</v>
      </c>
      <c r="T1140" s="142">
        <f>B1140*IBGE_2!T$1140/100</f>
        <v>348.76</v>
      </c>
      <c r="U1140" s="142">
        <f>B1140*IBGE_2!U$1140/100</f>
        <v>0.03</v>
      </c>
      <c r="V1140" s="142">
        <f>B1140*IBGE_2!V$1140/100</f>
        <v>0.66</v>
      </c>
      <c r="W1140" s="142">
        <f>B1140*IBGE_2!W$1140/100</f>
        <v>13</v>
      </c>
      <c r="X1140" s="142">
        <f>B1140*IBGE_2!X$1140/100</f>
        <v>0.11</v>
      </c>
      <c r="Y1140" s="142">
        <f>B1140*IBGE_2!Y$1140/100</f>
        <v>0.14000000000000001</v>
      </c>
      <c r="Z1140" s="142">
        <f>B1140*IBGE_2!Z$1140/100</f>
        <v>0.24</v>
      </c>
      <c r="AA1140" s="142">
        <f>B1140*IBGE_2!AA$1140/100</f>
        <v>2.44</v>
      </c>
      <c r="AB1140" s="142" t="s">
        <v>3047</v>
      </c>
      <c r="AC1140" s="142">
        <f>B1140*IBGE_2!AC$1140/100</f>
        <v>7.05</v>
      </c>
      <c r="AD1140" s="142">
        <f>B1140*IBGE_2!AD$1140/100</f>
        <v>2.5099999999999998</v>
      </c>
      <c r="AE1140" s="142">
        <f>B1140*IBGE_2!AE$1140/100</f>
        <v>18.07</v>
      </c>
      <c r="AF1140" s="142">
        <f>B1140*IBGE_2!AF$1140/100</f>
        <v>1.1000000000000001</v>
      </c>
      <c r="AG1140" s="142">
        <f>B1140*IBGE_2!AG$1140/100</f>
        <v>0.9</v>
      </c>
      <c r="AH1140" s="142" t="s">
        <v>3047</v>
      </c>
      <c r="AI1140" s="145" t="s">
        <v>3047</v>
      </c>
      <c r="AJ1140" s="142">
        <f>B1140*IBGE_2!AJ$1140/100</f>
        <v>60.88</v>
      </c>
      <c r="AK1140" s="142">
        <f>B1140*IBGE_2!AK$1140/100</f>
        <v>13</v>
      </c>
      <c r="AL1140" s="142">
        <f>B1140*IBGE_2!AL$1140/100</f>
        <v>0.01</v>
      </c>
      <c r="AM1140" s="142" t="s">
        <v>3047</v>
      </c>
      <c r="AN1140" s="161"/>
    </row>
    <row r="1141" spans="1:40">
      <c r="A1141" s="143" t="s">
        <v>2201</v>
      </c>
      <c r="B1141" s="141">
        <v>100</v>
      </c>
      <c r="C1141" s="142">
        <f>B1141*IBGE_2!C$1141/100</f>
        <v>98.4</v>
      </c>
      <c r="D1141" s="142">
        <f>B1141*IBGE_2!D$1141/100</f>
        <v>19.59</v>
      </c>
      <c r="E1141" s="142">
        <f>B1141*IBGE_2!E$1141/100</f>
        <v>1.26</v>
      </c>
      <c r="F1141" s="142">
        <f>B1141*IBGE_2!F$1141/100</f>
        <v>0.3</v>
      </c>
      <c r="G1141" s="142">
        <f>B1141*IBGE_2!G$1141/100</f>
        <v>0.23</v>
      </c>
      <c r="H1141" s="142">
        <f>B1141*IBGE_2!H$1141/100</f>
        <v>0.53</v>
      </c>
      <c r="I1141" s="142">
        <f>B1141*IBGE_2!I$1141/100</f>
        <v>0.03</v>
      </c>
      <c r="J1141" s="142">
        <f>B1141*IBGE_2!J$1141/100</f>
        <v>0.01</v>
      </c>
      <c r="K1141" s="142">
        <f>B1141*IBGE_2!K$1141/100</f>
        <v>54.4</v>
      </c>
      <c r="L1141" s="142">
        <f>B1141*IBGE_2!L$1141/100</f>
        <v>1.08</v>
      </c>
      <c r="M1141" s="142">
        <f>B1141*IBGE_2!M$1141/100</f>
        <v>0.3</v>
      </c>
      <c r="N1141" s="142">
        <f>B1141*IBGE_2!N$1141/100</f>
        <v>17</v>
      </c>
      <c r="O1141" s="142">
        <f>B1141*IBGE_2!O$1141/100</f>
        <v>49.6</v>
      </c>
      <c r="P1141" s="142">
        <f>B1141*IBGE_2!P$1141/100</f>
        <v>0.04</v>
      </c>
      <c r="Q1141" s="142">
        <f>B1141*IBGE_2!Q$1141/100</f>
        <v>236.4</v>
      </c>
      <c r="R1141" s="142">
        <f>B1141*IBGE_2!R$1141/100</f>
        <v>0.48</v>
      </c>
      <c r="S1141" s="142">
        <f>B1141*IBGE_2!S$1141/100</f>
        <v>188.8</v>
      </c>
      <c r="T1141" s="142">
        <f>B1141*IBGE_2!T$1141/100</f>
        <v>341.4</v>
      </c>
      <c r="U1141" s="142">
        <f>B1141*IBGE_2!U$1141/100</f>
        <v>0.04</v>
      </c>
      <c r="V1141" s="142">
        <f>B1141*IBGE_2!V$1141/100</f>
        <v>0.54</v>
      </c>
      <c r="W1141" s="142">
        <f>B1141*IBGE_2!W$1141/100</f>
        <v>10.4</v>
      </c>
      <c r="X1141" s="142">
        <f>B1141*IBGE_2!X$1141/100</f>
        <v>7.0000000000000007E-2</v>
      </c>
      <c r="Y1141" s="142">
        <f>B1141*IBGE_2!Y$1141/100</f>
        <v>0.1</v>
      </c>
      <c r="Z1141" s="142">
        <f>B1141*IBGE_2!Z$1141/100</f>
        <v>0.21</v>
      </c>
      <c r="AA1141" s="142">
        <f>B1141*IBGE_2!AA$1141/100</f>
        <v>1.94</v>
      </c>
      <c r="AB1141" s="142">
        <f>B1141*IBGE_2!AB$1141/100</f>
        <v>1.4</v>
      </c>
      <c r="AC1141" s="142">
        <f>B1141*IBGE_2!AC$1141/100</f>
        <v>5.58</v>
      </c>
      <c r="AD1141" s="142">
        <f>B1141*IBGE_2!AD$1141/100</f>
        <v>2.0099999999999998</v>
      </c>
      <c r="AE1141" s="142">
        <f>B1141*IBGE_2!AE$1141/100</f>
        <v>9.4</v>
      </c>
      <c r="AF1141" s="142">
        <f>B1141*IBGE_2!AF$1141/100</f>
        <v>0.88</v>
      </c>
      <c r="AG1141" s="142">
        <f>B1141*IBGE_2!AG$1141/100</f>
        <v>0.81</v>
      </c>
      <c r="AH1141" s="142" t="s">
        <v>3047</v>
      </c>
      <c r="AI1141" s="145" t="s">
        <v>3047</v>
      </c>
      <c r="AJ1141" s="142">
        <f>B1141*IBGE_2!AJ$1141/100</f>
        <v>46.6</v>
      </c>
      <c r="AK1141" s="142">
        <f>B1141*IBGE_2!AK$1141/100</f>
        <v>13.88</v>
      </c>
      <c r="AL1141" s="142">
        <f>B1141*IBGE_2!AL$1141/100</f>
        <v>0.85</v>
      </c>
      <c r="AM1141" s="142" t="s">
        <v>3047</v>
      </c>
      <c r="AN1141" s="161"/>
    </row>
    <row r="1142" spans="1:40">
      <c r="A1142" s="143" t="s">
        <v>2202</v>
      </c>
      <c r="B1142" s="141">
        <v>100</v>
      </c>
      <c r="C1142" s="142">
        <f>B1142*IBGE_2!C$1142/100</f>
        <v>139.66</v>
      </c>
      <c r="D1142" s="142">
        <f>B1142*IBGE_2!D$1142/100</f>
        <v>24.16</v>
      </c>
      <c r="E1142" s="142">
        <f>B1142*IBGE_2!E$1142/100</f>
        <v>4.09</v>
      </c>
      <c r="F1142" s="142">
        <f>B1142*IBGE_2!F$1142/100</f>
        <v>0.73</v>
      </c>
      <c r="G1142" s="142">
        <f>B1142*IBGE_2!G$1142/100</f>
        <v>0.87</v>
      </c>
      <c r="H1142" s="142">
        <f>B1142*IBGE_2!H$1142/100</f>
        <v>2.13</v>
      </c>
      <c r="I1142" s="142">
        <f>B1142*IBGE_2!I$1142/100</f>
        <v>1.32</v>
      </c>
      <c r="J1142" s="142">
        <f>B1142*IBGE_2!J$1142/100</f>
        <v>0.19</v>
      </c>
      <c r="K1142" s="142">
        <f>B1142*IBGE_2!K$1142/100</f>
        <v>68</v>
      </c>
      <c r="L1142" s="142" t="s">
        <v>3047</v>
      </c>
      <c r="M1142" s="142" t="s">
        <v>3047</v>
      </c>
      <c r="N1142" s="142">
        <f>B1142*IBGE_2!N$1142/100</f>
        <v>18</v>
      </c>
      <c r="O1142" s="142">
        <f>B1142*IBGE_2!O$1142/100</f>
        <v>58</v>
      </c>
      <c r="P1142" s="142">
        <f>B1142*IBGE_2!P$1142/100</f>
        <v>0.02</v>
      </c>
      <c r="Q1142" s="142">
        <f>B1142*IBGE_2!Q$1142/100</f>
        <v>289</v>
      </c>
      <c r="R1142" s="142">
        <f>B1142*IBGE_2!R$1142/100</f>
        <v>0.34</v>
      </c>
      <c r="S1142" s="142">
        <f>B1142*IBGE_2!S$1142/100</f>
        <v>105</v>
      </c>
      <c r="T1142" s="142">
        <f>B1142*IBGE_2!T$1142/100</f>
        <v>344</v>
      </c>
      <c r="U1142" s="142">
        <f>B1142*IBGE_2!U$1142/100</f>
        <v>0.03</v>
      </c>
      <c r="V1142" s="142">
        <f>B1142*IBGE_2!V$1142/100</f>
        <v>0.63</v>
      </c>
      <c r="W1142" s="142">
        <f>B1142*IBGE_2!W$1142/100</f>
        <v>13</v>
      </c>
      <c r="X1142" s="142">
        <f>B1142*IBGE_2!X$1142/100</f>
        <v>0.08</v>
      </c>
      <c r="Y1142" s="142">
        <f>B1142*IBGE_2!Y$1142/100</f>
        <v>0.11</v>
      </c>
      <c r="Z1142" s="142">
        <f>B1142*IBGE_2!Z$1142/100</f>
        <v>0.24</v>
      </c>
      <c r="AA1142" s="142">
        <f>B1142*IBGE_2!AA$1142/100</f>
        <v>2.1800000000000002</v>
      </c>
      <c r="AB1142" s="142" t="s">
        <v>3047</v>
      </c>
      <c r="AC1142" s="142">
        <f>B1142*IBGE_2!AC$1142/100</f>
        <v>6.7</v>
      </c>
      <c r="AD1142" s="142">
        <f>B1142*IBGE_2!AD$1142/100</f>
        <v>2.5099999999999998</v>
      </c>
      <c r="AE1142" s="142">
        <f>B1142*IBGE_2!AE$1142/100</f>
        <v>9</v>
      </c>
      <c r="AF1142" s="142">
        <f>B1142*IBGE_2!AF$1142/100</f>
        <v>1.1000000000000001</v>
      </c>
      <c r="AG1142" s="142">
        <f>B1142*IBGE_2!AG$1142/100</f>
        <v>0.9</v>
      </c>
      <c r="AH1142" s="142" t="s">
        <v>3047</v>
      </c>
      <c r="AI1142" s="145" t="s">
        <v>3047</v>
      </c>
      <c r="AJ1142" s="142">
        <f>B1142*IBGE_2!AJ$1142/100</f>
        <v>59.37</v>
      </c>
      <c r="AK1142" s="142">
        <f>B1142*IBGE_2!AK$1142/100</f>
        <v>13</v>
      </c>
      <c r="AL1142" s="142" t="s">
        <v>3047</v>
      </c>
      <c r="AM1142" s="142" t="s">
        <v>3047</v>
      </c>
      <c r="AN1142" s="161"/>
    </row>
    <row r="1143" spans="1:40">
      <c r="A1143" s="143" t="s">
        <v>2203</v>
      </c>
      <c r="B1143" s="141">
        <v>100</v>
      </c>
      <c r="C1143" s="142">
        <f>B1143*IBGE_2!C$1143/100</f>
        <v>117</v>
      </c>
      <c r="D1143" s="142">
        <f>B1143*IBGE_2!D$1143/100</f>
        <v>24.16</v>
      </c>
      <c r="E1143" s="142">
        <f>B1143*IBGE_2!E$1143/100</f>
        <v>1.53</v>
      </c>
      <c r="F1143" s="142">
        <f>B1143*IBGE_2!F$1143/100</f>
        <v>0.36299999999999999</v>
      </c>
      <c r="G1143" s="142">
        <f>B1143*IBGE_2!G$1143/100</f>
        <v>0.27600000000000002</v>
      </c>
      <c r="H1143" s="142">
        <f>B1143*IBGE_2!H$1143/100</f>
        <v>0.64600000000000013</v>
      </c>
      <c r="I1143" s="142">
        <f>B1143*IBGE_2!I$1143/100</f>
        <v>1.4000000000000002E-2</v>
      </c>
      <c r="J1143" s="142">
        <f>B1143*IBGE_2!J$1143/100</f>
        <v>1.6E-2</v>
      </c>
      <c r="K1143" s="142">
        <f>B1143*IBGE_2!K$1143/100</f>
        <v>68</v>
      </c>
      <c r="L1143" s="142" t="s">
        <v>3047</v>
      </c>
      <c r="M1143" s="142" t="s">
        <v>3047</v>
      </c>
      <c r="N1143" s="142">
        <f>B1143*IBGE_2!N$1143/100</f>
        <v>18</v>
      </c>
      <c r="O1143" s="142">
        <f>B1143*IBGE_2!O$1143/100</f>
        <v>58</v>
      </c>
      <c r="P1143" s="142">
        <f>B1143*IBGE_2!P$1143/100</f>
        <v>0.02</v>
      </c>
      <c r="Q1143" s="142">
        <f>B1143*IBGE_2!Q$1143/100</f>
        <v>289</v>
      </c>
      <c r="R1143" s="142">
        <f>B1143*IBGE_2!R$1143/100</f>
        <v>0.34</v>
      </c>
      <c r="S1143" s="142">
        <f>B1143*IBGE_2!S$1143/100</f>
        <v>105</v>
      </c>
      <c r="T1143" s="142">
        <f>B1143*IBGE_2!T$1143/100</f>
        <v>344</v>
      </c>
      <c r="U1143" s="142">
        <f>B1143*IBGE_2!U$1143/100</f>
        <v>2.6000000000000002E-2</v>
      </c>
      <c r="V1143" s="142">
        <f>B1143*IBGE_2!V$1143/100</f>
        <v>0.63</v>
      </c>
      <c r="W1143" s="142">
        <f>B1143*IBGE_2!W$1143/100</f>
        <v>13</v>
      </c>
      <c r="X1143" s="142">
        <f>B1143*IBGE_2!X$1143/100</f>
        <v>0.08</v>
      </c>
      <c r="Y1143" s="142">
        <f>B1143*IBGE_2!Y$1143/100</f>
        <v>0.114</v>
      </c>
      <c r="Z1143" s="142">
        <f>B1143*IBGE_2!Z$1143/100</f>
        <v>0.24</v>
      </c>
      <c r="AA1143" s="142">
        <f>B1143*IBGE_2!AA$1143/100</f>
        <v>2.1789999999999998</v>
      </c>
      <c r="AB1143" s="142" t="s">
        <v>3047</v>
      </c>
      <c r="AC1143" s="142">
        <f>B1143*IBGE_2!AC$1143/100</f>
        <v>6.6960000000000006</v>
      </c>
      <c r="AD1143" s="142">
        <f>B1143*IBGE_2!AD$1143/100</f>
        <v>2.5099999999999998</v>
      </c>
      <c r="AE1143" s="142">
        <f>B1143*IBGE_2!AE$1143/100</f>
        <v>9</v>
      </c>
      <c r="AF1143" s="142">
        <f>B1143*IBGE_2!AF$1143/100</f>
        <v>1.92</v>
      </c>
      <c r="AG1143" s="142">
        <f>B1143*IBGE_2!AG$1143/100</f>
        <v>0.66</v>
      </c>
      <c r="AH1143" s="142" t="s">
        <v>3047</v>
      </c>
      <c r="AI1143" s="142">
        <f>B1143*IBGE_2!AI$1143/100</f>
        <v>333</v>
      </c>
      <c r="AJ1143" s="142">
        <f>B1143*IBGE_2!AJ$1143/100</f>
        <v>58.2</v>
      </c>
      <c r="AK1143" s="142">
        <f>B1143*IBGE_2!AK$1143/100</f>
        <v>13</v>
      </c>
      <c r="AL1143" s="142" t="s">
        <v>3047</v>
      </c>
      <c r="AM1143" s="142" t="s">
        <v>3047</v>
      </c>
      <c r="AN1143" s="161"/>
    </row>
    <row r="1144" spans="1:40">
      <c r="A1144" s="143" t="s">
        <v>2204</v>
      </c>
      <c r="B1144" s="141">
        <v>100</v>
      </c>
      <c r="C1144" s="142">
        <f>B1144*IBGE_2!C$1144/100</f>
        <v>117</v>
      </c>
      <c r="D1144" s="142">
        <f>B1144*IBGE_2!D$1144/100</f>
        <v>24.16</v>
      </c>
      <c r="E1144" s="142">
        <f>B1144*IBGE_2!E$1144/100</f>
        <v>1.53</v>
      </c>
      <c r="F1144" s="142">
        <f>B1144*IBGE_2!F$1144/100</f>
        <v>0.36</v>
      </c>
      <c r="G1144" s="142">
        <f>B1144*IBGE_2!G$1144/100</f>
        <v>0.28000000000000003</v>
      </c>
      <c r="H1144" s="142">
        <f>B1144*IBGE_2!H$1144/100</f>
        <v>0.65</v>
      </c>
      <c r="I1144" s="142">
        <f>B1144*IBGE_2!I$1144/100</f>
        <v>0.01</v>
      </c>
      <c r="J1144" s="142">
        <f>B1144*IBGE_2!J$1144/100</f>
        <v>0.02</v>
      </c>
      <c r="K1144" s="142">
        <f>B1144*IBGE_2!K$1144/100</f>
        <v>68</v>
      </c>
      <c r="L1144" s="142" t="s">
        <v>3047</v>
      </c>
      <c r="M1144" s="142" t="s">
        <v>3047</v>
      </c>
      <c r="N1144" s="142">
        <f>B1144*IBGE_2!N$1144/100</f>
        <v>18</v>
      </c>
      <c r="O1144" s="142">
        <f>B1144*IBGE_2!O$1144/100</f>
        <v>58</v>
      </c>
      <c r="P1144" s="142">
        <f>B1144*IBGE_2!P$1144/100</f>
        <v>0.02</v>
      </c>
      <c r="Q1144" s="142">
        <f>B1144*IBGE_2!Q$1144/100</f>
        <v>289</v>
      </c>
      <c r="R1144" s="142">
        <f>B1144*IBGE_2!R$1144/100</f>
        <v>0.34</v>
      </c>
      <c r="S1144" s="142">
        <f>B1144*IBGE_2!S$1144/100</f>
        <v>105</v>
      </c>
      <c r="T1144" s="142">
        <f>B1144*IBGE_2!T$1144/100</f>
        <v>344</v>
      </c>
      <c r="U1144" s="142">
        <f>B1144*IBGE_2!U$1144/100</f>
        <v>0.03</v>
      </c>
      <c r="V1144" s="142">
        <f>B1144*IBGE_2!V$1144/100</f>
        <v>0.63</v>
      </c>
      <c r="W1144" s="142">
        <f>B1144*IBGE_2!W$1144/100</f>
        <v>13</v>
      </c>
      <c r="X1144" s="142">
        <f>B1144*IBGE_2!X$1144/100</f>
        <v>0.08</v>
      </c>
      <c r="Y1144" s="142">
        <f>B1144*IBGE_2!Y$1144/100</f>
        <v>0.11</v>
      </c>
      <c r="Z1144" s="142">
        <f>B1144*IBGE_2!Z$1144/100</f>
        <v>0.24</v>
      </c>
      <c r="AA1144" s="142">
        <f>B1144*IBGE_2!AA$1144/100</f>
        <v>2.1800000000000002</v>
      </c>
      <c r="AB1144" s="142" t="s">
        <v>3047</v>
      </c>
      <c r="AC1144" s="142">
        <f>B1144*IBGE_2!AC$1144/100</f>
        <v>6.7</v>
      </c>
      <c r="AD1144" s="142">
        <f>B1144*IBGE_2!AD$1144/100</f>
        <v>2.5099999999999998</v>
      </c>
      <c r="AE1144" s="142">
        <f>B1144*IBGE_2!AE$1144/100</f>
        <v>9</v>
      </c>
      <c r="AF1144" s="142">
        <f>B1144*IBGE_2!AF$1144/100</f>
        <v>1.1000000000000001</v>
      </c>
      <c r="AG1144" s="142">
        <f>B1144*IBGE_2!AG$1144/100</f>
        <v>0.66</v>
      </c>
      <c r="AH1144" s="142" t="s">
        <v>3047</v>
      </c>
      <c r="AI1144" s="142">
        <f>B1144*IBGE_2!AI$1144/100</f>
        <v>333</v>
      </c>
      <c r="AJ1144" s="142">
        <f>B1144*IBGE_2!AJ$1144/100</f>
        <v>58.2</v>
      </c>
      <c r="AK1144" s="142">
        <f>B1144*IBGE_2!AK$1144/100</f>
        <v>13</v>
      </c>
      <c r="AL1144" s="142" t="s">
        <v>3047</v>
      </c>
      <c r="AM1144" s="142" t="s">
        <v>3047</v>
      </c>
      <c r="AN1144" s="161"/>
    </row>
    <row r="1145" spans="1:40">
      <c r="A1145" s="143" t="s">
        <v>2205</v>
      </c>
      <c r="B1145" s="141">
        <v>100</v>
      </c>
      <c r="C1145" s="142">
        <f>B1145*IBGE_2!C$1145/100</f>
        <v>117</v>
      </c>
      <c r="D1145" s="142">
        <f>B1145*IBGE_2!D$1145/100</f>
        <v>24.16</v>
      </c>
      <c r="E1145" s="142">
        <f>B1145*IBGE_2!E$1145/100</f>
        <v>1.53</v>
      </c>
      <c r="F1145" s="142">
        <f>B1145*IBGE_2!F$1145/100</f>
        <v>0.36</v>
      </c>
      <c r="G1145" s="142">
        <f>B1145*IBGE_2!G$1145/100</f>
        <v>0.28000000000000003</v>
      </c>
      <c r="H1145" s="142">
        <f>B1145*IBGE_2!H$1145/100</f>
        <v>0.65</v>
      </c>
      <c r="I1145" s="142">
        <f>B1145*IBGE_2!I$1145/100</f>
        <v>0.01</v>
      </c>
      <c r="J1145" s="142">
        <f>B1145*IBGE_2!J$1145/100</f>
        <v>0.02</v>
      </c>
      <c r="K1145" s="142">
        <f>B1145*IBGE_2!K$1145/100</f>
        <v>68</v>
      </c>
      <c r="L1145" s="142" t="s">
        <v>3047</v>
      </c>
      <c r="M1145" s="142" t="s">
        <v>3047</v>
      </c>
      <c r="N1145" s="142">
        <f>B1145*IBGE_2!N$1145/100</f>
        <v>18</v>
      </c>
      <c r="O1145" s="142">
        <f>B1145*IBGE_2!O$1145/100</f>
        <v>58</v>
      </c>
      <c r="P1145" s="142">
        <f>B1145*IBGE_2!P$1145/100</f>
        <v>0.02</v>
      </c>
      <c r="Q1145" s="142">
        <f>B1145*IBGE_2!Q$1145/100</f>
        <v>289</v>
      </c>
      <c r="R1145" s="142">
        <f>B1145*IBGE_2!R$1145/100</f>
        <v>0.34</v>
      </c>
      <c r="S1145" s="142">
        <f>B1145*IBGE_2!S$1145/100</f>
        <v>105</v>
      </c>
      <c r="T1145" s="142">
        <f>B1145*IBGE_2!T$1145/100</f>
        <v>344</v>
      </c>
      <c r="U1145" s="142">
        <f>B1145*IBGE_2!U$1145/100</f>
        <v>0.03</v>
      </c>
      <c r="V1145" s="142">
        <f>B1145*IBGE_2!V$1145/100</f>
        <v>0.63</v>
      </c>
      <c r="W1145" s="142">
        <f>B1145*IBGE_2!W$1145/100</f>
        <v>13</v>
      </c>
      <c r="X1145" s="142">
        <f>B1145*IBGE_2!X$1145/100</f>
        <v>0.08</v>
      </c>
      <c r="Y1145" s="142">
        <f>B1145*IBGE_2!Y$1145/100</f>
        <v>0.11</v>
      </c>
      <c r="Z1145" s="142">
        <f>B1145*IBGE_2!Z$1145/100</f>
        <v>0.24</v>
      </c>
      <c r="AA1145" s="142">
        <f>B1145*IBGE_2!AA$1145/100</f>
        <v>2.1800000000000002</v>
      </c>
      <c r="AB1145" s="142" t="s">
        <v>3047</v>
      </c>
      <c r="AC1145" s="142">
        <f>B1145*IBGE_2!AC$1145/100</f>
        <v>6.7</v>
      </c>
      <c r="AD1145" s="142">
        <f>B1145*IBGE_2!AD$1145/100</f>
        <v>2.5099999999999998</v>
      </c>
      <c r="AE1145" s="142">
        <f>B1145*IBGE_2!AE$1145/100</f>
        <v>9</v>
      </c>
      <c r="AF1145" s="142">
        <f>B1145*IBGE_2!AF$1145/100</f>
        <v>1.1000000000000001</v>
      </c>
      <c r="AG1145" s="142">
        <f>B1145*IBGE_2!AG$1145/100</f>
        <v>0.66</v>
      </c>
      <c r="AH1145" s="142" t="s">
        <v>3047</v>
      </c>
      <c r="AI1145" s="142">
        <f>B1145*IBGE_2!AI$1145/100</f>
        <v>333</v>
      </c>
      <c r="AJ1145" s="142">
        <f>B1145*IBGE_2!AJ$1145/100</f>
        <v>58.2</v>
      </c>
      <c r="AK1145" s="142">
        <f>B1145*IBGE_2!AK$1145/100</f>
        <v>13</v>
      </c>
      <c r="AL1145" s="142" t="s">
        <v>3047</v>
      </c>
      <c r="AM1145" s="142" t="s">
        <v>3047</v>
      </c>
      <c r="AN1145" s="161"/>
    </row>
    <row r="1146" spans="1:40">
      <c r="A1146" s="143" t="s">
        <v>2206</v>
      </c>
      <c r="B1146" s="141">
        <v>100</v>
      </c>
      <c r="C1146" s="142">
        <f>B1146*IBGE_2!C$1146/100</f>
        <v>117</v>
      </c>
      <c r="D1146" s="142">
        <f>B1146*IBGE_2!D$1146/100</f>
        <v>24.16</v>
      </c>
      <c r="E1146" s="142">
        <f>B1146*IBGE_2!E$1146/100</f>
        <v>1.53</v>
      </c>
      <c r="F1146" s="142">
        <f>B1146*IBGE_2!F$1146/100</f>
        <v>0.36</v>
      </c>
      <c r="G1146" s="142">
        <f>B1146*IBGE_2!G$1146/100</f>
        <v>0.28000000000000003</v>
      </c>
      <c r="H1146" s="142">
        <f>B1146*IBGE_2!H$1146/100</f>
        <v>0.65</v>
      </c>
      <c r="I1146" s="142">
        <f>B1146*IBGE_2!I$1146/100</f>
        <v>0.01</v>
      </c>
      <c r="J1146" s="142">
        <f>B1146*IBGE_2!J$1146/100</f>
        <v>0.02</v>
      </c>
      <c r="K1146" s="142">
        <f>B1146*IBGE_2!K$1146/100</f>
        <v>68</v>
      </c>
      <c r="L1146" s="142" t="s">
        <v>3047</v>
      </c>
      <c r="M1146" s="142" t="s">
        <v>3047</v>
      </c>
      <c r="N1146" s="142">
        <f>B1146*IBGE_2!N$1146/100</f>
        <v>18</v>
      </c>
      <c r="O1146" s="142">
        <f>B1146*IBGE_2!O$1146/100</f>
        <v>58</v>
      </c>
      <c r="P1146" s="142">
        <f>B1146*IBGE_2!P$1146/100</f>
        <v>0.02</v>
      </c>
      <c r="Q1146" s="142">
        <f>B1146*IBGE_2!Q$1146/100</f>
        <v>289</v>
      </c>
      <c r="R1146" s="142">
        <f>B1146*IBGE_2!R$1146/100</f>
        <v>0.34</v>
      </c>
      <c r="S1146" s="142">
        <f>B1146*IBGE_2!S$1146/100</f>
        <v>105</v>
      </c>
      <c r="T1146" s="142">
        <f>B1146*IBGE_2!T$1146/100</f>
        <v>344</v>
      </c>
      <c r="U1146" s="142">
        <f>B1146*IBGE_2!U$1146/100</f>
        <v>0.03</v>
      </c>
      <c r="V1146" s="142">
        <f>B1146*IBGE_2!V$1146/100</f>
        <v>0.63</v>
      </c>
      <c r="W1146" s="142">
        <f>B1146*IBGE_2!W$1146/100</f>
        <v>13</v>
      </c>
      <c r="X1146" s="142">
        <f>B1146*IBGE_2!X$1146/100</f>
        <v>0.08</v>
      </c>
      <c r="Y1146" s="142">
        <f>B1146*IBGE_2!Y$1146/100</f>
        <v>0.11</v>
      </c>
      <c r="Z1146" s="142">
        <f>B1146*IBGE_2!Z$1146/100</f>
        <v>0.24</v>
      </c>
      <c r="AA1146" s="142">
        <f>B1146*IBGE_2!AA$1146/100</f>
        <v>2.1800000000000002</v>
      </c>
      <c r="AB1146" s="142" t="s">
        <v>3047</v>
      </c>
      <c r="AC1146" s="142">
        <f>B1146*IBGE_2!AC$1146/100</f>
        <v>6.7</v>
      </c>
      <c r="AD1146" s="142">
        <f>B1146*IBGE_2!AD$1146/100</f>
        <v>2.5099999999999998</v>
      </c>
      <c r="AE1146" s="142">
        <f>B1146*IBGE_2!AE$1146/100</f>
        <v>9</v>
      </c>
      <c r="AF1146" s="142">
        <f>B1146*IBGE_2!AF$1146/100</f>
        <v>1.1000000000000001</v>
      </c>
      <c r="AG1146" s="142">
        <f>B1146*IBGE_2!AG$1146/100</f>
        <v>0.66</v>
      </c>
      <c r="AH1146" s="142" t="s">
        <v>3047</v>
      </c>
      <c r="AI1146" s="142">
        <f>B1146*IBGE_2!AI$1146/100</f>
        <v>333</v>
      </c>
      <c r="AJ1146" s="142">
        <f>B1146*IBGE_2!AJ$1146/100</f>
        <v>58.2</v>
      </c>
      <c r="AK1146" s="142">
        <f>B1146*IBGE_2!AK$1146/100</f>
        <v>13</v>
      </c>
      <c r="AL1146" s="142" t="s">
        <v>3047</v>
      </c>
      <c r="AM1146" s="142" t="s">
        <v>3047</v>
      </c>
      <c r="AN1146" s="161"/>
    </row>
    <row r="1147" spans="1:40">
      <c r="A1147" s="143" t="s">
        <v>2207</v>
      </c>
      <c r="B1147" s="141">
        <v>100</v>
      </c>
      <c r="C1147" s="142">
        <f>B1147*IBGE_2!C$1147/100</f>
        <v>117</v>
      </c>
      <c r="D1147" s="142">
        <f>B1147*IBGE_2!D$1147/100</f>
        <v>24.16</v>
      </c>
      <c r="E1147" s="142">
        <f>B1147*IBGE_2!E$1147/100</f>
        <v>1.53</v>
      </c>
      <c r="F1147" s="142">
        <f>B1147*IBGE_2!F$1147/100</f>
        <v>0.36</v>
      </c>
      <c r="G1147" s="142">
        <f>B1147*IBGE_2!G$1147/100</f>
        <v>0.28000000000000003</v>
      </c>
      <c r="H1147" s="142">
        <f>B1147*IBGE_2!H$1147/100</f>
        <v>0.65</v>
      </c>
      <c r="I1147" s="142">
        <f>B1147*IBGE_2!I$1147/100</f>
        <v>0.01</v>
      </c>
      <c r="J1147" s="142">
        <f>B1147*IBGE_2!J$1147/100</f>
        <v>0.02</v>
      </c>
      <c r="K1147" s="142">
        <f>B1147*IBGE_2!K$1147/100</f>
        <v>68</v>
      </c>
      <c r="L1147" s="142" t="s">
        <v>3047</v>
      </c>
      <c r="M1147" s="142" t="s">
        <v>3047</v>
      </c>
      <c r="N1147" s="142">
        <f>B1147*IBGE_2!N$1147/100</f>
        <v>18</v>
      </c>
      <c r="O1147" s="142">
        <f>B1147*IBGE_2!O$1147/100</f>
        <v>58</v>
      </c>
      <c r="P1147" s="142">
        <f>B1147*IBGE_2!P$1147/100</f>
        <v>0.02</v>
      </c>
      <c r="Q1147" s="142">
        <f>B1147*IBGE_2!Q$1147/100</f>
        <v>289</v>
      </c>
      <c r="R1147" s="142">
        <f>B1147*IBGE_2!R$1147/100</f>
        <v>0.34</v>
      </c>
      <c r="S1147" s="142">
        <f>B1147*IBGE_2!S$1147/100</f>
        <v>105</v>
      </c>
      <c r="T1147" s="142">
        <f>B1147*IBGE_2!T$1147/100</f>
        <v>344</v>
      </c>
      <c r="U1147" s="142">
        <f>B1147*IBGE_2!U$1147/100</f>
        <v>0.03</v>
      </c>
      <c r="V1147" s="142">
        <f>B1147*IBGE_2!V$1147/100</f>
        <v>0.63</v>
      </c>
      <c r="W1147" s="142">
        <f>B1147*IBGE_2!W$1147/100</f>
        <v>13</v>
      </c>
      <c r="X1147" s="142">
        <f>B1147*IBGE_2!X$1147/100</f>
        <v>0.08</v>
      </c>
      <c r="Y1147" s="142">
        <f>B1147*IBGE_2!Y$1147/100</f>
        <v>0.11</v>
      </c>
      <c r="Z1147" s="142">
        <f>B1147*IBGE_2!Z$1147/100</f>
        <v>0.24</v>
      </c>
      <c r="AA1147" s="142">
        <f>B1147*IBGE_2!AA$1147/100</f>
        <v>2.1800000000000002</v>
      </c>
      <c r="AB1147" s="142" t="s">
        <v>3047</v>
      </c>
      <c r="AC1147" s="142">
        <f>B1147*IBGE_2!AC$1147/100</f>
        <v>6.7</v>
      </c>
      <c r="AD1147" s="142">
        <f>B1147*IBGE_2!AD$1147/100</f>
        <v>2.5099999999999998</v>
      </c>
      <c r="AE1147" s="142">
        <f>B1147*IBGE_2!AE$1147/100</f>
        <v>9</v>
      </c>
      <c r="AF1147" s="142">
        <f>B1147*IBGE_2!AF$1147/100</f>
        <v>1.1000000000000001</v>
      </c>
      <c r="AG1147" s="142">
        <f>B1147*IBGE_2!AG$1147/100</f>
        <v>0.66</v>
      </c>
      <c r="AH1147" s="142" t="s">
        <v>3047</v>
      </c>
      <c r="AI1147" s="142">
        <f>B1147*IBGE_2!AI$1147/100</f>
        <v>333</v>
      </c>
      <c r="AJ1147" s="142">
        <f>B1147*IBGE_2!AJ$1147/100</f>
        <v>58.2</v>
      </c>
      <c r="AK1147" s="142">
        <f>B1147*IBGE_2!AK$1147/100</f>
        <v>13</v>
      </c>
      <c r="AL1147" s="142" t="s">
        <v>3047</v>
      </c>
      <c r="AM1147" s="142" t="s">
        <v>3047</v>
      </c>
      <c r="AN1147" s="161"/>
    </row>
    <row r="1148" spans="1:40">
      <c r="A1148" s="143" t="s">
        <v>2208</v>
      </c>
      <c r="B1148" s="141">
        <v>100</v>
      </c>
      <c r="C1148" s="142">
        <f>B1148*IBGE_2!C$1148/100</f>
        <v>139.66</v>
      </c>
      <c r="D1148" s="142">
        <f>B1148*IBGE_2!D$1148/100</f>
        <v>24.16</v>
      </c>
      <c r="E1148" s="142">
        <f>B1148*IBGE_2!E$1148/100</f>
        <v>4.09</v>
      </c>
      <c r="F1148" s="142">
        <f>B1148*IBGE_2!F$1148/100</f>
        <v>0.73</v>
      </c>
      <c r="G1148" s="142">
        <f>B1148*IBGE_2!G$1148/100</f>
        <v>0.87</v>
      </c>
      <c r="H1148" s="142">
        <f>B1148*IBGE_2!H$1148/100</f>
        <v>2.13</v>
      </c>
      <c r="I1148" s="142">
        <f>B1148*IBGE_2!I$1148/100</f>
        <v>1.32</v>
      </c>
      <c r="J1148" s="142">
        <f>B1148*IBGE_2!J$1148/100</f>
        <v>0.19</v>
      </c>
      <c r="K1148" s="142">
        <f>B1148*IBGE_2!K$1148/100</f>
        <v>68</v>
      </c>
      <c r="L1148" s="142" t="s">
        <v>3047</v>
      </c>
      <c r="M1148" s="142" t="s">
        <v>3047</v>
      </c>
      <c r="N1148" s="142">
        <f>B1148*IBGE_2!N$1148/100</f>
        <v>18</v>
      </c>
      <c r="O1148" s="142">
        <f>B1148*IBGE_2!O$1148/100</f>
        <v>58</v>
      </c>
      <c r="P1148" s="142">
        <f>B1148*IBGE_2!P$1148/100</f>
        <v>0.02</v>
      </c>
      <c r="Q1148" s="142">
        <f>B1148*IBGE_2!Q$1148/100</f>
        <v>289</v>
      </c>
      <c r="R1148" s="142">
        <f>B1148*IBGE_2!R$1148/100</f>
        <v>0.34</v>
      </c>
      <c r="S1148" s="142">
        <f>B1148*IBGE_2!S$1148/100</f>
        <v>105</v>
      </c>
      <c r="T1148" s="142">
        <f>B1148*IBGE_2!T$1148/100</f>
        <v>344</v>
      </c>
      <c r="U1148" s="142">
        <f>B1148*IBGE_2!U$1148/100</f>
        <v>0.03</v>
      </c>
      <c r="V1148" s="142">
        <f>B1148*IBGE_2!V$1148/100</f>
        <v>0.63</v>
      </c>
      <c r="W1148" s="142">
        <f>B1148*IBGE_2!W$1148/100</f>
        <v>13</v>
      </c>
      <c r="X1148" s="142">
        <f>B1148*IBGE_2!X$1148/100</f>
        <v>0.08</v>
      </c>
      <c r="Y1148" s="142">
        <f>B1148*IBGE_2!Y$1148/100</f>
        <v>0.11</v>
      </c>
      <c r="Z1148" s="142">
        <f>B1148*IBGE_2!Z$1148/100</f>
        <v>0.24</v>
      </c>
      <c r="AA1148" s="142">
        <f>B1148*IBGE_2!AA$1148/100</f>
        <v>2.1800000000000002</v>
      </c>
      <c r="AB1148" s="142" t="s">
        <v>3047</v>
      </c>
      <c r="AC1148" s="142">
        <f>B1148*IBGE_2!AC$1148/100</f>
        <v>6.7</v>
      </c>
      <c r="AD1148" s="142">
        <f>B1148*IBGE_2!AD$1148/100</f>
        <v>2.5099999999999998</v>
      </c>
      <c r="AE1148" s="142">
        <f>B1148*IBGE_2!AE$1148/100</f>
        <v>9</v>
      </c>
      <c r="AF1148" s="142">
        <f>B1148*IBGE_2!AF$1148/100</f>
        <v>1.1000000000000001</v>
      </c>
      <c r="AG1148" s="142">
        <f>B1148*IBGE_2!AG$1148/100</f>
        <v>0.9</v>
      </c>
      <c r="AH1148" s="142" t="s">
        <v>3047</v>
      </c>
      <c r="AI1148" s="142">
        <f>B1148*IBGE_2!AI$1148/100</f>
        <v>333</v>
      </c>
      <c r="AJ1148" s="142">
        <f>B1148*IBGE_2!AJ$1148/100</f>
        <v>59.37</v>
      </c>
      <c r="AK1148" s="142">
        <f>B1148*IBGE_2!AK$1148/100</f>
        <v>13</v>
      </c>
      <c r="AL1148" s="142" t="s">
        <v>3047</v>
      </c>
      <c r="AM1148" s="142" t="s">
        <v>3047</v>
      </c>
      <c r="AN1148" s="161"/>
    </row>
    <row r="1149" spans="1:40">
      <c r="A1149" s="143" t="s">
        <v>2209</v>
      </c>
      <c r="B1149" s="141">
        <v>100</v>
      </c>
      <c r="C1149" s="142">
        <f>B1149*IBGE_2!C$1149/100</f>
        <v>155.84</v>
      </c>
      <c r="D1149" s="142">
        <f>B1149*IBGE_2!D$1149/100</f>
        <v>24.62</v>
      </c>
      <c r="E1149" s="142">
        <f>B1149*IBGE_2!E$1149/100</f>
        <v>4.1399999999999997</v>
      </c>
      <c r="F1149" s="142">
        <f>B1149*IBGE_2!F$1149/100</f>
        <v>0.74</v>
      </c>
      <c r="G1149" s="142">
        <f>B1149*IBGE_2!G$1149/100</f>
        <v>0.88</v>
      </c>
      <c r="H1149" s="142">
        <f>B1149*IBGE_2!H$1149/100</f>
        <v>2.15</v>
      </c>
      <c r="I1149" s="142">
        <f>B1149*IBGE_2!I$1149/100</f>
        <v>1.34</v>
      </c>
      <c r="J1149" s="142">
        <f>B1149*IBGE_2!J$1149/100</f>
        <v>0.19</v>
      </c>
      <c r="K1149" s="142">
        <f>B1149*IBGE_2!K$1149/100</f>
        <v>68</v>
      </c>
      <c r="L1149" s="142">
        <f>B1149*IBGE_2!L$1149/100</f>
        <v>3.39</v>
      </c>
      <c r="M1149" s="142">
        <f>B1149*IBGE_2!M$1149/100</f>
        <v>0.14000000000000001</v>
      </c>
      <c r="N1149" s="142">
        <f>B1149*IBGE_2!N$1149/100</f>
        <v>18.670000000000002</v>
      </c>
      <c r="O1149" s="142">
        <f>B1149*IBGE_2!O$1149/100</f>
        <v>58.98</v>
      </c>
      <c r="P1149" s="142">
        <f>B1149*IBGE_2!P$1149/100</f>
        <v>0.05</v>
      </c>
      <c r="Q1149" s="142">
        <f>B1149*IBGE_2!Q$1149/100</f>
        <v>293.8</v>
      </c>
      <c r="R1149" s="142">
        <f>B1149*IBGE_2!R$1149/100</f>
        <v>0.55000000000000004</v>
      </c>
      <c r="S1149" s="142">
        <f>B1149*IBGE_2!S$1149/100</f>
        <v>105.09</v>
      </c>
      <c r="T1149" s="142">
        <f>B1149*IBGE_2!T$1149/100</f>
        <v>348.76</v>
      </c>
      <c r="U1149" s="142">
        <f>B1149*IBGE_2!U$1149/100</f>
        <v>0.03</v>
      </c>
      <c r="V1149" s="142">
        <f>B1149*IBGE_2!V$1149/100</f>
        <v>0.66</v>
      </c>
      <c r="W1149" s="142">
        <f>B1149*IBGE_2!W$1149/100</f>
        <v>13</v>
      </c>
      <c r="X1149" s="142">
        <f>B1149*IBGE_2!X$1149/100</f>
        <v>0.11</v>
      </c>
      <c r="Y1149" s="142">
        <f>B1149*IBGE_2!Y$1149/100</f>
        <v>0.14000000000000001</v>
      </c>
      <c r="Z1149" s="142">
        <f>B1149*IBGE_2!Z$1149/100</f>
        <v>0.24</v>
      </c>
      <c r="AA1149" s="142">
        <f>B1149*IBGE_2!AA$1149/100</f>
        <v>2.44</v>
      </c>
      <c r="AB1149" s="142" t="s">
        <v>3047</v>
      </c>
      <c r="AC1149" s="142">
        <f>B1149*IBGE_2!AC$1149/100</f>
        <v>7.05</v>
      </c>
      <c r="AD1149" s="142">
        <f>B1149*IBGE_2!AD$1149/100</f>
        <v>2.5099999999999998</v>
      </c>
      <c r="AE1149" s="142">
        <f>B1149*IBGE_2!AE$1149/100</f>
        <v>18.07</v>
      </c>
      <c r="AF1149" s="142">
        <f>B1149*IBGE_2!AF$1149/100</f>
        <v>1.1000000000000001</v>
      </c>
      <c r="AG1149" s="142">
        <f>B1149*IBGE_2!AG$1149/100</f>
        <v>0.9</v>
      </c>
      <c r="AH1149" s="142" t="s">
        <v>3047</v>
      </c>
      <c r="AI1149" s="142">
        <f>B1149*IBGE_2!AI$1149/100</f>
        <v>333</v>
      </c>
      <c r="AJ1149" s="142">
        <f>B1149*IBGE_2!AJ$1149/100</f>
        <v>60.88</v>
      </c>
      <c r="AK1149" s="142">
        <f>B1149*IBGE_2!AK$1149/100</f>
        <v>13</v>
      </c>
      <c r="AL1149" s="142">
        <f>B1149*IBGE_2!AL$1149/100</f>
        <v>0.01</v>
      </c>
      <c r="AM1149" s="142" t="s">
        <v>3047</v>
      </c>
      <c r="AN1149" s="161"/>
    </row>
    <row r="1150" spans="1:40">
      <c r="A1150" s="143" t="s">
        <v>2210</v>
      </c>
      <c r="B1150" s="141">
        <v>100</v>
      </c>
      <c r="C1150" s="142">
        <f>B1150*IBGE_2!C$1150/100</f>
        <v>139.66</v>
      </c>
      <c r="D1150" s="142">
        <f>B1150*IBGE_2!D$1150/100</f>
        <v>24.16</v>
      </c>
      <c r="E1150" s="142">
        <f>B1150*IBGE_2!E$1150/100</f>
        <v>4.09</v>
      </c>
      <c r="F1150" s="142">
        <f>B1150*IBGE_2!F$1150/100</f>
        <v>0.73</v>
      </c>
      <c r="G1150" s="142">
        <f>B1150*IBGE_2!G$1150/100</f>
        <v>0.87</v>
      </c>
      <c r="H1150" s="142">
        <f>B1150*IBGE_2!H$1150/100</f>
        <v>2.13</v>
      </c>
      <c r="I1150" s="142">
        <f>B1150*IBGE_2!I$1150/100</f>
        <v>1.32</v>
      </c>
      <c r="J1150" s="142">
        <f>B1150*IBGE_2!J$1150/100</f>
        <v>0.19</v>
      </c>
      <c r="K1150" s="142">
        <f>B1150*IBGE_2!K$1150/100</f>
        <v>68</v>
      </c>
      <c r="L1150" s="142" t="s">
        <v>3047</v>
      </c>
      <c r="M1150" s="142" t="s">
        <v>3047</v>
      </c>
      <c r="N1150" s="142">
        <f>B1150*IBGE_2!N$1150/100</f>
        <v>18</v>
      </c>
      <c r="O1150" s="142">
        <f>B1150*IBGE_2!O$1150/100</f>
        <v>58</v>
      </c>
      <c r="P1150" s="142">
        <f>B1150*IBGE_2!P$1150/100</f>
        <v>0.02</v>
      </c>
      <c r="Q1150" s="142">
        <f>B1150*IBGE_2!Q$1150/100</f>
        <v>289</v>
      </c>
      <c r="R1150" s="142">
        <f>B1150*IBGE_2!R$1150/100</f>
        <v>0.34</v>
      </c>
      <c r="S1150" s="142">
        <f>B1150*IBGE_2!S$1150/100</f>
        <v>105</v>
      </c>
      <c r="T1150" s="142">
        <f>B1150*IBGE_2!T$1150/100</f>
        <v>344</v>
      </c>
      <c r="U1150" s="142">
        <f>B1150*IBGE_2!U$1150/100</f>
        <v>0.03</v>
      </c>
      <c r="V1150" s="142">
        <f>B1150*IBGE_2!V$1150/100</f>
        <v>0.63</v>
      </c>
      <c r="W1150" s="142">
        <f>B1150*IBGE_2!W$1150/100</f>
        <v>13</v>
      </c>
      <c r="X1150" s="142">
        <f>B1150*IBGE_2!X$1150/100</f>
        <v>0.08</v>
      </c>
      <c r="Y1150" s="142">
        <f>B1150*IBGE_2!Y$1150/100</f>
        <v>0.11</v>
      </c>
      <c r="Z1150" s="142">
        <f>B1150*IBGE_2!Z$1150/100</f>
        <v>0.24</v>
      </c>
      <c r="AA1150" s="142">
        <f>B1150*IBGE_2!AA$1150/100</f>
        <v>2.1800000000000002</v>
      </c>
      <c r="AB1150" s="142" t="s">
        <v>3047</v>
      </c>
      <c r="AC1150" s="142">
        <f>B1150*IBGE_2!AC$1150/100</f>
        <v>6.7</v>
      </c>
      <c r="AD1150" s="142">
        <f>B1150*IBGE_2!AD$1150/100</f>
        <v>2.5099999999999998</v>
      </c>
      <c r="AE1150" s="142">
        <f>B1150*IBGE_2!AE$1150/100</f>
        <v>9</v>
      </c>
      <c r="AF1150" s="142">
        <f>B1150*IBGE_2!AF$1150/100</f>
        <v>1.1000000000000001</v>
      </c>
      <c r="AG1150" s="142">
        <f>B1150*IBGE_2!AG$1150/100</f>
        <v>0.9</v>
      </c>
      <c r="AH1150" s="142" t="s">
        <v>3047</v>
      </c>
      <c r="AI1150" s="142">
        <f>B1150*IBGE_2!AI$1150/100</f>
        <v>333</v>
      </c>
      <c r="AJ1150" s="142">
        <f>B1150*IBGE_2!AJ$1150/100</f>
        <v>59.37</v>
      </c>
      <c r="AK1150" s="142">
        <f>B1150*IBGE_2!AK$1150/100</f>
        <v>13</v>
      </c>
      <c r="AL1150" s="145" t="s">
        <v>3047</v>
      </c>
      <c r="AM1150" s="142" t="s">
        <v>3047</v>
      </c>
      <c r="AN1150" s="161"/>
    </row>
    <row r="1151" spans="1:40">
      <c r="A1151" s="143" t="s">
        <v>2211</v>
      </c>
      <c r="B1151" s="141">
        <v>100</v>
      </c>
      <c r="C1151" s="142">
        <f>B1151*IBGE_2!C$1151/100</f>
        <v>98.4</v>
      </c>
      <c r="D1151" s="142">
        <f>B1151*IBGE_2!D$1151/100</f>
        <v>19.59</v>
      </c>
      <c r="E1151" s="142">
        <f>B1151*IBGE_2!E$1151/100</f>
        <v>1.26</v>
      </c>
      <c r="F1151" s="142">
        <f>B1151*IBGE_2!F$1151/100</f>
        <v>0.3</v>
      </c>
      <c r="G1151" s="142">
        <f>B1151*IBGE_2!G$1151/100</f>
        <v>0.23</v>
      </c>
      <c r="H1151" s="142">
        <f>B1151*IBGE_2!H$1151/100</f>
        <v>0.53</v>
      </c>
      <c r="I1151" s="142">
        <f>B1151*IBGE_2!I$1151/100</f>
        <v>0.03</v>
      </c>
      <c r="J1151" s="142">
        <f>B1151*IBGE_2!J$1151/100</f>
        <v>0.01</v>
      </c>
      <c r="K1151" s="142">
        <f>B1151*IBGE_2!K$1151/100</f>
        <v>54.4</v>
      </c>
      <c r="L1151" s="142">
        <f>B1151*IBGE_2!L$1151/100</f>
        <v>1.08</v>
      </c>
      <c r="M1151" s="142">
        <f>B1151*IBGE_2!M$1151/100</f>
        <v>0.3</v>
      </c>
      <c r="N1151" s="142">
        <f>B1151*IBGE_2!N$1151/100</f>
        <v>17</v>
      </c>
      <c r="O1151" s="142">
        <f>B1151*IBGE_2!O$1151/100</f>
        <v>49.6</v>
      </c>
      <c r="P1151" s="142">
        <f>B1151*IBGE_2!P$1151/100</f>
        <v>0.04</v>
      </c>
      <c r="Q1151" s="142">
        <f>B1151*IBGE_2!Q$1151/100</f>
        <v>236.4</v>
      </c>
      <c r="R1151" s="142">
        <f>B1151*IBGE_2!R$1151/100</f>
        <v>0.48</v>
      </c>
      <c r="S1151" s="142">
        <f>B1151*IBGE_2!S$1151/100</f>
        <v>188.8</v>
      </c>
      <c r="T1151" s="142">
        <f>B1151*IBGE_2!T$1151/100</f>
        <v>341.4</v>
      </c>
      <c r="U1151" s="142">
        <f>B1151*IBGE_2!U$1151/100</f>
        <v>0.04</v>
      </c>
      <c r="V1151" s="142">
        <f>B1151*IBGE_2!V$1151/100</f>
        <v>0.54</v>
      </c>
      <c r="W1151" s="142">
        <f>B1151*IBGE_2!W$1151/100</f>
        <v>10.4</v>
      </c>
      <c r="X1151" s="142">
        <f>B1151*IBGE_2!X$1151/100</f>
        <v>7.0000000000000007E-2</v>
      </c>
      <c r="Y1151" s="142">
        <f>B1151*IBGE_2!Y$1151/100</f>
        <v>0.1</v>
      </c>
      <c r="Z1151" s="142">
        <f>B1151*IBGE_2!Z$1151/100</f>
        <v>0.21</v>
      </c>
      <c r="AA1151" s="142">
        <f>B1151*IBGE_2!AA$1151/100</f>
        <v>1.94</v>
      </c>
      <c r="AB1151" s="142">
        <f>B1151*IBGE_2!AB$1151/100</f>
        <v>1.4</v>
      </c>
      <c r="AC1151" s="142">
        <f>B1151*IBGE_2!AC$1151/100</f>
        <v>5.58</v>
      </c>
      <c r="AD1151" s="142">
        <f>B1151*IBGE_2!AD$1151/100</f>
        <v>2.0099999999999998</v>
      </c>
      <c r="AE1151" s="142">
        <f>B1151*IBGE_2!AE$1151/100</f>
        <v>9.4</v>
      </c>
      <c r="AF1151" s="142">
        <f>B1151*IBGE_2!AF$1151/100</f>
        <v>0.88</v>
      </c>
      <c r="AG1151" s="142">
        <f>B1151*IBGE_2!AG$1151/100</f>
        <v>0.81</v>
      </c>
      <c r="AH1151" s="142" t="s">
        <v>3047</v>
      </c>
      <c r="AI1151" s="142">
        <f>B1151*IBGE_2!AI$1151/100</f>
        <v>333</v>
      </c>
      <c r="AJ1151" s="142">
        <f>B1151*IBGE_2!AJ$1151/100</f>
        <v>46.6</v>
      </c>
      <c r="AK1151" s="142">
        <f>B1151*IBGE_2!AK$1151/100</f>
        <v>13.88</v>
      </c>
      <c r="AL1151" s="142">
        <f>B1151*IBGE_2!AL$1151/100</f>
        <v>0.85</v>
      </c>
      <c r="AM1151" s="142" t="s">
        <v>3047</v>
      </c>
      <c r="AN1151" s="161"/>
    </row>
    <row r="1152" spans="1:40">
      <c r="A1152" s="143" t="s">
        <v>2212</v>
      </c>
      <c r="B1152" s="141">
        <v>100</v>
      </c>
      <c r="C1152" s="142">
        <f>B1152*IBGE_2!C$1152/100</f>
        <v>140.05000000000001</v>
      </c>
      <c r="D1152" s="142">
        <f>B1152*IBGE_2!D$1152/100</f>
        <v>20.81</v>
      </c>
      <c r="E1152" s="142">
        <f>B1152*IBGE_2!E$1152/100</f>
        <v>5.1100000000000003</v>
      </c>
      <c r="F1152" s="142">
        <f>B1152*IBGE_2!F$1152/100</f>
        <v>2.3199999999999998</v>
      </c>
      <c r="G1152" s="142">
        <f>B1152*IBGE_2!G$1152/100</f>
        <v>1.3</v>
      </c>
      <c r="H1152" s="142">
        <f>B1152*IBGE_2!H$1152/100</f>
        <v>1.06</v>
      </c>
      <c r="I1152" s="142">
        <f>B1152*IBGE_2!I$1152/100</f>
        <v>0.45</v>
      </c>
      <c r="J1152" s="142">
        <f>B1152*IBGE_2!J$1152/100</f>
        <v>0.09</v>
      </c>
      <c r="K1152" s="142">
        <f>B1152*IBGE_2!K$1152/100</f>
        <v>68.33</v>
      </c>
      <c r="L1152" s="142">
        <f>B1152*IBGE_2!L$1152/100</f>
        <v>1.47</v>
      </c>
      <c r="M1152" s="142">
        <f>B1152*IBGE_2!M$1152/100</f>
        <v>7.0000000000000007E-2</v>
      </c>
      <c r="N1152" s="142">
        <f>B1152*IBGE_2!N$1152/100</f>
        <v>27.08</v>
      </c>
      <c r="O1152" s="142">
        <f>B1152*IBGE_2!O$1152/100</f>
        <v>48.76</v>
      </c>
      <c r="P1152" s="142">
        <f>B1152*IBGE_2!P$1152/100</f>
        <v>7.0000000000000007E-2</v>
      </c>
      <c r="Q1152" s="142">
        <f>B1152*IBGE_2!Q$1152/100</f>
        <v>254.53</v>
      </c>
      <c r="R1152" s="142">
        <f>B1152*IBGE_2!R$1152/100</f>
        <v>1.6</v>
      </c>
      <c r="S1152" s="142">
        <f>B1152*IBGE_2!S$1152/100</f>
        <v>92.8</v>
      </c>
      <c r="T1152" s="142">
        <f>B1152*IBGE_2!T$1152/100</f>
        <v>321.14999999999998</v>
      </c>
      <c r="U1152" s="142">
        <f>B1152*IBGE_2!U$1152/100</f>
        <v>0.06</v>
      </c>
      <c r="V1152" s="142">
        <f>B1152*IBGE_2!V$1152/100</f>
        <v>0.67</v>
      </c>
      <c r="W1152" s="142">
        <f>B1152*IBGE_2!W$1152/100</f>
        <v>45.47</v>
      </c>
      <c r="X1152" s="142">
        <f>B1152*IBGE_2!X$1152/100</f>
        <v>0.08</v>
      </c>
      <c r="Y1152" s="142">
        <f>B1152*IBGE_2!Y$1152/100</f>
        <v>0.13</v>
      </c>
      <c r="Z1152" s="142">
        <f>B1152*IBGE_2!Z$1152/100</f>
        <v>0.21</v>
      </c>
      <c r="AA1152" s="142">
        <f>B1152*IBGE_2!AA$1152/100</f>
        <v>1.96</v>
      </c>
      <c r="AB1152" s="142">
        <f>B1152*IBGE_2!AB$1152/100</f>
        <v>1.72</v>
      </c>
      <c r="AC1152" s="142">
        <f>B1152*IBGE_2!AC$1152/100</f>
        <v>5.86</v>
      </c>
      <c r="AD1152" s="142">
        <f>B1152*IBGE_2!AD$1152/100</f>
        <v>6.4</v>
      </c>
      <c r="AE1152" s="142">
        <f>B1152*IBGE_2!AE$1152/100</f>
        <v>11.51</v>
      </c>
      <c r="AF1152" s="142">
        <f>B1152*IBGE_2!AF$1152/100</f>
        <v>1</v>
      </c>
      <c r="AG1152" s="142">
        <f>B1152*IBGE_2!AG$1152/100</f>
        <v>0.72</v>
      </c>
      <c r="AH1152" s="142">
        <f>B1152*IBGE_2!AH$1152/100</f>
        <v>0.11</v>
      </c>
      <c r="AI1152" s="142">
        <f>B1152*IBGE_2!AI$1152/100</f>
        <v>333</v>
      </c>
      <c r="AJ1152" s="142">
        <f>B1152*IBGE_2!AJ$1152/100</f>
        <v>49.41</v>
      </c>
      <c r="AK1152" s="142">
        <f>B1152*IBGE_2!AK$1152/100</f>
        <v>47.69</v>
      </c>
      <c r="AL1152" s="142">
        <f>B1152*IBGE_2!AL$1152/100</f>
        <v>0.39</v>
      </c>
      <c r="AM1152" s="142" t="s">
        <v>3047</v>
      </c>
      <c r="AN1152" s="161"/>
    </row>
    <row r="1153" spans="1:40">
      <c r="A1153" s="143" t="s">
        <v>2213</v>
      </c>
      <c r="B1153" s="141">
        <v>100</v>
      </c>
      <c r="C1153" s="142">
        <f>B1153*IBGE_2!C$1153/100</f>
        <v>139.66</v>
      </c>
      <c r="D1153" s="142">
        <f>B1153*IBGE_2!D$1153/100</f>
        <v>24.16</v>
      </c>
      <c r="E1153" s="142">
        <f>B1153*IBGE_2!E$1153/100</f>
        <v>4.09</v>
      </c>
      <c r="F1153" s="142">
        <f>B1153*IBGE_2!F$1153/100</f>
        <v>0.73</v>
      </c>
      <c r="G1153" s="142">
        <f>B1153*IBGE_2!G$1153/100</f>
        <v>0.87</v>
      </c>
      <c r="H1153" s="142">
        <f>B1153*IBGE_2!H$1153/100</f>
        <v>2.13</v>
      </c>
      <c r="I1153" s="142">
        <f>B1153*IBGE_2!I$1153/100</f>
        <v>1.32</v>
      </c>
      <c r="J1153" s="142">
        <f>B1153*IBGE_2!J$1153/100</f>
        <v>0.19</v>
      </c>
      <c r="K1153" s="142">
        <f>B1153*IBGE_2!K$1153/100</f>
        <v>68</v>
      </c>
      <c r="L1153" s="142" t="s">
        <v>3047</v>
      </c>
      <c r="M1153" s="142" t="s">
        <v>3047</v>
      </c>
      <c r="N1153" s="142">
        <f>B1153*IBGE_2!N$1153/100</f>
        <v>18</v>
      </c>
      <c r="O1153" s="142">
        <f>B1153*IBGE_2!O$1153/100</f>
        <v>58</v>
      </c>
      <c r="P1153" s="142">
        <f>B1153*IBGE_2!P$1153/100</f>
        <v>0.02</v>
      </c>
      <c r="Q1153" s="142">
        <f>B1153*IBGE_2!Q$1153/100</f>
        <v>289</v>
      </c>
      <c r="R1153" s="142">
        <f>B1153*IBGE_2!R$1153/100</f>
        <v>0.34</v>
      </c>
      <c r="S1153" s="142">
        <f>B1153*IBGE_2!S$1153/100</f>
        <v>105</v>
      </c>
      <c r="T1153" s="142">
        <f>B1153*IBGE_2!T$1153/100</f>
        <v>344</v>
      </c>
      <c r="U1153" s="142">
        <f>B1153*IBGE_2!U$1153/100</f>
        <v>0.03</v>
      </c>
      <c r="V1153" s="142">
        <f>B1153*IBGE_2!V$1153/100</f>
        <v>0.63</v>
      </c>
      <c r="W1153" s="142">
        <f>B1153*IBGE_2!W$1153/100</f>
        <v>13</v>
      </c>
      <c r="X1153" s="142">
        <f>B1153*IBGE_2!X$1153/100</f>
        <v>0.08</v>
      </c>
      <c r="Y1153" s="142">
        <f>B1153*IBGE_2!Y$1153/100</f>
        <v>0.11</v>
      </c>
      <c r="Z1153" s="142">
        <f>B1153*IBGE_2!Z$1153/100</f>
        <v>0.24</v>
      </c>
      <c r="AA1153" s="142">
        <f>B1153*IBGE_2!AA$1153/100</f>
        <v>2.1800000000000002</v>
      </c>
      <c r="AB1153" s="142" t="s">
        <v>3047</v>
      </c>
      <c r="AC1153" s="142">
        <f>B1153*IBGE_2!AC$1153/100</f>
        <v>6.7</v>
      </c>
      <c r="AD1153" s="142">
        <f>B1153*IBGE_2!AD$1153/100</f>
        <v>2.5099999999999998</v>
      </c>
      <c r="AE1153" s="142">
        <f>B1153*IBGE_2!AE$1153/100</f>
        <v>9</v>
      </c>
      <c r="AF1153" s="142">
        <f>B1153*IBGE_2!AF$1153/100</f>
        <v>1.1000000000000001</v>
      </c>
      <c r="AG1153" s="142">
        <f>B1153*IBGE_2!AG$1153/100</f>
        <v>0.9</v>
      </c>
      <c r="AH1153" s="142" t="s">
        <v>3047</v>
      </c>
      <c r="AI1153" s="142">
        <f>B1153*IBGE_2!AI$1153/100</f>
        <v>333</v>
      </c>
      <c r="AJ1153" s="142">
        <f>B1153*IBGE_2!AJ$1153/100</f>
        <v>59.37</v>
      </c>
      <c r="AK1153" s="142">
        <f>B1153*IBGE_2!AK$1153/100</f>
        <v>13</v>
      </c>
      <c r="AL1153" s="142" t="s">
        <v>3047</v>
      </c>
      <c r="AM1153" s="142" t="s">
        <v>3047</v>
      </c>
      <c r="AN1153" s="161"/>
    </row>
    <row r="1154" spans="1:40">
      <c r="A1154" s="143" t="s">
        <v>2214</v>
      </c>
      <c r="B1154" s="141">
        <v>100</v>
      </c>
      <c r="C1154" s="142">
        <f>B1154*IBGE_2!C$1154/100</f>
        <v>117</v>
      </c>
      <c r="D1154" s="142">
        <f>B1154*IBGE_2!D$1154/100</f>
        <v>24.16</v>
      </c>
      <c r="E1154" s="142">
        <f>B1154*IBGE_2!E$1154/100</f>
        <v>1.53</v>
      </c>
      <c r="F1154" s="142">
        <f>B1154*IBGE_2!F$1154/100</f>
        <v>0.36</v>
      </c>
      <c r="G1154" s="142">
        <f>B1154*IBGE_2!G$1154/100</f>
        <v>0.28000000000000003</v>
      </c>
      <c r="H1154" s="142">
        <f>B1154*IBGE_2!H$1154/100</f>
        <v>0.65</v>
      </c>
      <c r="I1154" s="142">
        <f>B1154*IBGE_2!I$1154/100</f>
        <v>0.01</v>
      </c>
      <c r="J1154" s="142">
        <f>B1154*IBGE_2!J$1154/100</f>
        <v>0.02</v>
      </c>
      <c r="K1154" s="142">
        <f>B1154*IBGE_2!K$1154/100</f>
        <v>68</v>
      </c>
      <c r="L1154" s="142" t="s">
        <v>3047</v>
      </c>
      <c r="M1154" s="142" t="s">
        <v>3047</v>
      </c>
      <c r="N1154" s="142">
        <f>B1154*IBGE_2!N$1154/100</f>
        <v>18</v>
      </c>
      <c r="O1154" s="142">
        <f>B1154*IBGE_2!O$1154/100</f>
        <v>58</v>
      </c>
      <c r="P1154" s="142">
        <f>B1154*IBGE_2!P$1154/100</f>
        <v>0.02</v>
      </c>
      <c r="Q1154" s="142">
        <f>B1154*IBGE_2!Q$1154/100</f>
        <v>289</v>
      </c>
      <c r="R1154" s="142">
        <f>B1154*IBGE_2!R$1154/100</f>
        <v>0.34</v>
      </c>
      <c r="S1154" s="142">
        <f>B1154*IBGE_2!S$1154/100</f>
        <v>105</v>
      </c>
      <c r="T1154" s="142">
        <f>B1154*IBGE_2!T$1154/100</f>
        <v>344</v>
      </c>
      <c r="U1154" s="142">
        <f>B1154*IBGE_2!U$1154/100</f>
        <v>0.03</v>
      </c>
      <c r="V1154" s="142">
        <f>B1154*IBGE_2!V$1154/100</f>
        <v>0.63</v>
      </c>
      <c r="W1154" s="142">
        <f>B1154*IBGE_2!W$1154/100</f>
        <v>13</v>
      </c>
      <c r="X1154" s="142">
        <f>B1154*IBGE_2!X$1154/100</f>
        <v>0.08</v>
      </c>
      <c r="Y1154" s="142">
        <f>B1154*IBGE_2!Y$1154/100</f>
        <v>0.11</v>
      </c>
      <c r="Z1154" s="142">
        <f>B1154*IBGE_2!Z$1154/100</f>
        <v>0.24</v>
      </c>
      <c r="AA1154" s="142">
        <f>B1154*IBGE_2!AA$1154/100</f>
        <v>2.1800000000000002</v>
      </c>
      <c r="AB1154" s="142" t="s">
        <v>3047</v>
      </c>
      <c r="AC1154" s="142">
        <f>B1154*IBGE_2!AC$1154/100</f>
        <v>6.7</v>
      </c>
      <c r="AD1154" s="142">
        <f>B1154*IBGE_2!AD$1154/100</f>
        <v>2.5099999999999998</v>
      </c>
      <c r="AE1154" s="142">
        <f>B1154*IBGE_2!AE$1154/100</f>
        <v>9</v>
      </c>
      <c r="AF1154" s="142">
        <f>B1154*IBGE_2!AF$1154/100</f>
        <v>1.1000000000000001</v>
      </c>
      <c r="AG1154" s="142">
        <f>B1154*IBGE_2!AG$1154/100</f>
        <v>0.66</v>
      </c>
      <c r="AH1154" s="142" t="s">
        <v>3047</v>
      </c>
      <c r="AI1154" s="142" t="s">
        <v>3047</v>
      </c>
      <c r="AJ1154" s="142">
        <f>B1154*IBGE_2!AJ$1154/100</f>
        <v>58.2</v>
      </c>
      <c r="AK1154" s="142">
        <f>B1154*IBGE_2!AK$1154/100</f>
        <v>13</v>
      </c>
      <c r="AL1154" s="142" t="s">
        <v>3047</v>
      </c>
      <c r="AM1154" s="142" t="s">
        <v>3047</v>
      </c>
      <c r="AN1154" s="161"/>
    </row>
    <row r="1155" spans="1:40">
      <c r="A1155" s="143" t="s">
        <v>2215</v>
      </c>
      <c r="B1155" s="141">
        <v>100</v>
      </c>
      <c r="C1155" s="142">
        <f>B1155*IBGE_2!C$1155/100</f>
        <v>117</v>
      </c>
      <c r="D1155" s="142">
        <f>B1155*IBGE_2!D$1155/100</f>
        <v>24.16</v>
      </c>
      <c r="E1155" s="142">
        <f>B1155*IBGE_2!E$1155/100</f>
        <v>1.53</v>
      </c>
      <c r="F1155" s="142">
        <f>B1155*IBGE_2!F$1155/100</f>
        <v>0.36</v>
      </c>
      <c r="G1155" s="142">
        <f>B1155*IBGE_2!G$1155/100</f>
        <v>0.28000000000000003</v>
      </c>
      <c r="H1155" s="142">
        <f>B1155*IBGE_2!H$1155/100</f>
        <v>0.65</v>
      </c>
      <c r="I1155" s="142">
        <f>B1155*IBGE_2!I$1155/100</f>
        <v>0.01</v>
      </c>
      <c r="J1155" s="142">
        <f>B1155*IBGE_2!J$1155/100</f>
        <v>0.02</v>
      </c>
      <c r="K1155" s="142">
        <f>B1155*IBGE_2!K$1155/100</f>
        <v>68</v>
      </c>
      <c r="L1155" s="142" t="s">
        <v>3047</v>
      </c>
      <c r="M1155" s="142" t="s">
        <v>3047</v>
      </c>
      <c r="N1155" s="142">
        <f>B1155*IBGE_2!N$1155/100</f>
        <v>18</v>
      </c>
      <c r="O1155" s="142">
        <f>B1155*IBGE_2!O$1155/100</f>
        <v>58</v>
      </c>
      <c r="P1155" s="142">
        <f>B1155*IBGE_2!P$1155/100</f>
        <v>0.02</v>
      </c>
      <c r="Q1155" s="142">
        <f>B1155*IBGE_2!Q$1155/100</f>
        <v>289</v>
      </c>
      <c r="R1155" s="142">
        <f>B1155*IBGE_2!R$1155/100</f>
        <v>0.34</v>
      </c>
      <c r="S1155" s="142">
        <f>B1155*IBGE_2!S$1155/100</f>
        <v>105</v>
      </c>
      <c r="T1155" s="142">
        <f>B1155*IBGE_2!T$1155/100</f>
        <v>344</v>
      </c>
      <c r="U1155" s="142">
        <f>B1155*IBGE_2!U$1155/100</f>
        <v>0.03</v>
      </c>
      <c r="V1155" s="142">
        <f>B1155*IBGE_2!V$1155/100</f>
        <v>0.63</v>
      </c>
      <c r="W1155" s="142">
        <f>B1155*IBGE_2!W$1155/100</f>
        <v>13</v>
      </c>
      <c r="X1155" s="142">
        <f>B1155*IBGE_2!X$1155/100</f>
        <v>0.08</v>
      </c>
      <c r="Y1155" s="142">
        <f>B1155*IBGE_2!Y$1155/100</f>
        <v>0.11</v>
      </c>
      <c r="Z1155" s="142">
        <f>B1155*IBGE_2!Z$1155/100</f>
        <v>0.24</v>
      </c>
      <c r="AA1155" s="142">
        <f>B1155*IBGE_2!AA$1155/100</f>
        <v>2.1800000000000002</v>
      </c>
      <c r="AB1155" s="142" t="s">
        <v>3047</v>
      </c>
      <c r="AC1155" s="142">
        <f>B1155*IBGE_2!AC$1155/100</f>
        <v>6.7</v>
      </c>
      <c r="AD1155" s="142">
        <f>B1155*IBGE_2!AD$1155/100</f>
        <v>2.5099999999999998</v>
      </c>
      <c r="AE1155" s="142">
        <f>B1155*IBGE_2!AE$1155/100</f>
        <v>9</v>
      </c>
      <c r="AF1155" s="142">
        <f>B1155*IBGE_2!AF$1155/100</f>
        <v>1.1000000000000001</v>
      </c>
      <c r="AG1155" s="142">
        <f>B1155*IBGE_2!AG$1155/100</f>
        <v>0.66</v>
      </c>
      <c r="AH1155" s="142" t="s">
        <v>3047</v>
      </c>
      <c r="AI1155" s="142" t="s">
        <v>3047</v>
      </c>
      <c r="AJ1155" s="142">
        <f>B1155*IBGE_2!AJ$1155/100</f>
        <v>58.2</v>
      </c>
      <c r="AK1155" s="142">
        <f>B1155*IBGE_2!AK$1155/100</f>
        <v>13</v>
      </c>
      <c r="AL1155" s="142" t="s">
        <v>3047</v>
      </c>
      <c r="AM1155" s="142" t="s">
        <v>3047</v>
      </c>
      <c r="AN1155" s="161"/>
    </row>
    <row r="1156" spans="1:40">
      <c r="A1156" s="143" t="s">
        <v>2216</v>
      </c>
      <c r="B1156" s="141">
        <v>100</v>
      </c>
      <c r="C1156" s="142">
        <f>B1156*IBGE_2!C$1156/100</f>
        <v>117</v>
      </c>
      <c r="D1156" s="142">
        <f>B1156*IBGE_2!D$1156/100</f>
        <v>24.16</v>
      </c>
      <c r="E1156" s="142">
        <f>B1156*IBGE_2!E$1156/100</f>
        <v>1.53</v>
      </c>
      <c r="F1156" s="142">
        <f>B1156*IBGE_2!F$1156/100</f>
        <v>0.36</v>
      </c>
      <c r="G1156" s="142">
        <f>B1156*IBGE_2!G$1156/100</f>
        <v>0.28000000000000003</v>
      </c>
      <c r="H1156" s="142">
        <f>B1156*IBGE_2!H$1156/100</f>
        <v>0.65</v>
      </c>
      <c r="I1156" s="142">
        <f>B1156*IBGE_2!I$1156/100</f>
        <v>0.01</v>
      </c>
      <c r="J1156" s="142">
        <f>B1156*IBGE_2!J$1156/100</f>
        <v>0.02</v>
      </c>
      <c r="K1156" s="142">
        <f>B1156*IBGE_2!K$1156/100</f>
        <v>68</v>
      </c>
      <c r="L1156" s="142" t="s">
        <v>3047</v>
      </c>
      <c r="M1156" s="142" t="s">
        <v>3047</v>
      </c>
      <c r="N1156" s="142">
        <f>B1156*IBGE_2!N$1156/100</f>
        <v>18</v>
      </c>
      <c r="O1156" s="142">
        <f>B1156*IBGE_2!O$1156/100</f>
        <v>58</v>
      </c>
      <c r="P1156" s="142">
        <f>B1156*IBGE_2!P$1156/100</f>
        <v>0.02</v>
      </c>
      <c r="Q1156" s="142">
        <f>B1156*IBGE_2!Q$1156/100</f>
        <v>289</v>
      </c>
      <c r="R1156" s="142">
        <f>B1156*IBGE_2!R$1156/100</f>
        <v>0.34</v>
      </c>
      <c r="S1156" s="142">
        <f>B1156*IBGE_2!S$1156/100</f>
        <v>105</v>
      </c>
      <c r="T1156" s="142">
        <f>B1156*IBGE_2!T$1156/100</f>
        <v>344</v>
      </c>
      <c r="U1156" s="142">
        <f>B1156*IBGE_2!U$1156/100</f>
        <v>0.03</v>
      </c>
      <c r="V1156" s="142">
        <f>B1156*IBGE_2!V$1156/100</f>
        <v>0.63</v>
      </c>
      <c r="W1156" s="142">
        <f>B1156*IBGE_2!W$1156/100</f>
        <v>13</v>
      </c>
      <c r="X1156" s="142">
        <f>B1156*IBGE_2!X$1156/100</f>
        <v>0.08</v>
      </c>
      <c r="Y1156" s="142">
        <f>B1156*IBGE_2!Y$1156/100</f>
        <v>0.11</v>
      </c>
      <c r="Z1156" s="142">
        <f>B1156*IBGE_2!Z$1156/100</f>
        <v>0.24</v>
      </c>
      <c r="AA1156" s="142">
        <f>B1156*IBGE_2!AA$1156/100</f>
        <v>2.1800000000000002</v>
      </c>
      <c r="AB1156" s="142" t="s">
        <v>3047</v>
      </c>
      <c r="AC1156" s="142">
        <f>B1156*IBGE_2!AC$1156/100</f>
        <v>6.7</v>
      </c>
      <c r="AD1156" s="142">
        <f>B1156*IBGE_2!AD$1156/100</f>
        <v>2.5099999999999998</v>
      </c>
      <c r="AE1156" s="142">
        <f>B1156*IBGE_2!AE$1156/100</f>
        <v>9</v>
      </c>
      <c r="AF1156" s="142">
        <f>B1156*IBGE_2!AF$1156/100</f>
        <v>1.1000000000000001</v>
      </c>
      <c r="AG1156" s="142">
        <f>B1156*IBGE_2!AG$1156/100</f>
        <v>0.66</v>
      </c>
      <c r="AH1156" s="142" t="s">
        <v>3047</v>
      </c>
      <c r="AI1156" s="142" t="s">
        <v>3047</v>
      </c>
      <c r="AJ1156" s="142">
        <f>B1156*IBGE_2!AJ$1156/100</f>
        <v>58.2</v>
      </c>
      <c r="AK1156" s="142">
        <f>B1156*IBGE_2!AK$1156/100</f>
        <v>13</v>
      </c>
      <c r="AL1156" s="142" t="s">
        <v>3047</v>
      </c>
      <c r="AM1156" s="142" t="s">
        <v>3047</v>
      </c>
      <c r="AN1156" s="161"/>
    </row>
    <row r="1157" spans="1:40">
      <c r="A1157" s="143" t="s">
        <v>2217</v>
      </c>
      <c r="B1157" s="141">
        <v>100</v>
      </c>
      <c r="C1157" s="142">
        <f>B1157*IBGE_2!C$1157/100</f>
        <v>139.66</v>
      </c>
      <c r="D1157" s="142">
        <f>B1157*IBGE_2!D$1157/100</f>
        <v>24.16</v>
      </c>
      <c r="E1157" s="142">
        <f>B1157*IBGE_2!E$1157/100</f>
        <v>4.09</v>
      </c>
      <c r="F1157" s="142">
        <f>B1157*IBGE_2!F$1157/100</f>
        <v>0.73</v>
      </c>
      <c r="G1157" s="142">
        <f>B1157*IBGE_2!G$1157/100</f>
        <v>0.87</v>
      </c>
      <c r="H1157" s="142">
        <f>B1157*IBGE_2!H$1157/100</f>
        <v>2.13</v>
      </c>
      <c r="I1157" s="142">
        <f>B1157*IBGE_2!I$1157/100</f>
        <v>1.32</v>
      </c>
      <c r="J1157" s="142">
        <f>B1157*IBGE_2!J$1157/100</f>
        <v>0.19</v>
      </c>
      <c r="K1157" s="142">
        <f>B1157*IBGE_2!K$1157/100</f>
        <v>68</v>
      </c>
      <c r="L1157" s="142" t="s">
        <v>3047</v>
      </c>
      <c r="M1157" s="142" t="s">
        <v>3047</v>
      </c>
      <c r="N1157" s="142">
        <f>B1157*IBGE_2!N$1157/100</f>
        <v>18</v>
      </c>
      <c r="O1157" s="142">
        <f>B1157*IBGE_2!O$1157/100</f>
        <v>58</v>
      </c>
      <c r="P1157" s="142">
        <f>B1157*IBGE_2!P$1157/100</f>
        <v>0.02</v>
      </c>
      <c r="Q1157" s="142">
        <f>B1157*IBGE_2!Q$1157/100</f>
        <v>289</v>
      </c>
      <c r="R1157" s="142">
        <f>B1157*IBGE_2!R$1157/100</f>
        <v>0.34</v>
      </c>
      <c r="S1157" s="142">
        <f>B1157*IBGE_2!S$1157/100</f>
        <v>105</v>
      </c>
      <c r="T1157" s="142">
        <f>B1157*IBGE_2!T$1157/100</f>
        <v>344</v>
      </c>
      <c r="U1157" s="142">
        <f>B1157*IBGE_2!U$1157/100</f>
        <v>0.03</v>
      </c>
      <c r="V1157" s="142">
        <f>B1157*IBGE_2!V$1157/100</f>
        <v>0.63</v>
      </c>
      <c r="W1157" s="142">
        <f>B1157*IBGE_2!W$1157/100</f>
        <v>13</v>
      </c>
      <c r="X1157" s="142">
        <f>B1157*IBGE_2!X$1157/100</f>
        <v>0.08</v>
      </c>
      <c r="Y1157" s="142">
        <f>B1157*IBGE_2!Y$1157/100</f>
        <v>0.11</v>
      </c>
      <c r="Z1157" s="142">
        <f>B1157*IBGE_2!Z$1157/100</f>
        <v>0.24</v>
      </c>
      <c r="AA1157" s="142">
        <f>B1157*IBGE_2!AA$1157/100</f>
        <v>2.1800000000000002</v>
      </c>
      <c r="AB1157" s="142" t="s">
        <v>3047</v>
      </c>
      <c r="AC1157" s="142">
        <f>B1157*IBGE_2!AC$1157/100</f>
        <v>6.7</v>
      </c>
      <c r="AD1157" s="142">
        <f>B1157*IBGE_2!AD$1157/100</f>
        <v>2.5099999999999998</v>
      </c>
      <c r="AE1157" s="142">
        <f>B1157*IBGE_2!AE$1157/100</f>
        <v>9</v>
      </c>
      <c r="AF1157" s="142">
        <f>B1157*IBGE_2!AF$1157/100</f>
        <v>1.1000000000000001</v>
      </c>
      <c r="AG1157" s="142">
        <f>B1157*IBGE_2!AG$1157/100</f>
        <v>0.9</v>
      </c>
      <c r="AH1157" s="142" t="s">
        <v>3047</v>
      </c>
      <c r="AI1157" s="142" t="s">
        <v>3047</v>
      </c>
      <c r="AJ1157" s="142">
        <f>B1157*IBGE_2!AJ$1157/100</f>
        <v>59.37</v>
      </c>
      <c r="AK1157" s="142">
        <f>B1157*IBGE_2!AK$1157/100</f>
        <v>13</v>
      </c>
      <c r="AL1157" s="142" t="s">
        <v>3047</v>
      </c>
      <c r="AM1157" s="142" t="s">
        <v>3047</v>
      </c>
      <c r="AN1157" s="161"/>
    </row>
    <row r="1158" spans="1:40">
      <c r="A1158" s="143" t="s">
        <v>2218</v>
      </c>
      <c r="B1158" s="141">
        <v>100</v>
      </c>
      <c r="C1158" s="142">
        <f>B1158*IBGE_2!C$1158/100</f>
        <v>155.84</v>
      </c>
      <c r="D1158" s="142">
        <f>B1158*IBGE_2!D$1158/100</f>
        <v>24.62</v>
      </c>
      <c r="E1158" s="142">
        <f>B1158*IBGE_2!E$1158/100</f>
        <v>4.1399999999999997</v>
      </c>
      <c r="F1158" s="142">
        <f>B1158*IBGE_2!F$1158/100</f>
        <v>0.74</v>
      </c>
      <c r="G1158" s="142">
        <f>B1158*IBGE_2!G$1158/100</f>
        <v>0.88</v>
      </c>
      <c r="H1158" s="142">
        <f>B1158*IBGE_2!H$1158/100</f>
        <v>2.15</v>
      </c>
      <c r="I1158" s="142">
        <f>B1158*IBGE_2!I$1158/100</f>
        <v>1.34</v>
      </c>
      <c r="J1158" s="142">
        <f>B1158*IBGE_2!J$1158/100</f>
        <v>0.19</v>
      </c>
      <c r="K1158" s="142">
        <f>B1158*IBGE_2!K$1158/100</f>
        <v>68</v>
      </c>
      <c r="L1158" s="142">
        <f>B1158*IBGE_2!L$1158/100</f>
        <v>3.39</v>
      </c>
      <c r="M1158" s="142">
        <f>B1158*IBGE_2!M$1158/100</f>
        <v>0.14000000000000001</v>
      </c>
      <c r="N1158" s="142">
        <f>B1158*IBGE_2!N$1158/100</f>
        <v>18.670000000000002</v>
      </c>
      <c r="O1158" s="142">
        <f>B1158*IBGE_2!O$1158/100</f>
        <v>58.98</v>
      </c>
      <c r="P1158" s="142">
        <f>B1158*IBGE_2!P$1158/100</f>
        <v>0.05</v>
      </c>
      <c r="Q1158" s="142">
        <f>B1158*IBGE_2!Q$1158/100</f>
        <v>293.8</v>
      </c>
      <c r="R1158" s="142">
        <f>B1158*IBGE_2!R$1158/100</f>
        <v>0.55000000000000004</v>
      </c>
      <c r="S1158" s="142">
        <f>B1158*IBGE_2!S$1158/100</f>
        <v>105.09</v>
      </c>
      <c r="T1158" s="142">
        <f>B1158*IBGE_2!T$1158/100</f>
        <v>348.76</v>
      </c>
      <c r="U1158" s="142">
        <f>B1158*IBGE_2!U$1158/100</f>
        <v>0.03</v>
      </c>
      <c r="V1158" s="142">
        <f>B1158*IBGE_2!V$1158/100</f>
        <v>0.66</v>
      </c>
      <c r="W1158" s="142">
        <f>B1158*IBGE_2!W$1158/100</f>
        <v>13</v>
      </c>
      <c r="X1158" s="142">
        <f>B1158*IBGE_2!X$1158/100</f>
        <v>0.11</v>
      </c>
      <c r="Y1158" s="142">
        <f>B1158*IBGE_2!Y$1158/100</f>
        <v>0.14000000000000001</v>
      </c>
      <c r="Z1158" s="142">
        <f>B1158*IBGE_2!Z$1158/100</f>
        <v>0.24</v>
      </c>
      <c r="AA1158" s="142">
        <f>B1158*IBGE_2!AA$1158/100</f>
        <v>2.44</v>
      </c>
      <c r="AB1158" s="142" t="s">
        <v>3047</v>
      </c>
      <c r="AC1158" s="142">
        <f>B1158*IBGE_2!AC$1158/100</f>
        <v>7.05</v>
      </c>
      <c r="AD1158" s="142">
        <f>B1158*IBGE_2!AD$1158/100</f>
        <v>2.5099999999999998</v>
      </c>
      <c r="AE1158" s="142">
        <f>B1158*IBGE_2!AE$1158/100</f>
        <v>18.07</v>
      </c>
      <c r="AF1158" s="142">
        <f>B1158*IBGE_2!AF$1158/100</f>
        <v>1.1000000000000001</v>
      </c>
      <c r="AG1158" s="142">
        <f>B1158*IBGE_2!AG$1158/100</f>
        <v>0.9</v>
      </c>
      <c r="AH1158" s="142" t="s">
        <v>3047</v>
      </c>
      <c r="AI1158" s="142" t="s">
        <v>3047</v>
      </c>
      <c r="AJ1158" s="142">
        <f>B1158*IBGE_2!AJ$1158/100</f>
        <v>60.88</v>
      </c>
      <c r="AK1158" s="142">
        <f>B1158*IBGE_2!AK$1158/100</f>
        <v>13</v>
      </c>
      <c r="AL1158" s="142">
        <f>B1158*IBGE_2!AL$1158/100</f>
        <v>0.01</v>
      </c>
      <c r="AM1158" s="142" t="s">
        <v>3047</v>
      </c>
      <c r="AN1158" s="161"/>
    </row>
    <row r="1159" spans="1:40">
      <c r="A1159" s="143" t="s">
        <v>2219</v>
      </c>
      <c r="B1159" s="141">
        <v>100</v>
      </c>
      <c r="C1159" s="142">
        <f>B1159*IBGE_2!C$1159/100</f>
        <v>145</v>
      </c>
      <c r="D1159" s="142">
        <f>B1159*IBGE_2!D$1159/100</f>
        <v>1.03</v>
      </c>
      <c r="E1159" s="142">
        <f>B1159*IBGE_2!E$1159/100</f>
        <v>15.32</v>
      </c>
      <c r="F1159" s="142">
        <f>B1159*IBGE_2!F$1159/100</f>
        <v>2.0299999999999998</v>
      </c>
      <c r="G1159" s="142">
        <f>B1159*IBGE_2!G$1159/100</f>
        <v>11.31</v>
      </c>
      <c r="H1159" s="142">
        <f>B1159*IBGE_2!H$1159/100</f>
        <v>1.31</v>
      </c>
      <c r="I1159" s="142">
        <f>B1159*IBGE_2!I$1159/100</f>
        <v>1.22</v>
      </c>
      <c r="J1159" s="142">
        <f>B1159*IBGE_2!J$1159/100</f>
        <v>0.09</v>
      </c>
      <c r="K1159" s="142" t="s">
        <v>3047</v>
      </c>
      <c r="L1159" s="142">
        <f>B1159*IBGE_2!L$1159/100</f>
        <v>3.84</v>
      </c>
      <c r="M1159" s="142">
        <f>B1159*IBGE_2!M$1159/100</f>
        <v>3.3</v>
      </c>
      <c r="N1159" s="142">
        <f>B1159*IBGE_2!N$1159/100</f>
        <v>52</v>
      </c>
      <c r="O1159" s="142">
        <f>B1159*IBGE_2!O$1159/100</f>
        <v>11</v>
      </c>
      <c r="P1159" s="142">
        <f>B1159*IBGE_2!P$1159/100</f>
        <v>0.02</v>
      </c>
      <c r="Q1159" s="142">
        <f>B1159*IBGE_2!Q$1159/100</f>
        <v>4</v>
      </c>
      <c r="R1159" s="142">
        <f>B1159*IBGE_2!R$1159/100</f>
        <v>0.49</v>
      </c>
      <c r="S1159" s="142">
        <f>B1159*IBGE_2!S$1159/100</f>
        <v>1556</v>
      </c>
      <c r="T1159" s="142">
        <f>B1159*IBGE_2!T$1159/100</f>
        <v>42</v>
      </c>
      <c r="U1159" s="142">
        <f>B1159*IBGE_2!U$1159/100</f>
        <v>0.12</v>
      </c>
      <c r="V1159" s="142">
        <f>B1159*IBGE_2!V$1159/100</f>
        <v>0.04</v>
      </c>
      <c r="W1159" s="142" t="s">
        <v>3047</v>
      </c>
      <c r="X1159" s="142">
        <f>B1159*IBGE_2!X$1159/100</f>
        <v>0.02</v>
      </c>
      <c r="Y1159" s="142">
        <f>B1159*IBGE_2!Y$1159/100</f>
        <v>0.01</v>
      </c>
      <c r="Z1159" s="142">
        <f>B1159*IBGE_2!Z$1159/100</f>
        <v>0.03</v>
      </c>
      <c r="AA1159" s="142">
        <f>B1159*IBGE_2!AA$1159/100</f>
        <v>0.24</v>
      </c>
      <c r="AB1159" s="142" t="s">
        <v>3047</v>
      </c>
      <c r="AC1159" s="142">
        <f>B1159*IBGE_2!AC$1159/100</f>
        <v>0.24</v>
      </c>
      <c r="AD1159" s="142" t="s">
        <v>3047</v>
      </c>
      <c r="AE1159" s="142">
        <f>B1159*IBGE_2!AE$1159/100</f>
        <v>3</v>
      </c>
      <c r="AF1159" s="142" t="s">
        <v>3047</v>
      </c>
      <c r="AG1159" s="142">
        <f>B1159*IBGE_2!AG$1159/100</f>
        <v>3.81</v>
      </c>
      <c r="AH1159" s="142" t="s">
        <v>3047</v>
      </c>
      <c r="AI1159" s="142" t="s">
        <v>3047</v>
      </c>
      <c r="AJ1159" s="142">
        <f>B1159*IBGE_2!AJ$1159/100</f>
        <v>0.9</v>
      </c>
      <c r="AK1159" s="142">
        <f>B1159*IBGE_2!AK$1159/100</f>
        <v>19.670000000000002</v>
      </c>
      <c r="AL1159" s="145" t="s">
        <v>3047</v>
      </c>
      <c r="AM1159" s="142" t="s">
        <v>3047</v>
      </c>
      <c r="AN1159" s="161"/>
    </row>
    <row r="1160" spans="1:40">
      <c r="A1160" s="143" t="s">
        <v>2220</v>
      </c>
      <c r="B1160" s="141">
        <v>100</v>
      </c>
      <c r="C1160" s="142">
        <f>B1160*IBGE_2!C$1160/100</f>
        <v>69</v>
      </c>
      <c r="D1160" s="142">
        <f>B1160*IBGE_2!D$1160/100</f>
        <v>4.42</v>
      </c>
      <c r="E1160" s="142">
        <f>B1160*IBGE_2!E$1160/100</f>
        <v>0.35</v>
      </c>
      <c r="F1160" s="142">
        <f>B1160*IBGE_2!F$1160/100</f>
        <v>0.06</v>
      </c>
      <c r="G1160" s="142">
        <f>B1160*IBGE_2!G$1160/100</f>
        <v>0.03</v>
      </c>
      <c r="H1160" s="142">
        <f>B1160*IBGE_2!H$1160/100</f>
        <v>0.16</v>
      </c>
      <c r="I1160" s="142">
        <f>B1160*IBGE_2!I$1160/100</f>
        <v>0.13</v>
      </c>
      <c r="J1160" s="142">
        <f>B1160*IBGE_2!J$1160/100</f>
        <v>0.03</v>
      </c>
      <c r="K1160" s="142" t="s">
        <v>3047</v>
      </c>
      <c r="L1160" s="142">
        <f>B1160*IBGE_2!L$1160/100</f>
        <v>12.58</v>
      </c>
      <c r="M1160" s="142">
        <f>B1160*IBGE_2!M$1160/100</f>
        <v>4.0999999999999996</v>
      </c>
      <c r="N1160" s="142">
        <f>B1160*IBGE_2!N$1160/100</f>
        <v>20</v>
      </c>
      <c r="O1160" s="142">
        <f>B1160*IBGE_2!O$1160/100</f>
        <v>17</v>
      </c>
      <c r="P1160" s="142">
        <f>B1160*IBGE_2!P$1160/100</f>
        <v>0.3</v>
      </c>
      <c r="Q1160" s="142">
        <f>B1160*IBGE_2!Q$1160/100</f>
        <v>67</v>
      </c>
      <c r="R1160" s="142">
        <f>B1160*IBGE_2!R$1160/100</f>
        <v>0.95</v>
      </c>
      <c r="S1160" s="142">
        <f>B1160*IBGE_2!S$1160/100</f>
        <v>252</v>
      </c>
      <c r="T1160" s="142">
        <f>B1160*IBGE_2!T$1160/100</f>
        <v>173</v>
      </c>
      <c r="U1160" s="142">
        <f>B1160*IBGE_2!U$1160/100</f>
        <v>0.08</v>
      </c>
      <c r="V1160" s="142">
        <f>B1160*IBGE_2!V$1160/100</f>
        <v>0.71</v>
      </c>
      <c r="W1160" s="142" t="s">
        <v>3047</v>
      </c>
      <c r="X1160" s="142">
        <f>B1160*IBGE_2!X$1160/100</f>
        <v>0.12</v>
      </c>
      <c r="Y1160" s="142">
        <f>B1160*IBGE_2!Y$1160/100</f>
        <v>0.08</v>
      </c>
      <c r="Z1160" s="142">
        <f>B1160*IBGE_2!Z$1160/100</f>
        <v>0.06</v>
      </c>
      <c r="AA1160" s="142">
        <f>B1160*IBGE_2!AA$1160/100</f>
        <v>0.73</v>
      </c>
      <c r="AB1160" s="142">
        <f>B1160*IBGE_2!AB$1160/100</f>
        <v>9.6</v>
      </c>
      <c r="AC1160" s="142">
        <f>B1160*IBGE_2!AC$1160/100</f>
        <v>1.23</v>
      </c>
      <c r="AD1160" s="142" t="s">
        <v>3047</v>
      </c>
      <c r="AE1160" s="142">
        <f>B1160*IBGE_2!AE$1160/100</f>
        <v>44</v>
      </c>
      <c r="AF1160" s="142" t="s">
        <v>3047</v>
      </c>
      <c r="AG1160" s="142">
        <f>B1160*IBGE_2!AG$1160/100</f>
        <v>0.03</v>
      </c>
      <c r="AH1160" s="142" t="s">
        <v>3047</v>
      </c>
      <c r="AI1160" s="142" t="s">
        <v>3047</v>
      </c>
      <c r="AJ1160" s="142">
        <f>B1160*IBGE_2!AJ$1160/100</f>
        <v>1.7</v>
      </c>
      <c r="AK1160" s="142">
        <f>B1160*IBGE_2!AK$1160/100</f>
        <v>26.67</v>
      </c>
      <c r="AL1160" s="142">
        <f>B1160*IBGE_2!AL$1160/100</f>
        <v>4.16</v>
      </c>
      <c r="AM1160" s="142" t="s">
        <v>3047</v>
      </c>
      <c r="AN1160" s="161"/>
    </row>
    <row r="1161" spans="1:40">
      <c r="A1161" s="143" t="s">
        <v>2221</v>
      </c>
      <c r="B1161" s="141">
        <v>100</v>
      </c>
      <c r="C1161" s="142">
        <f>B1161*IBGE_2!C$1161/100</f>
        <v>69</v>
      </c>
      <c r="D1161" s="142">
        <f>B1161*IBGE_2!D$1161/100</f>
        <v>4.42</v>
      </c>
      <c r="E1161" s="142">
        <f>B1161*IBGE_2!E$1161/100</f>
        <v>0.35</v>
      </c>
      <c r="F1161" s="142">
        <f>B1161*IBGE_2!F$1161/100</f>
        <v>0.06</v>
      </c>
      <c r="G1161" s="142">
        <f>B1161*IBGE_2!G$1161/100</f>
        <v>0.03</v>
      </c>
      <c r="H1161" s="142">
        <f>B1161*IBGE_2!H$1161/100</f>
        <v>0.16</v>
      </c>
      <c r="I1161" s="142">
        <f>B1161*IBGE_2!I$1161/100</f>
        <v>0.13</v>
      </c>
      <c r="J1161" s="142">
        <f>B1161*IBGE_2!J$1161/100</f>
        <v>0.03</v>
      </c>
      <c r="K1161" s="142" t="s">
        <v>3047</v>
      </c>
      <c r="L1161" s="142">
        <f>B1161*IBGE_2!L$1161/100</f>
        <v>12.58</v>
      </c>
      <c r="M1161" s="142">
        <f>B1161*IBGE_2!M$1161/100</f>
        <v>4.0999999999999996</v>
      </c>
      <c r="N1161" s="142">
        <f>B1161*IBGE_2!N$1161/100</f>
        <v>20</v>
      </c>
      <c r="O1161" s="142">
        <f>B1161*IBGE_2!O$1161/100</f>
        <v>17</v>
      </c>
      <c r="P1161" s="142">
        <f>B1161*IBGE_2!P$1161/100</f>
        <v>0.3</v>
      </c>
      <c r="Q1161" s="142">
        <f>B1161*IBGE_2!Q$1161/100</f>
        <v>67</v>
      </c>
      <c r="R1161" s="142">
        <f>B1161*IBGE_2!R$1161/100</f>
        <v>0.95</v>
      </c>
      <c r="S1161" s="142">
        <f>B1161*IBGE_2!S$1161/100</f>
        <v>252</v>
      </c>
      <c r="T1161" s="142">
        <f>B1161*IBGE_2!T$1161/100</f>
        <v>173</v>
      </c>
      <c r="U1161" s="142">
        <f>B1161*IBGE_2!U$1161/100</f>
        <v>0.08</v>
      </c>
      <c r="V1161" s="142">
        <f>B1161*IBGE_2!V$1161/100</f>
        <v>0.71</v>
      </c>
      <c r="W1161" s="142" t="s">
        <v>3047</v>
      </c>
      <c r="X1161" s="142">
        <f>B1161*IBGE_2!X$1161/100</f>
        <v>0.12</v>
      </c>
      <c r="Y1161" s="142">
        <f>B1161*IBGE_2!Y$1161/100</f>
        <v>0.08</v>
      </c>
      <c r="Z1161" s="142">
        <f>B1161*IBGE_2!Z$1161/100</f>
        <v>0.06</v>
      </c>
      <c r="AA1161" s="142">
        <f>B1161*IBGE_2!AA$1161/100</f>
        <v>0.73</v>
      </c>
      <c r="AB1161" s="142">
        <f>B1161*IBGE_2!AB$1161/100</f>
        <v>9.6</v>
      </c>
      <c r="AC1161" s="142">
        <f>B1161*IBGE_2!AC$1161/100</f>
        <v>1.23</v>
      </c>
      <c r="AD1161" s="142" t="s">
        <v>3047</v>
      </c>
      <c r="AE1161" s="142">
        <f>B1161*IBGE_2!AE$1161/100</f>
        <v>44</v>
      </c>
      <c r="AF1161" s="142" t="s">
        <v>3047</v>
      </c>
      <c r="AG1161" s="142">
        <f>B1161*IBGE_2!AG$1161/100</f>
        <v>0.03</v>
      </c>
      <c r="AH1161" s="142" t="s">
        <v>3047</v>
      </c>
      <c r="AI1161" s="142" t="s">
        <v>3047</v>
      </c>
      <c r="AJ1161" s="142">
        <f>B1161*IBGE_2!AJ$1161/100</f>
        <v>1.7</v>
      </c>
      <c r="AK1161" s="142">
        <f>B1161*IBGE_2!AK$1161/100</f>
        <v>26.67</v>
      </c>
      <c r="AL1161" s="142">
        <f>B1161*IBGE_2!AL$1161/100</f>
        <v>4.16</v>
      </c>
      <c r="AM1161" s="142" t="s">
        <v>3047</v>
      </c>
      <c r="AN1161" s="161"/>
    </row>
    <row r="1162" spans="1:40">
      <c r="A1162" s="143" t="s">
        <v>2222</v>
      </c>
      <c r="B1162" s="141">
        <v>100</v>
      </c>
      <c r="C1162" s="142">
        <f>B1162*IBGE_2!C$1162/100</f>
        <v>81</v>
      </c>
      <c r="D1162" s="142">
        <f>B1162*IBGE_2!D$1162/100</f>
        <v>2.64</v>
      </c>
      <c r="E1162" s="142">
        <f>B1162*IBGE_2!E$1162/100</f>
        <v>0.93</v>
      </c>
      <c r="F1162" s="142">
        <f>B1162*IBGE_2!F$1162/100</f>
        <v>0.17</v>
      </c>
      <c r="G1162" s="142">
        <f>B1162*IBGE_2!G$1162/100</f>
        <v>0.23</v>
      </c>
      <c r="H1162" s="142">
        <f>B1162*IBGE_2!H$1162/100</f>
        <v>0.45</v>
      </c>
      <c r="I1162" s="142">
        <f>B1162*IBGE_2!I$1162/100</f>
        <v>0.41</v>
      </c>
      <c r="J1162" s="142">
        <f>B1162*IBGE_2!J$1162/100</f>
        <v>0.02</v>
      </c>
      <c r="K1162" s="142" t="s">
        <v>3047</v>
      </c>
      <c r="L1162" s="142">
        <f>B1162*IBGE_2!L$1162/100</f>
        <v>18.8</v>
      </c>
      <c r="M1162" s="142">
        <f>B1162*IBGE_2!M$1162/100</f>
        <v>1.9</v>
      </c>
      <c r="N1162" s="142">
        <f>B1162*IBGE_2!N$1162/100</f>
        <v>5</v>
      </c>
      <c r="O1162" s="142">
        <f>B1162*IBGE_2!O$1162/100</f>
        <v>15</v>
      </c>
      <c r="P1162" s="142">
        <f>B1162*IBGE_2!P$1162/100</f>
        <v>0.14000000000000001</v>
      </c>
      <c r="Q1162" s="142">
        <f>B1162*IBGE_2!Q$1162/100</f>
        <v>48</v>
      </c>
      <c r="R1162" s="142">
        <f>B1162*IBGE_2!R$1162/100</f>
        <v>0.72</v>
      </c>
      <c r="S1162" s="142">
        <f>B1162*IBGE_2!S$1162/100</f>
        <v>298</v>
      </c>
      <c r="T1162" s="142">
        <f>B1162*IBGE_2!T$1162/100</f>
        <v>135</v>
      </c>
      <c r="U1162" s="142">
        <f>B1162*IBGE_2!U$1162/100</f>
        <v>0.05</v>
      </c>
      <c r="V1162" s="142">
        <f>B1162*IBGE_2!V$1162/100</f>
        <v>0.37</v>
      </c>
      <c r="W1162" s="142" t="s">
        <v>3047</v>
      </c>
      <c r="X1162" s="142">
        <f>B1162*IBGE_2!X$1162/100</f>
        <v>0.02</v>
      </c>
      <c r="Y1162" s="142">
        <f>B1162*IBGE_2!Y$1162/100</f>
        <v>0.05</v>
      </c>
      <c r="Z1162" s="142">
        <f>B1162*IBGE_2!Z$1162/100</f>
        <v>7.0000000000000007E-2</v>
      </c>
      <c r="AA1162" s="142">
        <f>B1162*IBGE_2!AA$1162/100</f>
        <v>0.38</v>
      </c>
      <c r="AB1162" s="142">
        <f>B1162*IBGE_2!AB$1162/100</f>
        <v>0.7</v>
      </c>
      <c r="AC1162" s="142">
        <f>B1162*IBGE_2!AC$1162/100</f>
        <v>0.79</v>
      </c>
      <c r="AD1162" s="142" t="s">
        <v>3047</v>
      </c>
      <c r="AE1162" s="142">
        <f>B1162*IBGE_2!AE$1162/100</f>
        <v>43</v>
      </c>
      <c r="AF1162" s="142" t="s">
        <v>3047</v>
      </c>
      <c r="AG1162" s="142">
        <f>B1162*IBGE_2!AG$1162/100</f>
        <v>7.0000000000000007E-2</v>
      </c>
      <c r="AH1162" s="142" t="s">
        <v>3047</v>
      </c>
      <c r="AI1162" s="142" t="s">
        <v>3047</v>
      </c>
      <c r="AJ1162" s="142">
        <f>B1162*IBGE_2!AJ$1162/100</f>
        <v>0.7</v>
      </c>
      <c r="AK1162" s="142">
        <f>B1162*IBGE_2!AK$1162/100</f>
        <v>2.29</v>
      </c>
      <c r="AL1162" s="142">
        <f>B1162*IBGE_2!AL$1162/100</f>
        <v>3.04</v>
      </c>
      <c r="AM1162" s="142" t="s">
        <v>3047</v>
      </c>
      <c r="AN1162" s="161"/>
    </row>
    <row r="1163" spans="1:40">
      <c r="A1163" s="143" t="s">
        <v>2223</v>
      </c>
      <c r="B1163" s="141">
        <v>100</v>
      </c>
      <c r="C1163" s="142">
        <f>B1163*IBGE_2!C$1163/100</f>
        <v>28</v>
      </c>
      <c r="D1163" s="142">
        <f>B1163*IBGE_2!D$1163/100</f>
        <v>2.52</v>
      </c>
      <c r="E1163" s="142">
        <f>B1163*IBGE_2!E$1163/100</f>
        <v>0.62</v>
      </c>
      <c r="F1163" s="142">
        <f>B1163*IBGE_2!F$1163/100</f>
        <v>0.13</v>
      </c>
      <c r="G1163" s="142">
        <f>B1163*IBGE_2!G$1163/100</f>
        <v>0.1</v>
      </c>
      <c r="H1163" s="142">
        <f>B1163*IBGE_2!H$1163/100</f>
        <v>0.2</v>
      </c>
      <c r="I1163" s="142">
        <f>B1163*IBGE_2!I$1163/100</f>
        <v>0.18</v>
      </c>
      <c r="J1163" s="142">
        <f>B1163*IBGE_2!J$1163/100</f>
        <v>0.02</v>
      </c>
      <c r="K1163" s="142" t="s">
        <v>3047</v>
      </c>
      <c r="L1163" s="142">
        <f>B1163*IBGE_2!L$1163/100</f>
        <v>4.62</v>
      </c>
      <c r="M1163" s="142">
        <f>B1163*IBGE_2!M$1163/100</f>
        <v>2.4</v>
      </c>
      <c r="N1163" s="142">
        <f>B1163*IBGE_2!N$1163/100</f>
        <v>58</v>
      </c>
      <c r="O1163" s="142">
        <f>B1163*IBGE_2!O$1163/100</f>
        <v>38</v>
      </c>
      <c r="P1163" s="142">
        <f>B1163*IBGE_2!P$1163/100</f>
        <v>1.39</v>
      </c>
      <c r="Q1163" s="142">
        <f>B1163*IBGE_2!Q$1163/100</f>
        <v>65</v>
      </c>
      <c r="R1163" s="142">
        <f>B1163*IBGE_2!R$1163/100</f>
        <v>3.13</v>
      </c>
      <c r="S1163" s="142">
        <f>B1163*IBGE_2!S$1163/100</f>
        <v>426</v>
      </c>
      <c r="T1163" s="142">
        <f>B1163*IBGE_2!T$1163/100</f>
        <v>177</v>
      </c>
      <c r="U1163" s="142">
        <f>B1163*IBGE_2!U$1163/100</f>
        <v>0.13</v>
      </c>
      <c r="V1163" s="142">
        <f>B1163*IBGE_2!V$1163/100</f>
        <v>1.1499999999999999</v>
      </c>
      <c r="W1163" s="142" t="s">
        <v>3047</v>
      </c>
      <c r="X1163" s="142">
        <f>B1163*IBGE_2!X$1163/100</f>
        <v>0.01</v>
      </c>
      <c r="Y1163" s="142">
        <f>B1163*IBGE_2!Y$1163/100</f>
        <v>0.06</v>
      </c>
      <c r="Z1163" s="142">
        <f>B1163*IBGE_2!Z$1163/100</f>
        <v>0.02</v>
      </c>
      <c r="AA1163" s="142">
        <f>B1163*IBGE_2!AA$1163/100</f>
        <v>0.44</v>
      </c>
      <c r="AB1163" s="142">
        <f>B1163*IBGE_2!AB$1163/100</f>
        <v>7.9</v>
      </c>
      <c r="AC1163" s="142">
        <f>B1163*IBGE_2!AC$1163/100</f>
        <v>0.82</v>
      </c>
      <c r="AD1163" s="142" t="s">
        <v>3047</v>
      </c>
      <c r="AE1163" s="142">
        <f>B1163*IBGE_2!AE$1163/100</f>
        <v>39</v>
      </c>
      <c r="AF1163" s="142" t="s">
        <v>3047</v>
      </c>
      <c r="AG1163" s="142">
        <f>B1163*IBGE_2!AG$1163/100</f>
        <v>0.5</v>
      </c>
      <c r="AH1163" s="145" t="s">
        <v>3047</v>
      </c>
      <c r="AI1163" s="142" t="s">
        <v>3047</v>
      </c>
      <c r="AJ1163" s="142">
        <f>B1163*IBGE_2!AJ$1163/100</f>
        <v>0.7</v>
      </c>
      <c r="AK1163" s="145" t="s">
        <v>3047</v>
      </c>
      <c r="AL1163" s="145" t="s">
        <v>3047</v>
      </c>
      <c r="AM1163" s="142" t="s">
        <v>3047</v>
      </c>
      <c r="AN1163" s="161"/>
    </row>
    <row r="1164" spans="1:40">
      <c r="A1164" s="143" t="s">
        <v>2224</v>
      </c>
      <c r="B1164" s="141">
        <v>100</v>
      </c>
      <c r="C1164" s="142">
        <f>B1164*IBGE_2!C$1164/100</f>
        <v>50.735999999999997</v>
      </c>
      <c r="D1164" s="142">
        <f>B1164*IBGE_2!D$1164/100</f>
        <v>1.87</v>
      </c>
      <c r="E1164" s="142">
        <f>B1164*IBGE_2!E$1164/100</f>
        <v>3.2010000000000001</v>
      </c>
      <c r="F1164" s="142">
        <f>B1164*IBGE_2!F$1164/100</f>
        <v>0.48699999999999993</v>
      </c>
      <c r="G1164" s="142">
        <f>B1164*IBGE_2!G$1164/100</f>
        <v>0.66799999999999993</v>
      </c>
      <c r="H1164" s="142">
        <f>B1164*IBGE_2!H$1164/100</f>
        <v>1.798</v>
      </c>
      <c r="I1164" s="142">
        <f>B1164*IBGE_2!I$1164/100</f>
        <v>1.599</v>
      </c>
      <c r="J1164" s="142">
        <f>B1164*IBGE_2!J$1164/100</f>
        <v>0.19900000000000001</v>
      </c>
      <c r="K1164" s="142" t="s">
        <v>3047</v>
      </c>
      <c r="L1164" s="142">
        <f>B1164*IBGE_2!L$1164/100</f>
        <v>5.09</v>
      </c>
      <c r="M1164" s="142">
        <f>B1164*IBGE_2!M$1164/100</f>
        <v>2.4</v>
      </c>
      <c r="N1164" s="142">
        <f>B1164*IBGE_2!N$1164/100</f>
        <v>11</v>
      </c>
      <c r="O1164" s="142">
        <f>B1164*IBGE_2!O$1164/100</f>
        <v>15</v>
      </c>
      <c r="P1164" s="142">
        <f>B1164*IBGE_2!P$1164/100</f>
        <v>8.5999999999999993E-2</v>
      </c>
      <c r="Q1164" s="142">
        <f>B1164*IBGE_2!Q$1164/100</f>
        <v>66</v>
      </c>
      <c r="R1164" s="142">
        <f>B1164*IBGE_2!R$1164/100</f>
        <v>0.79100000000000004</v>
      </c>
      <c r="S1164" s="142">
        <f>B1164*IBGE_2!S$1164/100</f>
        <v>425</v>
      </c>
      <c r="T1164" s="142">
        <f>B1164*IBGE_2!T$1164/100</f>
        <v>129</v>
      </c>
      <c r="U1164" s="142">
        <f>B1164*IBGE_2!U$1164/100</f>
        <v>0.23499999999999999</v>
      </c>
      <c r="V1164" s="142">
        <f>B1164*IBGE_2!V$1164/100</f>
        <v>0.72</v>
      </c>
      <c r="W1164" s="142" t="s">
        <v>3047</v>
      </c>
      <c r="X1164" s="142">
        <f>B1164*IBGE_2!X$1164/100</f>
        <v>8.5000000000000006E-2</v>
      </c>
      <c r="Y1164" s="142">
        <f>B1164*IBGE_2!Y$1164/100</f>
        <v>2.1000000000000001E-2</v>
      </c>
      <c r="Z1164" s="142">
        <f>B1164*IBGE_2!Z$1164/100</f>
        <v>6.0999999999999999E-2</v>
      </c>
      <c r="AA1164" s="142">
        <f>B1164*IBGE_2!AA$1164/100</f>
        <v>1.5930000000000002</v>
      </c>
      <c r="AB1164" s="142" t="s">
        <v>3047</v>
      </c>
      <c r="AC1164" s="142">
        <f>B1164*IBGE_2!AC$1164/100</f>
        <v>1.9430000000000001</v>
      </c>
      <c r="AD1164" s="142" t="s">
        <v>3047</v>
      </c>
      <c r="AE1164" s="142">
        <f>B1164*IBGE_2!AE$1164/100</f>
        <v>12</v>
      </c>
      <c r="AF1164" s="142">
        <f>B1164*IBGE_2!AF$1164/100</f>
        <v>0.52500000000000002</v>
      </c>
      <c r="AG1164" s="142">
        <f>B1164*IBGE_2!AG$1164/100</f>
        <v>0.248</v>
      </c>
      <c r="AH1164" s="142">
        <f>B1164*IBGE_2!AH$1164/100</f>
        <v>1.6E-2</v>
      </c>
      <c r="AI1164" s="142" t="s">
        <v>3047</v>
      </c>
      <c r="AJ1164" s="142">
        <f>B1164*IBGE_2!AJ$1164/100</f>
        <v>5.4340000000000002</v>
      </c>
      <c r="AK1164" s="145" t="s">
        <v>3047</v>
      </c>
      <c r="AL1164" s="142">
        <f>B1164*IBGE_2!AL$1164/100</f>
        <v>1.44</v>
      </c>
      <c r="AM1164" s="142" t="s">
        <v>3047</v>
      </c>
      <c r="AN1164" s="161"/>
    </row>
    <row r="1165" spans="1:40">
      <c r="A1165" s="143" t="s">
        <v>2225</v>
      </c>
      <c r="B1165" s="141">
        <v>100</v>
      </c>
      <c r="C1165" s="142">
        <f>B1165*IBGE_2!C$1165/100</f>
        <v>50.735999999999997</v>
      </c>
      <c r="D1165" s="142">
        <f>B1165*IBGE_2!D$1165/100</f>
        <v>1.87</v>
      </c>
      <c r="E1165" s="142">
        <f>B1165*IBGE_2!E$1165/100</f>
        <v>3.2010000000000001</v>
      </c>
      <c r="F1165" s="142">
        <f>B1165*IBGE_2!F$1165/100</f>
        <v>0.48699999999999993</v>
      </c>
      <c r="G1165" s="142">
        <f>B1165*IBGE_2!G$1165/100</f>
        <v>0.66799999999999993</v>
      </c>
      <c r="H1165" s="142">
        <f>B1165*IBGE_2!H$1165/100</f>
        <v>1.798</v>
      </c>
      <c r="I1165" s="142">
        <f>B1165*IBGE_2!I$1165/100</f>
        <v>1.599</v>
      </c>
      <c r="J1165" s="142">
        <f>B1165*IBGE_2!J$1165/100</f>
        <v>0.19900000000000001</v>
      </c>
      <c r="K1165" s="142" t="s">
        <v>3047</v>
      </c>
      <c r="L1165" s="142">
        <f>B1165*IBGE_2!L$1165/100</f>
        <v>5.09</v>
      </c>
      <c r="M1165" s="142">
        <f>B1165*IBGE_2!M$1165/100</f>
        <v>2.4</v>
      </c>
      <c r="N1165" s="142">
        <f>B1165*IBGE_2!N$1165/100</f>
        <v>11</v>
      </c>
      <c r="O1165" s="142">
        <f>B1165*IBGE_2!O$1165/100</f>
        <v>15</v>
      </c>
      <c r="P1165" s="142">
        <f>B1165*IBGE_2!P$1165/100</f>
        <v>8.5999999999999993E-2</v>
      </c>
      <c r="Q1165" s="142">
        <f>B1165*IBGE_2!Q$1165/100</f>
        <v>66</v>
      </c>
      <c r="R1165" s="142">
        <f>B1165*IBGE_2!R$1165/100</f>
        <v>0.79100000000000004</v>
      </c>
      <c r="S1165" s="142">
        <f>B1165*IBGE_2!S$1165/100</f>
        <v>425</v>
      </c>
      <c r="T1165" s="142">
        <f>B1165*IBGE_2!T$1165/100</f>
        <v>129</v>
      </c>
      <c r="U1165" s="142">
        <f>B1165*IBGE_2!U$1165/100</f>
        <v>0.23499999999999999</v>
      </c>
      <c r="V1165" s="142">
        <f>B1165*IBGE_2!V$1165/100</f>
        <v>0.72</v>
      </c>
      <c r="W1165" s="142" t="s">
        <v>3047</v>
      </c>
      <c r="X1165" s="142">
        <f>B1165*IBGE_2!X$1165/100</f>
        <v>8.5000000000000006E-2</v>
      </c>
      <c r="Y1165" s="142">
        <f>B1165*IBGE_2!Y$1165/100</f>
        <v>2.1000000000000001E-2</v>
      </c>
      <c r="Z1165" s="142">
        <f>B1165*IBGE_2!Z$1165/100</f>
        <v>6.0999999999999999E-2</v>
      </c>
      <c r="AA1165" s="142">
        <f>B1165*IBGE_2!AA$1165/100</f>
        <v>1.5930000000000002</v>
      </c>
      <c r="AB1165" s="142" t="s">
        <v>3047</v>
      </c>
      <c r="AC1165" s="142">
        <f>B1165*IBGE_2!AC$1165/100</f>
        <v>1.9430000000000001</v>
      </c>
      <c r="AD1165" s="142" t="s">
        <v>3047</v>
      </c>
      <c r="AE1165" s="142">
        <f>B1165*IBGE_2!AE$1165/100</f>
        <v>12</v>
      </c>
      <c r="AF1165" s="142">
        <f>B1165*IBGE_2!AF$1165/100</f>
        <v>0.52500000000000002</v>
      </c>
      <c r="AG1165" s="142">
        <f>B1165*IBGE_2!AG$1165/100</f>
        <v>0.248</v>
      </c>
      <c r="AH1165" s="142">
        <f>B1165*IBGE_2!AH$1165/100</f>
        <v>1.6E-2</v>
      </c>
      <c r="AI1165" s="142" t="s">
        <v>3047</v>
      </c>
      <c r="AJ1165" s="142">
        <f>B1165*IBGE_2!AJ$1165/100</f>
        <v>5.4340000000000002</v>
      </c>
      <c r="AK1165" s="145" t="s">
        <v>3047</v>
      </c>
      <c r="AL1165" s="142">
        <f>B1165*IBGE_2!AL$1165/100</f>
        <v>1.44</v>
      </c>
      <c r="AM1165" s="142" t="s">
        <v>3047</v>
      </c>
      <c r="AN1165" s="161"/>
    </row>
    <row r="1166" spans="1:40">
      <c r="A1166" s="143" t="s">
        <v>2226</v>
      </c>
      <c r="B1166" s="141">
        <v>100</v>
      </c>
      <c r="C1166" s="142">
        <f>B1166*IBGE_2!C$1166/100</f>
        <v>19</v>
      </c>
      <c r="D1166" s="142">
        <f>B1166*IBGE_2!D$1166/100</f>
        <v>2.14</v>
      </c>
      <c r="E1166" s="142">
        <f>B1166*IBGE_2!E$1166/100</f>
        <v>0.65</v>
      </c>
      <c r="F1166" s="142">
        <f>B1166*IBGE_2!F$1166/100</f>
        <v>0.14699999999999999</v>
      </c>
      <c r="G1166" s="142">
        <f>B1166*IBGE_2!G$1166/100</f>
        <v>2.1000000000000001E-2</v>
      </c>
      <c r="H1166" s="142">
        <f>B1166*IBGE_2!H$1166/100</f>
        <v>0.28399999999999997</v>
      </c>
      <c r="I1166" s="142">
        <f>B1166*IBGE_2!I$1166/100</f>
        <v>0.26900000000000002</v>
      </c>
      <c r="J1166" s="142">
        <f>B1166*IBGE_2!J$1166/100</f>
        <v>1.4999999999999999E-2</v>
      </c>
      <c r="K1166" s="142" t="s">
        <v>3047</v>
      </c>
      <c r="L1166" s="142">
        <f>B1166*IBGE_2!L$1166/100</f>
        <v>2.46</v>
      </c>
      <c r="M1166" s="142">
        <f>B1166*IBGE_2!M$1166/100</f>
        <v>1.6</v>
      </c>
      <c r="N1166" s="142">
        <f>B1166*IBGE_2!N$1166/100</f>
        <v>16</v>
      </c>
      <c r="O1166" s="142">
        <f>B1166*IBGE_2!O$1166/100</f>
        <v>10</v>
      </c>
      <c r="P1166" s="142">
        <f>B1166*IBGE_2!P$1166/100</f>
        <v>0.17</v>
      </c>
      <c r="Q1166" s="142">
        <f>B1166*IBGE_2!Q$1166/100</f>
        <v>43</v>
      </c>
      <c r="R1166" s="142">
        <f>B1166*IBGE_2!R$1166/100</f>
        <v>1.83</v>
      </c>
      <c r="S1166" s="142">
        <f>B1166*IBGE_2!S$1166/100</f>
        <v>287</v>
      </c>
      <c r="T1166" s="142">
        <f>B1166*IBGE_2!T$1166/100</f>
        <v>172</v>
      </c>
      <c r="U1166" s="142">
        <f>B1166*IBGE_2!U$1166/100</f>
        <v>9.6000000000000002E-2</v>
      </c>
      <c r="V1166" s="142">
        <f>B1166*IBGE_2!V$1166/100</f>
        <v>0.4</v>
      </c>
      <c r="W1166" s="142" t="s">
        <v>3047</v>
      </c>
      <c r="X1166" s="142">
        <f>B1166*IBGE_2!X$1166/100</f>
        <v>6.0999999999999999E-2</v>
      </c>
      <c r="Y1166" s="142">
        <f>B1166*IBGE_2!Y$1166/100</f>
        <v>0.1</v>
      </c>
      <c r="Z1166" s="142">
        <f>B1166*IBGE_2!Z$1166/100</f>
        <v>0.11</v>
      </c>
      <c r="AA1166" s="142">
        <f>B1166*IBGE_2!AA$1166/100</f>
        <v>0.95399999999999996</v>
      </c>
      <c r="AB1166" s="142">
        <f>B1166*IBGE_2!AB$1166/100</f>
        <v>18.399999999999999</v>
      </c>
      <c r="AC1166" s="142">
        <f>B1166*IBGE_2!AC$1166/100</f>
        <v>1.304</v>
      </c>
      <c r="AD1166" s="142" t="s">
        <v>3047</v>
      </c>
      <c r="AE1166" s="142">
        <f>B1166*IBGE_2!AE$1166/100</f>
        <v>96</v>
      </c>
      <c r="AF1166" s="145" t="s">
        <v>3047</v>
      </c>
      <c r="AG1166" s="142">
        <f>B1166*IBGE_2!AG$1166/100</f>
        <v>1.22</v>
      </c>
      <c r="AH1166" s="145" t="s">
        <v>3047</v>
      </c>
      <c r="AI1166" s="142" t="s">
        <v>3047</v>
      </c>
      <c r="AJ1166" s="142">
        <f>B1166*IBGE_2!AJ$1166/100</f>
        <v>1.7</v>
      </c>
      <c r="AK1166" s="142">
        <f>B1166*IBGE_2!AK$1166/100</f>
        <v>41.082999999999998</v>
      </c>
      <c r="AL1166" s="142">
        <f>B1166*IBGE_2!AL$1166/100</f>
        <v>1.1000000000000001</v>
      </c>
      <c r="AM1166" s="142" t="s">
        <v>3047</v>
      </c>
      <c r="AN1166" s="161"/>
    </row>
    <row r="1167" spans="1:40">
      <c r="A1167" s="143" t="s">
        <v>2227</v>
      </c>
      <c r="B1167" s="141">
        <v>100</v>
      </c>
      <c r="C1167" s="142">
        <f>B1167*IBGE_2!C$1167/100</f>
        <v>19</v>
      </c>
      <c r="D1167" s="142">
        <f>B1167*IBGE_2!D$1167/100</f>
        <v>0.91</v>
      </c>
      <c r="E1167" s="142">
        <f>B1167*IBGE_2!E$1167/100</f>
        <v>0.14000000000000001</v>
      </c>
      <c r="F1167" s="142">
        <f>B1167*IBGE_2!F$1167/100</f>
        <v>3.4000000000000002E-2</v>
      </c>
      <c r="G1167" s="142">
        <f>B1167*IBGE_2!G$1167/100</f>
        <v>1.3000000000000001E-2</v>
      </c>
      <c r="H1167" s="142">
        <f>B1167*IBGE_2!H$1167/100</f>
        <v>6.7000000000000004E-2</v>
      </c>
      <c r="I1167" s="142">
        <f>B1167*IBGE_2!I$1167/100</f>
        <v>3.4000000000000002E-2</v>
      </c>
      <c r="J1167" s="142">
        <f>B1167*IBGE_2!J$1167/100</f>
        <v>3.3000000000000002E-2</v>
      </c>
      <c r="K1167" s="142" t="s">
        <v>3047</v>
      </c>
      <c r="L1167" s="142">
        <f>B1167*IBGE_2!L$1167/100</f>
        <v>4.28</v>
      </c>
      <c r="M1167" s="142">
        <f>B1167*IBGE_2!M$1167/100</f>
        <v>2.9</v>
      </c>
      <c r="N1167" s="142">
        <f>B1167*IBGE_2!N$1167/100</f>
        <v>30</v>
      </c>
      <c r="O1167" s="142">
        <f>B1167*IBGE_2!O$1167/100</f>
        <v>13</v>
      </c>
      <c r="P1167" s="142">
        <f>B1167*IBGE_2!P$1167/100</f>
        <v>0.151</v>
      </c>
      <c r="Q1167" s="142">
        <f>B1167*IBGE_2!Q$1167/100</f>
        <v>20</v>
      </c>
      <c r="R1167" s="142">
        <f>B1167*IBGE_2!R$1167/100</f>
        <v>1.47</v>
      </c>
      <c r="S1167" s="142">
        <f>B1167*IBGE_2!S$1167/100</f>
        <v>661</v>
      </c>
      <c r="T1167" s="142">
        <f>B1167*IBGE_2!T$1167/100</f>
        <v>170</v>
      </c>
      <c r="U1167" s="142">
        <f>B1167*IBGE_2!U$1167/100</f>
        <v>9.6000000000000002E-2</v>
      </c>
      <c r="V1167" s="142">
        <f>B1167*IBGE_2!V$1167/100</f>
        <v>0.19</v>
      </c>
      <c r="W1167" s="142" t="s">
        <v>3047</v>
      </c>
      <c r="X1167" s="142">
        <f>B1167*IBGE_2!X$1167/100</f>
        <v>2.1000000000000001E-2</v>
      </c>
      <c r="Y1167" s="142">
        <f>B1167*IBGE_2!Y$1167/100</f>
        <v>2.1999999999999999E-2</v>
      </c>
      <c r="Z1167" s="142">
        <f>B1167*IBGE_2!Z$1167/100</f>
        <v>0.13</v>
      </c>
      <c r="AA1167" s="142">
        <f>B1167*IBGE_2!AA$1167/100</f>
        <v>0.14299999999999999</v>
      </c>
      <c r="AB1167" s="142">
        <f>B1167*IBGE_2!AB$1167/100</f>
        <v>14.7</v>
      </c>
      <c r="AC1167" s="142">
        <f>B1167*IBGE_2!AC$1167/100</f>
        <v>0.27600000000000002</v>
      </c>
      <c r="AD1167" s="142" t="s">
        <v>3047</v>
      </c>
      <c r="AE1167" s="142">
        <f>B1167*IBGE_2!AE$1167/100</f>
        <v>24</v>
      </c>
      <c r="AF1167" s="145" t="s">
        <v>3047</v>
      </c>
      <c r="AG1167" s="142">
        <f>B1167*IBGE_2!AG$1167/100</f>
        <v>0.14000000000000001</v>
      </c>
      <c r="AH1167" s="145" t="s">
        <v>3047</v>
      </c>
      <c r="AI1167" s="142" t="s">
        <v>3047</v>
      </c>
      <c r="AJ1167" s="142">
        <f>B1167*IBGE_2!AJ$1167/100</f>
        <v>0.6</v>
      </c>
      <c r="AK1167" s="142">
        <f>B1167*IBGE_2!AK$1167/100</f>
        <v>0.875</v>
      </c>
      <c r="AL1167" s="142">
        <f>B1167*IBGE_2!AL$1167/100</f>
        <v>0.18</v>
      </c>
      <c r="AM1167" s="142" t="s">
        <v>3047</v>
      </c>
      <c r="AN1167" s="161"/>
    </row>
    <row r="1168" spans="1:40">
      <c r="A1168" s="143" t="s">
        <v>2228</v>
      </c>
      <c r="B1168" s="141">
        <v>100</v>
      </c>
      <c r="C1168" s="142">
        <f>B1168*IBGE_2!C$1168/100</f>
        <v>19</v>
      </c>
      <c r="D1168" s="142">
        <f>B1168*IBGE_2!D$1168/100</f>
        <v>0.91</v>
      </c>
      <c r="E1168" s="142">
        <f>B1168*IBGE_2!E$1168/100</f>
        <v>0.14000000000000001</v>
      </c>
      <c r="F1168" s="142">
        <f>B1168*IBGE_2!F$1168/100</f>
        <v>3.4000000000000002E-2</v>
      </c>
      <c r="G1168" s="142">
        <f>B1168*IBGE_2!G$1168/100</f>
        <v>1.3000000000000001E-2</v>
      </c>
      <c r="H1168" s="142">
        <f>B1168*IBGE_2!H$1168/100</f>
        <v>6.7000000000000004E-2</v>
      </c>
      <c r="I1168" s="142">
        <f>B1168*IBGE_2!I$1168/100</f>
        <v>3.4000000000000002E-2</v>
      </c>
      <c r="J1168" s="142">
        <f>B1168*IBGE_2!J$1168/100</f>
        <v>3.3000000000000002E-2</v>
      </c>
      <c r="K1168" s="142" t="s">
        <v>3047</v>
      </c>
      <c r="L1168" s="142">
        <f>B1168*IBGE_2!L$1168/100</f>
        <v>4.28</v>
      </c>
      <c r="M1168" s="142">
        <f>B1168*IBGE_2!M$1168/100</f>
        <v>2.9</v>
      </c>
      <c r="N1168" s="142">
        <f>B1168*IBGE_2!N$1168/100</f>
        <v>30</v>
      </c>
      <c r="O1168" s="142">
        <f>B1168*IBGE_2!O$1168/100</f>
        <v>13</v>
      </c>
      <c r="P1168" s="142">
        <f>B1168*IBGE_2!P$1168/100</f>
        <v>0.151</v>
      </c>
      <c r="Q1168" s="142">
        <f>B1168*IBGE_2!Q$1168/100</f>
        <v>20</v>
      </c>
      <c r="R1168" s="142">
        <f>B1168*IBGE_2!R$1168/100</f>
        <v>1.47</v>
      </c>
      <c r="S1168" s="142">
        <f>B1168*IBGE_2!S$1168/100</f>
        <v>661</v>
      </c>
      <c r="T1168" s="142">
        <f>B1168*IBGE_2!T$1168/100</f>
        <v>170</v>
      </c>
      <c r="U1168" s="142">
        <f>B1168*IBGE_2!U$1168/100</f>
        <v>9.6000000000000002E-2</v>
      </c>
      <c r="V1168" s="142">
        <f>B1168*IBGE_2!V$1168/100</f>
        <v>0.19</v>
      </c>
      <c r="W1168" s="142" t="s">
        <v>3047</v>
      </c>
      <c r="X1168" s="142">
        <f>B1168*IBGE_2!X$1168/100</f>
        <v>2.1000000000000001E-2</v>
      </c>
      <c r="Y1168" s="142">
        <f>B1168*IBGE_2!Y$1168/100</f>
        <v>2.1999999999999999E-2</v>
      </c>
      <c r="Z1168" s="142">
        <f>B1168*IBGE_2!Z$1168/100</f>
        <v>0.13</v>
      </c>
      <c r="AA1168" s="142">
        <f>B1168*IBGE_2!AA$1168/100</f>
        <v>0.14299999999999999</v>
      </c>
      <c r="AB1168" s="142">
        <f>B1168*IBGE_2!AB$1168/100</f>
        <v>14.7</v>
      </c>
      <c r="AC1168" s="142">
        <f>B1168*IBGE_2!AC$1168/100</f>
        <v>0.27600000000000002</v>
      </c>
      <c r="AD1168" s="142" t="s">
        <v>3047</v>
      </c>
      <c r="AE1168" s="142">
        <f>B1168*IBGE_2!AE$1168/100</f>
        <v>24</v>
      </c>
      <c r="AF1168" s="145" t="s">
        <v>3047</v>
      </c>
      <c r="AG1168" s="142">
        <f>B1168*IBGE_2!AG$1168/100</f>
        <v>0.14000000000000001</v>
      </c>
      <c r="AH1168" s="145" t="s">
        <v>3047</v>
      </c>
      <c r="AI1168" s="142" t="s">
        <v>3047</v>
      </c>
      <c r="AJ1168" s="142">
        <f>B1168*IBGE_2!AJ$1168/100</f>
        <v>0.6</v>
      </c>
      <c r="AK1168" s="142">
        <f>B1168*IBGE_2!AK$1168/100</f>
        <v>0.875</v>
      </c>
      <c r="AL1168" s="142">
        <f>B1168*IBGE_2!AL$1168/100</f>
        <v>0.18</v>
      </c>
      <c r="AM1168" s="142" t="s">
        <v>3047</v>
      </c>
      <c r="AN1168" s="161"/>
    </row>
    <row r="1169" spans="1:40">
      <c r="A1169" s="143" t="s">
        <v>2229</v>
      </c>
      <c r="B1169" s="141">
        <v>100</v>
      </c>
      <c r="C1169" s="142">
        <f>B1169*IBGE_2!C$1169/100</f>
        <v>47</v>
      </c>
      <c r="D1169" s="142">
        <f>B1169*IBGE_2!D$1169/100</f>
        <v>2.5299999999999998</v>
      </c>
      <c r="E1169" s="142">
        <f>B1169*IBGE_2!E$1169/100</f>
        <v>0.26</v>
      </c>
      <c r="F1169" s="142">
        <f>B1169*IBGE_2!F$1169/100</f>
        <v>0.05</v>
      </c>
      <c r="G1169" s="142">
        <f>B1169*IBGE_2!G$1169/100</f>
        <v>0.01</v>
      </c>
      <c r="H1169" s="142">
        <f>B1169*IBGE_2!H$1169/100</f>
        <v>0.12</v>
      </c>
      <c r="I1169" s="142">
        <f>B1169*IBGE_2!I$1169/100</f>
        <v>0.1</v>
      </c>
      <c r="J1169" s="142">
        <f>B1169*IBGE_2!J$1169/100</f>
        <v>0.01</v>
      </c>
      <c r="K1169" s="142" t="s">
        <v>3047</v>
      </c>
      <c r="L1169" s="142">
        <f>B1169*IBGE_2!L$1169/100</f>
        <v>9.06</v>
      </c>
      <c r="M1169" s="142">
        <f>B1169*IBGE_2!M$1169/100</f>
        <v>2.8</v>
      </c>
      <c r="N1169" s="142">
        <f>B1169*IBGE_2!N$1169/100</f>
        <v>22.646000000000001</v>
      </c>
      <c r="O1169" s="142">
        <f>B1169*IBGE_2!O$1169/100</f>
        <v>12.505999999999998</v>
      </c>
      <c r="P1169" s="142">
        <f>B1169*IBGE_2!P$1169/100</f>
        <v>0.371</v>
      </c>
      <c r="Q1169" s="142">
        <f>B1169*IBGE_2!Q$1169/100</f>
        <v>45.5</v>
      </c>
      <c r="R1169" s="142">
        <f>B1169*IBGE_2!R$1169/100</f>
        <v>0.79200000000000004</v>
      </c>
      <c r="S1169" s="142">
        <f>B1169*IBGE_2!S$1169/100</f>
        <v>482.77800000000002</v>
      </c>
      <c r="T1169" s="142">
        <f>B1169*IBGE_2!T$1169/100</f>
        <v>176.04900000000001</v>
      </c>
      <c r="U1169" s="142">
        <f>B1169*IBGE_2!U$1169/100</f>
        <v>0.09</v>
      </c>
      <c r="V1169" s="142">
        <f>B1169*IBGE_2!V$1169/100</f>
        <v>0.48100000000000004</v>
      </c>
      <c r="W1169" s="142" t="s">
        <v>3047</v>
      </c>
      <c r="X1169" s="142">
        <f>B1169*IBGE_2!X$1169/100</f>
        <v>7.0000000000000007E-2</v>
      </c>
      <c r="Y1169" s="142">
        <f>B1169*IBGE_2!Y$1169/100</f>
        <v>0.05</v>
      </c>
      <c r="Z1169" s="142">
        <f>B1169*IBGE_2!Z$1169/100</f>
        <v>0.08</v>
      </c>
      <c r="AA1169" s="142">
        <f>B1169*IBGE_2!AA$1169/100</f>
        <v>0.63</v>
      </c>
      <c r="AB1169" s="142">
        <f>B1169*IBGE_2!AB$1169/100</f>
        <v>6.15</v>
      </c>
      <c r="AC1169" s="142">
        <f>B1169*IBGE_2!AC$1169/100</f>
        <v>0.79700000000000004</v>
      </c>
      <c r="AD1169" s="145" t="s">
        <v>3047</v>
      </c>
      <c r="AE1169" s="142">
        <f>B1169*IBGE_2!AE$1169/100</f>
        <v>26.75</v>
      </c>
      <c r="AF1169" s="145" t="s">
        <v>3047</v>
      </c>
      <c r="AG1169" s="142">
        <f>B1169*IBGE_2!AG$1169/100</f>
        <v>0.38500000000000001</v>
      </c>
      <c r="AH1169" s="145" t="s">
        <v>3047</v>
      </c>
      <c r="AI1169" s="142" t="s">
        <v>3047</v>
      </c>
      <c r="AJ1169" s="142">
        <f>B1169*IBGE_2!AJ$1169/100</f>
        <v>1.0509999999999999</v>
      </c>
      <c r="AK1169" s="142">
        <f>B1169*IBGE_2!AK$1169/100</f>
        <v>292.66699999999997</v>
      </c>
      <c r="AL1169" s="142">
        <f>B1169*IBGE_2!AL$1169/100</f>
        <v>3.2</v>
      </c>
      <c r="AM1169" s="142" t="s">
        <v>3047</v>
      </c>
      <c r="AN1169" s="161"/>
    </row>
    <row r="1170" spans="1:40">
      <c r="A1170" s="143" t="s">
        <v>2230</v>
      </c>
      <c r="B1170" s="141">
        <v>100</v>
      </c>
      <c r="C1170" s="142">
        <f>B1170*IBGE_2!C$1170/100</f>
        <v>46.311999999999998</v>
      </c>
      <c r="D1170" s="142">
        <f>B1170*IBGE_2!D$1170/100</f>
        <v>0.82099999999999995</v>
      </c>
      <c r="E1170" s="142">
        <f>B1170*IBGE_2!E$1170/100</f>
        <v>2.4710000000000001</v>
      </c>
      <c r="F1170" s="142">
        <f>B1170*IBGE_2!F$1170/100</f>
        <v>0.79299999999999993</v>
      </c>
      <c r="G1170" s="142">
        <f>B1170*IBGE_2!G$1170/100</f>
        <v>0.84</v>
      </c>
      <c r="H1170" s="142">
        <f>B1170*IBGE_2!H$1170/100</f>
        <v>0.68899999999999995</v>
      </c>
      <c r="I1170" s="142">
        <f>B1170*IBGE_2!I$1170/100</f>
        <v>0.65700000000000003</v>
      </c>
      <c r="J1170" s="142">
        <f>B1170*IBGE_2!J$1170/100</f>
        <v>2.9000000000000005E-2</v>
      </c>
      <c r="K1170" s="142">
        <f>B1170*IBGE_2!K$1170/100</f>
        <v>5.95</v>
      </c>
      <c r="L1170" s="142">
        <f>B1170*IBGE_2!L$1170/100</f>
        <v>5.3410000000000002</v>
      </c>
      <c r="M1170" s="142">
        <f>B1170*IBGE_2!M$1170/100</f>
        <v>0.20300000000000001</v>
      </c>
      <c r="N1170" s="142">
        <f>B1170*IBGE_2!N$1170/100</f>
        <v>59.194000000000003</v>
      </c>
      <c r="O1170" s="142">
        <f>B1170*IBGE_2!O$1170/100</f>
        <v>7.7649999999999997</v>
      </c>
      <c r="P1170" s="142">
        <f>B1170*IBGE_2!P$1170/100</f>
        <v>3.7999999999999999E-2</v>
      </c>
      <c r="Q1170" s="142">
        <f>B1170*IBGE_2!Q$1170/100</f>
        <v>43.218000000000004</v>
      </c>
      <c r="R1170" s="142">
        <f>B1170*IBGE_2!R$1170/100</f>
        <v>0.16200000000000001</v>
      </c>
      <c r="S1170" s="142">
        <f>B1170*IBGE_2!S$1170/100</f>
        <v>374.68799999999993</v>
      </c>
      <c r="T1170" s="142">
        <f>B1170*IBGE_2!T$1170/100</f>
        <v>89.414000000000001</v>
      </c>
      <c r="U1170" s="142">
        <f>B1170*IBGE_2!U$1170/100</f>
        <v>1.9E-2</v>
      </c>
      <c r="V1170" s="142">
        <f>B1170*IBGE_2!V$1170/100</f>
        <v>0.22400000000000003</v>
      </c>
      <c r="W1170" s="142">
        <f>B1170*IBGE_2!W$1170/100</f>
        <v>14.682</v>
      </c>
      <c r="X1170" s="142">
        <f>B1170*IBGE_2!X$1170/100</f>
        <v>3.7999999999999999E-2</v>
      </c>
      <c r="Y1170" s="142">
        <f>B1170*IBGE_2!Y$1170/100</f>
        <v>6.7000000000000004E-2</v>
      </c>
      <c r="Z1170" s="142">
        <f>B1170*IBGE_2!Z$1170/100</f>
        <v>4.3999999999999997E-2</v>
      </c>
      <c r="AA1170" s="142">
        <f>B1170*IBGE_2!AA$1170/100</f>
        <v>0.14599999999999999</v>
      </c>
      <c r="AB1170" s="142">
        <f>B1170*IBGE_2!AB$1170/100</f>
        <v>1.2549999999999999</v>
      </c>
      <c r="AC1170" s="142">
        <f>B1170*IBGE_2!AC$1170/100</f>
        <v>0.36</v>
      </c>
      <c r="AD1170" s="142">
        <f>B1170*IBGE_2!AD$1170/100</f>
        <v>7.4999999999999997E-2</v>
      </c>
      <c r="AE1170" s="142">
        <f>B1170*IBGE_2!AE$1170/100</f>
        <v>7.51</v>
      </c>
      <c r="AF1170" s="142">
        <f>B1170*IBGE_2!AF$1170/100</f>
        <v>2.4E-2</v>
      </c>
      <c r="AG1170" s="142">
        <f>B1170*IBGE_2!AG$1170/100</f>
        <v>0.245</v>
      </c>
      <c r="AH1170" s="142">
        <f>B1170*IBGE_2!AH$1170/100</f>
        <v>0.29399999999999998</v>
      </c>
      <c r="AI1170" s="142" t="s">
        <v>3047</v>
      </c>
      <c r="AJ1170" s="142">
        <f>B1170*IBGE_2!AJ$1170/100</f>
        <v>1.8879999999999999</v>
      </c>
      <c r="AK1170" s="142">
        <f>B1170*IBGE_2!AK$1170/100</f>
        <v>15.167</v>
      </c>
      <c r="AL1170" s="142">
        <f>B1170*IBGE_2!AL$1170/100</f>
        <v>2.6689999999999996</v>
      </c>
      <c r="AM1170" s="142" t="s">
        <v>3047</v>
      </c>
      <c r="AN1170" s="161"/>
    </row>
    <row r="1171" spans="1:40">
      <c r="A1171" s="143" t="s">
        <v>2231</v>
      </c>
      <c r="B1171" s="141">
        <v>100</v>
      </c>
      <c r="C1171" s="142">
        <f>B1171*IBGE_2!C$1171/100</f>
        <v>10.548</v>
      </c>
      <c r="D1171" s="142">
        <f>B1171*IBGE_2!D$1171/100</f>
        <v>0.48399999999999999</v>
      </c>
      <c r="E1171" s="142">
        <f>B1171*IBGE_2!E$1171/100</f>
        <v>2.3E-2</v>
      </c>
      <c r="F1171" s="142">
        <f>B1171*IBGE_2!F$1171/100</f>
        <v>4.0000000000000001E-3</v>
      </c>
      <c r="G1171" s="142">
        <f>B1171*IBGE_2!G$1171/100</f>
        <v>2E-3</v>
      </c>
      <c r="H1171" s="142">
        <f>B1171*IBGE_2!H$1171/100</f>
        <v>0.01</v>
      </c>
      <c r="I1171" s="142">
        <f>B1171*IBGE_2!I$1171/100</f>
        <v>8.0000000000000002E-3</v>
      </c>
      <c r="J1171" s="142">
        <f>B1171*IBGE_2!J$1171/100</f>
        <v>2E-3</v>
      </c>
      <c r="K1171" s="142" t="s">
        <v>3047</v>
      </c>
      <c r="L1171" s="142">
        <f>B1171*IBGE_2!L$1171/100</f>
        <v>2.1520000000000001</v>
      </c>
      <c r="M1171" s="142">
        <f>B1171*IBGE_2!M$1171/100</f>
        <v>0.22500000000000001</v>
      </c>
      <c r="N1171" s="142">
        <f>B1171*IBGE_2!N$1171/100</f>
        <v>6.5190000000000001</v>
      </c>
      <c r="O1171" s="142">
        <f>B1171*IBGE_2!O$1171/100</f>
        <v>3.0259999999999998</v>
      </c>
      <c r="P1171" s="142">
        <f>B1171*IBGE_2!P$1171/100</f>
        <v>2.6000000000000002E-2</v>
      </c>
      <c r="Q1171" s="142">
        <f>B1171*IBGE_2!Q$1171/100</f>
        <v>6.2960000000000003</v>
      </c>
      <c r="R1171" s="142">
        <f>B1171*IBGE_2!R$1171/100</f>
        <v>6.5000000000000002E-2</v>
      </c>
      <c r="S1171" s="142">
        <f>B1171*IBGE_2!S$1171/100</f>
        <v>289.56</v>
      </c>
      <c r="T1171" s="142">
        <f>B1171*IBGE_2!T$1171/100</f>
        <v>22.675000000000001</v>
      </c>
      <c r="U1171" s="142">
        <f>B1171*IBGE_2!U$1171/100</f>
        <v>1.6E-2</v>
      </c>
      <c r="V1171" s="142">
        <f>B1171*IBGE_2!V$1171/100</f>
        <v>4.5999999999999999E-2</v>
      </c>
      <c r="W1171" s="142" t="s">
        <v>3047</v>
      </c>
      <c r="X1171" s="142">
        <f>B1171*IBGE_2!X$1171/100</f>
        <v>0.01</v>
      </c>
      <c r="Y1171" s="142">
        <f>B1171*IBGE_2!Y$1171/100</f>
        <v>5.0000000000000001E-3</v>
      </c>
      <c r="Z1171" s="142">
        <f>B1171*IBGE_2!Z$1171/100</f>
        <v>0.02</v>
      </c>
      <c r="AA1171" s="142">
        <f>B1171*IBGE_2!AA$1171/100</f>
        <v>7.6999999999999999E-2</v>
      </c>
      <c r="AB1171" s="142">
        <f>B1171*IBGE_2!AB$1171/100</f>
        <v>1.585</v>
      </c>
      <c r="AC1171" s="142">
        <f>B1171*IBGE_2!AC$1171/100</f>
        <v>0.17100000000000001</v>
      </c>
      <c r="AD1171" s="142" t="s">
        <v>3047</v>
      </c>
      <c r="AE1171" s="142" t="s">
        <v>3047</v>
      </c>
      <c r="AF1171" s="142" t="s">
        <v>3047</v>
      </c>
      <c r="AG1171" s="142">
        <f>B1171*IBGE_2!AG$1171/100</f>
        <v>2.6000000000000002E-2</v>
      </c>
      <c r="AH1171" s="142" t="s">
        <v>3047</v>
      </c>
      <c r="AI1171" s="142" t="s">
        <v>3047</v>
      </c>
      <c r="AJ1171" s="142">
        <f>B1171*IBGE_2!AJ$1171/100</f>
        <v>0.43099999999999999</v>
      </c>
      <c r="AK1171" s="142">
        <f>B1171*IBGE_2!AK$1171/100</f>
        <v>14.019</v>
      </c>
      <c r="AL1171" s="142">
        <f>B1171*IBGE_2!AL$1171/100</f>
        <v>0.36499999999999999</v>
      </c>
      <c r="AM1171" s="142" t="s">
        <v>3047</v>
      </c>
      <c r="AN1171" s="161"/>
    </row>
    <row r="1172" spans="1:40">
      <c r="A1172" s="143" t="s">
        <v>2232</v>
      </c>
      <c r="B1172" s="141">
        <v>100</v>
      </c>
      <c r="C1172" s="142">
        <f>B1172*IBGE_2!C$1172/100</f>
        <v>527</v>
      </c>
      <c r="D1172" s="142">
        <f>B1172*IBGE_2!D$1172/100</f>
        <v>8.3800000000000008</v>
      </c>
      <c r="E1172" s="142">
        <f>B1172*IBGE_2!E$1172/100</f>
        <v>30.76</v>
      </c>
      <c r="F1172" s="142">
        <f>B1172*IBGE_2!F$1172/100</f>
        <v>4.3840000000000003</v>
      </c>
      <c r="G1172" s="142">
        <f>B1172*IBGE_2!G$1172/100</f>
        <v>7.6890000000000001</v>
      </c>
      <c r="H1172" s="142">
        <f>B1172*IBGE_2!H$1172/100</f>
        <v>17.331</v>
      </c>
      <c r="I1172" s="142">
        <f>B1172*IBGE_2!I$1172/100</f>
        <v>15.353999999999999</v>
      </c>
      <c r="J1172" s="142">
        <f>B1172*IBGE_2!J$1172/100</f>
        <v>1.976</v>
      </c>
      <c r="K1172" s="142" t="s">
        <v>3047</v>
      </c>
      <c r="L1172" s="142">
        <f>B1172*IBGE_2!L$1172/100</f>
        <v>57.54</v>
      </c>
      <c r="M1172" s="142">
        <f>B1172*IBGE_2!M$1172/100</f>
        <v>3.9</v>
      </c>
      <c r="N1172" s="142">
        <f>B1172*IBGE_2!N$1172/100</f>
        <v>20</v>
      </c>
      <c r="O1172" s="142">
        <f>B1172*IBGE_2!O$1172/100</f>
        <v>52</v>
      </c>
      <c r="P1172" s="142">
        <f>B1172*IBGE_2!P$1172/100</f>
        <v>1.357</v>
      </c>
      <c r="Q1172" s="142">
        <f>B1172*IBGE_2!Q$1172/100</f>
        <v>161</v>
      </c>
      <c r="R1172" s="142">
        <f>B1172*IBGE_2!R$1172/100</f>
        <v>4.7300000000000004</v>
      </c>
      <c r="S1172" s="142">
        <f>B1172*IBGE_2!S$1172/100</f>
        <v>439</v>
      </c>
      <c r="T1172" s="142">
        <f>B1172*IBGE_2!T$1172/100</f>
        <v>120</v>
      </c>
      <c r="U1172" s="142">
        <f>B1172*IBGE_2!U$1172/100</f>
        <v>0.16699999999999998</v>
      </c>
      <c r="V1172" s="142">
        <f>B1172*IBGE_2!V$1172/100</f>
        <v>1.4</v>
      </c>
      <c r="W1172" s="142" t="s">
        <v>3047</v>
      </c>
      <c r="X1172" s="142">
        <f>B1172*IBGE_2!X$1172/100</f>
        <v>0.57799999999999996</v>
      </c>
      <c r="Y1172" s="142">
        <f>B1172*IBGE_2!Y$1172/100</f>
        <v>0.42100000000000004</v>
      </c>
      <c r="Z1172" s="142">
        <f>B1172*IBGE_2!Z$1172/100</f>
        <v>0.11</v>
      </c>
      <c r="AA1172" s="142">
        <f>B1172*IBGE_2!AA$1172/100</f>
        <v>5.95</v>
      </c>
      <c r="AB1172" s="142" t="s">
        <v>3047</v>
      </c>
      <c r="AC1172" s="142">
        <f>B1172*IBGE_2!AC$1172/100</f>
        <v>7.7329999999999997</v>
      </c>
      <c r="AD1172" s="142" t="s">
        <v>3047</v>
      </c>
      <c r="AE1172" s="142" t="s">
        <v>3047</v>
      </c>
      <c r="AF1172" s="142" t="s">
        <v>3047</v>
      </c>
      <c r="AG1172" s="142">
        <f>B1172*IBGE_2!AG$1172/100</f>
        <v>3.48</v>
      </c>
      <c r="AH1172" s="142" t="s">
        <v>3047</v>
      </c>
      <c r="AI1172" s="145" t="s">
        <v>3047</v>
      </c>
      <c r="AJ1172" s="142">
        <f>B1172*IBGE_2!AJ$1172/100</f>
        <v>43</v>
      </c>
      <c r="AK1172" s="142">
        <f>B1172*IBGE_2!AK$1172/100</f>
        <v>8.3000000000000004E-2</v>
      </c>
      <c r="AL1172" s="142">
        <f>B1172*IBGE_2!AL$1172/100</f>
        <v>1.53</v>
      </c>
      <c r="AM1172" s="142" t="s">
        <v>3047</v>
      </c>
      <c r="AN1172" s="161"/>
    </row>
    <row r="1173" spans="1:40">
      <c r="A1173" s="143" t="s">
        <v>2233</v>
      </c>
      <c r="B1173" s="141">
        <v>100</v>
      </c>
      <c r="C1173" s="142">
        <f>B1173*IBGE_2!C$1173/100</f>
        <v>79.519000000000005</v>
      </c>
      <c r="D1173" s="142">
        <f>B1173*IBGE_2!D$1173/100</f>
        <v>3.8340000000000005</v>
      </c>
      <c r="E1173" s="142">
        <f>B1173*IBGE_2!E$1173/100</f>
        <v>0.47199999999999998</v>
      </c>
      <c r="F1173" s="142">
        <f>B1173*IBGE_2!F$1173/100</f>
        <v>7.5999999999999998E-2</v>
      </c>
      <c r="G1173" s="142">
        <f>B1173*IBGE_2!G$1173/100</f>
        <v>0.11200000000000002</v>
      </c>
      <c r="H1173" s="142">
        <f>B1173*IBGE_2!H$1173/100</f>
        <v>0.22500000000000001</v>
      </c>
      <c r="I1173" s="142">
        <f>B1173*IBGE_2!I$1173/100</f>
        <v>0.20800000000000002</v>
      </c>
      <c r="J1173" s="142">
        <f>B1173*IBGE_2!J$1173/100</f>
        <v>1.6E-2</v>
      </c>
      <c r="K1173" s="142" t="s">
        <v>3047</v>
      </c>
      <c r="L1173" s="142">
        <f>B1173*IBGE_2!L$1173/100</f>
        <v>16.811</v>
      </c>
      <c r="M1173" s="142">
        <f>B1173*IBGE_2!M$1173/100</f>
        <v>2.9630000000000001</v>
      </c>
      <c r="N1173" s="142">
        <f>B1173*IBGE_2!N$1173/100</f>
        <v>13.37</v>
      </c>
      <c r="O1173" s="142">
        <f>B1173*IBGE_2!O$1173/100</f>
        <v>25.036999999999999</v>
      </c>
      <c r="P1173" s="142">
        <f>B1173*IBGE_2!P$1173/100</f>
        <v>0.21600000000000003</v>
      </c>
      <c r="Q1173" s="142">
        <f>B1173*IBGE_2!Q$1173/100</f>
        <v>78.012</v>
      </c>
      <c r="R1173" s="142">
        <f>B1173*IBGE_2!R$1173/100</f>
        <v>0.9890000000000001</v>
      </c>
      <c r="S1173" s="142">
        <f>B1173*IBGE_2!S$1173/100</f>
        <v>36.061999999999998</v>
      </c>
      <c r="T1173" s="142">
        <f>B1173*IBGE_2!T$1173/100</f>
        <v>172.25899999999999</v>
      </c>
      <c r="U1173" s="142">
        <f>B1173*IBGE_2!U$1173/100</f>
        <v>7.5999999999999998E-2</v>
      </c>
      <c r="V1173" s="142">
        <f>B1173*IBGE_2!V$1173/100</f>
        <v>0.65</v>
      </c>
      <c r="W1173" s="142" t="s">
        <v>3047</v>
      </c>
      <c r="X1173" s="142">
        <f>B1173*IBGE_2!X$1173/100</f>
        <v>0.155</v>
      </c>
      <c r="Y1173" s="142">
        <f>B1173*IBGE_2!Y$1173/100</f>
        <v>8.1000000000000003E-2</v>
      </c>
      <c r="Z1173" s="142">
        <f>B1173*IBGE_2!Z$1173/100</f>
        <v>0.106</v>
      </c>
      <c r="AA1173" s="142">
        <f>B1173*IBGE_2!AA$1173/100</f>
        <v>1.3939999999999997</v>
      </c>
      <c r="AB1173" s="142">
        <f>B1173*IBGE_2!AB$1173/100</f>
        <v>6.66</v>
      </c>
      <c r="AC1173" s="142">
        <f>B1173*IBGE_2!AC$1173/100</f>
        <v>1.944</v>
      </c>
      <c r="AD1173" s="142" t="s">
        <v>3047</v>
      </c>
      <c r="AE1173" s="142" t="s">
        <v>3047</v>
      </c>
      <c r="AF1173" s="142" t="s">
        <v>3047</v>
      </c>
      <c r="AG1173" s="142">
        <f>B1173*IBGE_2!AG$1173/100</f>
        <v>0.05</v>
      </c>
      <c r="AH1173" s="142" t="s">
        <v>3047</v>
      </c>
      <c r="AI1173" s="142">
        <f>B1173*IBGE_2!AI$1173/100</f>
        <v>233</v>
      </c>
      <c r="AJ1173" s="142">
        <f>B1173*IBGE_2!AJ$1173/100</f>
        <v>0.84799999999999998</v>
      </c>
      <c r="AK1173" s="142">
        <f>B1173*IBGE_2!AK$1173/100</f>
        <v>56.89200000000001</v>
      </c>
      <c r="AL1173" s="142">
        <f>B1173*IBGE_2!AL$1173/100</f>
        <v>3.85</v>
      </c>
      <c r="AM1173" s="142" t="s">
        <v>3047</v>
      </c>
      <c r="AN1173" s="161"/>
    </row>
    <row r="1174" spans="1:40">
      <c r="A1174" s="143" t="s">
        <v>2234</v>
      </c>
      <c r="B1174" s="141">
        <v>100</v>
      </c>
      <c r="C1174" s="142">
        <f>B1174*IBGE_2!C$1174/100</f>
        <v>79.519000000000005</v>
      </c>
      <c r="D1174" s="142">
        <f>B1174*IBGE_2!D$1174/100</f>
        <v>3.8340000000000005</v>
      </c>
      <c r="E1174" s="142">
        <f>B1174*IBGE_2!E$1174/100</f>
        <v>0.47199999999999998</v>
      </c>
      <c r="F1174" s="142">
        <f>B1174*IBGE_2!F$1174/100</f>
        <v>7.5999999999999998E-2</v>
      </c>
      <c r="G1174" s="142">
        <f>B1174*IBGE_2!G$1174/100</f>
        <v>0.11200000000000002</v>
      </c>
      <c r="H1174" s="142">
        <f>B1174*IBGE_2!H$1174/100</f>
        <v>0.22500000000000001</v>
      </c>
      <c r="I1174" s="142">
        <f>B1174*IBGE_2!I$1174/100</f>
        <v>0.20800000000000002</v>
      </c>
      <c r="J1174" s="142">
        <f>B1174*IBGE_2!J$1174/100</f>
        <v>1.6E-2</v>
      </c>
      <c r="K1174" s="142" t="s">
        <v>3047</v>
      </c>
      <c r="L1174" s="142">
        <f>B1174*IBGE_2!L$1174/100</f>
        <v>16.811</v>
      </c>
      <c r="M1174" s="142">
        <f>B1174*IBGE_2!M$1174/100</f>
        <v>2.9630000000000001</v>
      </c>
      <c r="N1174" s="142">
        <f>B1174*IBGE_2!N$1174/100</f>
        <v>13.37</v>
      </c>
      <c r="O1174" s="142">
        <f>B1174*IBGE_2!O$1174/100</f>
        <v>25.036999999999999</v>
      </c>
      <c r="P1174" s="142">
        <f>B1174*IBGE_2!P$1174/100</f>
        <v>0.21600000000000003</v>
      </c>
      <c r="Q1174" s="142">
        <f>B1174*IBGE_2!Q$1174/100</f>
        <v>78.012</v>
      </c>
      <c r="R1174" s="142">
        <f>B1174*IBGE_2!R$1174/100</f>
        <v>0.9890000000000001</v>
      </c>
      <c r="S1174" s="142">
        <f>B1174*IBGE_2!S$1174/100</f>
        <v>36.061999999999998</v>
      </c>
      <c r="T1174" s="142">
        <f>B1174*IBGE_2!T$1174/100</f>
        <v>172.25899999999999</v>
      </c>
      <c r="U1174" s="142">
        <f>B1174*IBGE_2!U$1174/100</f>
        <v>7.5999999999999998E-2</v>
      </c>
      <c r="V1174" s="142">
        <f>B1174*IBGE_2!V$1174/100</f>
        <v>0.65</v>
      </c>
      <c r="W1174" s="142" t="s">
        <v>3047</v>
      </c>
      <c r="X1174" s="142">
        <f>B1174*IBGE_2!X$1174/100</f>
        <v>0.155</v>
      </c>
      <c r="Y1174" s="142">
        <f>B1174*IBGE_2!Y$1174/100</f>
        <v>8.1000000000000003E-2</v>
      </c>
      <c r="Z1174" s="142">
        <f>B1174*IBGE_2!Z$1174/100</f>
        <v>0.106</v>
      </c>
      <c r="AA1174" s="142">
        <f>B1174*IBGE_2!AA$1174/100</f>
        <v>1.3939999999999997</v>
      </c>
      <c r="AB1174" s="142">
        <f>B1174*IBGE_2!AB$1174/100</f>
        <v>6.66</v>
      </c>
      <c r="AC1174" s="142">
        <f>B1174*IBGE_2!AC$1174/100</f>
        <v>1.944</v>
      </c>
      <c r="AD1174" s="142" t="s">
        <v>3047</v>
      </c>
      <c r="AE1174" s="142" t="s">
        <v>3047</v>
      </c>
      <c r="AF1174" s="142" t="s">
        <v>3047</v>
      </c>
      <c r="AG1174" s="142">
        <f>B1174*IBGE_2!AG$1174/100</f>
        <v>0.05</v>
      </c>
      <c r="AH1174" s="142" t="s">
        <v>3047</v>
      </c>
      <c r="AI1174" s="142">
        <f>B1174*IBGE_2!AI$1174/100</f>
        <v>233</v>
      </c>
      <c r="AJ1174" s="142">
        <f>B1174*IBGE_2!AJ$1174/100</f>
        <v>0.84799999999999998</v>
      </c>
      <c r="AK1174" s="142">
        <f>B1174*IBGE_2!AK$1174/100</f>
        <v>56.89200000000001</v>
      </c>
      <c r="AL1174" s="142">
        <f>B1174*IBGE_2!AL$1174/100</f>
        <v>3.85</v>
      </c>
      <c r="AM1174" s="142" t="s">
        <v>3047</v>
      </c>
      <c r="AN1174" s="161"/>
    </row>
    <row r="1175" spans="1:40">
      <c r="A1175" s="143" t="s">
        <v>2235</v>
      </c>
      <c r="B1175" s="141">
        <v>100</v>
      </c>
      <c r="C1175" s="142">
        <f>B1175*IBGE_2!C$1175/100</f>
        <v>79.519000000000005</v>
      </c>
      <c r="D1175" s="142">
        <f>B1175*IBGE_2!D$1175/100</f>
        <v>3.8340000000000005</v>
      </c>
      <c r="E1175" s="142">
        <f>B1175*IBGE_2!E$1175/100</f>
        <v>0.47199999999999998</v>
      </c>
      <c r="F1175" s="142">
        <f>B1175*IBGE_2!F$1175/100</f>
        <v>7.5999999999999998E-2</v>
      </c>
      <c r="G1175" s="142">
        <f>B1175*IBGE_2!G$1175/100</f>
        <v>0.11200000000000002</v>
      </c>
      <c r="H1175" s="142">
        <f>B1175*IBGE_2!H$1175/100</f>
        <v>0.22500000000000001</v>
      </c>
      <c r="I1175" s="142">
        <f>B1175*IBGE_2!I$1175/100</f>
        <v>0.20800000000000002</v>
      </c>
      <c r="J1175" s="142">
        <f>B1175*IBGE_2!J$1175/100</f>
        <v>1.6E-2</v>
      </c>
      <c r="K1175" s="142" t="s">
        <v>3047</v>
      </c>
      <c r="L1175" s="142">
        <f>B1175*IBGE_2!L$1175/100</f>
        <v>16.811</v>
      </c>
      <c r="M1175" s="142">
        <f>B1175*IBGE_2!M$1175/100</f>
        <v>2.9630000000000001</v>
      </c>
      <c r="N1175" s="142">
        <f>B1175*IBGE_2!N$1175/100</f>
        <v>13.37</v>
      </c>
      <c r="O1175" s="142">
        <f>B1175*IBGE_2!O$1175/100</f>
        <v>25.036999999999999</v>
      </c>
      <c r="P1175" s="142">
        <f>B1175*IBGE_2!P$1175/100</f>
        <v>0.21600000000000003</v>
      </c>
      <c r="Q1175" s="142">
        <f>B1175*IBGE_2!Q$1175/100</f>
        <v>78.012</v>
      </c>
      <c r="R1175" s="142">
        <f>B1175*IBGE_2!R$1175/100</f>
        <v>0.9890000000000001</v>
      </c>
      <c r="S1175" s="142">
        <f>B1175*IBGE_2!S$1175/100</f>
        <v>36.061999999999998</v>
      </c>
      <c r="T1175" s="142">
        <f>B1175*IBGE_2!T$1175/100</f>
        <v>172.25899999999999</v>
      </c>
      <c r="U1175" s="142">
        <f>B1175*IBGE_2!U$1175/100</f>
        <v>7.5999999999999998E-2</v>
      </c>
      <c r="V1175" s="142">
        <f>B1175*IBGE_2!V$1175/100</f>
        <v>0.65</v>
      </c>
      <c r="W1175" s="142" t="s">
        <v>3047</v>
      </c>
      <c r="X1175" s="142">
        <f>B1175*IBGE_2!X$1175/100</f>
        <v>0.155</v>
      </c>
      <c r="Y1175" s="142">
        <f>B1175*IBGE_2!Y$1175/100</f>
        <v>8.1000000000000003E-2</v>
      </c>
      <c r="Z1175" s="142">
        <f>B1175*IBGE_2!Z$1175/100</f>
        <v>0.106</v>
      </c>
      <c r="AA1175" s="142">
        <f>B1175*IBGE_2!AA$1175/100</f>
        <v>1.3939999999999997</v>
      </c>
      <c r="AB1175" s="142">
        <f>B1175*IBGE_2!AB$1175/100</f>
        <v>6.66</v>
      </c>
      <c r="AC1175" s="142">
        <f>B1175*IBGE_2!AC$1175/100</f>
        <v>1.944</v>
      </c>
      <c r="AD1175" s="142" t="s">
        <v>3047</v>
      </c>
      <c r="AE1175" s="142" t="s">
        <v>3047</v>
      </c>
      <c r="AF1175" s="142" t="s">
        <v>3047</v>
      </c>
      <c r="AG1175" s="142">
        <f>B1175*IBGE_2!AG$1175/100</f>
        <v>0.05</v>
      </c>
      <c r="AH1175" s="142" t="s">
        <v>3047</v>
      </c>
      <c r="AI1175" s="142">
        <f>B1175*IBGE_2!AI$1175/100</f>
        <v>233</v>
      </c>
      <c r="AJ1175" s="142">
        <f>B1175*IBGE_2!AJ$1175/100</f>
        <v>0.84799999999999998</v>
      </c>
      <c r="AK1175" s="142">
        <f>B1175*IBGE_2!AK$1175/100</f>
        <v>56.89200000000001</v>
      </c>
      <c r="AL1175" s="142">
        <f>B1175*IBGE_2!AL$1175/100</f>
        <v>3.85</v>
      </c>
      <c r="AM1175" s="142" t="s">
        <v>3047</v>
      </c>
      <c r="AN1175" s="161"/>
    </row>
    <row r="1176" spans="1:40">
      <c r="A1176" s="143" t="s">
        <v>2236</v>
      </c>
      <c r="B1176" s="141">
        <v>100</v>
      </c>
      <c r="C1176" s="142">
        <f>B1176*IBGE_2!C$1176/100</f>
        <v>79.519000000000005</v>
      </c>
      <c r="D1176" s="142">
        <f>B1176*IBGE_2!D$1176/100</f>
        <v>3.8340000000000005</v>
      </c>
      <c r="E1176" s="142">
        <f>B1176*IBGE_2!E$1176/100</f>
        <v>0.47199999999999998</v>
      </c>
      <c r="F1176" s="142">
        <f>B1176*IBGE_2!F$1176/100</f>
        <v>7.5999999999999998E-2</v>
      </c>
      <c r="G1176" s="142">
        <f>B1176*IBGE_2!G$1176/100</f>
        <v>0.11200000000000002</v>
      </c>
      <c r="H1176" s="142">
        <f>B1176*IBGE_2!H$1176/100</f>
        <v>0.22500000000000001</v>
      </c>
      <c r="I1176" s="142">
        <f>B1176*IBGE_2!I$1176/100</f>
        <v>0.20800000000000002</v>
      </c>
      <c r="J1176" s="142">
        <f>B1176*IBGE_2!J$1176/100</f>
        <v>1.6E-2</v>
      </c>
      <c r="K1176" s="142" t="s">
        <v>3047</v>
      </c>
      <c r="L1176" s="142">
        <f>B1176*IBGE_2!L$1176/100</f>
        <v>16.811</v>
      </c>
      <c r="M1176" s="142">
        <f>B1176*IBGE_2!M$1176/100</f>
        <v>2.9630000000000001</v>
      </c>
      <c r="N1176" s="142">
        <f>B1176*IBGE_2!N$1176/100</f>
        <v>13.37</v>
      </c>
      <c r="O1176" s="142">
        <f>B1176*IBGE_2!O$1176/100</f>
        <v>25.036999999999999</v>
      </c>
      <c r="P1176" s="142">
        <f>B1176*IBGE_2!P$1176/100</f>
        <v>0.21600000000000003</v>
      </c>
      <c r="Q1176" s="142">
        <f>B1176*IBGE_2!Q$1176/100</f>
        <v>78.012</v>
      </c>
      <c r="R1176" s="142">
        <f>B1176*IBGE_2!R$1176/100</f>
        <v>0.9890000000000001</v>
      </c>
      <c r="S1176" s="142">
        <f>B1176*IBGE_2!S$1176/100</f>
        <v>36.061999999999998</v>
      </c>
      <c r="T1176" s="142">
        <f>B1176*IBGE_2!T$1176/100</f>
        <v>172.25899999999999</v>
      </c>
      <c r="U1176" s="142">
        <f>B1176*IBGE_2!U$1176/100</f>
        <v>7.5999999999999998E-2</v>
      </c>
      <c r="V1176" s="142">
        <f>B1176*IBGE_2!V$1176/100</f>
        <v>0.65</v>
      </c>
      <c r="W1176" s="142" t="s">
        <v>3047</v>
      </c>
      <c r="X1176" s="142">
        <f>B1176*IBGE_2!X$1176/100</f>
        <v>0.155</v>
      </c>
      <c r="Y1176" s="142">
        <f>B1176*IBGE_2!Y$1176/100</f>
        <v>8.1000000000000003E-2</v>
      </c>
      <c r="Z1176" s="142">
        <f>B1176*IBGE_2!Z$1176/100</f>
        <v>0.106</v>
      </c>
      <c r="AA1176" s="142">
        <f>B1176*IBGE_2!AA$1176/100</f>
        <v>1.3939999999999997</v>
      </c>
      <c r="AB1176" s="142">
        <f>B1176*IBGE_2!AB$1176/100</f>
        <v>6.66</v>
      </c>
      <c r="AC1176" s="142">
        <f>B1176*IBGE_2!AC$1176/100</f>
        <v>1.944</v>
      </c>
      <c r="AD1176" s="142" t="s">
        <v>3047</v>
      </c>
      <c r="AE1176" s="142" t="s">
        <v>3047</v>
      </c>
      <c r="AF1176" s="142" t="s">
        <v>3047</v>
      </c>
      <c r="AG1176" s="142">
        <f>B1176*IBGE_2!AG$1176/100</f>
        <v>0.05</v>
      </c>
      <c r="AH1176" s="142" t="s">
        <v>3047</v>
      </c>
      <c r="AI1176" s="142">
        <f>B1176*IBGE_2!AI$1176/100</f>
        <v>233</v>
      </c>
      <c r="AJ1176" s="142">
        <f>B1176*IBGE_2!AJ$1176/100</f>
        <v>0.84799999999999998</v>
      </c>
      <c r="AK1176" s="142">
        <f>B1176*IBGE_2!AK$1176/100</f>
        <v>56.89200000000001</v>
      </c>
      <c r="AL1176" s="142">
        <f>B1176*IBGE_2!AL$1176/100</f>
        <v>3.85</v>
      </c>
      <c r="AM1176" s="142" t="s">
        <v>3047</v>
      </c>
      <c r="AN1176" s="161"/>
    </row>
    <row r="1177" spans="1:40">
      <c r="A1177" s="143" t="s">
        <v>2237</v>
      </c>
      <c r="B1177" s="141">
        <v>100</v>
      </c>
      <c r="C1177" s="142">
        <f>B1177*IBGE_2!C$1177/100</f>
        <v>181.58900000000003</v>
      </c>
      <c r="D1177" s="142">
        <f>B1177*IBGE_2!D$1177/100</f>
        <v>11.109000000000002</v>
      </c>
      <c r="E1177" s="142">
        <f>B1177*IBGE_2!E$1177/100</f>
        <v>7.9029999999999996</v>
      </c>
      <c r="F1177" s="142">
        <f>B1177*IBGE_2!F$1177/100</f>
        <v>2.4900000000000002</v>
      </c>
      <c r="G1177" s="142">
        <f>B1177*IBGE_2!G$1177/100</f>
        <v>3.0469999999999997</v>
      </c>
      <c r="H1177" s="142">
        <f>B1177*IBGE_2!H$1177/100</f>
        <v>1.655</v>
      </c>
      <c r="I1177" s="142">
        <f>B1177*IBGE_2!I$1177/100</f>
        <v>1.3959999999999999</v>
      </c>
      <c r="J1177" s="142">
        <f>B1177*IBGE_2!J$1177/100</f>
        <v>0.23100000000000001</v>
      </c>
      <c r="K1177" s="142">
        <f>B1177*IBGE_2!K$1177/100</f>
        <v>16.268999999999998</v>
      </c>
      <c r="L1177" s="142">
        <f>B1177*IBGE_2!L$1177/100</f>
        <v>16.919</v>
      </c>
      <c r="M1177" s="142">
        <f>B1177*IBGE_2!M$1177/100</f>
        <v>5.6779999999999999</v>
      </c>
      <c r="N1177" s="142">
        <f>B1177*IBGE_2!N$1177/100</f>
        <v>26.725999999999999</v>
      </c>
      <c r="O1177" s="142">
        <f>B1177*IBGE_2!O$1177/100</f>
        <v>49.6</v>
      </c>
      <c r="P1177" s="142">
        <f>B1177*IBGE_2!P$1177/100</f>
        <v>0.3</v>
      </c>
      <c r="Q1177" s="142">
        <f>B1177*IBGE_2!Q$1177/100</f>
        <v>140.24799999999999</v>
      </c>
      <c r="R1177" s="142">
        <f>B1177*IBGE_2!R$1177/100</f>
        <v>1.8169999999999999</v>
      </c>
      <c r="S1177" s="142">
        <f>B1177*IBGE_2!S$1177/100</f>
        <v>353.09</v>
      </c>
      <c r="T1177" s="142">
        <f>B1177*IBGE_2!T$1177/100</f>
        <v>327.86399999999992</v>
      </c>
      <c r="U1177" s="142">
        <f>B1177*IBGE_2!U$1177/100</f>
        <v>0.16400000000000003</v>
      </c>
      <c r="V1177" s="142">
        <f>B1177*IBGE_2!V$1177/100</f>
        <v>1.5669999999999999</v>
      </c>
      <c r="W1177" s="142">
        <f>B1177*IBGE_2!W$1177/100</f>
        <v>1.0029999999999999</v>
      </c>
      <c r="X1177" s="142">
        <f>B1177*IBGE_2!X$1177/100</f>
        <v>0.27400000000000002</v>
      </c>
      <c r="Y1177" s="142">
        <f>B1177*IBGE_2!Y$1177/100</f>
        <v>9.4E-2</v>
      </c>
      <c r="Z1177" s="142">
        <f>B1177*IBGE_2!Z$1177/100</f>
        <v>0.127</v>
      </c>
      <c r="AA1177" s="142">
        <f>B1177*IBGE_2!AA$1177/100</f>
        <v>1.37</v>
      </c>
      <c r="AB1177" s="142">
        <f>B1177*IBGE_2!AB$1177/100</f>
        <v>6.9790000000000001</v>
      </c>
      <c r="AC1177" s="142">
        <f>B1177*IBGE_2!AC$1177/100</f>
        <v>3.464</v>
      </c>
      <c r="AD1177" s="142">
        <f>B1177*IBGE_2!AD$1177/100</f>
        <v>0.27100000000000002</v>
      </c>
      <c r="AE1177" s="142">
        <f>B1177*IBGE_2!AE$1177/100</f>
        <v>100.155</v>
      </c>
      <c r="AF1177" s="142">
        <f>B1177*IBGE_2!AF$1177/100</f>
        <v>0.16200000000000001</v>
      </c>
      <c r="AG1177" s="142">
        <f>B1177*IBGE_2!AG$1177/100</f>
        <v>0.75</v>
      </c>
      <c r="AH1177" s="142">
        <f>B1177*IBGE_2!AH$1177/100</f>
        <v>6.5000000000000002E-2</v>
      </c>
      <c r="AI1177" s="142" t="s">
        <v>3047</v>
      </c>
      <c r="AJ1177" s="142">
        <f>B1177*IBGE_2!AJ$1177/100</f>
        <v>8.3450000000000006</v>
      </c>
      <c r="AK1177" s="142">
        <f>B1177*IBGE_2!AK$1177/100</f>
        <v>2.77</v>
      </c>
      <c r="AL1177" s="142">
        <f>B1177*IBGE_2!AL$1177/100</f>
        <v>2.6719999999999997</v>
      </c>
      <c r="AM1177" s="142">
        <f>B1177*IBGE_2!AM$1177/100</f>
        <v>0.45600000000000002</v>
      </c>
      <c r="AN1177" s="161"/>
    </row>
    <row r="1178" spans="1:40">
      <c r="A1178" s="143" t="s">
        <v>2238</v>
      </c>
      <c r="B1178" s="141">
        <v>100</v>
      </c>
      <c r="C1178" s="142">
        <f>B1178*IBGE_2!C$1178/100</f>
        <v>136.38300000000001</v>
      </c>
      <c r="D1178" s="142">
        <f>B1178*IBGE_2!D$1178/100</f>
        <v>10.68</v>
      </c>
      <c r="E1178" s="142">
        <f>B1178*IBGE_2!E$1178/100</f>
        <v>5.9089999999999998</v>
      </c>
      <c r="F1178" s="142">
        <f>B1178*IBGE_2!F$1178/100</f>
        <v>1.7729999999999999</v>
      </c>
      <c r="G1178" s="142">
        <f>B1178*IBGE_2!G$1178/100</f>
        <v>2.278</v>
      </c>
      <c r="H1178" s="142">
        <f>B1178*IBGE_2!H$1178/100</f>
        <v>1.056</v>
      </c>
      <c r="I1178" s="142">
        <f>B1178*IBGE_2!I$1178/100</f>
        <v>0.89400000000000002</v>
      </c>
      <c r="J1178" s="142">
        <f>B1178*IBGE_2!J$1178/100</f>
        <v>0.10100000000000002</v>
      </c>
      <c r="K1178" s="142">
        <f>B1178*IBGE_2!K$1178/100</f>
        <v>78.483000000000004</v>
      </c>
      <c r="L1178" s="142">
        <f>B1178*IBGE_2!L$1178/100</f>
        <v>10.198</v>
      </c>
      <c r="M1178" s="142">
        <f>B1178*IBGE_2!M$1178/100</f>
        <v>2.331</v>
      </c>
      <c r="N1178" s="142">
        <f>B1178*IBGE_2!N$1178/100</f>
        <v>70.284999999999997</v>
      </c>
      <c r="O1178" s="142">
        <f>B1178*IBGE_2!O$1178/100</f>
        <v>30.654</v>
      </c>
      <c r="P1178" s="142">
        <f>B1178*IBGE_2!P$1178/100</f>
        <v>0.27700000000000002</v>
      </c>
      <c r="Q1178" s="142">
        <f>B1178*IBGE_2!Q$1178/100</f>
        <v>88.032999999999987</v>
      </c>
      <c r="R1178" s="142">
        <f>B1178*IBGE_2!R$1178/100</f>
        <v>1.7290000000000001</v>
      </c>
      <c r="S1178" s="142">
        <f>B1178*IBGE_2!S$1178/100</f>
        <v>332.22199999999998</v>
      </c>
      <c r="T1178" s="142">
        <f>B1178*IBGE_2!T$1178/100</f>
        <v>260.041</v>
      </c>
      <c r="U1178" s="142">
        <f>B1178*IBGE_2!U$1178/100</f>
        <v>0.11200000000000002</v>
      </c>
      <c r="V1178" s="142">
        <f>B1178*IBGE_2!V$1178/100</f>
        <v>1.464</v>
      </c>
      <c r="W1178" s="142">
        <f>B1178*IBGE_2!W$1178/100</f>
        <v>1.32</v>
      </c>
      <c r="X1178" s="142">
        <f>B1178*IBGE_2!X$1178/100</f>
        <v>7.6999999999999999E-2</v>
      </c>
      <c r="Y1178" s="142">
        <f>B1178*IBGE_2!Y$1178/100</f>
        <v>5.2000000000000005E-2</v>
      </c>
      <c r="Z1178" s="142">
        <f>B1178*IBGE_2!Z$1178/100</f>
        <v>8.5999999999999993E-2</v>
      </c>
      <c r="AA1178" s="142">
        <f>B1178*IBGE_2!AA$1178/100</f>
        <v>0.98499999999999999</v>
      </c>
      <c r="AB1178" s="142">
        <f>B1178*IBGE_2!AB$1178/100</f>
        <v>3.0430000000000001</v>
      </c>
      <c r="AC1178" s="142">
        <f>B1178*IBGE_2!AC$1178/100</f>
        <v>2.492</v>
      </c>
      <c r="AD1178" s="142">
        <f>B1178*IBGE_2!AD$1178/100</f>
        <v>0.44800000000000006</v>
      </c>
      <c r="AE1178" s="142">
        <f>B1178*IBGE_2!AE$1178/100</f>
        <v>30.164999999999999</v>
      </c>
      <c r="AF1178" s="145" t="s">
        <v>3047</v>
      </c>
      <c r="AG1178" s="142">
        <f>B1178*IBGE_2!AG$1178/100</f>
        <v>0.54800000000000004</v>
      </c>
      <c r="AH1178" s="142">
        <f>B1178*IBGE_2!AH$1178/100</f>
        <v>0.105</v>
      </c>
      <c r="AI1178" s="142" t="s">
        <v>3047</v>
      </c>
      <c r="AJ1178" s="142">
        <f>B1178*IBGE_2!AJ$1178/100</f>
        <v>6.1360000000000001</v>
      </c>
      <c r="AK1178" s="142">
        <f>B1178*IBGE_2!AK$1178/100</f>
        <v>4.5419999999999998</v>
      </c>
      <c r="AL1178" s="142">
        <f>B1178*IBGE_2!AL$1178/100</f>
        <v>0.53500000000000003</v>
      </c>
      <c r="AM1178" s="145" t="s">
        <v>3047</v>
      </c>
      <c r="AN1178" s="161"/>
    </row>
    <row r="1179" spans="1:40">
      <c r="A1179" s="143" t="s">
        <v>2239</v>
      </c>
      <c r="B1179" s="141">
        <v>100</v>
      </c>
      <c r="C1179" s="142">
        <f>B1179*IBGE_2!C$1179/100</f>
        <v>87.327000000000012</v>
      </c>
      <c r="D1179" s="142">
        <f>B1179*IBGE_2!D$1179/100</f>
        <v>5.6120000000000001</v>
      </c>
      <c r="E1179" s="142">
        <f>B1179*IBGE_2!E$1179/100</f>
        <v>3.7879999999999994</v>
      </c>
      <c r="F1179" s="142">
        <f>B1179*IBGE_2!F$1179/100</f>
        <v>1.3</v>
      </c>
      <c r="G1179" s="142">
        <f>B1179*IBGE_2!G$1179/100</f>
        <v>1.669</v>
      </c>
      <c r="H1179" s="142">
        <f>B1179*IBGE_2!H$1179/100</f>
        <v>0.41</v>
      </c>
      <c r="I1179" s="142">
        <f>B1179*IBGE_2!I$1179/100</f>
        <v>0.35199999999999998</v>
      </c>
      <c r="J1179" s="142">
        <f>B1179*IBGE_2!J$1179/100</f>
        <v>4.9000000000000002E-2</v>
      </c>
      <c r="K1179" s="142">
        <f>B1179*IBGE_2!K$1179/100</f>
        <v>12.753</v>
      </c>
      <c r="L1179" s="142">
        <f>B1179*IBGE_2!L$1179/100</f>
        <v>7.9329999999999998</v>
      </c>
      <c r="M1179" s="142">
        <f>B1179*IBGE_2!M$1179/100</f>
        <v>1.74</v>
      </c>
      <c r="N1179" s="142">
        <f>B1179*IBGE_2!N$1179/100</f>
        <v>18.404</v>
      </c>
      <c r="O1179" s="142">
        <f>B1179*IBGE_2!O$1179/100</f>
        <v>15.648999999999999</v>
      </c>
      <c r="P1179" s="142">
        <f>B1179*IBGE_2!P$1179/100</f>
        <v>0.19600000000000001</v>
      </c>
      <c r="Q1179" s="142">
        <f>B1179*IBGE_2!Q$1179/100</f>
        <v>66.613</v>
      </c>
      <c r="R1179" s="142">
        <f>B1179*IBGE_2!R$1179/100</f>
        <v>0.89200000000000002</v>
      </c>
      <c r="S1179" s="142">
        <f>B1179*IBGE_2!S$1179/100</f>
        <v>298.28800000000001</v>
      </c>
      <c r="T1179" s="142">
        <f>B1179*IBGE_2!T$1179/100</f>
        <v>190.65100000000001</v>
      </c>
      <c r="U1179" s="142">
        <f>B1179*IBGE_2!U$1179/100</f>
        <v>9.8000000000000004E-2</v>
      </c>
      <c r="V1179" s="142">
        <f>B1179*IBGE_2!V$1179/100</f>
        <v>1.056</v>
      </c>
      <c r="W1179" s="142" t="s">
        <v>3047</v>
      </c>
      <c r="X1179" s="142">
        <f>B1179*IBGE_2!X$1179/100</f>
        <v>0.10100000000000002</v>
      </c>
      <c r="Y1179" s="142">
        <f>B1179*IBGE_2!Y$1179/100</f>
        <v>6.5000000000000002E-2</v>
      </c>
      <c r="Z1179" s="142">
        <f>B1179*IBGE_2!Z$1179/100</f>
        <v>0.14199999999999999</v>
      </c>
      <c r="AA1179" s="142">
        <f>B1179*IBGE_2!AA$1179/100</f>
        <v>1.048</v>
      </c>
      <c r="AB1179" s="142">
        <f>B1179*IBGE_2!AB$1179/100</f>
        <v>8.5739999999999998</v>
      </c>
      <c r="AC1179" s="142">
        <f>B1179*IBGE_2!AC$1179/100</f>
        <v>2.0739999999999998</v>
      </c>
      <c r="AD1179" s="142">
        <f>B1179*IBGE_2!AD$1179/100</f>
        <v>0.39100000000000001</v>
      </c>
      <c r="AE1179" s="142">
        <f>B1179*IBGE_2!AE$1179/100</f>
        <v>28.914000000000001</v>
      </c>
      <c r="AF1179" s="142">
        <f>B1179*IBGE_2!AF$1179/100</f>
        <v>0.13600000000000001</v>
      </c>
      <c r="AG1179" s="142">
        <f>B1179*IBGE_2!AG$1179/100</f>
        <v>0.20399999999999999</v>
      </c>
      <c r="AH1179" s="142">
        <f>B1179*IBGE_2!AH$1179/100</f>
        <v>7.8E-2</v>
      </c>
      <c r="AI1179" s="142" t="s">
        <v>3047</v>
      </c>
      <c r="AJ1179" s="142">
        <f>B1179*IBGE_2!AJ$1179/100</f>
        <v>5.4219999999999997</v>
      </c>
      <c r="AK1179" s="142">
        <f>B1179*IBGE_2!AK$1179/100</f>
        <v>39.453000000000003</v>
      </c>
      <c r="AL1179" s="142">
        <f>B1179*IBGE_2!AL$1179/100</f>
        <v>1.1619999999999999</v>
      </c>
      <c r="AM1179" s="142">
        <f>B1179*IBGE_2!AM$1179/100</f>
        <v>1.6E-2</v>
      </c>
      <c r="AN1179" s="161"/>
    </row>
    <row r="1180" spans="1:40">
      <c r="A1180" s="143" t="s">
        <v>2240</v>
      </c>
      <c r="B1180" s="141">
        <v>100</v>
      </c>
      <c r="C1180" s="142">
        <f>B1180*IBGE_2!C$1180/100</f>
        <v>245.648</v>
      </c>
      <c r="D1180" s="142">
        <f>B1180*IBGE_2!D$1180/100</f>
        <v>9.8919999999999995</v>
      </c>
      <c r="E1180" s="142">
        <f>B1180*IBGE_2!E$1180/100</f>
        <v>16.885000000000002</v>
      </c>
      <c r="F1180" s="142">
        <f>B1180*IBGE_2!F$1180/100</f>
        <v>4.484</v>
      </c>
      <c r="G1180" s="142">
        <f>B1180*IBGE_2!G$1180/100</f>
        <v>5.8339999999999996</v>
      </c>
      <c r="H1180" s="142">
        <f>B1180*IBGE_2!H$1180/100</f>
        <v>4.9619999999999997</v>
      </c>
      <c r="I1180" s="142">
        <f>B1180*IBGE_2!I$1180/100</f>
        <v>4.3769999999999998</v>
      </c>
      <c r="J1180" s="142">
        <f>B1180*IBGE_2!J$1180/100</f>
        <v>0.53300000000000003</v>
      </c>
      <c r="K1180" s="142">
        <f>B1180*IBGE_2!K$1180/100</f>
        <v>39.859000000000002</v>
      </c>
      <c r="L1180" s="142">
        <f>B1180*IBGE_2!L$1180/100</f>
        <v>14.103999999999999</v>
      </c>
      <c r="M1180" s="142">
        <f>B1180*IBGE_2!M$1180/100</f>
        <v>0.17199999999999999</v>
      </c>
      <c r="N1180" s="142">
        <f>B1180*IBGE_2!N$1180/100</f>
        <v>12.467000000000001</v>
      </c>
      <c r="O1180" s="142">
        <f>B1180*IBGE_2!O$1180/100</f>
        <v>9.3770000000000007</v>
      </c>
      <c r="P1180" s="142">
        <f>B1180*IBGE_2!P$1180/100</f>
        <v>1.3000000000000001E-2</v>
      </c>
      <c r="Q1180" s="142">
        <f>B1180*IBGE_2!Q$1180/100</f>
        <v>81.192999999999998</v>
      </c>
      <c r="R1180" s="142">
        <f>B1180*IBGE_2!R$1180/100</f>
        <v>0.83200000000000007</v>
      </c>
      <c r="S1180" s="142">
        <f>B1180*IBGE_2!S$1180/100</f>
        <v>800.10100000000011</v>
      </c>
      <c r="T1180" s="142">
        <f>B1180*IBGE_2!T$1180/100</f>
        <v>109.36499999999999</v>
      </c>
      <c r="U1180" s="142">
        <f>B1180*IBGE_2!U$1180/100</f>
        <v>5.2000000000000005E-2</v>
      </c>
      <c r="V1180" s="142">
        <f>B1180*IBGE_2!V$1180/100</f>
        <v>1.556</v>
      </c>
      <c r="W1180" s="142">
        <f>B1180*IBGE_2!W$1180/100</f>
        <v>14.055999999999999</v>
      </c>
      <c r="X1180" s="142">
        <f>B1180*IBGE_2!X$1180/100</f>
        <v>7.5999999999999998E-2</v>
      </c>
      <c r="Y1180" s="142">
        <f>B1180*IBGE_2!Y$1180/100</f>
        <v>9.9000000000000005E-2</v>
      </c>
      <c r="Z1180" s="142">
        <f>B1180*IBGE_2!Z$1180/100</f>
        <v>0.17899999999999999</v>
      </c>
      <c r="AA1180" s="142">
        <f>B1180*IBGE_2!AA$1180/100</f>
        <v>2.1800000000000002</v>
      </c>
      <c r="AB1180" s="142">
        <f>B1180*IBGE_2!AB$1180/100</f>
        <v>0.14099999999999999</v>
      </c>
      <c r="AC1180" s="142">
        <f>B1180*IBGE_2!AC$1180/100</f>
        <v>4.125</v>
      </c>
      <c r="AD1180" s="142">
        <f>B1180*IBGE_2!AD$1180/100</f>
        <v>0.51700000000000002</v>
      </c>
      <c r="AE1180" s="142">
        <f>B1180*IBGE_2!AE$1180/100</f>
        <v>2.6010000000000004</v>
      </c>
      <c r="AF1180" s="142">
        <f>B1180*IBGE_2!AF$1180/100</f>
        <v>0.27600000000000002</v>
      </c>
      <c r="AG1180" s="142">
        <f>B1180*IBGE_2!AG$1180/100</f>
        <v>0.69299999999999995</v>
      </c>
      <c r="AH1180" s="142">
        <f>B1180*IBGE_2!AH$1180/100</f>
        <v>0.25900000000000001</v>
      </c>
      <c r="AI1180" s="142" t="s">
        <v>3047</v>
      </c>
      <c r="AJ1180" s="142">
        <f>B1180*IBGE_2!AJ$1180/100</f>
        <v>10.632</v>
      </c>
      <c r="AK1180" s="142">
        <f>B1180*IBGE_2!AK$1180/100</f>
        <v>22.725999999999999</v>
      </c>
      <c r="AL1180" s="142">
        <f>B1180*IBGE_2!AL$1180/100</f>
        <v>8.5389999999999997</v>
      </c>
      <c r="AM1180" s="142">
        <f>B1180*IBGE_2!AM$1180/100</f>
        <v>12.117000000000001</v>
      </c>
      <c r="AN1180" s="161"/>
    </row>
    <row r="1181" spans="1:40">
      <c r="A1181" s="143" t="s">
        <v>2241</v>
      </c>
      <c r="B1181" s="141">
        <v>100</v>
      </c>
      <c r="C1181" s="142">
        <f>B1181*IBGE_2!C$1181/100</f>
        <v>276.45800000000003</v>
      </c>
      <c r="D1181" s="142">
        <f>B1181*IBGE_2!D$1181/100</f>
        <v>17.861999999999998</v>
      </c>
      <c r="E1181" s="142">
        <f>B1181*IBGE_2!E$1181/100</f>
        <v>21.428999999999995</v>
      </c>
      <c r="F1181" s="142">
        <f>B1181*IBGE_2!F$1181/100</f>
        <v>7.2579999999999991</v>
      </c>
      <c r="G1181" s="142">
        <f>B1181*IBGE_2!G$1181/100</f>
        <v>9.5239999999999991</v>
      </c>
      <c r="H1181" s="142">
        <f>B1181*IBGE_2!H$1181/100</f>
        <v>2.7949999999999999</v>
      </c>
      <c r="I1181" s="142">
        <f>B1181*IBGE_2!I$1181/100</f>
        <v>2.452</v>
      </c>
      <c r="J1181" s="142">
        <f>B1181*IBGE_2!J$1181/100</f>
        <v>0.14399999999999999</v>
      </c>
      <c r="K1181" s="142">
        <f>B1181*IBGE_2!K$1181/100</f>
        <v>67.316000000000003</v>
      </c>
      <c r="L1181" s="142">
        <f>B1181*IBGE_2!L$1181/100</f>
        <v>1.804</v>
      </c>
      <c r="M1181" s="142" t="s">
        <v>3047</v>
      </c>
      <c r="N1181" s="142">
        <f>B1181*IBGE_2!N$1181/100</f>
        <v>20.29</v>
      </c>
      <c r="O1181" s="142">
        <f>B1181*IBGE_2!O$1181/100</f>
        <v>14.279000000000002</v>
      </c>
      <c r="P1181" s="142">
        <f>B1181*IBGE_2!P$1181/100</f>
        <v>1.3000000000000001E-2</v>
      </c>
      <c r="Q1181" s="142">
        <f>B1181*IBGE_2!Q$1181/100</f>
        <v>143.327</v>
      </c>
      <c r="R1181" s="142">
        <f>B1181*IBGE_2!R$1181/100</f>
        <v>1.4650000000000001</v>
      </c>
      <c r="S1181" s="142">
        <f>B1181*IBGE_2!S$1181/100</f>
        <v>1019.3660000000001</v>
      </c>
      <c r="T1181" s="142">
        <f>B1181*IBGE_2!T$1181/100</f>
        <v>198.91099999999997</v>
      </c>
      <c r="U1181" s="142">
        <f>B1181*IBGE_2!U$1181/100</f>
        <v>0.114</v>
      </c>
      <c r="V1181" s="142">
        <f>B1181*IBGE_2!V$1181/100</f>
        <v>2.4239999999999999</v>
      </c>
      <c r="W1181" s="142">
        <f>B1181*IBGE_2!W$1181/100</f>
        <v>26.827000000000002</v>
      </c>
      <c r="X1181" s="142">
        <f>B1181*IBGE_2!X$1181/100</f>
        <v>0.29499999999999998</v>
      </c>
      <c r="Y1181" s="142">
        <f>B1181*IBGE_2!Y$1181/100</f>
        <v>0.191</v>
      </c>
      <c r="Z1181" s="142">
        <f>B1181*IBGE_2!Z$1181/100</f>
        <v>0.16600000000000001</v>
      </c>
      <c r="AA1181" s="142">
        <f>B1181*IBGE_2!AA$1181/100</f>
        <v>4.0469999999999997</v>
      </c>
      <c r="AB1181" s="142" t="s">
        <v>3047</v>
      </c>
      <c r="AC1181" s="142">
        <f>B1181*IBGE_2!AC$1181/100</f>
        <v>7.57</v>
      </c>
      <c r="AD1181" s="142">
        <f>B1181*IBGE_2!AD$1181/100</f>
        <v>0.56399999999999995</v>
      </c>
      <c r="AE1181" s="142">
        <f>B1181*IBGE_2!AE$1181/100</f>
        <v>5.2160000000000002</v>
      </c>
      <c r="AF1181" s="142">
        <f>B1181*IBGE_2!AF$1181/100</f>
        <v>0.52700000000000002</v>
      </c>
      <c r="AG1181" s="142">
        <f>B1181*IBGE_2!AG$1181/100</f>
        <v>0.23499999999999999</v>
      </c>
      <c r="AH1181" s="142">
        <f>B1181*IBGE_2!AH$1181/100</f>
        <v>0.157</v>
      </c>
      <c r="AI1181" s="142" t="s">
        <v>3047</v>
      </c>
      <c r="AJ1181" s="142">
        <f>B1181*IBGE_2!AJ$1181/100</f>
        <v>30.148000000000003</v>
      </c>
      <c r="AK1181" s="142">
        <f>B1181*IBGE_2!AK$1181/100</f>
        <v>26.827000000000002</v>
      </c>
      <c r="AL1181" s="142">
        <f>B1181*IBGE_2!AL$1181/100</f>
        <v>1.8029999999999999</v>
      </c>
      <c r="AM1181" s="142">
        <f>B1181*IBGE_2!AM$1181/100</f>
        <v>1.804</v>
      </c>
      <c r="AN1181" s="161"/>
    </row>
    <row r="1182" spans="1:40">
      <c r="A1182" s="143" t="s">
        <v>2242</v>
      </c>
      <c r="B1182" s="141">
        <v>100</v>
      </c>
      <c r="C1182" s="142">
        <f>B1182*IBGE_2!C$1182/100</f>
        <v>214.364</v>
      </c>
      <c r="D1182" s="142">
        <f>B1182*IBGE_2!D$1182/100</f>
        <v>16.385000000000002</v>
      </c>
      <c r="E1182" s="142">
        <f>B1182*IBGE_2!E$1182/100</f>
        <v>14.532</v>
      </c>
      <c r="F1182" s="142">
        <f>B1182*IBGE_2!F$1182/100</f>
        <v>3.8919999999999999</v>
      </c>
      <c r="G1182" s="142">
        <f>B1182*IBGE_2!G$1182/100</f>
        <v>6.359</v>
      </c>
      <c r="H1182" s="142">
        <f>B1182*IBGE_2!H$1182/100</f>
        <v>3.0819999999999999</v>
      </c>
      <c r="I1182" s="142">
        <f>B1182*IBGE_2!I$1182/100</f>
        <v>2.7879999999999994</v>
      </c>
      <c r="J1182" s="142">
        <f>B1182*IBGE_2!J$1182/100</f>
        <v>0.14799999999999999</v>
      </c>
      <c r="K1182" s="142">
        <f>B1182*IBGE_2!K$1182/100</f>
        <v>52.344999999999999</v>
      </c>
      <c r="L1182" s="142">
        <f>B1182*IBGE_2!L$1182/100</f>
        <v>3.6560000000000001</v>
      </c>
      <c r="M1182" s="142">
        <f>B1182*IBGE_2!M$1182/100</f>
        <v>0.254</v>
      </c>
      <c r="N1182" s="142">
        <f>B1182*IBGE_2!N$1182/100</f>
        <v>18.173999999999999</v>
      </c>
      <c r="O1182" s="142">
        <f>B1182*IBGE_2!O$1182/100</f>
        <v>15.073</v>
      </c>
      <c r="P1182" s="142">
        <f>B1182*IBGE_2!P$1182/100</f>
        <v>5.4000000000000006E-2</v>
      </c>
      <c r="Q1182" s="142">
        <f>B1182*IBGE_2!Q$1182/100</f>
        <v>106.111</v>
      </c>
      <c r="R1182" s="142">
        <f>B1182*IBGE_2!R$1182/100</f>
        <v>0.96799999999999997</v>
      </c>
      <c r="S1182" s="142">
        <f>B1182*IBGE_2!S$1182/100</f>
        <v>706.45800000000008</v>
      </c>
      <c r="T1182" s="142">
        <f>B1182*IBGE_2!T$1182/100</f>
        <v>158.57599999999999</v>
      </c>
      <c r="U1182" s="142">
        <f>B1182*IBGE_2!U$1182/100</f>
        <v>6.2E-2</v>
      </c>
      <c r="V1182" s="142">
        <f>B1182*IBGE_2!V$1182/100</f>
        <v>0.85299999999999998</v>
      </c>
      <c r="W1182" s="142">
        <f>B1182*IBGE_2!W$1182/100</f>
        <v>19.030999999999999</v>
      </c>
      <c r="X1182" s="142">
        <f>B1182*IBGE_2!X$1182/100</f>
        <v>3.5000000000000003E-2</v>
      </c>
      <c r="Y1182" s="142">
        <f>B1182*IBGE_2!Y$1182/100</f>
        <v>0.08</v>
      </c>
      <c r="Z1182" s="142">
        <f>B1182*IBGE_2!Z$1182/100</f>
        <v>0.16500000000000001</v>
      </c>
      <c r="AA1182" s="142">
        <f>B1182*IBGE_2!AA$1182/100</f>
        <v>4.0170000000000003</v>
      </c>
      <c r="AB1182" s="142">
        <f>B1182*IBGE_2!AB$1182/100</f>
        <v>1.018</v>
      </c>
      <c r="AC1182" s="142">
        <f>B1182*IBGE_2!AC$1182/100</f>
        <v>6.88</v>
      </c>
      <c r="AD1182" s="142">
        <f>B1182*IBGE_2!AD$1182/100</f>
        <v>0.13300000000000001</v>
      </c>
      <c r="AE1182" s="142">
        <f>B1182*IBGE_2!AE$1182/100</f>
        <v>6.3379999999999992</v>
      </c>
      <c r="AF1182" s="142">
        <f>B1182*IBGE_2!AF$1182/100</f>
        <v>0.22400000000000003</v>
      </c>
      <c r="AG1182" s="142">
        <f>B1182*IBGE_2!AG$1182/100</f>
        <v>0.221</v>
      </c>
      <c r="AH1182" s="142">
        <f>B1182*IBGE_2!AH$1182/100</f>
        <v>0.72299999999999998</v>
      </c>
      <c r="AI1182" s="142" t="s">
        <v>3047</v>
      </c>
      <c r="AJ1182" s="142">
        <f>B1182*IBGE_2!AJ$1182/100</f>
        <v>12.112</v>
      </c>
      <c r="AK1182" s="142">
        <f>B1182*IBGE_2!AK$1182/100</f>
        <v>19.042999999999999</v>
      </c>
      <c r="AL1182" s="142">
        <f>B1182*IBGE_2!AL$1182/100</f>
        <v>0.66299999999999992</v>
      </c>
      <c r="AM1182" s="145" t="s">
        <v>3047</v>
      </c>
      <c r="AN1182" s="161"/>
    </row>
    <row r="1183" spans="1:40">
      <c r="A1183" s="143" t="s">
        <v>2243</v>
      </c>
      <c r="B1183" s="141">
        <v>100</v>
      </c>
      <c r="C1183" s="142">
        <f>B1183*IBGE_2!C$1183/100</f>
        <v>242</v>
      </c>
      <c r="D1183" s="142">
        <f>B1183*IBGE_2!D$1183/100</f>
        <v>24.22</v>
      </c>
      <c r="E1183" s="142">
        <f>B1183*IBGE_2!E$1183/100</f>
        <v>15.42</v>
      </c>
      <c r="F1183" s="142">
        <f>B1183*IBGE_2!F$1183/100</f>
        <v>5.7380000000000004</v>
      </c>
      <c r="G1183" s="142">
        <f>B1183*IBGE_2!G$1183/100</f>
        <v>7.0019999999999989</v>
      </c>
      <c r="H1183" s="142">
        <f>B1183*IBGE_2!H$1183/100</f>
        <v>0.61299999999999999</v>
      </c>
      <c r="I1183" s="142">
        <f>B1183*IBGE_2!I$1183/100</f>
        <v>0.41600000000000004</v>
      </c>
      <c r="J1183" s="142">
        <f>B1183*IBGE_2!J$1183/100</f>
        <v>0.16400000000000003</v>
      </c>
      <c r="K1183" s="142">
        <f>B1183*IBGE_2!K$1183/100</f>
        <v>75</v>
      </c>
      <c r="L1183" s="142" t="s">
        <v>3047</v>
      </c>
      <c r="M1183" s="142" t="s">
        <v>3047</v>
      </c>
      <c r="N1183" s="142">
        <f>B1183*IBGE_2!N$1183/100</f>
        <v>8.1859999999999999</v>
      </c>
      <c r="O1183" s="142">
        <f>B1183*IBGE_2!O$1183/100</f>
        <v>20.007999999999999</v>
      </c>
      <c r="P1183" s="142">
        <f>B1183*IBGE_2!P$1183/100</f>
        <v>2E-3</v>
      </c>
      <c r="Q1183" s="142">
        <f>B1183*IBGE_2!Q$1183/100</f>
        <v>196</v>
      </c>
      <c r="R1183" s="142">
        <f>B1183*IBGE_2!R$1183/100</f>
        <v>2.8130000000000002</v>
      </c>
      <c r="S1183" s="142">
        <f>B1183*IBGE_2!S$1183/100</f>
        <v>367.76799999999997</v>
      </c>
      <c r="T1183" s="142">
        <f>B1183*IBGE_2!T$1183/100</f>
        <v>337.06200000000007</v>
      </c>
      <c r="U1183" s="142">
        <f>B1183*IBGE_2!U$1183/100</f>
        <v>9.3000000000000013E-2</v>
      </c>
      <c r="V1183" s="142">
        <f>B1183*IBGE_2!V$1183/100</f>
        <v>5.7110000000000003</v>
      </c>
      <c r="W1183" s="142" t="s">
        <v>3047</v>
      </c>
      <c r="X1183" s="142">
        <f>B1183*IBGE_2!X$1183/100</f>
        <v>8.1000000000000003E-2</v>
      </c>
      <c r="Y1183" s="142">
        <f>B1183*IBGE_2!Y$1183/100</f>
        <v>0.22600000000000001</v>
      </c>
      <c r="Z1183" s="142">
        <f>B1183*IBGE_2!Z$1183/100</f>
        <v>0.255</v>
      </c>
      <c r="AA1183" s="142">
        <f>B1183*IBGE_2!AA$1183/100</f>
        <v>3.2069999999999999</v>
      </c>
      <c r="AB1183" s="142" t="s">
        <v>3047</v>
      </c>
      <c r="AC1183" s="142">
        <f>B1183*IBGE_2!AC$1183/100</f>
        <v>7.5739999999999998</v>
      </c>
      <c r="AD1183" s="142">
        <f>B1183*IBGE_2!AD$1183/100</f>
        <v>2.83</v>
      </c>
      <c r="AE1183" s="142">
        <f>B1183*IBGE_2!AE$1183/100</f>
        <v>9</v>
      </c>
      <c r="AF1183" s="142">
        <f>B1183*IBGE_2!AF$1183/100</f>
        <v>0.7</v>
      </c>
      <c r="AG1183" s="142">
        <f>B1183*IBGE_2!AG$1183/100</f>
        <v>0.14000000000000001</v>
      </c>
      <c r="AH1183" s="142">
        <f>B1183*IBGE_2!AH$1183/100</f>
        <v>0.68</v>
      </c>
      <c r="AI1183" s="142" t="s">
        <v>3047</v>
      </c>
      <c r="AJ1183" s="142">
        <f>B1183*IBGE_2!AJ$1183/100</f>
        <v>28.300999999999998</v>
      </c>
      <c r="AK1183" s="145" t="s">
        <v>3047</v>
      </c>
      <c r="AL1183" s="145" t="s">
        <v>3047</v>
      </c>
      <c r="AM1183" s="145" t="s">
        <v>3047</v>
      </c>
      <c r="AN1183" s="161"/>
    </row>
    <row r="1184" spans="1:40">
      <c r="A1184" s="143" t="s">
        <v>2244</v>
      </c>
      <c r="B1184" s="141">
        <v>100</v>
      </c>
      <c r="C1184" s="142">
        <f>B1184*IBGE_2!C$1184/100</f>
        <v>214.85</v>
      </c>
      <c r="D1184" s="142">
        <f>B1184*IBGE_2!D$1184/100</f>
        <v>20.64</v>
      </c>
      <c r="E1184" s="142">
        <f>B1184*IBGE_2!E$1184/100</f>
        <v>9.1999999999999993</v>
      </c>
      <c r="F1184" s="142">
        <f>B1184*IBGE_2!F$1184/100</f>
        <v>3.48</v>
      </c>
      <c r="G1184" s="142">
        <f>B1184*IBGE_2!G$1184/100</f>
        <v>3.64</v>
      </c>
      <c r="H1184" s="142">
        <f>B1184*IBGE_2!H$1184/100</f>
        <v>0.68</v>
      </c>
      <c r="I1184" s="142">
        <f>B1184*IBGE_2!I$1184/100</f>
        <v>0.56999999999999995</v>
      </c>
      <c r="J1184" s="142">
        <f>B1184*IBGE_2!J$1184/100</f>
        <v>0.06</v>
      </c>
      <c r="K1184" s="142">
        <f>B1184*IBGE_2!K$1184/100</f>
        <v>103.27</v>
      </c>
      <c r="L1184" s="142">
        <f>B1184*IBGE_2!L$1184/100</f>
        <v>11</v>
      </c>
      <c r="M1184" s="142">
        <f>B1184*IBGE_2!M$1184/100</f>
        <v>0.76</v>
      </c>
      <c r="N1184" s="142">
        <f>B1184*IBGE_2!N$1184/100</f>
        <v>56.01</v>
      </c>
      <c r="O1184" s="142">
        <f>B1184*IBGE_2!O$1184/100</f>
        <v>22.98</v>
      </c>
      <c r="P1184" s="142">
        <f>B1184*IBGE_2!P$1184/100</f>
        <v>0.15</v>
      </c>
      <c r="Q1184" s="142">
        <f>B1184*IBGE_2!Q$1184/100</f>
        <v>180.27</v>
      </c>
      <c r="R1184" s="142">
        <f>B1184*IBGE_2!R$1184/100</f>
        <v>2.66</v>
      </c>
      <c r="S1184" s="142">
        <f>B1184*IBGE_2!S$1184/100</f>
        <v>153.28</v>
      </c>
      <c r="T1184" s="142">
        <f>B1184*IBGE_2!T$1184/100</f>
        <v>278.32</v>
      </c>
      <c r="U1184" s="142">
        <f>B1184*IBGE_2!U$1184/100</f>
        <v>0.1</v>
      </c>
      <c r="V1184" s="142">
        <f>B1184*IBGE_2!V$1184/100</f>
        <v>4.62</v>
      </c>
      <c r="W1184" s="142">
        <f>B1184*IBGE_2!W$1184/100</f>
        <v>26.25</v>
      </c>
      <c r="X1184" s="142">
        <f>B1184*IBGE_2!X$1184/100</f>
        <v>0.16</v>
      </c>
      <c r="Y1184" s="142">
        <f>B1184*IBGE_2!Y$1184/100</f>
        <v>0.24</v>
      </c>
      <c r="Z1184" s="142">
        <f>B1184*IBGE_2!Z$1184/100</f>
        <v>0.27</v>
      </c>
      <c r="AA1184" s="142">
        <f>B1184*IBGE_2!AA$1184/100</f>
        <v>4.18</v>
      </c>
      <c r="AB1184" s="142">
        <f>B1184*IBGE_2!AB$1184/100</f>
        <v>0.83</v>
      </c>
      <c r="AC1184" s="142">
        <f>B1184*IBGE_2!AC$1184/100</f>
        <v>6.5</v>
      </c>
      <c r="AD1184" s="142">
        <f>B1184*IBGE_2!AD$1184/100</f>
        <v>1.82</v>
      </c>
      <c r="AE1184" s="142">
        <f>B1184*IBGE_2!AE$1184/100</f>
        <v>31.26</v>
      </c>
      <c r="AF1184" s="142">
        <f>B1184*IBGE_2!AF$1184/100</f>
        <v>0.57999999999999996</v>
      </c>
      <c r="AG1184" s="142">
        <f>B1184*IBGE_2!AG$1184/100</f>
        <v>0.39</v>
      </c>
      <c r="AH1184" s="142">
        <f>B1184*IBGE_2!AH$1184/100</f>
        <v>0.46</v>
      </c>
      <c r="AI1184" s="142" t="s">
        <v>3047</v>
      </c>
      <c r="AJ1184" s="142">
        <f>B1184*IBGE_2!AJ$1184/100</f>
        <v>20.68</v>
      </c>
      <c r="AK1184" s="142">
        <f>B1184*IBGE_2!AK$1184/100</f>
        <v>26.48</v>
      </c>
      <c r="AL1184" s="142">
        <f>B1184*IBGE_2!AL$1184/100</f>
        <v>2.2400000000000002</v>
      </c>
      <c r="AM1184" s="142">
        <f>B1184*IBGE_2!AM$1184/100</f>
        <v>1.55</v>
      </c>
      <c r="AN1184" s="161"/>
    </row>
    <row r="1185" spans="1:40">
      <c r="A1185" s="143" t="s">
        <v>2245</v>
      </c>
      <c r="B1185" s="141">
        <v>100</v>
      </c>
      <c r="C1185" s="142">
        <f>B1185*IBGE_2!C$1185/100</f>
        <v>242</v>
      </c>
      <c r="D1185" s="142">
        <f>B1185*IBGE_2!D$1185/100</f>
        <v>24.22</v>
      </c>
      <c r="E1185" s="142">
        <f>B1185*IBGE_2!E$1185/100</f>
        <v>15.42</v>
      </c>
      <c r="F1185" s="142">
        <f>B1185*IBGE_2!F$1185/100</f>
        <v>5.7380000000000004</v>
      </c>
      <c r="G1185" s="142">
        <f>B1185*IBGE_2!G$1185/100</f>
        <v>7.0019999999999989</v>
      </c>
      <c r="H1185" s="142">
        <f>B1185*IBGE_2!H$1185/100</f>
        <v>0.61299999999999999</v>
      </c>
      <c r="I1185" s="142">
        <f>B1185*IBGE_2!I$1185/100</f>
        <v>0.41600000000000004</v>
      </c>
      <c r="J1185" s="142">
        <f>B1185*IBGE_2!J$1185/100</f>
        <v>0.16400000000000003</v>
      </c>
      <c r="K1185" s="142">
        <f>B1185*IBGE_2!K$1185/100</f>
        <v>75</v>
      </c>
      <c r="L1185" s="142" t="s">
        <v>3047</v>
      </c>
      <c r="M1185" s="142" t="s">
        <v>3047</v>
      </c>
      <c r="N1185" s="142">
        <f>B1185*IBGE_2!N$1185/100</f>
        <v>8.1859999999999999</v>
      </c>
      <c r="O1185" s="142">
        <f>B1185*IBGE_2!O$1185/100</f>
        <v>20.007999999999999</v>
      </c>
      <c r="P1185" s="142">
        <f>B1185*IBGE_2!P$1185/100</f>
        <v>2E-3</v>
      </c>
      <c r="Q1185" s="142">
        <f>B1185*IBGE_2!Q$1185/100</f>
        <v>196</v>
      </c>
      <c r="R1185" s="142">
        <f>B1185*IBGE_2!R$1185/100</f>
        <v>2.8130000000000002</v>
      </c>
      <c r="S1185" s="142">
        <f>B1185*IBGE_2!S$1185/100</f>
        <v>367.76799999999997</v>
      </c>
      <c r="T1185" s="142">
        <f>B1185*IBGE_2!T$1185/100</f>
        <v>337.06200000000007</v>
      </c>
      <c r="U1185" s="142">
        <f>B1185*IBGE_2!U$1185/100</f>
        <v>9.3000000000000013E-2</v>
      </c>
      <c r="V1185" s="142">
        <f>B1185*IBGE_2!V$1185/100</f>
        <v>5.7110000000000003</v>
      </c>
      <c r="W1185" s="142" t="s">
        <v>3047</v>
      </c>
      <c r="X1185" s="142">
        <f>B1185*IBGE_2!X$1185/100</f>
        <v>8.1000000000000003E-2</v>
      </c>
      <c r="Y1185" s="142">
        <f>B1185*IBGE_2!Y$1185/100</f>
        <v>0.22600000000000001</v>
      </c>
      <c r="Z1185" s="142">
        <f>B1185*IBGE_2!Z$1185/100</f>
        <v>0.255</v>
      </c>
      <c r="AA1185" s="142">
        <f>B1185*IBGE_2!AA$1185/100</f>
        <v>3.2069999999999999</v>
      </c>
      <c r="AB1185" s="142" t="s">
        <v>3047</v>
      </c>
      <c r="AC1185" s="142">
        <f>B1185*IBGE_2!AC$1185/100</f>
        <v>7.5739999999999998</v>
      </c>
      <c r="AD1185" s="142">
        <f>B1185*IBGE_2!AD$1185/100</f>
        <v>2.83</v>
      </c>
      <c r="AE1185" s="142">
        <f>B1185*IBGE_2!AE$1185/100</f>
        <v>9</v>
      </c>
      <c r="AF1185" s="142">
        <f>B1185*IBGE_2!AF$1185/100</f>
        <v>0.7</v>
      </c>
      <c r="AG1185" s="142">
        <f>B1185*IBGE_2!AG$1185/100</f>
        <v>0.14000000000000001</v>
      </c>
      <c r="AH1185" s="142">
        <f>B1185*IBGE_2!AH$1185/100</f>
        <v>0.68</v>
      </c>
      <c r="AI1185" s="142" t="s">
        <v>3047</v>
      </c>
      <c r="AJ1185" s="142">
        <f>B1185*IBGE_2!AJ$1185/100</f>
        <v>28.300999999999998</v>
      </c>
      <c r="AK1185" s="145" t="s">
        <v>3047</v>
      </c>
      <c r="AL1185" s="145" t="s">
        <v>3047</v>
      </c>
      <c r="AM1185" s="145" t="s">
        <v>3047</v>
      </c>
      <c r="AN1185" s="161"/>
    </row>
    <row r="1186" spans="1:40">
      <c r="A1186" s="143" t="s">
        <v>2246</v>
      </c>
      <c r="B1186" s="141">
        <v>100</v>
      </c>
      <c r="C1186" s="142">
        <f>B1186*IBGE_2!C$1186/100</f>
        <v>203.517</v>
      </c>
      <c r="D1186" s="142">
        <f>B1186*IBGE_2!D$1186/100</f>
        <v>16.164000000000001</v>
      </c>
      <c r="E1186" s="142">
        <f>B1186*IBGE_2!E$1186/100</f>
        <v>10.722000000000001</v>
      </c>
      <c r="F1186" s="142">
        <f>B1186*IBGE_2!F$1186/100</f>
        <v>4.0339999999999998</v>
      </c>
      <c r="G1186" s="142">
        <f>B1186*IBGE_2!G$1186/100</f>
        <v>4.673</v>
      </c>
      <c r="H1186" s="142">
        <f>B1186*IBGE_2!H$1186/100</f>
        <v>0.6</v>
      </c>
      <c r="I1186" s="142">
        <f>B1186*IBGE_2!I$1186/100</f>
        <v>0.50600000000000001</v>
      </c>
      <c r="J1186" s="142">
        <f>B1186*IBGE_2!J$1186/100</f>
        <v>4.7E-2</v>
      </c>
      <c r="K1186" s="142">
        <f>B1186*IBGE_2!K$1186/100</f>
        <v>81.807000000000002</v>
      </c>
      <c r="L1186" s="142">
        <f>B1186*IBGE_2!L$1186/100</f>
        <v>9.6989999999999998</v>
      </c>
      <c r="M1186" s="142">
        <f>B1186*IBGE_2!M$1186/100</f>
        <v>0.91100000000000003</v>
      </c>
      <c r="N1186" s="142">
        <f>B1186*IBGE_2!N$1186/100</f>
        <v>56.748000000000005</v>
      </c>
      <c r="O1186" s="142">
        <f>B1186*IBGE_2!O$1186/100</f>
        <v>21.771999999999998</v>
      </c>
      <c r="P1186" s="142">
        <f>B1186*IBGE_2!P$1186/100</f>
        <v>0.14000000000000001</v>
      </c>
      <c r="Q1186" s="142">
        <f>B1186*IBGE_2!Q$1186/100</f>
        <v>156.15700000000001</v>
      </c>
      <c r="R1186" s="142">
        <f>B1186*IBGE_2!R$1186/100</f>
        <v>2.1589999999999998</v>
      </c>
      <c r="S1186" s="142">
        <f>B1186*IBGE_2!S$1186/100</f>
        <v>246.53800000000004</v>
      </c>
      <c r="T1186" s="142">
        <f>B1186*IBGE_2!T$1186/100</f>
        <v>313.654</v>
      </c>
      <c r="U1186" s="142">
        <f>B1186*IBGE_2!U$1186/100</f>
        <v>0.1</v>
      </c>
      <c r="V1186" s="142">
        <f>B1186*IBGE_2!V$1186/100</f>
        <v>3.4</v>
      </c>
      <c r="W1186" s="142">
        <f>B1186*IBGE_2!W$1186/100</f>
        <v>20.413</v>
      </c>
      <c r="X1186" s="142">
        <f>B1186*IBGE_2!X$1186/100</f>
        <v>0.13300000000000001</v>
      </c>
      <c r="Y1186" s="142">
        <f>B1186*IBGE_2!Y$1186/100</f>
        <v>0.21199999999999999</v>
      </c>
      <c r="Z1186" s="142">
        <f>B1186*IBGE_2!Z$1186/100</f>
        <v>0.27300000000000002</v>
      </c>
      <c r="AA1186" s="142">
        <f>B1186*IBGE_2!AA$1186/100</f>
        <v>3.5179999999999993</v>
      </c>
      <c r="AB1186" s="142">
        <f>B1186*IBGE_2!AB$1186/100</f>
        <v>2.1360000000000001</v>
      </c>
      <c r="AC1186" s="142">
        <f>B1186*IBGE_2!AC$1186/100</f>
        <v>5.0259999999999998</v>
      </c>
      <c r="AD1186" s="142">
        <f>B1186*IBGE_2!AD$1186/100</f>
        <v>1.6359999999999999</v>
      </c>
      <c r="AE1186" s="142">
        <f>B1186*IBGE_2!AE$1186/100</f>
        <v>29.628</v>
      </c>
      <c r="AF1186" s="142">
        <f>B1186*IBGE_2!AF$1186/100</f>
        <v>0.41099999999999992</v>
      </c>
      <c r="AG1186" s="142">
        <f>B1186*IBGE_2!AG$1186/100</f>
        <v>0.64200000000000002</v>
      </c>
      <c r="AH1186" s="142">
        <f>B1186*IBGE_2!AH$1186/100</f>
        <v>0.57899999999999996</v>
      </c>
      <c r="AI1186" s="142">
        <f>B1186*IBGE_2!AI$1186/100</f>
        <v>307</v>
      </c>
      <c r="AJ1186" s="142">
        <f>B1186*IBGE_2!AJ$1186/100</f>
        <v>16.326000000000001</v>
      </c>
      <c r="AK1186" s="142">
        <f>B1186*IBGE_2!AK$1186/100</f>
        <v>24.3</v>
      </c>
      <c r="AL1186" s="142">
        <f>B1186*IBGE_2!AL$1186/100</f>
        <v>2.6689999999999996</v>
      </c>
      <c r="AM1186" s="142">
        <f>B1186*IBGE_2!AM$1186/100</f>
        <v>1.2050000000000001</v>
      </c>
      <c r="AN1186" s="161"/>
    </row>
    <row r="1187" spans="1:40">
      <c r="A1187" s="143" t="s">
        <v>2247</v>
      </c>
      <c r="B1187" s="141">
        <v>100</v>
      </c>
      <c r="C1187" s="142">
        <f>B1187*IBGE_2!C$1187/100</f>
        <v>178</v>
      </c>
      <c r="D1187" s="142">
        <f>B1187*IBGE_2!D$1187/100</f>
        <v>22.62</v>
      </c>
      <c r="E1187" s="142">
        <f>B1187*IBGE_2!E$1187/100</f>
        <v>9.02</v>
      </c>
      <c r="F1187" s="142">
        <f>B1187*IBGE_2!F$1187/100</f>
        <v>3.12</v>
      </c>
      <c r="G1187" s="142">
        <f>B1187*IBGE_2!G$1187/100</f>
        <v>4.4400000000000004</v>
      </c>
      <c r="H1187" s="142">
        <f>B1187*IBGE_2!H$1187/100</f>
        <v>1.41</v>
      </c>
      <c r="I1187" s="142">
        <f>B1187*IBGE_2!I$1187/100</f>
        <v>1.17</v>
      </c>
      <c r="J1187" s="142">
        <f>B1187*IBGE_2!J$1187/100</f>
        <v>0.24</v>
      </c>
      <c r="K1187" s="142">
        <f>B1187*IBGE_2!K$1187/100</f>
        <v>59</v>
      </c>
      <c r="L1187" s="142" t="s">
        <v>3047</v>
      </c>
      <c r="M1187" s="142" t="s">
        <v>3047</v>
      </c>
      <c r="N1187" s="142">
        <f>B1187*IBGE_2!N$1187/100</f>
        <v>8</v>
      </c>
      <c r="O1187" s="142">
        <f>B1187*IBGE_2!O$1187/100</f>
        <v>22</v>
      </c>
      <c r="P1187" s="142">
        <f>B1187*IBGE_2!P$1187/100</f>
        <v>4.1000000000000009E-2</v>
      </c>
      <c r="Q1187" s="142">
        <f>B1187*IBGE_2!Q$1187/100</f>
        <v>281</v>
      </c>
      <c r="R1187" s="142">
        <f>B1187*IBGE_2!R$1187/100</f>
        <v>1.34</v>
      </c>
      <c r="S1187" s="142">
        <f>B1187*IBGE_2!S$1187/100</f>
        <v>1500</v>
      </c>
      <c r="T1187" s="142">
        <f>B1187*IBGE_2!T$1187/100</f>
        <v>409</v>
      </c>
      <c r="U1187" s="142">
        <f>B1187*IBGE_2!U$1187/100</f>
        <v>0.14499999999999999</v>
      </c>
      <c r="V1187" s="142">
        <f>B1187*IBGE_2!V$1187/100</f>
        <v>2.4700000000000002</v>
      </c>
      <c r="W1187" s="142" t="s">
        <v>3047</v>
      </c>
      <c r="X1187" s="142">
        <f>B1187*IBGE_2!X$1187/100</f>
        <v>0.73</v>
      </c>
      <c r="Y1187" s="142">
        <f>B1187*IBGE_2!Y$1187/100</f>
        <v>0.33</v>
      </c>
      <c r="Z1187" s="142">
        <f>B1187*IBGE_2!Z$1187/100</f>
        <v>0.31</v>
      </c>
      <c r="AA1187" s="142">
        <f>B1187*IBGE_2!AA$1187/100</f>
        <v>6.15</v>
      </c>
      <c r="AB1187" s="142" t="s">
        <v>3047</v>
      </c>
      <c r="AC1187" s="142">
        <f>B1187*IBGE_2!AC$1187/100</f>
        <v>10.117000000000001</v>
      </c>
      <c r="AD1187" s="142">
        <f>B1187*IBGE_2!AD$1187/100</f>
        <v>0.7</v>
      </c>
      <c r="AE1187" s="142">
        <f>B1187*IBGE_2!AE$1187/100</f>
        <v>3</v>
      </c>
      <c r="AF1187" s="142">
        <f>B1187*IBGE_2!AF$1187/100</f>
        <v>0.8</v>
      </c>
      <c r="AG1187" s="142">
        <f>B1187*IBGE_2!AG$1187/100</f>
        <v>0.31</v>
      </c>
      <c r="AH1187" s="142">
        <f>B1187*IBGE_2!AH$1187/100</f>
        <v>2.7000000000000003E-2</v>
      </c>
      <c r="AI1187" s="142" t="s">
        <v>3047</v>
      </c>
      <c r="AJ1187" s="142">
        <f>B1187*IBGE_2!AJ$1187/100</f>
        <v>19.8</v>
      </c>
      <c r="AK1187" s="142" t="s">
        <v>3047</v>
      </c>
      <c r="AL1187" s="142" t="s">
        <v>3047</v>
      </c>
      <c r="AM1187" s="142" t="s">
        <v>3047</v>
      </c>
      <c r="AN1187" s="161"/>
    </row>
    <row r="1188" spans="1:40">
      <c r="A1188" s="143" t="s">
        <v>2248</v>
      </c>
      <c r="B1188" s="141">
        <v>100</v>
      </c>
      <c r="C1188" s="142">
        <f>B1188*IBGE_2!C$1188/100</f>
        <v>178</v>
      </c>
      <c r="D1188" s="142">
        <f>B1188*IBGE_2!D$1188/100</f>
        <v>22.62</v>
      </c>
      <c r="E1188" s="142">
        <f>B1188*IBGE_2!E$1188/100</f>
        <v>9.02</v>
      </c>
      <c r="F1188" s="142">
        <f>B1188*IBGE_2!F$1188/100</f>
        <v>3.12</v>
      </c>
      <c r="G1188" s="142">
        <f>B1188*IBGE_2!G$1188/100</f>
        <v>4.4400000000000004</v>
      </c>
      <c r="H1188" s="142">
        <f>B1188*IBGE_2!H$1188/100</f>
        <v>1.41</v>
      </c>
      <c r="I1188" s="142">
        <f>B1188*IBGE_2!I$1188/100</f>
        <v>1.17</v>
      </c>
      <c r="J1188" s="142">
        <f>B1188*IBGE_2!J$1188/100</f>
        <v>0.24</v>
      </c>
      <c r="K1188" s="142">
        <f>B1188*IBGE_2!K$1188/100</f>
        <v>59</v>
      </c>
      <c r="L1188" s="142" t="s">
        <v>3047</v>
      </c>
      <c r="M1188" s="142" t="s">
        <v>3047</v>
      </c>
      <c r="N1188" s="142">
        <f>B1188*IBGE_2!N$1188/100</f>
        <v>8</v>
      </c>
      <c r="O1188" s="142">
        <f>B1188*IBGE_2!O$1188/100</f>
        <v>22</v>
      </c>
      <c r="P1188" s="142">
        <f>B1188*IBGE_2!P$1188/100</f>
        <v>4.1000000000000009E-2</v>
      </c>
      <c r="Q1188" s="142">
        <f>B1188*IBGE_2!Q$1188/100</f>
        <v>281</v>
      </c>
      <c r="R1188" s="142">
        <f>B1188*IBGE_2!R$1188/100</f>
        <v>1.34</v>
      </c>
      <c r="S1188" s="142">
        <f>B1188*IBGE_2!S$1188/100</f>
        <v>1500</v>
      </c>
      <c r="T1188" s="142">
        <f>B1188*IBGE_2!T$1188/100</f>
        <v>409</v>
      </c>
      <c r="U1188" s="142">
        <f>B1188*IBGE_2!U$1188/100</f>
        <v>0.14499999999999999</v>
      </c>
      <c r="V1188" s="142">
        <f>B1188*IBGE_2!V$1188/100</f>
        <v>2.4700000000000002</v>
      </c>
      <c r="W1188" s="142" t="s">
        <v>3047</v>
      </c>
      <c r="X1188" s="142">
        <f>B1188*IBGE_2!X$1188/100</f>
        <v>0.73</v>
      </c>
      <c r="Y1188" s="142">
        <f>B1188*IBGE_2!Y$1188/100</f>
        <v>0.33</v>
      </c>
      <c r="Z1188" s="142">
        <f>B1188*IBGE_2!Z$1188/100</f>
        <v>0.31</v>
      </c>
      <c r="AA1188" s="142">
        <f>B1188*IBGE_2!AA$1188/100</f>
        <v>6.15</v>
      </c>
      <c r="AB1188" s="142" t="s">
        <v>3047</v>
      </c>
      <c r="AC1188" s="142">
        <f>B1188*IBGE_2!AC$1188/100</f>
        <v>10.117000000000001</v>
      </c>
      <c r="AD1188" s="142">
        <f>B1188*IBGE_2!AD$1188/100</f>
        <v>0.7</v>
      </c>
      <c r="AE1188" s="142">
        <f>B1188*IBGE_2!AE$1188/100</f>
        <v>3</v>
      </c>
      <c r="AF1188" s="142">
        <f>B1188*IBGE_2!AF$1188/100</f>
        <v>0.8</v>
      </c>
      <c r="AG1188" s="142">
        <f>B1188*IBGE_2!AG$1188/100</f>
        <v>0.31</v>
      </c>
      <c r="AH1188" s="142">
        <f>B1188*IBGE_2!AH$1188/100</f>
        <v>2.7000000000000003E-2</v>
      </c>
      <c r="AI1188" s="142" t="s">
        <v>3047</v>
      </c>
      <c r="AJ1188" s="142">
        <f>B1188*IBGE_2!AJ$1188/100</f>
        <v>19.8</v>
      </c>
      <c r="AK1188" s="142" t="s">
        <v>3047</v>
      </c>
      <c r="AL1188" s="142" t="s">
        <v>3047</v>
      </c>
      <c r="AM1188" s="142" t="s">
        <v>3047</v>
      </c>
      <c r="AN1188" s="161"/>
    </row>
    <row r="1189" spans="1:40">
      <c r="A1189" s="143" t="s">
        <v>2249</v>
      </c>
      <c r="B1189" s="141">
        <v>100</v>
      </c>
      <c r="C1189" s="142">
        <f>B1189*IBGE_2!C$1189/100</f>
        <v>178</v>
      </c>
      <c r="D1189" s="142">
        <f>B1189*IBGE_2!D$1189/100</f>
        <v>22.62</v>
      </c>
      <c r="E1189" s="142">
        <f>B1189*IBGE_2!E$1189/100</f>
        <v>9.02</v>
      </c>
      <c r="F1189" s="142">
        <f>B1189*IBGE_2!F$1189/100</f>
        <v>3.12</v>
      </c>
      <c r="G1189" s="142">
        <f>B1189*IBGE_2!G$1189/100</f>
        <v>4.4400000000000004</v>
      </c>
      <c r="H1189" s="142">
        <f>B1189*IBGE_2!H$1189/100</f>
        <v>1.41</v>
      </c>
      <c r="I1189" s="142">
        <f>B1189*IBGE_2!I$1189/100</f>
        <v>1.17</v>
      </c>
      <c r="J1189" s="142">
        <f>B1189*IBGE_2!J$1189/100</f>
        <v>0.24</v>
      </c>
      <c r="K1189" s="142">
        <f>B1189*IBGE_2!K$1189/100</f>
        <v>59</v>
      </c>
      <c r="L1189" s="142" t="s">
        <v>3047</v>
      </c>
      <c r="M1189" s="142" t="s">
        <v>3047</v>
      </c>
      <c r="N1189" s="142">
        <f>B1189*IBGE_2!N$1189/100</f>
        <v>8</v>
      </c>
      <c r="O1189" s="142">
        <f>B1189*IBGE_2!O$1189/100</f>
        <v>22</v>
      </c>
      <c r="P1189" s="142">
        <f>B1189*IBGE_2!P$1189/100</f>
        <v>4.1000000000000009E-2</v>
      </c>
      <c r="Q1189" s="142">
        <f>B1189*IBGE_2!Q$1189/100</f>
        <v>281</v>
      </c>
      <c r="R1189" s="142">
        <f>B1189*IBGE_2!R$1189/100</f>
        <v>1.34</v>
      </c>
      <c r="S1189" s="142">
        <f>B1189*IBGE_2!S$1189/100</f>
        <v>1500</v>
      </c>
      <c r="T1189" s="142">
        <f>B1189*IBGE_2!T$1189/100</f>
        <v>409</v>
      </c>
      <c r="U1189" s="142">
        <f>B1189*IBGE_2!U$1189/100</f>
        <v>0.14499999999999999</v>
      </c>
      <c r="V1189" s="142">
        <f>B1189*IBGE_2!V$1189/100</f>
        <v>2.4700000000000002</v>
      </c>
      <c r="W1189" s="142" t="s">
        <v>3047</v>
      </c>
      <c r="X1189" s="142">
        <f>B1189*IBGE_2!X$1189/100</f>
        <v>0.73</v>
      </c>
      <c r="Y1189" s="142">
        <f>B1189*IBGE_2!Y$1189/100</f>
        <v>0.33</v>
      </c>
      <c r="Z1189" s="142">
        <f>B1189*IBGE_2!Z$1189/100</f>
        <v>0.31</v>
      </c>
      <c r="AA1189" s="142">
        <f>B1189*IBGE_2!AA$1189/100</f>
        <v>6.15</v>
      </c>
      <c r="AB1189" s="142" t="s">
        <v>3047</v>
      </c>
      <c r="AC1189" s="142">
        <f>B1189*IBGE_2!AC$1189/100</f>
        <v>10.117000000000001</v>
      </c>
      <c r="AD1189" s="142">
        <f>B1189*IBGE_2!AD$1189/100</f>
        <v>0.7</v>
      </c>
      <c r="AE1189" s="142">
        <f>B1189*IBGE_2!AE$1189/100</f>
        <v>3</v>
      </c>
      <c r="AF1189" s="142">
        <f>B1189*IBGE_2!AF$1189/100</f>
        <v>0.8</v>
      </c>
      <c r="AG1189" s="142">
        <f>B1189*IBGE_2!AG$1189/100</f>
        <v>0.31</v>
      </c>
      <c r="AH1189" s="142">
        <f>B1189*IBGE_2!AH$1189/100</f>
        <v>2.7000000000000003E-2</v>
      </c>
      <c r="AI1189" s="142" t="s">
        <v>3047</v>
      </c>
      <c r="AJ1189" s="142">
        <f>B1189*IBGE_2!AJ$1189/100</f>
        <v>19.8</v>
      </c>
      <c r="AK1189" s="142" t="s">
        <v>3047</v>
      </c>
      <c r="AL1189" s="142" t="s">
        <v>3047</v>
      </c>
      <c r="AM1189" s="142" t="s">
        <v>3047</v>
      </c>
      <c r="AN1189" s="161"/>
    </row>
    <row r="1190" spans="1:40">
      <c r="A1190" s="143" t="s">
        <v>2250</v>
      </c>
      <c r="B1190" s="141">
        <v>100</v>
      </c>
      <c r="C1190" s="142">
        <f>B1190*IBGE_2!C$1190/100</f>
        <v>178</v>
      </c>
      <c r="D1190" s="142">
        <f>B1190*IBGE_2!D$1190/100</f>
        <v>22.62</v>
      </c>
      <c r="E1190" s="142">
        <f>B1190*IBGE_2!E$1190/100</f>
        <v>9.02</v>
      </c>
      <c r="F1190" s="142">
        <f>B1190*IBGE_2!F$1190/100</f>
        <v>3.12</v>
      </c>
      <c r="G1190" s="142">
        <f>B1190*IBGE_2!G$1190/100</f>
        <v>4.4400000000000004</v>
      </c>
      <c r="H1190" s="142">
        <f>B1190*IBGE_2!H$1190/100</f>
        <v>1.41</v>
      </c>
      <c r="I1190" s="142">
        <f>B1190*IBGE_2!I$1190/100</f>
        <v>1.17</v>
      </c>
      <c r="J1190" s="142">
        <f>B1190*IBGE_2!J$1190/100</f>
        <v>0.24</v>
      </c>
      <c r="K1190" s="142">
        <f>B1190*IBGE_2!K$1190/100</f>
        <v>59</v>
      </c>
      <c r="L1190" s="142" t="s">
        <v>3047</v>
      </c>
      <c r="M1190" s="142" t="s">
        <v>3047</v>
      </c>
      <c r="N1190" s="142">
        <f>B1190*IBGE_2!N$1190/100</f>
        <v>8</v>
      </c>
      <c r="O1190" s="142">
        <f>B1190*IBGE_2!O$1190/100</f>
        <v>22</v>
      </c>
      <c r="P1190" s="142">
        <f>B1190*IBGE_2!P$1190/100</f>
        <v>4.1000000000000009E-2</v>
      </c>
      <c r="Q1190" s="142">
        <f>B1190*IBGE_2!Q$1190/100</f>
        <v>281</v>
      </c>
      <c r="R1190" s="142">
        <f>B1190*IBGE_2!R$1190/100</f>
        <v>1.34</v>
      </c>
      <c r="S1190" s="142">
        <f>B1190*IBGE_2!S$1190/100</f>
        <v>1500</v>
      </c>
      <c r="T1190" s="142">
        <f>B1190*IBGE_2!T$1190/100</f>
        <v>409</v>
      </c>
      <c r="U1190" s="142">
        <f>B1190*IBGE_2!U$1190/100</f>
        <v>0.14499999999999999</v>
      </c>
      <c r="V1190" s="142">
        <f>B1190*IBGE_2!V$1190/100</f>
        <v>2.4700000000000002</v>
      </c>
      <c r="W1190" s="142" t="s">
        <v>3047</v>
      </c>
      <c r="X1190" s="142">
        <f>B1190*IBGE_2!X$1190/100</f>
        <v>0.73</v>
      </c>
      <c r="Y1190" s="142">
        <f>B1190*IBGE_2!Y$1190/100</f>
        <v>0.33</v>
      </c>
      <c r="Z1190" s="142">
        <f>B1190*IBGE_2!Z$1190/100</f>
        <v>0.31</v>
      </c>
      <c r="AA1190" s="142">
        <f>B1190*IBGE_2!AA$1190/100</f>
        <v>6.15</v>
      </c>
      <c r="AB1190" s="142" t="s">
        <v>3047</v>
      </c>
      <c r="AC1190" s="142">
        <f>B1190*IBGE_2!AC$1190/100</f>
        <v>10.117000000000001</v>
      </c>
      <c r="AD1190" s="142">
        <f>B1190*IBGE_2!AD$1190/100</f>
        <v>0.7</v>
      </c>
      <c r="AE1190" s="142">
        <f>B1190*IBGE_2!AE$1190/100</f>
        <v>3</v>
      </c>
      <c r="AF1190" s="142">
        <f>B1190*IBGE_2!AF$1190/100</f>
        <v>0.8</v>
      </c>
      <c r="AG1190" s="142">
        <f>B1190*IBGE_2!AG$1190/100</f>
        <v>0.31</v>
      </c>
      <c r="AH1190" s="142">
        <f>B1190*IBGE_2!AH$1190/100</f>
        <v>2.7000000000000003E-2</v>
      </c>
      <c r="AI1190" s="142" t="s">
        <v>3047</v>
      </c>
      <c r="AJ1190" s="142">
        <f>B1190*IBGE_2!AJ$1190/100</f>
        <v>19.8</v>
      </c>
      <c r="AK1190" s="142" t="s">
        <v>3047</v>
      </c>
      <c r="AL1190" s="142" t="s">
        <v>3047</v>
      </c>
      <c r="AM1190" s="142" t="s">
        <v>3047</v>
      </c>
      <c r="AN1190" s="161"/>
    </row>
    <row r="1191" spans="1:40">
      <c r="A1191" s="143" t="s">
        <v>2251</v>
      </c>
      <c r="B1191" s="141">
        <v>100</v>
      </c>
      <c r="C1191" s="142">
        <f>B1191*IBGE_2!C$1191/100</f>
        <v>178</v>
      </c>
      <c r="D1191" s="142">
        <f>B1191*IBGE_2!D$1191/100</f>
        <v>22.62</v>
      </c>
      <c r="E1191" s="142">
        <f>B1191*IBGE_2!E$1191/100</f>
        <v>9.02</v>
      </c>
      <c r="F1191" s="142">
        <f>B1191*IBGE_2!F$1191/100</f>
        <v>3.12</v>
      </c>
      <c r="G1191" s="142">
        <f>B1191*IBGE_2!G$1191/100</f>
        <v>4.4400000000000004</v>
      </c>
      <c r="H1191" s="142">
        <f>B1191*IBGE_2!H$1191/100</f>
        <v>1.41</v>
      </c>
      <c r="I1191" s="142">
        <f>B1191*IBGE_2!I$1191/100</f>
        <v>1.17</v>
      </c>
      <c r="J1191" s="142">
        <f>B1191*IBGE_2!J$1191/100</f>
        <v>0.24</v>
      </c>
      <c r="K1191" s="142">
        <f>B1191*IBGE_2!K$1191/100</f>
        <v>59</v>
      </c>
      <c r="L1191" s="142" t="s">
        <v>3047</v>
      </c>
      <c r="M1191" s="142" t="s">
        <v>3047</v>
      </c>
      <c r="N1191" s="142">
        <f>B1191*IBGE_2!N$1191/100</f>
        <v>8</v>
      </c>
      <c r="O1191" s="142">
        <f>B1191*IBGE_2!O$1191/100</f>
        <v>22</v>
      </c>
      <c r="P1191" s="142">
        <f>B1191*IBGE_2!P$1191/100</f>
        <v>4.1000000000000009E-2</v>
      </c>
      <c r="Q1191" s="142">
        <f>B1191*IBGE_2!Q$1191/100</f>
        <v>281</v>
      </c>
      <c r="R1191" s="142">
        <f>B1191*IBGE_2!R$1191/100</f>
        <v>1.34</v>
      </c>
      <c r="S1191" s="142">
        <f>B1191*IBGE_2!S$1191/100</f>
        <v>1500</v>
      </c>
      <c r="T1191" s="142">
        <f>B1191*IBGE_2!T$1191/100</f>
        <v>409</v>
      </c>
      <c r="U1191" s="142">
        <f>B1191*IBGE_2!U$1191/100</f>
        <v>0.14499999999999999</v>
      </c>
      <c r="V1191" s="142">
        <f>B1191*IBGE_2!V$1191/100</f>
        <v>2.4700000000000002</v>
      </c>
      <c r="W1191" s="142" t="s">
        <v>3047</v>
      </c>
      <c r="X1191" s="142">
        <f>B1191*IBGE_2!X$1191/100</f>
        <v>0.73</v>
      </c>
      <c r="Y1191" s="142">
        <f>B1191*IBGE_2!Y$1191/100</f>
        <v>0.33</v>
      </c>
      <c r="Z1191" s="142">
        <f>B1191*IBGE_2!Z$1191/100</f>
        <v>0.31</v>
      </c>
      <c r="AA1191" s="142">
        <f>B1191*IBGE_2!AA$1191/100</f>
        <v>6.15</v>
      </c>
      <c r="AB1191" s="142" t="s">
        <v>3047</v>
      </c>
      <c r="AC1191" s="142">
        <f>B1191*IBGE_2!AC$1191/100</f>
        <v>10.117000000000001</v>
      </c>
      <c r="AD1191" s="142">
        <f>B1191*IBGE_2!AD$1191/100</f>
        <v>0.7</v>
      </c>
      <c r="AE1191" s="142">
        <f>B1191*IBGE_2!AE$1191/100</f>
        <v>3</v>
      </c>
      <c r="AF1191" s="142">
        <f>B1191*IBGE_2!AF$1191/100</f>
        <v>0.8</v>
      </c>
      <c r="AG1191" s="142">
        <f>B1191*IBGE_2!AG$1191/100</f>
        <v>0.31</v>
      </c>
      <c r="AH1191" s="142">
        <f>B1191*IBGE_2!AH$1191/100</f>
        <v>2.7000000000000003E-2</v>
      </c>
      <c r="AI1191" s="142" t="s">
        <v>3047</v>
      </c>
      <c r="AJ1191" s="142">
        <f>B1191*IBGE_2!AJ$1191/100</f>
        <v>19.8</v>
      </c>
      <c r="AK1191" s="142" t="s">
        <v>3047</v>
      </c>
      <c r="AL1191" s="142" t="s">
        <v>3047</v>
      </c>
      <c r="AM1191" s="142" t="s">
        <v>3047</v>
      </c>
      <c r="AN1191" s="161"/>
    </row>
    <row r="1192" spans="1:40">
      <c r="A1192" s="143" t="s">
        <v>2252</v>
      </c>
      <c r="B1192" s="141">
        <v>100</v>
      </c>
      <c r="C1192" s="142">
        <f>B1192*IBGE_2!C$1192/100</f>
        <v>178</v>
      </c>
      <c r="D1192" s="142">
        <f>B1192*IBGE_2!D$1192/100</f>
        <v>22.62</v>
      </c>
      <c r="E1192" s="142">
        <f>B1192*IBGE_2!E$1192/100</f>
        <v>9.02</v>
      </c>
      <c r="F1192" s="142">
        <f>B1192*IBGE_2!F$1192/100</f>
        <v>3.12</v>
      </c>
      <c r="G1192" s="142">
        <f>B1192*IBGE_2!G$1192/100</f>
        <v>4.4400000000000004</v>
      </c>
      <c r="H1192" s="142">
        <f>B1192*IBGE_2!H$1192/100</f>
        <v>1.41</v>
      </c>
      <c r="I1192" s="142">
        <f>B1192*IBGE_2!I$1192/100</f>
        <v>1.17</v>
      </c>
      <c r="J1192" s="142">
        <f>B1192*IBGE_2!J$1192/100</f>
        <v>0.24</v>
      </c>
      <c r="K1192" s="142">
        <f>B1192*IBGE_2!K$1192/100</f>
        <v>59</v>
      </c>
      <c r="L1192" s="142" t="s">
        <v>3047</v>
      </c>
      <c r="M1192" s="142" t="s">
        <v>3047</v>
      </c>
      <c r="N1192" s="142">
        <f>B1192*IBGE_2!N$1192/100</f>
        <v>8</v>
      </c>
      <c r="O1192" s="142">
        <f>B1192*IBGE_2!O$1192/100</f>
        <v>22</v>
      </c>
      <c r="P1192" s="142">
        <f>B1192*IBGE_2!P$1192/100</f>
        <v>4.1000000000000009E-2</v>
      </c>
      <c r="Q1192" s="142">
        <f>B1192*IBGE_2!Q$1192/100</f>
        <v>281</v>
      </c>
      <c r="R1192" s="142">
        <f>B1192*IBGE_2!R$1192/100</f>
        <v>1.34</v>
      </c>
      <c r="S1192" s="142">
        <f>B1192*IBGE_2!S$1192/100</f>
        <v>1500</v>
      </c>
      <c r="T1192" s="142">
        <f>B1192*IBGE_2!T$1192/100</f>
        <v>409</v>
      </c>
      <c r="U1192" s="142">
        <f>B1192*IBGE_2!U$1192/100</f>
        <v>0.14499999999999999</v>
      </c>
      <c r="V1192" s="142">
        <f>B1192*IBGE_2!V$1192/100</f>
        <v>2.4700000000000002</v>
      </c>
      <c r="W1192" s="142" t="s">
        <v>3047</v>
      </c>
      <c r="X1192" s="142">
        <f>B1192*IBGE_2!X$1192/100</f>
        <v>0.73</v>
      </c>
      <c r="Y1192" s="142">
        <f>B1192*IBGE_2!Y$1192/100</f>
        <v>0.33</v>
      </c>
      <c r="Z1192" s="142">
        <f>B1192*IBGE_2!Z$1192/100</f>
        <v>0.31</v>
      </c>
      <c r="AA1192" s="142">
        <f>B1192*IBGE_2!AA$1192/100</f>
        <v>6.15</v>
      </c>
      <c r="AB1192" s="142" t="s">
        <v>3047</v>
      </c>
      <c r="AC1192" s="142">
        <f>B1192*IBGE_2!AC$1192/100</f>
        <v>10.117000000000001</v>
      </c>
      <c r="AD1192" s="142">
        <f>B1192*IBGE_2!AD$1192/100</f>
        <v>0.7</v>
      </c>
      <c r="AE1192" s="142">
        <f>B1192*IBGE_2!AE$1192/100</f>
        <v>3</v>
      </c>
      <c r="AF1192" s="142">
        <f>B1192*IBGE_2!AF$1192/100</f>
        <v>0.8</v>
      </c>
      <c r="AG1192" s="142">
        <f>B1192*IBGE_2!AG$1192/100</f>
        <v>0.31</v>
      </c>
      <c r="AH1192" s="142">
        <f>B1192*IBGE_2!AH$1192/100</f>
        <v>2.7000000000000003E-2</v>
      </c>
      <c r="AI1192" s="142" t="s">
        <v>3047</v>
      </c>
      <c r="AJ1192" s="142">
        <f>B1192*IBGE_2!AJ$1192/100</f>
        <v>19.8</v>
      </c>
      <c r="AK1192" s="142" t="s">
        <v>3047</v>
      </c>
      <c r="AL1192" s="142" t="s">
        <v>3047</v>
      </c>
      <c r="AM1192" s="142" t="s">
        <v>3047</v>
      </c>
      <c r="AN1192" s="161"/>
    </row>
    <row r="1193" spans="1:40">
      <c r="A1193" s="143" t="s">
        <v>2253</v>
      </c>
      <c r="B1193" s="141">
        <v>100</v>
      </c>
      <c r="C1193" s="142">
        <f>B1193*IBGE_2!C$1193/100</f>
        <v>269.08</v>
      </c>
      <c r="D1193" s="142">
        <f>B1193*IBGE_2!D$1193/100</f>
        <v>8.2989999999999995</v>
      </c>
      <c r="E1193" s="142">
        <f>B1193*IBGE_2!E$1193/100</f>
        <v>25.805999999999997</v>
      </c>
      <c r="F1193" s="142">
        <f>B1193*IBGE_2!F$1193/100</f>
        <v>8.2780000000000005</v>
      </c>
      <c r="G1193" s="142">
        <f>B1193*IBGE_2!G$1193/100</f>
        <v>11.135999999999999</v>
      </c>
      <c r="H1193" s="142">
        <f>B1193*IBGE_2!H$1193/100</f>
        <v>4.5270000000000001</v>
      </c>
      <c r="I1193" s="142">
        <f>B1193*IBGE_2!I$1193/100</f>
        <v>4.1470000000000002</v>
      </c>
      <c r="J1193" s="142">
        <f>B1193*IBGE_2!J$1193/100</f>
        <v>0.20399999999999999</v>
      </c>
      <c r="K1193" s="142">
        <f>B1193*IBGE_2!K$1193/100</f>
        <v>46.448</v>
      </c>
      <c r="L1193" s="142">
        <f>B1193*IBGE_2!L$1193/100</f>
        <v>0.26800000000000002</v>
      </c>
      <c r="M1193" s="142">
        <f>B1193*IBGE_2!M$1193/100</f>
        <v>6.0000000000000001E-3</v>
      </c>
      <c r="N1193" s="142">
        <f>B1193*IBGE_2!N$1193/100</f>
        <v>17.100000000000001</v>
      </c>
      <c r="O1193" s="142">
        <f>B1193*IBGE_2!O$1193/100</f>
        <v>8.3710000000000004</v>
      </c>
      <c r="P1193" s="142">
        <f>B1193*IBGE_2!P$1193/100</f>
        <v>1.3000000000000001E-2</v>
      </c>
      <c r="Q1193" s="142">
        <f>B1193*IBGE_2!Q$1193/100</f>
        <v>75.957999999999998</v>
      </c>
      <c r="R1193" s="142">
        <f>B1193*IBGE_2!R$1193/100</f>
        <v>0.57499999999999996</v>
      </c>
      <c r="S1193" s="142">
        <f>B1193*IBGE_2!S$1193/100</f>
        <v>752.80799999999999</v>
      </c>
      <c r="T1193" s="142">
        <f>B1193*IBGE_2!T$1193/100</f>
        <v>100.583</v>
      </c>
      <c r="U1193" s="142">
        <f>B1193*IBGE_2!U$1193/100</f>
        <v>3.9E-2</v>
      </c>
      <c r="V1193" s="142">
        <f>B1193*IBGE_2!V$1193/100</f>
        <v>1.0349999999999999</v>
      </c>
      <c r="W1193" s="142">
        <f>B1193*IBGE_2!W$1193/100</f>
        <v>18.437000000000001</v>
      </c>
      <c r="X1193" s="142">
        <f>B1193*IBGE_2!X$1193/100</f>
        <v>8.1000000000000003E-2</v>
      </c>
      <c r="Y1193" s="142">
        <f>B1193*IBGE_2!Y$1193/100</f>
        <v>8.900000000000001E-2</v>
      </c>
      <c r="Z1193" s="142">
        <f>B1193*IBGE_2!Z$1193/100</f>
        <v>0.10299999999999999</v>
      </c>
      <c r="AA1193" s="142">
        <f>B1193*IBGE_2!AA$1193/100</f>
        <v>2</v>
      </c>
      <c r="AB1193" s="142">
        <f>B1193*IBGE_2!AB$1193/100</f>
        <v>1E-3</v>
      </c>
      <c r="AC1193" s="142">
        <f>B1193*IBGE_2!AC$1193/100</f>
        <v>3.6190000000000002</v>
      </c>
      <c r="AD1193" s="142">
        <f>B1193*IBGE_2!AD$1193/100</f>
        <v>0.27100000000000002</v>
      </c>
      <c r="AE1193" s="142">
        <f>B1193*IBGE_2!AE$1193/100</f>
        <v>1.7929999999999999</v>
      </c>
      <c r="AF1193" s="142">
        <f>B1193*IBGE_2!AF$1193/100</f>
        <v>0.26800000000000002</v>
      </c>
      <c r="AG1193" s="142">
        <f>B1193*IBGE_2!AG$1193/100</f>
        <v>0.41299999999999998</v>
      </c>
      <c r="AH1193" s="142">
        <f>B1193*IBGE_2!AH$1193/100</f>
        <v>0.28499999999999998</v>
      </c>
      <c r="AI1193" s="142" t="s">
        <v>3047</v>
      </c>
      <c r="AJ1193" s="142">
        <f>B1193*IBGE_2!AJ$1193/100</f>
        <v>9.1219999999999999</v>
      </c>
      <c r="AK1193" s="142">
        <f>B1193*IBGE_2!AK$1193/100</f>
        <v>18.437000000000001</v>
      </c>
      <c r="AL1193" s="142">
        <f>B1193*IBGE_2!AL$1193/100</f>
        <v>0.20699999999999999</v>
      </c>
      <c r="AM1193" s="142">
        <f>B1193*IBGE_2!AM$1193/100</f>
        <v>0.16900000000000001</v>
      </c>
      <c r="AN1193" s="161"/>
    </row>
    <row r="1194" spans="1:40">
      <c r="A1194" s="143" t="s">
        <v>2254</v>
      </c>
      <c r="B1194" s="141">
        <v>100</v>
      </c>
      <c r="C1194" s="142">
        <f>B1194*IBGE_2!C$1194/100</f>
        <v>208</v>
      </c>
      <c r="D1194" s="142">
        <f>B1194*IBGE_2!D$1194/100</f>
        <v>24.62</v>
      </c>
      <c r="E1194" s="142">
        <f>B1194*IBGE_2!E$1194/100</f>
        <v>11.45</v>
      </c>
      <c r="F1194" s="142">
        <f>B1194*IBGE_2!F$1194/100</f>
        <v>1.53</v>
      </c>
      <c r="G1194" s="142">
        <f>B1194*IBGE_2!G$1194/100</f>
        <v>3.87</v>
      </c>
      <c r="H1194" s="142">
        <f>B1194*IBGE_2!H$1194/100</f>
        <v>5.15</v>
      </c>
      <c r="I1194" s="142">
        <f>B1194*IBGE_2!I$1194/100</f>
        <v>3.54</v>
      </c>
      <c r="J1194" s="142">
        <f>B1194*IBGE_2!J$1194/100</f>
        <v>0.5</v>
      </c>
      <c r="K1194" s="142">
        <f>B1194*IBGE_2!K$1194/100</f>
        <v>142</v>
      </c>
      <c r="L1194" s="142" t="s">
        <v>3047</v>
      </c>
      <c r="M1194" s="142" t="s">
        <v>3047</v>
      </c>
      <c r="N1194" s="142">
        <f>B1194*IBGE_2!N$1194/100</f>
        <v>382</v>
      </c>
      <c r="O1194" s="142">
        <f>B1194*IBGE_2!O$1194/100</f>
        <v>39</v>
      </c>
      <c r="P1194" s="142">
        <f>B1194*IBGE_2!P$1194/100</f>
        <v>0.11</v>
      </c>
      <c r="Q1194" s="142">
        <f>B1194*IBGE_2!Q$1194/100</f>
        <v>490</v>
      </c>
      <c r="R1194" s="142">
        <f>B1194*IBGE_2!R$1194/100</f>
        <v>2.92</v>
      </c>
      <c r="S1194" s="142">
        <f>B1194*IBGE_2!S$1194/100</f>
        <v>505</v>
      </c>
      <c r="T1194" s="142">
        <f>B1194*IBGE_2!T$1194/100</f>
        <v>397</v>
      </c>
      <c r="U1194" s="142">
        <f>B1194*IBGE_2!U$1194/100</f>
        <v>0.19</v>
      </c>
      <c r="V1194" s="142">
        <f>B1194*IBGE_2!V$1194/100</f>
        <v>1.31</v>
      </c>
      <c r="W1194" s="142">
        <f>B1194*IBGE_2!W$1194/100</f>
        <v>32</v>
      </c>
      <c r="X1194" s="142">
        <f>B1194*IBGE_2!X$1194/100</f>
        <v>0.08</v>
      </c>
      <c r="Y1194" s="142">
        <f>B1194*IBGE_2!Y$1194/100</f>
        <v>0.23</v>
      </c>
      <c r="Z1194" s="142">
        <f>B1194*IBGE_2!Z$1194/100</f>
        <v>0.17</v>
      </c>
      <c r="AA1194" s="142">
        <f>B1194*IBGE_2!AA$1194/100</f>
        <v>5.25</v>
      </c>
      <c r="AB1194" s="142" t="s">
        <v>3047</v>
      </c>
      <c r="AC1194" s="142">
        <f>B1194*IBGE_2!AC$1194/100</f>
        <v>9.85</v>
      </c>
      <c r="AD1194" s="142">
        <f>B1194*IBGE_2!AD$1194/100</f>
        <v>8.94</v>
      </c>
      <c r="AE1194" s="142">
        <f>B1194*IBGE_2!AE$1194/100</f>
        <v>12</v>
      </c>
      <c r="AF1194" s="142">
        <f>B1194*IBGE_2!AF$1194/100</f>
        <v>6.8</v>
      </c>
      <c r="AG1194" s="142">
        <f>B1194*IBGE_2!AG$1194/100</f>
        <v>2.04</v>
      </c>
      <c r="AH1194" s="145" t="s">
        <v>3048</v>
      </c>
      <c r="AI1194" s="142" t="s">
        <v>3047</v>
      </c>
      <c r="AJ1194" s="142">
        <f>B1194*IBGE_2!AJ$1194/100</f>
        <v>52.7</v>
      </c>
      <c r="AK1194" s="142">
        <f>B1194*IBGE_2!AK$1194/100</f>
        <v>32</v>
      </c>
      <c r="AL1194" s="145" t="s">
        <v>3047</v>
      </c>
      <c r="AM1194" s="142" t="s">
        <v>3047</v>
      </c>
      <c r="AN1194" s="161"/>
    </row>
    <row r="1195" spans="1:40">
      <c r="A1195" s="143" t="s">
        <v>2255</v>
      </c>
      <c r="B1195" s="141">
        <v>100</v>
      </c>
      <c r="C1195" s="142">
        <f>B1195*IBGE_2!C$1195/100</f>
        <v>198</v>
      </c>
      <c r="D1195" s="142">
        <f>B1195*IBGE_2!D$1195/100</f>
        <v>29.13</v>
      </c>
      <c r="E1195" s="142">
        <f>B1195*IBGE_2!E$1195/100</f>
        <v>8.2100000000000009</v>
      </c>
      <c r="F1195" s="142">
        <f>B1195*IBGE_2!F$1195/100</f>
        <v>1.53</v>
      </c>
      <c r="G1195" s="142">
        <f>B1195*IBGE_2!G$1195/100</f>
        <v>2.95</v>
      </c>
      <c r="H1195" s="142">
        <f>B1195*IBGE_2!H$1195/100</f>
        <v>2.89</v>
      </c>
      <c r="I1195" s="142">
        <f>B1195*IBGE_2!I$1195/100</f>
        <v>2.68</v>
      </c>
      <c r="J1195" s="142">
        <f>B1195*IBGE_2!J$1195/100</f>
        <v>7.0000000000000007E-2</v>
      </c>
      <c r="K1195" s="142">
        <f>B1195*IBGE_2!K$1195/100</f>
        <v>18</v>
      </c>
      <c r="L1195" s="142" t="s">
        <v>3047</v>
      </c>
      <c r="M1195" s="142" t="s">
        <v>3047</v>
      </c>
      <c r="N1195" s="142">
        <f>B1195*IBGE_2!N$1195/100</f>
        <v>13</v>
      </c>
      <c r="O1195" s="142">
        <f>B1195*IBGE_2!O$1195/100</f>
        <v>31</v>
      </c>
      <c r="P1195" s="142">
        <f>B1195*IBGE_2!P$1195/100</f>
        <v>0.02</v>
      </c>
      <c r="Q1195" s="142">
        <f>B1195*IBGE_2!Q$1195/100</f>
        <v>311</v>
      </c>
      <c r="R1195" s="142">
        <f>B1195*IBGE_2!R$1195/100</f>
        <v>1.39</v>
      </c>
      <c r="S1195" s="142">
        <f>B1195*IBGE_2!S$1195/100</f>
        <v>354</v>
      </c>
      <c r="T1195" s="142">
        <f>B1195*IBGE_2!T$1195/100</f>
        <v>207</v>
      </c>
      <c r="U1195" s="142">
        <f>B1195*IBGE_2!U$1195/100</f>
        <v>7.0000000000000007E-2</v>
      </c>
      <c r="V1195" s="142">
        <f>B1195*IBGE_2!V$1195/100</f>
        <v>0.9</v>
      </c>
      <c r="W1195" s="142">
        <f>B1195*IBGE_2!W$1195/100</f>
        <v>23</v>
      </c>
      <c r="X1195" s="142">
        <f>B1195*IBGE_2!X$1195/100</f>
        <v>0.04</v>
      </c>
      <c r="Y1195" s="142">
        <f>B1195*IBGE_2!Y$1195/100</f>
        <v>0.12</v>
      </c>
      <c r="Z1195" s="142">
        <f>B1195*IBGE_2!Z$1195/100</f>
        <v>0.11</v>
      </c>
      <c r="AA1195" s="142">
        <f>B1195*IBGE_2!AA$1195/100</f>
        <v>12.4</v>
      </c>
      <c r="AB1195" s="142" t="s">
        <v>3047</v>
      </c>
      <c r="AC1195" s="142">
        <f>B1195*IBGE_2!AC$1195/100</f>
        <v>17.829999999999998</v>
      </c>
      <c r="AD1195" s="142">
        <f>B1195*IBGE_2!AD$1195/100</f>
        <v>2.2000000000000002</v>
      </c>
      <c r="AE1195" s="142">
        <f>B1195*IBGE_2!AE$1195/100</f>
        <v>5</v>
      </c>
      <c r="AF1195" s="142">
        <f>B1195*IBGE_2!AF$1195/100</f>
        <v>5.9</v>
      </c>
      <c r="AG1195" s="142">
        <f>B1195*IBGE_2!AG$1195/100</f>
        <v>0.87</v>
      </c>
      <c r="AH1195" s="145" t="s">
        <v>3047</v>
      </c>
      <c r="AI1195" s="142" t="s">
        <v>3047</v>
      </c>
      <c r="AJ1195" s="142">
        <f>B1195*IBGE_2!AJ$1195/100</f>
        <v>76</v>
      </c>
      <c r="AK1195" s="142">
        <f>B1195*IBGE_2!AK$1195/100</f>
        <v>23</v>
      </c>
      <c r="AL1195" s="145" t="s">
        <v>3047</v>
      </c>
      <c r="AM1195" s="142" t="s">
        <v>3047</v>
      </c>
      <c r="AN1195" s="161"/>
    </row>
    <row r="1196" spans="1:40">
      <c r="A1196" s="143" t="s">
        <v>2256</v>
      </c>
      <c r="B1196" s="141">
        <v>100</v>
      </c>
      <c r="C1196" s="142">
        <f>B1196*IBGE_2!C$1196/100</f>
        <v>12</v>
      </c>
      <c r="D1196" s="142">
        <f>B1196*IBGE_2!D$1196/100</f>
        <v>0.6</v>
      </c>
      <c r="E1196" s="142">
        <f>B1196*IBGE_2!E$1196/100</f>
        <v>0.14000000000000001</v>
      </c>
      <c r="F1196" s="142">
        <f>B1196*IBGE_2!F$1196/100</f>
        <v>3.5999999999999997E-2</v>
      </c>
      <c r="G1196" s="142">
        <f>B1196*IBGE_2!G$1196/100</f>
        <v>2E-3</v>
      </c>
      <c r="H1196" s="142">
        <f>B1196*IBGE_2!H$1196/100</f>
        <v>5.6000000000000008E-2</v>
      </c>
      <c r="I1196" s="142">
        <f>B1196*IBGE_2!I$1196/100</f>
        <v>2.4E-2</v>
      </c>
      <c r="J1196" s="142">
        <f>B1196*IBGE_2!J$1196/100</f>
        <v>3.2000000000000001E-2</v>
      </c>
      <c r="K1196" s="142" t="s">
        <v>3047</v>
      </c>
      <c r="L1196" s="142">
        <f>B1196*IBGE_2!L$1196/100</f>
        <v>2.59</v>
      </c>
      <c r="M1196" s="142">
        <f>B1196*IBGE_2!M$1196/100</f>
        <v>1.1000000000000001</v>
      </c>
      <c r="N1196" s="142">
        <f>B1196*IBGE_2!N$1196/100</f>
        <v>42</v>
      </c>
      <c r="O1196" s="142">
        <f>B1196*IBGE_2!O$1196/100</f>
        <v>7</v>
      </c>
      <c r="P1196" s="142">
        <f>B1196*IBGE_2!P$1196/100</f>
        <v>4.7E-2</v>
      </c>
      <c r="Q1196" s="142">
        <f>B1196*IBGE_2!Q$1196/100</f>
        <v>12</v>
      </c>
      <c r="R1196" s="142">
        <f>B1196*IBGE_2!R$1196/100</f>
        <v>0.37</v>
      </c>
      <c r="S1196" s="142">
        <f>B1196*IBGE_2!S$1196/100</f>
        <v>875</v>
      </c>
      <c r="T1196" s="142">
        <f>B1196*IBGE_2!T$1196/100</f>
        <v>92</v>
      </c>
      <c r="U1196" s="142">
        <f>B1196*IBGE_2!U$1196/100</f>
        <v>3.3000000000000002E-2</v>
      </c>
      <c r="V1196" s="142">
        <f>B1196*IBGE_2!V$1196/100</f>
        <v>0.11</v>
      </c>
      <c r="W1196" s="142" t="s">
        <v>3047</v>
      </c>
      <c r="X1196" s="142">
        <f>B1196*IBGE_2!X$1196/100</f>
        <v>2.7000000000000003E-2</v>
      </c>
      <c r="Y1196" s="142">
        <f>B1196*IBGE_2!Y$1196/100</f>
        <v>2.9000000000000005E-2</v>
      </c>
      <c r="Z1196" s="142">
        <f>B1196*IBGE_2!Z$1196/100</f>
        <v>2.3E-2</v>
      </c>
      <c r="AA1196" s="142">
        <f>B1196*IBGE_2!AA$1196/100</f>
        <v>9.9000000000000005E-2</v>
      </c>
      <c r="AB1196" s="142">
        <f>B1196*IBGE_2!AB$1196/100</f>
        <v>0.8</v>
      </c>
      <c r="AC1196" s="142">
        <f>B1196*IBGE_2!AC$1196/100</f>
        <v>0.182</v>
      </c>
      <c r="AD1196" s="145" t="s">
        <v>3047</v>
      </c>
      <c r="AE1196" s="142">
        <f>B1196*IBGE_2!AE$1196/100</f>
        <v>1</v>
      </c>
      <c r="AF1196" s="145" t="s">
        <v>3047</v>
      </c>
      <c r="AG1196" s="142">
        <f>B1196*IBGE_2!AG$1196/100</f>
        <v>0.09</v>
      </c>
      <c r="AH1196" s="145" t="s">
        <v>3047</v>
      </c>
      <c r="AI1196" s="142" t="s">
        <v>3047</v>
      </c>
      <c r="AJ1196" s="142">
        <f>B1196*IBGE_2!AJ$1196/100</f>
        <v>0.1</v>
      </c>
      <c r="AK1196" s="142">
        <f>B1196*IBGE_2!AK$1196/100</f>
        <v>9.1669999999999998</v>
      </c>
      <c r="AL1196" s="142">
        <f>B1196*IBGE_2!AL$1196/100</f>
        <v>1.31</v>
      </c>
      <c r="AM1196" s="142" t="s">
        <v>3047</v>
      </c>
      <c r="AN1196" s="161"/>
    </row>
    <row r="1197" spans="1:40">
      <c r="A1197" s="143" t="s">
        <v>2257</v>
      </c>
      <c r="B1197" s="141">
        <v>100</v>
      </c>
      <c r="C1197" s="142">
        <f>B1197*IBGE_2!C$1197/100</f>
        <v>198</v>
      </c>
      <c r="D1197" s="142">
        <f>B1197*IBGE_2!D$1197/100</f>
        <v>29.13</v>
      </c>
      <c r="E1197" s="142">
        <f>B1197*IBGE_2!E$1197/100</f>
        <v>8.2100000000000009</v>
      </c>
      <c r="F1197" s="142">
        <f>B1197*IBGE_2!F$1197/100</f>
        <v>1.534</v>
      </c>
      <c r="G1197" s="142">
        <f>B1197*IBGE_2!G$1197/100</f>
        <v>2.9489999999999998</v>
      </c>
      <c r="H1197" s="142">
        <f>B1197*IBGE_2!H$1197/100</f>
        <v>2.8849999999999998</v>
      </c>
      <c r="I1197" s="142">
        <f>B1197*IBGE_2!I$1197/100</f>
        <v>2.6829999999999994</v>
      </c>
      <c r="J1197" s="142">
        <f>B1197*IBGE_2!J$1197/100</f>
        <v>7.3999999999999996E-2</v>
      </c>
      <c r="K1197" s="142">
        <f>B1197*IBGE_2!K$1197/100</f>
        <v>18</v>
      </c>
      <c r="L1197" s="142" t="s">
        <v>3047</v>
      </c>
      <c r="M1197" s="142" t="s">
        <v>3047</v>
      </c>
      <c r="N1197" s="142">
        <f>B1197*IBGE_2!N$1197/100</f>
        <v>13</v>
      </c>
      <c r="O1197" s="142">
        <f>B1197*IBGE_2!O$1197/100</f>
        <v>31</v>
      </c>
      <c r="P1197" s="142">
        <f>B1197*IBGE_2!P$1197/100</f>
        <v>1.4999999999999999E-2</v>
      </c>
      <c r="Q1197" s="142">
        <f>B1197*IBGE_2!Q$1197/100</f>
        <v>311</v>
      </c>
      <c r="R1197" s="142">
        <f>B1197*IBGE_2!R$1197/100</f>
        <v>1.39</v>
      </c>
      <c r="S1197" s="142">
        <f>B1197*IBGE_2!S$1197/100</f>
        <v>354</v>
      </c>
      <c r="T1197" s="142">
        <f>B1197*IBGE_2!T$1197/100</f>
        <v>207</v>
      </c>
      <c r="U1197" s="142">
        <f>B1197*IBGE_2!U$1197/100</f>
        <v>7.0999999999999994E-2</v>
      </c>
      <c r="V1197" s="142">
        <f>B1197*IBGE_2!V$1197/100</f>
        <v>0.9</v>
      </c>
      <c r="W1197" s="142">
        <f>B1197*IBGE_2!W$1197/100</f>
        <v>23</v>
      </c>
      <c r="X1197" s="142">
        <f>B1197*IBGE_2!X$1197/100</f>
        <v>3.7999999999999999E-2</v>
      </c>
      <c r="Y1197" s="142">
        <f>B1197*IBGE_2!Y$1197/100</f>
        <v>0.12</v>
      </c>
      <c r="Z1197" s="142">
        <f>B1197*IBGE_2!Z$1197/100</f>
        <v>0.11</v>
      </c>
      <c r="AA1197" s="142">
        <f>B1197*IBGE_2!AA$1197/100</f>
        <v>12.4</v>
      </c>
      <c r="AB1197" s="142" t="s">
        <v>3047</v>
      </c>
      <c r="AC1197" s="142">
        <f>B1197*IBGE_2!AC$1197/100</f>
        <v>17.832999999999998</v>
      </c>
      <c r="AD1197" s="142">
        <f>B1197*IBGE_2!AD$1197/100</f>
        <v>2.2000000000000002</v>
      </c>
      <c r="AE1197" s="142">
        <f>B1197*IBGE_2!AE$1197/100</f>
        <v>5</v>
      </c>
      <c r="AF1197" s="142">
        <f>B1197*IBGE_2!AF$1197/100</f>
        <v>5.9</v>
      </c>
      <c r="AG1197" s="142">
        <f>B1197*IBGE_2!AG$1197/100</f>
        <v>0.87</v>
      </c>
      <c r="AH1197" s="145" t="s">
        <v>3047</v>
      </c>
      <c r="AI1197" s="142" t="s">
        <v>3047</v>
      </c>
      <c r="AJ1197" s="142">
        <f>B1197*IBGE_2!AJ$1197/100</f>
        <v>76</v>
      </c>
      <c r="AK1197" s="142">
        <f>B1197*IBGE_2!AK$1197/100</f>
        <v>23</v>
      </c>
      <c r="AL1197" s="145" t="s">
        <v>3047</v>
      </c>
      <c r="AM1197" s="142" t="s">
        <v>3047</v>
      </c>
      <c r="AN1197" s="161"/>
    </row>
    <row r="1198" spans="1:40">
      <c r="A1198" s="143" t="s">
        <v>2258</v>
      </c>
      <c r="B1198" s="141">
        <v>100</v>
      </c>
      <c r="C1198" s="142">
        <f>B1198*IBGE_2!C$1198/100</f>
        <v>12</v>
      </c>
      <c r="D1198" s="142">
        <f>B1198*IBGE_2!D$1198/100</f>
        <v>0.6</v>
      </c>
      <c r="E1198" s="142">
        <f>B1198*IBGE_2!E$1198/100</f>
        <v>0.14000000000000001</v>
      </c>
      <c r="F1198" s="142">
        <f>B1198*IBGE_2!F$1198/100</f>
        <v>3.5999999999999997E-2</v>
      </c>
      <c r="G1198" s="142">
        <f>B1198*IBGE_2!G$1198/100</f>
        <v>2E-3</v>
      </c>
      <c r="H1198" s="142">
        <f>B1198*IBGE_2!H$1198/100</f>
        <v>5.6000000000000008E-2</v>
      </c>
      <c r="I1198" s="142">
        <f>B1198*IBGE_2!I$1198/100</f>
        <v>2.4E-2</v>
      </c>
      <c r="J1198" s="142">
        <f>B1198*IBGE_2!J$1198/100</f>
        <v>3.2000000000000001E-2</v>
      </c>
      <c r="K1198" s="142" t="s">
        <v>3047</v>
      </c>
      <c r="L1198" s="142">
        <f>B1198*IBGE_2!L$1198/100</f>
        <v>2.59</v>
      </c>
      <c r="M1198" s="142">
        <f>B1198*IBGE_2!M$1198/100</f>
        <v>1.1000000000000001</v>
      </c>
      <c r="N1198" s="142">
        <f>B1198*IBGE_2!N$1198/100</f>
        <v>42</v>
      </c>
      <c r="O1198" s="142">
        <f>B1198*IBGE_2!O$1198/100</f>
        <v>7</v>
      </c>
      <c r="P1198" s="142">
        <f>B1198*IBGE_2!P$1198/100</f>
        <v>4.7E-2</v>
      </c>
      <c r="Q1198" s="142">
        <f>B1198*IBGE_2!Q$1198/100</f>
        <v>12</v>
      </c>
      <c r="R1198" s="142">
        <f>B1198*IBGE_2!R$1198/100</f>
        <v>0.37</v>
      </c>
      <c r="S1198" s="142">
        <f>B1198*IBGE_2!S$1198/100</f>
        <v>875</v>
      </c>
      <c r="T1198" s="142">
        <f>B1198*IBGE_2!T$1198/100</f>
        <v>92</v>
      </c>
      <c r="U1198" s="142">
        <f>B1198*IBGE_2!U$1198/100</f>
        <v>3.3000000000000002E-2</v>
      </c>
      <c r="V1198" s="142">
        <f>B1198*IBGE_2!V$1198/100</f>
        <v>0.11</v>
      </c>
      <c r="W1198" s="142" t="s">
        <v>3047</v>
      </c>
      <c r="X1198" s="142">
        <f>B1198*IBGE_2!X$1198/100</f>
        <v>2.7000000000000003E-2</v>
      </c>
      <c r="Y1198" s="142">
        <f>B1198*IBGE_2!Y$1198/100</f>
        <v>2.9000000000000005E-2</v>
      </c>
      <c r="Z1198" s="142">
        <f>B1198*IBGE_2!Z$1198/100</f>
        <v>2.3E-2</v>
      </c>
      <c r="AA1198" s="142">
        <f>B1198*IBGE_2!AA$1198/100</f>
        <v>9.9000000000000005E-2</v>
      </c>
      <c r="AB1198" s="142">
        <f>B1198*IBGE_2!AB$1198/100</f>
        <v>0.8</v>
      </c>
      <c r="AC1198" s="142">
        <f>B1198*IBGE_2!AC$1198/100</f>
        <v>0.182</v>
      </c>
      <c r="AD1198" s="145" t="s">
        <v>3047</v>
      </c>
      <c r="AE1198" s="142">
        <f>B1198*IBGE_2!AE$1198/100</f>
        <v>1</v>
      </c>
      <c r="AF1198" s="145" t="s">
        <v>3047</v>
      </c>
      <c r="AG1198" s="142">
        <f>B1198*IBGE_2!AG$1198/100</f>
        <v>0.09</v>
      </c>
      <c r="AH1198" s="145" t="s">
        <v>3047</v>
      </c>
      <c r="AI1198" s="142" t="s">
        <v>3047</v>
      </c>
      <c r="AJ1198" s="142">
        <f>B1198*IBGE_2!AJ$1198/100</f>
        <v>0.1</v>
      </c>
      <c r="AK1198" s="142">
        <f>B1198*IBGE_2!AK$1198/100</f>
        <v>9.1669999999999998</v>
      </c>
      <c r="AL1198" s="142">
        <f>B1198*IBGE_2!AL$1198/100</f>
        <v>1.31</v>
      </c>
      <c r="AM1198" s="142" t="s">
        <v>3047</v>
      </c>
      <c r="AN1198" s="161"/>
    </row>
    <row r="1199" spans="1:40">
      <c r="A1199" s="143" t="s">
        <v>2259</v>
      </c>
      <c r="B1199" s="141">
        <v>100</v>
      </c>
      <c r="C1199" s="142">
        <f>B1199*IBGE_2!C$1199/100</f>
        <v>43.258999999999993</v>
      </c>
      <c r="D1199" s="142">
        <f>B1199*IBGE_2!D$1199/100</f>
        <v>0.873</v>
      </c>
      <c r="E1199" s="142">
        <f>B1199*IBGE_2!E$1199/100</f>
        <v>0.188</v>
      </c>
      <c r="F1199" s="142">
        <f>B1199*IBGE_2!F$1199/100</f>
        <v>1.9E-2</v>
      </c>
      <c r="G1199" s="142">
        <f>B1199*IBGE_2!G$1199/100</f>
        <v>6.8000000000000005E-2</v>
      </c>
      <c r="H1199" s="142">
        <f>B1199*IBGE_2!H$1199/100</f>
        <v>5.800000000000001E-2</v>
      </c>
      <c r="I1199" s="142">
        <f>B1199*IBGE_2!I$1199/100</f>
        <v>2.1000000000000001E-2</v>
      </c>
      <c r="J1199" s="142">
        <f>B1199*IBGE_2!J$1199/100</f>
        <v>3.6999999999999998E-2</v>
      </c>
      <c r="K1199" s="142" t="s">
        <v>3047</v>
      </c>
      <c r="L1199" s="142">
        <f>B1199*IBGE_2!L$1199/100</f>
        <v>9.9390000000000001</v>
      </c>
      <c r="M1199" s="142">
        <f>B1199*IBGE_2!M$1199/100</f>
        <v>1.5859999999999999</v>
      </c>
      <c r="N1199" s="142">
        <f>B1199*IBGE_2!N$1199/100</f>
        <v>24.579000000000001</v>
      </c>
      <c r="O1199" s="142">
        <f>B1199*IBGE_2!O$1199/100</f>
        <v>10.176</v>
      </c>
      <c r="P1199" s="142">
        <f>B1199*IBGE_2!P$1199/100</f>
        <v>0.127</v>
      </c>
      <c r="Q1199" s="142">
        <f>B1199*IBGE_2!Q$1199/100</f>
        <v>25.372</v>
      </c>
      <c r="R1199" s="142">
        <f>B1199*IBGE_2!R$1199/100</f>
        <v>0.28000000000000003</v>
      </c>
      <c r="S1199" s="142">
        <f>B1199*IBGE_2!S$1199/100</f>
        <v>195.29599999999999</v>
      </c>
      <c r="T1199" s="142">
        <f>B1199*IBGE_2!T$1199/100</f>
        <v>163.65100000000001</v>
      </c>
      <c r="U1199" s="142">
        <f>B1199*IBGE_2!U$1199/100</f>
        <v>6.4000000000000001E-2</v>
      </c>
      <c r="V1199" s="142">
        <f>B1199*IBGE_2!V$1199/100</f>
        <v>0.23300000000000001</v>
      </c>
      <c r="W1199" s="142" t="s">
        <v>3047</v>
      </c>
      <c r="X1199" s="142">
        <f>B1199*IBGE_2!X$1199/100</f>
        <v>3.6999999999999998E-2</v>
      </c>
      <c r="Y1199" s="142">
        <f>B1199*IBGE_2!Y$1199/100</f>
        <v>3.1E-2</v>
      </c>
      <c r="Z1199" s="142">
        <f>B1199*IBGE_2!Z$1199/100</f>
        <v>9.5000000000000001E-2</v>
      </c>
      <c r="AA1199" s="142">
        <f>B1199*IBGE_2!AA$1199/100</f>
        <v>0.36</v>
      </c>
      <c r="AB1199" s="142">
        <f>B1199*IBGE_2!AB$1199/100</f>
        <v>22.975999999999999</v>
      </c>
      <c r="AC1199" s="142">
        <f>B1199*IBGE_2!AC$1199/100</f>
        <v>0.52600000000000002</v>
      </c>
      <c r="AD1199" s="145" t="s">
        <v>3047</v>
      </c>
      <c r="AE1199" s="142">
        <f>B1199*IBGE_2!AE$1199/100</f>
        <v>15.547000000000001</v>
      </c>
      <c r="AF1199" s="145" t="s">
        <v>3047</v>
      </c>
      <c r="AG1199" s="142">
        <f>B1199*IBGE_2!AG$1199/100</f>
        <v>0.128</v>
      </c>
      <c r="AH1199" s="145" t="s">
        <v>3047</v>
      </c>
      <c r="AI1199" s="142" t="s">
        <v>3047</v>
      </c>
      <c r="AJ1199" s="142">
        <f>B1199*IBGE_2!AJ$1199/100</f>
        <v>0.84499999999999997</v>
      </c>
      <c r="AK1199" s="142">
        <f>B1199*IBGE_2!AK$1199/100</f>
        <v>9.89</v>
      </c>
      <c r="AL1199" s="142">
        <f>B1199*IBGE_2!AL$1199/100</f>
        <v>8.5640000000000001</v>
      </c>
      <c r="AM1199" s="142">
        <f>B1199*IBGE_2!AM$1199/100</f>
        <v>3.97</v>
      </c>
      <c r="AN1199" s="161"/>
    </row>
    <row r="1200" spans="1:40">
      <c r="A1200" s="143" t="s">
        <v>2260</v>
      </c>
      <c r="B1200" s="141">
        <v>100</v>
      </c>
      <c r="C1200" s="142">
        <f>B1200*IBGE_2!C$1200/100</f>
        <v>147.67500000000001</v>
      </c>
      <c r="D1200" s="142">
        <f>B1200*IBGE_2!D$1200/100</f>
        <v>12.827999999999999</v>
      </c>
      <c r="E1200" s="142">
        <f>B1200*IBGE_2!E$1200/100</f>
        <v>9.1069999999999993</v>
      </c>
      <c r="F1200" s="142">
        <f>B1200*IBGE_2!F$1200/100</f>
        <v>3.8069999999999999</v>
      </c>
      <c r="G1200" s="142">
        <f>B1200*IBGE_2!G$1200/100</f>
        <v>2.9760000000000004</v>
      </c>
      <c r="H1200" s="142">
        <f>B1200*IBGE_2!H$1200/100</f>
        <v>1.53</v>
      </c>
      <c r="I1200" s="142">
        <f>B1200*IBGE_2!I$1200/100</f>
        <v>1.2929999999999999</v>
      </c>
      <c r="J1200" s="142">
        <f>B1200*IBGE_2!J$1200/100</f>
        <v>0.22800000000000001</v>
      </c>
      <c r="K1200" s="142">
        <f>B1200*IBGE_2!K$1200/100</f>
        <v>33.44</v>
      </c>
      <c r="L1200" s="142">
        <f>B1200*IBGE_2!L$1200/100</f>
        <v>4.125</v>
      </c>
      <c r="M1200" s="142">
        <f>B1200*IBGE_2!M$1200/100</f>
        <v>0.439</v>
      </c>
      <c r="N1200" s="142">
        <f>B1200*IBGE_2!N$1200/100</f>
        <v>25.125999999999998</v>
      </c>
      <c r="O1200" s="142">
        <f>B1200*IBGE_2!O$1200/100</f>
        <v>12.808</v>
      </c>
      <c r="P1200" s="142">
        <f>B1200*IBGE_2!P$1200/100</f>
        <v>5.2000000000000005E-2</v>
      </c>
      <c r="Q1200" s="142">
        <f>B1200*IBGE_2!Q$1200/100</f>
        <v>106.16</v>
      </c>
      <c r="R1200" s="142">
        <f>B1200*IBGE_2!R$1200/100</f>
        <v>1.33</v>
      </c>
      <c r="S1200" s="142">
        <f>B1200*IBGE_2!S$1200/100</f>
        <v>354.233</v>
      </c>
      <c r="T1200" s="142">
        <f>B1200*IBGE_2!T$1200/100</f>
        <v>198.48</v>
      </c>
      <c r="U1200" s="142">
        <f>B1200*IBGE_2!U$1200/100</f>
        <v>0.10299999999999999</v>
      </c>
      <c r="V1200" s="142">
        <f>B1200*IBGE_2!V$1200/100</f>
        <v>2.1269999999999998</v>
      </c>
      <c r="W1200" s="142">
        <f>B1200*IBGE_2!W$1200/100</f>
        <v>31.984000000000002</v>
      </c>
      <c r="X1200" s="142">
        <f>B1200*IBGE_2!X$1200/100</f>
        <v>5.8999999999999997E-2</v>
      </c>
      <c r="Y1200" s="142">
        <f>B1200*IBGE_2!Y$1200/100</f>
        <v>0.14399999999999999</v>
      </c>
      <c r="Z1200" s="142">
        <f>B1200*IBGE_2!Z$1200/100</f>
        <v>0.187</v>
      </c>
      <c r="AA1200" s="142">
        <f>B1200*IBGE_2!AA$1200/100</f>
        <v>2.9249999999999998</v>
      </c>
      <c r="AB1200" s="142">
        <f>B1200*IBGE_2!AB$1200/100</f>
        <v>1.4419999999999999</v>
      </c>
      <c r="AC1200" s="142">
        <f>B1200*IBGE_2!AC$1200/100</f>
        <v>4.46</v>
      </c>
      <c r="AD1200" s="142">
        <f>B1200*IBGE_2!AD$1200/100</f>
        <v>0.69499999999999995</v>
      </c>
      <c r="AE1200" s="142">
        <f>B1200*IBGE_2!AE$1200/100</f>
        <v>11.922000000000001</v>
      </c>
      <c r="AF1200" s="142">
        <f>B1200*IBGE_2!AF$1200/100</f>
        <v>0.40899999999999997</v>
      </c>
      <c r="AG1200" s="142">
        <f>B1200*IBGE_2!AG$1200/100</f>
        <v>0.47</v>
      </c>
      <c r="AH1200" s="142">
        <f>B1200*IBGE_2!AH$1200/100</f>
        <v>0.28999999999999998</v>
      </c>
      <c r="AI1200" s="142" t="s">
        <v>3047</v>
      </c>
      <c r="AJ1200" s="142">
        <f>B1200*IBGE_2!AJ$1200/100</f>
        <v>15.236000000000001</v>
      </c>
      <c r="AK1200" s="142">
        <f>B1200*IBGE_2!AK$1200/100</f>
        <v>33.639000000000003</v>
      </c>
      <c r="AL1200" s="142">
        <f>B1200*IBGE_2!AL$1200/100</f>
        <v>1.595</v>
      </c>
      <c r="AM1200" s="142">
        <f>B1200*IBGE_2!AM$1200/100</f>
        <v>0.38200000000000001</v>
      </c>
      <c r="AN1200" s="161"/>
    </row>
    <row r="1201" spans="1:40">
      <c r="A1201" s="143" t="s">
        <v>2261</v>
      </c>
      <c r="B1201" s="141">
        <v>100</v>
      </c>
      <c r="C1201" s="142">
        <f>B1201*IBGE_2!C$1201/100</f>
        <v>136</v>
      </c>
      <c r="D1201" s="142">
        <f>B1201*IBGE_2!D$1201/100</f>
        <v>23.08</v>
      </c>
      <c r="E1201" s="142">
        <f>B1201*IBGE_2!E$1201/100</f>
        <v>4.83</v>
      </c>
      <c r="F1201" s="142">
        <f>B1201*IBGE_2!F$1201/100</f>
        <v>0.84799999999999998</v>
      </c>
      <c r="G1201" s="142">
        <f>B1201*IBGE_2!G$1201/100</f>
        <v>0.88700000000000001</v>
      </c>
      <c r="H1201" s="142">
        <f>B1201*IBGE_2!H$1201/100</f>
        <v>1.345</v>
      </c>
      <c r="I1201" s="142">
        <f>B1201*IBGE_2!I$1201/100</f>
        <v>6.6000000000000003E-2</v>
      </c>
      <c r="J1201" s="142">
        <f>B1201*IBGE_2!J$1201/100</f>
        <v>0.06</v>
      </c>
      <c r="K1201" s="142">
        <f>B1201*IBGE_2!K$1201/100</f>
        <v>82</v>
      </c>
      <c r="L1201" s="142" t="s">
        <v>3047</v>
      </c>
      <c r="M1201" s="142" t="s">
        <v>3047</v>
      </c>
      <c r="N1201" s="142">
        <f>B1201*IBGE_2!N$1201/100</f>
        <v>277</v>
      </c>
      <c r="O1201" s="142">
        <f>B1201*IBGE_2!O$1201/100</f>
        <v>34</v>
      </c>
      <c r="P1201" s="142">
        <f>B1201*IBGE_2!P$1201/100</f>
        <v>3.9E-2</v>
      </c>
      <c r="Q1201" s="142">
        <f>B1201*IBGE_2!Q$1201/100</f>
        <v>365</v>
      </c>
      <c r="R1201" s="142">
        <f>B1201*IBGE_2!R$1201/100</f>
        <v>0.9</v>
      </c>
      <c r="S1201" s="142">
        <f>B1201*IBGE_2!S$1201/100</f>
        <v>399</v>
      </c>
      <c r="T1201" s="142">
        <f>B1201*IBGE_2!T$1201/100</f>
        <v>311</v>
      </c>
      <c r="U1201" s="142">
        <f>B1201*IBGE_2!U$1201/100</f>
        <v>0.156</v>
      </c>
      <c r="V1201" s="142">
        <f>B1201*IBGE_2!V$1201/100</f>
        <v>1.0900000000000001</v>
      </c>
      <c r="W1201" s="142">
        <f>B1201*IBGE_2!W$1201/100</f>
        <v>23</v>
      </c>
      <c r="X1201" s="142">
        <f>B1201*IBGE_2!X$1201/100</f>
        <v>2.7000000000000003E-2</v>
      </c>
      <c r="Y1201" s="142">
        <f>B1201*IBGE_2!Y$1201/100</f>
        <v>0.20200000000000004</v>
      </c>
      <c r="Z1201" s="142">
        <f>B1201*IBGE_2!Z$1201/100</f>
        <v>0.105</v>
      </c>
      <c r="AA1201" s="142">
        <f>B1201*IBGE_2!AA$1201/100</f>
        <v>7.4089999999999998</v>
      </c>
      <c r="AB1201" s="142" t="s">
        <v>3047</v>
      </c>
      <c r="AC1201" s="142">
        <f>B1201*IBGE_2!AC$1201/100</f>
        <v>11.526</v>
      </c>
      <c r="AD1201" s="142">
        <f>B1201*IBGE_2!AD$1201/100</f>
        <v>4.95</v>
      </c>
      <c r="AE1201" s="142">
        <f>B1201*IBGE_2!AE$1201/100</f>
        <v>4</v>
      </c>
      <c r="AF1201" s="142">
        <f>B1201*IBGE_2!AF$1201/100</f>
        <v>11.65</v>
      </c>
      <c r="AG1201" s="142">
        <f>B1201*IBGE_2!AG$1201/100</f>
        <v>1.28</v>
      </c>
      <c r="AH1201" s="145" t="s">
        <v>3047</v>
      </c>
      <c r="AI1201" s="142" t="s">
        <v>3047</v>
      </c>
      <c r="AJ1201" s="142">
        <f>B1201*IBGE_2!AJ$1201/100</f>
        <v>39.5</v>
      </c>
      <c r="AK1201" s="142">
        <f>B1201*IBGE_2!AK$1201/100</f>
        <v>23</v>
      </c>
      <c r="AL1201" s="145" t="s">
        <v>3047</v>
      </c>
      <c r="AM1201" s="142" t="s">
        <v>3047</v>
      </c>
      <c r="AN1201" s="161"/>
    </row>
    <row r="1202" spans="1:40">
      <c r="A1202" s="143" t="s">
        <v>2262</v>
      </c>
      <c r="B1202" s="141">
        <v>100</v>
      </c>
      <c r="C1202" s="142">
        <f>B1202*IBGE_2!C$1202/100</f>
        <v>46.311999999999998</v>
      </c>
      <c r="D1202" s="142">
        <f>B1202*IBGE_2!D$1202/100</f>
        <v>0.82099999999999995</v>
      </c>
      <c r="E1202" s="142">
        <f>B1202*IBGE_2!E$1202/100</f>
        <v>2.4710000000000001</v>
      </c>
      <c r="F1202" s="142">
        <f>B1202*IBGE_2!F$1202/100</f>
        <v>0.79299999999999993</v>
      </c>
      <c r="G1202" s="142">
        <f>B1202*IBGE_2!G$1202/100</f>
        <v>0.84</v>
      </c>
      <c r="H1202" s="142">
        <f>B1202*IBGE_2!H$1202/100</f>
        <v>0.68899999999999995</v>
      </c>
      <c r="I1202" s="142">
        <f>B1202*IBGE_2!I$1202/100</f>
        <v>0.65700000000000003</v>
      </c>
      <c r="J1202" s="142">
        <f>B1202*IBGE_2!J$1202/100</f>
        <v>2.9000000000000005E-2</v>
      </c>
      <c r="K1202" s="142">
        <f>B1202*IBGE_2!K$1202/100</f>
        <v>5.95</v>
      </c>
      <c r="L1202" s="142">
        <f>B1202*IBGE_2!L$1202/100</f>
        <v>5.3410000000000002</v>
      </c>
      <c r="M1202" s="142">
        <f>B1202*IBGE_2!M$1202/100</f>
        <v>0.20300000000000001</v>
      </c>
      <c r="N1202" s="142">
        <f>B1202*IBGE_2!N$1202/100</f>
        <v>59.194000000000003</v>
      </c>
      <c r="O1202" s="142">
        <f>B1202*IBGE_2!O$1202/100</f>
        <v>7.7649999999999997</v>
      </c>
      <c r="P1202" s="142">
        <f>B1202*IBGE_2!P$1202/100</f>
        <v>3.7999999999999999E-2</v>
      </c>
      <c r="Q1202" s="142">
        <f>B1202*IBGE_2!Q$1202/100</f>
        <v>43.218000000000004</v>
      </c>
      <c r="R1202" s="142">
        <f>B1202*IBGE_2!R$1202/100</f>
        <v>0.16200000000000001</v>
      </c>
      <c r="S1202" s="142">
        <f>B1202*IBGE_2!S$1202/100</f>
        <v>374.68799999999993</v>
      </c>
      <c r="T1202" s="142">
        <f>B1202*IBGE_2!T$1202/100</f>
        <v>89.414000000000001</v>
      </c>
      <c r="U1202" s="142">
        <f>B1202*IBGE_2!U$1202/100</f>
        <v>1.9E-2</v>
      </c>
      <c r="V1202" s="142">
        <f>B1202*IBGE_2!V$1202/100</f>
        <v>0.22400000000000003</v>
      </c>
      <c r="W1202" s="142">
        <f>B1202*IBGE_2!W$1202/100</f>
        <v>14.682</v>
      </c>
      <c r="X1202" s="142">
        <f>B1202*IBGE_2!X$1202/100</f>
        <v>3.7999999999999999E-2</v>
      </c>
      <c r="Y1202" s="142">
        <f>B1202*IBGE_2!Y$1202/100</f>
        <v>6.7000000000000004E-2</v>
      </c>
      <c r="Z1202" s="142">
        <f>B1202*IBGE_2!Z$1202/100</f>
        <v>4.3999999999999997E-2</v>
      </c>
      <c r="AA1202" s="142">
        <f>B1202*IBGE_2!AA$1202/100</f>
        <v>0.14599999999999999</v>
      </c>
      <c r="AB1202" s="142">
        <f>B1202*IBGE_2!AB$1202/100</f>
        <v>1.2549999999999999</v>
      </c>
      <c r="AC1202" s="142">
        <f>B1202*IBGE_2!AC$1202/100</f>
        <v>0.36</v>
      </c>
      <c r="AD1202" s="142">
        <f>B1202*IBGE_2!AD$1202/100</f>
        <v>7.4999999999999997E-2</v>
      </c>
      <c r="AE1202" s="142">
        <f>B1202*IBGE_2!AE$1202/100</f>
        <v>7.51</v>
      </c>
      <c r="AF1202" s="142">
        <f>B1202*IBGE_2!AF$1202/100</f>
        <v>2.4E-2</v>
      </c>
      <c r="AG1202" s="142">
        <f>B1202*IBGE_2!AG$1202/100</f>
        <v>0.245</v>
      </c>
      <c r="AH1202" s="142">
        <f>B1202*IBGE_2!AH$1202/100</f>
        <v>0.29399999999999998</v>
      </c>
      <c r="AI1202" s="142" t="s">
        <v>3047</v>
      </c>
      <c r="AJ1202" s="142">
        <f>B1202*IBGE_2!AJ$1202/100</f>
        <v>1.8879999999999999</v>
      </c>
      <c r="AK1202" s="142">
        <f>B1202*IBGE_2!AK$1202/100</f>
        <v>15.167</v>
      </c>
      <c r="AL1202" s="142">
        <f>B1202*IBGE_2!AL$1202/100</f>
        <v>2.6689999999999996</v>
      </c>
      <c r="AM1202" s="142" t="s">
        <v>3047</v>
      </c>
      <c r="AN1202" s="161"/>
    </row>
    <row r="1203" spans="1:40">
      <c r="A1203" s="143" t="s">
        <v>2263</v>
      </c>
      <c r="B1203" s="141">
        <v>100</v>
      </c>
      <c r="C1203" s="142">
        <f>B1203*IBGE_2!C$1203/100</f>
        <v>10.548</v>
      </c>
      <c r="D1203" s="142">
        <f>B1203*IBGE_2!D$1203/100</f>
        <v>0.48399999999999999</v>
      </c>
      <c r="E1203" s="142">
        <f>B1203*IBGE_2!E$1203/100</f>
        <v>2.3E-2</v>
      </c>
      <c r="F1203" s="142">
        <f>B1203*IBGE_2!F$1203/100</f>
        <v>4.0000000000000001E-3</v>
      </c>
      <c r="G1203" s="142">
        <f>B1203*IBGE_2!G$1203/100</f>
        <v>2E-3</v>
      </c>
      <c r="H1203" s="142">
        <f>B1203*IBGE_2!H$1203/100</f>
        <v>0.01</v>
      </c>
      <c r="I1203" s="142">
        <f>B1203*IBGE_2!I$1203/100</f>
        <v>8.0000000000000002E-3</v>
      </c>
      <c r="J1203" s="142">
        <f>B1203*IBGE_2!J$1203/100</f>
        <v>2E-3</v>
      </c>
      <c r="K1203" s="142" t="s">
        <v>3047</v>
      </c>
      <c r="L1203" s="142">
        <f>B1203*IBGE_2!L$1203/100</f>
        <v>2.1520000000000001</v>
      </c>
      <c r="M1203" s="142">
        <f>B1203*IBGE_2!M$1203/100</f>
        <v>0.22500000000000001</v>
      </c>
      <c r="N1203" s="142">
        <f>B1203*IBGE_2!N$1203/100</f>
        <v>6.5190000000000001</v>
      </c>
      <c r="O1203" s="142">
        <f>B1203*IBGE_2!O$1203/100</f>
        <v>3.0259999999999998</v>
      </c>
      <c r="P1203" s="142">
        <f>B1203*IBGE_2!P$1203/100</f>
        <v>2.6000000000000002E-2</v>
      </c>
      <c r="Q1203" s="142">
        <f>B1203*IBGE_2!Q$1203/100</f>
        <v>6.2960000000000003</v>
      </c>
      <c r="R1203" s="142">
        <f>B1203*IBGE_2!R$1203/100</f>
        <v>6.5000000000000002E-2</v>
      </c>
      <c r="S1203" s="142">
        <f>B1203*IBGE_2!S$1203/100</f>
        <v>289.56</v>
      </c>
      <c r="T1203" s="142">
        <f>B1203*IBGE_2!T$1203/100</f>
        <v>22.675000000000001</v>
      </c>
      <c r="U1203" s="142">
        <f>B1203*IBGE_2!U$1203/100</f>
        <v>1.6E-2</v>
      </c>
      <c r="V1203" s="142">
        <f>B1203*IBGE_2!V$1203/100</f>
        <v>4.5999999999999999E-2</v>
      </c>
      <c r="W1203" s="142" t="s">
        <v>3047</v>
      </c>
      <c r="X1203" s="142">
        <f>B1203*IBGE_2!X$1203/100</f>
        <v>0.01</v>
      </c>
      <c r="Y1203" s="142">
        <f>B1203*IBGE_2!Y$1203/100</f>
        <v>5.0000000000000001E-3</v>
      </c>
      <c r="Z1203" s="142">
        <f>B1203*IBGE_2!Z$1203/100</f>
        <v>0.02</v>
      </c>
      <c r="AA1203" s="142">
        <f>B1203*IBGE_2!AA$1203/100</f>
        <v>7.6999999999999999E-2</v>
      </c>
      <c r="AB1203" s="142">
        <f>B1203*IBGE_2!AB$1203/100</f>
        <v>1.585</v>
      </c>
      <c r="AC1203" s="142">
        <f>B1203*IBGE_2!AC$1203/100</f>
        <v>0.17100000000000001</v>
      </c>
      <c r="AD1203" s="145" t="s">
        <v>3047</v>
      </c>
      <c r="AE1203" s="142">
        <f>B1203*IBGE_2!AE$1203/100</f>
        <v>2.379</v>
      </c>
      <c r="AF1203" s="145" t="s">
        <v>3047</v>
      </c>
      <c r="AG1203" s="142">
        <f>B1203*IBGE_2!AG$1203/100</f>
        <v>2.6000000000000002E-2</v>
      </c>
      <c r="AH1203" s="145" t="s">
        <v>3047</v>
      </c>
      <c r="AI1203" s="142" t="s">
        <v>3047</v>
      </c>
      <c r="AJ1203" s="142">
        <f>B1203*IBGE_2!AJ$1203/100</f>
        <v>0.43099999999999999</v>
      </c>
      <c r="AK1203" s="142">
        <f>B1203*IBGE_2!AK$1203/100</f>
        <v>14.019</v>
      </c>
      <c r="AL1203" s="142">
        <f>B1203*IBGE_2!AL$1203/100</f>
        <v>0.36499999999999999</v>
      </c>
      <c r="AM1203" s="142" t="s">
        <v>3047</v>
      </c>
      <c r="AN1203" s="161"/>
    </row>
    <row r="1204" spans="1:40">
      <c r="A1204" s="143" t="s">
        <v>2264</v>
      </c>
      <c r="B1204" s="141">
        <v>100</v>
      </c>
      <c r="C1204" s="142">
        <f>B1204*IBGE_2!C$1204/100</f>
        <v>80.040999999999997</v>
      </c>
      <c r="D1204" s="142">
        <f>B1204*IBGE_2!D$1204/100</f>
        <v>3.0049999999999999</v>
      </c>
      <c r="E1204" s="142">
        <f>B1204*IBGE_2!E$1204/100</f>
        <v>0.47099999999999992</v>
      </c>
      <c r="F1204" s="142">
        <f>B1204*IBGE_2!F$1204/100</f>
        <v>8.900000000000001E-2</v>
      </c>
      <c r="G1204" s="142">
        <f>B1204*IBGE_2!G$1204/100</f>
        <v>6.7000000000000004E-2</v>
      </c>
      <c r="H1204" s="142">
        <f>B1204*IBGE_2!H$1204/100</f>
        <v>0.16300000000000001</v>
      </c>
      <c r="I1204" s="142">
        <f>B1204*IBGE_2!I$1204/100</f>
        <v>0.15</v>
      </c>
      <c r="J1204" s="142">
        <f>B1204*IBGE_2!J$1204/100</f>
        <v>1.2E-2</v>
      </c>
      <c r="K1204" s="142" t="s">
        <v>3047</v>
      </c>
      <c r="L1204" s="142">
        <f>B1204*IBGE_2!L$1204/100</f>
        <v>15.606</v>
      </c>
      <c r="M1204" s="142">
        <f>B1204*IBGE_2!M$1204/100</f>
        <v>0.96700000000000008</v>
      </c>
      <c r="N1204" s="142">
        <f>B1204*IBGE_2!N$1204/100</f>
        <v>7.4139999999999997</v>
      </c>
      <c r="O1204" s="142">
        <f>B1204*IBGE_2!O$1204/100</f>
        <v>10.704000000000001</v>
      </c>
      <c r="P1204" s="142">
        <f>B1204*IBGE_2!P$1204/100</f>
        <v>0.17100000000000001</v>
      </c>
      <c r="Q1204" s="142">
        <f>B1204*IBGE_2!Q$1204/100</f>
        <v>30.946000000000005</v>
      </c>
      <c r="R1204" s="142">
        <f>B1204*IBGE_2!R$1204/100</f>
        <v>0.67200000000000004</v>
      </c>
      <c r="S1204" s="142">
        <f>B1204*IBGE_2!S$1204/100</f>
        <v>398.22900000000004</v>
      </c>
      <c r="T1204" s="142">
        <f>B1204*IBGE_2!T$1204/100</f>
        <v>30.619</v>
      </c>
      <c r="U1204" s="142">
        <f>B1204*IBGE_2!U$1204/100</f>
        <v>6.2E-2</v>
      </c>
      <c r="V1204" s="142">
        <f>B1204*IBGE_2!V$1204/100</f>
        <v>0.28000000000000003</v>
      </c>
      <c r="W1204" s="142" t="s">
        <v>3047</v>
      </c>
      <c r="X1204" s="142">
        <f>B1204*IBGE_2!X$1204/100</f>
        <v>0.13800000000000001</v>
      </c>
      <c r="Y1204" s="142">
        <f>B1204*IBGE_2!Y$1204/100</f>
        <v>6.9000000000000006E-2</v>
      </c>
      <c r="Z1204" s="142">
        <f>B1204*IBGE_2!Z$1204/100</f>
        <v>2.7000000000000003E-2</v>
      </c>
      <c r="AA1204" s="142">
        <f>B1204*IBGE_2!AA$1204/100</f>
        <v>0.85799999999999998</v>
      </c>
      <c r="AB1204" s="142">
        <f>B1204*IBGE_2!AB$1204/100</f>
        <v>0.23300000000000001</v>
      </c>
      <c r="AC1204" s="142">
        <f>B1204*IBGE_2!AC$1204/100</f>
        <v>1.5729999999999997</v>
      </c>
      <c r="AD1204" s="145" t="s">
        <v>3047</v>
      </c>
      <c r="AE1204" s="142">
        <f>B1204*IBGE_2!AE$1204/100</f>
        <v>62.66299999999999</v>
      </c>
      <c r="AF1204" s="145" t="s">
        <v>3047</v>
      </c>
      <c r="AG1204" s="142">
        <f>B1204*IBGE_2!AG$1204/100</f>
        <v>3.9E-2</v>
      </c>
      <c r="AH1204" s="145" t="s">
        <v>3047</v>
      </c>
      <c r="AI1204" s="142" t="s">
        <v>3047</v>
      </c>
      <c r="AJ1204" s="142">
        <f>B1204*IBGE_2!AJ$1204/100</f>
        <v>13.194000000000001</v>
      </c>
      <c r="AK1204" s="142">
        <f>B1204*IBGE_2!AK$1204/100</f>
        <v>5.0709999999999997</v>
      </c>
      <c r="AL1204" s="142">
        <f>B1204*IBGE_2!AL$1204/100</f>
        <v>0.35099999999999992</v>
      </c>
      <c r="AM1204" s="142" t="s">
        <v>3047</v>
      </c>
      <c r="AN1204" s="161"/>
    </row>
    <row r="1205" spans="1:40">
      <c r="A1205" s="143" t="s">
        <v>2265</v>
      </c>
      <c r="B1205" s="141">
        <v>100</v>
      </c>
      <c r="C1205" s="142">
        <f>B1205*IBGE_2!C$1205/100</f>
        <v>116</v>
      </c>
      <c r="D1205" s="142">
        <f>B1205*IBGE_2!D$1205/100</f>
        <v>25.51</v>
      </c>
      <c r="E1205" s="142">
        <f>B1205*IBGE_2!E$1205/100</f>
        <v>0.82</v>
      </c>
      <c r="F1205" s="142">
        <f>B1205*IBGE_2!F$1205/100</f>
        <v>0.23400000000000001</v>
      </c>
      <c r="G1205" s="142">
        <f>B1205*IBGE_2!G$1205/100</f>
        <v>0.159</v>
      </c>
      <c r="H1205" s="142">
        <f>B1205*IBGE_2!H$1205/100</f>
        <v>0.33700000000000002</v>
      </c>
      <c r="I1205" s="142">
        <f>B1205*IBGE_2!I$1205/100</f>
        <v>8.9999999999999993E-3</v>
      </c>
      <c r="J1205" s="142">
        <f>B1205*IBGE_2!J$1205/100</f>
        <v>2E-3</v>
      </c>
      <c r="K1205" s="142">
        <f>B1205*IBGE_2!K$1205/100</f>
        <v>30</v>
      </c>
      <c r="L1205" s="142" t="s">
        <v>3047</v>
      </c>
      <c r="M1205" s="142" t="s">
        <v>3047</v>
      </c>
      <c r="N1205" s="142">
        <f>B1205*IBGE_2!N$1205/100</f>
        <v>11</v>
      </c>
      <c r="O1205" s="142">
        <f>B1205*IBGE_2!O$1205/100</f>
        <v>27</v>
      </c>
      <c r="P1205" s="142">
        <f>B1205*IBGE_2!P$1205/100</f>
        <v>1.0999999999999999E-2</v>
      </c>
      <c r="Q1205" s="142">
        <f>B1205*IBGE_2!Q$1205/100</f>
        <v>163</v>
      </c>
      <c r="R1205" s="142">
        <f>B1205*IBGE_2!R$1205/100</f>
        <v>1.53</v>
      </c>
      <c r="S1205" s="142">
        <f>B1205*IBGE_2!S$1205/100</f>
        <v>338</v>
      </c>
      <c r="T1205" s="142">
        <f>B1205*IBGE_2!T$1205/100</f>
        <v>237</v>
      </c>
      <c r="U1205" s="142">
        <f>B1205*IBGE_2!U$1205/100</f>
        <v>5.0999999999999997E-2</v>
      </c>
      <c r="V1205" s="142">
        <f>B1205*IBGE_2!V$1205/100</f>
        <v>0.77</v>
      </c>
      <c r="W1205" s="142">
        <f>B1205*IBGE_2!W$1205/100</f>
        <v>17</v>
      </c>
      <c r="X1205" s="142">
        <f>B1205*IBGE_2!X$1205/100</f>
        <v>3.2000000000000001E-2</v>
      </c>
      <c r="Y1205" s="142">
        <f>B1205*IBGE_2!Y$1205/100</f>
        <v>7.3999999999999996E-2</v>
      </c>
      <c r="Z1205" s="142">
        <f>B1205*IBGE_2!Z$1205/100</f>
        <v>0.35</v>
      </c>
      <c r="AA1205" s="142">
        <f>B1205*IBGE_2!AA$1205/100</f>
        <v>13.28</v>
      </c>
      <c r="AB1205" s="142" t="s">
        <v>3047</v>
      </c>
      <c r="AC1205" s="142">
        <f>B1205*IBGE_2!AC$1205/100</f>
        <v>18.047000000000001</v>
      </c>
      <c r="AD1205" s="142">
        <f>B1205*IBGE_2!AD$1205/100</f>
        <v>2.99</v>
      </c>
      <c r="AE1205" s="142">
        <f>B1205*IBGE_2!AE$1205/100</f>
        <v>4</v>
      </c>
      <c r="AF1205" s="142">
        <f>B1205*IBGE_2!AF$1205/100</f>
        <v>4</v>
      </c>
      <c r="AG1205" s="142">
        <f>B1205*IBGE_2!AG$1205/100</f>
        <v>0.33</v>
      </c>
      <c r="AH1205" s="145" t="s">
        <v>3047</v>
      </c>
      <c r="AI1205" s="145" t="s">
        <v>3047</v>
      </c>
      <c r="AJ1205" s="142">
        <f>B1205*IBGE_2!AJ$1205/100</f>
        <v>80.400000000000006</v>
      </c>
      <c r="AK1205" s="142">
        <f>B1205*IBGE_2!AK$1205/100</f>
        <v>17</v>
      </c>
      <c r="AL1205" s="142" t="s">
        <v>3047</v>
      </c>
      <c r="AM1205" s="142" t="s">
        <v>3047</v>
      </c>
      <c r="AN1205" s="161"/>
    </row>
    <row r="1206" spans="1:40">
      <c r="A1206" s="143" t="s">
        <v>2266</v>
      </c>
      <c r="B1206" s="141">
        <v>100</v>
      </c>
      <c r="C1206" s="142">
        <f>B1206*IBGE_2!C$1206/100</f>
        <v>239</v>
      </c>
      <c r="D1206" s="142">
        <f>B1206*IBGE_2!D$1206/100</f>
        <v>27.3</v>
      </c>
      <c r="E1206" s="142">
        <f>B1206*IBGE_2!E$1206/100</f>
        <v>13.6</v>
      </c>
      <c r="F1206" s="142">
        <f>B1206*IBGE_2!F$1206/100</f>
        <v>3.79</v>
      </c>
      <c r="G1206" s="142">
        <f>B1206*IBGE_2!G$1206/100</f>
        <v>5.34</v>
      </c>
      <c r="H1206" s="142">
        <f>B1206*IBGE_2!H$1206/100</f>
        <v>2.97</v>
      </c>
      <c r="I1206" s="142">
        <f>B1206*IBGE_2!I$1206/100</f>
        <v>2.57</v>
      </c>
      <c r="J1206" s="142">
        <f>B1206*IBGE_2!J$1206/100</f>
        <v>0.11</v>
      </c>
      <c r="K1206" s="142">
        <f>B1206*IBGE_2!K$1206/100</f>
        <v>88</v>
      </c>
      <c r="L1206" s="142" t="s">
        <v>3047</v>
      </c>
      <c r="M1206" s="142" t="s">
        <v>3047</v>
      </c>
      <c r="N1206" s="142">
        <f>B1206*IBGE_2!N$1206/100</f>
        <v>15</v>
      </c>
      <c r="O1206" s="142">
        <f>B1206*IBGE_2!O$1206/100</f>
        <v>23</v>
      </c>
      <c r="P1206" s="142">
        <f>B1206*IBGE_2!P$1206/100</f>
        <v>0.02</v>
      </c>
      <c r="Q1206" s="142">
        <f>B1206*IBGE_2!Q$1206/100</f>
        <v>182</v>
      </c>
      <c r="R1206" s="142">
        <f>B1206*IBGE_2!R$1206/100</f>
        <v>1.26</v>
      </c>
      <c r="S1206" s="142">
        <f>B1206*IBGE_2!S$1206/100</f>
        <v>82</v>
      </c>
      <c r="T1206" s="142">
        <f>B1206*IBGE_2!T$1206/100</f>
        <v>223</v>
      </c>
      <c r="U1206" s="142">
        <f>B1206*IBGE_2!U$1206/100</f>
        <v>6.6000000000000003E-2</v>
      </c>
      <c r="V1206" s="142">
        <f>B1206*IBGE_2!V$1206/100</f>
        <v>1.94</v>
      </c>
      <c r="W1206" s="142">
        <f>B1206*IBGE_2!W$1206/100</f>
        <v>48</v>
      </c>
      <c r="X1206" s="142">
        <f>B1206*IBGE_2!X$1206/100</f>
        <v>6.3E-2</v>
      </c>
      <c r="Y1206" s="142">
        <f>B1206*IBGE_2!Y$1206/100</f>
        <v>0.16800000000000001</v>
      </c>
      <c r="Z1206" s="142">
        <f>B1206*IBGE_2!Z$1206/100</f>
        <v>0.4</v>
      </c>
      <c r="AA1206" s="142">
        <f>B1206*IBGE_2!AA$1206/100</f>
        <v>8.4870000000000001</v>
      </c>
      <c r="AB1206" s="142" t="s">
        <v>3047</v>
      </c>
      <c r="AC1206" s="142">
        <f>B1206*IBGE_2!AC$1206/100</f>
        <v>13.57</v>
      </c>
      <c r="AD1206" s="142">
        <f>B1206*IBGE_2!AD$1206/100</f>
        <v>0.3</v>
      </c>
      <c r="AE1206" s="142">
        <f>B1206*IBGE_2!AE$1206/100</f>
        <v>5</v>
      </c>
      <c r="AF1206" s="142">
        <f>B1206*IBGE_2!AF$1206/100</f>
        <v>0.3</v>
      </c>
      <c r="AG1206" s="142">
        <f>B1206*IBGE_2!AG$1206/100</f>
        <v>0.27</v>
      </c>
      <c r="AH1206" s="142">
        <f>B1206*IBGE_2!AH$1206/100</f>
        <v>0.45</v>
      </c>
      <c r="AI1206" s="142">
        <f>B1206*IBGE_2!AI$1206/100</f>
        <v>333</v>
      </c>
      <c r="AJ1206" s="142">
        <f>B1206*IBGE_2!AJ$1206/100</f>
        <v>23.9</v>
      </c>
      <c r="AK1206" s="142">
        <f>B1206*IBGE_2!AK$1206/100</f>
        <v>48</v>
      </c>
      <c r="AL1206" s="142" t="s">
        <v>3047</v>
      </c>
      <c r="AM1206" s="142" t="s">
        <v>3047</v>
      </c>
      <c r="AN1206" s="161"/>
    </row>
    <row r="1207" spans="1:40">
      <c r="A1207" s="143" t="s">
        <v>2267</v>
      </c>
      <c r="B1207" s="141">
        <v>100</v>
      </c>
      <c r="C1207" s="142">
        <f>B1207*IBGE_2!C$1207/100</f>
        <v>239</v>
      </c>
      <c r="D1207" s="142">
        <f>B1207*IBGE_2!D$1207/100</f>
        <v>27.3</v>
      </c>
      <c r="E1207" s="142">
        <f>B1207*IBGE_2!E$1207/100</f>
        <v>13.6</v>
      </c>
      <c r="F1207" s="142">
        <f>B1207*IBGE_2!F$1207/100</f>
        <v>3.79</v>
      </c>
      <c r="G1207" s="142">
        <f>B1207*IBGE_2!G$1207/100</f>
        <v>5.34</v>
      </c>
      <c r="H1207" s="142">
        <f>B1207*IBGE_2!H$1207/100</f>
        <v>2.97</v>
      </c>
      <c r="I1207" s="142">
        <f>B1207*IBGE_2!I$1207/100</f>
        <v>2.57</v>
      </c>
      <c r="J1207" s="142">
        <f>B1207*IBGE_2!J$1207/100</f>
        <v>0.11</v>
      </c>
      <c r="K1207" s="142">
        <f>B1207*IBGE_2!K$1207/100</f>
        <v>88</v>
      </c>
      <c r="L1207" s="142" t="s">
        <v>3047</v>
      </c>
      <c r="M1207" s="142" t="s">
        <v>3047</v>
      </c>
      <c r="N1207" s="142">
        <f>B1207*IBGE_2!N$1207/100</f>
        <v>15</v>
      </c>
      <c r="O1207" s="142">
        <f>B1207*IBGE_2!O$1207/100</f>
        <v>23</v>
      </c>
      <c r="P1207" s="142">
        <f>B1207*IBGE_2!P$1207/100</f>
        <v>0.02</v>
      </c>
      <c r="Q1207" s="142">
        <f>B1207*IBGE_2!Q$1207/100</f>
        <v>182</v>
      </c>
      <c r="R1207" s="142">
        <f>B1207*IBGE_2!R$1207/100</f>
        <v>1.26</v>
      </c>
      <c r="S1207" s="142">
        <f>B1207*IBGE_2!S$1207/100</f>
        <v>82</v>
      </c>
      <c r="T1207" s="142">
        <f>B1207*IBGE_2!T$1207/100</f>
        <v>223</v>
      </c>
      <c r="U1207" s="142">
        <f>B1207*IBGE_2!U$1207/100</f>
        <v>6.6000000000000003E-2</v>
      </c>
      <c r="V1207" s="142">
        <f>B1207*IBGE_2!V$1207/100</f>
        <v>1.94</v>
      </c>
      <c r="W1207" s="142">
        <f>B1207*IBGE_2!W$1207/100</f>
        <v>48</v>
      </c>
      <c r="X1207" s="142">
        <f>B1207*IBGE_2!X$1207/100</f>
        <v>6.3E-2</v>
      </c>
      <c r="Y1207" s="142">
        <f>B1207*IBGE_2!Y$1207/100</f>
        <v>0.16800000000000001</v>
      </c>
      <c r="Z1207" s="142">
        <f>B1207*IBGE_2!Z$1207/100</f>
        <v>0.4</v>
      </c>
      <c r="AA1207" s="142">
        <f>B1207*IBGE_2!AA$1207/100</f>
        <v>8.4870000000000001</v>
      </c>
      <c r="AB1207" s="142" t="s">
        <v>3047</v>
      </c>
      <c r="AC1207" s="142">
        <f>B1207*IBGE_2!AC$1207/100</f>
        <v>13.57</v>
      </c>
      <c r="AD1207" s="142">
        <f>B1207*IBGE_2!AD$1207/100</f>
        <v>0.3</v>
      </c>
      <c r="AE1207" s="142">
        <f>B1207*IBGE_2!AE$1207/100</f>
        <v>5</v>
      </c>
      <c r="AF1207" s="142">
        <f>B1207*IBGE_2!AF$1207/100</f>
        <v>0.3</v>
      </c>
      <c r="AG1207" s="142">
        <f>B1207*IBGE_2!AG$1207/100</f>
        <v>0.27</v>
      </c>
      <c r="AH1207" s="142">
        <f>B1207*IBGE_2!AH$1207/100</f>
        <v>0.45</v>
      </c>
      <c r="AI1207" s="142">
        <f>B1207*IBGE_2!AI$1207/100</f>
        <v>333</v>
      </c>
      <c r="AJ1207" s="142">
        <f>B1207*IBGE_2!AJ$1207/100</f>
        <v>23.9</v>
      </c>
      <c r="AK1207" s="142">
        <f>B1207*IBGE_2!AK$1207/100</f>
        <v>48</v>
      </c>
      <c r="AL1207" s="142" t="s">
        <v>3047</v>
      </c>
      <c r="AM1207" s="142" t="s">
        <v>3047</v>
      </c>
      <c r="AN1207" s="161"/>
    </row>
    <row r="1208" spans="1:40">
      <c r="A1208" s="143" t="s">
        <v>2268</v>
      </c>
      <c r="B1208" s="141">
        <v>100</v>
      </c>
      <c r="C1208" s="142">
        <f>B1208*IBGE_2!C$1208/100</f>
        <v>239</v>
      </c>
      <c r="D1208" s="142">
        <f>B1208*IBGE_2!D$1208/100</f>
        <v>27.3</v>
      </c>
      <c r="E1208" s="142">
        <f>B1208*IBGE_2!E$1208/100</f>
        <v>13.6</v>
      </c>
      <c r="F1208" s="142">
        <f>B1208*IBGE_2!F$1208/100</f>
        <v>3.79</v>
      </c>
      <c r="G1208" s="142">
        <f>B1208*IBGE_2!G$1208/100</f>
        <v>5.34</v>
      </c>
      <c r="H1208" s="142">
        <f>B1208*IBGE_2!H$1208/100</f>
        <v>2.97</v>
      </c>
      <c r="I1208" s="142">
        <f>B1208*IBGE_2!I$1208/100</f>
        <v>2.57</v>
      </c>
      <c r="J1208" s="142">
        <f>B1208*IBGE_2!J$1208/100</f>
        <v>0.11</v>
      </c>
      <c r="K1208" s="142">
        <f>B1208*IBGE_2!K$1208/100</f>
        <v>88</v>
      </c>
      <c r="L1208" s="142" t="s">
        <v>3047</v>
      </c>
      <c r="M1208" s="142" t="s">
        <v>3047</v>
      </c>
      <c r="N1208" s="142">
        <f>B1208*IBGE_2!N$1208/100</f>
        <v>15</v>
      </c>
      <c r="O1208" s="142">
        <f>B1208*IBGE_2!O$1208/100</f>
        <v>23</v>
      </c>
      <c r="P1208" s="142">
        <f>B1208*IBGE_2!P$1208/100</f>
        <v>0.02</v>
      </c>
      <c r="Q1208" s="142">
        <f>B1208*IBGE_2!Q$1208/100</f>
        <v>182</v>
      </c>
      <c r="R1208" s="142">
        <f>B1208*IBGE_2!R$1208/100</f>
        <v>1.26</v>
      </c>
      <c r="S1208" s="142">
        <f>B1208*IBGE_2!S$1208/100</f>
        <v>82</v>
      </c>
      <c r="T1208" s="142">
        <f>B1208*IBGE_2!T$1208/100</f>
        <v>223</v>
      </c>
      <c r="U1208" s="142">
        <f>B1208*IBGE_2!U$1208/100</f>
        <v>6.6000000000000003E-2</v>
      </c>
      <c r="V1208" s="142">
        <f>B1208*IBGE_2!V$1208/100</f>
        <v>1.94</v>
      </c>
      <c r="W1208" s="142">
        <f>B1208*IBGE_2!W$1208/100</f>
        <v>48</v>
      </c>
      <c r="X1208" s="142">
        <f>B1208*IBGE_2!X$1208/100</f>
        <v>6.3E-2</v>
      </c>
      <c r="Y1208" s="142">
        <f>B1208*IBGE_2!Y$1208/100</f>
        <v>0.16800000000000001</v>
      </c>
      <c r="Z1208" s="142">
        <f>B1208*IBGE_2!Z$1208/100</f>
        <v>0.4</v>
      </c>
      <c r="AA1208" s="142">
        <f>B1208*IBGE_2!AA$1208/100</f>
        <v>8.4870000000000001</v>
      </c>
      <c r="AB1208" s="142" t="s">
        <v>3047</v>
      </c>
      <c r="AC1208" s="142">
        <f>B1208*IBGE_2!AC$1208/100</f>
        <v>13.57</v>
      </c>
      <c r="AD1208" s="142">
        <f>B1208*IBGE_2!AD$1208/100</f>
        <v>0.3</v>
      </c>
      <c r="AE1208" s="142">
        <f>B1208*IBGE_2!AE$1208/100</f>
        <v>5</v>
      </c>
      <c r="AF1208" s="142">
        <f>B1208*IBGE_2!AF$1208/100</f>
        <v>0.3</v>
      </c>
      <c r="AG1208" s="142">
        <f>B1208*IBGE_2!AG$1208/100</f>
        <v>0.27</v>
      </c>
      <c r="AH1208" s="142">
        <f>B1208*IBGE_2!AH$1208/100</f>
        <v>0.45</v>
      </c>
      <c r="AI1208" s="142">
        <f>B1208*IBGE_2!AI$1208/100</f>
        <v>333</v>
      </c>
      <c r="AJ1208" s="142">
        <f>B1208*IBGE_2!AJ$1208/100</f>
        <v>23.9</v>
      </c>
      <c r="AK1208" s="142">
        <f>B1208*IBGE_2!AK$1208/100</f>
        <v>48</v>
      </c>
      <c r="AL1208" s="142" t="s">
        <v>3047</v>
      </c>
      <c r="AM1208" s="142" t="s">
        <v>3047</v>
      </c>
      <c r="AN1208" s="161"/>
    </row>
    <row r="1209" spans="1:40">
      <c r="A1209" s="143" t="s">
        <v>2269</v>
      </c>
      <c r="B1209" s="141">
        <v>100</v>
      </c>
      <c r="C1209" s="142">
        <f>B1209*IBGE_2!C$1209/100</f>
        <v>239</v>
      </c>
      <c r="D1209" s="142">
        <f>B1209*IBGE_2!D$1209/100</f>
        <v>27.3</v>
      </c>
      <c r="E1209" s="142">
        <f>B1209*IBGE_2!E$1209/100</f>
        <v>13.6</v>
      </c>
      <c r="F1209" s="142">
        <f>B1209*IBGE_2!F$1209/100</f>
        <v>3.79</v>
      </c>
      <c r="G1209" s="142">
        <f>B1209*IBGE_2!G$1209/100</f>
        <v>5.34</v>
      </c>
      <c r="H1209" s="142">
        <f>B1209*IBGE_2!H$1209/100</f>
        <v>2.97</v>
      </c>
      <c r="I1209" s="142">
        <f>B1209*IBGE_2!I$1209/100</f>
        <v>2.57</v>
      </c>
      <c r="J1209" s="142">
        <f>B1209*IBGE_2!J$1209/100</f>
        <v>0.11</v>
      </c>
      <c r="K1209" s="142">
        <f>B1209*IBGE_2!K$1209/100</f>
        <v>88</v>
      </c>
      <c r="L1209" s="142" t="s">
        <v>3047</v>
      </c>
      <c r="M1209" s="142" t="s">
        <v>3047</v>
      </c>
      <c r="N1209" s="142">
        <f>B1209*IBGE_2!N$1209/100</f>
        <v>15</v>
      </c>
      <c r="O1209" s="142">
        <f>B1209*IBGE_2!O$1209/100</f>
        <v>23</v>
      </c>
      <c r="P1209" s="142">
        <f>B1209*IBGE_2!P$1209/100</f>
        <v>0.02</v>
      </c>
      <c r="Q1209" s="142">
        <f>B1209*IBGE_2!Q$1209/100</f>
        <v>182</v>
      </c>
      <c r="R1209" s="142">
        <f>B1209*IBGE_2!R$1209/100</f>
        <v>1.26</v>
      </c>
      <c r="S1209" s="142">
        <f>B1209*IBGE_2!S$1209/100</f>
        <v>82</v>
      </c>
      <c r="T1209" s="142">
        <f>B1209*IBGE_2!T$1209/100</f>
        <v>223</v>
      </c>
      <c r="U1209" s="142">
        <f>B1209*IBGE_2!U$1209/100</f>
        <v>6.6000000000000003E-2</v>
      </c>
      <c r="V1209" s="142">
        <f>B1209*IBGE_2!V$1209/100</f>
        <v>1.94</v>
      </c>
      <c r="W1209" s="142">
        <f>B1209*IBGE_2!W$1209/100</f>
        <v>48</v>
      </c>
      <c r="X1209" s="142">
        <f>B1209*IBGE_2!X$1209/100</f>
        <v>6.3E-2</v>
      </c>
      <c r="Y1209" s="142">
        <f>B1209*IBGE_2!Y$1209/100</f>
        <v>0.16800000000000001</v>
      </c>
      <c r="Z1209" s="142">
        <f>B1209*IBGE_2!Z$1209/100</f>
        <v>0.4</v>
      </c>
      <c r="AA1209" s="142">
        <f>B1209*IBGE_2!AA$1209/100</f>
        <v>8.4870000000000001</v>
      </c>
      <c r="AB1209" s="142" t="s">
        <v>3047</v>
      </c>
      <c r="AC1209" s="142">
        <f>B1209*IBGE_2!AC$1209/100</f>
        <v>13.57</v>
      </c>
      <c r="AD1209" s="142">
        <f>B1209*IBGE_2!AD$1209/100</f>
        <v>0.3</v>
      </c>
      <c r="AE1209" s="142">
        <f>B1209*IBGE_2!AE$1209/100</f>
        <v>5</v>
      </c>
      <c r="AF1209" s="142">
        <f>B1209*IBGE_2!AF$1209/100</f>
        <v>0.3</v>
      </c>
      <c r="AG1209" s="142">
        <f>B1209*IBGE_2!AG$1209/100</f>
        <v>0.27</v>
      </c>
      <c r="AH1209" s="142">
        <f>B1209*IBGE_2!AH$1209/100</f>
        <v>0.45</v>
      </c>
      <c r="AI1209" s="142">
        <f>B1209*IBGE_2!AI$1209/100</f>
        <v>333</v>
      </c>
      <c r="AJ1209" s="142">
        <f>B1209*IBGE_2!AJ$1209/100</f>
        <v>23.9</v>
      </c>
      <c r="AK1209" s="142">
        <f>B1209*IBGE_2!AK$1209/100</f>
        <v>48</v>
      </c>
      <c r="AL1209" s="142" t="s">
        <v>3047</v>
      </c>
      <c r="AM1209" s="142" t="s">
        <v>3047</v>
      </c>
      <c r="AN1209" s="161"/>
    </row>
    <row r="1210" spans="1:40">
      <c r="A1210" s="143" t="s">
        <v>2270</v>
      </c>
      <c r="B1210" s="141">
        <v>100</v>
      </c>
      <c r="C1210" s="142">
        <f>B1210*IBGE_2!C$1210/100</f>
        <v>261.65899999999999</v>
      </c>
      <c r="D1210" s="142">
        <f>B1210*IBGE_2!D$1210/100</f>
        <v>27.3</v>
      </c>
      <c r="E1210" s="142">
        <f>B1210*IBGE_2!E$1210/100</f>
        <v>16.163</v>
      </c>
      <c r="F1210" s="142">
        <f>B1210*IBGE_2!F$1210/100</f>
        <v>4.1909999999999998</v>
      </c>
      <c r="G1210" s="142">
        <f>B1210*IBGE_2!G$1210/100</f>
        <v>5.9240000000000013</v>
      </c>
      <c r="H1210" s="142">
        <f>B1210*IBGE_2!H$1210/100</f>
        <v>4.45</v>
      </c>
      <c r="I1210" s="142">
        <f>B1210*IBGE_2!I$1210/100</f>
        <v>3.8759999999999994</v>
      </c>
      <c r="J1210" s="142">
        <f>B1210*IBGE_2!J$1210/100</f>
        <v>0.28399999999999997</v>
      </c>
      <c r="K1210" s="142">
        <f>B1210*IBGE_2!K$1210/100</f>
        <v>88</v>
      </c>
      <c r="L1210" s="142" t="s">
        <v>3047</v>
      </c>
      <c r="M1210" s="142" t="s">
        <v>3047</v>
      </c>
      <c r="N1210" s="142">
        <f>B1210*IBGE_2!N$1210/100</f>
        <v>15</v>
      </c>
      <c r="O1210" s="142">
        <f>B1210*IBGE_2!O$1210/100</f>
        <v>23</v>
      </c>
      <c r="P1210" s="142">
        <f>B1210*IBGE_2!P$1210/100</f>
        <v>0.02</v>
      </c>
      <c r="Q1210" s="142">
        <f>B1210*IBGE_2!Q$1210/100</f>
        <v>182</v>
      </c>
      <c r="R1210" s="142">
        <f>B1210*IBGE_2!R$1210/100</f>
        <v>1.2609999999999999</v>
      </c>
      <c r="S1210" s="142">
        <f>B1210*IBGE_2!S$1210/100</f>
        <v>82</v>
      </c>
      <c r="T1210" s="142">
        <f>B1210*IBGE_2!T$1210/100</f>
        <v>223</v>
      </c>
      <c r="U1210" s="142">
        <f>B1210*IBGE_2!U$1210/100</f>
        <v>6.6000000000000003E-2</v>
      </c>
      <c r="V1210" s="142">
        <f>B1210*IBGE_2!V$1210/100</f>
        <v>1.94</v>
      </c>
      <c r="W1210" s="142">
        <f>B1210*IBGE_2!W$1210/100</f>
        <v>48</v>
      </c>
      <c r="X1210" s="142">
        <f>B1210*IBGE_2!X$1210/100</f>
        <v>6.3E-2</v>
      </c>
      <c r="Y1210" s="142">
        <f>B1210*IBGE_2!Y$1210/100</f>
        <v>0.16800000000000001</v>
      </c>
      <c r="Z1210" s="142">
        <f>B1210*IBGE_2!Z$1210/100</f>
        <v>0.4</v>
      </c>
      <c r="AA1210" s="142">
        <f>B1210*IBGE_2!AA$1210/100</f>
        <v>8.4870000000000001</v>
      </c>
      <c r="AB1210" s="142" t="s">
        <v>3047</v>
      </c>
      <c r="AC1210" s="142">
        <f>B1210*IBGE_2!AC$1210/100</f>
        <v>13.57</v>
      </c>
      <c r="AD1210" s="142">
        <f>B1210*IBGE_2!AD$1210/100</f>
        <v>0.3</v>
      </c>
      <c r="AE1210" s="142">
        <f>B1210*IBGE_2!AE$1210/100</f>
        <v>5</v>
      </c>
      <c r="AF1210" s="142">
        <f>B1210*IBGE_2!AF$1210/100</f>
        <v>0.3</v>
      </c>
      <c r="AG1210" s="142">
        <f>B1210*IBGE_2!AG$1210/100</f>
        <v>0.48</v>
      </c>
      <c r="AH1210" s="142">
        <f>B1210*IBGE_2!AH$1210/100</f>
        <v>0.46400000000000008</v>
      </c>
      <c r="AI1210" s="142">
        <f>B1210*IBGE_2!AI$1210/100</f>
        <v>333</v>
      </c>
      <c r="AJ1210" s="142">
        <f>B1210*IBGE_2!AJ$1210/100</f>
        <v>25.074999999999999</v>
      </c>
      <c r="AK1210" s="142">
        <f>B1210*IBGE_2!AK$1210/100</f>
        <v>48</v>
      </c>
      <c r="AL1210" s="142" t="s">
        <v>3047</v>
      </c>
      <c r="AM1210" s="142" t="s">
        <v>3047</v>
      </c>
      <c r="AN1210" s="161"/>
    </row>
    <row r="1211" spans="1:40">
      <c r="A1211" s="143" t="s">
        <v>2271</v>
      </c>
      <c r="B1211" s="141">
        <v>100</v>
      </c>
      <c r="C1211" s="142">
        <f>B1211*IBGE_2!C$1211/100</f>
        <v>277.83699999999999</v>
      </c>
      <c r="D1211" s="142">
        <f>B1211*IBGE_2!D$1211/100</f>
        <v>27.759</v>
      </c>
      <c r="E1211" s="142">
        <f>B1211*IBGE_2!E$1211/100</f>
        <v>16.207000000000001</v>
      </c>
      <c r="F1211" s="142">
        <f>B1211*IBGE_2!F$1211/100</f>
        <v>4.1980000000000004</v>
      </c>
      <c r="G1211" s="142">
        <f>B1211*IBGE_2!G$1211/100</f>
        <v>5.9279999999999999</v>
      </c>
      <c r="H1211" s="142">
        <f>B1211*IBGE_2!H$1211/100</f>
        <v>4.468</v>
      </c>
      <c r="I1211" s="142">
        <f>B1211*IBGE_2!I$1211/100</f>
        <v>3.8929999999999993</v>
      </c>
      <c r="J1211" s="142">
        <f>B1211*IBGE_2!J$1211/100</f>
        <v>0.28499999999999998</v>
      </c>
      <c r="K1211" s="142">
        <f>B1211*IBGE_2!K$1211/100</f>
        <v>88</v>
      </c>
      <c r="L1211" s="142">
        <f>B1211*IBGE_2!L$1211/100</f>
        <v>3.3919999999999999</v>
      </c>
      <c r="M1211" s="142">
        <f>B1211*IBGE_2!M$1211/100</f>
        <v>0.13500000000000001</v>
      </c>
      <c r="N1211" s="142">
        <f>B1211*IBGE_2!N$1211/100</f>
        <v>15.667</v>
      </c>
      <c r="O1211" s="142">
        <f>B1211*IBGE_2!O$1211/100</f>
        <v>23.978000000000002</v>
      </c>
      <c r="P1211" s="142">
        <f>B1211*IBGE_2!P$1211/100</f>
        <v>0.05</v>
      </c>
      <c r="Q1211" s="142">
        <f>B1211*IBGE_2!Q$1211/100</f>
        <v>186.8</v>
      </c>
      <c r="R1211" s="142">
        <f>B1211*IBGE_2!R$1211/100</f>
        <v>1.4680000000000002</v>
      </c>
      <c r="S1211" s="142">
        <f>B1211*IBGE_2!S$1211/100</f>
        <v>82.088999999999999</v>
      </c>
      <c r="T1211" s="142">
        <f>B1211*IBGE_2!T$1211/100</f>
        <v>227.75599999999997</v>
      </c>
      <c r="U1211" s="142">
        <f>B1211*IBGE_2!U$1211/100</f>
        <v>7.1999999999999995E-2</v>
      </c>
      <c r="V1211" s="142">
        <f>B1211*IBGE_2!V$1211/100</f>
        <v>1.9710000000000003</v>
      </c>
      <c r="W1211" s="142">
        <f>B1211*IBGE_2!W$1211/100</f>
        <v>48</v>
      </c>
      <c r="X1211" s="142">
        <f>B1211*IBGE_2!X$1211/100</f>
        <v>9.8000000000000004E-2</v>
      </c>
      <c r="Y1211" s="142">
        <f>B1211*IBGE_2!Y$1211/100</f>
        <v>0.19</v>
      </c>
      <c r="Z1211" s="142">
        <f>B1211*IBGE_2!Z$1211/100</f>
        <v>0.40200000000000002</v>
      </c>
      <c r="AA1211" s="142">
        <f>B1211*IBGE_2!AA$1211/100</f>
        <v>8.7490000000000006</v>
      </c>
      <c r="AB1211" s="142" t="s">
        <v>3047</v>
      </c>
      <c r="AC1211" s="142">
        <f>B1211*IBGE_2!AC$1211/100</f>
        <v>13.927</v>
      </c>
      <c r="AD1211" s="142">
        <f>B1211*IBGE_2!AD$1211/100</f>
        <v>0.3</v>
      </c>
      <c r="AE1211" s="142">
        <f>B1211*IBGE_2!AE$1211/100</f>
        <v>14.067</v>
      </c>
      <c r="AF1211" s="142">
        <f>B1211*IBGE_2!AF$1211/100</f>
        <v>0.3</v>
      </c>
      <c r="AG1211" s="142">
        <f>B1211*IBGE_2!AG$1211/100</f>
        <v>0.48199999999999998</v>
      </c>
      <c r="AH1211" s="142">
        <f>B1211*IBGE_2!AH$1211/100</f>
        <v>0.46400000000000008</v>
      </c>
      <c r="AI1211" s="142">
        <f>B1211*IBGE_2!AI$1211/100</f>
        <v>333</v>
      </c>
      <c r="AJ1211" s="142">
        <f>B1211*IBGE_2!AJ$1211/100</f>
        <v>26.581</v>
      </c>
      <c r="AK1211" s="142">
        <f>B1211*IBGE_2!AK$1211/100</f>
        <v>48</v>
      </c>
      <c r="AL1211" s="142">
        <f>B1211*IBGE_2!AL$1211/100</f>
        <v>1.4000000000000002E-2</v>
      </c>
      <c r="AM1211" s="142" t="s">
        <v>3047</v>
      </c>
      <c r="AN1211" s="161"/>
    </row>
    <row r="1212" spans="1:40">
      <c r="A1212" s="143" t="s">
        <v>2272</v>
      </c>
      <c r="B1212" s="141">
        <v>100</v>
      </c>
      <c r="C1212" s="142">
        <f>B1212*IBGE_2!C$1212/100</f>
        <v>261.65899999999999</v>
      </c>
      <c r="D1212" s="142">
        <f>B1212*IBGE_2!D$1212/100</f>
        <v>27.3</v>
      </c>
      <c r="E1212" s="142">
        <f>B1212*IBGE_2!E$1212/100</f>
        <v>16.163</v>
      </c>
      <c r="F1212" s="142">
        <f>B1212*IBGE_2!F$1212/100</f>
        <v>4.1909999999999998</v>
      </c>
      <c r="G1212" s="142">
        <f>B1212*IBGE_2!G$1212/100</f>
        <v>5.9240000000000013</v>
      </c>
      <c r="H1212" s="142">
        <f>B1212*IBGE_2!H$1212/100</f>
        <v>4.45</v>
      </c>
      <c r="I1212" s="142">
        <f>B1212*IBGE_2!I$1212/100</f>
        <v>3.8759999999999994</v>
      </c>
      <c r="J1212" s="142">
        <f>B1212*IBGE_2!J$1212/100</f>
        <v>0.28399999999999997</v>
      </c>
      <c r="K1212" s="142">
        <f>B1212*IBGE_2!K$1212/100</f>
        <v>88</v>
      </c>
      <c r="L1212" s="142" t="s">
        <v>3047</v>
      </c>
      <c r="M1212" s="142" t="s">
        <v>3047</v>
      </c>
      <c r="N1212" s="142">
        <f>B1212*IBGE_2!N$1212/100</f>
        <v>15</v>
      </c>
      <c r="O1212" s="142">
        <f>B1212*IBGE_2!O$1212/100</f>
        <v>23</v>
      </c>
      <c r="P1212" s="142">
        <f>B1212*IBGE_2!P$1212/100</f>
        <v>0.02</v>
      </c>
      <c r="Q1212" s="142">
        <f>B1212*IBGE_2!Q$1212/100</f>
        <v>182</v>
      </c>
      <c r="R1212" s="142">
        <f>B1212*IBGE_2!R$1212/100</f>
        <v>1.2609999999999999</v>
      </c>
      <c r="S1212" s="142">
        <f>B1212*IBGE_2!S$1212/100</f>
        <v>82</v>
      </c>
      <c r="T1212" s="142">
        <f>B1212*IBGE_2!T$1212/100</f>
        <v>223</v>
      </c>
      <c r="U1212" s="142">
        <f>B1212*IBGE_2!U$1212/100</f>
        <v>6.6000000000000003E-2</v>
      </c>
      <c r="V1212" s="142">
        <f>B1212*IBGE_2!V$1212/100</f>
        <v>1.94</v>
      </c>
      <c r="W1212" s="142">
        <f>B1212*IBGE_2!W$1212/100</f>
        <v>48</v>
      </c>
      <c r="X1212" s="142">
        <f>B1212*IBGE_2!X$1212/100</f>
        <v>6.3E-2</v>
      </c>
      <c r="Y1212" s="142">
        <f>B1212*IBGE_2!Y$1212/100</f>
        <v>0.16800000000000001</v>
      </c>
      <c r="Z1212" s="142">
        <f>B1212*IBGE_2!Z$1212/100</f>
        <v>0.4</v>
      </c>
      <c r="AA1212" s="142">
        <f>B1212*IBGE_2!AA$1212/100</f>
        <v>8.4870000000000001</v>
      </c>
      <c r="AB1212" s="142" t="s">
        <v>3047</v>
      </c>
      <c r="AC1212" s="142">
        <f>B1212*IBGE_2!AC$1212/100</f>
        <v>13.57</v>
      </c>
      <c r="AD1212" s="142">
        <f>B1212*IBGE_2!AD$1212/100</f>
        <v>0.3</v>
      </c>
      <c r="AE1212" s="142">
        <f>B1212*IBGE_2!AE$1212/100</f>
        <v>5</v>
      </c>
      <c r="AF1212" s="142">
        <f>B1212*IBGE_2!AF$1212/100</f>
        <v>0.3</v>
      </c>
      <c r="AG1212" s="142">
        <f>B1212*IBGE_2!AG$1212/100</f>
        <v>0.48</v>
      </c>
      <c r="AH1212" s="142">
        <f>B1212*IBGE_2!AH$1212/100</f>
        <v>0.46400000000000008</v>
      </c>
      <c r="AI1212" s="142">
        <f>B1212*IBGE_2!AI$1212/100</f>
        <v>333</v>
      </c>
      <c r="AJ1212" s="142">
        <f>B1212*IBGE_2!AJ$1212/100</f>
        <v>25.074999999999999</v>
      </c>
      <c r="AK1212" s="142">
        <f>B1212*IBGE_2!AK$1212/100</f>
        <v>48</v>
      </c>
      <c r="AL1212" s="145" t="s">
        <v>3047</v>
      </c>
      <c r="AM1212" s="142" t="s">
        <v>3047</v>
      </c>
      <c r="AN1212" s="161"/>
    </row>
    <row r="1213" spans="1:40">
      <c r="A1213" s="143" t="s">
        <v>2273</v>
      </c>
      <c r="B1213" s="141">
        <v>100</v>
      </c>
      <c r="C1213" s="142">
        <f>B1213*IBGE_2!C$1213/100</f>
        <v>196</v>
      </c>
      <c r="D1213" s="142">
        <f>B1213*IBGE_2!D$1213/100</f>
        <v>22.103999999999999</v>
      </c>
      <c r="E1213" s="142">
        <f>B1213*IBGE_2!E$1213/100</f>
        <v>10.916000000000002</v>
      </c>
      <c r="F1213" s="142">
        <f>B1213*IBGE_2!F$1213/100</f>
        <v>3.0369999999999999</v>
      </c>
      <c r="G1213" s="142">
        <f>B1213*IBGE_2!G$1213/100</f>
        <v>4.2770000000000001</v>
      </c>
      <c r="H1213" s="142">
        <f>B1213*IBGE_2!H$1213/100</f>
        <v>2.391</v>
      </c>
      <c r="I1213" s="142">
        <f>B1213*IBGE_2!I$1213/100</f>
        <v>2.0699999999999998</v>
      </c>
      <c r="J1213" s="142">
        <f>B1213*IBGE_2!J$1213/100</f>
        <v>8.900000000000001E-2</v>
      </c>
      <c r="K1213" s="142">
        <f>B1213*IBGE_2!K$1213/100</f>
        <v>70.400000000000006</v>
      </c>
      <c r="L1213" s="142">
        <f>B1213*IBGE_2!L$1213/100</f>
        <v>1.0760000000000001</v>
      </c>
      <c r="M1213" s="142">
        <f>B1213*IBGE_2!M$1213/100</f>
        <v>0.3</v>
      </c>
      <c r="N1213" s="142">
        <f>B1213*IBGE_2!N$1213/100</f>
        <v>14.6</v>
      </c>
      <c r="O1213" s="142">
        <f>B1213*IBGE_2!O$1213/100</f>
        <v>21.6</v>
      </c>
      <c r="P1213" s="142">
        <f>B1213*IBGE_2!P$1213/100</f>
        <v>3.6999999999999998E-2</v>
      </c>
      <c r="Q1213" s="142">
        <f>B1213*IBGE_2!Q$1213/100</f>
        <v>150.80000000000001</v>
      </c>
      <c r="R1213" s="142">
        <f>B1213*IBGE_2!R$1213/100</f>
        <v>1.212</v>
      </c>
      <c r="S1213" s="142">
        <f>B1213*IBGE_2!S$1213/100</f>
        <v>170.4</v>
      </c>
      <c r="T1213" s="142">
        <f>B1213*IBGE_2!T$1213/100</f>
        <v>244.6</v>
      </c>
      <c r="U1213" s="142">
        <f>B1213*IBGE_2!U$1213/100</f>
        <v>7.5999999999999998E-2</v>
      </c>
      <c r="V1213" s="142">
        <f>B1213*IBGE_2!V$1213/100</f>
        <v>1.5920000000000001</v>
      </c>
      <c r="W1213" s="142">
        <f>B1213*IBGE_2!W$1213/100</f>
        <v>38.4</v>
      </c>
      <c r="X1213" s="142">
        <f>B1213*IBGE_2!X$1213/100</f>
        <v>5.5E-2</v>
      </c>
      <c r="Y1213" s="142">
        <f>B1213*IBGE_2!Y$1213/100</f>
        <v>0.14799999999999999</v>
      </c>
      <c r="Z1213" s="142">
        <f>B1213*IBGE_2!Z$1213/100</f>
        <v>0.33900000000000008</v>
      </c>
      <c r="AA1213" s="142">
        <f>B1213*IBGE_2!AA$1213/100</f>
        <v>6.9850000000000003</v>
      </c>
      <c r="AB1213" s="142">
        <f>B1213*IBGE_2!AB$1213/100</f>
        <v>1.4</v>
      </c>
      <c r="AC1213" s="142">
        <f>B1213*IBGE_2!AC$1213/100</f>
        <v>11.085000000000001</v>
      </c>
      <c r="AD1213" s="142">
        <f>B1213*IBGE_2!AD$1213/100</f>
        <v>0.24</v>
      </c>
      <c r="AE1213" s="142">
        <f>B1213*IBGE_2!AE$1213/100</f>
        <v>6.2</v>
      </c>
      <c r="AF1213" s="142">
        <f>B1213*IBGE_2!AF$1213/100</f>
        <v>0.24</v>
      </c>
      <c r="AG1213" s="142">
        <f>B1213*IBGE_2!AG$1213/100</f>
        <v>0.5</v>
      </c>
      <c r="AH1213" s="142">
        <f>B1213*IBGE_2!AH$1213/100</f>
        <v>0.36</v>
      </c>
      <c r="AI1213" s="142">
        <f>B1213*IBGE_2!AI$1213/100</f>
        <v>333</v>
      </c>
      <c r="AJ1213" s="142">
        <f>B1213*IBGE_2!AJ$1213/100</f>
        <v>19.16</v>
      </c>
      <c r="AK1213" s="142">
        <f>B1213*IBGE_2!AK$1213/100</f>
        <v>41.883000000000003</v>
      </c>
      <c r="AL1213" s="142">
        <f>B1213*IBGE_2!AL$1213/100</f>
        <v>0.85</v>
      </c>
      <c r="AM1213" s="142" t="s">
        <v>3047</v>
      </c>
      <c r="AN1213" s="161"/>
    </row>
    <row r="1214" spans="1:40">
      <c r="A1214" s="143" t="s">
        <v>2274</v>
      </c>
      <c r="B1214" s="141">
        <v>100</v>
      </c>
      <c r="C1214" s="142">
        <f>B1214*IBGE_2!C$1214/100</f>
        <v>261.65899999999999</v>
      </c>
      <c r="D1214" s="142">
        <f>B1214*IBGE_2!D$1214/100</f>
        <v>27.3</v>
      </c>
      <c r="E1214" s="142">
        <f>B1214*IBGE_2!E$1214/100</f>
        <v>16.163</v>
      </c>
      <c r="F1214" s="142">
        <f>B1214*IBGE_2!F$1214/100</f>
        <v>4.1909999999999998</v>
      </c>
      <c r="G1214" s="142">
        <f>B1214*IBGE_2!G$1214/100</f>
        <v>5.9240000000000013</v>
      </c>
      <c r="H1214" s="142">
        <f>B1214*IBGE_2!H$1214/100</f>
        <v>4.45</v>
      </c>
      <c r="I1214" s="142">
        <f>B1214*IBGE_2!I$1214/100</f>
        <v>3.8759999999999994</v>
      </c>
      <c r="J1214" s="142">
        <f>B1214*IBGE_2!J$1214/100</f>
        <v>0.28399999999999997</v>
      </c>
      <c r="K1214" s="142">
        <f>B1214*IBGE_2!K$1214/100</f>
        <v>88</v>
      </c>
      <c r="L1214" s="142" t="s">
        <v>3047</v>
      </c>
      <c r="M1214" s="142" t="s">
        <v>3047</v>
      </c>
      <c r="N1214" s="142">
        <f>B1214*IBGE_2!N$1214/100</f>
        <v>15</v>
      </c>
      <c r="O1214" s="142">
        <f>B1214*IBGE_2!O$1214/100</f>
        <v>23</v>
      </c>
      <c r="P1214" s="142">
        <f>B1214*IBGE_2!P$1214/100</f>
        <v>0.02</v>
      </c>
      <c r="Q1214" s="142">
        <f>B1214*IBGE_2!Q$1214/100</f>
        <v>182</v>
      </c>
      <c r="R1214" s="142">
        <f>B1214*IBGE_2!R$1214/100</f>
        <v>1.2609999999999999</v>
      </c>
      <c r="S1214" s="142">
        <f>B1214*IBGE_2!S$1214/100</f>
        <v>82</v>
      </c>
      <c r="T1214" s="142">
        <f>B1214*IBGE_2!T$1214/100</f>
        <v>223</v>
      </c>
      <c r="U1214" s="142">
        <f>B1214*IBGE_2!U$1214/100</f>
        <v>6.6000000000000003E-2</v>
      </c>
      <c r="V1214" s="142">
        <f>B1214*IBGE_2!V$1214/100</f>
        <v>1.94</v>
      </c>
      <c r="W1214" s="142">
        <f>B1214*IBGE_2!W$1214/100</f>
        <v>48</v>
      </c>
      <c r="X1214" s="142">
        <f>B1214*IBGE_2!X$1214/100</f>
        <v>6.3E-2</v>
      </c>
      <c r="Y1214" s="142">
        <f>B1214*IBGE_2!Y$1214/100</f>
        <v>0.16800000000000001</v>
      </c>
      <c r="Z1214" s="142">
        <f>B1214*IBGE_2!Z$1214/100</f>
        <v>0.4</v>
      </c>
      <c r="AA1214" s="142">
        <f>B1214*IBGE_2!AA$1214/100</f>
        <v>8.4870000000000001</v>
      </c>
      <c r="AB1214" s="142" t="s">
        <v>3047</v>
      </c>
      <c r="AC1214" s="142">
        <f>B1214*IBGE_2!AC$1214/100</f>
        <v>13.57</v>
      </c>
      <c r="AD1214" s="142">
        <f>B1214*IBGE_2!AD$1214/100</f>
        <v>0.3</v>
      </c>
      <c r="AE1214" s="142">
        <f>B1214*IBGE_2!AE$1214/100</f>
        <v>5</v>
      </c>
      <c r="AF1214" s="142">
        <f>B1214*IBGE_2!AF$1214/100</f>
        <v>0.3</v>
      </c>
      <c r="AG1214" s="142">
        <f>B1214*IBGE_2!AG$1214/100</f>
        <v>0.48</v>
      </c>
      <c r="AH1214" s="142">
        <f>B1214*IBGE_2!AH$1214/100</f>
        <v>0.46400000000000008</v>
      </c>
      <c r="AI1214" s="142">
        <f>B1214*IBGE_2!AI$1214/100</f>
        <v>333</v>
      </c>
      <c r="AJ1214" s="142">
        <f>B1214*IBGE_2!AJ$1214/100</f>
        <v>25.074999999999999</v>
      </c>
      <c r="AK1214" s="142">
        <f>B1214*IBGE_2!AK$1214/100</f>
        <v>48</v>
      </c>
      <c r="AL1214" s="142" t="s">
        <v>3047</v>
      </c>
      <c r="AM1214" s="142" t="s">
        <v>3047</v>
      </c>
      <c r="AN1214" s="161"/>
    </row>
    <row r="1215" spans="1:40">
      <c r="A1215" s="143" t="s">
        <v>2275</v>
      </c>
      <c r="B1215" s="141">
        <v>100</v>
      </c>
      <c r="C1215" s="142">
        <f>B1215*IBGE_2!C$1215/100</f>
        <v>239</v>
      </c>
      <c r="D1215" s="142">
        <f>B1215*IBGE_2!D$1215/100</f>
        <v>27.3</v>
      </c>
      <c r="E1215" s="142">
        <f>B1215*IBGE_2!E$1215/100</f>
        <v>13.6</v>
      </c>
      <c r="F1215" s="142">
        <f>B1215*IBGE_2!F$1215/100</f>
        <v>3.79</v>
      </c>
      <c r="G1215" s="142">
        <f>B1215*IBGE_2!G$1215/100</f>
        <v>5.34</v>
      </c>
      <c r="H1215" s="142">
        <f>B1215*IBGE_2!H$1215/100</f>
        <v>2.97</v>
      </c>
      <c r="I1215" s="142">
        <f>B1215*IBGE_2!I$1215/100</f>
        <v>2.57</v>
      </c>
      <c r="J1215" s="142">
        <f>B1215*IBGE_2!J$1215/100</f>
        <v>0.11</v>
      </c>
      <c r="K1215" s="142">
        <f>B1215*IBGE_2!K$1215/100</f>
        <v>88</v>
      </c>
      <c r="L1215" s="142" t="s">
        <v>3047</v>
      </c>
      <c r="M1215" s="142" t="s">
        <v>3047</v>
      </c>
      <c r="N1215" s="142">
        <f>B1215*IBGE_2!N$1215/100</f>
        <v>15</v>
      </c>
      <c r="O1215" s="142">
        <f>B1215*IBGE_2!O$1215/100</f>
        <v>23</v>
      </c>
      <c r="P1215" s="142">
        <f>B1215*IBGE_2!P$1215/100</f>
        <v>0.02</v>
      </c>
      <c r="Q1215" s="142">
        <f>B1215*IBGE_2!Q$1215/100</f>
        <v>182</v>
      </c>
      <c r="R1215" s="142">
        <f>B1215*IBGE_2!R$1215/100</f>
        <v>1.26</v>
      </c>
      <c r="S1215" s="142">
        <f>B1215*IBGE_2!S$1215/100</f>
        <v>82</v>
      </c>
      <c r="T1215" s="142">
        <f>B1215*IBGE_2!T$1215/100</f>
        <v>223</v>
      </c>
      <c r="U1215" s="142">
        <f>B1215*IBGE_2!U$1215/100</f>
        <v>6.6000000000000003E-2</v>
      </c>
      <c r="V1215" s="142">
        <f>B1215*IBGE_2!V$1215/100</f>
        <v>1.94</v>
      </c>
      <c r="W1215" s="142">
        <f>B1215*IBGE_2!W$1215/100</f>
        <v>48</v>
      </c>
      <c r="X1215" s="142">
        <f>B1215*IBGE_2!X$1215/100</f>
        <v>6.3E-2</v>
      </c>
      <c r="Y1215" s="142">
        <f>B1215*IBGE_2!Y$1215/100</f>
        <v>0.16800000000000001</v>
      </c>
      <c r="Z1215" s="142">
        <f>B1215*IBGE_2!Z$1215/100</f>
        <v>0.4</v>
      </c>
      <c r="AA1215" s="142">
        <f>B1215*IBGE_2!AA$1215/100</f>
        <v>8.4870000000000001</v>
      </c>
      <c r="AB1215" s="142" t="s">
        <v>3047</v>
      </c>
      <c r="AC1215" s="142">
        <f>B1215*IBGE_2!AC$1215/100</f>
        <v>13.57</v>
      </c>
      <c r="AD1215" s="142">
        <f>B1215*IBGE_2!AD$1215/100</f>
        <v>0.3</v>
      </c>
      <c r="AE1215" s="142">
        <f>B1215*IBGE_2!AE$1215/100</f>
        <v>5</v>
      </c>
      <c r="AF1215" s="142">
        <f>B1215*IBGE_2!AF$1215/100</f>
        <v>0.3</v>
      </c>
      <c r="AG1215" s="142">
        <f>B1215*IBGE_2!AG$1215/100</f>
        <v>0.27</v>
      </c>
      <c r="AH1215" s="142">
        <f>B1215*IBGE_2!AH$1215/100</f>
        <v>0.45</v>
      </c>
      <c r="AI1215" s="142">
        <f>B1215*IBGE_2!AI$1215/100</f>
        <v>333</v>
      </c>
      <c r="AJ1215" s="142">
        <f>B1215*IBGE_2!AJ$1215/100</f>
        <v>23.9</v>
      </c>
      <c r="AK1215" s="142">
        <f>B1215*IBGE_2!AK$1215/100</f>
        <v>48</v>
      </c>
      <c r="AL1215" s="142" t="s">
        <v>3047</v>
      </c>
      <c r="AM1215" s="142" t="s">
        <v>3047</v>
      </c>
      <c r="AN1215" s="161"/>
    </row>
    <row r="1216" spans="1:40">
      <c r="A1216" s="143" t="s">
        <v>2276</v>
      </c>
      <c r="B1216" s="141">
        <v>100</v>
      </c>
      <c r="C1216" s="142">
        <f>B1216*IBGE_2!C$1216/100</f>
        <v>239</v>
      </c>
      <c r="D1216" s="142">
        <f>B1216*IBGE_2!D$1216/100</f>
        <v>27.3</v>
      </c>
      <c r="E1216" s="142">
        <f>B1216*IBGE_2!E$1216/100</f>
        <v>13.6</v>
      </c>
      <c r="F1216" s="142">
        <f>B1216*IBGE_2!F$1216/100</f>
        <v>3.79</v>
      </c>
      <c r="G1216" s="142">
        <f>B1216*IBGE_2!G$1216/100</f>
        <v>5.34</v>
      </c>
      <c r="H1216" s="142">
        <f>B1216*IBGE_2!H$1216/100</f>
        <v>2.97</v>
      </c>
      <c r="I1216" s="142">
        <f>B1216*IBGE_2!I$1216/100</f>
        <v>2.57</v>
      </c>
      <c r="J1216" s="142">
        <f>B1216*IBGE_2!J$1216/100</f>
        <v>0.11</v>
      </c>
      <c r="K1216" s="142">
        <f>B1216*IBGE_2!K$1216/100</f>
        <v>88</v>
      </c>
      <c r="L1216" s="142" t="s">
        <v>3047</v>
      </c>
      <c r="M1216" s="142" t="s">
        <v>3047</v>
      </c>
      <c r="N1216" s="142">
        <f>B1216*IBGE_2!N$1216/100</f>
        <v>15</v>
      </c>
      <c r="O1216" s="142">
        <f>B1216*IBGE_2!O$1216/100</f>
        <v>23</v>
      </c>
      <c r="P1216" s="142">
        <f>B1216*IBGE_2!P$1216/100</f>
        <v>0.02</v>
      </c>
      <c r="Q1216" s="142">
        <f>B1216*IBGE_2!Q$1216/100</f>
        <v>182</v>
      </c>
      <c r="R1216" s="142">
        <f>B1216*IBGE_2!R$1216/100</f>
        <v>1.26</v>
      </c>
      <c r="S1216" s="142">
        <f>B1216*IBGE_2!S$1216/100</f>
        <v>82</v>
      </c>
      <c r="T1216" s="142">
        <f>B1216*IBGE_2!T$1216/100</f>
        <v>223</v>
      </c>
      <c r="U1216" s="142">
        <f>B1216*IBGE_2!U$1216/100</f>
        <v>6.6000000000000003E-2</v>
      </c>
      <c r="V1216" s="142">
        <f>B1216*IBGE_2!V$1216/100</f>
        <v>1.94</v>
      </c>
      <c r="W1216" s="142">
        <f>B1216*IBGE_2!W$1216/100</f>
        <v>48</v>
      </c>
      <c r="X1216" s="142">
        <f>B1216*IBGE_2!X$1216/100</f>
        <v>6.3E-2</v>
      </c>
      <c r="Y1216" s="142">
        <f>B1216*IBGE_2!Y$1216/100</f>
        <v>0.16800000000000001</v>
      </c>
      <c r="Z1216" s="142">
        <f>B1216*IBGE_2!Z$1216/100</f>
        <v>0.4</v>
      </c>
      <c r="AA1216" s="142">
        <f>B1216*IBGE_2!AA$1216/100</f>
        <v>8.4870000000000001</v>
      </c>
      <c r="AB1216" s="142" t="s">
        <v>3047</v>
      </c>
      <c r="AC1216" s="142">
        <f>B1216*IBGE_2!AC$1216/100</f>
        <v>13.57</v>
      </c>
      <c r="AD1216" s="142">
        <f>B1216*IBGE_2!AD$1216/100</f>
        <v>0.3</v>
      </c>
      <c r="AE1216" s="142">
        <f>B1216*IBGE_2!AE$1216/100</f>
        <v>5</v>
      </c>
      <c r="AF1216" s="142">
        <f>B1216*IBGE_2!AF$1216/100</f>
        <v>0.3</v>
      </c>
      <c r="AG1216" s="142">
        <f>B1216*IBGE_2!AG$1216/100</f>
        <v>0.27</v>
      </c>
      <c r="AH1216" s="142">
        <f>B1216*IBGE_2!AH$1216/100</f>
        <v>0.45</v>
      </c>
      <c r="AI1216" s="142">
        <f>B1216*IBGE_2!AI$1216/100</f>
        <v>333</v>
      </c>
      <c r="AJ1216" s="142">
        <f>B1216*IBGE_2!AJ$1216/100</f>
        <v>23.9</v>
      </c>
      <c r="AK1216" s="142">
        <f>B1216*IBGE_2!AK$1216/100</f>
        <v>48</v>
      </c>
      <c r="AL1216" s="142" t="s">
        <v>3047</v>
      </c>
      <c r="AM1216" s="142" t="s">
        <v>3047</v>
      </c>
      <c r="AN1216" s="161"/>
    </row>
    <row r="1217" spans="1:40">
      <c r="A1217" s="143" t="s">
        <v>2277</v>
      </c>
      <c r="B1217" s="141">
        <v>100</v>
      </c>
      <c r="C1217" s="142">
        <f>B1217*IBGE_2!C$1217/100</f>
        <v>239</v>
      </c>
      <c r="D1217" s="142">
        <f>B1217*IBGE_2!D$1217/100</f>
        <v>27.3</v>
      </c>
      <c r="E1217" s="142">
        <f>B1217*IBGE_2!E$1217/100</f>
        <v>13.6</v>
      </c>
      <c r="F1217" s="142">
        <f>B1217*IBGE_2!F$1217/100</f>
        <v>3.79</v>
      </c>
      <c r="G1217" s="142">
        <f>B1217*IBGE_2!G$1217/100</f>
        <v>5.34</v>
      </c>
      <c r="H1217" s="142">
        <f>B1217*IBGE_2!H$1217/100</f>
        <v>2.97</v>
      </c>
      <c r="I1217" s="142">
        <f>B1217*IBGE_2!I$1217/100</f>
        <v>2.57</v>
      </c>
      <c r="J1217" s="142">
        <f>B1217*IBGE_2!J$1217/100</f>
        <v>0.11</v>
      </c>
      <c r="K1217" s="142">
        <f>B1217*IBGE_2!K$1217/100</f>
        <v>88</v>
      </c>
      <c r="L1217" s="142" t="s">
        <v>3047</v>
      </c>
      <c r="M1217" s="142" t="s">
        <v>3047</v>
      </c>
      <c r="N1217" s="142">
        <f>B1217*IBGE_2!N$1217/100</f>
        <v>15</v>
      </c>
      <c r="O1217" s="142">
        <f>B1217*IBGE_2!O$1217/100</f>
        <v>23</v>
      </c>
      <c r="P1217" s="142">
        <f>B1217*IBGE_2!P$1217/100</f>
        <v>0.02</v>
      </c>
      <c r="Q1217" s="142">
        <f>B1217*IBGE_2!Q$1217/100</f>
        <v>182</v>
      </c>
      <c r="R1217" s="142">
        <f>B1217*IBGE_2!R$1217/100</f>
        <v>1.26</v>
      </c>
      <c r="S1217" s="142">
        <f>B1217*IBGE_2!S$1217/100</f>
        <v>82</v>
      </c>
      <c r="T1217" s="142">
        <f>B1217*IBGE_2!T$1217/100</f>
        <v>223</v>
      </c>
      <c r="U1217" s="142">
        <f>B1217*IBGE_2!U$1217/100</f>
        <v>6.6000000000000003E-2</v>
      </c>
      <c r="V1217" s="142">
        <f>B1217*IBGE_2!V$1217/100</f>
        <v>1.94</v>
      </c>
      <c r="W1217" s="142">
        <f>B1217*IBGE_2!W$1217/100</f>
        <v>48</v>
      </c>
      <c r="X1217" s="142">
        <f>B1217*IBGE_2!X$1217/100</f>
        <v>6.3E-2</v>
      </c>
      <c r="Y1217" s="142">
        <f>B1217*IBGE_2!Y$1217/100</f>
        <v>0.16800000000000001</v>
      </c>
      <c r="Z1217" s="142">
        <f>B1217*IBGE_2!Z$1217/100</f>
        <v>0.4</v>
      </c>
      <c r="AA1217" s="142">
        <f>B1217*IBGE_2!AA$1217/100</f>
        <v>8.4870000000000001</v>
      </c>
      <c r="AB1217" s="142" t="s">
        <v>3047</v>
      </c>
      <c r="AC1217" s="142">
        <f>B1217*IBGE_2!AC$1217/100</f>
        <v>13.57</v>
      </c>
      <c r="AD1217" s="142">
        <f>B1217*IBGE_2!AD$1217/100</f>
        <v>0.3</v>
      </c>
      <c r="AE1217" s="142">
        <f>B1217*IBGE_2!AE$1217/100</f>
        <v>5</v>
      </c>
      <c r="AF1217" s="142">
        <f>B1217*IBGE_2!AF$1217/100</f>
        <v>0.3</v>
      </c>
      <c r="AG1217" s="142">
        <f>B1217*IBGE_2!AG$1217/100</f>
        <v>0.27</v>
      </c>
      <c r="AH1217" s="142">
        <f>B1217*IBGE_2!AH$1217/100</f>
        <v>0.45</v>
      </c>
      <c r="AI1217" s="142">
        <f>B1217*IBGE_2!AI$1217/100</f>
        <v>333</v>
      </c>
      <c r="AJ1217" s="142">
        <f>B1217*IBGE_2!AJ$1217/100</f>
        <v>23.9</v>
      </c>
      <c r="AK1217" s="142">
        <f>B1217*IBGE_2!AK$1217/100</f>
        <v>48</v>
      </c>
      <c r="AL1217" s="142" t="s">
        <v>3047</v>
      </c>
      <c r="AM1217" s="142" t="s">
        <v>3047</v>
      </c>
      <c r="AN1217" s="161"/>
    </row>
    <row r="1218" spans="1:40">
      <c r="A1218" s="143" t="s">
        <v>2278</v>
      </c>
      <c r="B1218" s="141">
        <v>100</v>
      </c>
      <c r="C1218" s="142">
        <f>B1218*IBGE_2!C$1218/100</f>
        <v>239</v>
      </c>
      <c r="D1218" s="142">
        <f>B1218*IBGE_2!D$1218/100</f>
        <v>27.3</v>
      </c>
      <c r="E1218" s="142">
        <f>B1218*IBGE_2!E$1218/100</f>
        <v>13.6</v>
      </c>
      <c r="F1218" s="142">
        <f>B1218*IBGE_2!F$1218/100</f>
        <v>3.79</v>
      </c>
      <c r="G1218" s="142">
        <f>B1218*IBGE_2!G$1218/100</f>
        <v>5.34</v>
      </c>
      <c r="H1218" s="142">
        <f>B1218*IBGE_2!H$1218/100</f>
        <v>2.97</v>
      </c>
      <c r="I1218" s="142">
        <f>B1218*IBGE_2!I$1218/100</f>
        <v>2.57</v>
      </c>
      <c r="J1218" s="142">
        <f>B1218*IBGE_2!J$1218/100</f>
        <v>0.11</v>
      </c>
      <c r="K1218" s="142">
        <f>B1218*IBGE_2!K$1218/100</f>
        <v>88</v>
      </c>
      <c r="L1218" s="142" t="s">
        <v>3047</v>
      </c>
      <c r="M1218" s="142" t="s">
        <v>3047</v>
      </c>
      <c r="N1218" s="142">
        <f>B1218*IBGE_2!N$1218/100</f>
        <v>15</v>
      </c>
      <c r="O1218" s="142">
        <f>B1218*IBGE_2!O$1218/100</f>
        <v>23</v>
      </c>
      <c r="P1218" s="142">
        <f>B1218*IBGE_2!P$1218/100</f>
        <v>0.02</v>
      </c>
      <c r="Q1218" s="142">
        <f>B1218*IBGE_2!Q$1218/100</f>
        <v>182</v>
      </c>
      <c r="R1218" s="142">
        <f>B1218*IBGE_2!R$1218/100</f>
        <v>1.26</v>
      </c>
      <c r="S1218" s="142">
        <f>B1218*IBGE_2!S$1218/100</f>
        <v>82</v>
      </c>
      <c r="T1218" s="142">
        <f>B1218*IBGE_2!T$1218/100</f>
        <v>223</v>
      </c>
      <c r="U1218" s="142">
        <f>B1218*IBGE_2!U$1218/100</f>
        <v>6.6000000000000003E-2</v>
      </c>
      <c r="V1218" s="142">
        <f>B1218*IBGE_2!V$1218/100</f>
        <v>1.94</v>
      </c>
      <c r="W1218" s="142">
        <f>B1218*IBGE_2!W$1218/100</f>
        <v>48</v>
      </c>
      <c r="X1218" s="142">
        <f>B1218*IBGE_2!X$1218/100</f>
        <v>6.3E-2</v>
      </c>
      <c r="Y1218" s="142">
        <f>B1218*IBGE_2!Y$1218/100</f>
        <v>0.16800000000000001</v>
      </c>
      <c r="Z1218" s="142">
        <f>B1218*IBGE_2!Z$1218/100</f>
        <v>0.4</v>
      </c>
      <c r="AA1218" s="142">
        <f>B1218*IBGE_2!AA$1218/100</f>
        <v>8.4870000000000001</v>
      </c>
      <c r="AB1218" s="142" t="s">
        <v>3047</v>
      </c>
      <c r="AC1218" s="142">
        <f>B1218*IBGE_2!AC$1218/100</f>
        <v>13.57</v>
      </c>
      <c r="AD1218" s="142">
        <f>B1218*IBGE_2!AD$1218/100</f>
        <v>0.3</v>
      </c>
      <c r="AE1218" s="142">
        <f>B1218*IBGE_2!AE$1218/100</f>
        <v>5</v>
      </c>
      <c r="AF1218" s="142">
        <f>B1218*IBGE_2!AF$1218/100</f>
        <v>0.3</v>
      </c>
      <c r="AG1218" s="142">
        <f>B1218*IBGE_2!AG$1218/100</f>
        <v>0.27</v>
      </c>
      <c r="AH1218" s="142">
        <f>B1218*IBGE_2!AH$1218/100</f>
        <v>0.45</v>
      </c>
      <c r="AI1218" s="142">
        <f>B1218*IBGE_2!AI$1218/100</f>
        <v>333</v>
      </c>
      <c r="AJ1218" s="142">
        <f>B1218*IBGE_2!AJ$1218/100</f>
        <v>23.9</v>
      </c>
      <c r="AK1218" s="142">
        <f>B1218*IBGE_2!AK$1218/100</f>
        <v>48</v>
      </c>
      <c r="AL1218" s="142" t="s">
        <v>3047</v>
      </c>
      <c r="AM1218" s="142" t="s">
        <v>3047</v>
      </c>
      <c r="AN1218" s="161"/>
    </row>
    <row r="1219" spans="1:40">
      <c r="A1219" s="143" t="s">
        <v>2279</v>
      </c>
      <c r="B1219" s="141">
        <v>100</v>
      </c>
      <c r="C1219" s="142">
        <f>B1219*IBGE_2!C$1219/100</f>
        <v>261.65899999999999</v>
      </c>
      <c r="D1219" s="142">
        <f>B1219*IBGE_2!D$1219/100</f>
        <v>27.3</v>
      </c>
      <c r="E1219" s="142">
        <f>B1219*IBGE_2!E$1219/100</f>
        <v>16.163</v>
      </c>
      <c r="F1219" s="142">
        <f>B1219*IBGE_2!F$1219/100</f>
        <v>4.1909999999999998</v>
      </c>
      <c r="G1219" s="142">
        <f>B1219*IBGE_2!G$1219/100</f>
        <v>5.9240000000000013</v>
      </c>
      <c r="H1219" s="142">
        <f>B1219*IBGE_2!H$1219/100</f>
        <v>4.45</v>
      </c>
      <c r="I1219" s="142">
        <f>B1219*IBGE_2!I$1219/100</f>
        <v>3.8759999999999994</v>
      </c>
      <c r="J1219" s="142">
        <f>B1219*IBGE_2!J$1219/100</f>
        <v>0.28399999999999997</v>
      </c>
      <c r="K1219" s="142">
        <f>B1219*IBGE_2!K$1219/100</f>
        <v>88</v>
      </c>
      <c r="L1219" s="142" t="s">
        <v>3047</v>
      </c>
      <c r="M1219" s="142" t="s">
        <v>3047</v>
      </c>
      <c r="N1219" s="142">
        <f>B1219*IBGE_2!N$1219/100</f>
        <v>15</v>
      </c>
      <c r="O1219" s="142">
        <f>B1219*IBGE_2!O$1219/100</f>
        <v>23</v>
      </c>
      <c r="P1219" s="142">
        <f>B1219*IBGE_2!P$1219/100</f>
        <v>0.02</v>
      </c>
      <c r="Q1219" s="142">
        <f>B1219*IBGE_2!Q$1219/100</f>
        <v>182</v>
      </c>
      <c r="R1219" s="142">
        <f>B1219*IBGE_2!R$1219/100</f>
        <v>1.2609999999999999</v>
      </c>
      <c r="S1219" s="142">
        <f>B1219*IBGE_2!S$1219/100</f>
        <v>82</v>
      </c>
      <c r="T1219" s="142">
        <f>B1219*IBGE_2!T$1219/100</f>
        <v>223</v>
      </c>
      <c r="U1219" s="142">
        <f>B1219*IBGE_2!U$1219/100</f>
        <v>6.6000000000000003E-2</v>
      </c>
      <c r="V1219" s="142">
        <f>B1219*IBGE_2!V$1219/100</f>
        <v>1.94</v>
      </c>
      <c r="W1219" s="142">
        <f>B1219*IBGE_2!W$1219/100</f>
        <v>48</v>
      </c>
      <c r="X1219" s="142">
        <f>B1219*IBGE_2!X$1219/100</f>
        <v>6.3E-2</v>
      </c>
      <c r="Y1219" s="142">
        <f>B1219*IBGE_2!Y$1219/100</f>
        <v>0.16800000000000001</v>
      </c>
      <c r="Z1219" s="142">
        <f>B1219*IBGE_2!Z$1219/100</f>
        <v>0.4</v>
      </c>
      <c r="AA1219" s="142">
        <f>B1219*IBGE_2!AA$1219/100</f>
        <v>8.4870000000000001</v>
      </c>
      <c r="AB1219" s="142" t="s">
        <v>3047</v>
      </c>
      <c r="AC1219" s="142">
        <f>B1219*IBGE_2!AC$1219/100</f>
        <v>13.57</v>
      </c>
      <c r="AD1219" s="142">
        <f>B1219*IBGE_2!AD$1219/100</f>
        <v>0.3</v>
      </c>
      <c r="AE1219" s="142">
        <f>B1219*IBGE_2!AE$1219/100</f>
        <v>5</v>
      </c>
      <c r="AF1219" s="142">
        <f>B1219*IBGE_2!AF$1219/100</f>
        <v>0.3</v>
      </c>
      <c r="AG1219" s="142">
        <f>B1219*IBGE_2!AG$1219/100</f>
        <v>0.48</v>
      </c>
      <c r="AH1219" s="142">
        <f>B1219*IBGE_2!AH$1219/100</f>
        <v>0.46400000000000008</v>
      </c>
      <c r="AI1219" s="142">
        <f>B1219*IBGE_2!AI$1219/100</f>
        <v>333</v>
      </c>
      <c r="AJ1219" s="142">
        <f>B1219*IBGE_2!AJ$1219/100</f>
        <v>25.074999999999999</v>
      </c>
      <c r="AK1219" s="142">
        <f>B1219*IBGE_2!AK$1219/100</f>
        <v>48</v>
      </c>
      <c r="AL1219" s="142" t="s">
        <v>3047</v>
      </c>
      <c r="AM1219" s="142" t="s">
        <v>3047</v>
      </c>
      <c r="AN1219" s="161"/>
    </row>
    <row r="1220" spans="1:40">
      <c r="A1220" s="143" t="s">
        <v>2280</v>
      </c>
      <c r="B1220" s="141">
        <v>100</v>
      </c>
      <c r="C1220" s="142">
        <f>B1220*IBGE_2!C$1220/100</f>
        <v>277.83699999999999</v>
      </c>
      <c r="D1220" s="142">
        <f>B1220*IBGE_2!D$1220/100</f>
        <v>27.759</v>
      </c>
      <c r="E1220" s="142">
        <f>B1220*IBGE_2!E$1220/100</f>
        <v>16.207000000000001</v>
      </c>
      <c r="F1220" s="142">
        <f>B1220*IBGE_2!F$1220/100</f>
        <v>4.1980000000000004</v>
      </c>
      <c r="G1220" s="142">
        <f>B1220*IBGE_2!G$1220/100</f>
        <v>5.9279999999999999</v>
      </c>
      <c r="H1220" s="142">
        <f>B1220*IBGE_2!H$1220/100</f>
        <v>4.468</v>
      </c>
      <c r="I1220" s="142">
        <f>B1220*IBGE_2!I$1220/100</f>
        <v>3.8929999999999993</v>
      </c>
      <c r="J1220" s="142">
        <f>B1220*IBGE_2!J$1220/100</f>
        <v>0.28499999999999998</v>
      </c>
      <c r="K1220" s="142">
        <f>B1220*IBGE_2!K$1220/100</f>
        <v>88</v>
      </c>
      <c r="L1220" s="142">
        <f>B1220*IBGE_2!L$1220/100</f>
        <v>3.3919999999999999</v>
      </c>
      <c r="M1220" s="142">
        <f>B1220*IBGE_2!M$1220/100</f>
        <v>0.13500000000000001</v>
      </c>
      <c r="N1220" s="142">
        <f>B1220*IBGE_2!N$1220/100</f>
        <v>15.667</v>
      </c>
      <c r="O1220" s="142">
        <f>B1220*IBGE_2!O$1220/100</f>
        <v>23.978000000000002</v>
      </c>
      <c r="P1220" s="142">
        <f>B1220*IBGE_2!P$1220/100</f>
        <v>0.05</v>
      </c>
      <c r="Q1220" s="142">
        <f>B1220*IBGE_2!Q$1220/100</f>
        <v>186.8</v>
      </c>
      <c r="R1220" s="142">
        <f>B1220*IBGE_2!R$1220/100</f>
        <v>1.4680000000000002</v>
      </c>
      <c r="S1220" s="142">
        <f>B1220*IBGE_2!S$1220/100</f>
        <v>82.088999999999999</v>
      </c>
      <c r="T1220" s="142">
        <f>B1220*IBGE_2!T$1220/100</f>
        <v>227.75599999999997</v>
      </c>
      <c r="U1220" s="142">
        <f>B1220*IBGE_2!U$1220/100</f>
        <v>7.1999999999999995E-2</v>
      </c>
      <c r="V1220" s="142">
        <f>B1220*IBGE_2!V$1220/100</f>
        <v>1.9710000000000003</v>
      </c>
      <c r="W1220" s="142">
        <f>B1220*IBGE_2!W$1220/100</f>
        <v>48</v>
      </c>
      <c r="X1220" s="142">
        <f>B1220*IBGE_2!X$1220/100</f>
        <v>9.8000000000000004E-2</v>
      </c>
      <c r="Y1220" s="142">
        <f>B1220*IBGE_2!Y$1220/100</f>
        <v>0.19</v>
      </c>
      <c r="Z1220" s="142">
        <f>B1220*IBGE_2!Z$1220/100</f>
        <v>0.40200000000000002</v>
      </c>
      <c r="AA1220" s="142">
        <f>B1220*IBGE_2!AA$1220/100</f>
        <v>8.7490000000000006</v>
      </c>
      <c r="AB1220" s="142" t="s">
        <v>3047</v>
      </c>
      <c r="AC1220" s="142">
        <f>B1220*IBGE_2!AC$1220/100</f>
        <v>13.927</v>
      </c>
      <c r="AD1220" s="142">
        <f>B1220*IBGE_2!AD$1220/100</f>
        <v>0.3</v>
      </c>
      <c r="AE1220" s="142">
        <f>B1220*IBGE_2!AE$1220/100</f>
        <v>14.067</v>
      </c>
      <c r="AF1220" s="142">
        <f>B1220*IBGE_2!AF$1220/100</f>
        <v>0.3</v>
      </c>
      <c r="AG1220" s="142">
        <f>B1220*IBGE_2!AG$1220/100</f>
        <v>0.48199999999999998</v>
      </c>
      <c r="AH1220" s="142">
        <f>B1220*IBGE_2!AH$1220/100</f>
        <v>0.46400000000000008</v>
      </c>
      <c r="AI1220" s="142">
        <f>B1220*IBGE_2!AI$1220/100</f>
        <v>333</v>
      </c>
      <c r="AJ1220" s="142">
        <f>B1220*IBGE_2!AJ$1220/100</f>
        <v>26.581</v>
      </c>
      <c r="AK1220" s="142">
        <f>B1220*IBGE_2!AK$1220/100</f>
        <v>48</v>
      </c>
      <c r="AL1220" s="142">
        <f>B1220*IBGE_2!AL$1220/100</f>
        <v>1.4000000000000002E-2</v>
      </c>
      <c r="AM1220" s="142" t="s">
        <v>3047</v>
      </c>
      <c r="AN1220" s="161"/>
    </row>
    <row r="1221" spans="1:40">
      <c r="A1221" s="143" t="s">
        <v>2281</v>
      </c>
      <c r="B1221" s="141">
        <v>100</v>
      </c>
      <c r="C1221" s="142">
        <f>B1221*IBGE_2!C$1221/100</f>
        <v>261.65899999999999</v>
      </c>
      <c r="D1221" s="142">
        <f>B1221*IBGE_2!D$1221/100</f>
        <v>27.3</v>
      </c>
      <c r="E1221" s="142">
        <f>B1221*IBGE_2!E$1221/100</f>
        <v>16.163</v>
      </c>
      <c r="F1221" s="142">
        <f>B1221*IBGE_2!F$1221/100</f>
        <v>4.1909999999999998</v>
      </c>
      <c r="G1221" s="142">
        <f>B1221*IBGE_2!G$1221/100</f>
        <v>5.9240000000000013</v>
      </c>
      <c r="H1221" s="142">
        <f>B1221*IBGE_2!H$1221/100</f>
        <v>4.45</v>
      </c>
      <c r="I1221" s="142">
        <f>B1221*IBGE_2!I$1221/100</f>
        <v>3.8759999999999994</v>
      </c>
      <c r="J1221" s="142">
        <f>B1221*IBGE_2!J$1221/100</f>
        <v>0.28399999999999997</v>
      </c>
      <c r="K1221" s="142">
        <f>B1221*IBGE_2!K$1221/100</f>
        <v>88</v>
      </c>
      <c r="L1221" s="142" t="s">
        <v>3047</v>
      </c>
      <c r="M1221" s="142" t="s">
        <v>3047</v>
      </c>
      <c r="N1221" s="142">
        <f>B1221*IBGE_2!N$1221/100</f>
        <v>15</v>
      </c>
      <c r="O1221" s="142">
        <f>B1221*IBGE_2!O$1221/100</f>
        <v>23</v>
      </c>
      <c r="P1221" s="142">
        <f>B1221*IBGE_2!P$1221/100</f>
        <v>0.02</v>
      </c>
      <c r="Q1221" s="142">
        <f>B1221*IBGE_2!Q$1221/100</f>
        <v>182</v>
      </c>
      <c r="R1221" s="142">
        <f>B1221*IBGE_2!R$1221/100</f>
        <v>1.2609999999999999</v>
      </c>
      <c r="S1221" s="142">
        <f>B1221*IBGE_2!S$1221/100</f>
        <v>82</v>
      </c>
      <c r="T1221" s="142">
        <f>B1221*IBGE_2!T$1221/100</f>
        <v>223</v>
      </c>
      <c r="U1221" s="142">
        <f>B1221*IBGE_2!U$1221/100</f>
        <v>6.6000000000000003E-2</v>
      </c>
      <c r="V1221" s="142">
        <f>B1221*IBGE_2!V$1221/100</f>
        <v>1.94</v>
      </c>
      <c r="W1221" s="142">
        <f>B1221*IBGE_2!W$1221/100</f>
        <v>48</v>
      </c>
      <c r="X1221" s="142">
        <f>B1221*IBGE_2!X$1221/100</f>
        <v>6.3E-2</v>
      </c>
      <c r="Y1221" s="142">
        <f>B1221*IBGE_2!Y$1221/100</f>
        <v>0.16800000000000001</v>
      </c>
      <c r="Z1221" s="142">
        <f>B1221*IBGE_2!Z$1221/100</f>
        <v>0.4</v>
      </c>
      <c r="AA1221" s="142">
        <f>B1221*IBGE_2!AA$1221/100</f>
        <v>8.4870000000000001</v>
      </c>
      <c r="AB1221" s="142" t="s">
        <v>3047</v>
      </c>
      <c r="AC1221" s="142">
        <f>B1221*IBGE_2!AC$1221/100</f>
        <v>13.57</v>
      </c>
      <c r="AD1221" s="142">
        <f>B1221*IBGE_2!AD$1221/100</f>
        <v>0.3</v>
      </c>
      <c r="AE1221" s="142">
        <f>B1221*IBGE_2!AE$1221/100</f>
        <v>5</v>
      </c>
      <c r="AF1221" s="142">
        <f>B1221*IBGE_2!AF$1221/100</f>
        <v>0.3</v>
      </c>
      <c r="AG1221" s="142">
        <f>B1221*IBGE_2!AG$1221/100</f>
        <v>0.48</v>
      </c>
      <c r="AH1221" s="142">
        <f>B1221*IBGE_2!AH$1221/100</f>
        <v>0.46400000000000008</v>
      </c>
      <c r="AI1221" s="142">
        <f>B1221*IBGE_2!AI$1221/100</f>
        <v>333</v>
      </c>
      <c r="AJ1221" s="142">
        <f>B1221*IBGE_2!AJ$1221/100</f>
        <v>25.074999999999999</v>
      </c>
      <c r="AK1221" s="142">
        <f>B1221*IBGE_2!AK$1221/100</f>
        <v>48</v>
      </c>
      <c r="AL1221" s="145" t="s">
        <v>3047</v>
      </c>
      <c r="AM1221" s="142" t="s">
        <v>3047</v>
      </c>
      <c r="AN1221" s="161"/>
    </row>
    <row r="1222" spans="1:40">
      <c r="A1222" s="143" t="s">
        <v>2282</v>
      </c>
      <c r="B1222" s="141">
        <v>100</v>
      </c>
      <c r="C1222" s="142">
        <f>B1222*IBGE_2!C$1222/100</f>
        <v>196</v>
      </c>
      <c r="D1222" s="142">
        <f>B1222*IBGE_2!D$1222/100</f>
        <v>22.103999999999999</v>
      </c>
      <c r="E1222" s="142">
        <f>B1222*IBGE_2!E$1222/100</f>
        <v>10.916000000000002</v>
      </c>
      <c r="F1222" s="142">
        <f>B1222*IBGE_2!F$1222/100</f>
        <v>3.0369999999999999</v>
      </c>
      <c r="G1222" s="142">
        <f>B1222*IBGE_2!G$1222/100</f>
        <v>4.2770000000000001</v>
      </c>
      <c r="H1222" s="142">
        <f>B1222*IBGE_2!H$1222/100</f>
        <v>2.391</v>
      </c>
      <c r="I1222" s="142">
        <f>B1222*IBGE_2!I$1222/100</f>
        <v>2.0699999999999998</v>
      </c>
      <c r="J1222" s="142">
        <f>B1222*IBGE_2!J$1222/100</f>
        <v>8.900000000000001E-2</v>
      </c>
      <c r="K1222" s="142">
        <f>B1222*IBGE_2!K$1222/100</f>
        <v>70.400000000000006</v>
      </c>
      <c r="L1222" s="142">
        <f>B1222*IBGE_2!L$1222/100</f>
        <v>1.0760000000000001</v>
      </c>
      <c r="M1222" s="142">
        <f>B1222*IBGE_2!M$1222/100</f>
        <v>0.3</v>
      </c>
      <c r="N1222" s="142">
        <f>B1222*IBGE_2!N$1222/100</f>
        <v>14.6</v>
      </c>
      <c r="O1222" s="142">
        <f>B1222*IBGE_2!O$1222/100</f>
        <v>21.6</v>
      </c>
      <c r="P1222" s="142">
        <f>B1222*IBGE_2!P$1222/100</f>
        <v>3.6999999999999998E-2</v>
      </c>
      <c r="Q1222" s="142">
        <f>B1222*IBGE_2!Q$1222/100</f>
        <v>150.80000000000001</v>
      </c>
      <c r="R1222" s="142">
        <f>B1222*IBGE_2!R$1222/100</f>
        <v>1.212</v>
      </c>
      <c r="S1222" s="142">
        <f>B1222*IBGE_2!S$1222/100</f>
        <v>170.4</v>
      </c>
      <c r="T1222" s="142">
        <f>B1222*IBGE_2!T$1222/100</f>
        <v>244.6</v>
      </c>
      <c r="U1222" s="142">
        <f>B1222*IBGE_2!U$1222/100</f>
        <v>7.5999999999999998E-2</v>
      </c>
      <c r="V1222" s="142">
        <f>B1222*IBGE_2!V$1222/100</f>
        <v>1.5920000000000001</v>
      </c>
      <c r="W1222" s="142">
        <f>B1222*IBGE_2!W$1222/100</f>
        <v>38.4</v>
      </c>
      <c r="X1222" s="142">
        <f>B1222*IBGE_2!X$1222/100</f>
        <v>5.5E-2</v>
      </c>
      <c r="Y1222" s="142">
        <f>B1222*IBGE_2!Y$1222/100</f>
        <v>0.14799999999999999</v>
      </c>
      <c r="Z1222" s="142">
        <f>B1222*IBGE_2!Z$1222/100</f>
        <v>0.33900000000000008</v>
      </c>
      <c r="AA1222" s="142">
        <f>B1222*IBGE_2!AA$1222/100</f>
        <v>6.9850000000000003</v>
      </c>
      <c r="AB1222" s="142">
        <f>B1222*IBGE_2!AB$1222/100</f>
        <v>1.4</v>
      </c>
      <c r="AC1222" s="142">
        <f>B1222*IBGE_2!AC$1222/100</f>
        <v>11.085000000000001</v>
      </c>
      <c r="AD1222" s="142">
        <f>B1222*IBGE_2!AD$1222/100</f>
        <v>0.24</v>
      </c>
      <c r="AE1222" s="142">
        <f>B1222*IBGE_2!AE$1222/100</f>
        <v>6.2</v>
      </c>
      <c r="AF1222" s="142">
        <f>B1222*IBGE_2!AF$1222/100</f>
        <v>0.24</v>
      </c>
      <c r="AG1222" s="142">
        <f>B1222*IBGE_2!AG$1222/100</f>
        <v>0.5</v>
      </c>
      <c r="AH1222" s="142">
        <f>B1222*IBGE_2!AH$1222/100</f>
        <v>0.36</v>
      </c>
      <c r="AI1222" s="142">
        <f>B1222*IBGE_2!AI$1222/100</f>
        <v>333</v>
      </c>
      <c r="AJ1222" s="142">
        <f>B1222*IBGE_2!AJ$1222/100</f>
        <v>19.16</v>
      </c>
      <c r="AK1222" s="142">
        <f>B1222*IBGE_2!AK$1222/100</f>
        <v>41.883000000000003</v>
      </c>
      <c r="AL1222" s="142">
        <f>B1222*IBGE_2!AL$1222/100</f>
        <v>0.85</v>
      </c>
      <c r="AM1222" s="142" t="s">
        <v>3047</v>
      </c>
      <c r="AN1222" s="161"/>
    </row>
    <row r="1223" spans="1:40">
      <c r="A1223" s="143" t="s">
        <v>2283</v>
      </c>
      <c r="B1223" s="141">
        <v>100</v>
      </c>
      <c r="C1223" s="142">
        <f>B1223*IBGE_2!C$1223/100</f>
        <v>261.65899999999999</v>
      </c>
      <c r="D1223" s="142">
        <f>B1223*IBGE_2!D$1223/100</f>
        <v>27.3</v>
      </c>
      <c r="E1223" s="142">
        <f>B1223*IBGE_2!E$1223/100</f>
        <v>16.163</v>
      </c>
      <c r="F1223" s="142">
        <f>B1223*IBGE_2!F$1223/100</f>
        <v>4.1909999999999998</v>
      </c>
      <c r="G1223" s="142">
        <f>B1223*IBGE_2!G$1223/100</f>
        <v>5.9240000000000013</v>
      </c>
      <c r="H1223" s="142">
        <f>B1223*IBGE_2!H$1223/100</f>
        <v>4.45</v>
      </c>
      <c r="I1223" s="142">
        <f>B1223*IBGE_2!I$1223/100</f>
        <v>3.8759999999999994</v>
      </c>
      <c r="J1223" s="142">
        <f>B1223*IBGE_2!J$1223/100</f>
        <v>0.28399999999999997</v>
      </c>
      <c r="K1223" s="142">
        <f>B1223*IBGE_2!K$1223/100</f>
        <v>88</v>
      </c>
      <c r="L1223" s="142" t="s">
        <v>3047</v>
      </c>
      <c r="M1223" s="142" t="s">
        <v>3047</v>
      </c>
      <c r="N1223" s="142">
        <f>B1223*IBGE_2!N$1223/100</f>
        <v>15</v>
      </c>
      <c r="O1223" s="142">
        <f>B1223*IBGE_2!O$1223/100</f>
        <v>23</v>
      </c>
      <c r="P1223" s="142">
        <f>B1223*IBGE_2!P$1223/100</f>
        <v>0.02</v>
      </c>
      <c r="Q1223" s="142">
        <f>B1223*IBGE_2!Q$1223/100</f>
        <v>182</v>
      </c>
      <c r="R1223" s="142">
        <f>B1223*IBGE_2!R$1223/100</f>
        <v>1.2609999999999999</v>
      </c>
      <c r="S1223" s="142">
        <f>B1223*IBGE_2!S$1223/100</f>
        <v>82</v>
      </c>
      <c r="T1223" s="142">
        <f>B1223*IBGE_2!T$1223/100</f>
        <v>223</v>
      </c>
      <c r="U1223" s="142">
        <f>B1223*IBGE_2!U$1223/100</f>
        <v>6.6000000000000003E-2</v>
      </c>
      <c r="V1223" s="142">
        <f>B1223*IBGE_2!V$1223/100</f>
        <v>1.94</v>
      </c>
      <c r="W1223" s="142">
        <f>B1223*IBGE_2!W$1223/100</f>
        <v>48</v>
      </c>
      <c r="X1223" s="142">
        <f>B1223*IBGE_2!X$1223/100</f>
        <v>6.3E-2</v>
      </c>
      <c r="Y1223" s="142">
        <f>B1223*IBGE_2!Y$1223/100</f>
        <v>0.16800000000000001</v>
      </c>
      <c r="Z1223" s="142">
        <f>B1223*IBGE_2!Z$1223/100</f>
        <v>0.4</v>
      </c>
      <c r="AA1223" s="142">
        <f>B1223*IBGE_2!AA$1223/100</f>
        <v>8.4870000000000001</v>
      </c>
      <c r="AB1223" s="142" t="s">
        <v>3047</v>
      </c>
      <c r="AC1223" s="142">
        <f>B1223*IBGE_2!AC$1223/100</f>
        <v>13.57</v>
      </c>
      <c r="AD1223" s="142">
        <f>B1223*IBGE_2!AD$1223/100</f>
        <v>0.3</v>
      </c>
      <c r="AE1223" s="142">
        <f>B1223*IBGE_2!AE$1223/100</f>
        <v>5</v>
      </c>
      <c r="AF1223" s="142">
        <f>B1223*IBGE_2!AF$1223/100</f>
        <v>0.3</v>
      </c>
      <c r="AG1223" s="142">
        <f>B1223*IBGE_2!AG$1223/100</f>
        <v>0.48</v>
      </c>
      <c r="AH1223" s="142">
        <f>B1223*IBGE_2!AH$1223/100</f>
        <v>0.46400000000000008</v>
      </c>
      <c r="AI1223" s="142">
        <f>B1223*IBGE_2!AI$1223/100</f>
        <v>333</v>
      </c>
      <c r="AJ1223" s="142">
        <f>B1223*IBGE_2!AJ$1223/100</f>
        <v>25.074999999999999</v>
      </c>
      <c r="AK1223" s="142">
        <f>B1223*IBGE_2!AK$1223/100</f>
        <v>48</v>
      </c>
      <c r="AL1223" s="142" t="s">
        <v>3047</v>
      </c>
      <c r="AM1223" s="142" t="s">
        <v>3047</v>
      </c>
      <c r="AN1223" s="161"/>
    </row>
    <row r="1224" spans="1:40">
      <c r="A1224" s="143" t="s">
        <v>2284</v>
      </c>
      <c r="B1224" s="141">
        <v>100</v>
      </c>
      <c r="C1224" s="142">
        <f>B1224*IBGE_2!C$1224/100</f>
        <v>239</v>
      </c>
      <c r="D1224" s="142">
        <f>B1224*IBGE_2!D$1224/100</f>
        <v>27.3</v>
      </c>
      <c r="E1224" s="142">
        <f>B1224*IBGE_2!E$1224/100</f>
        <v>13.6</v>
      </c>
      <c r="F1224" s="142">
        <f>B1224*IBGE_2!F$1224/100</f>
        <v>3.79</v>
      </c>
      <c r="G1224" s="142">
        <f>B1224*IBGE_2!G$1224/100</f>
        <v>5.34</v>
      </c>
      <c r="H1224" s="142">
        <f>B1224*IBGE_2!H$1224/100</f>
        <v>2.97</v>
      </c>
      <c r="I1224" s="142">
        <f>B1224*IBGE_2!I$1224/100</f>
        <v>2.57</v>
      </c>
      <c r="J1224" s="142">
        <f>B1224*IBGE_2!J$1224/100</f>
        <v>0.11</v>
      </c>
      <c r="K1224" s="142">
        <f>B1224*IBGE_2!K$1224/100</f>
        <v>88</v>
      </c>
      <c r="L1224" s="142" t="s">
        <v>3047</v>
      </c>
      <c r="M1224" s="142" t="s">
        <v>3047</v>
      </c>
      <c r="N1224" s="142">
        <f>B1224*IBGE_2!N$1224/100</f>
        <v>15</v>
      </c>
      <c r="O1224" s="142">
        <f>B1224*IBGE_2!O$1224/100</f>
        <v>23</v>
      </c>
      <c r="P1224" s="142">
        <f>B1224*IBGE_2!P$1224/100</f>
        <v>0.02</v>
      </c>
      <c r="Q1224" s="142">
        <f>B1224*IBGE_2!Q$1224/100</f>
        <v>182</v>
      </c>
      <c r="R1224" s="142">
        <f>B1224*IBGE_2!R$1224/100</f>
        <v>1.26</v>
      </c>
      <c r="S1224" s="142">
        <f>B1224*IBGE_2!S$1224/100</f>
        <v>82</v>
      </c>
      <c r="T1224" s="142">
        <f>B1224*IBGE_2!T$1224/100</f>
        <v>223</v>
      </c>
      <c r="U1224" s="142">
        <f>B1224*IBGE_2!U$1224/100</f>
        <v>6.6000000000000003E-2</v>
      </c>
      <c r="V1224" s="142">
        <f>B1224*IBGE_2!V$1224/100</f>
        <v>1.94</v>
      </c>
      <c r="W1224" s="142">
        <f>B1224*IBGE_2!W$1224/100</f>
        <v>48</v>
      </c>
      <c r="X1224" s="142">
        <f>B1224*IBGE_2!X$1224/100</f>
        <v>6.3E-2</v>
      </c>
      <c r="Y1224" s="142">
        <f>B1224*IBGE_2!Y$1224/100</f>
        <v>0.16800000000000001</v>
      </c>
      <c r="Z1224" s="142">
        <f>B1224*IBGE_2!Z$1224/100</f>
        <v>0.4</v>
      </c>
      <c r="AA1224" s="142">
        <f>B1224*IBGE_2!AA$1224/100</f>
        <v>8.4870000000000001</v>
      </c>
      <c r="AB1224" s="142" t="s">
        <v>3047</v>
      </c>
      <c r="AC1224" s="142">
        <f>B1224*IBGE_2!AC$1224/100</f>
        <v>13.57</v>
      </c>
      <c r="AD1224" s="142">
        <f>B1224*IBGE_2!AD$1224/100</f>
        <v>0.3</v>
      </c>
      <c r="AE1224" s="142">
        <f>B1224*IBGE_2!AE$1224/100</f>
        <v>5</v>
      </c>
      <c r="AF1224" s="142">
        <f>B1224*IBGE_2!AF$1224/100</f>
        <v>0.3</v>
      </c>
      <c r="AG1224" s="142">
        <f>B1224*IBGE_2!AG$1224/100</f>
        <v>0.27</v>
      </c>
      <c r="AH1224" s="142">
        <f>B1224*IBGE_2!AH$1224/100</f>
        <v>0.45</v>
      </c>
      <c r="AI1224" s="142">
        <f>B1224*IBGE_2!AI$1224/100</f>
        <v>333</v>
      </c>
      <c r="AJ1224" s="142">
        <f>B1224*IBGE_2!AJ$1224/100</f>
        <v>23.9</v>
      </c>
      <c r="AK1224" s="142">
        <f>B1224*IBGE_2!AK$1224/100</f>
        <v>48</v>
      </c>
      <c r="AL1224" s="142" t="s">
        <v>3047</v>
      </c>
      <c r="AM1224" s="142" t="s">
        <v>3047</v>
      </c>
      <c r="AN1224" s="161"/>
    </row>
    <row r="1225" spans="1:40">
      <c r="A1225" s="143" t="s">
        <v>2285</v>
      </c>
      <c r="B1225" s="141">
        <v>100</v>
      </c>
      <c r="C1225" s="142">
        <f>B1225*IBGE_2!C$1225/100</f>
        <v>239</v>
      </c>
      <c r="D1225" s="142">
        <f>B1225*IBGE_2!D$1225/100</f>
        <v>27.3</v>
      </c>
      <c r="E1225" s="142">
        <f>B1225*IBGE_2!E$1225/100</f>
        <v>13.6</v>
      </c>
      <c r="F1225" s="142">
        <f>B1225*IBGE_2!F$1225/100</f>
        <v>3.79</v>
      </c>
      <c r="G1225" s="142">
        <f>B1225*IBGE_2!G$1225/100</f>
        <v>5.34</v>
      </c>
      <c r="H1225" s="142">
        <f>B1225*IBGE_2!H$1225/100</f>
        <v>2.97</v>
      </c>
      <c r="I1225" s="142">
        <f>B1225*IBGE_2!I$1225/100</f>
        <v>2.57</v>
      </c>
      <c r="J1225" s="142">
        <f>B1225*IBGE_2!J$1225/100</f>
        <v>0.11</v>
      </c>
      <c r="K1225" s="142">
        <f>B1225*IBGE_2!K$1225/100</f>
        <v>88</v>
      </c>
      <c r="L1225" s="142" t="s">
        <v>3047</v>
      </c>
      <c r="M1225" s="142" t="s">
        <v>3047</v>
      </c>
      <c r="N1225" s="142">
        <f>B1225*IBGE_2!N$1225/100</f>
        <v>15</v>
      </c>
      <c r="O1225" s="142">
        <f>B1225*IBGE_2!O$1225/100</f>
        <v>23</v>
      </c>
      <c r="P1225" s="142">
        <f>B1225*IBGE_2!P$1225/100</f>
        <v>0.02</v>
      </c>
      <c r="Q1225" s="142">
        <f>B1225*IBGE_2!Q$1225/100</f>
        <v>182</v>
      </c>
      <c r="R1225" s="142">
        <f>B1225*IBGE_2!R$1225/100</f>
        <v>1.26</v>
      </c>
      <c r="S1225" s="142">
        <f>B1225*IBGE_2!S$1225/100</f>
        <v>82</v>
      </c>
      <c r="T1225" s="142">
        <f>B1225*IBGE_2!T$1225/100</f>
        <v>223</v>
      </c>
      <c r="U1225" s="142">
        <f>B1225*IBGE_2!U$1225/100</f>
        <v>6.6000000000000003E-2</v>
      </c>
      <c r="V1225" s="142">
        <f>B1225*IBGE_2!V$1225/100</f>
        <v>1.94</v>
      </c>
      <c r="W1225" s="142">
        <f>B1225*IBGE_2!W$1225/100</f>
        <v>48</v>
      </c>
      <c r="X1225" s="142">
        <f>B1225*IBGE_2!X$1225/100</f>
        <v>6.3E-2</v>
      </c>
      <c r="Y1225" s="142">
        <f>B1225*IBGE_2!Y$1225/100</f>
        <v>0.16800000000000001</v>
      </c>
      <c r="Z1225" s="142">
        <f>B1225*IBGE_2!Z$1225/100</f>
        <v>0.4</v>
      </c>
      <c r="AA1225" s="142">
        <f>B1225*IBGE_2!AA$1225/100</f>
        <v>8.4870000000000001</v>
      </c>
      <c r="AB1225" s="142" t="s">
        <v>3047</v>
      </c>
      <c r="AC1225" s="142">
        <f>B1225*IBGE_2!AC$1225/100</f>
        <v>13.57</v>
      </c>
      <c r="AD1225" s="142">
        <f>B1225*IBGE_2!AD$1225/100</f>
        <v>0.3</v>
      </c>
      <c r="AE1225" s="142">
        <f>B1225*IBGE_2!AE$1225/100</f>
        <v>5</v>
      </c>
      <c r="AF1225" s="142">
        <f>B1225*IBGE_2!AF$1225/100</f>
        <v>0.3</v>
      </c>
      <c r="AG1225" s="142">
        <f>B1225*IBGE_2!AG$1225/100</f>
        <v>0.27</v>
      </c>
      <c r="AH1225" s="142">
        <f>B1225*IBGE_2!AH$1225/100</f>
        <v>0.45</v>
      </c>
      <c r="AI1225" s="142">
        <f>B1225*IBGE_2!AI$1225/100</f>
        <v>333</v>
      </c>
      <c r="AJ1225" s="142">
        <f>B1225*IBGE_2!AJ$1225/100</f>
        <v>23.9</v>
      </c>
      <c r="AK1225" s="142">
        <f>B1225*IBGE_2!AK$1225/100</f>
        <v>48</v>
      </c>
      <c r="AL1225" s="142" t="s">
        <v>3047</v>
      </c>
      <c r="AM1225" s="142" t="s">
        <v>3047</v>
      </c>
      <c r="AN1225" s="161"/>
    </row>
    <row r="1226" spans="1:40">
      <c r="A1226" s="143" t="s">
        <v>2286</v>
      </c>
      <c r="B1226" s="141">
        <v>100</v>
      </c>
      <c r="C1226" s="142">
        <f>B1226*IBGE_2!C$1226/100</f>
        <v>239</v>
      </c>
      <c r="D1226" s="142">
        <f>B1226*IBGE_2!D$1226/100</f>
        <v>27.3</v>
      </c>
      <c r="E1226" s="142">
        <f>B1226*IBGE_2!E$1226/100</f>
        <v>13.6</v>
      </c>
      <c r="F1226" s="142">
        <f>B1226*IBGE_2!F$1226/100</f>
        <v>3.79</v>
      </c>
      <c r="G1226" s="142">
        <f>B1226*IBGE_2!G$1226/100</f>
        <v>5.34</v>
      </c>
      <c r="H1226" s="142">
        <f>B1226*IBGE_2!H$1226/100</f>
        <v>2.97</v>
      </c>
      <c r="I1226" s="142">
        <f>B1226*IBGE_2!I$1226/100</f>
        <v>2.57</v>
      </c>
      <c r="J1226" s="142">
        <f>B1226*IBGE_2!J$1226/100</f>
        <v>0.11</v>
      </c>
      <c r="K1226" s="142">
        <f>B1226*IBGE_2!K$1226/100</f>
        <v>88</v>
      </c>
      <c r="L1226" s="142" t="s">
        <v>3047</v>
      </c>
      <c r="M1226" s="142" t="s">
        <v>3047</v>
      </c>
      <c r="N1226" s="142">
        <f>B1226*IBGE_2!N$1226/100</f>
        <v>15</v>
      </c>
      <c r="O1226" s="142">
        <f>B1226*IBGE_2!O$1226/100</f>
        <v>23</v>
      </c>
      <c r="P1226" s="142">
        <f>B1226*IBGE_2!P$1226/100</f>
        <v>0.02</v>
      </c>
      <c r="Q1226" s="142">
        <f>B1226*IBGE_2!Q$1226/100</f>
        <v>182</v>
      </c>
      <c r="R1226" s="142">
        <f>B1226*IBGE_2!R$1226/100</f>
        <v>1.26</v>
      </c>
      <c r="S1226" s="142">
        <f>B1226*IBGE_2!S$1226/100</f>
        <v>82</v>
      </c>
      <c r="T1226" s="142">
        <f>B1226*IBGE_2!T$1226/100</f>
        <v>223</v>
      </c>
      <c r="U1226" s="142">
        <f>B1226*IBGE_2!U$1226/100</f>
        <v>6.6000000000000003E-2</v>
      </c>
      <c r="V1226" s="142">
        <f>B1226*IBGE_2!V$1226/100</f>
        <v>1.94</v>
      </c>
      <c r="W1226" s="142">
        <f>B1226*IBGE_2!W$1226/100</f>
        <v>48</v>
      </c>
      <c r="X1226" s="142">
        <f>B1226*IBGE_2!X$1226/100</f>
        <v>6.3E-2</v>
      </c>
      <c r="Y1226" s="142">
        <f>B1226*IBGE_2!Y$1226/100</f>
        <v>0.16800000000000001</v>
      </c>
      <c r="Z1226" s="142">
        <f>B1226*IBGE_2!Z$1226/100</f>
        <v>0.4</v>
      </c>
      <c r="AA1226" s="142">
        <f>B1226*IBGE_2!AA$1226/100</f>
        <v>8.4870000000000001</v>
      </c>
      <c r="AB1226" s="142" t="s">
        <v>3047</v>
      </c>
      <c r="AC1226" s="142">
        <f>B1226*IBGE_2!AC$1226/100</f>
        <v>13.57</v>
      </c>
      <c r="AD1226" s="142">
        <f>B1226*IBGE_2!AD$1226/100</f>
        <v>0.3</v>
      </c>
      <c r="AE1226" s="142">
        <f>B1226*IBGE_2!AE$1226/100</f>
        <v>5</v>
      </c>
      <c r="AF1226" s="142">
        <f>B1226*IBGE_2!AF$1226/100</f>
        <v>0.3</v>
      </c>
      <c r="AG1226" s="142">
        <f>B1226*IBGE_2!AG$1226/100</f>
        <v>0.27</v>
      </c>
      <c r="AH1226" s="142">
        <f>B1226*IBGE_2!AH$1226/100</f>
        <v>0.45</v>
      </c>
      <c r="AI1226" s="142">
        <f>B1226*IBGE_2!AI$1226/100</f>
        <v>333</v>
      </c>
      <c r="AJ1226" s="142">
        <f>B1226*IBGE_2!AJ$1226/100</f>
        <v>23.9</v>
      </c>
      <c r="AK1226" s="142">
        <f>B1226*IBGE_2!AK$1226/100</f>
        <v>48</v>
      </c>
      <c r="AL1226" s="142" t="s">
        <v>3047</v>
      </c>
      <c r="AM1226" s="142" t="s">
        <v>3047</v>
      </c>
      <c r="AN1226" s="161"/>
    </row>
    <row r="1227" spans="1:40">
      <c r="A1227" s="143" t="s">
        <v>2287</v>
      </c>
      <c r="B1227" s="141">
        <v>100</v>
      </c>
      <c r="C1227" s="142">
        <f>B1227*IBGE_2!C$1227/100</f>
        <v>239</v>
      </c>
      <c r="D1227" s="142">
        <f>B1227*IBGE_2!D$1227/100</f>
        <v>27.3</v>
      </c>
      <c r="E1227" s="142">
        <f>B1227*IBGE_2!E$1227/100</f>
        <v>13.6</v>
      </c>
      <c r="F1227" s="142">
        <f>B1227*IBGE_2!F$1227/100</f>
        <v>3.79</v>
      </c>
      <c r="G1227" s="142">
        <f>B1227*IBGE_2!G$1227/100</f>
        <v>5.34</v>
      </c>
      <c r="H1227" s="142">
        <f>B1227*IBGE_2!H$1227/100</f>
        <v>2.97</v>
      </c>
      <c r="I1227" s="142">
        <f>B1227*IBGE_2!I$1227/100</f>
        <v>2.57</v>
      </c>
      <c r="J1227" s="142">
        <f>B1227*IBGE_2!J$1227/100</f>
        <v>0.11</v>
      </c>
      <c r="K1227" s="142">
        <f>B1227*IBGE_2!K$1227/100</f>
        <v>88</v>
      </c>
      <c r="L1227" s="142" t="s">
        <v>3047</v>
      </c>
      <c r="M1227" s="142" t="s">
        <v>3047</v>
      </c>
      <c r="N1227" s="142">
        <f>B1227*IBGE_2!N$1227/100</f>
        <v>15</v>
      </c>
      <c r="O1227" s="142">
        <f>B1227*IBGE_2!O$1227/100</f>
        <v>23</v>
      </c>
      <c r="P1227" s="142">
        <f>B1227*IBGE_2!P$1227/100</f>
        <v>0.02</v>
      </c>
      <c r="Q1227" s="142">
        <f>B1227*IBGE_2!Q$1227/100</f>
        <v>182</v>
      </c>
      <c r="R1227" s="142">
        <f>B1227*IBGE_2!R$1227/100</f>
        <v>1.26</v>
      </c>
      <c r="S1227" s="142">
        <f>B1227*IBGE_2!S$1227/100</f>
        <v>82</v>
      </c>
      <c r="T1227" s="142">
        <f>B1227*IBGE_2!T$1227/100</f>
        <v>223</v>
      </c>
      <c r="U1227" s="142">
        <f>B1227*IBGE_2!U$1227/100</f>
        <v>6.6000000000000003E-2</v>
      </c>
      <c r="V1227" s="142">
        <f>B1227*IBGE_2!V$1227/100</f>
        <v>1.94</v>
      </c>
      <c r="W1227" s="142">
        <f>B1227*IBGE_2!W$1227/100</f>
        <v>48</v>
      </c>
      <c r="X1227" s="142">
        <f>B1227*IBGE_2!X$1227/100</f>
        <v>6.3E-2</v>
      </c>
      <c r="Y1227" s="142">
        <f>B1227*IBGE_2!Y$1227/100</f>
        <v>0.16800000000000001</v>
      </c>
      <c r="Z1227" s="142">
        <f>B1227*IBGE_2!Z$1227/100</f>
        <v>0.4</v>
      </c>
      <c r="AA1227" s="142">
        <f>B1227*IBGE_2!AA$1227/100</f>
        <v>8.4870000000000001</v>
      </c>
      <c r="AB1227" s="142" t="s">
        <v>3047</v>
      </c>
      <c r="AC1227" s="142">
        <f>B1227*IBGE_2!AC$1227/100</f>
        <v>13.57</v>
      </c>
      <c r="AD1227" s="142">
        <f>B1227*IBGE_2!AD$1227/100</f>
        <v>0.3</v>
      </c>
      <c r="AE1227" s="142">
        <f>B1227*IBGE_2!AE$1227/100</f>
        <v>5</v>
      </c>
      <c r="AF1227" s="142">
        <f>B1227*IBGE_2!AF$1227/100</f>
        <v>0.3</v>
      </c>
      <c r="AG1227" s="142">
        <f>B1227*IBGE_2!AG$1227/100</f>
        <v>0.27</v>
      </c>
      <c r="AH1227" s="142">
        <f>B1227*IBGE_2!AH$1227/100</f>
        <v>0.45</v>
      </c>
      <c r="AI1227" s="142">
        <f>B1227*IBGE_2!AI$1227/100</f>
        <v>333</v>
      </c>
      <c r="AJ1227" s="142">
        <f>B1227*IBGE_2!AJ$1227/100</f>
        <v>23.9</v>
      </c>
      <c r="AK1227" s="142">
        <f>B1227*IBGE_2!AK$1227/100</f>
        <v>48</v>
      </c>
      <c r="AL1227" s="142" t="s">
        <v>3047</v>
      </c>
      <c r="AM1227" s="142" t="s">
        <v>3047</v>
      </c>
      <c r="AN1227" s="161"/>
    </row>
    <row r="1228" spans="1:40">
      <c r="A1228" s="143" t="s">
        <v>2288</v>
      </c>
      <c r="B1228" s="141">
        <v>100</v>
      </c>
      <c r="C1228" s="142">
        <f>B1228*IBGE_2!C$1228/100</f>
        <v>239</v>
      </c>
      <c r="D1228" s="142">
        <f>B1228*IBGE_2!D$1228/100</f>
        <v>27.3</v>
      </c>
      <c r="E1228" s="142">
        <f>B1228*IBGE_2!E$1228/100</f>
        <v>13.6</v>
      </c>
      <c r="F1228" s="142">
        <f>B1228*IBGE_2!F$1228/100</f>
        <v>3.79</v>
      </c>
      <c r="G1228" s="142">
        <f>B1228*IBGE_2!G$1228/100</f>
        <v>5.34</v>
      </c>
      <c r="H1228" s="142">
        <f>B1228*IBGE_2!H$1228/100</f>
        <v>2.97</v>
      </c>
      <c r="I1228" s="142">
        <f>B1228*IBGE_2!I$1228/100</f>
        <v>2.57</v>
      </c>
      <c r="J1228" s="142">
        <f>B1228*IBGE_2!J$1228/100</f>
        <v>0.11</v>
      </c>
      <c r="K1228" s="142">
        <f>B1228*IBGE_2!K$1228/100</f>
        <v>88</v>
      </c>
      <c r="L1228" s="142" t="s">
        <v>3047</v>
      </c>
      <c r="M1228" s="142" t="s">
        <v>3047</v>
      </c>
      <c r="N1228" s="142">
        <f>B1228*IBGE_2!N$1228/100</f>
        <v>15</v>
      </c>
      <c r="O1228" s="142">
        <f>B1228*IBGE_2!O$1228/100</f>
        <v>23</v>
      </c>
      <c r="P1228" s="142">
        <f>B1228*IBGE_2!P$1228/100</f>
        <v>0.02</v>
      </c>
      <c r="Q1228" s="142">
        <f>B1228*IBGE_2!Q$1228/100</f>
        <v>182</v>
      </c>
      <c r="R1228" s="142">
        <f>B1228*IBGE_2!R$1228/100</f>
        <v>1.26</v>
      </c>
      <c r="S1228" s="142">
        <f>B1228*IBGE_2!S$1228/100</f>
        <v>82</v>
      </c>
      <c r="T1228" s="142">
        <f>B1228*IBGE_2!T$1228/100</f>
        <v>223</v>
      </c>
      <c r="U1228" s="142">
        <f>B1228*IBGE_2!U$1228/100</f>
        <v>6.6000000000000003E-2</v>
      </c>
      <c r="V1228" s="142">
        <f>B1228*IBGE_2!V$1228/100</f>
        <v>1.94</v>
      </c>
      <c r="W1228" s="142">
        <f>B1228*IBGE_2!W$1228/100</f>
        <v>48</v>
      </c>
      <c r="X1228" s="142">
        <f>B1228*IBGE_2!X$1228/100</f>
        <v>6.3E-2</v>
      </c>
      <c r="Y1228" s="142">
        <f>B1228*IBGE_2!Y$1228/100</f>
        <v>0.16800000000000001</v>
      </c>
      <c r="Z1228" s="142">
        <f>B1228*IBGE_2!Z$1228/100</f>
        <v>0.4</v>
      </c>
      <c r="AA1228" s="142">
        <f>B1228*IBGE_2!AA$1228/100</f>
        <v>8.4870000000000001</v>
      </c>
      <c r="AB1228" s="142" t="s">
        <v>3047</v>
      </c>
      <c r="AC1228" s="142">
        <f>B1228*IBGE_2!AC$1228/100</f>
        <v>13.57</v>
      </c>
      <c r="AD1228" s="142">
        <f>B1228*IBGE_2!AD$1228/100</f>
        <v>0.3</v>
      </c>
      <c r="AE1228" s="142">
        <f>B1228*IBGE_2!AE$1228/100</f>
        <v>5</v>
      </c>
      <c r="AF1228" s="142">
        <f>B1228*IBGE_2!AF$1228/100</f>
        <v>0.3</v>
      </c>
      <c r="AG1228" s="142">
        <f>B1228*IBGE_2!AG$1228/100</f>
        <v>0.27</v>
      </c>
      <c r="AH1228" s="142">
        <f>B1228*IBGE_2!AH$1228/100</f>
        <v>0.45</v>
      </c>
      <c r="AI1228" s="142">
        <f>B1228*IBGE_2!AI$1228/100</f>
        <v>333</v>
      </c>
      <c r="AJ1228" s="142">
        <f>B1228*IBGE_2!AJ$1228/100</f>
        <v>23.9</v>
      </c>
      <c r="AK1228" s="142">
        <f>B1228*IBGE_2!AK$1228/100</f>
        <v>48</v>
      </c>
      <c r="AL1228" s="142" t="s">
        <v>3047</v>
      </c>
      <c r="AM1228" s="142" t="s">
        <v>3047</v>
      </c>
      <c r="AN1228" s="161"/>
    </row>
    <row r="1229" spans="1:40">
      <c r="A1229" s="143" t="s">
        <v>2289</v>
      </c>
      <c r="B1229" s="141">
        <v>100</v>
      </c>
      <c r="C1229" s="142">
        <f>B1229*IBGE_2!C$1229/100</f>
        <v>261.65899999999999</v>
      </c>
      <c r="D1229" s="142">
        <f>B1229*IBGE_2!D$1229/100</f>
        <v>27.3</v>
      </c>
      <c r="E1229" s="142">
        <f>B1229*IBGE_2!E$1229/100</f>
        <v>16.163</v>
      </c>
      <c r="F1229" s="142">
        <f>B1229*IBGE_2!F$1229/100</f>
        <v>4.1909999999999998</v>
      </c>
      <c r="G1229" s="142">
        <f>B1229*IBGE_2!G$1229/100</f>
        <v>5.9240000000000013</v>
      </c>
      <c r="H1229" s="142">
        <f>B1229*IBGE_2!H$1229/100</f>
        <v>4.45</v>
      </c>
      <c r="I1229" s="142">
        <f>B1229*IBGE_2!I$1229/100</f>
        <v>3.8759999999999994</v>
      </c>
      <c r="J1229" s="142">
        <f>B1229*IBGE_2!J$1229/100</f>
        <v>0.28399999999999997</v>
      </c>
      <c r="K1229" s="142">
        <f>B1229*IBGE_2!K$1229/100</f>
        <v>88</v>
      </c>
      <c r="L1229" s="142" t="s">
        <v>3047</v>
      </c>
      <c r="M1229" s="142" t="s">
        <v>3047</v>
      </c>
      <c r="N1229" s="142">
        <f>B1229*IBGE_2!N$1229/100</f>
        <v>15</v>
      </c>
      <c r="O1229" s="142">
        <f>B1229*IBGE_2!O$1229/100</f>
        <v>23</v>
      </c>
      <c r="P1229" s="142">
        <f>B1229*IBGE_2!P$1229/100</f>
        <v>0.02</v>
      </c>
      <c r="Q1229" s="142">
        <f>B1229*IBGE_2!Q$1229/100</f>
        <v>182</v>
      </c>
      <c r="R1229" s="142">
        <f>B1229*IBGE_2!R$1229/100</f>
        <v>1.2609999999999999</v>
      </c>
      <c r="S1229" s="142">
        <f>B1229*IBGE_2!S$1229/100</f>
        <v>82</v>
      </c>
      <c r="T1229" s="142">
        <f>B1229*IBGE_2!T$1229/100</f>
        <v>223</v>
      </c>
      <c r="U1229" s="142">
        <f>B1229*IBGE_2!U$1229/100</f>
        <v>6.6000000000000003E-2</v>
      </c>
      <c r="V1229" s="142">
        <f>B1229*IBGE_2!V$1229/100</f>
        <v>1.94</v>
      </c>
      <c r="W1229" s="142">
        <f>B1229*IBGE_2!W$1229/100</f>
        <v>48</v>
      </c>
      <c r="X1229" s="142">
        <f>B1229*IBGE_2!X$1229/100</f>
        <v>6.3E-2</v>
      </c>
      <c r="Y1229" s="142">
        <f>B1229*IBGE_2!Y$1229/100</f>
        <v>0.16800000000000001</v>
      </c>
      <c r="Z1229" s="142">
        <f>B1229*IBGE_2!Z$1229/100</f>
        <v>0.4</v>
      </c>
      <c r="AA1229" s="142">
        <f>B1229*IBGE_2!AA$1229/100</f>
        <v>8.4870000000000001</v>
      </c>
      <c r="AB1229" s="142" t="s">
        <v>3047</v>
      </c>
      <c r="AC1229" s="142">
        <f>B1229*IBGE_2!AC$1229/100</f>
        <v>13.57</v>
      </c>
      <c r="AD1229" s="142">
        <f>B1229*IBGE_2!AD$1229/100</f>
        <v>0.3</v>
      </c>
      <c r="AE1229" s="142">
        <f>B1229*IBGE_2!AE$1229/100</f>
        <v>5</v>
      </c>
      <c r="AF1229" s="142">
        <f>B1229*IBGE_2!AF$1229/100</f>
        <v>0.3</v>
      </c>
      <c r="AG1229" s="142">
        <f>B1229*IBGE_2!AG$1229/100</f>
        <v>0.48</v>
      </c>
      <c r="AH1229" s="142">
        <f>B1229*IBGE_2!AH$1229/100</f>
        <v>0.46400000000000008</v>
      </c>
      <c r="AI1229" s="142">
        <f>B1229*IBGE_2!AI$1229/100</f>
        <v>333</v>
      </c>
      <c r="AJ1229" s="142">
        <f>B1229*IBGE_2!AJ$1229/100</f>
        <v>25.074999999999999</v>
      </c>
      <c r="AK1229" s="142">
        <f>B1229*IBGE_2!AK$1229/100</f>
        <v>48</v>
      </c>
      <c r="AL1229" s="145" t="s">
        <v>3047</v>
      </c>
      <c r="AM1229" s="142" t="s">
        <v>3047</v>
      </c>
      <c r="AN1229" s="161"/>
    </row>
    <row r="1230" spans="1:40">
      <c r="A1230" s="143" t="s">
        <v>2290</v>
      </c>
      <c r="B1230" s="141">
        <v>100</v>
      </c>
      <c r="C1230" s="142">
        <f>B1230*IBGE_2!C$1230/100</f>
        <v>277.83699999999999</v>
      </c>
      <c r="D1230" s="142">
        <f>B1230*IBGE_2!D$1230/100</f>
        <v>27.759</v>
      </c>
      <c r="E1230" s="142">
        <f>B1230*IBGE_2!E$1230/100</f>
        <v>16.207000000000001</v>
      </c>
      <c r="F1230" s="142">
        <f>B1230*IBGE_2!F$1230/100</f>
        <v>4.1980000000000004</v>
      </c>
      <c r="G1230" s="142">
        <f>B1230*IBGE_2!G$1230/100</f>
        <v>5.9279999999999999</v>
      </c>
      <c r="H1230" s="142">
        <f>B1230*IBGE_2!H$1230/100</f>
        <v>4.468</v>
      </c>
      <c r="I1230" s="142">
        <f>B1230*IBGE_2!I$1230/100</f>
        <v>3.8929999999999993</v>
      </c>
      <c r="J1230" s="142">
        <f>B1230*IBGE_2!J$1230/100</f>
        <v>0.28499999999999998</v>
      </c>
      <c r="K1230" s="142">
        <f>B1230*IBGE_2!K$1230/100</f>
        <v>88</v>
      </c>
      <c r="L1230" s="142">
        <f>B1230*IBGE_2!L$1230/100</f>
        <v>3.3919999999999999</v>
      </c>
      <c r="M1230" s="142">
        <f>B1230*IBGE_2!M$1230/100</f>
        <v>0.13500000000000001</v>
      </c>
      <c r="N1230" s="142">
        <f>B1230*IBGE_2!N$1230/100</f>
        <v>15.667</v>
      </c>
      <c r="O1230" s="142">
        <f>B1230*IBGE_2!O$1230/100</f>
        <v>23.978000000000002</v>
      </c>
      <c r="P1230" s="142">
        <f>B1230*IBGE_2!P$1230/100</f>
        <v>0.05</v>
      </c>
      <c r="Q1230" s="142">
        <f>B1230*IBGE_2!Q$1230/100</f>
        <v>186.8</v>
      </c>
      <c r="R1230" s="142">
        <f>B1230*IBGE_2!R$1230/100</f>
        <v>1.4680000000000002</v>
      </c>
      <c r="S1230" s="142">
        <f>B1230*IBGE_2!S$1230/100</f>
        <v>82.088999999999999</v>
      </c>
      <c r="T1230" s="142">
        <f>B1230*IBGE_2!T$1230/100</f>
        <v>227.75599999999997</v>
      </c>
      <c r="U1230" s="142">
        <f>B1230*IBGE_2!U$1230/100</f>
        <v>7.1999999999999995E-2</v>
      </c>
      <c r="V1230" s="142">
        <f>B1230*IBGE_2!V$1230/100</f>
        <v>1.9710000000000003</v>
      </c>
      <c r="W1230" s="142">
        <f>B1230*IBGE_2!W$1230/100</f>
        <v>48</v>
      </c>
      <c r="X1230" s="142">
        <f>B1230*IBGE_2!X$1230/100</f>
        <v>9.8000000000000004E-2</v>
      </c>
      <c r="Y1230" s="142">
        <f>B1230*IBGE_2!Y$1230/100</f>
        <v>0.19</v>
      </c>
      <c r="Z1230" s="142">
        <f>B1230*IBGE_2!Z$1230/100</f>
        <v>0.40200000000000002</v>
      </c>
      <c r="AA1230" s="142">
        <f>B1230*IBGE_2!AA$1230/100</f>
        <v>8.7490000000000006</v>
      </c>
      <c r="AB1230" s="142" t="s">
        <v>3047</v>
      </c>
      <c r="AC1230" s="142">
        <f>B1230*IBGE_2!AC$1230/100</f>
        <v>13.927</v>
      </c>
      <c r="AD1230" s="142">
        <f>B1230*IBGE_2!AD$1230/100</f>
        <v>0.3</v>
      </c>
      <c r="AE1230" s="142">
        <f>B1230*IBGE_2!AE$1230/100</f>
        <v>14.067</v>
      </c>
      <c r="AF1230" s="142">
        <f>B1230*IBGE_2!AF$1230/100</f>
        <v>0.3</v>
      </c>
      <c r="AG1230" s="142">
        <f>B1230*IBGE_2!AG$1230/100</f>
        <v>0.48199999999999998</v>
      </c>
      <c r="AH1230" s="142">
        <f>B1230*IBGE_2!AH$1230/100</f>
        <v>0.46400000000000008</v>
      </c>
      <c r="AI1230" s="142">
        <f>B1230*IBGE_2!AI$1230/100</f>
        <v>333</v>
      </c>
      <c r="AJ1230" s="142">
        <f>B1230*IBGE_2!AJ$1230/100</f>
        <v>26.581</v>
      </c>
      <c r="AK1230" s="142">
        <f>B1230*IBGE_2!AK$1230/100</f>
        <v>48</v>
      </c>
      <c r="AL1230" s="142">
        <f>B1230*IBGE_2!AL$1230/100</f>
        <v>1.4000000000000002E-2</v>
      </c>
      <c r="AM1230" s="142" t="s">
        <v>3047</v>
      </c>
      <c r="AN1230" s="161"/>
    </row>
    <row r="1231" spans="1:40">
      <c r="A1231" s="143" t="s">
        <v>2291</v>
      </c>
      <c r="B1231" s="141">
        <v>100</v>
      </c>
      <c r="C1231" s="142">
        <f>B1231*IBGE_2!C$1231/100</f>
        <v>261.65899999999999</v>
      </c>
      <c r="D1231" s="142">
        <f>B1231*IBGE_2!D$1231/100</f>
        <v>27.3</v>
      </c>
      <c r="E1231" s="142">
        <f>B1231*IBGE_2!E$1231/100</f>
        <v>16.163</v>
      </c>
      <c r="F1231" s="142">
        <f>B1231*IBGE_2!F$1231/100</f>
        <v>4.1909999999999998</v>
      </c>
      <c r="G1231" s="142">
        <f>B1231*IBGE_2!G$1231/100</f>
        <v>5.9240000000000013</v>
      </c>
      <c r="H1231" s="142">
        <f>B1231*IBGE_2!H$1231/100</f>
        <v>4.45</v>
      </c>
      <c r="I1231" s="142">
        <f>B1231*IBGE_2!I$1231/100</f>
        <v>3.8759999999999994</v>
      </c>
      <c r="J1231" s="142">
        <f>B1231*IBGE_2!J$1231/100</f>
        <v>0.28399999999999997</v>
      </c>
      <c r="K1231" s="142">
        <f>B1231*IBGE_2!K$1231/100</f>
        <v>88</v>
      </c>
      <c r="L1231" s="142" t="s">
        <v>3047</v>
      </c>
      <c r="M1231" s="142" t="s">
        <v>3047</v>
      </c>
      <c r="N1231" s="142">
        <f>B1231*IBGE_2!N$1231/100</f>
        <v>15</v>
      </c>
      <c r="O1231" s="142">
        <f>B1231*IBGE_2!O$1231/100</f>
        <v>23</v>
      </c>
      <c r="P1231" s="142">
        <f>B1231*IBGE_2!P$1231/100</f>
        <v>0.02</v>
      </c>
      <c r="Q1231" s="142">
        <f>B1231*IBGE_2!Q$1231/100</f>
        <v>182</v>
      </c>
      <c r="R1231" s="142">
        <f>B1231*IBGE_2!R$1231/100</f>
        <v>1.2609999999999999</v>
      </c>
      <c r="S1231" s="142">
        <f>B1231*IBGE_2!S$1231/100</f>
        <v>82</v>
      </c>
      <c r="T1231" s="142">
        <f>B1231*IBGE_2!T$1231/100</f>
        <v>223</v>
      </c>
      <c r="U1231" s="142">
        <f>B1231*IBGE_2!U$1231/100</f>
        <v>6.6000000000000003E-2</v>
      </c>
      <c r="V1231" s="142">
        <f>B1231*IBGE_2!V$1231/100</f>
        <v>1.94</v>
      </c>
      <c r="W1231" s="142">
        <f>B1231*IBGE_2!W$1231/100</f>
        <v>48</v>
      </c>
      <c r="X1231" s="142">
        <f>B1231*IBGE_2!X$1231/100</f>
        <v>6.3E-2</v>
      </c>
      <c r="Y1231" s="142">
        <f>B1231*IBGE_2!Y$1231/100</f>
        <v>0.16800000000000001</v>
      </c>
      <c r="Z1231" s="142">
        <f>B1231*IBGE_2!Z$1231/100</f>
        <v>0.4</v>
      </c>
      <c r="AA1231" s="142">
        <f>B1231*IBGE_2!AA$1231/100</f>
        <v>8.4870000000000001</v>
      </c>
      <c r="AB1231" s="142" t="s">
        <v>3047</v>
      </c>
      <c r="AC1231" s="142">
        <f>B1231*IBGE_2!AC$1231/100</f>
        <v>13.57</v>
      </c>
      <c r="AD1231" s="142">
        <f>B1231*IBGE_2!AD$1231/100</f>
        <v>0.3</v>
      </c>
      <c r="AE1231" s="142">
        <f>B1231*IBGE_2!AE$1231/100</f>
        <v>5</v>
      </c>
      <c r="AF1231" s="142">
        <f>B1231*IBGE_2!AF$1231/100</f>
        <v>0.3</v>
      </c>
      <c r="AG1231" s="142">
        <f>B1231*IBGE_2!AG$1231/100</f>
        <v>0.48</v>
      </c>
      <c r="AH1231" s="142">
        <f>B1231*IBGE_2!AH$1231/100</f>
        <v>0.46400000000000008</v>
      </c>
      <c r="AI1231" s="142">
        <f>B1231*IBGE_2!AI$1231/100</f>
        <v>333</v>
      </c>
      <c r="AJ1231" s="142">
        <f>B1231*IBGE_2!AJ$1231/100</f>
        <v>25.074999999999999</v>
      </c>
      <c r="AK1231" s="142">
        <f>B1231*IBGE_2!AK$1231/100</f>
        <v>48</v>
      </c>
      <c r="AL1231" s="145" t="s">
        <v>3047</v>
      </c>
      <c r="AM1231" s="142" t="s">
        <v>3047</v>
      </c>
      <c r="AN1231" s="161"/>
    </row>
    <row r="1232" spans="1:40">
      <c r="A1232" s="143" t="s">
        <v>2292</v>
      </c>
      <c r="B1232" s="141">
        <v>100</v>
      </c>
      <c r="C1232" s="142">
        <f>B1232*IBGE_2!C$1232/100</f>
        <v>196</v>
      </c>
      <c r="D1232" s="142">
        <f>B1232*IBGE_2!D$1232/100</f>
        <v>22.103999999999999</v>
      </c>
      <c r="E1232" s="142">
        <f>B1232*IBGE_2!E$1232/100</f>
        <v>10.916000000000002</v>
      </c>
      <c r="F1232" s="142">
        <f>B1232*IBGE_2!F$1232/100</f>
        <v>3.0369999999999999</v>
      </c>
      <c r="G1232" s="142">
        <f>B1232*IBGE_2!G$1232/100</f>
        <v>4.2770000000000001</v>
      </c>
      <c r="H1232" s="142">
        <f>B1232*IBGE_2!H$1232/100</f>
        <v>2.391</v>
      </c>
      <c r="I1232" s="142">
        <f>B1232*IBGE_2!I$1232/100</f>
        <v>2.0699999999999998</v>
      </c>
      <c r="J1232" s="142">
        <f>B1232*IBGE_2!J$1232/100</f>
        <v>8.900000000000001E-2</v>
      </c>
      <c r="K1232" s="142">
        <f>B1232*IBGE_2!K$1232/100</f>
        <v>70.400000000000006</v>
      </c>
      <c r="L1232" s="142">
        <f>B1232*IBGE_2!L$1232/100</f>
        <v>1.0760000000000001</v>
      </c>
      <c r="M1232" s="142">
        <f>B1232*IBGE_2!M$1232/100</f>
        <v>0.3</v>
      </c>
      <c r="N1232" s="142">
        <f>B1232*IBGE_2!N$1232/100</f>
        <v>14.6</v>
      </c>
      <c r="O1232" s="142">
        <f>B1232*IBGE_2!O$1232/100</f>
        <v>21.6</v>
      </c>
      <c r="P1232" s="142">
        <f>B1232*IBGE_2!P$1232/100</f>
        <v>3.6999999999999998E-2</v>
      </c>
      <c r="Q1232" s="142">
        <f>B1232*IBGE_2!Q$1232/100</f>
        <v>150.80000000000001</v>
      </c>
      <c r="R1232" s="142">
        <f>B1232*IBGE_2!R$1232/100</f>
        <v>1.212</v>
      </c>
      <c r="S1232" s="142">
        <f>B1232*IBGE_2!S$1232/100</f>
        <v>170.4</v>
      </c>
      <c r="T1232" s="142">
        <f>B1232*IBGE_2!T$1232/100</f>
        <v>244.6</v>
      </c>
      <c r="U1232" s="142">
        <f>B1232*IBGE_2!U$1232/100</f>
        <v>7.5999999999999998E-2</v>
      </c>
      <c r="V1232" s="142">
        <f>B1232*IBGE_2!V$1232/100</f>
        <v>1.5920000000000001</v>
      </c>
      <c r="W1232" s="142">
        <f>B1232*IBGE_2!W$1232/100</f>
        <v>38.4</v>
      </c>
      <c r="X1232" s="142">
        <f>B1232*IBGE_2!X$1232/100</f>
        <v>5.5E-2</v>
      </c>
      <c r="Y1232" s="142">
        <f>B1232*IBGE_2!Y$1232/100</f>
        <v>0.14799999999999999</v>
      </c>
      <c r="Z1232" s="142">
        <f>B1232*IBGE_2!Z$1232/100</f>
        <v>0.33900000000000008</v>
      </c>
      <c r="AA1232" s="142">
        <f>B1232*IBGE_2!AA$1232/100</f>
        <v>6.9850000000000003</v>
      </c>
      <c r="AB1232" s="142">
        <f>B1232*IBGE_2!AB$1232/100</f>
        <v>1.4</v>
      </c>
      <c r="AC1232" s="142">
        <f>B1232*IBGE_2!AC$1232/100</f>
        <v>11.085000000000001</v>
      </c>
      <c r="AD1232" s="142">
        <f>B1232*IBGE_2!AD$1232/100</f>
        <v>0.24</v>
      </c>
      <c r="AE1232" s="142">
        <f>B1232*IBGE_2!AE$1232/100</f>
        <v>6.2</v>
      </c>
      <c r="AF1232" s="142">
        <f>B1232*IBGE_2!AF$1232/100</f>
        <v>0.24</v>
      </c>
      <c r="AG1232" s="142">
        <f>B1232*IBGE_2!AG$1232/100</f>
        <v>0.5</v>
      </c>
      <c r="AH1232" s="142">
        <f>B1232*IBGE_2!AH$1232/100</f>
        <v>0.36</v>
      </c>
      <c r="AI1232" s="142">
        <f>B1232*IBGE_2!AI$1232/100</f>
        <v>333</v>
      </c>
      <c r="AJ1232" s="142">
        <f>B1232*IBGE_2!AJ$1232/100</f>
        <v>19.16</v>
      </c>
      <c r="AK1232" s="142">
        <f>B1232*IBGE_2!AK$1232/100</f>
        <v>41.883000000000003</v>
      </c>
      <c r="AL1232" s="142">
        <f>B1232*IBGE_2!AL$1232/100</f>
        <v>0.85</v>
      </c>
      <c r="AM1232" s="142" t="s">
        <v>3047</v>
      </c>
      <c r="AN1232" s="161"/>
    </row>
    <row r="1233" spans="1:40">
      <c r="A1233" s="143" t="s">
        <v>2293</v>
      </c>
      <c r="B1233" s="141">
        <v>100</v>
      </c>
      <c r="C1233" s="142">
        <f>B1233*IBGE_2!C$1233/100</f>
        <v>226.785</v>
      </c>
      <c r="D1233" s="142">
        <f>B1233*IBGE_2!D$1233/100</f>
        <v>22.6</v>
      </c>
      <c r="E1233" s="142">
        <f>B1233*IBGE_2!E$1233/100</f>
        <v>13.707000000000001</v>
      </c>
      <c r="F1233" s="142">
        <f>B1233*IBGE_2!F$1233/100</f>
        <v>3.7389999999999999</v>
      </c>
      <c r="G1233" s="142">
        <f>B1233*IBGE_2!G$1233/100</f>
        <v>4.9279999999999999</v>
      </c>
      <c r="H1233" s="142">
        <f>B1233*IBGE_2!H$1233/100</f>
        <v>3.6779999999999999</v>
      </c>
      <c r="I1233" s="142">
        <f>B1233*IBGE_2!I$1233/100</f>
        <v>3.1949999999999998</v>
      </c>
      <c r="J1233" s="142">
        <f>B1233*IBGE_2!J$1233/100</f>
        <v>0.251</v>
      </c>
      <c r="K1233" s="142">
        <f>B1233*IBGE_2!K$1233/100</f>
        <v>72.352000000000004</v>
      </c>
      <c r="L1233" s="142">
        <f>B1233*IBGE_2!L$1233/100</f>
        <v>1.849</v>
      </c>
      <c r="M1233" s="142">
        <f>B1233*IBGE_2!M$1233/100</f>
        <v>4.2999999999999997E-2</v>
      </c>
      <c r="N1233" s="142">
        <f>B1233*IBGE_2!N$1233/100</f>
        <v>34.363999999999997</v>
      </c>
      <c r="O1233" s="142">
        <f>B1233*IBGE_2!O$1233/100</f>
        <v>20.667999999999996</v>
      </c>
      <c r="P1233" s="142">
        <f>B1233*IBGE_2!P$1233/100</f>
        <v>2.6000000000000002E-2</v>
      </c>
      <c r="Q1233" s="142">
        <f>B1233*IBGE_2!Q$1233/100</f>
        <v>164.74899999999997</v>
      </c>
      <c r="R1233" s="142">
        <f>B1233*IBGE_2!R$1233/100</f>
        <v>1.079</v>
      </c>
      <c r="S1233" s="142">
        <f>B1233*IBGE_2!S$1233/100</f>
        <v>120.598</v>
      </c>
      <c r="T1233" s="142">
        <f>B1233*IBGE_2!T$1233/100</f>
        <v>207.91900000000001</v>
      </c>
      <c r="U1233" s="142">
        <f>B1233*IBGE_2!U$1233/100</f>
        <v>5.7000000000000002E-2</v>
      </c>
      <c r="V1233" s="142">
        <f>B1233*IBGE_2!V$1233/100</f>
        <v>1.639</v>
      </c>
      <c r="W1233" s="142">
        <f>B1233*IBGE_2!W$1233/100</f>
        <v>43.866000000000007</v>
      </c>
      <c r="X1233" s="142">
        <f>B1233*IBGE_2!X$1233/100</f>
        <v>6.9000000000000006E-2</v>
      </c>
      <c r="Y1233" s="142">
        <f>B1233*IBGE_2!Y$1233/100</f>
        <v>0.17599999999999999</v>
      </c>
      <c r="Z1233" s="142">
        <f>B1233*IBGE_2!Z$1233/100</f>
        <v>0.32800000000000007</v>
      </c>
      <c r="AA1233" s="142">
        <f>B1233*IBGE_2!AA$1233/100</f>
        <v>6.8849999999999998</v>
      </c>
      <c r="AB1233" s="142">
        <f>B1233*IBGE_2!AB$1233/100</f>
        <v>4.0000000000000001E-3</v>
      </c>
      <c r="AC1233" s="142">
        <f>B1233*IBGE_2!AC$1233/100</f>
        <v>11.222000000000001</v>
      </c>
      <c r="AD1233" s="142">
        <f>B1233*IBGE_2!AD$1233/100</f>
        <v>0.32600000000000001</v>
      </c>
      <c r="AE1233" s="142">
        <f>B1233*IBGE_2!AE$1233/100</f>
        <v>7.5279999999999996</v>
      </c>
      <c r="AF1233" s="142">
        <f>B1233*IBGE_2!AF$1233/100</f>
        <v>0.435</v>
      </c>
      <c r="AG1233" s="142">
        <f>B1233*IBGE_2!AG$1233/100</f>
        <v>0.40699999999999997</v>
      </c>
      <c r="AH1233" s="142">
        <f>B1233*IBGE_2!AH$1233/100</f>
        <v>0.39399999999999996</v>
      </c>
      <c r="AI1233" s="142">
        <f>B1233*IBGE_2!AI$1233/100</f>
        <v>333</v>
      </c>
      <c r="AJ1233" s="142">
        <f>B1233*IBGE_2!AJ$1233/100</f>
        <v>21.265999999999998</v>
      </c>
      <c r="AK1233" s="142">
        <f>B1233*IBGE_2!AK$1233/100</f>
        <v>43.95</v>
      </c>
      <c r="AL1233" s="142">
        <f>B1233*IBGE_2!AL$1233/100</f>
        <v>1.0309999999999999</v>
      </c>
      <c r="AM1233" s="142" t="s">
        <v>3047</v>
      </c>
      <c r="AN1233" s="161"/>
    </row>
    <row r="1234" spans="1:40">
      <c r="A1234" s="143" t="s">
        <v>2294</v>
      </c>
      <c r="B1234" s="141">
        <v>100</v>
      </c>
      <c r="C1234" s="142">
        <f>B1234*IBGE_2!C$1234/100</f>
        <v>261.65899999999999</v>
      </c>
      <c r="D1234" s="142">
        <f>B1234*IBGE_2!D$1234/100</f>
        <v>27.3</v>
      </c>
      <c r="E1234" s="142">
        <f>B1234*IBGE_2!E$1234/100</f>
        <v>16.163</v>
      </c>
      <c r="F1234" s="142">
        <f>B1234*IBGE_2!F$1234/100</f>
        <v>4.1909999999999998</v>
      </c>
      <c r="G1234" s="142">
        <f>B1234*IBGE_2!G$1234/100</f>
        <v>5.9240000000000013</v>
      </c>
      <c r="H1234" s="142">
        <f>B1234*IBGE_2!H$1234/100</f>
        <v>4.45</v>
      </c>
      <c r="I1234" s="142">
        <f>B1234*IBGE_2!I$1234/100</f>
        <v>3.8759999999999994</v>
      </c>
      <c r="J1234" s="142">
        <f>B1234*IBGE_2!J$1234/100</f>
        <v>0.28399999999999997</v>
      </c>
      <c r="K1234" s="142">
        <f>B1234*IBGE_2!K$1234/100</f>
        <v>88</v>
      </c>
      <c r="L1234" s="142" t="s">
        <v>3047</v>
      </c>
      <c r="M1234" s="142" t="s">
        <v>3047</v>
      </c>
      <c r="N1234" s="142">
        <f>B1234*IBGE_2!N$1234/100</f>
        <v>15</v>
      </c>
      <c r="O1234" s="142">
        <f>B1234*IBGE_2!O$1234/100</f>
        <v>23</v>
      </c>
      <c r="P1234" s="142">
        <f>B1234*IBGE_2!P$1234/100</f>
        <v>0.02</v>
      </c>
      <c r="Q1234" s="142">
        <f>B1234*IBGE_2!Q$1234/100</f>
        <v>182</v>
      </c>
      <c r="R1234" s="142">
        <f>B1234*IBGE_2!R$1234/100</f>
        <v>1.2609999999999999</v>
      </c>
      <c r="S1234" s="142">
        <f>B1234*IBGE_2!S$1234/100</f>
        <v>82</v>
      </c>
      <c r="T1234" s="142">
        <f>B1234*IBGE_2!T$1234/100</f>
        <v>223</v>
      </c>
      <c r="U1234" s="142">
        <f>B1234*IBGE_2!U$1234/100</f>
        <v>6.6000000000000003E-2</v>
      </c>
      <c r="V1234" s="142">
        <f>B1234*IBGE_2!V$1234/100</f>
        <v>1.94</v>
      </c>
      <c r="W1234" s="142">
        <f>B1234*IBGE_2!W$1234/100</f>
        <v>48</v>
      </c>
      <c r="X1234" s="142">
        <f>B1234*IBGE_2!X$1234/100</f>
        <v>6.3E-2</v>
      </c>
      <c r="Y1234" s="142">
        <f>B1234*IBGE_2!Y$1234/100</f>
        <v>0.16800000000000001</v>
      </c>
      <c r="Z1234" s="142">
        <f>B1234*IBGE_2!Z$1234/100</f>
        <v>0.4</v>
      </c>
      <c r="AA1234" s="142">
        <f>B1234*IBGE_2!AA$1234/100</f>
        <v>8.4870000000000001</v>
      </c>
      <c r="AB1234" s="142" t="s">
        <v>3047</v>
      </c>
      <c r="AC1234" s="142">
        <f>B1234*IBGE_2!AC$1234/100</f>
        <v>13.57</v>
      </c>
      <c r="AD1234" s="142">
        <f>B1234*IBGE_2!AD$1234/100</f>
        <v>0.3</v>
      </c>
      <c r="AE1234" s="142">
        <f>B1234*IBGE_2!AE$1234/100</f>
        <v>5</v>
      </c>
      <c r="AF1234" s="142">
        <f>B1234*IBGE_2!AF$1234/100</f>
        <v>0.3</v>
      </c>
      <c r="AG1234" s="142">
        <f>B1234*IBGE_2!AG$1234/100</f>
        <v>0.48</v>
      </c>
      <c r="AH1234" s="142">
        <f>B1234*IBGE_2!AH$1234/100</f>
        <v>0.46400000000000008</v>
      </c>
      <c r="AI1234" s="142">
        <f>B1234*IBGE_2!AI$1234/100</f>
        <v>333</v>
      </c>
      <c r="AJ1234" s="142">
        <f>B1234*IBGE_2!AJ$1234/100</f>
        <v>25.074999999999999</v>
      </c>
      <c r="AK1234" s="142">
        <f>B1234*IBGE_2!AK$1234/100</f>
        <v>48</v>
      </c>
      <c r="AL1234" s="145" t="s">
        <v>3047</v>
      </c>
      <c r="AM1234" s="142" t="s">
        <v>3047</v>
      </c>
      <c r="AN1234" s="161"/>
    </row>
    <row r="1235" spans="1:40">
      <c r="A1235" s="143" t="s">
        <v>2295</v>
      </c>
      <c r="B1235" s="141">
        <v>100</v>
      </c>
      <c r="C1235" s="142">
        <f>B1235*IBGE_2!C$1235/100</f>
        <v>192.137</v>
      </c>
      <c r="D1235" s="142">
        <f>B1235*IBGE_2!D$1235/100</f>
        <v>30.933000000000003</v>
      </c>
      <c r="E1235" s="142">
        <f>B1235*IBGE_2!E$1235/100</f>
        <v>6.6749999999999998</v>
      </c>
      <c r="F1235" s="142">
        <f>B1235*IBGE_2!F$1235/100</f>
        <v>2.641</v>
      </c>
      <c r="G1235" s="142">
        <f>B1235*IBGE_2!G$1235/100</f>
        <v>2.101</v>
      </c>
      <c r="H1235" s="142">
        <f>B1235*IBGE_2!H$1235/100</f>
        <v>1.0609999999999999</v>
      </c>
      <c r="I1235" s="142">
        <f>B1235*IBGE_2!I$1235/100</f>
        <v>0.81299999999999994</v>
      </c>
      <c r="J1235" s="142">
        <f>B1235*IBGE_2!J$1235/100</f>
        <v>4.8000000000000001E-2</v>
      </c>
      <c r="K1235" s="142">
        <f>B1235*IBGE_2!K$1235/100</f>
        <v>90.738</v>
      </c>
      <c r="L1235" s="142">
        <f>B1235*IBGE_2!L$1235/100</f>
        <v>2E-3</v>
      </c>
      <c r="M1235" s="142" t="s">
        <v>3047</v>
      </c>
      <c r="N1235" s="142">
        <f>B1235*IBGE_2!N$1235/100</f>
        <v>15.640999999999998</v>
      </c>
      <c r="O1235" s="142">
        <f>B1235*IBGE_2!O$1235/100</f>
        <v>27.053000000000001</v>
      </c>
      <c r="P1235" s="142">
        <f>B1235*IBGE_2!P$1235/100</f>
        <v>1.7000000000000001E-2</v>
      </c>
      <c r="Q1235" s="142">
        <f>B1235*IBGE_2!Q$1235/100</f>
        <v>216.64099999999999</v>
      </c>
      <c r="R1235" s="142">
        <f>B1235*IBGE_2!R$1235/100</f>
        <v>1.0609999999999999</v>
      </c>
      <c r="S1235" s="142">
        <f>B1235*IBGE_2!S$1235/100</f>
        <v>92.373999999999995</v>
      </c>
      <c r="T1235" s="142">
        <f>B1235*IBGE_2!T$1235/100</f>
        <v>247.64099999999999</v>
      </c>
      <c r="U1235" s="142">
        <f>B1235*IBGE_2!U$1235/100</f>
        <v>0.05</v>
      </c>
      <c r="V1235" s="142">
        <f>B1235*IBGE_2!V$1235/100</f>
        <v>1.232</v>
      </c>
      <c r="W1235" s="142">
        <f>B1235*IBGE_2!W$1235/100</f>
        <v>26.909000000000002</v>
      </c>
      <c r="X1235" s="142">
        <f>B1235*IBGE_2!X$1235/100</f>
        <v>6.5000000000000002E-2</v>
      </c>
      <c r="Y1235" s="142">
        <f>B1235*IBGE_2!Y$1235/100</f>
        <v>0.11700000000000001</v>
      </c>
      <c r="Z1235" s="142">
        <f>B1235*IBGE_2!Z$1235/100</f>
        <v>0.6</v>
      </c>
      <c r="AA1235" s="142">
        <f>B1235*IBGE_2!AA$1235/100</f>
        <v>12.422000000000001</v>
      </c>
      <c r="AB1235" s="142" t="s">
        <v>3047</v>
      </c>
      <c r="AC1235" s="142">
        <f>B1235*IBGE_2!AC$1235/100</f>
        <v>18.443999999999999</v>
      </c>
      <c r="AD1235" s="142">
        <f>B1235*IBGE_2!AD$1235/100</f>
        <v>0.34499999999999997</v>
      </c>
      <c r="AE1235" s="142">
        <f>B1235*IBGE_2!AE$1235/100</f>
        <v>4.08</v>
      </c>
      <c r="AF1235" s="142">
        <f>B1235*IBGE_2!AF$1235/100</f>
        <v>0.23699999999999999</v>
      </c>
      <c r="AG1235" s="142">
        <f>B1235*IBGE_2!AG$1235/100</f>
        <v>0.33200000000000002</v>
      </c>
      <c r="AH1235" s="142">
        <f>B1235*IBGE_2!AH$1235/100</f>
        <v>0.17699999999999999</v>
      </c>
      <c r="AI1235" s="142">
        <f>B1235*IBGE_2!AI$1235/100</f>
        <v>333</v>
      </c>
      <c r="AJ1235" s="142">
        <f>B1235*IBGE_2!AJ$1235/100</f>
        <v>24.427</v>
      </c>
      <c r="AK1235" s="142">
        <f>B1235*IBGE_2!AK$1235/100</f>
        <v>27.260999999999999</v>
      </c>
      <c r="AL1235" s="142">
        <f>B1235*IBGE_2!AL$1235/100</f>
        <v>3.0000000000000001E-3</v>
      </c>
      <c r="AM1235" s="142" t="s">
        <v>3047</v>
      </c>
      <c r="AN1235" s="161"/>
    </row>
    <row r="1236" spans="1:40">
      <c r="A1236" s="143" t="s">
        <v>2296</v>
      </c>
      <c r="B1236" s="141">
        <v>100</v>
      </c>
      <c r="C1236" s="142">
        <f>B1236*IBGE_2!C$1236/100</f>
        <v>261.65899999999999</v>
      </c>
      <c r="D1236" s="142">
        <f>B1236*IBGE_2!D$1236/100</f>
        <v>27.3</v>
      </c>
      <c r="E1236" s="142">
        <f>B1236*IBGE_2!E$1236/100</f>
        <v>16.163</v>
      </c>
      <c r="F1236" s="142">
        <f>B1236*IBGE_2!F$1236/100</f>
        <v>4.1909999999999998</v>
      </c>
      <c r="G1236" s="142">
        <f>B1236*IBGE_2!G$1236/100</f>
        <v>5.9240000000000013</v>
      </c>
      <c r="H1236" s="142">
        <f>B1236*IBGE_2!H$1236/100</f>
        <v>4.45</v>
      </c>
      <c r="I1236" s="142">
        <f>B1236*IBGE_2!I$1236/100</f>
        <v>3.8759999999999994</v>
      </c>
      <c r="J1236" s="142">
        <f>B1236*IBGE_2!J$1236/100</f>
        <v>0.28399999999999997</v>
      </c>
      <c r="K1236" s="142">
        <f>B1236*IBGE_2!K$1236/100</f>
        <v>88</v>
      </c>
      <c r="L1236" s="142" t="s">
        <v>3047</v>
      </c>
      <c r="M1236" s="142" t="s">
        <v>3047</v>
      </c>
      <c r="N1236" s="142">
        <f>B1236*IBGE_2!N$1236/100</f>
        <v>15</v>
      </c>
      <c r="O1236" s="142">
        <f>B1236*IBGE_2!O$1236/100</f>
        <v>23</v>
      </c>
      <c r="P1236" s="142">
        <f>B1236*IBGE_2!P$1236/100</f>
        <v>0.02</v>
      </c>
      <c r="Q1236" s="142">
        <f>B1236*IBGE_2!Q$1236/100</f>
        <v>182</v>
      </c>
      <c r="R1236" s="142">
        <f>B1236*IBGE_2!R$1236/100</f>
        <v>1.2609999999999999</v>
      </c>
      <c r="S1236" s="142">
        <f>B1236*IBGE_2!S$1236/100</f>
        <v>82</v>
      </c>
      <c r="T1236" s="142">
        <f>B1236*IBGE_2!T$1236/100</f>
        <v>223</v>
      </c>
      <c r="U1236" s="142">
        <f>B1236*IBGE_2!U$1236/100</f>
        <v>6.6000000000000003E-2</v>
      </c>
      <c r="V1236" s="142">
        <f>B1236*IBGE_2!V$1236/100</f>
        <v>1.94</v>
      </c>
      <c r="W1236" s="142">
        <f>B1236*IBGE_2!W$1236/100</f>
        <v>48</v>
      </c>
      <c r="X1236" s="142">
        <f>B1236*IBGE_2!X$1236/100</f>
        <v>6.3E-2</v>
      </c>
      <c r="Y1236" s="142">
        <f>B1236*IBGE_2!Y$1236/100</f>
        <v>0.16800000000000001</v>
      </c>
      <c r="Z1236" s="142">
        <f>B1236*IBGE_2!Z$1236/100</f>
        <v>0.4</v>
      </c>
      <c r="AA1236" s="142">
        <f>B1236*IBGE_2!AA$1236/100</f>
        <v>8.4870000000000001</v>
      </c>
      <c r="AB1236" s="142" t="s">
        <v>3047</v>
      </c>
      <c r="AC1236" s="142">
        <f>B1236*IBGE_2!AC$1236/100</f>
        <v>13.57</v>
      </c>
      <c r="AD1236" s="142">
        <f>B1236*IBGE_2!AD$1236/100</f>
        <v>0.3</v>
      </c>
      <c r="AE1236" s="142">
        <f>B1236*IBGE_2!AE$1236/100</f>
        <v>5</v>
      </c>
      <c r="AF1236" s="142">
        <f>B1236*IBGE_2!AF$1236/100</f>
        <v>0.3</v>
      </c>
      <c r="AG1236" s="142">
        <f>B1236*IBGE_2!AG$1236/100</f>
        <v>0.48</v>
      </c>
      <c r="AH1236" s="142">
        <f>B1236*IBGE_2!AH$1236/100</f>
        <v>0.46400000000000008</v>
      </c>
      <c r="AI1236" s="142">
        <f>B1236*IBGE_2!AI$1236/100</f>
        <v>333</v>
      </c>
      <c r="AJ1236" s="142">
        <f>B1236*IBGE_2!AJ$1236/100</f>
        <v>25.074999999999999</v>
      </c>
      <c r="AK1236" s="142">
        <f>B1236*IBGE_2!AK$1236/100</f>
        <v>48</v>
      </c>
      <c r="AL1236" s="145" t="s">
        <v>3047</v>
      </c>
      <c r="AM1236" s="142" t="s">
        <v>3047</v>
      </c>
      <c r="AN1236" s="161"/>
    </row>
    <row r="1237" spans="1:40">
      <c r="A1237" s="143" t="s">
        <v>2297</v>
      </c>
      <c r="B1237" s="141">
        <v>100</v>
      </c>
      <c r="C1237" s="142">
        <f>B1237*IBGE_2!C$1237/100</f>
        <v>31.471</v>
      </c>
      <c r="D1237" s="142">
        <f>B1237*IBGE_2!D$1237/100</f>
        <v>1.6120000000000001</v>
      </c>
      <c r="E1237" s="142">
        <f>B1237*IBGE_2!E$1237/100</f>
        <v>1.0640000000000001</v>
      </c>
      <c r="F1237" s="142">
        <f>B1237*IBGE_2!F$1237/100</f>
        <v>0.309</v>
      </c>
      <c r="G1237" s="142">
        <f>B1237*IBGE_2!G$1237/100</f>
        <v>0.44700000000000001</v>
      </c>
      <c r="H1237" s="142">
        <f>B1237*IBGE_2!H$1237/100</f>
        <v>0.22800000000000001</v>
      </c>
      <c r="I1237" s="142">
        <f>B1237*IBGE_2!I$1237/100</f>
        <v>0.20599999999999999</v>
      </c>
      <c r="J1237" s="142">
        <f>B1237*IBGE_2!J$1237/100</f>
        <v>1.3000000000000001E-2</v>
      </c>
      <c r="K1237" s="142">
        <f>B1237*IBGE_2!K$1237/100</f>
        <v>3.194</v>
      </c>
      <c r="L1237" s="142">
        <f>B1237*IBGE_2!L$1237/100</f>
        <v>3.637</v>
      </c>
      <c r="M1237" s="142">
        <f>B1237*IBGE_2!M$1237/100</f>
        <v>0.128</v>
      </c>
      <c r="N1237" s="142">
        <f>B1237*IBGE_2!N$1237/100</f>
        <v>5.22</v>
      </c>
      <c r="O1237" s="142">
        <f>B1237*IBGE_2!O$1237/100</f>
        <v>3.2549999999999999</v>
      </c>
      <c r="P1237" s="142">
        <f>B1237*IBGE_2!P$1237/100</f>
        <v>8.3000000000000004E-2</v>
      </c>
      <c r="Q1237" s="142">
        <f>B1237*IBGE_2!Q$1237/100</f>
        <v>18.477</v>
      </c>
      <c r="R1237" s="142">
        <f>B1237*IBGE_2!R$1237/100</f>
        <v>0.23699999999999999</v>
      </c>
      <c r="S1237" s="142">
        <f>B1237*IBGE_2!S$1237/100</f>
        <v>343.654</v>
      </c>
      <c r="T1237" s="142">
        <f>B1237*IBGE_2!T$1237/100</f>
        <v>37.023000000000003</v>
      </c>
      <c r="U1237" s="142">
        <f>B1237*IBGE_2!U$1237/100</f>
        <v>2.7000000000000003E-2</v>
      </c>
      <c r="V1237" s="142">
        <f>B1237*IBGE_2!V$1237/100</f>
        <v>0.153</v>
      </c>
      <c r="W1237" s="142">
        <f>B1237*IBGE_2!W$1237/100</f>
        <v>0.46899999999999997</v>
      </c>
      <c r="X1237" s="142">
        <f>B1237*IBGE_2!X$1237/100</f>
        <v>2.4E-2</v>
      </c>
      <c r="Y1237" s="142">
        <f>B1237*IBGE_2!Y$1237/100</f>
        <v>1.4000000000000002E-2</v>
      </c>
      <c r="Z1237" s="142">
        <f>B1237*IBGE_2!Z$1237/100</f>
        <v>3.1E-2</v>
      </c>
      <c r="AA1237" s="142">
        <f>B1237*IBGE_2!AA$1237/100</f>
        <v>0.75</v>
      </c>
      <c r="AB1237" s="142">
        <f>B1237*IBGE_2!AB$1237/100</f>
        <v>0.105</v>
      </c>
      <c r="AC1237" s="142">
        <f>B1237*IBGE_2!AC$1237/100</f>
        <v>1.016</v>
      </c>
      <c r="AD1237" s="142">
        <f>B1237*IBGE_2!AD$1237/100</f>
        <v>3.1E-2</v>
      </c>
      <c r="AE1237" s="142">
        <f>B1237*IBGE_2!AE$1237/100</f>
        <v>6.0449999999999999</v>
      </c>
      <c r="AF1237" s="142">
        <f>B1237*IBGE_2!AF$1237/100</f>
        <v>1.2E-2</v>
      </c>
      <c r="AG1237" s="142">
        <f>B1237*IBGE_2!AG$1237/100</f>
        <v>6.6000000000000003E-2</v>
      </c>
      <c r="AH1237" s="142">
        <f>B1237*IBGE_2!AH$1237/100</f>
        <v>1.7000000000000001E-2</v>
      </c>
      <c r="AI1237" s="145" t="s">
        <v>3047</v>
      </c>
      <c r="AJ1237" s="142">
        <f>B1237*IBGE_2!AJ$1237/100</f>
        <v>1.55</v>
      </c>
      <c r="AK1237" s="142">
        <f>B1237*IBGE_2!AK$1237/100</f>
        <v>25.419</v>
      </c>
      <c r="AL1237" s="142">
        <f>B1237*IBGE_2!AL$1237/100</f>
        <v>0.105</v>
      </c>
      <c r="AM1237" s="142" t="s">
        <v>3047</v>
      </c>
      <c r="AN1237" s="161"/>
    </row>
    <row r="1238" spans="1:40">
      <c r="A1238" s="143" t="s">
        <v>2298</v>
      </c>
      <c r="B1238" s="141">
        <v>100</v>
      </c>
      <c r="C1238" s="142">
        <f>B1238*IBGE_2!C$1238/100</f>
        <v>239</v>
      </c>
      <c r="D1238" s="142">
        <f>B1238*IBGE_2!D$1238/100</f>
        <v>27.3</v>
      </c>
      <c r="E1238" s="142">
        <f>B1238*IBGE_2!E$1238/100</f>
        <v>13.6</v>
      </c>
      <c r="F1238" s="142">
        <f>B1238*IBGE_2!F$1238/100</f>
        <v>3.79</v>
      </c>
      <c r="G1238" s="142">
        <f>B1238*IBGE_2!G$1238/100</f>
        <v>5.34</v>
      </c>
      <c r="H1238" s="142">
        <f>B1238*IBGE_2!H$1238/100</f>
        <v>2.97</v>
      </c>
      <c r="I1238" s="142">
        <f>B1238*IBGE_2!I$1238/100</f>
        <v>2.57</v>
      </c>
      <c r="J1238" s="142">
        <f>B1238*IBGE_2!J$1238/100</f>
        <v>0.11</v>
      </c>
      <c r="K1238" s="142">
        <f>B1238*IBGE_2!K$1238/100</f>
        <v>88</v>
      </c>
      <c r="L1238" s="142" t="s">
        <v>3047</v>
      </c>
      <c r="M1238" s="142" t="s">
        <v>3047</v>
      </c>
      <c r="N1238" s="142">
        <f>B1238*IBGE_2!N$1238/100</f>
        <v>15</v>
      </c>
      <c r="O1238" s="142">
        <f>B1238*IBGE_2!O$1238/100</f>
        <v>23</v>
      </c>
      <c r="P1238" s="142">
        <f>B1238*IBGE_2!P$1238/100</f>
        <v>0.02</v>
      </c>
      <c r="Q1238" s="142">
        <f>B1238*IBGE_2!Q$1238/100</f>
        <v>182</v>
      </c>
      <c r="R1238" s="142">
        <f>B1238*IBGE_2!R$1238/100</f>
        <v>1.26</v>
      </c>
      <c r="S1238" s="142">
        <f>B1238*IBGE_2!S$1238/100</f>
        <v>82</v>
      </c>
      <c r="T1238" s="142">
        <f>B1238*IBGE_2!T$1238/100</f>
        <v>223</v>
      </c>
      <c r="U1238" s="142">
        <f>B1238*IBGE_2!U$1238/100</f>
        <v>6.6000000000000003E-2</v>
      </c>
      <c r="V1238" s="142">
        <f>B1238*IBGE_2!V$1238/100</f>
        <v>1.94</v>
      </c>
      <c r="W1238" s="142">
        <f>B1238*IBGE_2!W$1238/100</f>
        <v>48</v>
      </c>
      <c r="X1238" s="142">
        <f>B1238*IBGE_2!X$1238/100</f>
        <v>6.3E-2</v>
      </c>
      <c r="Y1238" s="142">
        <f>B1238*IBGE_2!Y$1238/100</f>
        <v>0.16800000000000001</v>
      </c>
      <c r="Z1238" s="142">
        <f>B1238*IBGE_2!Z$1238/100</f>
        <v>0.4</v>
      </c>
      <c r="AA1238" s="142">
        <f>B1238*IBGE_2!AA$1238/100</f>
        <v>8.4870000000000001</v>
      </c>
      <c r="AB1238" s="142" t="s">
        <v>3047</v>
      </c>
      <c r="AC1238" s="142">
        <f>B1238*IBGE_2!AC$1238/100</f>
        <v>13.57</v>
      </c>
      <c r="AD1238" s="142">
        <f>B1238*IBGE_2!AD$1238/100</f>
        <v>0.3</v>
      </c>
      <c r="AE1238" s="142">
        <f>B1238*IBGE_2!AE$1238/100</f>
        <v>5</v>
      </c>
      <c r="AF1238" s="142">
        <f>B1238*IBGE_2!AF$1238/100</f>
        <v>0.3</v>
      </c>
      <c r="AG1238" s="142">
        <f>B1238*IBGE_2!AG$1238/100</f>
        <v>0.27</v>
      </c>
      <c r="AH1238" s="142">
        <f>B1238*IBGE_2!AH$1238/100</f>
        <v>0.45</v>
      </c>
      <c r="AI1238" s="142">
        <f>B1238*IBGE_2!AI$1238/100</f>
        <v>333</v>
      </c>
      <c r="AJ1238" s="142">
        <f>B1238*IBGE_2!AJ$1238/100</f>
        <v>23.9</v>
      </c>
      <c r="AK1238" s="142">
        <f>B1238*IBGE_2!AK$1238/100</f>
        <v>48</v>
      </c>
      <c r="AL1238" s="142" t="s">
        <v>3047</v>
      </c>
      <c r="AM1238" s="142" t="s">
        <v>3047</v>
      </c>
      <c r="AN1238" s="161"/>
    </row>
    <row r="1239" spans="1:40">
      <c r="A1239" s="143" t="s">
        <v>2299</v>
      </c>
      <c r="B1239" s="141">
        <v>100</v>
      </c>
      <c r="C1239" s="142">
        <f>B1239*IBGE_2!C$1239/100</f>
        <v>239</v>
      </c>
      <c r="D1239" s="142">
        <f>B1239*IBGE_2!D$1239/100</f>
        <v>27.3</v>
      </c>
      <c r="E1239" s="142">
        <f>B1239*IBGE_2!E$1239/100</f>
        <v>13.6</v>
      </c>
      <c r="F1239" s="142">
        <f>B1239*IBGE_2!F$1239/100</f>
        <v>3.79</v>
      </c>
      <c r="G1239" s="142">
        <f>B1239*IBGE_2!G$1239/100</f>
        <v>5.34</v>
      </c>
      <c r="H1239" s="142">
        <f>B1239*IBGE_2!H$1239/100</f>
        <v>2.97</v>
      </c>
      <c r="I1239" s="142">
        <f>B1239*IBGE_2!I$1239/100</f>
        <v>2.57</v>
      </c>
      <c r="J1239" s="142">
        <f>B1239*IBGE_2!J$1239/100</f>
        <v>0.11</v>
      </c>
      <c r="K1239" s="142">
        <f>B1239*IBGE_2!K$1239/100</f>
        <v>88</v>
      </c>
      <c r="L1239" s="142" t="s">
        <v>3047</v>
      </c>
      <c r="M1239" s="142" t="s">
        <v>3047</v>
      </c>
      <c r="N1239" s="142">
        <f>B1239*IBGE_2!N$1239/100</f>
        <v>15</v>
      </c>
      <c r="O1239" s="142">
        <f>B1239*IBGE_2!O$1239/100</f>
        <v>23</v>
      </c>
      <c r="P1239" s="142">
        <f>B1239*IBGE_2!P$1239/100</f>
        <v>0.02</v>
      </c>
      <c r="Q1239" s="142">
        <f>B1239*IBGE_2!Q$1239/100</f>
        <v>182</v>
      </c>
      <c r="R1239" s="142">
        <f>B1239*IBGE_2!R$1239/100</f>
        <v>1.26</v>
      </c>
      <c r="S1239" s="142">
        <f>B1239*IBGE_2!S$1239/100</f>
        <v>82</v>
      </c>
      <c r="T1239" s="142">
        <f>B1239*IBGE_2!T$1239/100</f>
        <v>223</v>
      </c>
      <c r="U1239" s="142">
        <f>B1239*IBGE_2!U$1239/100</f>
        <v>6.6000000000000003E-2</v>
      </c>
      <c r="V1239" s="142">
        <f>B1239*IBGE_2!V$1239/100</f>
        <v>1.94</v>
      </c>
      <c r="W1239" s="142">
        <f>B1239*IBGE_2!W$1239/100</f>
        <v>48</v>
      </c>
      <c r="X1239" s="142">
        <f>B1239*IBGE_2!X$1239/100</f>
        <v>6.3E-2</v>
      </c>
      <c r="Y1239" s="142">
        <f>B1239*IBGE_2!Y$1239/100</f>
        <v>0.16800000000000001</v>
      </c>
      <c r="Z1239" s="142">
        <f>B1239*IBGE_2!Z$1239/100</f>
        <v>0.4</v>
      </c>
      <c r="AA1239" s="142">
        <f>B1239*IBGE_2!AA$1239/100</f>
        <v>8.4870000000000001</v>
      </c>
      <c r="AB1239" s="142" t="s">
        <v>3047</v>
      </c>
      <c r="AC1239" s="142">
        <f>B1239*IBGE_2!AC$1239/100</f>
        <v>13.57</v>
      </c>
      <c r="AD1239" s="142">
        <f>B1239*IBGE_2!AD$1239/100</f>
        <v>0.3</v>
      </c>
      <c r="AE1239" s="142">
        <f>B1239*IBGE_2!AE$1239/100</f>
        <v>5</v>
      </c>
      <c r="AF1239" s="142">
        <f>B1239*IBGE_2!AF$1239/100</f>
        <v>0.3</v>
      </c>
      <c r="AG1239" s="142">
        <f>B1239*IBGE_2!AG$1239/100</f>
        <v>0.27</v>
      </c>
      <c r="AH1239" s="142">
        <f>B1239*IBGE_2!AH$1239/100</f>
        <v>0.45</v>
      </c>
      <c r="AI1239" s="142">
        <f>B1239*IBGE_2!AI$1239/100</f>
        <v>333</v>
      </c>
      <c r="AJ1239" s="142">
        <f>B1239*IBGE_2!AJ$1239/100</f>
        <v>23.9</v>
      </c>
      <c r="AK1239" s="142">
        <f>B1239*IBGE_2!AK$1239/100</f>
        <v>48</v>
      </c>
      <c r="AL1239" s="142" t="s">
        <v>3047</v>
      </c>
      <c r="AM1239" s="142" t="s">
        <v>3047</v>
      </c>
      <c r="AN1239" s="161"/>
    </row>
    <row r="1240" spans="1:40">
      <c r="A1240" s="143" t="s">
        <v>2300</v>
      </c>
      <c r="B1240" s="141">
        <v>100</v>
      </c>
      <c r="C1240" s="142">
        <f>B1240*IBGE_2!C$1240/100</f>
        <v>239</v>
      </c>
      <c r="D1240" s="142">
        <f>B1240*IBGE_2!D$1240/100</f>
        <v>27.3</v>
      </c>
      <c r="E1240" s="142">
        <f>B1240*IBGE_2!E$1240/100</f>
        <v>13.6</v>
      </c>
      <c r="F1240" s="142">
        <f>B1240*IBGE_2!F$1240/100</f>
        <v>3.79</v>
      </c>
      <c r="G1240" s="142">
        <f>B1240*IBGE_2!G$1240/100</f>
        <v>5.34</v>
      </c>
      <c r="H1240" s="142">
        <f>B1240*IBGE_2!H$1240/100</f>
        <v>2.97</v>
      </c>
      <c r="I1240" s="142">
        <f>B1240*IBGE_2!I$1240/100</f>
        <v>2.57</v>
      </c>
      <c r="J1240" s="142">
        <f>B1240*IBGE_2!J$1240/100</f>
        <v>0.11</v>
      </c>
      <c r="K1240" s="142">
        <f>B1240*IBGE_2!K$1240/100</f>
        <v>88</v>
      </c>
      <c r="L1240" s="142" t="s">
        <v>3047</v>
      </c>
      <c r="M1240" s="142" t="s">
        <v>3047</v>
      </c>
      <c r="N1240" s="142">
        <f>B1240*IBGE_2!N$1240/100</f>
        <v>15</v>
      </c>
      <c r="O1240" s="142">
        <f>B1240*IBGE_2!O$1240/100</f>
        <v>23</v>
      </c>
      <c r="P1240" s="142">
        <f>B1240*IBGE_2!P$1240/100</f>
        <v>0.02</v>
      </c>
      <c r="Q1240" s="142">
        <f>B1240*IBGE_2!Q$1240/100</f>
        <v>182</v>
      </c>
      <c r="R1240" s="142">
        <f>B1240*IBGE_2!R$1240/100</f>
        <v>1.26</v>
      </c>
      <c r="S1240" s="142">
        <f>B1240*IBGE_2!S$1240/100</f>
        <v>82</v>
      </c>
      <c r="T1240" s="142">
        <f>B1240*IBGE_2!T$1240/100</f>
        <v>223</v>
      </c>
      <c r="U1240" s="142">
        <f>B1240*IBGE_2!U$1240/100</f>
        <v>6.6000000000000003E-2</v>
      </c>
      <c r="V1240" s="142">
        <f>B1240*IBGE_2!V$1240/100</f>
        <v>1.94</v>
      </c>
      <c r="W1240" s="142">
        <f>B1240*IBGE_2!W$1240/100</f>
        <v>48</v>
      </c>
      <c r="X1240" s="142">
        <f>B1240*IBGE_2!X$1240/100</f>
        <v>6.3E-2</v>
      </c>
      <c r="Y1240" s="142">
        <f>B1240*IBGE_2!Y$1240/100</f>
        <v>0.16800000000000001</v>
      </c>
      <c r="Z1240" s="142">
        <f>B1240*IBGE_2!Z$1240/100</f>
        <v>0.4</v>
      </c>
      <c r="AA1240" s="142">
        <f>B1240*IBGE_2!AA$1240/100</f>
        <v>8.4870000000000001</v>
      </c>
      <c r="AB1240" s="142" t="s">
        <v>3047</v>
      </c>
      <c r="AC1240" s="142">
        <f>B1240*IBGE_2!AC$1240/100</f>
        <v>13.57</v>
      </c>
      <c r="AD1240" s="142">
        <f>B1240*IBGE_2!AD$1240/100</f>
        <v>0.3</v>
      </c>
      <c r="AE1240" s="142">
        <f>B1240*IBGE_2!AE$1240/100</f>
        <v>5</v>
      </c>
      <c r="AF1240" s="142">
        <f>B1240*IBGE_2!AF$1240/100</f>
        <v>0.3</v>
      </c>
      <c r="AG1240" s="142">
        <f>B1240*IBGE_2!AG$1240/100</f>
        <v>0.27</v>
      </c>
      <c r="AH1240" s="142">
        <f>B1240*IBGE_2!AH$1240/100</f>
        <v>0.45</v>
      </c>
      <c r="AI1240" s="142">
        <f>B1240*IBGE_2!AI$1240/100</f>
        <v>333</v>
      </c>
      <c r="AJ1240" s="142">
        <f>B1240*IBGE_2!AJ$1240/100</f>
        <v>23.9</v>
      </c>
      <c r="AK1240" s="142">
        <f>B1240*IBGE_2!AK$1240/100</f>
        <v>48</v>
      </c>
      <c r="AL1240" s="142" t="s">
        <v>3047</v>
      </c>
      <c r="AM1240" s="142" t="s">
        <v>3047</v>
      </c>
      <c r="AN1240" s="161"/>
    </row>
    <row r="1241" spans="1:40">
      <c r="A1241" s="143" t="s">
        <v>2301</v>
      </c>
      <c r="B1241" s="141">
        <v>100</v>
      </c>
      <c r="C1241" s="142">
        <f>B1241*IBGE_2!C$1241/100</f>
        <v>239</v>
      </c>
      <c r="D1241" s="142">
        <f>B1241*IBGE_2!D$1241/100</f>
        <v>27.3</v>
      </c>
      <c r="E1241" s="142">
        <f>B1241*IBGE_2!E$1241/100</f>
        <v>13.6</v>
      </c>
      <c r="F1241" s="142">
        <f>B1241*IBGE_2!F$1241/100</f>
        <v>3.79</v>
      </c>
      <c r="G1241" s="142">
        <f>B1241*IBGE_2!G$1241/100</f>
        <v>5.34</v>
      </c>
      <c r="H1241" s="142">
        <f>B1241*IBGE_2!H$1241/100</f>
        <v>2.97</v>
      </c>
      <c r="I1241" s="142">
        <f>B1241*IBGE_2!I$1241/100</f>
        <v>2.57</v>
      </c>
      <c r="J1241" s="142">
        <f>B1241*IBGE_2!J$1241/100</f>
        <v>0.11</v>
      </c>
      <c r="K1241" s="142">
        <f>B1241*IBGE_2!K$1241/100</f>
        <v>88</v>
      </c>
      <c r="L1241" s="142" t="s">
        <v>3047</v>
      </c>
      <c r="M1241" s="142" t="s">
        <v>3047</v>
      </c>
      <c r="N1241" s="142">
        <f>B1241*IBGE_2!N$1241/100</f>
        <v>15</v>
      </c>
      <c r="O1241" s="142">
        <f>B1241*IBGE_2!O$1241/100</f>
        <v>23</v>
      </c>
      <c r="P1241" s="142">
        <f>B1241*IBGE_2!P$1241/100</f>
        <v>0.02</v>
      </c>
      <c r="Q1241" s="142">
        <f>B1241*IBGE_2!Q$1241/100</f>
        <v>182</v>
      </c>
      <c r="R1241" s="142">
        <f>B1241*IBGE_2!R$1241/100</f>
        <v>1.26</v>
      </c>
      <c r="S1241" s="142">
        <f>B1241*IBGE_2!S$1241/100</f>
        <v>82</v>
      </c>
      <c r="T1241" s="142">
        <f>B1241*IBGE_2!T$1241/100</f>
        <v>223</v>
      </c>
      <c r="U1241" s="142">
        <f>B1241*IBGE_2!U$1241/100</f>
        <v>6.6000000000000003E-2</v>
      </c>
      <c r="V1241" s="142">
        <f>B1241*IBGE_2!V$1241/100</f>
        <v>1.94</v>
      </c>
      <c r="W1241" s="142">
        <f>B1241*IBGE_2!W$1241/100</f>
        <v>48</v>
      </c>
      <c r="X1241" s="142">
        <f>B1241*IBGE_2!X$1241/100</f>
        <v>6.3E-2</v>
      </c>
      <c r="Y1241" s="142">
        <f>B1241*IBGE_2!Y$1241/100</f>
        <v>0.16800000000000001</v>
      </c>
      <c r="Z1241" s="142">
        <f>B1241*IBGE_2!Z$1241/100</f>
        <v>0.4</v>
      </c>
      <c r="AA1241" s="142">
        <f>B1241*IBGE_2!AA$1241/100</f>
        <v>8.4870000000000001</v>
      </c>
      <c r="AB1241" s="142" t="s">
        <v>3047</v>
      </c>
      <c r="AC1241" s="142">
        <f>B1241*IBGE_2!AC$1241/100</f>
        <v>13.57</v>
      </c>
      <c r="AD1241" s="142">
        <f>B1241*IBGE_2!AD$1241/100</f>
        <v>0.3</v>
      </c>
      <c r="AE1241" s="142">
        <f>B1241*IBGE_2!AE$1241/100</f>
        <v>5</v>
      </c>
      <c r="AF1241" s="142">
        <f>B1241*IBGE_2!AF$1241/100</f>
        <v>0.3</v>
      </c>
      <c r="AG1241" s="142">
        <f>B1241*IBGE_2!AG$1241/100</f>
        <v>0.27</v>
      </c>
      <c r="AH1241" s="142">
        <f>B1241*IBGE_2!AH$1241/100</f>
        <v>0.45</v>
      </c>
      <c r="AI1241" s="142">
        <f>B1241*IBGE_2!AI$1241/100</f>
        <v>333</v>
      </c>
      <c r="AJ1241" s="142">
        <f>B1241*IBGE_2!AJ$1241/100</f>
        <v>23.9</v>
      </c>
      <c r="AK1241" s="142">
        <f>B1241*IBGE_2!AK$1241/100</f>
        <v>48</v>
      </c>
      <c r="AL1241" s="142" t="s">
        <v>3047</v>
      </c>
      <c r="AM1241" s="142" t="s">
        <v>3047</v>
      </c>
      <c r="AN1241" s="161"/>
    </row>
    <row r="1242" spans="1:40">
      <c r="A1242" s="143" t="s">
        <v>2302</v>
      </c>
      <c r="B1242" s="141">
        <v>100</v>
      </c>
      <c r="C1242" s="142">
        <f>B1242*IBGE_2!C$1242/100</f>
        <v>261.65899999999999</v>
      </c>
      <c r="D1242" s="142">
        <f>B1242*IBGE_2!D$1242/100</f>
        <v>27.3</v>
      </c>
      <c r="E1242" s="142">
        <f>B1242*IBGE_2!E$1242/100</f>
        <v>16.163</v>
      </c>
      <c r="F1242" s="142">
        <f>B1242*IBGE_2!F$1242/100</f>
        <v>4.1909999999999998</v>
      </c>
      <c r="G1242" s="142">
        <f>B1242*IBGE_2!G$1242/100</f>
        <v>5.9240000000000013</v>
      </c>
      <c r="H1242" s="142">
        <f>B1242*IBGE_2!H$1242/100</f>
        <v>4.45</v>
      </c>
      <c r="I1242" s="142">
        <f>B1242*IBGE_2!I$1242/100</f>
        <v>3.8759999999999994</v>
      </c>
      <c r="J1242" s="142">
        <f>B1242*IBGE_2!J$1242/100</f>
        <v>0.28399999999999997</v>
      </c>
      <c r="K1242" s="142">
        <f>B1242*IBGE_2!K$1242/100</f>
        <v>88</v>
      </c>
      <c r="L1242" s="142" t="s">
        <v>3047</v>
      </c>
      <c r="M1242" s="142" t="s">
        <v>3047</v>
      </c>
      <c r="N1242" s="142">
        <f>B1242*IBGE_2!N$1242/100</f>
        <v>15</v>
      </c>
      <c r="O1242" s="142">
        <f>B1242*IBGE_2!O$1242/100</f>
        <v>23</v>
      </c>
      <c r="P1242" s="142">
        <f>B1242*IBGE_2!P$1242/100</f>
        <v>0.02</v>
      </c>
      <c r="Q1242" s="142">
        <f>B1242*IBGE_2!Q$1242/100</f>
        <v>182</v>
      </c>
      <c r="R1242" s="142">
        <f>B1242*IBGE_2!R$1242/100</f>
        <v>1.2609999999999999</v>
      </c>
      <c r="S1242" s="142">
        <f>B1242*IBGE_2!S$1242/100</f>
        <v>82</v>
      </c>
      <c r="T1242" s="142">
        <f>B1242*IBGE_2!T$1242/100</f>
        <v>223</v>
      </c>
      <c r="U1242" s="142">
        <f>B1242*IBGE_2!U$1242/100</f>
        <v>6.6000000000000003E-2</v>
      </c>
      <c r="V1242" s="142">
        <f>B1242*IBGE_2!V$1242/100</f>
        <v>1.94</v>
      </c>
      <c r="W1242" s="142">
        <f>B1242*IBGE_2!W$1242/100</f>
        <v>48</v>
      </c>
      <c r="X1242" s="142">
        <f>B1242*IBGE_2!X$1242/100</f>
        <v>6.3E-2</v>
      </c>
      <c r="Y1242" s="142">
        <f>B1242*IBGE_2!Y$1242/100</f>
        <v>0.16800000000000001</v>
      </c>
      <c r="Z1242" s="142">
        <f>B1242*IBGE_2!Z$1242/100</f>
        <v>0.4</v>
      </c>
      <c r="AA1242" s="142">
        <f>B1242*IBGE_2!AA$1242/100</f>
        <v>8.4870000000000001</v>
      </c>
      <c r="AB1242" s="142" t="s">
        <v>3047</v>
      </c>
      <c r="AC1242" s="142">
        <f>B1242*IBGE_2!AC$1242/100</f>
        <v>13.57</v>
      </c>
      <c r="AD1242" s="142">
        <f>B1242*IBGE_2!AD$1242/100</f>
        <v>0.3</v>
      </c>
      <c r="AE1242" s="142">
        <f>B1242*IBGE_2!AE$1242/100</f>
        <v>5</v>
      </c>
      <c r="AF1242" s="142">
        <f>B1242*IBGE_2!AF$1242/100</f>
        <v>0.3</v>
      </c>
      <c r="AG1242" s="142">
        <f>B1242*IBGE_2!AG$1242/100</f>
        <v>0.48</v>
      </c>
      <c r="AH1242" s="142">
        <f>B1242*IBGE_2!AH$1242/100</f>
        <v>0.46400000000000008</v>
      </c>
      <c r="AI1242" s="142">
        <f>B1242*IBGE_2!AI$1242/100</f>
        <v>333</v>
      </c>
      <c r="AJ1242" s="142">
        <f>B1242*IBGE_2!AJ$1242/100</f>
        <v>25.074999999999999</v>
      </c>
      <c r="AK1242" s="142">
        <f>B1242*IBGE_2!AK$1242/100</f>
        <v>48</v>
      </c>
      <c r="AL1242" s="142" t="s">
        <v>3047</v>
      </c>
      <c r="AM1242" s="142" t="s">
        <v>3047</v>
      </c>
      <c r="AN1242" s="161"/>
    </row>
    <row r="1243" spans="1:40">
      <c r="A1243" s="143" t="s">
        <v>2303</v>
      </c>
      <c r="B1243" s="141">
        <v>100</v>
      </c>
      <c r="C1243" s="142">
        <f>B1243*IBGE_2!C$1243/100</f>
        <v>277.83699999999999</v>
      </c>
      <c r="D1243" s="142">
        <f>B1243*IBGE_2!D$1243/100</f>
        <v>27.759</v>
      </c>
      <c r="E1243" s="142">
        <f>B1243*IBGE_2!E$1243/100</f>
        <v>16.207000000000001</v>
      </c>
      <c r="F1243" s="142">
        <f>B1243*IBGE_2!F$1243/100</f>
        <v>4.1980000000000004</v>
      </c>
      <c r="G1243" s="142">
        <f>B1243*IBGE_2!G$1243/100</f>
        <v>5.9279999999999999</v>
      </c>
      <c r="H1243" s="142">
        <f>B1243*IBGE_2!H$1243/100</f>
        <v>4.468</v>
      </c>
      <c r="I1243" s="142">
        <f>B1243*IBGE_2!I$1243/100</f>
        <v>3.8929999999999993</v>
      </c>
      <c r="J1243" s="142">
        <f>B1243*IBGE_2!J$1243/100</f>
        <v>0.28499999999999998</v>
      </c>
      <c r="K1243" s="142">
        <f>B1243*IBGE_2!K$1243/100</f>
        <v>88</v>
      </c>
      <c r="L1243" s="142">
        <f>B1243*IBGE_2!L$1243/100</f>
        <v>3.3919999999999999</v>
      </c>
      <c r="M1243" s="142">
        <f>B1243*IBGE_2!M$1243/100</f>
        <v>0.13500000000000001</v>
      </c>
      <c r="N1243" s="142">
        <f>B1243*IBGE_2!N$1243/100</f>
        <v>15.667</v>
      </c>
      <c r="O1243" s="142">
        <f>B1243*IBGE_2!O$1243/100</f>
        <v>23.978000000000002</v>
      </c>
      <c r="P1243" s="142">
        <f>B1243*IBGE_2!P$1243/100</f>
        <v>0.05</v>
      </c>
      <c r="Q1243" s="142">
        <f>B1243*IBGE_2!Q$1243/100</f>
        <v>186.8</v>
      </c>
      <c r="R1243" s="142">
        <f>B1243*IBGE_2!R$1243/100</f>
        <v>1.4680000000000002</v>
      </c>
      <c r="S1243" s="142">
        <f>B1243*IBGE_2!S$1243/100</f>
        <v>82.088999999999999</v>
      </c>
      <c r="T1243" s="142">
        <f>B1243*IBGE_2!T$1243/100</f>
        <v>227.75599999999997</v>
      </c>
      <c r="U1243" s="142">
        <f>B1243*IBGE_2!U$1243/100</f>
        <v>7.1999999999999995E-2</v>
      </c>
      <c r="V1243" s="142">
        <f>B1243*IBGE_2!V$1243/100</f>
        <v>1.9710000000000003</v>
      </c>
      <c r="W1243" s="142">
        <f>B1243*IBGE_2!W$1243/100</f>
        <v>48</v>
      </c>
      <c r="X1243" s="142">
        <f>B1243*IBGE_2!X$1243/100</f>
        <v>9.8000000000000004E-2</v>
      </c>
      <c r="Y1243" s="142">
        <f>B1243*IBGE_2!Y$1243/100</f>
        <v>0.19</v>
      </c>
      <c r="Z1243" s="142">
        <f>B1243*IBGE_2!Z$1243/100</f>
        <v>0.40200000000000002</v>
      </c>
      <c r="AA1243" s="142">
        <f>B1243*IBGE_2!AA$1243/100</f>
        <v>8.7490000000000006</v>
      </c>
      <c r="AB1243" s="142" t="s">
        <v>3047</v>
      </c>
      <c r="AC1243" s="142">
        <f>B1243*IBGE_2!AC$1243/100</f>
        <v>13.927</v>
      </c>
      <c r="AD1243" s="142">
        <f>B1243*IBGE_2!AD$1243/100</f>
        <v>0.3</v>
      </c>
      <c r="AE1243" s="142">
        <f>B1243*IBGE_2!AE$1243/100</f>
        <v>14.067</v>
      </c>
      <c r="AF1243" s="142">
        <f>B1243*IBGE_2!AF$1243/100</f>
        <v>0.3</v>
      </c>
      <c r="AG1243" s="142">
        <f>B1243*IBGE_2!AG$1243/100</f>
        <v>0.48199999999999998</v>
      </c>
      <c r="AH1243" s="142">
        <f>B1243*IBGE_2!AH$1243/100</f>
        <v>0.46400000000000008</v>
      </c>
      <c r="AI1243" s="142">
        <f>B1243*IBGE_2!AI$1243/100</f>
        <v>333</v>
      </c>
      <c r="AJ1243" s="142">
        <f>B1243*IBGE_2!AJ$1243/100</f>
        <v>26.581</v>
      </c>
      <c r="AK1243" s="142">
        <f>B1243*IBGE_2!AK$1243/100</f>
        <v>48</v>
      </c>
      <c r="AL1243" s="142">
        <f>B1243*IBGE_2!AL$1243/100</f>
        <v>1.4000000000000002E-2</v>
      </c>
      <c r="AM1243" s="142" t="s">
        <v>3047</v>
      </c>
      <c r="AN1243" s="161"/>
    </row>
    <row r="1244" spans="1:40">
      <c r="A1244" s="143" t="s">
        <v>2304</v>
      </c>
      <c r="B1244" s="141">
        <v>100</v>
      </c>
      <c r="C1244" s="142">
        <f>B1244*IBGE_2!C$1244/100</f>
        <v>261.65899999999999</v>
      </c>
      <c r="D1244" s="142">
        <f>B1244*IBGE_2!D$1244/100</f>
        <v>27.3</v>
      </c>
      <c r="E1244" s="142">
        <f>B1244*IBGE_2!E$1244/100</f>
        <v>16.163</v>
      </c>
      <c r="F1244" s="142">
        <f>B1244*IBGE_2!F$1244/100</f>
        <v>4.1909999999999998</v>
      </c>
      <c r="G1244" s="142">
        <f>B1244*IBGE_2!G$1244/100</f>
        <v>5.9240000000000013</v>
      </c>
      <c r="H1244" s="142">
        <f>B1244*IBGE_2!H$1244/100</f>
        <v>4.45</v>
      </c>
      <c r="I1244" s="142">
        <f>B1244*IBGE_2!I$1244/100</f>
        <v>3.8759999999999994</v>
      </c>
      <c r="J1244" s="142">
        <f>B1244*IBGE_2!J$1244/100</f>
        <v>0.28399999999999997</v>
      </c>
      <c r="K1244" s="142">
        <f>B1244*IBGE_2!K$1244/100</f>
        <v>88</v>
      </c>
      <c r="L1244" s="142" t="s">
        <v>3047</v>
      </c>
      <c r="M1244" s="142" t="s">
        <v>3047</v>
      </c>
      <c r="N1244" s="142">
        <f>B1244*IBGE_2!N$1244/100</f>
        <v>15</v>
      </c>
      <c r="O1244" s="142">
        <f>B1244*IBGE_2!O$1244/100</f>
        <v>23</v>
      </c>
      <c r="P1244" s="142">
        <f>B1244*IBGE_2!P$1244/100</f>
        <v>0.02</v>
      </c>
      <c r="Q1244" s="142">
        <f>B1244*IBGE_2!Q$1244/100</f>
        <v>182</v>
      </c>
      <c r="R1244" s="142">
        <f>B1244*IBGE_2!R$1244/100</f>
        <v>1.2609999999999999</v>
      </c>
      <c r="S1244" s="142">
        <f>B1244*IBGE_2!S$1244/100</f>
        <v>82</v>
      </c>
      <c r="T1244" s="142">
        <f>B1244*IBGE_2!T$1244/100</f>
        <v>223</v>
      </c>
      <c r="U1244" s="142">
        <f>B1244*IBGE_2!U$1244/100</f>
        <v>6.6000000000000003E-2</v>
      </c>
      <c r="V1244" s="142">
        <f>B1244*IBGE_2!V$1244/100</f>
        <v>1.94</v>
      </c>
      <c r="W1244" s="142">
        <f>B1244*IBGE_2!W$1244/100</f>
        <v>48</v>
      </c>
      <c r="X1244" s="142">
        <f>B1244*IBGE_2!X$1244/100</f>
        <v>6.3E-2</v>
      </c>
      <c r="Y1244" s="142">
        <f>B1244*IBGE_2!Y$1244/100</f>
        <v>0.16800000000000001</v>
      </c>
      <c r="Z1244" s="142">
        <f>B1244*IBGE_2!Z$1244/100</f>
        <v>0.4</v>
      </c>
      <c r="AA1244" s="142">
        <f>B1244*IBGE_2!AA$1244/100</f>
        <v>8.4870000000000001</v>
      </c>
      <c r="AB1244" s="142" t="s">
        <v>3047</v>
      </c>
      <c r="AC1244" s="142">
        <f>B1244*IBGE_2!AC$1244/100</f>
        <v>13.57</v>
      </c>
      <c r="AD1244" s="142">
        <f>B1244*IBGE_2!AD$1244/100</f>
        <v>0.3</v>
      </c>
      <c r="AE1244" s="142">
        <f>B1244*IBGE_2!AE$1244/100</f>
        <v>5</v>
      </c>
      <c r="AF1244" s="142">
        <f>B1244*IBGE_2!AF$1244/100</f>
        <v>0.3</v>
      </c>
      <c r="AG1244" s="142">
        <f>B1244*IBGE_2!AG$1244/100</f>
        <v>0.48</v>
      </c>
      <c r="AH1244" s="142">
        <f>B1244*IBGE_2!AH$1244/100</f>
        <v>0.46400000000000008</v>
      </c>
      <c r="AI1244" s="142">
        <f>B1244*IBGE_2!AI$1244/100</f>
        <v>333</v>
      </c>
      <c r="AJ1244" s="142">
        <f>B1244*IBGE_2!AJ$1244/100</f>
        <v>25.074999999999999</v>
      </c>
      <c r="AK1244" s="142">
        <f>B1244*IBGE_2!AK$1244/100</f>
        <v>48</v>
      </c>
      <c r="AL1244" s="145" t="s">
        <v>3047</v>
      </c>
      <c r="AM1244" s="142" t="s">
        <v>3047</v>
      </c>
      <c r="AN1244" s="161"/>
    </row>
    <row r="1245" spans="1:40">
      <c r="A1245" s="143" t="s">
        <v>2305</v>
      </c>
      <c r="B1245" s="141">
        <v>100</v>
      </c>
      <c r="C1245" s="142">
        <f>B1245*IBGE_2!C$1245/100</f>
        <v>196</v>
      </c>
      <c r="D1245" s="142">
        <f>B1245*IBGE_2!D$1245/100</f>
        <v>22.103999999999999</v>
      </c>
      <c r="E1245" s="142">
        <f>B1245*IBGE_2!E$1245/100</f>
        <v>10.916000000000002</v>
      </c>
      <c r="F1245" s="142">
        <f>B1245*IBGE_2!F$1245/100</f>
        <v>3.0369999999999999</v>
      </c>
      <c r="G1245" s="142">
        <f>B1245*IBGE_2!G$1245/100</f>
        <v>4.2770000000000001</v>
      </c>
      <c r="H1245" s="142">
        <f>B1245*IBGE_2!H$1245/100</f>
        <v>2.391</v>
      </c>
      <c r="I1245" s="142">
        <f>B1245*IBGE_2!I$1245/100</f>
        <v>2.0699999999999998</v>
      </c>
      <c r="J1245" s="142">
        <f>B1245*IBGE_2!J$1245/100</f>
        <v>8.900000000000001E-2</v>
      </c>
      <c r="K1245" s="142">
        <f>B1245*IBGE_2!K$1245/100</f>
        <v>70.400000000000006</v>
      </c>
      <c r="L1245" s="142">
        <f>B1245*IBGE_2!L$1245/100</f>
        <v>1.0760000000000001</v>
      </c>
      <c r="M1245" s="142">
        <f>B1245*IBGE_2!M$1245/100</f>
        <v>0.3</v>
      </c>
      <c r="N1245" s="142">
        <f>B1245*IBGE_2!N$1245/100</f>
        <v>14.6</v>
      </c>
      <c r="O1245" s="142">
        <f>B1245*IBGE_2!O$1245/100</f>
        <v>21.6</v>
      </c>
      <c r="P1245" s="142">
        <f>B1245*IBGE_2!P$1245/100</f>
        <v>3.6999999999999998E-2</v>
      </c>
      <c r="Q1245" s="142">
        <f>B1245*IBGE_2!Q$1245/100</f>
        <v>150.80000000000001</v>
      </c>
      <c r="R1245" s="142">
        <f>B1245*IBGE_2!R$1245/100</f>
        <v>1.212</v>
      </c>
      <c r="S1245" s="142">
        <f>B1245*IBGE_2!S$1245/100</f>
        <v>170.4</v>
      </c>
      <c r="T1245" s="142">
        <f>B1245*IBGE_2!T$1245/100</f>
        <v>244.6</v>
      </c>
      <c r="U1245" s="142">
        <f>B1245*IBGE_2!U$1245/100</f>
        <v>7.5999999999999998E-2</v>
      </c>
      <c r="V1245" s="142">
        <f>B1245*IBGE_2!V$1245/100</f>
        <v>1.5920000000000001</v>
      </c>
      <c r="W1245" s="142">
        <f>B1245*IBGE_2!W$1245/100</f>
        <v>38.4</v>
      </c>
      <c r="X1245" s="142">
        <f>B1245*IBGE_2!X$1245/100</f>
        <v>5.5E-2</v>
      </c>
      <c r="Y1245" s="142">
        <f>B1245*IBGE_2!Y$1245/100</f>
        <v>0.14799999999999999</v>
      </c>
      <c r="Z1245" s="142">
        <f>B1245*IBGE_2!Z$1245/100</f>
        <v>0.33900000000000008</v>
      </c>
      <c r="AA1245" s="142">
        <f>B1245*IBGE_2!AA$1245/100</f>
        <v>6.9850000000000003</v>
      </c>
      <c r="AB1245" s="142">
        <f>B1245*IBGE_2!AB$1245/100</f>
        <v>1.4</v>
      </c>
      <c r="AC1245" s="142">
        <f>B1245*IBGE_2!AC$1245/100</f>
        <v>11.085000000000001</v>
      </c>
      <c r="AD1245" s="142">
        <f>B1245*IBGE_2!AD$1245/100</f>
        <v>0.24</v>
      </c>
      <c r="AE1245" s="142">
        <f>B1245*IBGE_2!AE$1245/100</f>
        <v>6.2</v>
      </c>
      <c r="AF1245" s="142">
        <f>B1245*IBGE_2!AF$1245/100</f>
        <v>0.24</v>
      </c>
      <c r="AG1245" s="142">
        <f>B1245*IBGE_2!AG$1245/100</f>
        <v>0.5</v>
      </c>
      <c r="AH1245" s="142">
        <f>B1245*IBGE_2!AH$1245/100</f>
        <v>0.36</v>
      </c>
      <c r="AI1245" s="142">
        <f>B1245*IBGE_2!AI$1245/100</f>
        <v>333</v>
      </c>
      <c r="AJ1245" s="142">
        <f>B1245*IBGE_2!AJ$1245/100</f>
        <v>19.16</v>
      </c>
      <c r="AK1245" s="142">
        <f>B1245*IBGE_2!AK$1245/100</f>
        <v>41.883000000000003</v>
      </c>
      <c r="AL1245" s="142">
        <f>B1245*IBGE_2!AL$1245/100</f>
        <v>0.85</v>
      </c>
      <c r="AM1245" s="142" t="s">
        <v>3047</v>
      </c>
      <c r="AN1245" s="161"/>
    </row>
    <row r="1246" spans="1:40">
      <c r="A1246" s="143" t="s">
        <v>2306</v>
      </c>
      <c r="B1246" s="141">
        <v>100</v>
      </c>
      <c r="C1246" s="142">
        <f>B1246*IBGE_2!C$1246/100</f>
        <v>226.785</v>
      </c>
      <c r="D1246" s="142">
        <f>B1246*IBGE_2!D$1246/100</f>
        <v>22.6</v>
      </c>
      <c r="E1246" s="142">
        <f>B1246*IBGE_2!E$1246/100</f>
        <v>13.707000000000001</v>
      </c>
      <c r="F1246" s="142">
        <f>B1246*IBGE_2!F$1246/100</f>
        <v>3.7389999999999999</v>
      </c>
      <c r="G1246" s="142">
        <f>B1246*IBGE_2!G$1246/100</f>
        <v>4.9279999999999999</v>
      </c>
      <c r="H1246" s="142">
        <f>B1246*IBGE_2!H$1246/100</f>
        <v>3.6779999999999999</v>
      </c>
      <c r="I1246" s="142">
        <f>B1246*IBGE_2!I$1246/100</f>
        <v>3.1949999999999998</v>
      </c>
      <c r="J1246" s="142">
        <f>B1246*IBGE_2!J$1246/100</f>
        <v>0.251</v>
      </c>
      <c r="K1246" s="142">
        <f>B1246*IBGE_2!K$1246/100</f>
        <v>72.352000000000004</v>
      </c>
      <c r="L1246" s="142">
        <f>B1246*IBGE_2!L$1246/100</f>
        <v>1.849</v>
      </c>
      <c r="M1246" s="142">
        <f>B1246*IBGE_2!M$1246/100</f>
        <v>4.2999999999999997E-2</v>
      </c>
      <c r="N1246" s="142">
        <f>B1246*IBGE_2!N$1246/100</f>
        <v>34.363999999999997</v>
      </c>
      <c r="O1246" s="142">
        <f>B1246*IBGE_2!O$1246/100</f>
        <v>20.667999999999996</v>
      </c>
      <c r="P1246" s="142">
        <f>B1246*IBGE_2!P$1246/100</f>
        <v>2.6000000000000002E-2</v>
      </c>
      <c r="Q1246" s="142">
        <f>B1246*IBGE_2!Q$1246/100</f>
        <v>164.74899999999997</v>
      </c>
      <c r="R1246" s="142">
        <f>B1246*IBGE_2!R$1246/100</f>
        <v>1.079</v>
      </c>
      <c r="S1246" s="142">
        <f>B1246*IBGE_2!S$1246/100</f>
        <v>120.598</v>
      </c>
      <c r="T1246" s="142">
        <f>B1246*IBGE_2!T$1246/100</f>
        <v>207.91900000000001</v>
      </c>
      <c r="U1246" s="142">
        <f>B1246*IBGE_2!U$1246/100</f>
        <v>5.7000000000000002E-2</v>
      </c>
      <c r="V1246" s="142">
        <f>B1246*IBGE_2!V$1246/100</f>
        <v>1.639</v>
      </c>
      <c r="W1246" s="142">
        <f>B1246*IBGE_2!W$1246/100</f>
        <v>43.866000000000007</v>
      </c>
      <c r="X1246" s="142">
        <f>B1246*IBGE_2!X$1246/100</f>
        <v>6.9000000000000006E-2</v>
      </c>
      <c r="Y1246" s="142">
        <f>B1246*IBGE_2!Y$1246/100</f>
        <v>0.17599999999999999</v>
      </c>
      <c r="Z1246" s="142">
        <f>B1246*IBGE_2!Z$1246/100</f>
        <v>0.32800000000000007</v>
      </c>
      <c r="AA1246" s="142">
        <f>B1246*IBGE_2!AA$1246/100</f>
        <v>6.8849999999999998</v>
      </c>
      <c r="AB1246" s="142">
        <f>B1246*IBGE_2!AB$1246/100</f>
        <v>4.0000000000000001E-3</v>
      </c>
      <c r="AC1246" s="142">
        <f>B1246*IBGE_2!AC$1246/100</f>
        <v>11.222000000000001</v>
      </c>
      <c r="AD1246" s="142">
        <f>B1246*IBGE_2!AD$1246/100</f>
        <v>0.32600000000000001</v>
      </c>
      <c r="AE1246" s="142">
        <f>B1246*IBGE_2!AE$1246/100</f>
        <v>7.5279999999999996</v>
      </c>
      <c r="AF1246" s="142">
        <f>B1246*IBGE_2!AF$1246/100</f>
        <v>0.435</v>
      </c>
      <c r="AG1246" s="142">
        <f>B1246*IBGE_2!AG$1246/100</f>
        <v>0.40699999999999997</v>
      </c>
      <c r="AH1246" s="142">
        <f>B1246*IBGE_2!AH$1246/100</f>
        <v>0.39399999999999996</v>
      </c>
      <c r="AI1246" s="142">
        <f>B1246*IBGE_2!AI$1246/100</f>
        <v>333</v>
      </c>
      <c r="AJ1246" s="142">
        <f>B1246*IBGE_2!AJ$1246/100</f>
        <v>21.265999999999998</v>
      </c>
      <c r="AK1246" s="142">
        <f>B1246*IBGE_2!AK$1246/100</f>
        <v>43.95</v>
      </c>
      <c r="AL1246" s="142">
        <f>B1246*IBGE_2!AL$1246/100</f>
        <v>1.0309999999999999</v>
      </c>
      <c r="AM1246" s="142" t="s">
        <v>3047</v>
      </c>
      <c r="AN1246" s="161"/>
    </row>
    <row r="1247" spans="1:40">
      <c r="A1247" s="143" t="s">
        <v>2307</v>
      </c>
      <c r="B1247" s="141">
        <v>100</v>
      </c>
      <c r="C1247" s="142">
        <f>B1247*IBGE_2!C$1247/100</f>
        <v>261.65899999999999</v>
      </c>
      <c r="D1247" s="142">
        <f>B1247*IBGE_2!D$1247/100</f>
        <v>27.3</v>
      </c>
      <c r="E1247" s="142">
        <f>B1247*IBGE_2!E$1247/100</f>
        <v>16.163</v>
      </c>
      <c r="F1247" s="142">
        <f>B1247*IBGE_2!F$1247/100</f>
        <v>4.1909999999999998</v>
      </c>
      <c r="G1247" s="142">
        <f>B1247*IBGE_2!G$1247/100</f>
        <v>5.9240000000000013</v>
      </c>
      <c r="H1247" s="142">
        <f>B1247*IBGE_2!H$1247/100</f>
        <v>4.45</v>
      </c>
      <c r="I1247" s="142">
        <f>B1247*IBGE_2!I$1247/100</f>
        <v>3.8759999999999994</v>
      </c>
      <c r="J1247" s="142">
        <f>B1247*IBGE_2!J$1247/100</f>
        <v>0.28399999999999997</v>
      </c>
      <c r="K1247" s="142">
        <f>B1247*IBGE_2!K$1247/100</f>
        <v>88</v>
      </c>
      <c r="L1247" s="142" t="s">
        <v>3047</v>
      </c>
      <c r="M1247" s="142" t="s">
        <v>3047</v>
      </c>
      <c r="N1247" s="142">
        <f>B1247*IBGE_2!N$1247/100</f>
        <v>15</v>
      </c>
      <c r="O1247" s="142">
        <f>B1247*IBGE_2!O$1247/100</f>
        <v>23</v>
      </c>
      <c r="P1247" s="142">
        <f>B1247*IBGE_2!P$1247/100</f>
        <v>0.02</v>
      </c>
      <c r="Q1247" s="142">
        <f>B1247*IBGE_2!Q$1247/100</f>
        <v>182</v>
      </c>
      <c r="R1247" s="142">
        <f>B1247*IBGE_2!R$1247/100</f>
        <v>1.2609999999999999</v>
      </c>
      <c r="S1247" s="142">
        <f>B1247*IBGE_2!S$1247/100</f>
        <v>82</v>
      </c>
      <c r="T1247" s="142">
        <f>B1247*IBGE_2!T$1247/100</f>
        <v>223</v>
      </c>
      <c r="U1247" s="142">
        <f>B1247*IBGE_2!U$1247/100</f>
        <v>6.6000000000000003E-2</v>
      </c>
      <c r="V1247" s="142">
        <f>B1247*IBGE_2!V$1247/100</f>
        <v>1.94</v>
      </c>
      <c r="W1247" s="142">
        <f>B1247*IBGE_2!W$1247/100</f>
        <v>48</v>
      </c>
      <c r="X1247" s="142">
        <f>B1247*IBGE_2!X$1247/100</f>
        <v>6.3E-2</v>
      </c>
      <c r="Y1247" s="142">
        <f>B1247*IBGE_2!Y$1247/100</f>
        <v>0.16800000000000001</v>
      </c>
      <c r="Z1247" s="142">
        <f>B1247*IBGE_2!Z$1247/100</f>
        <v>0.4</v>
      </c>
      <c r="AA1247" s="142">
        <f>B1247*IBGE_2!AA$1247/100</f>
        <v>8.4870000000000001</v>
      </c>
      <c r="AB1247" s="142" t="s">
        <v>3047</v>
      </c>
      <c r="AC1247" s="142">
        <f>B1247*IBGE_2!AC$1247/100</f>
        <v>13.57</v>
      </c>
      <c r="AD1247" s="142">
        <f>B1247*IBGE_2!AD$1247/100</f>
        <v>0.3</v>
      </c>
      <c r="AE1247" s="142">
        <f>B1247*IBGE_2!AE$1247/100</f>
        <v>5</v>
      </c>
      <c r="AF1247" s="142">
        <f>B1247*IBGE_2!AF$1247/100</f>
        <v>0.3</v>
      </c>
      <c r="AG1247" s="142">
        <f>B1247*IBGE_2!AG$1247/100</f>
        <v>0.48</v>
      </c>
      <c r="AH1247" s="142">
        <f>B1247*IBGE_2!AH$1247/100</f>
        <v>0.46400000000000008</v>
      </c>
      <c r="AI1247" s="142">
        <f>B1247*IBGE_2!AI$1247/100</f>
        <v>333</v>
      </c>
      <c r="AJ1247" s="142">
        <f>B1247*IBGE_2!AJ$1247/100</f>
        <v>25.074999999999999</v>
      </c>
      <c r="AK1247" s="142">
        <f>B1247*IBGE_2!AK$1247/100</f>
        <v>48</v>
      </c>
      <c r="AL1247" s="142" t="s">
        <v>3047</v>
      </c>
      <c r="AM1247" s="142" t="s">
        <v>3047</v>
      </c>
      <c r="AN1247" s="161"/>
    </row>
    <row r="1248" spans="1:40">
      <c r="A1248" s="143" t="s">
        <v>2308</v>
      </c>
      <c r="B1248" s="141">
        <v>100</v>
      </c>
      <c r="C1248" s="142">
        <f>B1248*IBGE_2!C$1248/100</f>
        <v>239</v>
      </c>
      <c r="D1248" s="142">
        <f>B1248*IBGE_2!D$1248/100</f>
        <v>27.3</v>
      </c>
      <c r="E1248" s="142">
        <f>B1248*IBGE_2!E$1248/100</f>
        <v>13.6</v>
      </c>
      <c r="F1248" s="142">
        <f>B1248*IBGE_2!F$1248/100</f>
        <v>3.79</v>
      </c>
      <c r="G1248" s="142">
        <f>B1248*IBGE_2!G$1248/100</f>
        <v>5.34</v>
      </c>
      <c r="H1248" s="142">
        <f>B1248*IBGE_2!H$1248/100</f>
        <v>2.97</v>
      </c>
      <c r="I1248" s="142">
        <f>B1248*IBGE_2!I$1248/100</f>
        <v>2.57</v>
      </c>
      <c r="J1248" s="142">
        <f>B1248*IBGE_2!J$1248/100</f>
        <v>0.11</v>
      </c>
      <c r="K1248" s="142">
        <f>B1248*IBGE_2!K$1248/100</f>
        <v>88</v>
      </c>
      <c r="L1248" s="142" t="s">
        <v>3047</v>
      </c>
      <c r="M1248" s="142" t="s">
        <v>3047</v>
      </c>
      <c r="N1248" s="142">
        <f>B1248*IBGE_2!N$1248/100</f>
        <v>15</v>
      </c>
      <c r="O1248" s="142">
        <f>B1248*IBGE_2!O$1248/100</f>
        <v>23</v>
      </c>
      <c r="P1248" s="142">
        <f>B1248*IBGE_2!P$1248/100</f>
        <v>0.02</v>
      </c>
      <c r="Q1248" s="142">
        <f>B1248*IBGE_2!Q$1248/100</f>
        <v>182</v>
      </c>
      <c r="R1248" s="142">
        <f>B1248*IBGE_2!R$1248/100</f>
        <v>1.26</v>
      </c>
      <c r="S1248" s="142">
        <f>B1248*IBGE_2!S$1248/100</f>
        <v>82</v>
      </c>
      <c r="T1248" s="142">
        <f>B1248*IBGE_2!T$1248/100</f>
        <v>223</v>
      </c>
      <c r="U1248" s="142">
        <f>B1248*IBGE_2!U$1248/100</f>
        <v>6.6000000000000003E-2</v>
      </c>
      <c r="V1248" s="142">
        <f>B1248*IBGE_2!V$1248/100</f>
        <v>1.94</v>
      </c>
      <c r="W1248" s="142">
        <f>B1248*IBGE_2!W$1248/100</f>
        <v>48</v>
      </c>
      <c r="X1248" s="142">
        <f>B1248*IBGE_2!X$1248/100</f>
        <v>6.3E-2</v>
      </c>
      <c r="Y1248" s="142">
        <f>B1248*IBGE_2!Y$1248/100</f>
        <v>0.16800000000000001</v>
      </c>
      <c r="Z1248" s="142">
        <f>B1248*IBGE_2!Z$1248/100</f>
        <v>0.4</v>
      </c>
      <c r="AA1248" s="142">
        <f>B1248*IBGE_2!AA$1248/100</f>
        <v>8.4870000000000001</v>
      </c>
      <c r="AB1248" s="142" t="s">
        <v>3047</v>
      </c>
      <c r="AC1248" s="142">
        <f>B1248*IBGE_2!AC$1248/100</f>
        <v>13.57</v>
      </c>
      <c r="AD1248" s="142">
        <f>B1248*IBGE_2!AD$1248/100</f>
        <v>0.3</v>
      </c>
      <c r="AE1248" s="142">
        <f>B1248*IBGE_2!AE$1248/100</f>
        <v>5</v>
      </c>
      <c r="AF1248" s="142">
        <f>B1248*IBGE_2!AF$1248/100</f>
        <v>0.3</v>
      </c>
      <c r="AG1248" s="142">
        <f>B1248*IBGE_2!AG$1248/100</f>
        <v>0.27</v>
      </c>
      <c r="AH1248" s="142">
        <f>B1248*IBGE_2!AH$1248/100</f>
        <v>0.45</v>
      </c>
      <c r="AI1248" s="142">
        <f>B1248*IBGE_2!AI$1248/100</f>
        <v>333</v>
      </c>
      <c r="AJ1248" s="142">
        <f>B1248*IBGE_2!AJ$1248/100</f>
        <v>23.9</v>
      </c>
      <c r="AK1248" s="142">
        <f>B1248*IBGE_2!AK$1248/100</f>
        <v>48</v>
      </c>
      <c r="AL1248" s="142" t="s">
        <v>3047</v>
      </c>
      <c r="AM1248" s="142" t="s">
        <v>3047</v>
      </c>
      <c r="AN1248" s="161"/>
    </row>
    <row r="1249" spans="1:40">
      <c r="A1249" s="143" t="s">
        <v>2309</v>
      </c>
      <c r="B1249" s="141">
        <v>100</v>
      </c>
      <c r="C1249" s="142">
        <f>B1249*IBGE_2!C$1249/100</f>
        <v>239</v>
      </c>
      <c r="D1249" s="142">
        <f>B1249*IBGE_2!D$1249/100</f>
        <v>27.3</v>
      </c>
      <c r="E1249" s="142">
        <f>B1249*IBGE_2!E$1249/100</f>
        <v>13.6</v>
      </c>
      <c r="F1249" s="142">
        <f>B1249*IBGE_2!F$1249/100</f>
        <v>3.79</v>
      </c>
      <c r="G1249" s="142">
        <f>B1249*IBGE_2!G$1249/100</f>
        <v>5.34</v>
      </c>
      <c r="H1249" s="142">
        <f>B1249*IBGE_2!H$1249/100</f>
        <v>2.97</v>
      </c>
      <c r="I1249" s="142">
        <f>B1249*IBGE_2!I$1249/100</f>
        <v>2.57</v>
      </c>
      <c r="J1249" s="142">
        <f>B1249*IBGE_2!J$1249/100</f>
        <v>0.11</v>
      </c>
      <c r="K1249" s="142">
        <f>B1249*IBGE_2!K$1249/100</f>
        <v>88</v>
      </c>
      <c r="L1249" s="142" t="s">
        <v>3047</v>
      </c>
      <c r="M1249" s="142" t="s">
        <v>3047</v>
      </c>
      <c r="N1249" s="142">
        <f>B1249*IBGE_2!N$1249/100</f>
        <v>15</v>
      </c>
      <c r="O1249" s="142">
        <f>B1249*IBGE_2!O$1249/100</f>
        <v>23</v>
      </c>
      <c r="P1249" s="142">
        <f>B1249*IBGE_2!P$1249/100</f>
        <v>0.02</v>
      </c>
      <c r="Q1249" s="142">
        <f>B1249*IBGE_2!Q$1249/100</f>
        <v>182</v>
      </c>
      <c r="R1249" s="142">
        <f>B1249*IBGE_2!R$1249/100</f>
        <v>1.26</v>
      </c>
      <c r="S1249" s="142">
        <f>B1249*IBGE_2!S$1249/100</f>
        <v>82</v>
      </c>
      <c r="T1249" s="142">
        <f>B1249*IBGE_2!T$1249/100</f>
        <v>223</v>
      </c>
      <c r="U1249" s="142">
        <f>B1249*IBGE_2!U$1249/100</f>
        <v>6.6000000000000003E-2</v>
      </c>
      <c r="V1249" s="142">
        <f>B1249*IBGE_2!V$1249/100</f>
        <v>1.94</v>
      </c>
      <c r="W1249" s="142">
        <f>B1249*IBGE_2!W$1249/100</f>
        <v>48</v>
      </c>
      <c r="X1249" s="142">
        <f>B1249*IBGE_2!X$1249/100</f>
        <v>6.3E-2</v>
      </c>
      <c r="Y1249" s="142">
        <f>B1249*IBGE_2!Y$1249/100</f>
        <v>0.16800000000000001</v>
      </c>
      <c r="Z1249" s="142">
        <f>B1249*IBGE_2!Z$1249/100</f>
        <v>0.4</v>
      </c>
      <c r="AA1249" s="142">
        <f>B1249*IBGE_2!AA$1249/100</f>
        <v>8.4870000000000001</v>
      </c>
      <c r="AB1249" s="142" t="s">
        <v>3047</v>
      </c>
      <c r="AC1249" s="142">
        <f>B1249*IBGE_2!AC$1249/100</f>
        <v>13.57</v>
      </c>
      <c r="AD1249" s="142">
        <f>B1249*IBGE_2!AD$1249/100</f>
        <v>0.3</v>
      </c>
      <c r="AE1249" s="142">
        <f>B1249*IBGE_2!AE$1249/100</f>
        <v>5</v>
      </c>
      <c r="AF1249" s="142">
        <f>B1249*IBGE_2!AF$1249/100</f>
        <v>0.3</v>
      </c>
      <c r="AG1249" s="142">
        <f>B1249*IBGE_2!AG$1249/100</f>
        <v>0.27</v>
      </c>
      <c r="AH1249" s="142">
        <f>B1249*IBGE_2!AH$1249/100</f>
        <v>0.45</v>
      </c>
      <c r="AI1249" s="142">
        <f>B1249*IBGE_2!AI$1249/100</f>
        <v>333</v>
      </c>
      <c r="AJ1249" s="142">
        <f>B1249*IBGE_2!AJ$1249/100</f>
        <v>23.9</v>
      </c>
      <c r="AK1249" s="142">
        <f>B1249*IBGE_2!AK$1249/100</f>
        <v>48</v>
      </c>
      <c r="AL1249" s="142" t="s">
        <v>3047</v>
      </c>
      <c r="AM1249" s="142" t="s">
        <v>3047</v>
      </c>
      <c r="AN1249" s="161"/>
    </row>
    <row r="1250" spans="1:40">
      <c r="A1250" s="143" t="s">
        <v>2310</v>
      </c>
      <c r="B1250" s="141">
        <v>100</v>
      </c>
      <c r="C1250" s="142">
        <f>B1250*IBGE_2!C$1250/100</f>
        <v>239</v>
      </c>
      <c r="D1250" s="142">
        <f>B1250*IBGE_2!D$1250/100</f>
        <v>27.3</v>
      </c>
      <c r="E1250" s="142">
        <f>B1250*IBGE_2!E$1250/100</f>
        <v>13.6</v>
      </c>
      <c r="F1250" s="142">
        <f>B1250*IBGE_2!F$1250/100</f>
        <v>3.79</v>
      </c>
      <c r="G1250" s="142">
        <f>B1250*IBGE_2!G$1250/100</f>
        <v>5.34</v>
      </c>
      <c r="H1250" s="142">
        <f>B1250*IBGE_2!H$1250/100</f>
        <v>2.97</v>
      </c>
      <c r="I1250" s="142">
        <f>B1250*IBGE_2!I$1250/100</f>
        <v>2.57</v>
      </c>
      <c r="J1250" s="142">
        <f>B1250*IBGE_2!J$1250/100</f>
        <v>0.11</v>
      </c>
      <c r="K1250" s="142">
        <f>B1250*IBGE_2!K$1250/100</f>
        <v>88</v>
      </c>
      <c r="L1250" s="142" t="s">
        <v>3047</v>
      </c>
      <c r="M1250" s="142" t="s">
        <v>3047</v>
      </c>
      <c r="N1250" s="142">
        <f>B1250*IBGE_2!N$1250/100</f>
        <v>15</v>
      </c>
      <c r="O1250" s="142">
        <f>B1250*IBGE_2!O$1250/100</f>
        <v>23</v>
      </c>
      <c r="P1250" s="142">
        <f>B1250*IBGE_2!P$1250/100</f>
        <v>0.02</v>
      </c>
      <c r="Q1250" s="142">
        <f>B1250*IBGE_2!Q$1250/100</f>
        <v>182</v>
      </c>
      <c r="R1250" s="142">
        <f>B1250*IBGE_2!R$1250/100</f>
        <v>1.26</v>
      </c>
      <c r="S1250" s="142">
        <f>B1250*IBGE_2!S$1250/100</f>
        <v>82</v>
      </c>
      <c r="T1250" s="142">
        <f>B1250*IBGE_2!T$1250/100</f>
        <v>223</v>
      </c>
      <c r="U1250" s="142">
        <f>B1250*IBGE_2!U$1250/100</f>
        <v>6.6000000000000003E-2</v>
      </c>
      <c r="V1250" s="142">
        <f>B1250*IBGE_2!V$1250/100</f>
        <v>1.94</v>
      </c>
      <c r="W1250" s="142">
        <f>B1250*IBGE_2!W$1250/100</f>
        <v>48</v>
      </c>
      <c r="X1250" s="142">
        <f>B1250*IBGE_2!X$1250/100</f>
        <v>6.3E-2</v>
      </c>
      <c r="Y1250" s="142">
        <f>B1250*IBGE_2!Y$1250/100</f>
        <v>0.16800000000000001</v>
      </c>
      <c r="Z1250" s="142">
        <f>B1250*IBGE_2!Z$1250/100</f>
        <v>0.4</v>
      </c>
      <c r="AA1250" s="142">
        <f>B1250*IBGE_2!AA$1250/100</f>
        <v>8.4870000000000001</v>
      </c>
      <c r="AB1250" s="142" t="s">
        <v>3047</v>
      </c>
      <c r="AC1250" s="142">
        <f>B1250*IBGE_2!AC$1250/100</f>
        <v>13.57</v>
      </c>
      <c r="AD1250" s="142">
        <f>B1250*IBGE_2!AD$1250/100</f>
        <v>0.3</v>
      </c>
      <c r="AE1250" s="142">
        <f>B1250*IBGE_2!AE$1250/100</f>
        <v>5</v>
      </c>
      <c r="AF1250" s="142">
        <f>B1250*IBGE_2!AF$1250/100</f>
        <v>0.3</v>
      </c>
      <c r="AG1250" s="142">
        <f>B1250*IBGE_2!AG$1250/100</f>
        <v>0.27</v>
      </c>
      <c r="AH1250" s="142">
        <f>B1250*IBGE_2!AH$1250/100</f>
        <v>0.45</v>
      </c>
      <c r="AI1250" s="142">
        <f>B1250*IBGE_2!AI$1250/100</f>
        <v>333</v>
      </c>
      <c r="AJ1250" s="142">
        <f>B1250*IBGE_2!AJ$1250/100</f>
        <v>23.9</v>
      </c>
      <c r="AK1250" s="142">
        <f>B1250*IBGE_2!AK$1250/100</f>
        <v>48</v>
      </c>
      <c r="AL1250" s="142" t="s">
        <v>3047</v>
      </c>
      <c r="AM1250" s="142" t="s">
        <v>3047</v>
      </c>
      <c r="AN1250" s="161"/>
    </row>
    <row r="1251" spans="1:40">
      <c r="A1251" s="143" t="s">
        <v>2311</v>
      </c>
      <c r="B1251" s="141">
        <v>100</v>
      </c>
      <c r="C1251" s="142">
        <f>B1251*IBGE_2!C$1251/100</f>
        <v>239</v>
      </c>
      <c r="D1251" s="142">
        <f>B1251*IBGE_2!D$1251/100</f>
        <v>27.3</v>
      </c>
      <c r="E1251" s="142">
        <f>B1251*IBGE_2!E$1251/100</f>
        <v>13.6</v>
      </c>
      <c r="F1251" s="142">
        <f>B1251*IBGE_2!F$1251/100</f>
        <v>3.79</v>
      </c>
      <c r="G1251" s="142">
        <f>B1251*IBGE_2!G$1251/100</f>
        <v>5.34</v>
      </c>
      <c r="H1251" s="142">
        <f>B1251*IBGE_2!H$1251/100</f>
        <v>2.97</v>
      </c>
      <c r="I1251" s="142">
        <f>B1251*IBGE_2!I$1251/100</f>
        <v>2.57</v>
      </c>
      <c r="J1251" s="142">
        <f>B1251*IBGE_2!J$1251/100</f>
        <v>0.11</v>
      </c>
      <c r="K1251" s="142">
        <f>B1251*IBGE_2!K$1251/100</f>
        <v>88</v>
      </c>
      <c r="L1251" s="142" t="s">
        <v>3047</v>
      </c>
      <c r="M1251" s="142" t="s">
        <v>3047</v>
      </c>
      <c r="N1251" s="142">
        <f>B1251*IBGE_2!N$1251/100</f>
        <v>15</v>
      </c>
      <c r="O1251" s="142">
        <f>B1251*IBGE_2!O$1251/100</f>
        <v>23</v>
      </c>
      <c r="P1251" s="142">
        <f>B1251*IBGE_2!P$1251/100</f>
        <v>0.02</v>
      </c>
      <c r="Q1251" s="142">
        <f>B1251*IBGE_2!Q$1251/100</f>
        <v>182</v>
      </c>
      <c r="R1251" s="142">
        <f>B1251*IBGE_2!R$1251/100</f>
        <v>1.26</v>
      </c>
      <c r="S1251" s="142">
        <f>B1251*IBGE_2!S$1251/100</f>
        <v>82</v>
      </c>
      <c r="T1251" s="142">
        <f>B1251*IBGE_2!T$1251/100</f>
        <v>223</v>
      </c>
      <c r="U1251" s="142">
        <f>B1251*IBGE_2!U$1251/100</f>
        <v>6.6000000000000003E-2</v>
      </c>
      <c r="V1251" s="142">
        <f>B1251*IBGE_2!V$1251/100</f>
        <v>1.94</v>
      </c>
      <c r="W1251" s="142">
        <f>B1251*IBGE_2!W$1251/100</f>
        <v>48</v>
      </c>
      <c r="X1251" s="142">
        <f>B1251*IBGE_2!X$1251/100</f>
        <v>6.3E-2</v>
      </c>
      <c r="Y1251" s="142">
        <f>B1251*IBGE_2!Y$1251/100</f>
        <v>0.16800000000000001</v>
      </c>
      <c r="Z1251" s="142">
        <f>B1251*IBGE_2!Z$1251/100</f>
        <v>0.4</v>
      </c>
      <c r="AA1251" s="142">
        <f>B1251*IBGE_2!AA$1251/100</f>
        <v>8.4870000000000001</v>
      </c>
      <c r="AB1251" s="142" t="s">
        <v>3047</v>
      </c>
      <c r="AC1251" s="142">
        <f>B1251*IBGE_2!AC$1251/100</f>
        <v>13.57</v>
      </c>
      <c r="AD1251" s="142">
        <f>B1251*IBGE_2!AD$1251/100</f>
        <v>0.3</v>
      </c>
      <c r="AE1251" s="142">
        <f>B1251*IBGE_2!AE$1251/100</f>
        <v>5</v>
      </c>
      <c r="AF1251" s="142">
        <f>B1251*IBGE_2!AF$1251/100</f>
        <v>0.3</v>
      </c>
      <c r="AG1251" s="142">
        <f>B1251*IBGE_2!AG$1251/100</f>
        <v>0.27</v>
      </c>
      <c r="AH1251" s="142">
        <f>B1251*IBGE_2!AH$1251/100</f>
        <v>0.45</v>
      </c>
      <c r="AI1251" s="142">
        <f>B1251*IBGE_2!AI$1251/100</f>
        <v>333</v>
      </c>
      <c r="AJ1251" s="142">
        <f>B1251*IBGE_2!AJ$1251/100</f>
        <v>23.9</v>
      </c>
      <c r="AK1251" s="142">
        <f>B1251*IBGE_2!AK$1251/100</f>
        <v>48</v>
      </c>
      <c r="AL1251" s="142" t="s">
        <v>3047</v>
      </c>
      <c r="AM1251" s="142" t="s">
        <v>3047</v>
      </c>
      <c r="AN1251" s="161"/>
    </row>
    <row r="1252" spans="1:40">
      <c r="A1252" s="143" t="s">
        <v>2312</v>
      </c>
      <c r="B1252" s="141">
        <v>100</v>
      </c>
      <c r="C1252" s="142">
        <f>B1252*IBGE_2!C$1252/100</f>
        <v>261.65899999999999</v>
      </c>
      <c r="D1252" s="142">
        <f>B1252*IBGE_2!D$1252/100</f>
        <v>27.3</v>
      </c>
      <c r="E1252" s="142">
        <f>B1252*IBGE_2!E$1252/100</f>
        <v>16.163</v>
      </c>
      <c r="F1252" s="142">
        <f>B1252*IBGE_2!F$1252/100</f>
        <v>4.1909999999999998</v>
      </c>
      <c r="G1252" s="142">
        <f>B1252*IBGE_2!G$1252/100</f>
        <v>5.9240000000000013</v>
      </c>
      <c r="H1252" s="142">
        <f>B1252*IBGE_2!H$1252/100</f>
        <v>4.45</v>
      </c>
      <c r="I1252" s="142">
        <f>B1252*IBGE_2!I$1252/100</f>
        <v>3.8759999999999994</v>
      </c>
      <c r="J1252" s="142">
        <f>B1252*IBGE_2!J$1252/100</f>
        <v>0.28399999999999997</v>
      </c>
      <c r="K1252" s="142">
        <f>B1252*IBGE_2!K$1252/100</f>
        <v>88</v>
      </c>
      <c r="L1252" s="142" t="s">
        <v>3047</v>
      </c>
      <c r="M1252" s="142" t="s">
        <v>3047</v>
      </c>
      <c r="N1252" s="142">
        <f>B1252*IBGE_2!N$1252/100</f>
        <v>15</v>
      </c>
      <c r="O1252" s="142">
        <f>B1252*IBGE_2!O$1252/100</f>
        <v>23</v>
      </c>
      <c r="P1252" s="142">
        <f>B1252*IBGE_2!P$1252/100</f>
        <v>0.02</v>
      </c>
      <c r="Q1252" s="142">
        <f>B1252*IBGE_2!Q$1252/100</f>
        <v>182</v>
      </c>
      <c r="R1252" s="142">
        <f>B1252*IBGE_2!R$1252/100</f>
        <v>1.2609999999999999</v>
      </c>
      <c r="S1252" s="142">
        <f>B1252*IBGE_2!S$1252/100</f>
        <v>82</v>
      </c>
      <c r="T1252" s="142">
        <f>B1252*IBGE_2!T$1252/100</f>
        <v>223</v>
      </c>
      <c r="U1252" s="142">
        <f>B1252*IBGE_2!U$1252/100</f>
        <v>6.6000000000000003E-2</v>
      </c>
      <c r="V1252" s="142">
        <f>B1252*IBGE_2!V$1252/100</f>
        <v>1.94</v>
      </c>
      <c r="W1252" s="142">
        <f>B1252*IBGE_2!W$1252/100</f>
        <v>48</v>
      </c>
      <c r="X1252" s="142">
        <f>B1252*IBGE_2!X$1252/100</f>
        <v>6.3E-2</v>
      </c>
      <c r="Y1252" s="142">
        <f>B1252*IBGE_2!Y$1252/100</f>
        <v>0.16800000000000001</v>
      </c>
      <c r="Z1252" s="142">
        <f>B1252*IBGE_2!Z$1252/100</f>
        <v>0.4</v>
      </c>
      <c r="AA1252" s="142">
        <f>B1252*IBGE_2!AA$1252/100</f>
        <v>8.4870000000000001</v>
      </c>
      <c r="AB1252" s="142" t="s">
        <v>3047</v>
      </c>
      <c r="AC1252" s="142">
        <f>B1252*IBGE_2!AC$1252/100</f>
        <v>13.57</v>
      </c>
      <c r="AD1252" s="142">
        <f>B1252*IBGE_2!AD$1252/100</f>
        <v>0.3</v>
      </c>
      <c r="AE1252" s="142">
        <f>B1252*IBGE_2!AE$1252/100</f>
        <v>5</v>
      </c>
      <c r="AF1252" s="142">
        <f>B1252*IBGE_2!AF$1252/100</f>
        <v>0.3</v>
      </c>
      <c r="AG1252" s="142">
        <f>B1252*IBGE_2!AG$1252/100</f>
        <v>0.48</v>
      </c>
      <c r="AH1252" s="142">
        <f>B1252*IBGE_2!AH$1252/100</f>
        <v>0.46400000000000008</v>
      </c>
      <c r="AI1252" s="142">
        <f>B1252*IBGE_2!AI$1252/100</f>
        <v>333</v>
      </c>
      <c r="AJ1252" s="142">
        <f>B1252*IBGE_2!AJ$1252/100</f>
        <v>25.074999999999999</v>
      </c>
      <c r="AK1252" s="142">
        <f>B1252*IBGE_2!AK$1252/100</f>
        <v>48</v>
      </c>
      <c r="AL1252" s="145" t="s">
        <v>3047</v>
      </c>
      <c r="AM1252" s="142" t="s">
        <v>3047</v>
      </c>
      <c r="AN1252" s="161"/>
    </row>
    <row r="1253" spans="1:40">
      <c r="A1253" s="143" t="s">
        <v>2313</v>
      </c>
      <c r="B1253" s="141">
        <v>100</v>
      </c>
      <c r="C1253" s="142">
        <f>B1253*IBGE_2!C$1253/100</f>
        <v>277.83699999999999</v>
      </c>
      <c r="D1253" s="142">
        <f>B1253*IBGE_2!D$1253/100</f>
        <v>27.759</v>
      </c>
      <c r="E1253" s="142">
        <f>B1253*IBGE_2!E$1253/100</f>
        <v>16.207000000000001</v>
      </c>
      <c r="F1253" s="142">
        <f>B1253*IBGE_2!F$1253/100</f>
        <v>4.1980000000000004</v>
      </c>
      <c r="G1253" s="142">
        <f>B1253*IBGE_2!G$1253/100</f>
        <v>5.9279999999999999</v>
      </c>
      <c r="H1253" s="142">
        <f>B1253*IBGE_2!H$1253/100</f>
        <v>4.468</v>
      </c>
      <c r="I1253" s="142">
        <f>B1253*IBGE_2!I$1253/100</f>
        <v>3.8929999999999993</v>
      </c>
      <c r="J1253" s="142">
        <f>B1253*IBGE_2!J$1253/100</f>
        <v>0.28499999999999998</v>
      </c>
      <c r="K1253" s="142">
        <f>B1253*IBGE_2!K$1253/100</f>
        <v>88</v>
      </c>
      <c r="L1253" s="142">
        <f>B1253*IBGE_2!L$1253/100</f>
        <v>3.3919999999999999</v>
      </c>
      <c r="M1253" s="142">
        <f>B1253*IBGE_2!M$1253/100</f>
        <v>0.13500000000000001</v>
      </c>
      <c r="N1253" s="142">
        <f>B1253*IBGE_2!N$1253/100</f>
        <v>15.667</v>
      </c>
      <c r="O1253" s="142">
        <f>B1253*IBGE_2!O$1253/100</f>
        <v>23.978000000000002</v>
      </c>
      <c r="P1253" s="142">
        <f>B1253*IBGE_2!P$1253/100</f>
        <v>0.05</v>
      </c>
      <c r="Q1253" s="142">
        <f>B1253*IBGE_2!Q$1253/100</f>
        <v>186.8</v>
      </c>
      <c r="R1253" s="142">
        <f>B1253*IBGE_2!R$1253/100</f>
        <v>1.4680000000000002</v>
      </c>
      <c r="S1253" s="142">
        <f>B1253*IBGE_2!S$1253/100</f>
        <v>82.088999999999999</v>
      </c>
      <c r="T1253" s="142">
        <f>B1253*IBGE_2!T$1253/100</f>
        <v>227.75599999999997</v>
      </c>
      <c r="U1253" s="142">
        <f>B1253*IBGE_2!U$1253/100</f>
        <v>7.1999999999999995E-2</v>
      </c>
      <c r="V1253" s="142">
        <f>B1253*IBGE_2!V$1253/100</f>
        <v>1.9710000000000003</v>
      </c>
      <c r="W1253" s="142">
        <f>B1253*IBGE_2!W$1253/100</f>
        <v>48</v>
      </c>
      <c r="X1253" s="142">
        <f>B1253*IBGE_2!X$1253/100</f>
        <v>9.8000000000000004E-2</v>
      </c>
      <c r="Y1253" s="142">
        <f>B1253*IBGE_2!Y$1253/100</f>
        <v>0.19</v>
      </c>
      <c r="Z1253" s="142">
        <f>B1253*IBGE_2!Z$1253/100</f>
        <v>0.40200000000000002</v>
      </c>
      <c r="AA1253" s="142">
        <f>B1253*IBGE_2!AA$1253/100</f>
        <v>8.7490000000000006</v>
      </c>
      <c r="AB1253" s="142" t="s">
        <v>3047</v>
      </c>
      <c r="AC1253" s="142">
        <f>B1253*IBGE_2!AC$1253/100</f>
        <v>13.927</v>
      </c>
      <c r="AD1253" s="142">
        <f>B1253*IBGE_2!AD$1253/100</f>
        <v>0.3</v>
      </c>
      <c r="AE1253" s="142">
        <f>B1253*IBGE_2!AE$1253/100</f>
        <v>14.067</v>
      </c>
      <c r="AF1253" s="142">
        <f>B1253*IBGE_2!AF$1253/100</f>
        <v>0.3</v>
      </c>
      <c r="AG1253" s="142">
        <f>B1253*IBGE_2!AG$1253/100</f>
        <v>0.48199999999999998</v>
      </c>
      <c r="AH1253" s="142">
        <f>B1253*IBGE_2!AH$1253/100</f>
        <v>0.46400000000000008</v>
      </c>
      <c r="AI1253" s="142">
        <f>B1253*IBGE_2!AI$1253/100</f>
        <v>333</v>
      </c>
      <c r="AJ1253" s="142">
        <f>B1253*IBGE_2!AJ$1253/100</f>
        <v>26.581</v>
      </c>
      <c r="AK1253" s="142">
        <f>B1253*IBGE_2!AK$1253/100</f>
        <v>48</v>
      </c>
      <c r="AL1253" s="142">
        <f>B1253*IBGE_2!AL$1253/100</f>
        <v>1.4000000000000002E-2</v>
      </c>
      <c r="AM1253" s="142" t="s">
        <v>3047</v>
      </c>
      <c r="AN1253" s="161"/>
    </row>
    <row r="1254" spans="1:40">
      <c r="A1254" s="143" t="s">
        <v>2314</v>
      </c>
      <c r="B1254" s="141">
        <v>100</v>
      </c>
      <c r="C1254" s="142">
        <f>B1254*IBGE_2!C$1254/100</f>
        <v>239</v>
      </c>
      <c r="D1254" s="142">
        <f>B1254*IBGE_2!D$1254/100</f>
        <v>27.3</v>
      </c>
      <c r="E1254" s="142">
        <f>B1254*IBGE_2!E$1254/100</f>
        <v>13.6</v>
      </c>
      <c r="F1254" s="142">
        <f>B1254*IBGE_2!F$1254/100</f>
        <v>3.79</v>
      </c>
      <c r="G1254" s="142">
        <f>B1254*IBGE_2!G$1254/100</f>
        <v>5.34</v>
      </c>
      <c r="H1254" s="142">
        <f>B1254*IBGE_2!H$1254/100</f>
        <v>2.97</v>
      </c>
      <c r="I1254" s="142">
        <f>B1254*IBGE_2!I$1254/100</f>
        <v>2.57</v>
      </c>
      <c r="J1254" s="142">
        <f>B1254*IBGE_2!J$1254/100</f>
        <v>0.11</v>
      </c>
      <c r="K1254" s="142">
        <f>B1254*IBGE_2!K$1254/100</f>
        <v>88</v>
      </c>
      <c r="L1254" s="142" t="s">
        <v>3047</v>
      </c>
      <c r="M1254" s="142" t="s">
        <v>3047</v>
      </c>
      <c r="N1254" s="142">
        <f>B1254*IBGE_2!N$1254/100</f>
        <v>15</v>
      </c>
      <c r="O1254" s="142">
        <f>B1254*IBGE_2!O$1254/100</f>
        <v>23</v>
      </c>
      <c r="P1254" s="142">
        <f>B1254*IBGE_2!P$1254/100</f>
        <v>0.02</v>
      </c>
      <c r="Q1254" s="142">
        <f>B1254*IBGE_2!Q$1254/100</f>
        <v>182</v>
      </c>
      <c r="R1254" s="142">
        <f>B1254*IBGE_2!R$1254/100</f>
        <v>1.26</v>
      </c>
      <c r="S1254" s="142">
        <f>B1254*IBGE_2!S$1254/100</f>
        <v>82</v>
      </c>
      <c r="T1254" s="142">
        <f>B1254*IBGE_2!T$1254/100</f>
        <v>223</v>
      </c>
      <c r="U1254" s="142">
        <f>B1254*IBGE_2!U$1254/100</f>
        <v>6.6000000000000003E-2</v>
      </c>
      <c r="V1254" s="142">
        <f>B1254*IBGE_2!V$1254/100</f>
        <v>1.94</v>
      </c>
      <c r="W1254" s="142">
        <f>B1254*IBGE_2!W$1254/100</f>
        <v>48</v>
      </c>
      <c r="X1254" s="142">
        <f>B1254*IBGE_2!X$1254/100</f>
        <v>6.3E-2</v>
      </c>
      <c r="Y1254" s="142">
        <f>B1254*IBGE_2!Y$1254/100</f>
        <v>0.16800000000000001</v>
      </c>
      <c r="Z1254" s="142">
        <f>B1254*IBGE_2!Z$1254/100</f>
        <v>0.4</v>
      </c>
      <c r="AA1254" s="142">
        <f>B1254*IBGE_2!AA$1254/100</f>
        <v>8.4870000000000001</v>
      </c>
      <c r="AB1254" s="142" t="s">
        <v>3047</v>
      </c>
      <c r="AC1254" s="142">
        <f>B1254*IBGE_2!AC$1254/100</f>
        <v>13.57</v>
      </c>
      <c r="AD1254" s="142">
        <f>B1254*IBGE_2!AD$1254/100</f>
        <v>0.3</v>
      </c>
      <c r="AE1254" s="142">
        <f>B1254*IBGE_2!AE$1254/100</f>
        <v>5</v>
      </c>
      <c r="AF1254" s="142">
        <f>B1254*IBGE_2!AF$1254/100</f>
        <v>0.3</v>
      </c>
      <c r="AG1254" s="142">
        <f>B1254*IBGE_2!AG$1254/100</f>
        <v>0.27</v>
      </c>
      <c r="AH1254" s="142">
        <f>B1254*IBGE_2!AH$1254/100</f>
        <v>0.45</v>
      </c>
      <c r="AI1254" s="142">
        <f>B1254*IBGE_2!AI$1254/100</f>
        <v>333</v>
      </c>
      <c r="AJ1254" s="142">
        <f>B1254*IBGE_2!AJ$1254/100</f>
        <v>23.9</v>
      </c>
      <c r="AK1254" s="142">
        <f>B1254*IBGE_2!AK$1254/100</f>
        <v>48</v>
      </c>
      <c r="AL1254" s="145" t="s">
        <v>3047</v>
      </c>
      <c r="AM1254" s="142" t="s">
        <v>3047</v>
      </c>
      <c r="AN1254" s="161"/>
    </row>
    <row r="1255" spans="1:40">
      <c r="A1255" s="143" t="s">
        <v>2315</v>
      </c>
      <c r="B1255" s="141">
        <v>100</v>
      </c>
      <c r="C1255" s="142">
        <f>B1255*IBGE_2!C$1255/100</f>
        <v>261.65899999999999</v>
      </c>
      <c r="D1255" s="142">
        <f>B1255*IBGE_2!D$1255/100</f>
        <v>27.3</v>
      </c>
      <c r="E1255" s="142">
        <f>B1255*IBGE_2!E$1255/100</f>
        <v>16.163</v>
      </c>
      <c r="F1255" s="142">
        <f>B1255*IBGE_2!F$1255/100</f>
        <v>4.1909999999999998</v>
      </c>
      <c r="G1255" s="142">
        <f>B1255*IBGE_2!G$1255/100</f>
        <v>5.9240000000000013</v>
      </c>
      <c r="H1255" s="142">
        <f>B1255*IBGE_2!H$1255/100</f>
        <v>4.45</v>
      </c>
      <c r="I1255" s="142">
        <f>B1255*IBGE_2!I$1255/100</f>
        <v>3.8759999999999994</v>
      </c>
      <c r="J1255" s="142">
        <f>B1255*IBGE_2!J$1255/100</f>
        <v>0.28399999999999997</v>
      </c>
      <c r="K1255" s="142">
        <f>B1255*IBGE_2!K$1255/100</f>
        <v>88</v>
      </c>
      <c r="L1255" s="142" t="s">
        <v>3047</v>
      </c>
      <c r="M1255" s="142" t="s">
        <v>3047</v>
      </c>
      <c r="N1255" s="142">
        <f>B1255*IBGE_2!N$1255/100</f>
        <v>15</v>
      </c>
      <c r="O1255" s="142">
        <f>B1255*IBGE_2!O$1255/100</f>
        <v>23</v>
      </c>
      <c r="P1255" s="142">
        <f>B1255*IBGE_2!P$1255/100</f>
        <v>0.02</v>
      </c>
      <c r="Q1255" s="142">
        <f>B1255*IBGE_2!Q$1255/100</f>
        <v>182</v>
      </c>
      <c r="R1255" s="142">
        <f>B1255*IBGE_2!R$1255/100</f>
        <v>1.2609999999999999</v>
      </c>
      <c r="S1255" s="142">
        <f>B1255*IBGE_2!S$1255/100</f>
        <v>82</v>
      </c>
      <c r="T1255" s="142">
        <f>B1255*IBGE_2!T$1255/100</f>
        <v>223</v>
      </c>
      <c r="U1255" s="142">
        <f>B1255*IBGE_2!U$1255/100</f>
        <v>6.6000000000000003E-2</v>
      </c>
      <c r="V1255" s="142">
        <f>B1255*IBGE_2!V$1255/100</f>
        <v>1.94</v>
      </c>
      <c r="W1255" s="142">
        <f>B1255*IBGE_2!W$1255/100</f>
        <v>48</v>
      </c>
      <c r="X1255" s="142">
        <f>B1255*IBGE_2!X$1255/100</f>
        <v>6.3E-2</v>
      </c>
      <c r="Y1255" s="142">
        <f>B1255*IBGE_2!Y$1255/100</f>
        <v>0.16800000000000001</v>
      </c>
      <c r="Z1255" s="142">
        <f>B1255*IBGE_2!Z$1255/100</f>
        <v>0.4</v>
      </c>
      <c r="AA1255" s="142">
        <f>B1255*IBGE_2!AA$1255/100</f>
        <v>8.4870000000000001</v>
      </c>
      <c r="AB1255" s="142" t="s">
        <v>3047</v>
      </c>
      <c r="AC1255" s="142">
        <f>B1255*IBGE_2!AC$1255/100</f>
        <v>13.57</v>
      </c>
      <c r="AD1255" s="142">
        <f>B1255*IBGE_2!AD$1255/100</f>
        <v>0.3</v>
      </c>
      <c r="AE1255" s="142">
        <f>B1255*IBGE_2!AE$1255/100</f>
        <v>5</v>
      </c>
      <c r="AF1255" s="142">
        <f>B1255*IBGE_2!AF$1255/100</f>
        <v>0.3</v>
      </c>
      <c r="AG1255" s="142">
        <f>B1255*IBGE_2!AG$1255/100</f>
        <v>0.48</v>
      </c>
      <c r="AH1255" s="142">
        <f>B1255*IBGE_2!AH$1255/100</f>
        <v>0.46400000000000008</v>
      </c>
      <c r="AI1255" s="142">
        <f>B1255*IBGE_2!AI$1255/100</f>
        <v>333</v>
      </c>
      <c r="AJ1255" s="142">
        <f>B1255*IBGE_2!AJ$1255/100</f>
        <v>25.074999999999999</v>
      </c>
      <c r="AK1255" s="142">
        <f>B1255*IBGE_2!AK$1255/100</f>
        <v>48</v>
      </c>
      <c r="AL1255" s="145" t="s">
        <v>3047</v>
      </c>
      <c r="AM1255" s="142" t="s">
        <v>3047</v>
      </c>
      <c r="AN1255" s="161"/>
    </row>
    <row r="1256" spans="1:40">
      <c r="A1256" s="143" t="s">
        <v>2316</v>
      </c>
      <c r="B1256" s="141">
        <v>100</v>
      </c>
      <c r="C1256" s="142">
        <f>B1256*IBGE_2!C$1256/100</f>
        <v>226.785</v>
      </c>
      <c r="D1256" s="142">
        <f>B1256*IBGE_2!D$1256/100</f>
        <v>22.6</v>
      </c>
      <c r="E1256" s="142">
        <f>B1256*IBGE_2!E$1256/100</f>
        <v>13.707000000000001</v>
      </c>
      <c r="F1256" s="142">
        <f>B1256*IBGE_2!F$1256/100</f>
        <v>3.7389999999999999</v>
      </c>
      <c r="G1256" s="142">
        <f>B1256*IBGE_2!G$1256/100</f>
        <v>4.9279999999999999</v>
      </c>
      <c r="H1256" s="142">
        <f>B1256*IBGE_2!H$1256/100</f>
        <v>3.6779999999999999</v>
      </c>
      <c r="I1256" s="142">
        <f>B1256*IBGE_2!I$1256/100</f>
        <v>3.1949999999999998</v>
      </c>
      <c r="J1256" s="142">
        <f>B1256*IBGE_2!J$1256/100</f>
        <v>0.251</v>
      </c>
      <c r="K1256" s="142">
        <f>B1256*IBGE_2!K$1256/100</f>
        <v>72.352000000000004</v>
      </c>
      <c r="L1256" s="142">
        <f>B1256*IBGE_2!L$1256/100</f>
        <v>1.849</v>
      </c>
      <c r="M1256" s="142">
        <f>B1256*IBGE_2!M$1256/100</f>
        <v>4.2999999999999997E-2</v>
      </c>
      <c r="N1256" s="142">
        <f>B1256*IBGE_2!N$1256/100</f>
        <v>34.363999999999997</v>
      </c>
      <c r="O1256" s="142">
        <f>B1256*IBGE_2!O$1256/100</f>
        <v>20.667999999999996</v>
      </c>
      <c r="P1256" s="142">
        <f>B1256*IBGE_2!P$1256/100</f>
        <v>2.6000000000000002E-2</v>
      </c>
      <c r="Q1256" s="142">
        <f>B1256*IBGE_2!Q$1256/100</f>
        <v>164.74899999999997</v>
      </c>
      <c r="R1256" s="142">
        <f>B1256*IBGE_2!R$1256/100</f>
        <v>1.079</v>
      </c>
      <c r="S1256" s="142">
        <f>B1256*IBGE_2!S$1256/100</f>
        <v>120.598</v>
      </c>
      <c r="T1256" s="142">
        <f>B1256*IBGE_2!T$1256/100</f>
        <v>207.91900000000001</v>
      </c>
      <c r="U1256" s="142">
        <f>B1256*IBGE_2!U$1256/100</f>
        <v>5.7000000000000002E-2</v>
      </c>
      <c r="V1256" s="142">
        <f>B1256*IBGE_2!V$1256/100</f>
        <v>1.639</v>
      </c>
      <c r="W1256" s="142">
        <f>B1256*IBGE_2!W$1256/100</f>
        <v>43.866000000000007</v>
      </c>
      <c r="X1256" s="142">
        <f>B1256*IBGE_2!X$1256/100</f>
        <v>6.9000000000000006E-2</v>
      </c>
      <c r="Y1256" s="142">
        <f>B1256*IBGE_2!Y$1256/100</f>
        <v>0.17599999999999999</v>
      </c>
      <c r="Z1256" s="142">
        <f>B1256*IBGE_2!Z$1256/100</f>
        <v>0.32800000000000007</v>
      </c>
      <c r="AA1256" s="142">
        <f>B1256*IBGE_2!AA$1256/100</f>
        <v>6.8849999999999998</v>
      </c>
      <c r="AB1256" s="142">
        <f>B1256*IBGE_2!AB$1256/100</f>
        <v>4.0000000000000001E-3</v>
      </c>
      <c r="AC1256" s="142">
        <f>B1256*IBGE_2!AC$1256/100</f>
        <v>11.222000000000001</v>
      </c>
      <c r="AD1256" s="142">
        <f>B1256*IBGE_2!AD$1256/100</f>
        <v>0.32600000000000001</v>
      </c>
      <c r="AE1256" s="142">
        <f>B1256*IBGE_2!AE$1256/100</f>
        <v>7.5279999999999996</v>
      </c>
      <c r="AF1256" s="142">
        <f>B1256*IBGE_2!AF$1256/100</f>
        <v>0.435</v>
      </c>
      <c r="AG1256" s="142">
        <f>B1256*IBGE_2!AG$1256/100</f>
        <v>0.40699999999999997</v>
      </c>
      <c r="AH1256" s="142">
        <f>B1256*IBGE_2!AH$1256/100</f>
        <v>0.39399999999999996</v>
      </c>
      <c r="AI1256" s="142">
        <f>B1256*IBGE_2!AI$1256/100</f>
        <v>333</v>
      </c>
      <c r="AJ1256" s="142">
        <f>B1256*IBGE_2!AJ$1256/100</f>
        <v>21.265999999999998</v>
      </c>
      <c r="AK1256" s="142">
        <f>B1256*IBGE_2!AK$1256/100</f>
        <v>43.95</v>
      </c>
      <c r="AL1256" s="142">
        <f>B1256*IBGE_2!AL$1256/100</f>
        <v>1.0309999999999999</v>
      </c>
      <c r="AM1256" s="142" t="s">
        <v>3047</v>
      </c>
      <c r="AN1256" s="161"/>
    </row>
    <row r="1257" spans="1:40">
      <c r="A1257" s="143" t="s">
        <v>2317</v>
      </c>
      <c r="B1257" s="141">
        <v>100</v>
      </c>
      <c r="C1257" s="142">
        <f>B1257*IBGE_2!C$1257/100</f>
        <v>261.65899999999999</v>
      </c>
      <c r="D1257" s="142">
        <f>B1257*IBGE_2!D$1257/100</f>
        <v>27.3</v>
      </c>
      <c r="E1257" s="142">
        <f>B1257*IBGE_2!E$1257/100</f>
        <v>16.163</v>
      </c>
      <c r="F1257" s="142">
        <f>B1257*IBGE_2!F$1257/100</f>
        <v>4.1909999999999998</v>
      </c>
      <c r="G1257" s="142">
        <f>B1257*IBGE_2!G$1257/100</f>
        <v>5.9240000000000013</v>
      </c>
      <c r="H1257" s="142">
        <f>B1257*IBGE_2!H$1257/100</f>
        <v>4.45</v>
      </c>
      <c r="I1257" s="142">
        <f>B1257*IBGE_2!I$1257/100</f>
        <v>3.8759999999999994</v>
      </c>
      <c r="J1257" s="142">
        <f>B1257*IBGE_2!J$1257/100</f>
        <v>0.28399999999999997</v>
      </c>
      <c r="K1257" s="142">
        <f>B1257*IBGE_2!K$1257/100</f>
        <v>88</v>
      </c>
      <c r="L1257" s="142" t="s">
        <v>3047</v>
      </c>
      <c r="M1257" s="142" t="s">
        <v>3047</v>
      </c>
      <c r="N1257" s="142">
        <f>B1257*IBGE_2!N$1257/100</f>
        <v>15</v>
      </c>
      <c r="O1257" s="142">
        <f>B1257*IBGE_2!O$1257/100</f>
        <v>23</v>
      </c>
      <c r="P1257" s="142">
        <f>B1257*IBGE_2!P$1257/100</f>
        <v>0.02</v>
      </c>
      <c r="Q1257" s="142">
        <f>B1257*IBGE_2!Q$1257/100</f>
        <v>182</v>
      </c>
      <c r="R1257" s="142">
        <f>B1257*IBGE_2!R$1257/100</f>
        <v>1.2609999999999999</v>
      </c>
      <c r="S1257" s="142">
        <f>B1257*IBGE_2!S$1257/100</f>
        <v>82</v>
      </c>
      <c r="T1257" s="142">
        <f>B1257*IBGE_2!T$1257/100</f>
        <v>223</v>
      </c>
      <c r="U1257" s="142">
        <f>B1257*IBGE_2!U$1257/100</f>
        <v>6.6000000000000003E-2</v>
      </c>
      <c r="V1257" s="142">
        <f>B1257*IBGE_2!V$1257/100</f>
        <v>1.94</v>
      </c>
      <c r="W1257" s="142">
        <f>B1257*IBGE_2!W$1257/100</f>
        <v>48</v>
      </c>
      <c r="X1257" s="142">
        <f>B1257*IBGE_2!X$1257/100</f>
        <v>6.3E-2</v>
      </c>
      <c r="Y1257" s="142">
        <f>B1257*IBGE_2!Y$1257/100</f>
        <v>0.16800000000000001</v>
      </c>
      <c r="Z1257" s="142">
        <f>B1257*IBGE_2!Z$1257/100</f>
        <v>0.4</v>
      </c>
      <c r="AA1257" s="142">
        <f>B1257*IBGE_2!AA$1257/100</f>
        <v>8.4870000000000001</v>
      </c>
      <c r="AB1257" s="142" t="s">
        <v>3047</v>
      </c>
      <c r="AC1257" s="142">
        <f>B1257*IBGE_2!AC$1257/100</f>
        <v>13.57</v>
      </c>
      <c r="AD1257" s="142">
        <f>B1257*IBGE_2!AD$1257/100</f>
        <v>0.3</v>
      </c>
      <c r="AE1257" s="142">
        <f>B1257*IBGE_2!AE$1257/100</f>
        <v>5</v>
      </c>
      <c r="AF1257" s="142">
        <f>B1257*IBGE_2!AF$1257/100</f>
        <v>0.3</v>
      </c>
      <c r="AG1257" s="142">
        <f>B1257*IBGE_2!AG$1257/100</f>
        <v>0.48</v>
      </c>
      <c r="AH1257" s="142">
        <f>B1257*IBGE_2!AH$1257/100</f>
        <v>0.46400000000000008</v>
      </c>
      <c r="AI1257" s="142">
        <f>B1257*IBGE_2!AI$1257/100</f>
        <v>333</v>
      </c>
      <c r="AJ1257" s="142">
        <f>B1257*IBGE_2!AJ$1257/100</f>
        <v>25.074999999999999</v>
      </c>
      <c r="AK1257" s="142">
        <f>B1257*IBGE_2!AK$1257/100</f>
        <v>48</v>
      </c>
      <c r="AL1257" s="145" t="s">
        <v>3047</v>
      </c>
      <c r="AM1257" s="142" t="s">
        <v>3047</v>
      </c>
      <c r="AN1257" s="161"/>
    </row>
    <row r="1258" spans="1:40">
      <c r="A1258" s="143" t="s">
        <v>2318</v>
      </c>
      <c r="B1258" s="141">
        <v>100</v>
      </c>
      <c r="C1258" s="142">
        <f>B1258*IBGE_2!C$1258/100</f>
        <v>31.471</v>
      </c>
      <c r="D1258" s="142">
        <f>B1258*IBGE_2!D$1258/100</f>
        <v>1.6120000000000001</v>
      </c>
      <c r="E1258" s="142">
        <f>B1258*IBGE_2!E$1258/100</f>
        <v>1.0640000000000001</v>
      </c>
      <c r="F1258" s="142">
        <f>B1258*IBGE_2!F$1258/100</f>
        <v>0.309</v>
      </c>
      <c r="G1258" s="142">
        <f>B1258*IBGE_2!G$1258/100</f>
        <v>0.44700000000000001</v>
      </c>
      <c r="H1258" s="142">
        <f>B1258*IBGE_2!H$1258/100</f>
        <v>0.22800000000000001</v>
      </c>
      <c r="I1258" s="142">
        <f>B1258*IBGE_2!I$1258/100</f>
        <v>0.20599999999999999</v>
      </c>
      <c r="J1258" s="142">
        <f>B1258*IBGE_2!J$1258/100</f>
        <v>1.3000000000000001E-2</v>
      </c>
      <c r="K1258" s="142">
        <f>B1258*IBGE_2!K$1258/100</f>
        <v>3.194</v>
      </c>
      <c r="L1258" s="142">
        <f>B1258*IBGE_2!L$1258/100</f>
        <v>3.637</v>
      </c>
      <c r="M1258" s="142">
        <f>B1258*IBGE_2!M$1258/100</f>
        <v>0.128</v>
      </c>
      <c r="N1258" s="142">
        <f>B1258*IBGE_2!N$1258/100</f>
        <v>5.22</v>
      </c>
      <c r="O1258" s="142">
        <f>B1258*IBGE_2!O$1258/100</f>
        <v>3.2549999999999999</v>
      </c>
      <c r="P1258" s="142">
        <f>B1258*IBGE_2!P$1258/100</f>
        <v>8.3000000000000004E-2</v>
      </c>
      <c r="Q1258" s="142">
        <f>B1258*IBGE_2!Q$1258/100</f>
        <v>18.477</v>
      </c>
      <c r="R1258" s="142">
        <f>B1258*IBGE_2!R$1258/100</f>
        <v>0.23699999999999999</v>
      </c>
      <c r="S1258" s="142">
        <f>B1258*IBGE_2!S$1258/100</f>
        <v>343.654</v>
      </c>
      <c r="T1258" s="142">
        <f>B1258*IBGE_2!T$1258/100</f>
        <v>37.023000000000003</v>
      </c>
      <c r="U1258" s="142">
        <f>B1258*IBGE_2!U$1258/100</f>
        <v>2.7000000000000003E-2</v>
      </c>
      <c r="V1258" s="142">
        <f>B1258*IBGE_2!V$1258/100</f>
        <v>0.153</v>
      </c>
      <c r="W1258" s="142">
        <f>B1258*IBGE_2!W$1258/100</f>
        <v>0.46899999999999997</v>
      </c>
      <c r="X1258" s="142">
        <f>B1258*IBGE_2!X$1258/100</f>
        <v>2.4E-2</v>
      </c>
      <c r="Y1258" s="142">
        <f>B1258*IBGE_2!Y$1258/100</f>
        <v>1.4000000000000002E-2</v>
      </c>
      <c r="Z1258" s="142">
        <f>B1258*IBGE_2!Z$1258/100</f>
        <v>3.1E-2</v>
      </c>
      <c r="AA1258" s="142">
        <f>B1258*IBGE_2!AA$1258/100</f>
        <v>0.75</v>
      </c>
      <c r="AB1258" s="142">
        <f>B1258*IBGE_2!AB$1258/100</f>
        <v>0.105</v>
      </c>
      <c r="AC1258" s="142">
        <f>B1258*IBGE_2!AC$1258/100</f>
        <v>1.016</v>
      </c>
      <c r="AD1258" s="142">
        <f>B1258*IBGE_2!AD$1258/100</f>
        <v>3.1E-2</v>
      </c>
      <c r="AE1258" s="142">
        <f>B1258*IBGE_2!AE$1258/100</f>
        <v>6.0449999999999999</v>
      </c>
      <c r="AF1258" s="142">
        <f>B1258*IBGE_2!AF$1258/100</f>
        <v>1.2E-2</v>
      </c>
      <c r="AG1258" s="142">
        <f>B1258*IBGE_2!AG$1258/100</f>
        <v>6.6000000000000003E-2</v>
      </c>
      <c r="AH1258" s="142">
        <f>B1258*IBGE_2!AH$1258/100</f>
        <v>1.7000000000000001E-2</v>
      </c>
      <c r="AI1258" s="145" t="s">
        <v>3047</v>
      </c>
      <c r="AJ1258" s="142">
        <f>B1258*IBGE_2!AJ$1258/100</f>
        <v>1.55</v>
      </c>
      <c r="AK1258" s="142">
        <f>B1258*IBGE_2!AK$1258/100</f>
        <v>25.419</v>
      </c>
      <c r="AL1258" s="142">
        <f>B1258*IBGE_2!AL$1258/100</f>
        <v>0.105</v>
      </c>
      <c r="AM1258" s="142" t="s">
        <v>3047</v>
      </c>
      <c r="AN1258" s="161"/>
    </row>
    <row r="1259" spans="1:40">
      <c r="A1259" s="143" t="s">
        <v>2319</v>
      </c>
      <c r="B1259" s="141">
        <v>100</v>
      </c>
      <c r="C1259" s="142">
        <f>B1259*IBGE_2!C$1259/100</f>
        <v>239</v>
      </c>
      <c r="D1259" s="142">
        <f>B1259*IBGE_2!D$1259/100</f>
        <v>27.3</v>
      </c>
      <c r="E1259" s="142">
        <f>B1259*IBGE_2!E$1259/100</f>
        <v>13.6</v>
      </c>
      <c r="F1259" s="142">
        <f>B1259*IBGE_2!F$1259/100</f>
        <v>3.79</v>
      </c>
      <c r="G1259" s="142">
        <f>B1259*IBGE_2!G$1259/100</f>
        <v>5.34</v>
      </c>
      <c r="H1259" s="142">
        <f>B1259*IBGE_2!H$1259/100</f>
        <v>2.97</v>
      </c>
      <c r="I1259" s="142">
        <f>B1259*IBGE_2!I$1259/100</f>
        <v>2.57</v>
      </c>
      <c r="J1259" s="142">
        <f>B1259*IBGE_2!J$1259/100</f>
        <v>0.11</v>
      </c>
      <c r="K1259" s="142">
        <f>B1259*IBGE_2!K$1259/100</f>
        <v>88</v>
      </c>
      <c r="L1259" s="142" t="s">
        <v>3047</v>
      </c>
      <c r="M1259" s="142" t="s">
        <v>3047</v>
      </c>
      <c r="N1259" s="142">
        <f>B1259*IBGE_2!N$1259/100</f>
        <v>15</v>
      </c>
      <c r="O1259" s="142">
        <f>B1259*IBGE_2!O$1259/100</f>
        <v>23</v>
      </c>
      <c r="P1259" s="142">
        <f>B1259*IBGE_2!P$1259/100</f>
        <v>0.02</v>
      </c>
      <c r="Q1259" s="142">
        <f>B1259*IBGE_2!Q$1259/100</f>
        <v>182</v>
      </c>
      <c r="R1259" s="142">
        <f>B1259*IBGE_2!R$1259/100</f>
        <v>1.26</v>
      </c>
      <c r="S1259" s="142">
        <f>B1259*IBGE_2!S$1259/100</f>
        <v>82</v>
      </c>
      <c r="T1259" s="142">
        <f>B1259*IBGE_2!T$1259/100</f>
        <v>223</v>
      </c>
      <c r="U1259" s="142">
        <f>B1259*IBGE_2!U$1259/100</f>
        <v>6.6000000000000003E-2</v>
      </c>
      <c r="V1259" s="142">
        <f>B1259*IBGE_2!V$1259/100</f>
        <v>1.94</v>
      </c>
      <c r="W1259" s="142">
        <f>B1259*IBGE_2!W$1259/100</f>
        <v>48</v>
      </c>
      <c r="X1259" s="142">
        <f>B1259*IBGE_2!X$1259/100</f>
        <v>6.3E-2</v>
      </c>
      <c r="Y1259" s="142">
        <f>B1259*IBGE_2!Y$1259/100</f>
        <v>0.16800000000000001</v>
      </c>
      <c r="Z1259" s="142">
        <f>B1259*IBGE_2!Z$1259/100</f>
        <v>0.4</v>
      </c>
      <c r="AA1259" s="142">
        <f>B1259*IBGE_2!AA$1259/100</f>
        <v>8.4870000000000001</v>
      </c>
      <c r="AB1259" s="142" t="s">
        <v>3047</v>
      </c>
      <c r="AC1259" s="142">
        <f>B1259*IBGE_2!AC$1259/100</f>
        <v>13.57</v>
      </c>
      <c r="AD1259" s="142">
        <f>B1259*IBGE_2!AD$1259/100</f>
        <v>0.3</v>
      </c>
      <c r="AE1259" s="142">
        <f>B1259*IBGE_2!AE$1259/100</f>
        <v>5</v>
      </c>
      <c r="AF1259" s="142">
        <f>B1259*IBGE_2!AF$1259/100</f>
        <v>0.3</v>
      </c>
      <c r="AG1259" s="142">
        <f>B1259*IBGE_2!AG$1259/100</f>
        <v>0.27</v>
      </c>
      <c r="AH1259" s="142">
        <f>B1259*IBGE_2!AH$1259/100</f>
        <v>0.45</v>
      </c>
      <c r="AI1259" s="142">
        <f>B1259*IBGE_2!AI$1259/100</f>
        <v>333</v>
      </c>
      <c r="AJ1259" s="142">
        <f>B1259*IBGE_2!AJ$1259/100</f>
        <v>23.9</v>
      </c>
      <c r="AK1259" s="142">
        <f>B1259*IBGE_2!AK$1259/100</f>
        <v>48</v>
      </c>
      <c r="AL1259" s="142" t="s">
        <v>3047</v>
      </c>
      <c r="AM1259" s="142" t="s">
        <v>3047</v>
      </c>
      <c r="AN1259" s="161"/>
    </row>
    <row r="1260" spans="1:40">
      <c r="A1260" s="143" t="s">
        <v>2320</v>
      </c>
      <c r="B1260" s="141">
        <v>100</v>
      </c>
      <c r="C1260" s="142">
        <f>B1260*IBGE_2!C$1260/100</f>
        <v>173</v>
      </c>
      <c r="D1260" s="142">
        <f>B1260*IBGE_2!D$1260/100</f>
        <v>30.91</v>
      </c>
      <c r="E1260" s="142">
        <f>B1260*IBGE_2!E$1260/100</f>
        <v>4.51</v>
      </c>
      <c r="F1260" s="142">
        <f>B1260*IBGE_2!F$1260/100</f>
        <v>1.27</v>
      </c>
      <c r="G1260" s="142">
        <f>B1260*IBGE_2!G$1260/100</f>
        <v>1.54</v>
      </c>
      <c r="H1260" s="142">
        <f>B1260*IBGE_2!H$1260/100</f>
        <v>0.98</v>
      </c>
      <c r="I1260" s="142">
        <f>B1260*IBGE_2!I$1260/100</f>
        <v>0.74</v>
      </c>
      <c r="J1260" s="142">
        <f>B1260*IBGE_2!J$1260/100</f>
        <v>0.04</v>
      </c>
      <c r="K1260" s="142">
        <f>B1260*IBGE_2!K$1260/100</f>
        <v>85</v>
      </c>
      <c r="L1260" s="142" t="s">
        <v>3047</v>
      </c>
      <c r="M1260" s="142" t="s">
        <v>3047</v>
      </c>
      <c r="N1260" s="142">
        <f>B1260*IBGE_2!N$1260/100</f>
        <v>15</v>
      </c>
      <c r="O1260" s="142">
        <f>B1260*IBGE_2!O$1260/100</f>
        <v>27</v>
      </c>
      <c r="P1260" s="142">
        <f>B1260*IBGE_2!P$1260/100</f>
        <v>1.7000000000000001E-2</v>
      </c>
      <c r="Q1260" s="142">
        <f>B1260*IBGE_2!Q$1260/100</f>
        <v>216</v>
      </c>
      <c r="R1260" s="142">
        <f>B1260*IBGE_2!R$1260/100</f>
        <v>1.06</v>
      </c>
      <c r="S1260" s="142">
        <f>B1260*IBGE_2!S$1260/100</f>
        <v>77</v>
      </c>
      <c r="T1260" s="142">
        <f>B1260*IBGE_2!T$1260/100</f>
        <v>247</v>
      </c>
      <c r="U1260" s="142">
        <f>B1260*IBGE_2!U$1260/100</f>
        <v>0.05</v>
      </c>
      <c r="V1260" s="142">
        <f>B1260*IBGE_2!V$1260/100</f>
        <v>1.23</v>
      </c>
      <c r="W1260" s="142">
        <f>B1260*IBGE_2!W$1260/100</f>
        <v>9</v>
      </c>
      <c r="X1260" s="142">
        <f>B1260*IBGE_2!X$1260/100</f>
        <v>6.5000000000000002E-2</v>
      </c>
      <c r="Y1260" s="142">
        <f>B1260*IBGE_2!Y$1260/100</f>
        <v>0.11600000000000002</v>
      </c>
      <c r="Z1260" s="142">
        <f>B1260*IBGE_2!Z$1260/100</f>
        <v>0.6</v>
      </c>
      <c r="AA1260" s="142">
        <f>B1260*IBGE_2!AA$1260/100</f>
        <v>12.420999999999999</v>
      </c>
      <c r="AB1260" s="142" t="s">
        <v>3047</v>
      </c>
      <c r="AC1260" s="142">
        <f>B1260*IBGE_2!AC$1260/100</f>
        <v>18.437999999999999</v>
      </c>
      <c r="AD1260" s="142">
        <f>B1260*IBGE_2!AD$1260/100</f>
        <v>0.34</v>
      </c>
      <c r="AE1260" s="142">
        <f>B1260*IBGE_2!AE$1260/100</f>
        <v>4</v>
      </c>
      <c r="AF1260" s="142">
        <f>B1260*IBGE_2!AF$1260/100</f>
        <v>0.2</v>
      </c>
      <c r="AG1260" s="142">
        <f>B1260*IBGE_2!AG$1260/100</f>
        <v>0.27</v>
      </c>
      <c r="AH1260" s="142">
        <f>B1260*IBGE_2!AH$1260/100</f>
        <v>0.09</v>
      </c>
      <c r="AI1260" s="142">
        <f>B1260*IBGE_2!AI$1260/100</f>
        <v>333</v>
      </c>
      <c r="AJ1260" s="142">
        <f>B1260*IBGE_2!AJ$1260/100</f>
        <v>24.4</v>
      </c>
      <c r="AK1260" s="142">
        <f>B1260*IBGE_2!AK$1260/100</f>
        <v>9</v>
      </c>
      <c r="AL1260" s="142" t="s">
        <v>3047</v>
      </c>
      <c r="AM1260" s="142" t="s">
        <v>3047</v>
      </c>
      <c r="AN1260" s="161"/>
    </row>
    <row r="1261" spans="1:40">
      <c r="A1261" s="143" t="s">
        <v>2321</v>
      </c>
      <c r="B1261" s="141">
        <v>100</v>
      </c>
      <c r="C1261" s="142">
        <f>B1261*IBGE_2!C$1261/100</f>
        <v>173</v>
      </c>
      <c r="D1261" s="142">
        <f>B1261*IBGE_2!D$1261/100</f>
        <v>30.91</v>
      </c>
      <c r="E1261" s="142">
        <f>B1261*IBGE_2!E$1261/100</f>
        <v>4.51</v>
      </c>
      <c r="F1261" s="142">
        <f>B1261*IBGE_2!F$1261/100</f>
        <v>1.27</v>
      </c>
      <c r="G1261" s="142">
        <f>B1261*IBGE_2!G$1261/100</f>
        <v>1.54</v>
      </c>
      <c r="H1261" s="142">
        <f>B1261*IBGE_2!H$1261/100</f>
        <v>0.98</v>
      </c>
      <c r="I1261" s="142">
        <f>B1261*IBGE_2!I$1261/100</f>
        <v>0.74</v>
      </c>
      <c r="J1261" s="142">
        <f>B1261*IBGE_2!J$1261/100</f>
        <v>0.04</v>
      </c>
      <c r="K1261" s="142">
        <f>B1261*IBGE_2!K$1261/100</f>
        <v>85</v>
      </c>
      <c r="L1261" s="142" t="s">
        <v>3047</v>
      </c>
      <c r="M1261" s="142" t="s">
        <v>3047</v>
      </c>
      <c r="N1261" s="142">
        <f>B1261*IBGE_2!N$1261/100</f>
        <v>15</v>
      </c>
      <c r="O1261" s="142">
        <f>B1261*IBGE_2!O$1261/100</f>
        <v>27</v>
      </c>
      <c r="P1261" s="142">
        <f>B1261*IBGE_2!P$1261/100</f>
        <v>1.7000000000000001E-2</v>
      </c>
      <c r="Q1261" s="142">
        <f>B1261*IBGE_2!Q$1261/100</f>
        <v>216</v>
      </c>
      <c r="R1261" s="142">
        <f>B1261*IBGE_2!R$1261/100</f>
        <v>1.06</v>
      </c>
      <c r="S1261" s="142">
        <f>B1261*IBGE_2!S$1261/100</f>
        <v>77</v>
      </c>
      <c r="T1261" s="142">
        <f>B1261*IBGE_2!T$1261/100</f>
        <v>247</v>
      </c>
      <c r="U1261" s="142">
        <f>B1261*IBGE_2!U$1261/100</f>
        <v>0.05</v>
      </c>
      <c r="V1261" s="142">
        <f>B1261*IBGE_2!V$1261/100</f>
        <v>1.23</v>
      </c>
      <c r="W1261" s="142">
        <f>B1261*IBGE_2!W$1261/100</f>
        <v>9</v>
      </c>
      <c r="X1261" s="142">
        <f>B1261*IBGE_2!X$1261/100</f>
        <v>6.5000000000000002E-2</v>
      </c>
      <c r="Y1261" s="142">
        <f>B1261*IBGE_2!Y$1261/100</f>
        <v>0.11600000000000002</v>
      </c>
      <c r="Z1261" s="142">
        <f>B1261*IBGE_2!Z$1261/100</f>
        <v>0.6</v>
      </c>
      <c r="AA1261" s="142">
        <f>B1261*IBGE_2!AA$1261/100</f>
        <v>12.420999999999999</v>
      </c>
      <c r="AB1261" s="142" t="s">
        <v>3047</v>
      </c>
      <c r="AC1261" s="142">
        <f>B1261*IBGE_2!AC$1261/100</f>
        <v>18.437999999999999</v>
      </c>
      <c r="AD1261" s="142">
        <f>B1261*IBGE_2!AD$1261/100</f>
        <v>0.34</v>
      </c>
      <c r="AE1261" s="142">
        <f>B1261*IBGE_2!AE$1261/100</f>
        <v>4</v>
      </c>
      <c r="AF1261" s="142">
        <f>B1261*IBGE_2!AF$1261/100</f>
        <v>0.2</v>
      </c>
      <c r="AG1261" s="142">
        <f>B1261*IBGE_2!AG$1261/100</f>
        <v>0.27</v>
      </c>
      <c r="AH1261" s="142">
        <f>B1261*IBGE_2!AH$1261/100</f>
        <v>0.09</v>
      </c>
      <c r="AI1261" s="142">
        <f>B1261*IBGE_2!AI$1261/100</f>
        <v>333</v>
      </c>
      <c r="AJ1261" s="142">
        <f>B1261*IBGE_2!AJ$1261/100</f>
        <v>24.4</v>
      </c>
      <c r="AK1261" s="142">
        <f>B1261*IBGE_2!AK$1261/100</f>
        <v>9</v>
      </c>
      <c r="AL1261" s="142" t="s">
        <v>3047</v>
      </c>
      <c r="AM1261" s="142" t="s">
        <v>3047</v>
      </c>
      <c r="AN1261" s="161"/>
    </row>
    <row r="1262" spans="1:40">
      <c r="A1262" s="143" t="s">
        <v>2322</v>
      </c>
      <c r="B1262" s="141">
        <v>100</v>
      </c>
      <c r="C1262" s="142">
        <f>B1262*IBGE_2!C$1262/100</f>
        <v>173</v>
      </c>
      <c r="D1262" s="142">
        <f>B1262*IBGE_2!D$1262/100</f>
        <v>30.91</v>
      </c>
      <c r="E1262" s="142">
        <f>B1262*IBGE_2!E$1262/100</f>
        <v>4.51</v>
      </c>
      <c r="F1262" s="142">
        <f>B1262*IBGE_2!F$1262/100</f>
        <v>1.27</v>
      </c>
      <c r="G1262" s="142">
        <f>B1262*IBGE_2!G$1262/100</f>
        <v>1.54</v>
      </c>
      <c r="H1262" s="142">
        <f>B1262*IBGE_2!H$1262/100</f>
        <v>0.98</v>
      </c>
      <c r="I1262" s="142">
        <f>B1262*IBGE_2!I$1262/100</f>
        <v>0.74</v>
      </c>
      <c r="J1262" s="142">
        <f>B1262*IBGE_2!J$1262/100</f>
        <v>0.04</v>
      </c>
      <c r="K1262" s="142">
        <f>B1262*IBGE_2!K$1262/100</f>
        <v>85</v>
      </c>
      <c r="L1262" s="142" t="s">
        <v>3047</v>
      </c>
      <c r="M1262" s="142" t="s">
        <v>3047</v>
      </c>
      <c r="N1262" s="142">
        <f>B1262*IBGE_2!N$1262/100</f>
        <v>15</v>
      </c>
      <c r="O1262" s="142">
        <f>B1262*IBGE_2!O$1262/100</f>
        <v>27</v>
      </c>
      <c r="P1262" s="142">
        <f>B1262*IBGE_2!P$1262/100</f>
        <v>1.7000000000000001E-2</v>
      </c>
      <c r="Q1262" s="142">
        <f>B1262*IBGE_2!Q$1262/100</f>
        <v>216</v>
      </c>
      <c r="R1262" s="142">
        <f>B1262*IBGE_2!R$1262/100</f>
        <v>1.06</v>
      </c>
      <c r="S1262" s="142">
        <f>B1262*IBGE_2!S$1262/100</f>
        <v>77</v>
      </c>
      <c r="T1262" s="142">
        <f>B1262*IBGE_2!T$1262/100</f>
        <v>247</v>
      </c>
      <c r="U1262" s="142">
        <f>B1262*IBGE_2!U$1262/100</f>
        <v>0.05</v>
      </c>
      <c r="V1262" s="142">
        <f>B1262*IBGE_2!V$1262/100</f>
        <v>1.23</v>
      </c>
      <c r="W1262" s="142">
        <f>B1262*IBGE_2!W$1262/100</f>
        <v>9</v>
      </c>
      <c r="X1262" s="142">
        <f>B1262*IBGE_2!X$1262/100</f>
        <v>6.5000000000000002E-2</v>
      </c>
      <c r="Y1262" s="142">
        <f>B1262*IBGE_2!Y$1262/100</f>
        <v>0.11600000000000002</v>
      </c>
      <c r="Z1262" s="142">
        <f>B1262*IBGE_2!Z$1262/100</f>
        <v>0.6</v>
      </c>
      <c r="AA1262" s="142">
        <f>B1262*IBGE_2!AA$1262/100</f>
        <v>12.420999999999999</v>
      </c>
      <c r="AB1262" s="142" t="s">
        <v>3047</v>
      </c>
      <c r="AC1262" s="142">
        <f>B1262*IBGE_2!AC$1262/100</f>
        <v>18.437999999999999</v>
      </c>
      <c r="AD1262" s="142">
        <f>B1262*IBGE_2!AD$1262/100</f>
        <v>0.34</v>
      </c>
      <c r="AE1262" s="142">
        <f>B1262*IBGE_2!AE$1262/100</f>
        <v>4</v>
      </c>
      <c r="AF1262" s="142">
        <f>B1262*IBGE_2!AF$1262/100</f>
        <v>0.2</v>
      </c>
      <c r="AG1262" s="142">
        <f>B1262*IBGE_2!AG$1262/100</f>
        <v>0.27</v>
      </c>
      <c r="AH1262" s="142">
        <f>B1262*IBGE_2!AH$1262/100</f>
        <v>0.09</v>
      </c>
      <c r="AI1262" s="142">
        <f>B1262*IBGE_2!AI$1262/100</f>
        <v>333</v>
      </c>
      <c r="AJ1262" s="142">
        <f>B1262*IBGE_2!AJ$1262/100</f>
        <v>24.4</v>
      </c>
      <c r="AK1262" s="142">
        <f>B1262*IBGE_2!AK$1262/100</f>
        <v>9</v>
      </c>
      <c r="AL1262" s="142" t="s">
        <v>3047</v>
      </c>
      <c r="AM1262" s="142" t="s">
        <v>3047</v>
      </c>
      <c r="AN1262" s="161"/>
    </row>
    <row r="1263" spans="1:40">
      <c r="A1263" s="143" t="s">
        <v>2323</v>
      </c>
      <c r="B1263" s="141">
        <v>100</v>
      </c>
      <c r="C1263" s="142">
        <f>B1263*IBGE_2!C$1263/100</f>
        <v>173</v>
      </c>
      <c r="D1263" s="142">
        <f>B1263*IBGE_2!D$1263/100</f>
        <v>30.91</v>
      </c>
      <c r="E1263" s="142">
        <f>B1263*IBGE_2!E$1263/100</f>
        <v>4.51</v>
      </c>
      <c r="F1263" s="142">
        <f>B1263*IBGE_2!F$1263/100</f>
        <v>1.27</v>
      </c>
      <c r="G1263" s="142">
        <f>B1263*IBGE_2!G$1263/100</f>
        <v>1.54</v>
      </c>
      <c r="H1263" s="142">
        <f>B1263*IBGE_2!H$1263/100</f>
        <v>0.98</v>
      </c>
      <c r="I1263" s="142">
        <f>B1263*IBGE_2!I$1263/100</f>
        <v>0.74</v>
      </c>
      <c r="J1263" s="142">
        <f>B1263*IBGE_2!J$1263/100</f>
        <v>0.04</v>
      </c>
      <c r="K1263" s="142">
        <f>B1263*IBGE_2!K$1263/100</f>
        <v>85</v>
      </c>
      <c r="L1263" s="142" t="s">
        <v>3047</v>
      </c>
      <c r="M1263" s="142" t="s">
        <v>3047</v>
      </c>
      <c r="N1263" s="142">
        <f>B1263*IBGE_2!N$1263/100</f>
        <v>15</v>
      </c>
      <c r="O1263" s="142">
        <f>B1263*IBGE_2!O$1263/100</f>
        <v>27</v>
      </c>
      <c r="P1263" s="142">
        <f>B1263*IBGE_2!P$1263/100</f>
        <v>1.7000000000000001E-2</v>
      </c>
      <c r="Q1263" s="142">
        <f>B1263*IBGE_2!Q$1263/100</f>
        <v>216</v>
      </c>
      <c r="R1263" s="142">
        <f>B1263*IBGE_2!R$1263/100</f>
        <v>1.06</v>
      </c>
      <c r="S1263" s="142">
        <f>B1263*IBGE_2!S$1263/100</f>
        <v>77</v>
      </c>
      <c r="T1263" s="142">
        <f>B1263*IBGE_2!T$1263/100</f>
        <v>247</v>
      </c>
      <c r="U1263" s="142">
        <f>B1263*IBGE_2!U$1263/100</f>
        <v>0.05</v>
      </c>
      <c r="V1263" s="142">
        <f>B1263*IBGE_2!V$1263/100</f>
        <v>1.23</v>
      </c>
      <c r="W1263" s="142">
        <f>B1263*IBGE_2!W$1263/100</f>
        <v>9</v>
      </c>
      <c r="X1263" s="142">
        <f>B1263*IBGE_2!X$1263/100</f>
        <v>6.5000000000000002E-2</v>
      </c>
      <c r="Y1263" s="142">
        <f>B1263*IBGE_2!Y$1263/100</f>
        <v>0.11600000000000002</v>
      </c>
      <c r="Z1263" s="142">
        <f>B1263*IBGE_2!Z$1263/100</f>
        <v>0.6</v>
      </c>
      <c r="AA1263" s="142">
        <f>B1263*IBGE_2!AA$1263/100</f>
        <v>12.420999999999999</v>
      </c>
      <c r="AB1263" s="142" t="s">
        <v>3047</v>
      </c>
      <c r="AC1263" s="142">
        <f>B1263*IBGE_2!AC$1263/100</f>
        <v>18.437999999999999</v>
      </c>
      <c r="AD1263" s="142">
        <f>B1263*IBGE_2!AD$1263/100</f>
        <v>0.34</v>
      </c>
      <c r="AE1263" s="142">
        <f>B1263*IBGE_2!AE$1263/100</f>
        <v>4</v>
      </c>
      <c r="AF1263" s="142">
        <f>B1263*IBGE_2!AF$1263/100</f>
        <v>0.2</v>
      </c>
      <c r="AG1263" s="142">
        <f>B1263*IBGE_2!AG$1263/100</f>
        <v>0.27</v>
      </c>
      <c r="AH1263" s="142">
        <f>B1263*IBGE_2!AH$1263/100</f>
        <v>0.09</v>
      </c>
      <c r="AI1263" s="142">
        <f>B1263*IBGE_2!AI$1263/100</f>
        <v>333</v>
      </c>
      <c r="AJ1263" s="142">
        <f>B1263*IBGE_2!AJ$1263/100</f>
        <v>24.4</v>
      </c>
      <c r="AK1263" s="142">
        <f>B1263*IBGE_2!AK$1263/100</f>
        <v>9</v>
      </c>
      <c r="AL1263" s="142" t="s">
        <v>3047</v>
      </c>
      <c r="AM1263" s="142" t="s">
        <v>3047</v>
      </c>
      <c r="AN1263" s="161"/>
    </row>
    <row r="1264" spans="1:40">
      <c r="A1264" s="143" t="s">
        <v>2324</v>
      </c>
      <c r="B1264" s="141">
        <v>100</v>
      </c>
      <c r="C1264" s="142">
        <f>B1264*IBGE_2!C$1264/100</f>
        <v>195.65899999999999</v>
      </c>
      <c r="D1264" s="142">
        <f>B1264*IBGE_2!D$1264/100</f>
        <v>30.91</v>
      </c>
      <c r="E1264" s="142">
        <f>B1264*IBGE_2!E$1264/100</f>
        <v>7.0730000000000004</v>
      </c>
      <c r="F1264" s="142">
        <f>B1264*IBGE_2!F$1264/100</f>
        <v>1.671</v>
      </c>
      <c r="G1264" s="142">
        <f>B1264*IBGE_2!G$1264/100</f>
        <v>2.1240000000000001</v>
      </c>
      <c r="H1264" s="142">
        <f>B1264*IBGE_2!H$1264/100</f>
        <v>2.46</v>
      </c>
      <c r="I1264" s="142">
        <f>B1264*IBGE_2!I$1264/100</f>
        <v>2.0459999999999998</v>
      </c>
      <c r="J1264" s="142">
        <f>B1264*IBGE_2!J$1264/100</f>
        <v>0.214</v>
      </c>
      <c r="K1264" s="142">
        <f>B1264*IBGE_2!K$1264/100</f>
        <v>85</v>
      </c>
      <c r="L1264" s="142" t="s">
        <v>3047</v>
      </c>
      <c r="M1264" s="142" t="s">
        <v>3047</v>
      </c>
      <c r="N1264" s="142">
        <f>B1264*IBGE_2!N$1264/100</f>
        <v>15</v>
      </c>
      <c r="O1264" s="142">
        <f>B1264*IBGE_2!O$1264/100</f>
        <v>27</v>
      </c>
      <c r="P1264" s="142">
        <f>B1264*IBGE_2!P$1264/100</f>
        <v>1.7000000000000001E-2</v>
      </c>
      <c r="Q1264" s="142">
        <f>B1264*IBGE_2!Q$1264/100</f>
        <v>216</v>
      </c>
      <c r="R1264" s="142">
        <f>B1264*IBGE_2!R$1264/100</f>
        <v>1.0609999999999999</v>
      </c>
      <c r="S1264" s="142">
        <f>B1264*IBGE_2!S$1264/100</f>
        <v>77</v>
      </c>
      <c r="T1264" s="142">
        <f>B1264*IBGE_2!T$1264/100</f>
        <v>247</v>
      </c>
      <c r="U1264" s="142">
        <f>B1264*IBGE_2!U$1264/100</f>
        <v>0.05</v>
      </c>
      <c r="V1264" s="142">
        <f>B1264*IBGE_2!V$1264/100</f>
        <v>1.23</v>
      </c>
      <c r="W1264" s="142">
        <f>B1264*IBGE_2!W$1264/100</f>
        <v>9</v>
      </c>
      <c r="X1264" s="142">
        <f>B1264*IBGE_2!X$1264/100</f>
        <v>6.5000000000000002E-2</v>
      </c>
      <c r="Y1264" s="142">
        <f>B1264*IBGE_2!Y$1264/100</f>
        <v>0.11600000000000002</v>
      </c>
      <c r="Z1264" s="142">
        <f>B1264*IBGE_2!Z$1264/100</f>
        <v>0.6</v>
      </c>
      <c r="AA1264" s="142">
        <f>B1264*IBGE_2!AA$1264/100</f>
        <v>12.420999999999999</v>
      </c>
      <c r="AB1264" s="142" t="s">
        <v>3047</v>
      </c>
      <c r="AC1264" s="142">
        <f>B1264*IBGE_2!AC$1264/100</f>
        <v>18.437999999999999</v>
      </c>
      <c r="AD1264" s="142">
        <f>B1264*IBGE_2!AD$1264/100</f>
        <v>0.34</v>
      </c>
      <c r="AE1264" s="142">
        <f>B1264*IBGE_2!AE$1264/100</f>
        <v>4</v>
      </c>
      <c r="AF1264" s="142">
        <f>B1264*IBGE_2!AF$1264/100</f>
        <v>0.2</v>
      </c>
      <c r="AG1264" s="142">
        <f>B1264*IBGE_2!AG$1264/100</f>
        <v>0.48</v>
      </c>
      <c r="AH1264" s="142">
        <f>B1264*IBGE_2!AH$1264/100</f>
        <v>0.10400000000000001</v>
      </c>
      <c r="AI1264" s="142">
        <f>B1264*IBGE_2!AI$1264/100</f>
        <v>333</v>
      </c>
      <c r="AJ1264" s="142">
        <f>B1264*IBGE_2!AJ$1264/100</f>
        <v>25.574999999999999</v>
      </c>
      <c r="AK1264" s="142">
        <f>B1264*IBGE_2!AK$1264/100</f>
        <v>9</v>
      </c>
      <c r="AL1264" s="142" t="s">
        <v>3047</v>
      </c>
      <c r="AM1264" s="142" t="s">
        <v>3047</v>
      </c>
      <c r="AN1264" s="161"/>
    </row>
    <row r="1265" spans="1:40">
      <c r="A1265" s="143" t="s">
        <v>2325</v>
      </c>
      <c r="B1265" s="141">
        <v>100</v>
      </c>
      <c r="C1265" s="142">
        <f>B1265*IBGE_2!C$1265/100</f>
        <v>211.83699999999996</v>
      </c>
      <c r="D1265" s="142">
        <f>B1265*IBGE_2!D$1265/100</f>
        <v>31.369</v>
      </c>
      <c r="E1265" s="142">
        <f>B1265*IBGE_2!E$1265/100</f>
        <v>7.1170000000000009</v>
      </c>
      <c r="F1265" s="142">
        <f>B1265*IBGE_2!F$1265/100</f>
        <v>1.6779999999999999</v>
      </c>
      <c r="G1265" s="142">
        <f>B1265*IBGE_2!G$1265/100</f>
        <v>2.1280000000000001</v>
      </c>
      <c r="H1265" s="142">
        <f>B1265*IBGE_2!H$1265/100</f>
        <v>2.4780000000000002</v>
      </c>
      <c r="I1265" s="142">
        <f>B1265*IBGE_2!I$1265/100</f>
        <v>2.0630000000000002</v>
      </c>
      <c r="J1265" s="142">
        <f>B1265*IBGE_2!J$1265/100</f>
        <v>0.215</v>
      </c>
      <c r="K1265" s="142">
        <f>B1265*IBGE_2!K$1265/100</f>
        <v>85</v>
      </c>
      <c r="L1265" s="142">
        <f>B1265*IBGE_2!L$1265/100</f>
        <v>3.3919999999999999</v>
      </c>
      <c r="M1265" s="142">
        <f>B1265*IBGE_2!M$1265/100</f>
        <v>0.13500000000000001</v>
      </c>
      <c r="N1265" s="142">
        <f>B1265*IBGE_2!N$1265/100</f>
        <v>15.667</v>
      </c>
      <c r="O1265" s="142">
        <f>B1265*IBGE_2!O$1265/100</f>
        <v>27.978000000000002</v>
      </c>
      <c r="P1265" s="142">
        <f>B1265*IBGE_2!P$1265/100</f>
        <v>4.7E-2</v>
      </c>
      <c r="Q1265" s="142">
        <f>B1265*IBGE_2!Q$1265/100</f>
        <v>220.8</v>
      </c>
      <c r="R1265" s="142">
        <f>B1265*IBGE_2!R$1265/100</f>
        <v>1.268</v>
      </c>
      <c r="S1265" s="142">
        <f>B1265*IBGE_2!S$1265/100</f>
        <v>77.088999999999999</v>
      </c>
      <c r="T1265" s="142">
        <f>B1265*IBGE_2!T$1265/100</f>
        <v>251.75599999999997</v>
      </c>
      <c r="U1265" s="142">
        <f>B1265*IBGE_2!U$1265/100</f>
        <v>5.6000000000000008E-2</v>
      </c>
      <c r="V1265" s="142">
        <f>B1265*IBGE_2!V$1265/100</f>
        <v>1.2609999999999999</v>
      </c>
      <c r="W1265" s="142">
        <f>B1265*IBGE_2!W$1265/100</f>
        <v>9</v>
      </c>
      <c r="X1265" s="142">
        <f>B1265*IBGE_2!X$1265/100</f>
        <v>0.1</v>
      </c>
      <c r="Y1265" s="142">
        <f>B1265*IBGE_2!Y$1265/100</f>
        <v>0.13800000000000001</v>
      </c>
      <c r="Z1265" s="142">
        <f>B1265*IBGE_2!Z$1265/100</f>
        <v>0.60199999999999998</v>
      </c>
      <c r="AA1265" s="142">
        <f>B1265*IBGE_2!AA$1265/100</f>
        <v>12.683</v>
      </c>
      <c r="AB1265" s="142" t="s">
        <v>3047</v>
      </c>
      <c r="AC1265" s="142">
        <f>B1265*IBGE_2!AC$1265/100</f>
        <v>18.794</v>
      </c>
      <c r="AD1265" s="142">
        <f>B1265*IBGE_2!AD$1265/100</f>
        <v>0.34</v>
      </c>
      <c r="AE1265" s="142">
        <f>B1265*IBGE_2!AE$1265/100</f>
        <v>13.067</v>
      </c>
      <c r="AF1265" s="142">
        <f>B1265*IBGE_2!AF$1265/100</f>
        <v>0.2</v>
      </c>
      <c r="AG1265" s="142">
        <f>B1265*IBGE_2!AG$1265/100</f>
        <v>0.48199999999999998</v>
      </c>
      <c r="AH1265" s="142">
        <f>B1265*IBGE_2!AH$1265/100</f>
        <v>0.10400000000000001</v>
      </c>
      <c r="AI1265" s="142">
        <f>B1265*IBGE_2!AI$1265/100</f>
        <v>333</v>
      </c>
      <c r="AJ1265" s="142">
        <f>B1265*IBGE_2!AJ$1265/100</f>
        <v>27.081</v>
      </c>
      <c r="AK1265" s="142">
        <f>B1265*IBGE_2!AK$1265/100</f>
        <v>9</v>
      </c>
      <c r="AL1265" s="142">
        <f>B1265*IBGE_2!AL$1265/100</f>
        <v>1.4000000000000002E-2</v>
      </c>
      <c r="AM1265" s="142" t="s">
        <v>3047</v>
      </c>
      <c r="AN1265" s="161"/>
    </row>
    <row r="1266" spans="1:40">
      <c r="A1266" s="143" t="s">
        <v>2326</v>
      </c>
      <c r="B1266" s="141">
        <v>100</v>
      </c>
      <c r="C1266" s="142">
        <f>B1266*IBGE_2!C$1266/100</f>
        <v>195.65899999999999</v>
      </c>
      <c r="D1266" s="142">
        <f>B1266*IBGE_2!D$1266/100</f>
        <v>30.91</v>
      </c>
      <c r="E1266" s="142">
        <f>B1266*IBGE_2!E$1266/100</f>
        <v>7.0730000000000004</v>
      </c>
      <c r="F1266" s="142">
        <f>B1266*IBGE_2!F$1266/100</f>
        <v>1.671</v>
      </c>
      <c r="G1266" s="142">
        <f>B1266*IBGE_2!G$1266/100</f>
        <v>2.1240000000000001</v>
      </c>
      <c r="H1266" s="142">
        <f>B1266*IBGE_2!H$1266/100</f>
        <v>2.46</v>
      </c>
      <c r="I1266" s="142">
        <f>B1266*IBGE_2!I$1266/100</f>
        <v>2.0459999999999998</v>
      </c>
      <c r="J1266" s="142">
        <f>B1266*IBGE_2!J$1266/100</f>
        <v>0.214</v>
      </c>
      <c r="K1266" s="142">
        <f>B1266*IBGE_2!K$1266/100</f>
        <v>85</v>
      </c>
      <c r="L1266" s="142" t="s">
        <v>3047</v>
      </c>
      <c r="M1266" s="142" t="s">
        <v>3047</v>
      </c>
      <c r="N1266" s="142">
        <f>B1266*IBGE_2!N$1266/100</f>
        <v>15</v>
      </c>
      <c r="O1266" s="142">
        <f>B1266*IBGE_2!O$1266/100</f>
        <v>27</v>
      </c>
      <c r="P1266" s="142">
        <f>B1266*IBGE_2!P$1266/100</f>
        <v>1.7000000000000001E-2</v>
      </c>
      <c r="Q1266" s="142">
        <f>B1266*IBGE_2!Q$1266/100</f>
        <v>216</v>
      </c>
      <c r="R1266" s="142">
        <f>B1266*IBGE_2!R$1266/100</f>
        <v>1.0609999999999999</v>
      </c>
      <c r="S1266" s="142">
        <f>B1266*IBGE_2!S$1266/100</f>
        <v>77</v>
      </c>
      <c r="T1266" s="142">
        <f>B1266*IBGE_2!T$1266/100</f>
        <v>247</v>
      </c>
      <c r="U1266" s="142">
        <f>B1266*IBGE_2!U$1266/100</f>
        <v>0.05</v>
      </c>
      <c r="V1266" s="142">
        <f>B1266*IBGE_2!V$1266/100</f>
        <v>1.23</v>
      </c>
      <c r="W1266" s="142">
        <f>B1266*IBGE_2!W$1266/100</f>
        <v>9</v>
      </c>
      <c r="X1266" s="142">
        <f>B1266*IBGE_2!X$1266/100</f>
        <v>6.5000000000000002E-2</v>
      </c>
      <c r="Y1266" s="142">
        <f>B1266*IBGE_2!Y$1266/100</f>
        <v>0.11600000000000002</v>
      </c>
      <c r="Z1266" s="142">
        <f>B1266*IBGE_2!Z$1266/100</f>
        <v>0.6</v>
      </c>
      <c r="AA1266" s="142">
        <f>B1266*IBGE_2!AA$1266/100</f>
        <v>12.420999999999999</v>
      </c>
      <c r="AB1266" s="142" t="s">
        <v>3047</v>
      </c>
      <c r="AC1266" s="142">
        <f>B1266*IBGE_2!AC$1266/100</f>
        <v>18.437999999999999</v>
      </c>
      <c r="AD1266" s="142">
        <f>B1266*IBGE_2!AD$1266/100</f>
        <v>0.34</v>
      </c>
      <c r="AE1266" s="142">
        <f>B1266*IBGE_2!AE$1266/100</f>
        <v>4</v>
      </c>
      <c r="AF1266" s="142">
        <f>B1266*IBGE_2!AF$1266/100</f>
        <v>0.2</v>
      </c>
      <c r="AG1266" s="142">
        <f>B1266*IBGE_2!AG$1266/100</f>
        <v>0.48</v>
      </c>
      <c r="AH1266" s="142">
        <f>B1266*IBGE_2!AH$1266/100</f>
        <v>0.10400000000000001</v>
      </c>
      <c r="AI1266" s="142">
        <f>B1266*IBGE_2!AI$1266/100</f>
        <v>333</v>
      </c>
      <c r="AJ1266" s="142">
        <f>B1266*IBGE_2!AJ$1266/100</f>
        <v>25.574999999999999</v>
      </c>
      <c r="AK1266" s="142">
        <f>B1266*IBGE_2!AK$1266/100</f>
        <v>9</v>
      </c>
      <c r="AL1266" s="145" t="s">
        <v>3047</v>
      </c>
      <c r="AM1266" s="142" t="s">
        <v>3047</v>
      </c>
      <c r="AN1266" s="161"/>
    </row>
    <row r="1267" spans="1:40">
      <c r="A1267" s="143" t="s">
        <v>2327</v>
      </c>
      <c r="B1267" s="141">
        <v>100</v>
      </c>
      <c r="C1267" s="142">
        <f>B1267*IBGE_2!C$1267/100</f>
        <v>143.19999999999999</v>
      </c>
      <c r="D1267" s="142">
        <f>B1267*IBGE_2!D$1267/100</f>
        <v>24.992000000000004</v>
      </c>
      <c r="E1267" s="142">
        <f>B1267*IBGE_2!E$1267/100</f>
        <v>3.6440000000000001</v>
      </c>
      <c r="F1267" s="142">
        <f>B1267*IBGE_2!F$1267/100</f>
        <v>1.0209999999999999</v>
      </c>
      <c r="G1267" s="142">
        <f>B1267*IBGE_2!G$1267/100</f>
        <v>1.2370000000000001</v>
      </c>
      <c r="H1267" s="142">
        <f>B1267*IBGE_2!H$1267/100</f>
        <v>0.79900000000000004</v>
      </c>
      <c r="I1267" s="142">
        <f>B1267*IBGE_2!I$1267/100</f>
        <v>0.60599999999999998</v>
      </c>
      <c r="J1267" s="142">
        <f>B1267*IBGE_2!J$1267/100</f>
        <v>3.3000000000000002E-2</v>
      </c>
      <c r="K1267" s="142">
        <f>B1267*IBGE_2!K$1267/100</f>
        <v>68</v>
      </c>
      <c r="L1267" s="142">
        <f>B1267*IBGE_2!L$1267/100</f>
        <v>1.0760000000000001</v>
      </c>
      <c r="M1267" s="142">
        <f>B1267*IBGE_2!M$1267/100</f>
        <v>0.3</v>
      </c>
      <c r="N1267" s="142">
        <f>B1267*IBGE_2!N$1267/100</f>
        <v>14.6</v>
      </c>
      <c r="O1267" s="142">
        <f>B1267*IBGE_2!O$1267/100</f>
        <v>24.8</v>
      </c>
      <c r="P1267" s="142">
        <f>B1267*IBGE_2!P$1267/100</f>
        <v>3.5000000000000003E-2</v>
      </c>
      <c r="Q1267" s="142">
        <f>B1267*IBGE_2!Q$1267/100</f>
        <v>178</v>
      </c>
      <c r="R1267" s="142">
        <f>B1267*IBGE_2!R$1267/100</f>
        <v>1.052</v>
      </c>
      <c r="S1267" s="142">
        <f>B1267*IBGE_2!S$1267/100</f>
        <v>166.4</v>
      </c>
      <c r="T1267" s="142">
        <f>B1267*IBGE_2!T$1267/100</f>
        <v>263.8</v>
      </c>
      <c r="U1267" s="142">
        <f>B1267*IBGE_2!U$1267/100</f>
        <v>6.3E-2</v>
      </c>
      <c r="V1267" s="142">
        <f>B1267*IBGE_2!V$1267/100</f>
        <v>1.024</v>
      </c>
      <c r="W1267" s="142">
        <f>B1267*IBGE_2!W$1267/100</f>
        <v>7.2</v>
      </c>
      <c r="X1267" s="142">
        <f>B1267*IBGE_2!X$1267/100</f>
        <v>5.7000000000000002E-2</v>
      </c>
      <c r="Y1267" s="142">
        <f>B1267*IBGE_2!Y$1267/100</f>
        <v>0.106</v>
      </c>
      <c r="Z1267" s="142">
        <f>B1267*IBGE_2!Z$1267/100</f>
        <v>0.499</v>
      </c>
      <c r="AA1267" s="142">
        <f>B1267*IBGE_2!AA$1267/100</f>
        <v>10.132</v>
      </c>
      <c r="AB1267" s="142">
        <f>B1267*IBGE_2!AB$1267/100</f>
        <v>1.4</v>
      </c>
      <c r="AC1267" s="142">
        <f>B1267*IBGE_2!AC$1267/100</f>
        <v>14.978</v>
      </c>
      <c r="AD1267" s="142">
        <f>B1267*IBGE_2!AD$1267/100</f>
        <v>0.27200000000000002</v>
      </c>
      <c r="AE1267" s="142">
        <f>B1267*IBGE_2!AE$1267/100</f>
        <v>5.4</v>
      </c>
      <c r="AF1267" s="142">
        <f>B1267*IBGE_2!AF$1267/100</f>
        <v>0.16</v>
      </c>
      <c r="AG1267" s="142">
        <f>B1267*IBGE_2!AG$1267/100</f>
        <v>0.5</v>
      </c>
      <c r="AH1267" s="142">
        <f>B1267*IBGE_2!AH$1267/100</f>
        <v>7.1999999999999995E-2</v>
      </c>
      <c r="AI1267" s="142">
        <f>B1267*IBGE_2!AI$1267/100</f>
        <v>333</v>
      </c>
      <c r="AJ1267" s="142">
        <f>B1267*IBGE_2!AJ$1267/100</f>
        <v>19.559999999999999</v>
      </c>
      <c r="AK1267" s="142">
        <f>B1267*IBGE_2!AK$1267/100</f>
        <v>10.683</v>
      </c>
      <c r="AL1267" s="142">
        <f>B1267*IBGE_2!AL$1267/100</f>
        <v>0.85</v>
      </c>
      <c r="AM1267" s="142" t="s">
        <v>3047</v>
      </c>
      <c r="AN1267" s="161"/>
    </row>
    <row r="1268" spans="1:40">
      <c r="A1268" s="143" t="s">
        <v>2328</v>
      </c>
      <c r="B1268" s="141">
        <v>100</v>
      </c>
      <c r="C1268" s="142">
        <f>B1268*IBGE_2!C$1268/100</f>
        <v>170.99</v>
      </c>
      <c r="D1268" s="142">
        <f>B1268*IBGE_2!D$1268/100</f>
        <v>25.507000000000001</v>
      </c>
      <c r="E1268" s="142">
        <f>B1268*IBGE_2!E$1268/100</f>
        <v>6.0970000000000004</v>
      </c>
      <c r="F1268" s="142">
        <f>B1268*IBGE_2!F$1268/100</f>
        <v>2.548</v>
      </c>
      <c r="G1268" s="142">
        <f>B1268*IBGE_2!G$1268/100</f>
        <v>1.869</v>
      </c>
      <c r="H1268" s="142">
        <f>B1268*IBGE_2!H$1268/100</f>
        <v>0.89700000000000002</v>
      </c>
      <c r="I1268" s="142">
        <f>B1268*IBGE_2!I$1268/100</f>
        <v>0.68200000000000005</v>
      </c>
      <c r="J1268" s="142">
        <f>B1268*IBGE_2!J$1268/100</f>
        <v>5.4000000000000006E-2</v>
      </c>
      <c r="K1268" s="142">
        <f>B1268*IBGE_2!K$1268/100</f>
        <v>74.832999999999998</v>
      </c>
      <c r="L1268" s="142">
        <f>B1268*IBGE_2!L$1268/100</f>
        <v>1.851</v>
      </c>
      <c r="M1268" s="142">
        <f>B1268*IBGE_2!M$1268/100</f>
        <v>4.2999999999999997E-2</v>
      </c>
      <c r="N1268" s="142">
        <f>B1268*IBGE_2!N$1268/100</f>
        <v>34.878999999999998</v>
      </c>
      <c r="O1268" s="142">
        <f>B1268*IBGE_2!O$1268/100</f>
        <v>23.911999999999999</v>
      </c>
      <c r="P1268" s="142">
        <f>B1268*IBGE_2!P$1268/100</f>
        <v>2.4E-2</v>
      </c>
      <c r="Q1268" s="142">
        <f>B1268*IBGE_2!Q$1268/100</f>
        <v>192.49299999999999</v>
      </c>
      <c r="R1268" s="142">
        <f>B1268*IBGE_2!R$1268/100</f>
        <v>0.91799999999999993</v>
      </c>
      <c r="S1268" s="142">
        <f>B1268*IBGE_2!S$1268/100</f>
        <v>82.516999999999996</v>
      </c>
      <c r="T1268" s="142">
        <f>B1268*IBGE_2!T$1268/100</f>
        <v>227.65400000000002</v>
      </c>
      <c r="U1268" s="142">
        <f>B1268*IBGE_2!U$1268/100</f>
        <v>4.3999999999999997E-2</v>
      </c>
      <c r="V1268" s="142">
        <f>B1268*IBGE_2!V$1268/100</f>
        <v>1.073</v>
      </c>
      <c r="W1268" s="142">
        <f>B1268*IBGE_2!W$1268/100</f>
        <v>27.896999999999998</v>
      </c>
      <c r="X1268" s="142">
        <f>B1268*IBGE_2!X$1268/100</f>
        <v>7.0999999999999994E-2</v>
      </c>
      <c r="Y1268" s="142">
        <f>B1268*IBGE_2!Y$1268/100</f>
        <v>0.13600000000000001</v>
      </c>
      <c r="Z1268" s="142">
        <f>B1268*IBGE_2!Z$1268/100</f>
        <v>0.48799999999999999</v>
      </c>
      <c r="AA1268" s="142">
        <f>B1268*IBGE_2!AA$1268/100</f>
        <v>10.032999999999999</v>
      </c>
      <c r="AB1268" s="142">
        <f>B1268*IBGE_2!AB$1268/100</f>
        <v>4.0000000000000001E-3</v>
      </c>
      <c r="AC1268" s="142">
        <f>B1268*IBGE_2!AC$1268/100</f>
        <v>15.121000000000002</v>
      </c>
      <c r="AD1268" s="142">
        <f>B1268*IBGE_2!AD$1268/100</f>
        <v>0.36199999999999993</v>
      </c>
      <c r="AE1268" s="142">
        <f>B1268*IBGE_2!AE$1268/100</f>
        <v>6.7960000000000003</v>
      </c>
      <c r="AF1268" s="142">
        <f>B1268*IBGE_2!AF$1268/100</f>
        <v>0.38700000000000001</v>
      </c>
      <c r="AG1268" s="142">
        <f>B1268*IBGE_2!AG$1268/100</f>
        <v>0.28100000000000003</v>
      </c>
      <c r="AH1268" s="142">
        <f>B1268*IBGE_2!AH$1268/100</f>
        <v>0.16900000000000001</v>
      </c>
      <c r="AI1268" s="142">
        <f>B1268*IBGE_2!AI$1268/100</f>
        <v>333</v>
      </c>
      <c r="AJ1268" s="142">
        <f>B1268*IBGE_2!AJ$1268/100</f>
        <v>20.689</v>
      </c>
      <c r="AK1268" s="142">
        <f>B1268*IBGE_2!AK$1268/100</f>
        <v>28.280999999999999</v>
      </c>
      <c r="AL1268" s="142">
        <f>B1268*IBGE_2!AL$1268/100</f>
        <v>1.0329999999999999</v>
      </c>
      <c r="AM1268" s="142" t="s">
        <v>3047</v>
      </c>
      <c r="AN1268" s="161"/>
    </row>
    <row r="1269" spans="1:40">
      <c r="A1269" s="143" t="s">
        <v>2329</v>
      </c>
      <c r="B1269" s="141">
        <v>100</v>
      </c>
      <c r="C1269" s="142">
        <f>B1269*IBGE_2!C$1269/100</f>
        <v>195.65899999999999</v>
      </c>
      <c r="D1269" s="142">
        <f>B1269*IBGE_2!D$1269/100</f>
        <v>30.91</v>
      </c>
      <c r="E1269" s="142">
        <f>B1269*IBGE_2!E$1269/100</f>
        <v>7.0730000000000004</v>
      </c>
      <c r="F1269" s="142">
        <f>B1269*IBGE_2!F$1269/100</f>
        <v>1.671</v>
      </c>
      <c r="G1269" s="142">
        <f>B1269*IBGE_2!G$1269/100</f>
        <v>2.1240000000000001</v>
      </c>
      <c r="H1269" s="142">
        <f>B1269*IBGE_2!H$1269/100</f>
        <v>2.46</v>
      </c>
      <c r="I1269" s="142">
        <f>B1269*IBGE_2!I$1269/100</f>
        <v>2.0459999999999998</v>
      </c>
      <c r="J1269" s="142">
        <f>B1269*IBGE_2!J$1269/100</f>
        <v>0.214</v>
      </c>
      <c r="K1269" s="142">
        <f>B1269*IBGE_2!K$1269/100</f>
        <v>85</v>
      </c>
      <c r="L1269" s="142" t="s">
        <v>3047</v>
      </c>
      <c r="M1269" s="142" t="s">
        <v>3047</v>
      </c>
      <c r="N1269" s="142">
        <f>B1269*IBGE_2!N$1269/100</f>
        <v>15</v>
      </c>
      <c r="O1269" s="142">
        <f>B1269*IBGE_2!O$1269/100</f>
        <v>27</v>
      </c>
      <c r="P1269" s="142">
        <f>B1269*IBGE_2!P$1269/100</f>
        <v>1.7000000000000001E-2</v>
      </c>
      <c r="Q1269" s="142">
        <f>B1269*IBGE_2!Q$1269/100</f>
        <v>216</v>
      </c>
      <c r="R1269" s="142">
        <f>B1269*IBGE_2!R$1269/100</f>
        <v>1.0609999999999999</v>
      </c>
      <c r="S1269" s="142">
        <f>B1269*IBGE_2!S$1269/100</f>
        <v>77</v>
      </c>
      <c r="T1269" s="142">
        <f>B1269*IBGE_2!T$1269/100</f>
        <v>247</v>
      </c>
      <c r="U1269" s="142">
        <f>B1269*IBGE_2!U$1269/100</f>
        <v>0.05</v>
      </c>
      <c r="V1269" s="142">
        <f>B1269*IBGE_2!V$1269/100</f>
        <v>1.23</v>
      </c>
      <c r="W1269" s="142">
        <f>B1269*IBGE_2!W$1269/100</f>
        <v>9</v>
      </c>
      <c r="X1269" s="142">
        <f>B1269*IBGE_2!X$1269/100</f>
        <v>6.5000000000000002E-2</v>
      </c>
      <c r="Y1269" s="142">
        <f>B1269*IBGE_2!Y$1269/100</f>
        <v>0.11600000000000002</v>
      </c>
      <c r="Z1269" s="142">
        <f>B1269*IBGE_2!Z$1269/100</f>
        <v>0.6</v>
      </c>
      <c r="AA1269" s="142">
        <f>B1269*IBGE_2!AA$1269/100</f>
        <v>12.420999999999999</v>
      </c>
      <c r="AB1269" s="142" t="s">
        <v>3047</v>
      </c>
      <c r="AC1269" s="142">
        <f>B1269*IBGE_2!AC$1269/100</f>
        <v>18.437999999999999</v>
      </c>
      <c r="AD1269" s="142">
        <f>B1269*IBGE_2!AD$1269/100</f>
        <v>0.34</v>
      </c>
      <c r="AE1269" s="142">
        <f>B1269*IBGE_2!AE$1269/100</f>
        <v>4</v>
      </c>
      <c r="AF1269" s="142">
        <f>B1269*IBGE_2!AF$1269/100</f>
        <v>0.2</v>
      </c>
      <c r="AG1269" s="142">
        <f>B1269*IBGE_2!AG$1269/100</f>
        <v>0.48</v>
      </c>
      <c r="AH1269" s="142">
        <f>B1269*IBGE_2!AH$1269/100</f>
        <v>0.10400000000000001</v>
      </c>
      <c r="AI1269" s="142">
        <f>B1269*IBGE_2!AI$1269/100</f>
        <v>333</v>
      </c>
      <c r="AJ1269" s="142">
        <f>B1269*IBGE_2!AJ$1269/100</f>
        <v>25.574999999999999</v>
      </c>
      <c r="AK1269" s="142">
        <f>B1269*IBGE_2!AK$1269/100</f>
        <v>9</v>
      </c>
      <c r="AL1269" s="145" t="s">
        <v>3047</v>
      </c>
      <c r="AM1269" s="142" t="s">
        <v>3047</v>
      </c>
      <c r="AN1269" s="161"/>
    </row>
    <row r="1270" spans="1:40">
      <c r="A1270" s="143" t="s">
        <v>2330</v>
      </c>
      <c r="B1270" s="141">
        <v>100</v>
      </c>
      <c r="C1270" s="142">
        <f>B1270*IBGE_2!C$1270/100</f>
        <v>31.471</v>
      </c>
      <c r="D1270" s="142">
        <f>B1270*IBGE_2!D$1270/100</f>
        <v>1.6120000000000001</v>
      </c>
      <c r="E1270" s="142">
        <f>B1270*IBGE_2!E$1270/100</f>
        <v>1.0640000000000001</v>
      </c>
      <c r="F1270" s="142">
        <f>B1270*IBGE_2!F$1270/100</f>
        <v>0.309</v>
      </c>
      <c r="G1270" s="142">
        <f>B1270*IBGE_2!G$1270/100</f>
        <v>0.44700000000000001</v>
      </c>
      <c r="H1270" s="142">
        <f>B1270*IBGE_2!H$1270/100</f>
        <v>0.22800000000000001</v>
      </c>
      <c r="I1270" s="142">
        <f>B1270*IBGE_2!I$1270/100</f>
        <v>0.20599999999999999</v>
      </c>
      <c r="J1270" s="142">
        <f>B1270*IBGE_2!J$1270/100</f>
        <v>1.3000000000000001E-2</v>
      </c>
      <c r="K1270" s="142">
        <f>B1270*IBGE_2!K$1270/100</f>
        <v>3.194</v>
      </c>
      <c r="L1270" s="142">
        <f>B1270*IBGE_2!L$1270/100</f>
        <v>3.637</v>
      </c>
      <c r="M1270" s="142">
        <f>B1270*IBGE_2!M$1270/100</f>
        <v>0.128</v>
      </c>
      <c r="N1270" s="142">
        <f>B1270*IBGE_2!N$1270/100</f>
        <v>5.22</v>
      </c>
      <c r="O1270" s="142">
        <f>B1270*IBGE_2!O$1270/100</f>
        <v>3.2549999999999999</v>
      </c>
      <c r="P1270" s="142">
        <f>B1270*IBGE_2!P$1270/100</f>
        <v>8.3000000000000004E-2</v>
      </c>
      <c r="Q1270" s="142">
        <f>B1270*IBGE_2!Q$1270/100</f>
        <v>18.477</v>
      </c>
      <c r="R1270" s="142">
        <f>B1270*IBGE_2!R$1270/100</f>
        <v>0.23699999999999999</v>
      </c>
      <c r="S1270" s="142">
        <f>B1270*IBGE_2!S$1270/100</f>
        <v>343.654</v>
      </c>
      <c r="T1270" s="142">
        <f>B1270*IBGE_2!T$1270/100</f>
        <v>37.023000000000003</v>
      </c>
      <c r="U1270" s="142">
        <f>B1270*IBGE_2!U$1270/100</f>
        <v>2.7000000000000003E-2</v>
      </c>
      <c r="V1270" s="142">
        <f>B1270*IBGE_2!V$1270/100</f>
        <v>0.153</v>
      </c>
      <c r="W1270" s="142">
        <f>B1270*IBGE_2!W$1270/100</f>
        <v>0.46899999999999997</v>
      </c>
      <c r="X1270" s="142">
        <f>B1270*IBGE_2!X$1270/100</f>
        <v>2.4E-2</v>
      </c>
      <c r="Y1270" s="142">
        <f>B1270*IBGE_2!Y$1270/100</f>
        <v>1.4000000000000002E-2</v>
      </c>
      <c r="Z1270" s="142">
        <f>B1270*IBGE_2!Z$1270/100</f>
        <v>3.1E-2</v>
      </c>
      <c r="AA1270" s="142">
        <f>B1270*IBGE_2!AA$1270/100</f>
        <v>0.75</v>
      </c>
      <c r="AB1270" s="142">
        <f>B1270*IBGE_2!AB$1270/100</f>
        <v>0.105</v>
      </c>
      <c r="AC1270" s="142">
        <f>B1270*IBGE_2!AC$1270/100</f>
        <v>1.016</v>
      </c>
      <c r="AD1270" s="142">
        <f>B1270*IBGE_2!AD$1270/100</f>
        <v>3.1E-2</v>
      </c>
      <c r="AE1270" s="142">
        <f>B1270*IBGE_2!AE$1270/100</f>
        <v>6.0449999999999999</v>
      </c>
      <c r="AF1270" s="142">
        <f>B1270*IBGE_2!AF$1270/100</f>
        <v>1.2E-2</v>
      </c>
      <c r="AG1270" s="142">
        <f>B1270*IBGE_2!AG$1270/100</f>
        <v>6.6000000000000003E-2</v>
      </c>
      <c r="AH1270" s="142">
        <f>B1270*IBGE_2!AH$1270/100</f>
        <v>1.7000000000000001E-2</v>
      </c>
      <c r="AI1270" s="145" t="s">
        <v>3047</v>
      </c>
      <c r="AJ1270" s="142">
        <f>B1270*IBGE_2!AJ$1270/100</f>
        <v>1.55</v>
      </c>
      <c r="AK1270" s="142">
        <f>B1270*IBGE_2!AK$1270/100</f>
        <v>25.419</v>
      </c>
      <c r="AL1270" s="142">
        <f>B1270*IBGE_2!AL$1270/100</f>
        <v>0.105</v>
      </c>
      <c r="AM1270" s="142" t="s">
        <v>3047</v>
      </c>
      <c r="AN1270" s="161"/>
    </row>
    <row r="1271" spans="1:40">
      <c r="A1271" s="143" t="s">
        <v>2331</v>
      </c>
      <c r="B1271" s="141">
        <v>100</v>
      </c>
      <c r="C1271" s="142">
        <f>B1271*IBGE_2!C$1271/100</f>
        <v>173</v>
      </c>
      <c r="D1271" s="142">
        <f>B1271*IBGE_2!D$1271/100</f>
        <v>30.91</v>
      </c>
      <c r="E1271" s="142">
        <f>B1271*IBGE_2!E$1271/100</f>
        <v>4.51</v>
      </c>
      <c r="F1271" s="142">
        <f>B1271*IBGE_2!F$1271/100</f>
        <v>1.27</v>
      </c>
      <c r="G1271" s="142">
        <f>B1271*IBGE_2!G$1271/100</f>
        <v>1.54</v>
      </c>
      <c r="H1271" s="142">
        <f>B1271*IBGE_2!H$1271/100</f>
        <v>0.98</v>
      </c>
      <c r="I1271" s="142">
        <f>B1271*IBGE_2!I$1271/100</f>
        <v>0.74</v>
      </c>
      <c r="J1271" s="142">
        <f>B1271*IBGE_2!J$1271/100</f>
        <v>0.04</v>
      </c>
      <c r="K1271" s="142">
        <f>B1271*IBGE_2!K$1271/100</f>
        <v>85</v>
      </c>
      <c r="L1271" s="142" t="s">
        <v>3047</v>
      </c>
      <c r="M1271" s="142" t="s">
        <v>3047</v>
      </c>
      <c r="N1271" s="142">
        <f>B1271*IBGE_2!N$1271/100</f>
        <v>15</v>
      </c>
      <c r="O1271" s="142">
        <f>B1271*IBGE_2!O$1271/100</f>
        <v>27</v>
      </c>
      <c r="P1271" s="142">
        <f>B1271*IBGE_2!P$1271/100</f>
        <v>1.7000000000000001E-2</v>
      </c>
      <c r="Q1271" s="142">
        <f>B1271*IBGE_2!Q$1271/100</f>
        <v>216</v>
      </c>
      <c r="R1271" s="142">
        <f>B1271*IBGE_2!R$1271/100</f>
        <v>1.06</v>
      </c>
      <c r="S1271" s="142">
        <f>B1271*IBGE_2!S$1271/100</f>
        <v>77</v>
      </c>
      <c r="T1271" s="142">
        <f>B1271*IBGE_2!T$1271/100</f>
        <v>247</v>
      </c>
      <c r="U1271" s="142">
        <f>B1271*IBGE_2!U$1271/100</f>
        <v>0.05</v>
      </c>
      <c r="V1271" s="142">
        <f>B1271*IBGE_2!V$1271/100</f>
        <v>1.23</v>
      </c>
      <c r="W1271" s="142">
        <f>B1271*IBGE_2!W$1271/100</f>
        <v>9</v>
      </c>
      <c r="X1271" s="142">
        <f>B1271*IBGE_2!X$1271/100</f>
        <v>6.5000000000000002E-2</v>
      </c>
      <c r="Y1271" s="142">
        <f>B1271*IBGE_2!Y$1271/100</f>
        <v>0.11600000000000002</v>
      </c>
      <c r="Z1271" s="142">
        <f>B1271*IBGE_2!Z$1271/100</f>
        <v>0.6</v>
      </c>
      <c r="AA1271" s="142">
        <f>B1271*IBGE_2!AA$1271/100</f>
        <v>12.420999999999999</v>
      </c>
      <c r="AB1271" s="142" t="s">
        <v>3047</v>
      </c>
      <c r="AC1271" s="142">
        <f>B1271*IBGE_2!AC$1271/100</f>
        <v>18.437999999999999</v>
      </c>
      <c r="AD1271" s="142">
        <f>B1271*IBGE_2!AD$1271/100</f>
        <v>0.34</v>
      </c>
      <c r="AE1271" s="142">
        <f>B1271*IBGE_2!AE$1271/100</f>
        <v>4</v>
      </c>
      <c r="AF1271" s="142">
        <f>B1271*IBGE_2!AF$1271/100</f>
        <v>0.2</v>
      </c>
      <c r="AG1271" s="142">
        <f>B1271*IBGE_2!AG$1271/100</f>
        <v>0.27</v>
      </c>
      <c r="AH1271" s="142">
        <f>B1271*IBGE_2!AH$1271/100</f>
        <v>0.09</v>
      </c>
      <c r="AI1271" s="142">
        <f>B1271*IBGE_2!AI$1271/100</f>
        <v>333</v>
      </c>
      <c r="AJ1271" s="142">
        <f>B1271*IBGE_2!AJ$1271/100</f>
        <v>24.4</v>
      </c>
      <c r="AK1271" s="142">
        <f>B1271*IBGE_2!AK$1271/100</f>
        <v>9</v>
      </c>
      <c r="AL1271" s="142" t="s">
        <v>3047</v>
      </c>
      <c r="AM1271" s="142" t="s">
        <v>3047</v>
      </c>
      <c r="AN1271" s="161"/>
    </row>
    <row r="1272" spans="1:40">
      <c r="A1272" s="143" t="s">
        <v>2332</v>
      </c>
      <c r="B1272" s="141">
        <v>100</v>
      </c>
      <c r="C1272" s="142">
        <f>B1272*IBGE_2!C$1272/100</f>
        <v>173</v>
      </c>
      <c r="D1272" s="142">
        <f>B1272*IBGE_2!D$1272/100</f>
        <v>30.91</v>
      </c>
      <c r="E1272" s="142">
        <f>B1272*IBGE_2!E$1272/100</f>
        <v>4.51</v>
      </c>
      <c r="F1272" s="142">
        <f>B1272*IBGE_2!F$1272/100</f>
        <v>1.27</v>
      </c>
      <c r="G1272" s="142">
        <f>B1272*IBGE_2!G$1272/100</f>
        <v>1.54</v>
      </c>
      <c r="H1272" s="142">
        <f>B1272*IBGE_2!H$1272/100</f>
        <v>0.98</v>
      </c>
      <c r="I1272" s="142">
        <f>B1272*IBGE_2!I$1272/100</f>
        <v>0.74</v>
      </c>
      <c r="J1272" s="142">
        <f>B1272*IBGE_2!J$1272/100</f>
        <v>0.04</v>
      </c>
      <c r="K1272" s="142">
        <f>B1272*IBGE_2!K$1272/100</f>
        <v>85</v>
      </c>
      <c r="L1272" s="142" t="s">
        <v>3047</v>
      </c>
      <c r="M1272" s="142" t="s">
        <v>3047</v>
      </c>
      <c r="N1272" s="142">
        <f>B1272*IBGE_2!N$1272/100</f>
        <v>15</v>
      </c>
      <c r="O1272" s="142">
        <f>B1272*IBGE_2!O$1272/100</f>
        <v>27</v>
      </c>
      <c r="P1272" s="142">
        <f>B1272*IBGE_2!P$1272/100</f>
        <v>1.7000000000000001E-2</v>
      </c>
      <c r="Q1272" s="142">
        <f>B1272*IBGE_2!Q$1272/100</f>
        <v>216</v>
      </c>
      <c r="R1272" s="142">
        <f>B1272*IBGE_2!R$1272/100</f>
        <v>1.06</v>
      </c>
      <c r="S1272" s="142">
        <f>B1272*IBGE_2!S$1272/100</f>
        <v>77</v>
      </c>
      <c r="T1272" s="142">
        <f>B1272*IBGE_2!T$1272/100</f>
        <v>247</v>
      </c>
      <c r="U1272" s="142">
        <f>B1272*IBGE_2!U$1272/100</f>
        <v>0.05</v>
      </c>
      <c r="V1272" s="142">
        <f>B1272*IBGE_2!V$1272/100</f>
        <v>1.23</v>
      </c>
      <c r="W1272" s="142">
        <f>B1272*IBGE_2!W$1272/100</f>
        <v>9</v>
      </c>
      <c r="X1272" s="142">
        <f>B1272*IBGE_2!X$1272/100</f>
        <v>6.5000000000000002E-2</v>
      </c>
      <c r="Y1272" s="142">
        <f>B1272*IBGE_2!Y$1272/100</f>
        <v>0.11600000000000002</v>
      </c>
      <c r="Z1272" s="142">
        <f>B1272*IBGE_2!Z$1272/100</f>
        <v>0.6</v>
      </c>
      <c r="AA1272" s="142">
        <f>B1272*IBGE_2!AA$1272/100</f>
        <v>12.420999999999999</v>
      </c>
      <c r="AB1272" s="142" t="s">
        <v>3047</v>
      </c>
      <c r="AC1272" s="142">
        <f>B1272*IBGE_2!AC$1272/100</f>
        <v>18.437999999999999</v>
      </c>
      <c r="AD1272" s="142">
        <f>B1272*IBGE_2!AD$1272/100</f>
        <v>0.34</v>
      </c>
      <c r="AE1272" s="142">
        <f>B1272*IBGE_2!AE$1272/100</f>
        <v>4</v>
      </c>
      <c r="AF1272" s="142">
        <f>B1272*IBGE_2!AF$1272/100</f>
        <v>0.2</v>
      </c>
      <c r="AG1272" s="142">
        <f>B1272*IBGE_2!AG$1272/100</f>
        <v>0.27</v>
      </c>
      <c r="AH1272" s="142">
        <f>B1272*IBGE_2!AH$1272/100</f>
        <v>0.09</v>
      </c>
      <c r="AI1272" s="142">
        <f>B1272*IBGE_2!AI$1272/100</f>
        <v>333</v>
      </c>
      <c r="AJ1272" s="142">
        <f>B1272*IBGE_2!AJ$1272/100</f>
        <v>24.4</v>
      </c>
      <c r="AK1272" s="142">
        <f>B1272*IBGE_2!AK$1272/100</f>
        <v>9</v>
      </c>
      <c r="AL1272" s="142" t="s">
        <v>3047</v>
      </c>
      <c r="AM1272" s="142" t="s">
        <v>3047</v>
      </c>
      <c r="AN1272" s="161"/>
    </row>
    <row r="1273" spans="1:40">
      <c r="A1273" s="143" t="s">
        <v>2333</v>
      </c>
      <c r="B1273" s="141">
        <v>100</v>
      </c>
      <c r="C1273" s="142">
        <f>B1273*IBGE_2!C$1273/100</f>
        <v>173</v>
      </c>
      <c r="D1273" s="142">
        <f>B1273*IBGE_2!D$1273/100</f>
        <v>30.91</v>
      </c>
      <c r="E1273" s="142">
        <f>B1273*IBGE_2!E$1273/100</f>
        <v>4.51</v>
      </c>
      <c r="F1273" s="142">
        <f>B1273*IBGE_2!F$1273/100</f>
        <v>1.27</v>
      </c>
      <c r="G1273" s="142">
        <f>B1273*IBGE_2!G$1273/100</f>
        <v>1.54</v>
      </c>
      <c r="H1273" s="142">
        <f>B1273*IBGE_2!H$1273/100</f>
        <v>0.98</v>
      </c>
      <c r="I1273" s="142">
        <f>B1273*IBGE_2!I$1273/100</f>
        <v>0.74</v>
      </c>
      <c r="J1273" s="142">
        <f>B1273*IBGE_2!J$1273/100</f>
        <v>0.04</v>
      </c>
      <c r="K1273" s="142">
        <f>B1273*IBGE_2!K$1273/100</f>
        <v>85</v>
      </c>
      <c r="L1273" s="142" t="s">
        <v>3047</v>
      </c>
      <c r="M1273" s="142" t="s">
        <v>3047</v>
      </c>
      <c r="N1273" s="142">
        <f>B1273*IBGE_2!N$1273/100</f>
        <v>15</v>
      </c>
      <c r="O1273" s="142">
        <f>B1273*IBGE_2!O$1273/100</f>
        <v>27</v>
      </c>
      <c r="P1273" s="142">
        <f>B1273*IBGE_2!P$1273/100</f>
        <v>1.7000000000000001E-2</v>
      </c>
      <c r="Q1273" s="142">
        <f>B1273*IBGE_2!Q$1273/100</f>
        <v>216</v>
      </c>
      <c r="R1273" s="142">
        <f>B1273*IBGE_2!R$1273/100</f>
        <v>1.06</v>
      </c>
      <c r="S1273" s="142">
        <f>B1273*IBGE_2!S$1273/100</f>
        <v>77</v>
      </c>
      <c r="T1273" s="142">
        <f>B1273*IBGE_2!T$1273/100</f>
        <v>247</v>
      </c>
      <c r="U1273" s="142">
        <f>B1273*IBGE_2!U$1273/100</f>
        <v>0.05</v>
      </c>
      <c r="V1273" s="142">
        <f>B1273*IBGE_2!V$1273/100</f>
        <v>1.23</v>
      </c>
      <c r="W1273" s="142">
        <f>B1273*IBGE_2!W$1273/100</f>
        <v>9</v>
      </c>
      <c r="X1273" s="142">
        <f>B1273*IBGE_2!X$1273/100</f>
        <v>6.5000000000000002E-2</v>
      </c>
      <c r="Y1273" s="142">
        <f>B1273*IBGE_2!Y$1273/100</f>
        <v>0.11600000000000002</v>
      </c>
      <c r="Z1273" s="142">
        <f>B1273*IBGE_2!Z$1273/100</f>
        <v>0.6</v>
      </c>
      <c r="AA1273" s="142">
        <f>B1273*IBGE_2!AA$1273/100</f>
        <v>12.420999999999999</v>
      </c>
      <c r="AB1273" s="142" t="s">
        <v>3047</v>
      </c>
      <c r="AC1273" s="142">
        <f>B1273*IBGE_2!AC$1273/100</f>
        <v>18.437999999999999</v>
      </c>
      <c r="AD1273" s="142">
        <f>B1273*IBGE_2!AD$1273/100</f>
        <v>0.34</v>
      </c>
      <c r="AE1273" s="142">
        <f>B1273*IBGE_2!AE$1273/100</f>
        <v>4</v>
      </c>
      <c r="AF1273" s="142">
        <f>B1273*IBGE_2!AF$1273/100</f>
        <v>0.2</v>
      </c>
      <c r="AG1273" s="142">
        <f>B1273*IBGE_2!AG$1273/100</f>
        <v>0.27</v>
      </c>
      <c r="AH1273" s="142">
        <f>B1273*IBGE_2!AH$1273/100</f>
        <v>0.09</v>
      </c>
      <c r="AI1273" s="142">
        <f>B1273*IBGE_2!AI$1273/100</f>
        <v>333</v>
      </c>
      <c r="AJ1273" s="142">
        <f>B1273*IBGE_2!AJ$1273/100</f>
        <v>24.4</v>
      </c>
      <c r="AK1273" s="142">
        <f>B1273*IBGE_2!AK$1273/100</f>
        <v>9</v>
      </c>
      <c r="AL1273" s="142" t="s">
        <v>3047</v>
      </c>
      <c r="AM1273" s="142" t="s">
        <v>3047</v>
      </c>
      <c r="AN1273" s="161"/>
    </row>
    <row r="1274" spans="1:40">
      <c r="A1274" s="143" t="s">
        <v>2334</v>
      </c>
      <c r="B1274" s="141">
        <v>100</v>
      </c>
      <c r="C1274" s="142">
        <f>B1274*IBGE_2!C$1274/100</f>
        <v>173</v>
      </c>
      <c r="D1274" s="142">
        <f>B1274*IBGE_2!D$1274/100</f>
        <v>30.91</v>
      </c>
      <c r="E1274" s="142">
        <f>B1274*IBGE_2!E$1274/100</f>
        <v>4.51</v>
      </c>
      <c r="F1274" s="142">
        <f>B1274*IBGE_2!F$1274/100</f>
        <v>1.27</v>
      </c>
      <c r="G1274" s="142">
        <f>B1274*IBGE_2!G$1274/100</f>
        <v>1.54</v>
      </c>
      <c r="H1274" s="142">
        <f>B1274*IBGE_2!H$1274/100</f>
        <v>0.98</v>
      </c>
      <c r="I1274" s="142">
        <f>B1274*IBGE_2!I$1274/100</f>
        <v>0.74</v>
      </c>
      <c r="J1274" s="142">
        <f>B1274*IBGE_2!J$1274/100</f>
        <v>0.04</v>
      </c>
      <c r="K1274" s="142">
        <f>B1274*IBGE_2!K$1274/100</f>
        <v>85</v>
      </c>
      <c r="L1274" s="142" t="s">
        <v>3047</v>
      </c>
      <c r="M1274" s="142" t="s">
        <v>3047</v>
      </c>
      <c r="N1274" s="142">
        <f>B1274*IBGE_2!N$1274/100</f>
        <v>15</v>
      </c>
      <c r="O1274" s="142">
        <f>B1274*IBGE_2!O$1274/100</f>
        <v>27</v>
      </c>
      <c r="P1274" s="142">
        <f>B1274*IBGE_2!P$1274/100</f>
        <v>1.7000000000000001E-2</v>
      </c>
      <c r="Q1274" s="142">
        <f>B1274*IBGE_2!Q$1274/100</f>
        <v>216</v>
      </c>
      <c r="R1274" s="142">
        <f>B1274*IBGE_2!R$1274/100</f>
        <v>1.06</v>
      </c>
      <c r="S1274" s="142">
        <f>B1274*IBGE_2!S$1274/100</f>
        <v>77</v>
      </c>
      <c r="T1274" s="142">
        <f>B1274*IBGE_2!T$1274/100</f>
        <v>247</v>
      </c>
      <c r="U1274" s="142">
        <f>B1274*IBGE_2!U$1274/100</f>
        <v>0.05</v>
      </c>
      <c r="V1274" s="142">
        <f>B1274*IBGE_2!V$1274/100</f>
        <v>1.23</v>
      </c>
      <c r="W1274" s="142">
        <f>B1274*IBGE_2!W$1274/100</f>
        <v>9</v>
      </c>
      <c r="X1274" s="142">
        <f>B1274*IBGE_2!X$1274/100</f>
        <v>6.5000000000000002E-2</v>
      </c>
      <c r="Y1274" s="142">
        <f>B1274*IBGE_2!Y$1274/100</f>
        <v>0.11600000000000002</v>
      </c>
      <c r="Z1274" s="142">
        <f>B1274*IBGE_2!Z$1274/100</f>
        <v>0.6</v>
      </c>
      <c r="AA1274" s="142">
        <f>B1274*IBGE_2!AA$1274/100</f>
        <v>12.420999999999999</v>
      </c>
      <c r="AB1274" s="142" t="s">
        <v>3047</v>
      </c>
      <c r="AC1274" s="142">
        <f>B1274*IBGE_2!AC$1274/100</f>
        <v>18.437999999999999</v>
      </c>
      <c r="AD1274" s="142">
        <f>B1274*IBGE_2!AD$1274/100</f>
        <v>0.34</v>
      </c>
      <c r="AE1274" s="142">
        <f>B1274*IBGE_2!AE$1274/100</f>
        <v>4</v>
      </c>
      <c r="AF1274" s="142">
        <f>B1274*IBGE_2!AF$1274/100</f>
        <v>0.2</v>
      </c>
      <c r="AG1274" s="142">
        <f>B1274*IBGE_2!AG$1274/100</f>
        <v>0.27</v>
      </c>
      <c r="AH1274" s="142">
        <f>B1274*IBGE_2!AH$1274/100</f>
        <v>0.09</v>
      </c>
      <c r="AI1274" s="142">
        <f>B1274*IBGE_2!AI$1274/100</f>
        <v>333</v>
      </c>
      <c r="AJ1274" s="142">
        <f>B1274*IBGE_2!AJ$1274/100</f>
        <v>24.4</v>
      </c>
      <c r="AK1274" s="142">
        <f>B1274*IBGE_2!AK$1274/100</f>
        <v>9</v>
      </c>
      <c r="AL1274" s="142" t="s">
        <v>3047</v>
      </c>
      <c r="AM1274" s="142" t="s">
        <v>3047</v>
      </c>
      <c r="AN1274" s="161"/>
    </row>
    <row r="1275" spans="1:40">
      <c r="A1275" s="143" t="s">
        <v>2335</v>
      </c>
      <c r="B1275" s="141">
        <v>100</v>
      </c>
      <c r="C1275" s="142">
        <f>B1275*IBGE_2!C$1275/100</f>
        <v>173</v>
      </c>
      <c r="D1275" s="142">
        <f>B1275*IBGE_2!D$1275/100</f>
        <v>30.91</v>
      </c>
      <c r="E1275" s="142">
        <f>B1275*IBGE_2!E$1275/100</f>
        <v>4.51</v>
      </c>
      <c r="F1275" s="142">
        <f>B1275*IBGE_2!F$1275/100</f>
        <v>1.27</v>
      </c>
      <c r="G1275" s="142">
        <f>B1275*IBGE_2!G$1275/100</f>
        <v>1.54</v>
      </c>
      <c r="H1275" s="142">
        <f>B1275*IBGE_2!H$1275/100</f>
        <v>0.98</v>
      </c>
      <c r="I1275" s="142">
        <f>B1275*IBGE_2!I$1275/100</f>
        <v>0.74</v>
      </c>
      <c r="J1275" s="142">
        <f>B1275*IBGE_2!J$1275/100</f>
        <v>0.04</v>
      </c>
      <c r="K1275" s="142">
        <f>B1275*IBGE_2!K$1275/100</f>
        <v>85</v>
      </c>
      <c r="L1275" s="142" t="s">
        <v>3047</v>
      </c>
      <c r="M1275" s="142" t="s">
        <v>3047</v>
      </c>
      <c r="N1275" s="142">
        <f>B1275*IBGE_2!N$1275/100</f>
        <v>15</v>
      </c>
      <c r="O1275" s="142">
        <f>B1275*IBGE_2!O$1275/100</f>
        <v>27</v>
      </c>
      <c r="P1275" s="142">
        <f>B1275*IBGE_2!P$1275/100</f>
        <v>1.7000000000000001E-2</v>
      </c>
      <c r="Q1275" s="142">
        <f>B1275*IBGE_2!Q$1275/100</f>
        <v>216</v>
      </c>
      <c r="R1275" s="142">
        <f>B1275*IBGE_2!R$1275/100</f>
        <v>1.06</v>
      </c>
      <c r="S1275" s="142">
        <f>B1275*IBGE_2!S$1275/100</f>
        <v>77</v>
      </c>
      <c r="T1275" s="142">
        <f>B1275*IBGE_2!T$1275/100</f>
        <v>247</v>
      </c>
      <c r="U1275" s="142">
        <f>B1275*IBGE_2!U$1275/100</f>
        <v>0.05</v>
      </c>
      <c r="V1275" s="142">
        <f>B1275*IBGE_2!V$1275/100</f>
        <v>1.23</v>
      </c>
      <c r="W1275" s="142">
        <f>B1275*IBGE_2!W$1275/100</f>
        <v>9</v>
      </c>
      <c r="X1275" s="142">
        <f>B1275*IBGE_2!X$1275/100</f>
        <v>6.5000000000000002E-2</v>
      </c>
      <c r="Y1275" s="142">
        <f>B1275*IBGE_2!Y$1275/100</f>
        <v>0.11600000000000002</v>
      </c>
      <c r="Z1275" s="142">
        <f>B1275*IBGE_2!Z$1275/100</f>
        <v>0.6</v>
      </c>
      <c r="AA1275" s="142">
        <f>B1275*IBGE_2!AA$1275/100</f>
        <v>12.420999999999999</v>
      </c>
      <c r="AB1275" s="142" t="s">
        <v>3047</v>
      </c>
      <c r="AC1275" s="142">
        <f>B1275*IBGE_2!AC$1275/100</f>
        <v>18.437999999999999</v>
      </c>
      <c r="AD1275" s="142">
        <f>B1275*IBGE_2!AD$1275/100</f>
        <v>0.34</v>
      </c>
      <c r="AE1275" s="142">
        <f>B1275*IBGE_2!AE$1275/100</f>
        <v>4</v>
      </c>
      <c r="AF1275" s="142">
        <f>B1275*IBGE_2!AF$1275/100</f>
        <v>0.2</v>
      </c>
      <c r="AG1275" s="142">
        <f>B1275*IBGE_2!AG$1275/100</f>
        <v>0.27</v>
      </c>
      <c r="AH1275" s="142">
        <f>B1275*IBGE_2!AH$1275/100</f>
        <v>0.09</v>
      </c>
      <c r="AI1275" s="142">
        <f>B1275*IBGE_2!AI$1275/100</f>
        <v>333</v>
      </c>
      <c r="AJ1275" s="142">
        <f>B1275*IBGE_2!AJ$1275/100</f>
        <v>24.4</v>
      </c>
      <c r="AK1275" s="142">
        <f>B1275*IBGE_2!AK$1275/100</f>
        <v>9</v>
      </c>
      <c r="AL1275" s="142" t="s">
        <v>3047</v>
      </c>
      <c r="AM1275" s="142" t="s">
        <v>3047</v>
      </c>
      <c r="AN1275" s="161"/>
    </row>
    <row r="1276" spans="1:40">
      <c r="A1276" s="143" t="s">
        <v>2336</v>
      </c>
      <c r="B1276" s="141">
        <v>100</v>
      </c>
      <c r="C1276" s="142">
        <f>B1276*IBGE_2!C$1276/100</f>
        <v>195.65899999999999</v>
      </c>
      <c r="D1276" s="142">
        <f>B1276*IBGE_2!D$1276/100</f>
        <v>30.91</v>
      </c>
      <c r="E1276" s="142">
        <f>B1276*IBGE_2!E$1276/100</f>
        <v>7.0730000000000004</v>
      </c>
      <c r="F1276" s="142">
        <f>B1276*IBGE_2!F$1276/100</f>
        <v>1.671</v>
      </c>
      <c r="G1276" s="142">
        <f>B1276*IBGE_2!G$1276/100</f>
        <v>2.1240000000000001</v>
      </c>
      <c r="H1276" s="142">
        <f>B1276*IBGE_2!H$1276/100</f>
        <v>2.46</v>
      </c>
      <c r="I1276" s="142">
        <f>B1276*IBGE_2!I$1276/100</f>
        <v>2.0459999999999998</v>
      </c>
      <c r="J1276" s="142">
        <f>B1276*IBGE_2!J$1276/100</f>
        <v>0.214</v>
      </c>
      <c r="K1276" s="142">
        <f>B1276*IBGE_2!K$1276/100</f>
        <v>85</v>
      </c>
      <c r="L1276" s="142" t="s">
        <v>3047</v>
      </c>
      <c r="M1276" s="142" t="s">
        <v>3047</v>
      </c>
      <c r="N1276" s="142">
        <f>B1276*IBGE_2!N$1276/100</f>
        <v>15</v>
      </c>
      <c r="O1276" s="142">
        <f>B1276*IBGE_2!O$1276/100</f>
        <v>27</v>
      </c>
      <c r="P1276" s="142">
        <f>B1276*IBGE_2!P$1276/100</f>
        <v>1.7000000000000001E-2</v>
      </c>
      <c r="Q1276" s="142">
        <f>B1276*IBGE_2!Q$1276/100</f>
        <v>216</v>
      </c>
      <c r="R1276" s="142">
        <f>B1276*IBGE_2!R$1276/100</f>
        <v>1.0609999999999999</v>
      </c>
      <c r="S1276" s="142">
        <f>B1276*IBGE_2!S$1276/100</f>
        <v>77</v>
      </c>
      <c r="T1276" s="142">
        <f>B1276*IBGE_2!T$1276/100</f>
        <v>247</v>
      </c>
      <c r="U1276" s="142">
        <f>B1276*IBGE_2!U$1276/100</f>
        <v>0.05</v>
      </c>
      <c r="V1276" s="142">
        <f>B1276*IBGE_2!V$1276/100</f>
        <v>1.23</v>
      </c>
      <c r="W1276" s="142">
        <f>B1276*IBGE_2!W$1276/100</f>
        <v>9</v>
      </c>
      <c r="X1276" s="142">
        <f>B1276*IBGE_2!X$1276/100</f>
        <v>6.5000000000000002E-2</v>
      </c>
      <c r="Y1276" s="142">
        <f>B1276*IBGE_2!Y$1276/100</f>
        <v>0.11600000000000002</v>
      </c>
      <c r="Z1276" s="142">
        <f>B1276*IBGE_2!Z$1276/100</f>
        <v>0.6</v>
      </c>
      <c r="AA1276" s="142">
        <f>B1276*IBGE_2!AA$1276/100</f>
        <v>12.420999999999999</v>
      </c>
      <c r="AB1276" s="142" t="s">
        <v>3047</v>
      </c>
      <c r="AC1276" s="142">
        <f>B1276*IBGE_2!AC$1276/100</f>
        <v>18.437999999999999</v>
      </c>
      <c r="AD1276" s="142">
        <f>B1276*IBGE_2!AD$1276/100</f>
        <v>0.34</v>
      </c>
      <c r="AE1276" s="142">
        <f>B1276*IBGE_2!AE$1276/100</f>
        <v>4</v>
      </c>
      <c r="AF1276" s="142">
        <f>B1276*IBGE_2!AF$1276/100</f>
        <v>0.2</v>
      </c>
      <c r="AG1276" s="142">
        <f>B1276*IBGE_2!AG$1276/100</f>
        <v>0.48</v>
      </c>
      <c r="AH1276" s="142">
        <f>B1276*IBGE_2!AH$1276/100</f>
        <v>0.10400000000000001</v>
      </c>
      <c r="AI1276" s="142">
        <f>B1276*IBGE_2!AI$1276/100</f>
        <v>333</v>
      </c>
      <c r="AJ1276" s="142">
        <f>B1276*IBGE_2!AJ$1276/100</f>
        <v>25.574999999999999</v>
      </c>
      <c r="AK1276" s="142">
        <f>B1276*IBGE_2!AK$1276/100</f>
        <v>9</v>
      </c>
      <c r="AL1276" s="142" t="s">
        <v>3047</v>
      </c>
      <c r="AM1276" s="142" t="s">
        <v>3047</v>
      </c>
      <c r="AN1276" s="161"/>
    </row>
    <row r="1277" spans="1:40">
      <c r="A1277" s="143" t="s">
        <v>2337</v>
      </c>
      <c r="B1277" s="141">
        <v>100</v>
      </c>
      <c r="C1277" s="142">
        <f>B1277*IBGE_2!C$1277/100</f>
        <v>211.83699999999996</v>
      </c>
      <c r="D1277" s="142">
        <f>B1277*IBGE_2!D$1277/100</f>
        <v>31.369</v>
      </c>
      <c r="E1277" s="142">
        <f>B1277*IBGE_2!E$1277/100</f>
        <v>7.1170000000000009</v>
      </c>
      <c r="F1277" s="142">
        <f>B1277*IBGE_2!F$1277/100</f>
        <v>1.6779999999999999</v>
      </c>
      <c r="G1277" s="142">
        <f>B1277*IBGE_2!G$1277/100</f>
        <v>2.1280000000000001</v>
      </c>
      <c r="H1277" s="142">
        <f>B1277*IBGE_2!H$1277/100</f>
        <v>2.4780000000000002</v>
      </c>
      <c r="I1277" s="142">
        <f>B1277*IBGE_2!I$1277/100</f>
        <v>2.0630000000000002</v>
      </c>
      <c r="J1277" s="142">
        <f>B1277*IBGE_2!J$1277/100</f>
        <v>0.215</v>
      </c>
      <c r="K1277" s="142">
        <f>B1277*IBGE_2!K$1277/100</f>
        <v>85</v>
      </c>
      <c r="L1277" s="142">
        <f>B1277*IBGE_2!L$1277/100</f>
        <v>3.3919999999999999</v>
      </c>
      <c r="M1277" s="142">
        <f>B1277*IBGE_2!M$1277/100</f>
        <v>0.13500000000000001</v>
      </c>
      <c r="N1277" s="142">
        <f>B1277*IBGE_2!N$1277/100</f>
        <v>15.667</v>
      </c>
      <c r="O1277" s="142">
        <f>B1277*IBGE_2!O$1277/100</f>
        <v>27.978000000000002</v>
      </c>
      <c r="P1277" s="142">
        <f>B1277*IBGE_2!P$1277/100</f>
        <v>4.7E-2</v>
      </c>
      <c r="Q1277" s="142">
        <f>B1277*IBGE_2!Q$1277/100</f>
        <v>220.8</v>
      </c>
      <c r="R1277" s="142">
        <f>B1277*IBGE_2!R$1277/100</f>
        <v>1.268</v>
      </c>
      <c r="S1277" s="142">
        <f>B1277*IBGE_2!S$1277/100</f>
        <v>77.088999999999999</v>
      </c>
      <c r="T1277" s="142">
        <f>B1277*IBGE_2!T$1277/100</f>
        <v>251.75599999999997</v>
      </c>
      <c r="U1277" s="142">
        <f>B1277*IBGE_2!U$1277/100</f>
        <v>5.6000000000000008E-2</v>
      </c>
      <c r="V1277" s="142">
        <f>B1277*IBGE_2!V$1277/100</f>
        <v>1.2609999999999999</v>
      </c>
      <c r="W1277" s="142">
        <f>B1277*IBGE_2!W$1277/100</f>
        <v>9</v>
      </c>
      <c r="X1277" s="142">
        <f>B1277*IBGE_2!X$1277/100</f>
        <v>0.1</v>
      </c>
      <c r="Y1277" s="142">
        <f>B1277*IBGE_2!Y$1277/100</f>
        <v>0.13800000000000001</v>
      </c>
      <c r="Z1277" s="142">
        <f>B1277*IBGE_2!Z$1277/100</f>
        <v>0.60199999999999998</v>
      </c>
      <c r="AA1277" s="142">
        <f>B1277*IBGE_2!AA$1277/100</f>
        <v>12.683</v>
      </c>
      <c r="AB1277" s="142" t="s">
        <v>3047</v>
      </c>
      <c r="AC1277" s="142">
        <f>B1277*IBGE_2!AC$1277/100</f>
        <v>18.794</v>
      </c>
      <c r="AD1277" s="142">
        <f>B1277*IBGE_2!AD$1277/100</f>
        <v>0.34</v>
      </c>
      <c r="AE1277" s="142">
        <f>B1277*IBGE_2!AE$1277/100</f>
        <v>13.067</v>
      </c>
      <c r="AF1277" s="142">
        <f>B1277*IBGE_2!AF$1277/100</f>
        <v>0.2</v>
      </c>
      <c r="AG1277" s="142">
        <f>B1277*IBGE_2!AG$1277/100</f>
        <v>0.48199999999999998</v>
      </c>
      <c r="AH1277" s="142">
        <f>B1277*IBGE_2!AH$1277/100</f>
        <v>0.10400000000000001</v>
      </c>
      <c r="AI1277" s="142">
        <f>B1277*IBGE_2!AI$1277/100</f>
        <v>333</v>
      </c>
      <c r="AJ1277" s="142">
        <f>B1277*IBGE_2!AJ$1277/100</f>
        <v>27.081</v>
      </c>
      <c r="AK1277" s="142">
        <f>B1277*IBGE_2!AK$1277/100</f>
        <v>9</v>
      </c>
      <c r="AL1277" s="142">
        <f>B1277*IBGE_2!AL$1277/100</f>
        <v>1.4000000000000002E-2</v>
      </c>
      <c r="AM1277" s="142" t="s">
        <v>3047</v>
      </c>
      <c r="AN1277" s="161"/>
    </row>
    <row r="1278" spans="1:40">
      <c r="A1278" s="143" t="s">
        <v>2338</v>
      </c>
      <c r="B1278" s="141">
        <v>100</v>
      </c>
      <c r="C1278" s="142">
        <f>B1278*IBGE_2!C$1278/100</f>
        <v>195.65899999999999</v>
      </c>
      <c r="D1278" s="142">
        <f>B1278*IBGE_2!D$1278/100</f>
        <v>30.91</v>
      </c>
      <c r="E1278" s="142">
        <f>B1278*IBGE_2!E$1278/100</f>
        <v>7.0730000000000004</v>
      </c>
      <c r="F1278" s="142">
        <f>B1278*IBGE_2!F$1278/100</f>
        <v>1.671</v>
      </c>
      <c r="G1278" s="142">
        <f>B1278*IBGE_2!G$1278/100</f>
        <v>2.1240000000000001</v>
      </c>
      <c r="H1278" s="142">
        <f>B1278*IBGE_2!H$1278/100</f>
        <v>2.46</v>
      </c>
      <c r="I1278" s="142">
        <f>B1278*IBGE_2!I$1278/100</f>
        <v>2.0459999999999998</v>
      </c>
      <c r="J1278" s="142">
        <f>B1278*IBGE_2!J$1278/100</f>
        <v>0.214</v>
      </c>
      <c r="K1278" s="142">
        <f>B1278*IBGE_2!K$1278/100</f>
        <v>85</v>
      </c>
      <c r="L1278" s="142" t="s">
        <v>3047</v>
      </c>
      <c r="M1278" s="142" t="s">
        <v>3047</v>
      </c>
      <c r="N1278" s="142">
        <f>B1278*IBGE_2!N$1278/100</f>
        <v>15</v>
      </c>
      <c r="O1278" s="142">
        <f>B1278*IBGE_2!O$1278/100</f>
        <v>27</v>
      </c>
      <c r="P1278" s="142">
        <f>B1278*IBGE_2!P$1278/100</f>
        <v>1.7000000000000001E-2</v>
      </c>
      <c r="Q1278" s="142">
        <f>B1278*IBGE_2!Q$1278/100</f>
        <v>216</v>
      </c>
      <c r="R1278" s="142">
        <f>B1278*IBGE_2!R$1278/100</f>
        <v>1.0609999999999999</v>
      </c>
      <c r="S1278" s="142">
        <f>B1278*IBGE_2!S$1278/100</f>
        <v>77</v>
      </c>
      <c r="T1278" s="142">
        <f>B1278*IBGE_2!T$1278/100</f>
        <v>247</v>
      </c>
      <c r="U1278" s="142">
        <f>B1278*IBGE_2!U$1278/100</f>
        <v>0.05</v>
      </c>
      <c r="V1278" s="142">
        <f>B1278*IBGE_2!V$1278/100</f>
        <v>1.23</v>
      </c>
      <c r="W1278" s="142">
        <f>B1278*IBGE_2!W$1278/100</f>
        <v>9</v>
      </c>
      <c r="X1278" s="142">
        <f>B1278*IBGE_2!X$1278/100</f>
        <v>6.5000000000000002E-2</v>
      </c>
      <c r="Y1278" s="142">
        <f>B1278*IBGE_2!Y$1278/100</f>
        <v>0.11600000000000002</v>
      </c>
      <c r="Z1278" s="142">
        <f>B1278*IBGE_2!Z$1278/100</f>
        <v>0.6</v>
      </c>
      <c r="AA1278" s="142">
        <f>B1278*IBGE_2!AA$1278/100</f>
        <v>12.420999999999999</v>
      </c>
      <c r="AB1278" s="142" t="s">
        <v>3047</v>
      </c>
      <c r="AC1278" s="142">
        <f>B1278*IBGE_2!AC$1278/100</f>
        <v>18.437999999999999</v>
      </c>
      <c r="AD1278" s="142">
        <f>B1278*IBGE_2!AD$1278/100</f>
        <v>0.34</v>
      </c>
      <c r="AE1278" s="142">
        <f>B1278*IBGE_2!AE$1278/100</f>
        <v>4</v>
      </c>
      <c r="AF1278" s="142">
        <f>B1278*IBGE_2!AF$1278/100</f>
        <v>0.2</v>
      </c>
      <c r="AG1278" s="142">
        <f>B1278*IBGE_2!AG$1278/100</f>
        <v>0.48</v>
      </c>
      <c r="AH1278" s="142">
        <f>B1278*IBGE_2!AH$1278/100</f>
        <v>0.10400000000000001</v>
      </c>
      <c r="AI1278" s="142">
        <f>B1278*IBGE_2!AI$1278/100</f>
        <v>333</v>
      </c>
      <c r="AJ1278" s="142">
        <f>B1278*IBGE_2!AJ$1278/100</f>
        <v>25.574999999999999</v>
      </c>
      <c r="AK1278" s="142">
        <f>B1278*IBGE_2!AK$1278/100</f>
        <v>9</v>
      </c>
      <c r="AL1278" s="145" t="s">
        <v>3047</v>
      </c>
      <c r="AM1278" s="142" t="s">
        <v>3047</v>
      </c>
      <c r="AN1278" s="161"/>
    </row>
    <row r="1279" spans="1:40">
      <c r="A1279" s="143" t="s">
        <v>2339</v>
      </c>
      <c r="B1279" s="141">
        <v>100</v>
      </c>
      <c r="C1279" s="142">
        <f>B1279*IBGE_2!C$1279/100</f>
        <v>143.19999999999999</v>
      </c>
      <c r="D1279" s="142">
        <f>B1279*IBGE_2!D$1279/100</f>
        <v>24.992000000000004</v>
      </c>
      <c r="E1279" s="142">
        <f>B1279*IBGE_2!E$1279/100</f>
        <v>3.6440000000000001</v>
      </c>
      <c r="F1279" s="142">
        <f>B1279*IBGE_2!F$1279/100</f>
        <v>1.0209999999999999</v>
      </c>
      <c r="G1279" s="142">
        <f>B1279*IBGE_2!G$1279/100</f>
        <v>1.2370000000000001</v>
      </c>
      <c r="H1279" s="142">
        <f>B1279*IBGE_2!H$1279/100</f>
        <v>0.79900000000000004</v>
      </c>
      <c r="I1279" s="142">
        <f>B1279*IBGE_2!I$1279/100</f>
        <v>0.60599999999999998</v>
      </c>
      <c r="J1279" s="142">
        <f>B1279*IBGE_2!J$1279/100</f>
        <v>3.3000000000000002E-2</v>
      </c>
      <c r="K1279" s="142">
        <f>B1279*IBGE_2!K$1279/100</f>
        <v>68</v>
      </c>
      <c r="L1279" s="142">
        <f>B1279*IBGE_2!L$1279/100</f>
        <v>1.0760000000000001</v>
      </c>
      <c r="M1279" s="142">
        <f>B1279*IBGE_2!M$1279/100</f>
        <v>0.3</v>
      </c>
      <c r="N1279" s="142">
        <f>B1279*IBGE_2!N$1279/100</f>
        <v>14.6</v>
      </c>
      <c r="O1279" s="142">
        <f>B1279*IBGE_2!O$1279/100</f>
        <v>24.8</v>
      </c>
      <c r="P1279" s="142">
        <f>B1279*IBGE_2!P$1279/100</f>
        <v>3.5000000000000003E-2</v>
      </c>
      <c r="Q1279" s="142">
        <f>B1279*IBGE_2!Q$1279/100</f>
        <v>178</v>
      </c>
      <c r="R1279" s="142">
        <f>B1279*IBGE_2!R$1279/100</f>
        <v>1.052</v>
      </c>
      <c r="S1279" s="142">
        <f>B1279*IBGE_2!S$1279/100</f>
        <v>166.4</v>
      </c>
      <c r="T1279" s="142">
        <f>B1279*IBGE_2!T$1279/100</f>
        <v>263.8</v>
      </c>
      <c r="U1279" s="142">
        <f>B1279*IBGE_2!U$1279/100</f>
        <v>6.3E-2</v>
      </c>
      <c r="V1279" s="142">
        <f>B1279*IBGE_2!V$1279/100</f>
        <v>1.024</v>
      </c>
      <c r="W1279" s="142">
        <f>B1279*IBGE_2!W$1279/100</f>
        <v>7.2</v>
      </c>
      <c r="X1279" s="142">
        <f>B1279*IBGE_2!X$1279/100</f>
        <v>5.7000000000000002E-2</v>
      </c>
      <c r="Y1279" s="142">
        <f>B1279*IBGE_2!Y$1279/100</f>
        <v>0.106</v>
      </c>
      <c r="Z1279" s="142">
        <f>B1279*IBGE_2!Z$1279/100</f>
        <v>0.499</v>
      </c>
      <c r="AA1279" s="142">
        <f>B1279*IBGE_2!AA$1279/100</f>
        <v>10.132</v>
      </c>
      <c r="AB1279" s="142">
        <f>B1279*IBGE_2!AB$1279/100</f>
        <v>1.4</v>
      </c>
      <c r="AC1279" s="142">
        <f>B1279*IBGE_2!AC$1279/100</f>
        <v>14.978</v>
      </c>
      <c r="AD1279" s="142">
        <f>B1279*IBGE_2!AD$1279/100</f>
        <v>0.27200000000000002</v>
      </c>
      <c r="AE1279" s="142">
        <f>B1279*IBGE_2!AE$1279/100</f>
        <v>5.4</v>
      </c>
      <c r="AF1279" s="142">
        <f>B1279*IBGE_2!AF$1279/100</f>
        <v>0.16</v>
      </c>
      <c r="AG1279" s="142">
        <f>B1279*IBGE_2!AG$1279/100</f>
        <v>0.5</v>
      </c>
      <c r="AH1279" s="142">
        <f>B1279*IBGE_2!AH$1279/100</f>
        <v>7.1999999999999995E-2</v>
      </c>
      <c r="AI1279" s="142">
        <f>B1279*IBGE_2!AI$1279/100</f>
        <v>333</v>
      </c>
      <c r="AJ1279" s="142">
        <f>B1279*IBGE_2!AJ$1279/100</f>
        <v>19.559999999999999</v>
      </c>
      <c r="AK1279" s="142">
        <f>B1279*IBGE_2!AK$1279/100</f>
        <v>10.683</v>
      </c>
      <c r="AL1279" s="142">
        <f>B1279*IBGE_2!AL$1279/100</f>
        <v>0.85</v>
      </c>
      <c r="AM1279" s="142" t="s">
        <v>3047</v>
      </c>
      <c r="AN1279" s="161"/>
    </row>
    <row r="1280" spans="1:40">
      <c r="A1280" s="143" t="s">
        <v>2340</v>
      </c>
      <c r="B1280" s="141">
        <v>100</v>
      </c>
      <c r="C1280" s="142">
        <f>B1280*IBGE_2!C$1280/100</f>
        <v>170.99</v>
      </c>
      <c r="D1280" s="142">
        <f>B1280*IBGE_2!D$1280/100</f>
        <v>25.507000000000001</v>
      </c>
      <c r="E1280" s="142">
        <f>B1280*IBGE_2!E$1280/100</f>
        <v>6.0970000000000004</v>
      </c>
      <c r="F1280" s="142">
        <f>B1280*IBGE_2!F$1280/100</f>
        <v>2.548</v>
      </c>
      <c r="G1280" s="142">
        <f>B1280*IBGE_2!G$1280/100</f>
        <v>1.869</v>
      </c>
      <c r="H1280" s="142">
        <f>B1280*IBGE_2!H$1280/100</f>
        <v>0.89700000000000002</v>
      </c>
      <c r="I1280" s="142">
        <f>B1280*IBGE_2!I$1280/100</f>
        <v>0.68200000000000005</v>
      </c>
      <c r="J1280" s="142">
        <f>B1280*IBGE_2!J$1280/100</f>
        <v>5.4000000000000006E-2</v>
      </c>
      <c r="K1280" s="142">
        <f>B1280*IBGE_2!K$1280/100</f>
        <v>74.832999999999998</v>
      </c>
      <c r="L1280" s="142">
        <f>B1280*IBGE_2!L$1280/100</f>
        <v>1.851</v>
      </c>
      <c r="M1280" s="142">
        <f>B1280*IBGE_2!M$1280/100</f>
        <v>4.2999999999999997E-2</v>
      </c>
      <c r="N1280" s="142">
        <f>B1280*IBGE_2!N$1280/100</f>
        <v>34.878999999999998</v>
      </c>
      <c r="O1280" s="142">
        <f>B1280*IBGE_2!O$1280/100</f>
        <v>23.911999999999999</v>
      </c>
      <c r="P1280" s="142">
        <f>B1280*IBGE_2!P$1280/100</f>
        <v>2.4E-2</v>
      </c>
      <c r="Q1280" s="142">
        <f>B1280*IBGE_2!Q$1280/100</f>
        <v>192.49299999999999</v>
      </c>
      <c r="R1280" s="142">
        <f>B1280*IBGE_2!R$1280/100</f>
        <v>0.91799999999999993</v>
      </c>
      <c r="S1280" s="142">
        <f>B1280*IBGE_2!S$1280/100</f>
        <v>82.516999999999996</v>
      </c>
      <c r="T1280" s="142">
        <f>B1280*IBGE_2!T$1280/100</f>
        <v>227.65400000000002</v>
      </c>
      <c r="U1280" s="142">
        <f>B1280*IBGE_2!U$1280/100</f>
        <v>4.3999999999999997E-2</v>
      </c>
      <c r="V1280" s="142">
        <f>B1280*IBGE_2!V$1280/100</f>
        <v>1.073</v>
      </c>
      <c r="W1280" s="142">
        <f>B1280*IBGE_2!W$1280/100</f>
        <v>27.896999999999998</v>
      </c>
      <c r="X1280" s="142">
        <f>B1280*IBGE_2!X$1280/100</f>
        <v>7.0999999999999994E-2</v>
      </c>
      <c r="Y1280" s="142">
        <f>B1280*IBGE_2!Y$1280/100</f>
        <v>0.13600000000000001</v>
      </c>
      <c r="Z1280" s="142">
        <f>B1280*IBGE_2!Z$1280/100</f>
        <v>0.48799999999999999</v>
      </c>
      <c r="AA1280" s="142">
        <f>B1280*IBGE_2!AA$1280/100</f>
        <v>10.032999999999999</v>
      </c>
      <c r="AB1280" s="142">
        <f>B1280*IBGE_2!AB$1280/100</f>
        <v>4.0000000000000001E-3</v>
      </c>
      <c r="AC1280" s="142">
        <f>B1280*IBGE_2!AC$1280/100</f>
        <v>15.121000000000002</v>
      </c>
      <c r="AD1280" s="142">
        <f>B1280*IBGE_2!AD$1280/100</f>
        <v>0.36199999999999993</v>
      </c>
      <c r="AE1280" s="142">
        <f>B1280*IBGE_2!AE$1280/100</f>
        <v>6.7960000000000003</v>
      </c>
      <c r="AF1280" s="142">
        <f>B1280*IBGE_2!AF$1280/100</f>
        <v>0.38700000000000001</v>
      </c>
      <c r="AG1280" s="142">
        <f>B1280*IBGE_2!AG$1280/100</f>
        <v>0.28100000000000003</v>
      </c>
      <c r="AH1280" s="142">
        <f>B1280*IBGE_2!AH$1280/100</f>
        <v>0.16900000000000001</v>
      </c>
      <c r="AI1280" s="142">
        <f>B1280*IBGE_2!AI$1280/100</f>
        <v>333</v>
      </c>
      <c r="AJ1280" s="142">
        <f>B1280*IBGE_2!AJ$1280/100</f>
        <v>20.689</v>
      </c>
      <c r="AK1280" s="142">
        <f>B1280*IBGE_2!AK$1280/100</f>
        <v>28.280999999999999</v>
      </c>
      <c r="AL1280" s="142">
        <f>B1280*IBGE_2!AL$1280/100</f>
        <v>1.0329999999999999</v>
      </c>
      <c r="AM1280" s="142" t="s">
        <v>3047</v>
      </c>
      <c r="AN1280" s="161"/>
    </row>
    <row r="1281" spans="1:40">
      <c r="A1281" s="143" t="s">
        <v>2341</v>
      </c>
      <c r="B1281" s="141">
        <v>100</v>
      </c>
      <c r="C1281" s="142">
        <f>B1281*IBGE_2!C$1281/100</f>
        <v>195.65899999999999</v>
      </c>
      <c r="D1281" s="142">
        <f>B1281*IBGE_2!D$1281/100</f>
        <v>30.91</v>
      </c>
      <c r="E1281" s="142">
        <f>B1281*IBGE_2!E$1281/100</f>
        <v>7.0730000000000004</v>
      </c>
      <c r="F1281" s="142">
        <f>B1281*IBGE_2!F$1281/100</f>
        <v>1.671</v>
      </c>
      <c r="G1281" s="142">
        <f>B1281*IBGE_2!G$1281/100</f>
        <v>2.1240000000000001</v>
      </c>
      <c r="H1281" s="142">
        <f>B1281*IBGE_2!H$1281/100</f>
        <v>2.46</v>
      </c>
      <c r="I1281" s="142">
        <f>B1281*IBGE_2!I$1281/100</f>
        <v>2.0459999999999998</v>
      </c>
      <c r="J1281" s="142">
        <f>B1281*IBGE_2!J$1281/100</f>
        <v>0.214</v>
      </c>
      <c r="K1281" s="142">
        <f>B1281*IBGE_2!K$1281/100</f>
        <v>85</v>
      </c>
      <c r="L1281" s="142" t="s">
        <v>3047</v>
      </c>
      <c r="M1281" s="142" t="s">
        <v>3047</v>
      </c>
      <c r="N1281" s="142">
        <f>B1281*IBGE_2!N$1281/100</f>
        <v>15</v>
      </c>
      <c r="O1281" s="142">
        <f>B1281*IBGE_2!O$1281/100</f>
        <v>27</v>
      </c>
      <c r="P1281" s="142">
        <f>B1281*IBGE_2!P$1281/100</f>
        <v>1.7000000000000001E-2</v>
      </c>
      <c r="Q1281" s="142">
        <f>B1281*IBGE_2!Q$1281/100</f>
        <v>216</v>
      </c>
      <c r="R1281" s="142">
        <f>B1281*IBGE_2!R$1281/100</f>
        <v>1.0609999999999999</v>
      </c>
      <c r="S1281" s="142">
        <f>B1281*IBGE_2!S$1281/100</f>
        <v>77</v>
      </c>
      <c r="T1281" s="142">
        <f>B1281*IBGE_2!T$1281/100</f>
        <v>247</v>
      </c>
      <c r="U1281" s="142">
        <f>B1281*IBGE_2!U$1281/100</f>
        <v>0.05</v>
      </c>
      <c r="V1281" s="142">
        <f>B1281*IBGE_2!V$1281/100</f>
        <v>1.23</v>
      </c>
      <c r="W1281" s="142">
        <f>B1281*IBGE_2!W$1281/100</f>
        <v>9</v>
      </c>
      <c r="X1281" s="142">
        <f>B1281*IBGE_2!X$1281/100</f>
        <v>6.5000000000000002E-2</v>
      </c>
      <c r="Y1281" s="142">
        <f>B1281*IBGE_2!Y$1281/100</f>
        <v>0.11600000000000002</v>
      </c>
      <c r="Z1281" s="142">
        <f>B1281*IBGE_2!Z$1281/100</f>
        <v>0.6</v>
      </c>
      <c r="AA1281" s="142">
        <f>B1281*IBGE_2!AA$1281/100</f>
        <v>12.420999999999999</v>
      </c>
      <c r="AB1281" s="142" t="s">
        <v>3047</v>
      </c>
      <c r="AC1281" s="142">
        <f>B1281*IBGE_2!AC$1281/100</f>
        <v>18.437999999999999</v>
      </c>
      <c r="AD1281" s="142">
        <f>B1281*IBGE_2!AD$1281/100</f>
        <v>0.34</v>
      </c>
      <c r="AE1281" s="142">
        <f>B1281*IBGE_2!AE$1281/100</f>
        <v>4</v>
      </c>
      <c r="AF1281" s="142">
        <f>B1281*IBGE_2!AF$1281/100</f>
        <v>0.2</v>
      </c>
      <c r="AG1281" s="142">
        <f>B1281*IBGE_2!AG$1281/100</f>
        <v>0.48</v>
      </c>
      <c r="AH1281" s="142">
        <f>B1281*IBGE_2!AH$1281/100</f>
        <v>0.10400000000000001</v>
      </c>
      <c r="AI1281" s="142">
        <f>B1281*IBGE_2!AI$1281/100</f>
        <v>333</v>
      </c>
      <c r="AJ1281" s="142">
        <f>B1281*IBGE_2!AJ$1281/100</f>
        <v>25.574999999999999</v>
      </c>
      <c r="AK1281" s="142">
        <f>B1281*IBGE_2!AK$1281/100</f>
        <v>9</v>
      </c>
      <c r="AL1281" s="142" t="s">
        <v>3047</v>
      </c>
      <c r="AM1281" s="142" t="s">
        <v>3047</v>
      </c>
      <c r="AN1281" s="161"/>
    </row>
    <row r="1282" spans="1:40">
      <c r="A1282" s="143" t="s">
        <v>2342</v>
      </c>
      <c r="B1282" s="141">
        <v>100</v>
      </c>
      <c r="C1282" s="142">
        <f>B1282*IBGE_2!C$1282/100</f>
        <v>195.65899999999999</v>
      </c>
      <c r="D1282" s="142">
        <f>B1282*IBGE_2!D$1282/100</f>
        <v>30.91</v>
      </c>
      <c r="E1282" s="142">
        <f>B1282*IBGE_2!E$1282/100</f>
        <v>7.0730000000000004</v>
      </c>
      <c r="F1282" s="142">
        <f>B1282*IBGE_2!F$1282/100</f>
        <v>1.671</v>
      </c>
      <c r="G1282" s="142">
        <f>B1282*IBGE_2!G$1282/100</f>
        <v>2.1240000000000001</v>
      </c>
      <c r="H1282" s="142">
        <f>B1282*IBGE_2!H$1282/100</f>
        <v>2.46</v>
      </c>
      <c r="I1282" s="142">
        <f>B1282*IBGE_2!I$1282/100</f>
        <v>2.0459999999999998</v>
      </c>
      <c r="J1282" s="142">
        <f>B1282*IBGE_2!J$1282/100</f>
        <v>0.214</v>
      </c>
      <c r="K1282" s="142">
        <f>B1282*IBGE_2!K$1282/100</f>
        <v>85</v>
      </c>
      <c r="L1282" s="142" t="s">
        <v>3047</v>
      </c>
      <c r="M1282" s="142" t="s">
        <v>3047</v>
      </c>
      <c r="N1282" s="142">
        <f>B1282*IBGE_2!N$1282/100</f>
        <v>15</v>
      </c>
      <c r="O1282" s="142">
        <f>B1282*IBGE_2!O$1282/100</f>
        <v>27</v>
      </c>
      <c r="P1282" s="142">
        <f>B1282*IBGE_2!P$1282/100</f>
        <v>1.7000000000000001E-2</v>
      </c>
      <c r="Q1282" s="142">
        <f>B1282*IBGE_2!Q$1282/100</f>
        <v>216</v>
      </c>
      <c r="R1282" s="142">
        <f>B1282*IBGE_2!R$1282/100</f>
        <v>1.0609999999999999</v>
      </c>
      <c r="S1282" s="142">
        <f>B1282*IBGE_2!S$1282/100</f>
        <v>77</v>
      </c>
      <c r="T1282" s="142">
        <f>B1282*IBGE_2!T$1282/100</f>
        <v>247</v>
      </c>
      <c r="U1282" s="142">
        <f>B1282*IBGE_2!U$1282/100</f>
        <v>0.05</v>
      </c>
      <c r="V1282" s="142">
        <f>B1282*IBGE_2!V$1282/100</f>
        <v>1.23</v>
      </c>
      <c r="W1282" s="142">
        <f>B1282*IBGE_2!W$1282/100</f>
        <v>9</v>
      </c>
      <c r="X1282" s="142">
        <f>B1282*IBGE_2!X$1282/100</f>
        <v>6.5000000000000002E-2</v>
      </c>
      <c r="Y1282" s="142">
        <f>B1282*IBGE_2!Y$1282/100</f>
        <v>0.11600000000000002</v>
      </c>
      <c r="Z1282" s="142">
        <f>B1282*IBGE_2!Z$1282/100</f>
        <v>0.6</v>
      </c>
      <c r="AA1282" s="142">
        <f>B1282*IBGE_2!AA$1282/100</f>
        <v>12.420999999999999</v>
      </c>
      <c r="AB1282" s="142" t="s">
        <v>3047</v>
      </c>
      <c r="AC1282" s="142">
        <f>B1282*IBGE_2!AC$1282/100</f>
        <v>18.437999999999999</v>
      </c>
      <c r="AD1282" s="142">
        <f>B1282*IBGE_2!AD$1282/100</f>
        <v>0.34</v>
      </c>
      <c r="AE1282" s="142">
        <f>B1282*IBGE_2!AE$1282/100</f>
        <v>4</v>
      </c>
      <c r="AF1282" s="142">
        <f>B1282*IBGE_2!AF$1282/100</f>
        <v>0.2</v>
      </c>
      <c r="AG1282" s="142">
        <f>B1282*IBGE_2!AG$1282/100</f>
        <v>0.48</v>
      </c>
      <c r="AH1282" s="142">
        <f>B1282*IBGE_2!AH$1282/100</f>
        <v>0.10400000000000001</v>
      </c>
      <c r="AI1282" s="142">
        <f>B1282*IBGE_2!AI$1282/100</f>
        <v>333</v>
      </c>
      <c r="AJ1282" s="142">
        <f>B1282*IBGE_2!AJ$1282/100</f>
        <v>25.574999999999999</v>
      </c>
      <c r="AK1282" s="142">
        <f>B1282*IBGE_2!AK$1282/100</f>
        <v>9</v>
      </c>
      <c r="AL1282" s="142" t="s">
        <v>3047</v>
      </c>
      <c r="AM1282" s="142" t="s">
        <v>3047</v>
      </c>
      <c r="AN1282" s="161"/>
    </row>
    <row r="1283" spans="1:40">
      <c r="A1283" s="143" t="s">
        <v>2343</v>
      </c>
      <c r="B1283" s="141">
        <v>100</v>
      </c>
      <c r="C1283" s="142">
        <f>B1283*IBGE_2!C$1283/100</f>
        <v>173</v>
      </c>
      <c r="D1283" s="142">
        <f>B1283*IBGE_2!D$1283/100</f>
        <v>30.91</v>
      </c>
      <c r="E1283" s="142">
        <f>B1283*IBGE_2!E$1283/100</f>
        <v>4.51</v>
      </c>
      <c r="F1283" s="142">
        <f>B1283*IBGE_2!F$1283/100</f>
        <v>1.27</v>
      </c>
      <c r="G1283" s="142">
        <f>B1283*IBGE_2!G$1283/100</f>
        <v>1.54</v>
      </c>
      <c r="H1283" s="142">
        <f>B1283*IBGE_2!H$1283/100</f>
        <v>0.98</v>
      </c>
      <c r="I1283" s="142">
        <f>B1283*IBGE_2!I$1283/100</f>
        <v>0.74</v>
      </c>
      <c r="J1283" s="142">
        <f>B1283*IBGE_2!J$1283/100</f>
        <v>0.04</v>
      </c>
      <c r="K1283" s="142">
        <f>B1283*IBGE_2!K$1283/100</f>
        <v>85</v>
      </c>
      <c r="L1283" s="142" t="s">
        <v>3047</v>
      </c>
      <c r="M1283" s="142" t="s">
        <v>3047</v>
      </c>
      <c r="N1283" s="142">
        <f>B1283*IBGE_2!N$1283/100</f>
        <v>15</v>
      </c>
      <c r="O1283" s="142">
        <f>B1283*IBGE_2!O$1283/100</f>
        <v>27</v>
      </c>
      <c r="P1283" s="142">
        <f>B1283*IBGE_2!P$1283/100</f>
        <v>1.7000000000000001E-2</v>
      </c>
      <c r="Q1283" s="142">
        <f>B1283*IBGE_2!Q$1283/100</f>
        <v>216</v>
      </c>
      <c r="R1283" s="142">
        <f>B1283*IBGE_2!R$1283/100</f>
        <v>1.06</v>
      </c>
      <c r="S1283" s="142">
        <f>B1283*IBGE_2!S$1283/100</f>
        <v>77</v>
      </c>
      <c r="T1283" s="142">
        <f>B1283*IBGE_2!T$1283/100</f>
        <v>247</v>
      </c>
      <c r="U1283" s="142">
        <f>B1283*IBGE_2!U$1283/100</f>
        <v>0.05</v>
      </c>
      <c r="V1283" s="142">
        <f>B1283*IBGE_2!V$1283/100</f>
        <v>1.23</v>
      </c>
      <c r="W1283" s="142">
        <f>B1283*IBGE_2!W$1283/100</f>
        <v>9</v>
      </c>
      <c r="X1283" s="142">
        <f>B1283*IBGE_2!X$1283/100</f>
        <v>6.5000000000000002E-2</v>
      </c>
      <c r="Y1283" s="142">
        <f>B1283*IBGE_2!Y$1283/100</f>
        <v>0.11600000000000002</v>
      </c>
      <c r="Z1283" s="142">
        <f>B1283*IBGE_2!Z$1283/100</f>
        <v>0.6</v>
      </c>
      <c r="AA1283" s="142">
        <f>B1283*IBGE_2!AA$1283/100</f>
        <v>12.420999999999999</v>
      </c>
      <c r="AB1283" s="142" t="s">
        <v>3047</v>
      </c>
      <c r="AC1283" s="142">
        <f>B1283*IBGE_2!AC$1283/100</f>
        <v>18.437999999999999</v>
      </c>
      <c r="AD1283" s="142">
        <f>B1283*IBGE_2!AD$1283/100</f>
        <v>0.34</v>
      </c>
      <c r="AE1283" s="142">
        <f>B1283*IBGE_2!AE$1283/100</f>
        <v>4</v>
      </c>
      <c r="AF1283" s="142">
        <f>B1283*IBGE_2!AF$1283/100</f>
        <v>0.2</v>
      </c>
      <c r="AG1283" s="142">
        <f>B1283*IBGE_2!AG$1283/100</f>
        <v>0.27</v>
      </c>
      <c r="AH1283" s="142">
        <f>B1283*IBGE_2!AH$1283/100</f>
        <v>0.09</v>
      </c>
      <c r="AI1283" s="142">
        <f>B1283*IBGE_2!AI$1283/100</f>
        <v>333</v>
      </c>
      <c r="AJ1283" s="142">
        <f>B1283*IBGE_2!AJ$1283/100</f>
        <v>24.4</v>
      </c>
      <c r="AK1283" s="142">
        <f>B1283*IBGE_2!AK$1283/100</f>
        <v>9</v>
      </c>
      <c r="AL1283" s="142" t="s">
        <v>3047</v>
      </c>
      <c r="AM1283" s="142" t="s">
        <v>3047</v>
      </c>
      <c r="AN1283" s="161"/>
    </row>
    <row r="1284" spans="1:40">
      <c r="A1284" s="143" t="s">
        <v>2344</v>
      </c>
      <c r="B1284" s="141">
        <v>100</v>
      </c>
      <c r="C1284" s="142">
        <f>B1284*IBGE_2!C$1284/100</f>
        <v>173</v>
      </c>
      <c r="D1284" s="142">
        <f>B1284*IBGE_2!D$1284/100</f>
        <v>30.91</v>
      </c>
      <c r="E1284" s="142">
        <f>B1284*IBGE_2!E$1284/100</f>
        <v>4.51</v>
      </c>
      <c r="F1284" s="142">
        <f>B1284*IBGE_2!F$1284/100</f>
        <v>1.27</v>
      </c>
      <c r="G1284" s="142">
        <f>B1284*IBGE_2!G$1284/100</f>
        <v>1.54</v>
      </c>
      <c r="H1284" s="142">
        <f>B1284*IBGE_2!H$1284/100</f>
        <v>0.98</v>
      </c>
      <c r="I1284" s="142">
        <f>B1284*IBGE_2!I$1284/100</f>
        <v>0.74</v>
      </c>
      <c r="J1284" s="142">
        <f>B1284*IBGE_2!J$1284/100</f>
        <v>0.04</v>
      </c>
      <c r="K1284" s="142">
        <f>B1284*IBGE_2!K$1284/100</f>
        <v>85</v>
      </c>
      <c r="L1284" s="142" t="s">
        <v>3047</v>
      </c>
      <c r="M1284" s="142" t="s">
        <v>3047</v>
      </c>
      <c r="N1284" s="142">
        <f>B1284*IBGE_2!N$1284/100</f>
        <v>15</v>
      </c>
      <c r="O1284" s="142">
        <f>B1284*IBGE_2!O$1284/100</f>
        <v>27</v>
      </c>
      <c r="P1284" s="142">
        <f>B1284*IBGE_2!P$1284/100</f>
        <v>1.7000000000000001E-2</v>
      </c>
      <c r="Q1284" s="142">
        <f>B1284*IBGE_2!Q$1284/100</f>
        <v>216</v>
      </c>
      <c r="R1284" s="142">
        <f>B1284*IBGE_2!R$1284/100</f>
        <v>1.06</v>
      </c>
      <c r="S1284" s="142">
        <f>B1284*IBGE_2!S$1284/100</f>
        <v>77</v>
      </c>
      <c r="T1284" s="142">
        <f>B1284*IBGE_2!T$1284/100</f>
        <v>247</v>
      </c>
      <c r="U1284" s="142">
        <f>B1284*IBGE_2!U$1284/100</f>
        <v>0.05</v>
      </c>
      <c r="V1284" s="142">
        <f>B1284*IBGE_2!V$1284/100</f>
        <v>1.23</v>
      </c>
      <c r="W1284" s="142">
        <f>B1284*IBGE_2!W$1284/100</f>
        <v>9</v>
      </c>
      <c r="X1284" s="142">
        <f>B1284*IBGE_2!X$1284/100</f>
        <v>6.5000000000000002E-2</v>
      </c>
      <c r="Y1284" s="142">
        <f>B1284*IBGE_2!Y$1284/100</f>
        <v>0.11600000000000002</v>
      </c>
      <c r="Z1284" s="142">
        <f>B1284*IBGE_2!Z$1284/100</f>
        <v>0.6</v>
      </c>
      <c r="AA1284" s="142">
        <f>B1284*IBGE_2!AA$1284/100</f>
        <v>12.420999999999999</v>
      </c>
      <c r="AB1284" s="142" t="s">
        <v>3047</v>
      </c>
      <c r="AC1284" s="142">
        <f>B1284*IBGE_2!AC$1284/100</f>
        <v>18.437999999999999</v>
      </c>
      <c r="AD1284" s="142">
        <f>B1284*IBGE_2!AD$1284/100</f>
        <v>0.34</v>
      </c>
      <c r="AE1284" s="142">
        <f>B1284*IBGE_2!AE$1284/100</f>
        <v>4</v>
      </c>
      <c r="AF1284" s="142">
        <f>B1284*IBGE_2!AF$1284/100</f>
        <v>0.2</v>
      </c>
      <c r="AG1284" s="142">
        <f>B1284*IBGE_2!AG$1284/100</f>
        <v>0.27</v>
      </c>
      <c r="AH1284" s="142">
        <f>B1284*IBGE_2!AH$1284/100</f>
        <v>0.09</v>
      </c>
      <c r="AI1284" s="142">
        <f>B1284*IBGE_2!AI$1284/100</f>
        <v>333</v>
      </c>
      <c r="AJ1284" s="142">
        <f>B1284*IBGE_2!AJ$1284/100</f>
        <v>24.4</v>
      </c>
      <c r="AK1284" s="142">
        <f>B1284*IBGE_2!AK$1284/100</f>
        <v>9</v>
      </c>
      <c r="AL1284" s="142" t="s">
        <v>3047</v>
      </c>
      <c r="AM1284" s="142" t="s">
        <v>3047</v>
      </c>
      <c r="AN1284" s="161"/>
    </row>
    <row r="1285" spans="1:40">
      <c r="A1285" s="143" t="s">
        <v>2345</v>
      </c>
      <c r="B1285" s="141">
        <v>100</v>
      </c>
      <c r="C1285" s="142">
        <f>B1285*IBGE_2!C$1285/100</f>
        <v>173</v>
      </c>
      <c r="D1285" s="142">
        <f>B1285*IBGE_2!D$1285/100</f>
        <v>30.91</v>
      </c>
      <c r="E1285" s="142">
        <f>B1285*IBGE_2!E$1285/100</f>
        <v>4.51</v>
      </c>
      <c r="F1285" s="142">
        <f>B1285*IBGE_2!F$1285/100</f>
        <v>1.27</v>
      </c>
      <c r="G1285" s="142">
        <f>B1285*IBGE_2!G$1285/100</f>
        <v>1.54</v>
      </c>
      <c r="H1285" s="142">
        <f>B1285*IBGE_2!H$1285/100</f>
        <v>0.98</v>
      </c>
      <c r="I1285" s="142">
        <f>B1285*IBGE_2!I$1285/100</f>
        <v>0.74</v>
      </c>
      <c r="J1285" s="142">
        <f>B1285*IBGE_2!J$1285/100</f>
        <v>0.04</v>
      </c>
      <c r="K1285" s="142">
        <f>B1285*IBGE_2!K$1285/100</f>
        <v>85</v>
      </c>
      <c r="L1285" s="142" t="s">
        <v>3047</v>
      </c>
      <c r="M1285" s="142" t="s">
        <v>3047</v>
      </c>
      <c r="N1285" s="142">
        <f>B1285*IBGE_2!N$1285/100</f>
        <v>15</v>
      </c>
      <c r="O1285" s="142">
        <f>B1285*IBGE_2!O$1285/100</f>
        <v>27</v>
      </c>
      <c r="P1285" s="142">
        <f>B1285*IBGE_2!P$1285/100</f>
        <v>1.7000000000000001E-2</v>
      </c>
      <c r="Q1285" s="142">
        <f>B1285*IBGE_2!Q$1285/100</f>
        <v>216</v>
      </c>
      <c r="R1285" s="142">
        <f>B1285*IBGE_2!R$1285/100</f>
        <v>1.06</v>
      </c>
      <c r="S1285" s="142">
        <f>B1285*IBGE_2!S$1285/100</f>
        <v>77</v>
      </c>
      <c r="T1285" s="142">
        <f>B1285*IBGE_2!T$1285/100</f>
        <v>247</v>
      </c>
      <c r="U1285" s="142">
        <f>B1285*IBGE_2!U$1285/100</f>
        <v>0.05</v>
      </c>
      <c r="V1285" s="142">
        <f>B1285*IBGE_2!V$1285/100</f>
        <v>1.23</v>
      </c>
      <c r="W1285" s="142">
        <f>B1285*IBGE_2!W$1285/100</f>
        <v>9</v>
      </c>
      <c r="X1285" s="142">
        <f>B1285*IBGE_2!X$1285/100</f>
        <v>6.5000000000000002E-2</v>
      </c>
      <c r="Y1285" s="142">
        <f>B1285*IBGE_2!Y$1285/100</f>
        <v>0.11600000000000002</v>
      </c>
      <c r="Z1285" s="142">
        <f>B1285*IBGE_2!Z$1285/100</f>
        <v>0.6</v>
      </c>
      <c r="AA1285" s="142">
        <f>B1285*IBGE_2!AA$1285/100</f>
        <v>12.420999999999999</v>
      </c>
      <c r="AB1285" s="142" t="s">
        <v>3047</v>
      </c>
      <c r="AC1285" s="142">
        <f>B1285*IBGE_2!AC$1285/100</f>
        <v>18.437999999999999</v>
      </c>
      <c r="AD1285" s="142">
        <f>B1285*IBGE_2!AD$1285/100</f>
        <v>0.34</v>
      </c>
      <c r="AE1285" s="142">
        <f>B1285*IBGE_2!AE$1285/100</f>
        <v>4</v>
      </c>
      <c r="AF1285" s="142">
        <f>B1285*IBGE_2!AF$1285/100</f>
        <v>0.2</v>
      </c>
      <c r="AG1285" s="142">
        <f>B1285*IBGE_2!AG$1285/100</f>
        <v>0.27</v>
      </c>
      <c r="AH1285" s="142">
        <f>B1285*IBGE_2!AH$1285/100</f>
        <v>0.09</v>
      </c>
      <c r="AI1285" s="142">
        <f>B1285*IBGE_2!AI$1285/100</f>
        <v>333</v>
      </c>
      <c r="AJ1285" s="142">
        <f>B1285*IBGE_2!AJ$1285/100</f>
        <v>24.4</v>
      </c>
      <c r="AK1285" s="142">
        <f>B1285*IBGE_2!AK$1285/100</f>
        <v>9</v>
      </c>
      <c r="AL1285" s="142" t="s">
        <v>3047</v>
      </c>
      <c r="AM1285" s="142" t="s">
        <v>3047</v>
      </c>
      <c r="AN1285" s="161"/>
    </row>
    <row r="1286" spans="1:40">
      <c r="A1286" s="143" t="s">
        <v>2346</v>
      </c>
      <c r="B1286" s="141">
        <v>100</v>
      </c>
      <c r="C1286" s="142">
        <f>B1286*IBGE_2!C$1286/100</f>
        <v>195.65899999999999</v>
      </c>
      <c r="D1286" s="142">
        <f>B1286*IBGE_2!D$1286/100</f>
        <v>30.91</v>
      </c>
      <c r="E1286" s="142">
        <f>B1286*IBGE_2!E$1286/100</f>
        <v>7.0730000000000004</v>
      </c>
      <c r="F1286" s="142">
        <f>B1286*IBGE_2!F$1286/100</f>
        <v>1.671</v>
      </c>
      <c r="G1286" s="142">
        <f>B1286*IBGE_2!G$1286/100</f>
        <v>2.1240000000000001</v>
      </c>
      <c r="H1286" s="142">
        <f>B1286*IBGE_2!H$1286/100</f>
        <v>2.46</v>
      </c>
      <c r="I1286" s="142">
        <f>B1286*IBGE_2!I$1286/100</f>
        <v>2.0459999999999998</v>
      </c>
      <c r="J1286" s="142">
        <f>B1286*IBGE_2!J$1286/100</f>
        <v>0.214</v>
      </c>
      <c r="K1286" s="142">
        <f>B1286*IBGE_2!K$1286/100</f>
        <v>85</v>
      </c>
      <c r="L1286" s="142" t="s">
        <v>3047</v>
      </c>
      <c r="M1286" s="142" t="s">
        <v>3047</v>
      </c>
      <c r="N1286" s="142">
        <f>B1286*IBGE_2!N$1286/100</f>
        <v>15</v>
      </c>
      <c r="O1286" s="142">
        <f>B1286*IBGE_2!O$1286/100</f>
        <v>27</v>
      </c>
      <c r="P1286" s="142">
        <f>B1286*IBGE_2!P$1286/100</f>
        <v>1.7000000000000001E-2</v>
      </c>
      <c r="Q1286" s="142">
        <f>B1286*IBGE_2!Q$1286/100</f>
        <v>216</v>
      </c>
      <c r="R1286" s="142">
        <f>B1286*IBGE_2!R$1286/100</f>
        <v>1.0609999999999999</v>
      </c>
      <c r="S1286" s="142">
        <f>B1286*IBGE_2!S$1286/100</f>
        <v>77</v>
      </c>
      <c r="T1286" s="142">
        <f>B1286*IBGE_2!T$1286/100</f>
        <v>247</v>
      </c>
      <c r="U1286" s="142">
        <f>B1286*IBGE_2!U$1286/100</f>
        <v>0.05</v>
      </c>
      <c r="V1286" s="142">
        <f>B1286*IBGE_2!V$1286/100</f>
        <v>1.23</v>
      </c>
      <c r="W1286" s="142">
        <f>B1286*IBGE_2!W$1286/100</f>
        <v>9</v>
      </c>
      <c r="X1286" s="142">
        <f>B1286*IBGE_2!X$1286/100</f>
        <v>6.5000000000000002E-2</v>
      </c>
      <c r="Y1286" s="142">
        <f>B1286*IBGE_2!Y$1286/100</f>
        <v>0.11600000000000002</v>
      </c>
      <c r="Z1286" s="142">
        <f>B1286*IBGE_2!Z$1286/100</f>
        <v>0.6</v>
      </c>
      <c r="AA1286" s="142">
        <f>B1286*IBGE_2!AA$1286/100</f>
        <v>12.420999999999999</v>
      </c>
      <c r="AB1286" s="142" t="s">
        <v>3047</v>
      </c>
      <c r="AC1286" s="142">
        <f>B1286*IBGE_2!AC$1286/100</f>
        <v>18.437999999999999</v>
      </c>
      <c r="AD1286" s="142">
        <f>B1286*IBGE_2!AD$1286/100</f>
        <v>0.34</v>
      </c>
      <c r="AE1286" s="142">
        <f>B1286*IBGE_2!AE$1286/100</f>
        <v>4</v>
      </c>
      <c r="AF1286" s="142">
        <f>B1286*IBGE_2!AF$1286/100</f>
        <v>0.2</v>
      </c>
      <c r="AG1286" s="142">
        <f>B1286*IBGE_2!AG$1286/100</f>
        <v>0.48</v>
      </c>
      <c r="AH1286" s="142">
        <f>B1286*IBGE_2!AH$1286/100</f>
        <v>0.10400000000000001</v>
      </c>
      <c r="AI1286" s="142">
        <f>B1286*IBGE_2!AI$1286/100</f>
        <v>333</v>
      </c>
      <c r="AJ1286" s="142">
        <f>B1286*IBGE_2!AJ$1286/100</f>
        <v>25.574999999999999</v>
      </c>
      <c r="AK1286" s="142">
        <f>B1286*IBGE_2!AK$1286/100</f>
        <v>9</v>
      </c>
      <c r="AL1286" s="142" t="s">
        <v>3047</v>
      </c>
      <c r="AM1286" s="142" t="s">
        <v>3047</v>
      </c>
      <c r="AN1286" s="161"/>
    </row>
    <row r="1287" spans="1:40">
      <c r="A1287" s="143" t="s">
        <v>2347</v>
      </c>
      <c r="B1287" s="141">
        <v>100</v>
      </c>
      <c r="C1287" s="142">
        <f>B1287*IBGE_2!C$1287/100</f>
        <v>195.65899999999999</v>
      </c>
      <c r="D1287" s="142">
        <f>B1287*IBGE_2!D$1287/100</f>
        <v>30.91</v>
      </c>
      <c r="E1287" s="142">
        <f>B1287*IBGE_2!E$1287/100</f>
        <v>7.0730000000000004</v>
      </c>
      <c r="F1287" s="142">
        <f>B1287*IBGE_2!F$1287/100</f>
        <v>1.671</v>
      </c>
      <c r="G1287" s="142">
        <f>B1287*IBGE_2!G$1287/100</f>
        <v>2.1240000000000001</v>
      </c>
      <c r="H1287" s="142">
        <f>B1287*IBGE_2!H$1287/100</f>
        <v>2.46</v>
      </c>
      <c r="I1287" s="142">
        <f>B1287*IBGE_2!I$1287/100</f>
        <v>2.0459999999999998</v>
      </c>
      <c r="J1287" s="142">
        <f>B1287*IBGE_2!J$1287/100</f>
        <v>0.214</v>
      </c>
      <c r="K1287" s="142">
        <f>B1287*IBGE_2!K$1287/100</f>
        <v>85</v>
      </c>
      <c r="L1287" s="142" t="s">
        <v>3047</v>
      </c>
      <c r="M1287" s="142" t="s">
        <v>3047</v>
      </c>
      <c r="N1287" s="142">
        <f>B1287*IBGE_2!N$1287/100</f>
        <v>15</v>
      </c>
      <c r="O1287" s="142">
        <f>B1287*IBGE_2!O$1287/100</f>
        <v>27</v>
      </c>
      <c r="P1287" s="142">
        <f>B1287*IBGE_2!P$1287/100</f>
        <v>1.7000000000000001E-2</v>
      </c>
      <c r="Q1287" s="142">
        <f>B1287*IBGE_2!Q$1287/100</f>
        <v>216</v>
      </c>
      <c r="R1287" s="142">
        <f>B1287*IBGE_2!R$1287/100</f>
        <v>1.0609999999999999</v>
      </c>
      <c r="S1287" s="142">
        <f>B1287*IBGE_2!S$1287/100</f>
        <v>77</v>
      </c>
      <c r="T1287" s="142">
        <f>B1287*IBGE_2!T$1287/100</f>
        <v>247</v>
      </c>
      <c r="U1287" s="142">
        <f>B1287*IBGE_2!U$1287/100</f>
        <v>0.05</v>
      </c>
      <c r="V1287" s="142">
        <f>B1287*IBGE_2!V$1287/100</f>
        <v>1.23</v>
      </c>
      <c r="W1287" s="142">
        <f>B1287*IBGE_2!W$1287/100</f>
        <v>9</v>
      </c>
      <c r="X1287" s="142">
        <f>B1287*IBGE_2!X$1287/100</f>
        <v>6.5000000000000002E-2</v>
      </c>
      <c r="Y1287" s="142">
        <f>B1287*IBGE_2!Y$1287/100</f>
        <v>0.11600000000000002</v>
      </c>
      <c r="Z1287" s="142">
        <f>B1287*IBGE_2!Z$1287/100</f>
        <v>0.6</v>
      </c>
      <c r="AA1287" s="142">
        <f>B1287*IBGE_2!AA$1287/100</f>
        <v>12.420999999999999</v>
      </c>
      <c r="AB1287" s="142" t="s">
        <v>3047</v>
      </c>
      <c r="AC1287" s="142">
        <f>B1287*IBGE_2!AC$1287/100</f>
        <v>18.437999999999999</v>
      </c>
      <c r="AD1287" s="142">
        <f>B1287*IBGE_2!AD$1287/100</f>
        <v>0.34</v>
      </c>
      <c r="AE1287" s="142">
        <f>B1287*IBGE_2!AE$1287/100</f>
        <v>4</v>
      </c>
      <c r="AF1287" s="142">
        <f>B1287*IBGE_2!AF$1287/100</f>
        <v>0.2</v>
      </c>
      <c r="AG1287" s="142">
        <f>B1287*IBGE_2!AG$1287/100</f>
        <v>0.48</v>
      </c>
      <c r="AH1287" s="142">
        <f>B1287*IBGE_2!AH$1287/100</f>
        <v>0.10400000000000001</v>
      </c>
      <c r="AI1287" s="142">
        <f>B1287*IBGE_2!AI$1287/100</f>
        <v>333</v>
      </c>
      <c r="AJ1287" s="142">
        <f>B1287*IBGE_2!AJ$1287/100</f>
        <v>25.574999999999999</v>
      </c>
      <c r="AK1287" s="142">
        <f>B1287*IBGE_2!AK$1287/100</f>
        <v>9</v>
      </c>
      <c r="AL1287" s="142" t="s">
        <v>3047</v>
      </c>
      <c r="AM1287" s="142" t="s">
        <v>3047</v>
      </c>
      <c r="AN1287" s="161"/>
    </row>
    <row r="1288" spans="1:40">
      <c r="A1288" s="143" t="s">
        <v>2348</v>
      </c>
      <c r="B1288" s="141">
        <v>100</v>
      </c>
      <c r="C1288" s="142">
        <f>B1288*IBGE_2!C$1288/100</f>
        <v>195.65899999999999</v>
      </c>
      <c r="D1288" s="142">
        <f>B1288*IBGE_2!D$1288/100</f>
        <v>30.91</v>
      </c>
      <c r="E1288" s="142">
        <f>B1288*IBGE_2!E$1288/100</f>
        <v>7.0730000000000004</v>
      </c>
      <c r="F1288" s="142">
        <f>B1288*IBGE_2!F$1288/100</f>
        <v>1.671</v>
      </c>
      <c r="G1288" s="142">
        <f>B1288*IBGE_2!G$1288/100</f>
        <v>2.1240000000000001</v>
      </c>
      <c r="H1288" s="142">
        <f>B1288*IBGE_2!H$1288/100</f>
        <v>2.46</v>
      </c>
      <c r="I1288" s="142">
        <f>B1288*IBGE_2!I$1288/100</f>
        <v>2.0459999999999998</v>
      </c>
      <c r="J1288" s="142">
        <f>B1288*IBGE_2!J$1288/100</f>
        <v>0.214</v>
      </c>
      <c r="K1288" s="142">
        <f>B1288*IBGE_2!K$1288/100</f>
        <v>85</v>
      </c>
      <c r="L1288" s="142" t="s">
        <v>3047</v>
      </c>
      <c r="M1288" s="142" t="s">
        <v>3047</v>
      </c>
      <c r="N1288" s="142">
        <f>B1288*IBGE_2!N$1288/100</f>
        <v>15</v>
      </c>
      <c r="O1288" s="142">
        <f>B1288*IBGE_2!O$1288/100</f>
        <v>27</v>
      </c>
      <c r="P1288" s="142">
        <f>B1288*IBGE_2!P$1288/100</f>
        <v>1.7000000000000001E-2</v>
      </c>
      <c r="Q1288" s="142">
        <f>B1288*IBGE_2!Q$1288/100</f>
        <v>216</v>
      </c>
      <c r="R1288" s="142">
        <f>B1288*IBGE_2!R$1288/100</f>
        <v>1.0609999999999999</v>
      </c>
      <c r="S1288" s="142">
        <f>B1288*IBGE_2!S$1288/100</f>
        <v>77</v>
      </c>
      <c r="T1288" s="142">
        <f>B1288*IBGE_2!T$1288/100</f>
        <v>247</v>
      </c>
      <c r="U1288" s="142">
        <f>B1288*IBGE_2!U$1288/100</f>
        <v>0.05</v>
      </c>
      <c r="V1288" s="142">
        <f>B1288*IBGE_2!V$1288/100</f>
        <v>1.23</v>
      </c>
      <c r="W1288" s="142">
        <f>B1288*IBGE_2!W$1288/100</f>
        <v>9</v>
      </c>
      <c r="X1288" s="142">
        <f>B1288*IBGE_2!X$1288/100</f>
        <v>6.5000000000000002E-2</v>
      </c>
      <c r="Y1288" s="142">
        <f>B1288*IBGE_2!Y$1288/100</f>
        <v>0.11600000000000002</v>
      </c>
      <c r="Z1288" s="142">
        <f>B1288*IBGE_2!Z$1288/100</f>
        <v>0.6</v>
      </c>
      <c r="AA1288" s="142">
        <f>B1288*IBGE_2!AA$1288/100</f>
        <v>12.420999999999999</v>
      </c>
      <c r="AB1288" s="142" t="s">
        <v>3047</v>
      </c>
      <c r="AC1288" s="142">
        <f>B1288*IBGE_2!AC$1288/100</f>
        <v>18.437999999999999</v>
      </c>
      <c r="AD1288" s="142">
        <f>B1288*IBGE_2!AD$1288/100</f>
        <v>0.34</v>
      </c>
      <c r="AE1288" s="142">
        <f>B1288*IBGE_2!AE$1288/100</f>
        <v>4</v>
      </c>
      <c r="AF1288" s="142">
        <f>B1288*IBGE_2!AF$1288/100</f>
        <v>0.2</v>
      </c>
      <c r="AG1288" s="142">
        <f>B1288*IBGE_2!AG$1288/100</f>
        <v>0.48</v>
      </c>
      <c r="AH1288" s="142">
        <f>B1288*IBGE_2!AH$1288/100</f>
        <v>0.10400000000000001</v>
      </c>
      <c r="AI1288" s="142">
        <f>B1288*IBGE_2!AI$1288/100</f>
        <v>333</v>
      </c>
      <c r="AJ1288" s="142">
        <f>B1288*IBGE_2!AJ$1288/100</f>
        <v>25.574999999999999</v>
      </c>
      <c r="AK1288" s="142">
        <f>B1288*IBGE_2!AK$1288/100</f>
        <v>9</v>
      </c>
      <c r="AL1288" s="142" t="s">
        <v>3047</v>
      </c>
      <c r="AM1288" s="142" t="s">
        <v>3047</v>
      </c>
      <c r="AN1288" s="161"/>
    </row>
    <row r="1289" spans="1:40">
      <c r="A1289" s="143" t="s">
        <v>2349</v>
      </c>
      <c r="B1289" s="141">
        <v>100</v>
      </c>
      <c r="C1289" s="142">
        <f>B1289*IBGE_2!C$1289/100</f>
        <v>290</v>
      </c>
      <c r="D1289" s="142">
        <f>B1289*IBGE_2!D$1289/100</f>
        <v>26.86</v>
      </c>
      <c r="E1289" s="142">
        <f>B1289*IBGE_2!E$1289/100</f>
        <v>19.46</v>
      </c>
      <c r="F1289" s="142">
        <f>B1289*IBGE_2!F$1289/100</f>
        <v>5.45</v>
      </c>
      <c r="G1289" s="142">
        <f>B1289*IBGE_2!G$1289/100</f>
        <v>7.64</v>
      </c>
      <c r="H1289" s="142">
        <f>B1289*IBGE_2!H$1289/100</f>
        <v>4.1399999999999997</v>
      </c>
      <c r="I1289" s="142">
        <f>B1289*IBGE_2!I$1289/100</f>
        <v>3.57</v>
      </c>
      <c r="J1289" s="142">
        <f>B1289*IBGE_2!J$1289/100</f>
        <v>0.15</v>
      </c>
      <c r="K1289" s="142">
        <f>B1289*IBGE_2!K$1289/100</f>
        <v>84</v>
      </c>
      <c r="L1289" s="142" t="s">
        <v>3047</v>
      </c>
      <c r="M1289" s="142" t="s">
        <v>3047</v>
      </c>
      <c r="N1289" s="142">
        <f>B1289*IBGE_2!N$1289/100</f>
        <v>15</v>
      </c>
      <c r="O1289" s="142">
        <f>B1289*IBGE_2!O$1289/100</f>
        <v>19</v>
      </c>
      <c r="P1289" s="142">
        <f>B1289*IBGE_2!P$1289/100</f>
        <v>1.7999999999999999E-2</v>
      </c>
      <c r="Q1289" s="142">
        <f>B1289*IBGE_2!Q$1289/100</f>
        <v>151</v>
      </c>
      <c r="R1289" s="142">
        <f>B1289*IBGE_2!R$1289/100</f>
        <v>1.27</v>
      </c>
      <c r="S1289" s="142">
        <f>B1289*IBGE_2!S$1289/100</f>
        <v>82</v>
      </c>
      <c r="T1289" s="142">
        <f>B1289*IBGE_2!T$1289/100</f>
        <v>184</v>
      </c>
      <c r="U1289" s="142">
        <f>B1289*IBGE_2!U$1289/100</f>
        <v>5.7000000000000002E-2</v>
      </c>
      <c r="V1289" s="142">
        <f>B1289*IBGE_2!V$1289/100</f>
        <v>1.82</v>
      </c>
      <c r="W1289" s="142">
        <f>B1289*IBGE_2!W$1289/100</f>
        <v>47</v>
      </c>
      <c r="X1289" s="142">
        <f>B1289*IBGE_2!X$1289/100</f>
        <v>4.2000000000000003E-2</v>
      </c>
      <c r="Y1289" s="142">
        <f>B1289*IBGE_2!Y$1289/100</f>
        <v>0.128</v>
      </c>
      <c r="Z1289" s="142">
        <f>B1289*IBGE_2!Z$1289/100</f>
        <v>0.42</v>
      </c>
      <c r="AA1289" s="142">
        <f>B1289*IBGE_2!AA$1289/100</f>
        <v>6.6479999999999997</v>
      </c>
      <c r="AB1289" s="142" t="s">
        <v>3047</v>
      </c>
      <c r="AC1289" s="142">
        <f>B1289*IBGE_2!AC$1289/100</f>
        <v>11.430999999999999</v>
      </c>
      <c r="AD1289" s="142">
        <f>B1289*IBGE_2!AD$1289/100</f>
        <v>0.28999999999999998</v>
      </c>
      <c r="AE1289" s="142">
        <f>B1289*IBGE_2!AE$1289/100</f>
        <v>3</v>
      </c>
      <c r="AF1289" s="142">
        <f>B1289*IBGE_2!AF$1289/100</f>
        <v>0.4</v>
      </c>
      <c r="AG1289" s="142">
        <f>B1289*IBGE_2!AG$1289/100</f>
        <v>0.27</v>
      </c>
      <c r="AH1289" s="142">
        <f>B1289*IBGE_2!AH$1289/100</f>
        <v>0.39</v>
      </c>
      <c r="AI1289" s="142">
        <f>B1289*IBGE_2!AI$1289/100</f>
        <v>333</v>
      </c>
      <c r="AJ1289" s="142">
        <f>B1289*IBGE_2!AJ$1289/100</f>
        <v>22.2</v>
      </c>
      <c r="AK1289" s="142">
        <f>B1289*IBGE_2!AK$1289/100</f>
        <v>47</v>
      </c>
      <c r="AL1289" s="142" t="s">
        <v>3047</v>
      </c>
      <c r="AM1289" s="142" t="s">
        <v>3047</v>
      </c>
      <c r="AN1289" s="161"/>
    </row>
    <row r="1290" spans="1:40">
      <c r="A1290" s="143" t="s">
        <v>2350</v>
      </c>
      <c r="B1290" s="141">
        <v>100</v>
      </c>
      <c r="C1290" s="142">
        <f>B1290*IBGE_2!C$1290/100</f>
        <v>290</v>
      </c>
      <c r="D1290" s="142">
        <f>B1290*IBGE_2!D$1290/100</f>
        <v>26.86</v>
      </c>
      <c r="E1290" s="142">
        <f>B1290*IBGE_2!E$1290/100</f>
        <v>19.46</v>
      </c>
      <c r="F1290" s="142">
        <f>B1290*IBGE_2!F$1290/100</f>
        <v>5.45</v>
      </c>
      <c r="G1290" s="142">
        <f>B1290*IBGE_2!G$1290/100</f>
        <v>7.64</v>
      </c>
      <c r="H1290" s="142">
        <f>B1290*IBGE_2!H$1290/100</f>
        <v>4.1399999999999997</v>
      </c>
      <c r="I1290" s="142">
        <f>B1290*IBGE_2!I$1290/100</f>
        <v>3.57</v>
      </c>
      <c r="J1290" s="142">
        <f>B1290*IBGE_2!J$1290/100</f>
        <v>0.15</v>
      </c>
      <c r="K1290" s="142">
        <f>B1290*IBGE_2!K$1290/100</f>
        <v>84</v>
      </c>
      <c r="L1290" s="142" t="s">
        <v>3047</v>
      </c>
      <c r="M1290" s="142" t="s">
        <v>3047</v>
      </c>
      <c r="N1290" s="142">
        <f>B1290*IBGE_2!N$1290/100</f>
        <v>15</v>
      </c>
      <c r="O1290" s="142">
        <f>B1290*IBGE_2!O$1290/100</f>
        <v>19</v>
      </c>
      <c r="P1290" s="142">
        <f>B1290*IBGE_2!P$1290/100</f>
        <v>1.7999999999999999E-2</v>
      </c>
      <c r="Q1290" s="142">
        <f>B1290*IBGE_2!Q$1290/100</f>
        <v>151</v>
      </c>
      <c r="R1290" s="142">
        <f>B1290*IBGE_2!R$1290/100</f>
        <v>1.27</v>
      </c>
      <c r="S1290" s="142">
        <f>B1290*IBGE_2!S$1290/100</f>
        <v>82</v>
      </c>
      <c r="T1290" s="142">
        <f>B1290*IBGE_2!T$1290/100</f>
        <v>184</v>
      </c>
      <c r="U1290" s="142">
        <f>B1290*IBGE_2!U$1290/100</f>
        <v>5.7000000000000002E-2</v>
      </c>
      <c r="V1290" s="142">
        <f>B1290*IBGE_2!V$1290/100</f>
        <v>1.82</v>
      </c>
      <c r="W1290" s="142">
        <f>B1290*IBGE_2!W$1290/100</f>
        <v>47</v>
      </c>
      <c r="X1290" s="142">
        <f>B1290*IBGE_2!X$1290/100</f>
        <v>4.2000000000000003E-2</v>
      </c>
      <c r="Y1290" s="142">
        <f>B1290*IBGE_2!Y$1290/100</f>
        <v>0.128</v>
      </c>
      <c r="Z1290" s="142">
        <f>B1290*IBGE_2!Z$1290/100</f>
        <v>0.42</v>
      </c>
      <c r="AA1290" s="142">
        <f>B1290*IBGE_2!AA$1290/100</f>
        <v>6.6479999999999997</v>
      </c>
      <c r="AB1290" s="142" t="s">
        <v>3047</v>
      </c>
      <c r="AC1290" s="142">
        <f>B1290*IBGE_2!AC$1290/100</f>
        <v>11.430999999999999</v>
      </c>
      <c r="AD1290" s="142">
        <f>B1290*IBGE_2!AD$1290/100</f>
        <v>0.28999999999999998</v>
      </c>
      <c r="AE1290" s="142">
        <f>B1290*IBGE_2!AE$1290/100</f>
        <v>3</v>
      </c>
      <c r="AF1290" s="142">
        <f>B1290*IBGE_2!AF$1290/100</f>
        <v>0.4</v>
      </c>
      <c r="AG1290" s="142">
        <f>B1290*IBGE_2!AG$1290/100</f>
        <v>0.27</v>
      </c>
      <c r="AH1290" s="142">
        <f>B1290*IBGE_2!AH$1290/100</f>
        <v>0.39</v>
      </c>
      <c r="AI1290" s="142">
        <f>B1290*IBGE_2!AI$1290/100</f>
        <v>333</v>
      </c>
      <c r="AJ1290" s="142">
        <f>B1290*IBGE_2!AJ$1290/100</f>
        <v>22.2</v>
      </c>
      <c r="AK1290" s="142">
        <f>B1290*IBGE_2!AK$1290/100</f>
        <v>47</v>
      </c>
      <c r="AL1290" s="142" t="s">
        <v>3047</v>
      </c>
      <c r="AM1290" s="142" t="s">
        <v>3047</v>
      </c>
      <c r="AN1290" s="161"/>
    </row>
    <row r="1291" spans="1:40">
      <c r="A1291" s="143" t="s">
        <v>2351</v>
      </c>
      <c r="B1291" s="141">
        <v>100</v>
      </c>
      <c r="C1291" s="142">
        <f>B1291*IBGE_2!C$1291/100</f>
        <v>290</v>
      </c>
      <c r="D1291" s="142">
        <f>B1291*IBGE_2!D$1291/100</f>
        <v>26.86</v>
      </c>
      <c r="E1291" s="142">
        <f>B1291*IBGE_2!E$1291/100</f>
        <v>19.46</v>
      </c>
      <c r="F1291" s="142">
        <f>B1291*IBGE_2!F$1291/100</f>
        <v>5.45</v>
      </c>
      <c r="G1291" s="142">
        <f>B1291*IBGE_2!G$1291/100</f>
        <v>7.64</v>
      </c>
      <c r="H1291" s="142">
        <f>B1291*IBGE_2!H$1291/100</f>
        <v>4.1399999999999997</v>
      </c>
      <c r="I1291" s="142">
        <f>B1291*IBGE_2!I$1291/100</f>
        <v>3.57</v>
      </c>
      <c r="J1291" s="142">
        <f>B1291*IBGE_2!J$1291/100</f>
        <v>0.15</v>
      </c>
      <c r="K1291" s="142">
        <f>B1291*IBGE_2!K$1291/100</f>
        <v>84</v>
      </c>
      <c r="L1291" s="142" t="s">
        <v>3047</v>
      </c>
      <c r="M1291" s="142" t="s">
        <v>3047</v>
      </c>
      <c r="N1291" s="142">
        <f>B1291*IBGE_2!N$1291/100</f>
        <v>15</v>
      </c>
      <c r="O1291" s="142">
        <f>B1291*IBGE_2!O$1291/100</f>
        <v>19</v>
      </c>
      <c r="P1291" s="142">
        <f>B1291*IBGE_2!P$1291/100</f>
        <v>1.7999999999999999E-2</v>
      </c>
      <c r="Q1291" s="142">
        <f>B1291*IBGE_2!Q$1291/100</f>
        <v>151</v>
      </c>
      <c r="R1291" s="142">
        <f>B1291*IBGE_2!R$1291/100</f>
        <v>1.27</v>
      </c>
      <c r="S1291" s="142">
        <f>B1291*IBGE_2!S$1291/100</f>
        <v>82</v>
      </c>
      <c r="T1291" s="142">
        <f>B1291*IBGE_2!T$1291/100</f>
        <v>184</v>
      </c>
      <c r="U1291" s="142">
        <f>B1291*IBGE_2!U$1291/100</f>
        <v>5.7000000000000002E-2</v>
      </c>
      <c r="V1291" s="142">
        <f>B1291*IBGE_2!V$1291/100</f>
        <v>1.82</v>
      </c>
      <c r="W1291" s="142">
        <f>B1291*IBGE_2!W$1291/100</f>
        <v>47</v>
      </c>
      <c r="X1291" s="142">
        <f>B1291*IBGE_2!X$1291/100</f>
        <v>4.2000000000000003E-2</v>
      </c>
      <c r="Y1291" s="142">
        <f>B1291*IBGE_2!Y$1291/100</f>
        <v>0.128</v>
      </c>
      <c r="Z1291" s="142">
        <f>B1291*IBGE_2!Z$1291/100</f>
        <v>0.42</v>
      </c>
      <c r="AA1291" s="142">
        <f>B1291*IBGE_2!AA$1291/100</f>
        <v>6.6479999999999997</v>
      </c>
      <c r="AB1291" s="142" t="s">
        <v>3047</v>
      </c>
      <c r="AC1291" s="142">
        <f>B1291*IBGE_2!AC$1291/100</f>
        <v>11.430999999999999</v>
      </c>
      <c r="AD1291" s="142">
        <f>B1291*IBGE_2!AD$1291/100</f>
        <v>0.28999999999999998</v>
      </c>
      <c r="AE1291" s="142">
        <f>B1291*IBGE_2!AE$1291/100</f>
        <v>3</v>
      </c>
      <c r="AF1291" s="142">
        <f>B1291*IBGE_2!AF$1291/100</f>
        <v>0.4</v>
      </c>
      <c r="AG1291" s="142">
        <f>B1291*IBGE_2!AG$1291/100</f>
        <v>0.27</v>
      </c>
      <c r="AH1291" s="142">
        <f>B1291*IBGE_2!AH$1291/100</f>
        <v>0.39</v>
      </c>
      <c r="AI1291" s="142">
        <f>B1291*IBGE_2!AI$1291/100</f>
        <v>333</v>
      </c>
      <c r="AJ1291" s="142">
        <f>B1291*IBGE_2!AJ$1291/100</f>
        <v>22.2</v>
      </c>
      <c r="AK1291" s="142">
        <f>B1291*IBGE_2!AK$1291/100</f>
        <v>47</v>
      </c>
      <c r="AL1291" s="142" t="s">
        <v>3047</v>
      </c>
      <c r="AM1291" s="142" t="s">
        <v>3047</v>
      </c>
      <c r="AN1291" s="161"/>
    </row>
    <row r="1292" spans="1:40">
      <c r="A1292" s="143" t="s">
        <v>2352</v>
      </c>
      <c r="B1292" s="141">
        <v>100</v>
      </c>
      <c r="C1292" s="142">
        <f>B1292*IBGE_2!C$1292/100</f>
        <v>290</v>
      </c>
      <c r="D1292" s="142">
        <f>B1292*IBGE_2!D$1292/100</f>
        <v>26.86</v>
      </c>
      <c r="E1292" s="142">
        <f>B1292*IBGE_2!E$1292/100</f>
        <v>19.46</v>
      </c>
      <c r="F1292" s="142">
        <f>B1292*IBGE_2!F$1292/100</f>
        <v>5.45</v>
      </c>
      <c r="G1292" s="142">
        <f>B1292*IBGE_2!G$1292/100</f>
        <v>7.64</v>
      </c>
      <c r="H1292" s="142">
        <f>B1292*IBGE_2!H$1292/100</f>
        <v>4.1399999999999997</v>
      </c>
      <c r="I1292" s="142">
        <f>B1292*IBGE_2!I$1292/100</f>
        <v>3.57</v>
      </c>
      <c r="J1292" s="142">
        <f>B1292*IBGE_2!J$1292/100</f>
        <v>0.15</v>
      </c>
      <c r="K1292" s="142">
        <f>B1292*IBGE_2!K$1292/100</f>
        <v>84</v>
      </c>
      <c r="L1292" s="142" t="s">
        <v>3047</v>
      </c>
      <c r="M1292" s="142" t="s">
        <v>3047</v>
      </c>
      <c r="N1292" s="142">
        <f>B1292*IBGE_2!N$1292/100</f>
        <v>15</v>
      </c>
      <c r="O1292" s="142">
        <f>B1292*IBGE_2!O$1292/100</f>
        <v>19</v>
      </c>
      <c r="P1292" s="142">
        <f>B1292*IBGE_2!P$1292/100</f>
        <v>1.7999999999999999E-2</v>
      </c>
      <c r="Q1292" s="142">
        <f>B1292*IBGE_2!Q$1292/100</f>
        <v>151</v>
      </c>
      <c r="R1292" s="142">
        <f>B1292*IBGE_2!R$1292/100</f>
        <v>1.27</v>
      </c>
      <c r="S1292" s="142">
        <f>B1292*IBGE_2!S$1292/100</f>
        <v>82</v>
      </c>
      <c r="T1292" s="142">
        <f>B1292*IBGE_2!T$1292/100</f>
        <v>184</v>
      </c>
      <c r="U1292" s="142">
        <f>B1292*IBGE_2!U$1292/100</f>
        <v>5.7000000000000002E-2</v>
      </c>
      <c r="V1292" s="142">
        <f>B1292*IBGE_2!V$1292/100</f>
        <v>1.82</v>
      </c>
      <c r="W1292" s="142">
        <f>B1292*IBGE_2!W$1292/100</f>
        <v>47</v>
      </c>
      <c r="X1292" s="142">
        <f>B1292*IBGE_2!X$1292/100</f>
        <v>4.2000000000000003E-2</v>
      </c>
      <c r="Y1292" s="142">
        <f>B1292*IBGE_2!Y$1292/100</f>
        <v>0.128</v>
      </c>
      <c r="Z1292" s="142">
        <f>B1292*IBGE_2!Z$1292/100</f>
        <v>0.42</v>
      </c>
      <c r="AA1292" s="142">
        <f>B1292*IBGE_2!AA$1292/100</f>
        <v>6.6479999999999997</v>
      </c>
      <c r="AB1292" s="142" t="s">
        <v>3047</v>
      </c>
      <c r="AC1292" s="142">
        <f>B1292*IBGE_2!AC$1292/100</f>
        <v>11.430999999999999</v>
      </c>
      <c r="AD1292" s="142">
        <f>B1292*IBGE_2!AD$1292/100</f>
        <v>0.28999999999999998</v>
      </c>
      <c r="AE1292" s="142">
        <f>B1292*IBGE_2!AE$1292/100</f>
        <v>3</v>
      </c>
      <c r="AF1292" s="142">
        <f>B1292*IBGE_2!AF$1292/100</f>
        <v>0.4</v>
      </c>
      <c r="AG1292" s="142">
        <f>B1292*IBGE_2!AG$1292/100</f>
        <v>0.27</v>
      </c>
      <c r="AH1292" s="142">
        <f>B1292*IBGE_2!AH$1292/100</f>
        <v>0.39</v>
      </c>
      <c r="AI1292" s="142">
        <f>B1292*IBGE_2!AI$1292/100</f>
        <v>333</v>
      </c>
      <c r="AJ1292" s="142">
        <f>B1292*IBGE_2!AJ$1292/100</f>
        <v>22.2</v>
      </c>
      <c r="AK1292" s="142">
        <f>B1292*IBGE_2!AK$1292/100</f>
        <v>47</v>
      </c>
      <c r="AL1292" s="142" t="s">
        <v>3047</v>
      </c>
      <c r="AM1292" s="142" t="s">
        <v>3047</v>
      </c>
      <c r="AN1292" s="161"/>
    </row>
    <row r="1293" spans="1:40">
      <c r="A1293" s="143" t="s">
        <v>2353</v>
      </c>
      <c r="B1293" s="141">
        <v>100</v>
      </c>
      <c r="C1293" s="142">
        <f>B1293*IBGE_2!C$1293/100</f>
        <v>312.65899999999999</v>
      </c>
      <c r="D1293" s="142">
        <f>B1293*IBGE_2!D$1293/100</f>
        <v>26.86</v>
      </c>
      <c r="E1293" s="142">
        <f>B1293*IBGE_2!E$1293/100</f>
        <v>22.023000000000003</v>
      </c>
      <c r="F1293" s="142">
        <f>B1293*IBGE_2!F$1293/100</f>
        <v>5.851</v>
      </c>
      <c r="G1293" s="142">
        <f>B1293*IBGE_2!G$1293/100</f>
        <v>8.2240000000000002</v>
      </c>
      <c r="H1293" s="142">
        <f>B1293*IBGE_2!H$1293/100</f>
        <v>5.62</v>
      </c>
      <c r="I1293" s="142">
        <f>B1293*IBGE_2!I$1293/100</f>
        <v>4.8760000000000003</v>
      </c>
      <c r="J1293" s="142">
        <f>B1293*IBGE_2!J$1293/100</f>
        <v>0.32400000000000001</v>
      </c>
      <c r="K1293" s="142">
        <f>B1293*IBGE_2!K$1293/100</f>
        <v>84</v>
      </c>
      <c r="L1293" s="142" t="s">
        <v>3047</v>
      </c>
      <c r="M1293" s="142" t="s">
        <v>3047</v>
      </c>
      <c r="N1293" s="142">
        <f>B1293*IBGE_2!N$1293/100</f>
        <v>15</v>
      </c>
      <c r="O1293" s="142">
        <f>B1293*IBGE_2!O$1293/100</f>
        <v>19</v>
      </c>
      <c r="P1293" s="142">
        <f>B1293*IBGE_2!P$1293/100</f>
        <v>1.7999999999999999E-2</v>
      </c>
      <c r="Q1293" s="142">
        <f>B1293*IBGE_2!Q$1293/100</f>
        <v>151</v>
      </c>
      <c r="R1293" s="142">
        <f>B1293*IBGE_2!R$1293/100</f>
        <v>1.2709999999999999</v>
      </c>
      <c r="S1293" s="142">
        <f>B1293*IBGE_2!S$1293/100</f>
        <v>82</v>
      </c>
      <c r="T1293" s="142">
        <f>B1293*IBGE_2!T$1293/100</f>
        <v>184</v>
      </c>
      <c r="U1293" s="142">
        <f>B1293*IBGE_2!U$1293/100</f>
        <v>5.7000000000000002E-2</v>
      </c>
      <c r="V1293" s="142">
        <f>B1293*IBGE_2!V$1293/100</f>
        <v>1.82</v>
      </c>
      <c r="W1293" s="142">
        <f>B1293*IBGE_2!W$1293/100</f>
        <v>47</v>
      </c>
      <c r="X1293" s="142">
        <f>B1293*IBGE_2!X$1293/100</f>
        <v>4.2000000000000003E-2</v>
      </c>
      <c r="Y1293" s="142">
        <f>B1293*IBGE_2!Y$1293/100</f>
        <v>0.128</v>
      </c>
      <c r="Z1293" s="142">
        <f>B1293*IBGE_2!Z$1293/100</f>
        <v>0.42</v>
      </c>
      <c r="AA1293" s="142">
        <f>B1293*IBGE_2!AA$1293/100</f>
        <v>6.6479999999999997</v>
      </c>
      <c r="AB1293" s="142" t="s">
        <v>3047</v>
      </c>
      <c r="AC1293" s="142">
        <f>B1293*IBGE_2!AC$1293/100</f>
        <v>11.430999999999999</v>
      </c>
      <c r="AD1293" s="142">
        <f>B1293*IBGE_2!AD$1293/100</f>
        <v>0.28999999999999998</v>
      </c>
      <c r="AE1293" s="142">
        <f>B1293*IBGE_2!AE$1293/100</f>
        <v>3</v>
      </c>
      <c r="AF1293" s="142">
        <f>B1293*IBGE_2!AF$1293/100</f>
        <v>0.4</v>
      </c>
      <c r="AG1293" s="142">
        <f>B1293*IBGE_2!AG$1293/100</f>
        <v>0.48</v>
      </c>
      <c r="AH1293" s="142">
        <f>B1293*IBGE_2!AH$1293/100</f>
        <v>0.40400000000000008</v>
      </c>
      <c r="AI1293" s="142">
        <f>B1293*IBGE_2!AI$1293/100</f>
        <v>333</v>
      </c>
      <c r="AJ1293" s="142">
        <f>B1293*IBGE_2!AJ$1293/100</f>
        <v>23.375</v>
      </c>
      <c r="AK1293" s="142">
        <f>B1293*IBGE_2!AK$1293/100</f>
        <v>47</v>
      </c>
      <c r="AL1293" s="145" t="s">
        <v>3047</v>
      </c>
      <c r="AM1293" s="142" t="s">
        <v>3047</v>
      </c>
      <c r="AN1293" s="161"/>
    </row>
    <row r="1294" spans="1:40">
      <c r="A1294" s="143" t="s">
        <v>2354</v>
      </c>
      <c r="B1294" s="141">
        <v>100</v>
      </c>
      <c r="C1294" s="142">
        <f>B1294*IBGE_2!C$1294/100</f>
        <v>328.83699999999999</v>
      </c>
      <c r="D1294" s="142">
        <f>B1294*IBGE_2!D$1294/100</f>
        <v>27.319000000000003</v>
      </c>
      <c r="E1294" s="142">
        <f>B1294*IBGE_2!E$1294/100</f>
        <v>22.066999999999997</v>
      </c>
      <c r="F1294" s="142">
        <f>B1294*IBGE_2!F$1294/100</f>
        <v>5.8579999999999997</v>
      </c>
      <c r="G1294" s="142">
        <f>B1294*IBGE_2!G$1294/100</f>
        <v>8.2279999999999998</v>
      </c>
      <c r="H1294" s="142">
        <f>B1294*IBGE_2!H$1294/100</f>
        <v>5.6379999999999999</v>
      </c>
      <c r="I1294" s="142">
        <f>B1294*IBGE_2!I$1294/100</f>
        <v>4.8929999999999998</v>
      </c>
      <c r="J1294" s="142">
        <f>B1294*IBGE_2!J$1294/100</f>
        <v>0.32500000000000001</v>
      </c>
      <c r="K1294" s="142">
        <f>B1294*IBGE_2!K$1294/100</f>
        <v>84</v>
      </c>
      <c r="L1294" s="142">
        <f>B1294*IBGE_2!L$1294/100</f>
        <v>3.3919999999999999</v>
      </c>
      <c r="M1294" s="142">
        <f>B1294*IBGE_2!M$1294/100</f>
        <v>0.13500000000000001</v>
      </c>
      <c r="N1294" s="142">
        <f>B1294*IBGE_2!N$1294/100</f>
        <v>15.667</v>
      </c>
      <c r="O1294" s="142">
        <f>B1294*IBGE_2!O$1294/100</f>
        <v>19.978000000000002</v>
      </c>
      <c r="P1294" s="142">
        <f>B1294*IBGE_2!P$1294/100</f>
        <v>4.8000000000000001E-2</v>
      </c>
      <c r="Q1294" s="142">
        <f>B1294*IBGE_2!Q$1294/100</f>
        <v>155.80000000000001</v>
      </c>
      <c r="R1294" s="142">
        <f>B1294*IBGE_2!R$1294/100</f>
        <v>1.4780000000000002</v>
      </c>
      <c r="S1294" s="142">
        <f>B1294*IBGE_2!S$1294/100</f>
        <v>82.088999999999999</v>
      </c>
      <c r="T1294" s="142">
        <f>B1294*IBGE_2!T$1294/100</f>
        <v>188.75599999999997</v>
      </c>
      <c r="U1294" s="142">
        <f>B1294*IBGE_2!U$1294/100</f>
        <v>6.3E-2</v>
      </c>
      <c r="V1294" s="142">
        <f>B1294*IBGE_2!V$1294/100</f>
        <v>1.851</v>
      </c>
      <c r="W1294" s="142">
        <f>B1294*IBGE_2!W$1294/100</f>
        <v>47</v>
      </c>
      <c r="X1294" s="142">
        <f>B1294*IBGE_2!X$1294/100</f>
        <v>7.6999999999999999E-2</v>
      </c>
      <c r="Y1294" s="142">
        <f>B1294*IBGE_2!Y$1294/100</f>
        <v>0.15</v>
      </c>
      <c r="Z1294" s="142">
        <f>B1294*IBGE_2!Z$1294/100</f>
        <v>0.42199999999999993</v>
      </c>
      <c r="AA1294" s="142">
        <f>B1294*IBGE_2!AA$1294/100</f>
        <v>6.91</v>
      </c>
      <c r="AB1294" s="142" t="s">
        <v>3047</v>
      </c>
      <c r="AC1294" s="142">
        <f>B1294*IBGE_2!AC$1294/100</f>
        <v>11.788</v>
      </c>
      <c r="AD1294" s="142">
        <f>B1294*IBGE_2!AD$1294/100</f>
        <v>0.28999999999999998</v>
      </c>
      <c r="AE1294" s="142">
        <f>B1294*IBGE_2!AE$1294/100</f>
        <v>12.067</v>
      </c>
      <c r="AF1294" s="142">
        <f>B1294*IBGE_2!AF$1294/100</f>
        <v>0.4</v>
      </c>
      <c r="AG1294" s="142">
        <f>B1294*IBGE_2!AG$1294/100</f>
        <v>0.48199999999999998</v>
      </c>
      <c r="AH1294" s="142">
        <f>B1294*IBGE_2!AH$1294/100</f>
        <v>0.40400000000000008</v>
      </c>
      <c r="AI1294" s="142">
        <f>B1294*IBGE_2!AI$1294/100</f>
        <v>333</v>
      </c>
      <c r="AJ1294" s="142">
        <f>B1294*IBGE_2!AJ$1294/100</f>
        <v>24.881</v>
      </c>
      <c r="AK1294" s="142">
        <f>B1294*IBGE_2!AK$1294/100</f>
        <v>47</v>
      </c>
      <c r="AL1294" s="142">
        <f>B1294*IBGE_2!AL$1294/100</f>
        <v>1.4000000000000002E-2</v>
      </c>
      <c r="AM1294" s="142" t="s">
        <v>3047</v>
      </c>
      <c r="AN1294" s="161"/>
    </row>
    <row r="1295" spans="1:40">
      <c r="A1295" s="143" t="s">
        <v>2355</v>
      </c>
      <c r="B1295" s="141">
        <v>100</v>
      </c>
      <c r="C1295" s="142">
        <f>B1295*IBGE_2!C$1295/100</f>
        <v>312.65899999999999</v>
      </c>
      <c r="D1295" s="142">
        <f>B1295*IBGE_2!D$1295/100</f>
        <v>26.86</v>
      </c>
      <c r="E1295" s="142">
        <f>B1295*IBGE_2!E$1295/100</f>
        <v>22.023000000000003</v>
      </c>
      <c r="F1295" s="142">
        <f>B1295*IBGE_2!F$1295/100</f>
        <v>5.851</v>
      </c>
      <c r="G1295" s="142">
        <f>B1295*IBGE_2!G$1295/100</f>
        <v>8.2240000000000002</v>
      </c>
      <c r="H1295" s="142">
        <f>B1295*IBGE_2!H$1295/100</f>
        <v>5.62</v>
      </c>
      <c r="I1295" s="142">
        <f>B1295*IBGE_2!I$1295/100</f>
        <v>4.8760000000000003</v>
      </c>
      <c r="J1295" s="142">
        <f>B1295*IBGE_2!J$1295/100</f>
        <v>0.32400000000000001</v>
      </c>
      <c r="K1295" s="142">
        <f>B1295*IBGE_2!K$1295/100</f>
        <v>84</v>
      </c>
      <c r="L1295" s="142" t="s">
        <v>3047</v>
      </c>
      <c r="M1295" s="142" t="s">
        <v>3047</v>
      </c>
      <c r="N1295" s="142">
        <f>B1295*IBGE_2!N$1295/100</f>
        <v>15</v>
      </c>
      <c r="O1295" s="142">
        <f>B1295*IBGE_2!O$1295/100</f>
        <v>19</v>
      </c>
      <c r="P1295" s="142">
        <f>B1295*IBGE_2!P$1295/100</f>
        <v>1.7999999999999999E-2</v>
      </c>
      <c r="Q1295" s="142">
        <f>B1295*IBGE_2!Q$1295/100</f>
        <v>151</v>
      </c>
      <c r="R1295" s="142">
        <f>B1295*IBGE_2!R$1295/100</f>
        <v>1.2709999999999999</v>
      </c>
      <c r="S1295" s="142">
        <f>B1295*IBGE_2!S$1295/100</f>
        <v>82</v>
      </c>
      <c r="T1295" s="142">
        <f>B1295*IBGE_2!T$1295/100</f>
        <v>184</v>
      </c>
      <c r="U1295" s="142">
        <f>B1295*IBGE_2!U$1295/100</f>
        <v>5.7000000000000002E-2</v>
      </c>
      <c r="V1295" s="142">
        <f>B1295*IBGE_2!V$1295/100</f>
        <v>1.82</v>
      </c>
      <c r="W1295" s="142">
        <f>B1295*IBGE_2!W$1295/100</f>
        <v>47</v>
      </c>
      <c r="X1295" s="142">
        <f>B1295*IBGE_2!X$1295/100</f>
        <v>4.2000000000000003E-2</v>
      </c>
      <c r="Y1295" s="142">
        <f>B1295*IBGE_2!Y$1295/100</f>
        <v>0.128</v>
      </c>
      <c r="Z1295" s="142">
        <f>B1295*IBGE_2!Z$1295/100</f>
        <v>0.42</v>
      </c>
      <c r="AA1295" s="142">
        <f>B1295*IBGE_2!AA$1295/100</f>
        <v>6.6479999999999997</v>
      </c>
      <c r="AB1295" s="142" t="s">
        <v>3047</v>
      </c>
      <c r="AC1295" s="142">
        <f>B1295*IBGE_2!AC$1295/100</f>
        <v>11.430999999999999</v>
      </c>
      <c r="AD1295" s="142">
        <f>B1295*IBGE_2!AD$1295/100</f>
        <v>0.28999999999999998</v>
      </c>
      <c r="AE1295" s="142">
        <f>B1295*IBGE_2!AE$1295/100</f>
        <v>3</v>
      </c>
      <c r="AF1295" s="142">
        <f>B1295*IBGE_2!AF$1295/100</f>
        <v>0.4</v>
      </c>
      <c r="AG1295" s="142">
        <f>B1295*IBGE_2!AG$1295/100</f>
        <v>0.48</v>
      </c>
      <c r="AH1295" s="142">
        <f>B1295*IBGE_2!AH$1295/100</f>
        <v>0.40400000000000008</v>
      </c>
      <c r="AI1295" s="142">
        <f>B1295*IBGE_2!AI$1295/100</f>
        <v>333</v>
      </c>
      <c r="AJ1295" s="142">
        <f>B1295*IBGE_2!AJ$1295/100</f>
        <v>23.375</v>
      </c>
      <c r="AK1295" s="142">
        <f>B1295*IBGE_2!AK$1295/100</f>
        <v>47</v>
      </c>
      <c r="AL1295" s="145" t="s">
        <v>3047</v>
      </c>
      <c r="AM1295" s="142" t="s">
        <v>3047</v>
      </c>
      <c r="AN1295" s="161"/>
    </row>
    <row r="1296" spans="1:40">
      <c r="A1296" s="143" t="s">
        <v>2356</v>
      </c>
      <c r="B1296" s="141">
        <v>100</v>
      </c>
      <c r="C1296" s="142">
        <f>B1296*IBGE_2!C$1296/100</f>
        <v>236.8</v>
      </c>
      <c r="D1296" s="142">
        <f>B1296*IBGE_2!D$1296/100</f>
        <v>21.751999999999999</v>
      </c>
      <c r="E1296" s="142">
        <f>B1296*IBGE_2!E$1296/100</f>
        <v>15.603999999999999</v>
      </c>
      <c r="F1296" s="142">
        <f>B1296*IBGE_2!F$1296/100</f>
        <v>4.3650000000000002</v>
      </c>
      <c r="G1296" s="142">
        <f>B1296*IBGE_2!G$1296/100</f>
        <v>6.1170000000000009</v>
      </c>
      <c r="H1296" s="142">
        <f>B1296*IBGE_2!H$1296/100</f>
        <v>3.327</v>
      </c>
      <c r="I1296" s="142">
        <f>B1296*IBGE_2!I$1296/100</f>
        <v>2.87</v>
      </c>
      <c r="J1296" s="142">
        <f>B1296*IBGE_2!J$1296/100</f>
        <v>0.121</v>
      </c>
      <c r="K1296" s="142">
        <f>B1296*IBGE_2!K$1296/100</f>
        <v>67.2</v>
      </c>
      <c r="L1296" s="142">
        <f>B1296*IBGE_2!L$1296/100</f>
        <v>1.0760000000000001</v>
      </c>
      <c r="M1296" s="142">
        <f>B1296*IBGE_2!M$1296/100</f>
        <v>0.3</v>
      </c>
      <c r="N1296" s="142">
        <f>B1296*IBGE_2!N$1296/100</f>
        <v>14.6</v>
      </c>
      <c r="O1296" s="142">
        <f>B1296*IBGE_2!O$1296/100</f>
        <v>18.399999999999999</v>
      </c>
      <c r="P1296" s="142">
        <f>B1296*IBGE_2!P$1296/100</f>
        <v>3.5999999999999997E-2</v>
      </c>
      <c r="Q1296" s="142">
        <f>B1296*IBGE_2!Q$1296/100</f>
        <v>126</v>
      </c>
      <c r="R1296" s="142">
        <f>B1296*IBGE_2!R$1296/100</f>
        <v>1.22</v>
      </c>
      <c r="S1296" s="142">
        <f>B1296*IBGE_2!S$1296/100</f>
        <v>170.4</v>
      </c>
      <c r="T1296" s="142">
        <f>B1296*IBGE_2!T$1296/100</f>
        <v>213.4</v>
      </c>
      <c r="U1296" s="142">
        <f>B1296*IBGE_2!U$1296/100</f>
        <v>6.9000000000000006E-2</v>
      </c>
      <c r="V1296" s="142">
        <f>B1296*IBGE_2!V$1296/100</f>
        <v>1.496</v>
      </c>
      <c r="W1296" s="142">
        <f>B1296*IBGE_2!W$1296/100</f>
        <v>37.6</v>
      </c>
      <c r="X1296" s="142">
        <f>B1296*IBGE_2!X$1296/100</f>
        <v>3.7999999999999999E-2</v>
      </c>
      <c r="Y1296" s="142">
        <f>B1296*IBGE_2!Y$1296/100</f>
        <v>0.11600000000000002</v>
      </c>
      <c r="Z1296" s="142">
        <f>B1296*IBGE_2!Z$1296/100</f>
        <v>0.35499999999999998</v>
      </c>
      <c r="AA1296" s="142">
        <f>B1296*IBGE_2!AA$1296/100</f>
        <v>5.5129999999999999</v>
      </c>
      <c r="AB1296" s="142">
        <f>B1296*IBGE_2!AB$1296/100</f>
        <v>1.4</v>
      </c>
      <c r="AC1296" s="142">
        <f>B1296*IBGE_2!AC$1296/100</f>
        <v>9.3729999999999993</v>
      </c>
      <c r="AD1296" s="142">
        <f>B1296*IBGE_2!AD$1296/100</f>
        <v>0.23200000000000004</v>
      </c>
      <c r="AE1296" s="142">
        <f>B1296*IBGE_2!AE$1296/100</f>
        <v>4.5999999999999996</v>
      </c>
      <c r="AF1296" s="142">
        <f>B1296*IBGE_2!AF$1296/100</f>
        <v>0.32</v>
      </c>
      <c r="AG1296" s="142">
        <f>B1296*IBGE_2!AG$1296/100</f>
        <v>0.5</v>
      </c>
      <c r="AH1296" s="142">
        <f>B1296*IBGE_2!AH$1296/100</f>
        <v>0.312</v>
      </c>
      <c r="AI1296" s="142">
        <f>B1296*IBGE_2!AI$1296/100</f>
        <v>333</v>
      </c>
      <c r="AJ1296" s="142">
        <f>B1296*IBGE_2!AJ$1296/100</f>
        <v>17.8</v>
      </c>
      <c r="AK1296" s="142">
        <f>B1296*IBGE_2!AK$1296/100</f>
        <v>41.082999999999998</v>
      </c>
      <c r="AL1296" s="142">
        <f>B1296*IBGE_2!AL$1296/100</f>
        <v>0.85</v>
      </c>
      <c r="AM1296" s="142" t="s">
        <v>3047</v>
      </c>
      <c r="AN1296" s="161"/>
    </row>
    <row r="1297" spans="1:40">
      <c r="A1297" s="143" t="s">
        <v>2357</v>
      </c>
      <c r="B1297" s="141">
        <v>100</v>
      </c>
      <c r="C1297" s="142">
        <f>B1297*IBGE_2!C$1297/100</f>
        <v>312.65899999999999</v>
      </c>
      <c r="D1297" s="142">
        <f>B1297*IBGE_2!D$1297/100</f>
        <v>26.86</v>
      </c>
      <c r="E1297" s="142">
        <f>B1297*IBGE_2!E$1297/100</f>
        <v>22.023000000000003</v>
      </c>
      <c r="F1297" s="142">
        <f>B1297*IBGE_2!F$1297/100</f>
        <v>5.851</v>
      </c>
      <c r="G1297" s="142">
        <f>B1297*IBGE_2!G$1297/100</f>
        <v>8.2240000000000002</v>
      </c>
      <c r="H1297" s="142">
        <f>B1297*IBGE_2!H$1297/100</f>
        <v>5.62</v>
      </c>
      <c r="I1297" s="142">
        <f>B1297*IBGE_2!I$1297/100</f>
        <v>4.8760000000000003</v>
      </c>
      <c r="J1297" s="142">
        <f>B1297*IBGE_2!J$1297/100</f>
        <v>0.32400000000000001</v>
      </c>
      <c r="K1297" s="142">
        <f>B1297*IBGE_2!K$1297/100</f>
        <v>84</v>
      </c>
      <c r="L1297" s="142" t="s">
        <v>3047</v>
      </c>
      <c r="M1297" s="142" t="s">
        <v>3047</v>
      </c>
      <c r="N1297" s="142">
        <f>B1297*IBGE_2!N$1297/100</f>
        <v>15</v>
      </c>
      <c r="O1297" s="142">
        <f>B1297*IBGE_2!O$1297/100</f>
        <v>19</v>
      </c>
      <c r="P1297" s="142">
        <f>B1297*IBGE_2!P$1297/100</f>
        <v>1.7999999999999999E-2</v>
      </c>
      <c r="Q1297" s="142">
        <f>B1297*IBGE_2!Q$1297/100</f>
        <v>151</v>
      </c>
      <c r="R1297" s="142">
        <f>B1297*IBGE_2!R$1297/100</f>
        <v>1.2709999999999999</v>
      </c>
      <c r="S1297" s="142">
        <f>B1297*IBGE_2!S$1297/100</f>
        <v>82</v>
      </c>
      <c r="T1297" s="142">
        <f>B1297*IBGE_2!T$1297/100</f>
        <v>184</v>
      </c>
      <c r="U1297" s="142">
        <f>B1297*IBGE_2!U$1297/100</f>
        <v>5.7000000000000002E-2</v>
      </c>
      <c r="V1297" s="142">
        <f>B1297*IBGE_2!V$1297/100</f>
        <v>1.82</v>
      </c>
      <c r="W1297" s="142">
        <f>B1297*IBGE_2!W$1297/100</f>
        <v>47</v>
      </c>
      <c r="X1297" s="142">
        <f>B1297*IBGE_2!X$1297/100</f>
        <v>4.2000000000000003E-2</v>
      </c>
      <c r="Y1297" s="142">
        <f>B1297*IBGE_2!Y$1297/100</f>
        <v>0.128</v>
      </c>
      <c r="Z1297" s="142">
        <f>B1297*IBGE_2!Z$1297/100</f>
        <v>0.42</v>
      </c>
      <c r="AA1297" s="142">
        <f>B1297*IBGE_2!AA$1297/100</f>
        <v>6.6479999999999997</v>
      </c>
      <c r="AB1297" s="142" t="s">
        <v>3047</v>
      </c>
      <c r="AC1297" s="142">
        <f>B1297*IBGE_2!AC$1297/100</f>
        <v>11.430999999999999</v>
      </c>
      <c r="AD1297" s="142">
        <f>B1297*IBGE_2!AD$1297/100</f>
        <v>0.28999999999999998</v>
      </c>
      <c r="AE1297" s="142">
        <f>B1297*IBGE_2!AE$1297/100</f>
        <v>3</v>
      </c>
      <c r="AF1297" s="142">
        <f>B1297*IBGE_2!AF$1297/100</f>
        <v>0.4</v>
      </c>
      <c r="AG1297" s="142">
        <f>B1297*IBGE_2!AG$1297/100</f>
        <v>0.48</v>
      </c>
      <c r="AH1297" s="142">
        <f>B1297*IBGE_2!AH$1297/100</f>
        <v>0.40400000000000008</v>
      </c>
      <c r="AI1297" s="142">
        <f>B1297*IBGE_2!AI$1297/100</f>
        <v>333</v>
      </c>
      <c r="AJ1297" s="142">
        <f>B1297*IBGE_2!AJ$1297/100</f>
        <v>23.375</v>
      </c>
      <c r="AK1297" s="142">
        <f>B1297*IBGE_2!AK$1297/100</f>
        <v>47</v>
      </c>
      <c r="AL1297" s="142" t="s">
        <v>3047</v>
      </c>
      <c r="AM1297" s="142" t="s">
        <v>3047</v>
      </c>
      <c r="AN1297" s="161"/>
    </row>
    <row r="1298" spans="1:40">
      <c r="A1298" s="143" t="s">
        <v>2358</v>
      </c>
      <c r="B1298" s="141">
        <v>100</v>
      </c>
      <c r="C1298" s="142">
        <f>B1298*IBGE_2!C$1298/100</f>
        <v>213</v>
      </c>
      <c r="D1298" s="142">
        <f>B1298*IBGE_2!D$1298/100</f>
        <v>27.73</v>
      </c>
      <c r="E1298" s="142">
        <f>B1298*IBGE_2!E$1298/100</f>
        <v>10.5</v>
      </c>
      <c r="F1298" s="142">
        <f>B1298*IBGE_2!F$1298/100</f>
        <v>3.28</v>
      </c>
      <c r="G1298" s="142">
        <f>B1298*IBGE_2!G$1298/100</f>
        <v>3.04</v>
      </c>
      <c r="H1298" s="142">
        <f>B1298*IBGE_2!H$1298/100</f>
        <v>2.91</v>
      </c>
      <c r="I1298" s="142">
        <f>B1298*IBGE_2!I$1298/100</f>
        <v>2.4300000000000002</v>
      </c>
      <c r="J1298" s="142">
        <f>B1298*IBGE_2!J$1298/100</f>
        <v>0.12</v>
      </c>
      <c r="K1298" s="142">
        <f>B1298*IBGE_2!K$1298/100</f>
        <v>82</v>
      </c>
      <c r="L1298" s="142" t="s">
        <v>3047</v>
      </c>
      <c r="M1298" s="142" t="s">
        <v>3047</v>
      </c>
      <c r="N1298" s="142">
        <f>B1298*IBGE_2!N$1298/100</f>
        <v>30</v>
      </c>
      <c r="O1298" s="142">
        <f>B1298*IBGE_2!O$1298/100</f>
        <v>24</v>
      </c>
      <c r="P1298" s="142">
        <f>B1298*IBGE_2!P$1298/100</f>
        <v>2.4E-2</v>
      </c>
      <c r="Q1298" s="142">
        <f>B1298*IBGE_2!Q$1298/100</f>
        <v>198</v>
      </c>
      <c r="R1298" s="142">
        <f>B1298*IBGE_2!R$1298/100</f>
        <v>2.29</v>
      </c>
      <c r="S1298" s="142">
        <f>B1298*IBGE_2!S$1298/100</f>
        <v>73</v>
      </c>
      <c r="T1298" s="142">
        <f>B1298*IBGE_2!T$1298/100</f>
        <v>282</v>
      </c>
      <c r="U1298" s="142">
        <f>B1298*IBGE_2!U$1298/100</f>
        <v>0.14299999999999999</v>
      </c>
      <c r="V1298" s="142">
        <f>B1298*IBGE_2!V$1298/100</f>
        <v>4.22</v>
      </c>
      <c r="W1298" s="142">
        <f>B1298*IBGE_2!W$1298/100</f>
        <v>20</v>
      </c>
      <c r="X1298" s="142">
        <f>B1298*IBGE_2!X$1298/100</f>
        <v>5.6000000000000008E-2</v>
      </c>
      <c r="Y1298" s="142">
        <f>B1298*IBGE_2!Y$1298/100</f>
        <v>0.22699999999999998</v>
      </c>
      <c r="Z1298" s="142">
        <f>B1298*IBGE_2!Z$1298/100</f>
        <v>0.32</v>
      </c>
      <c r="AA1298" s="142">
        <f>B1298*IBGE_2!AA$1298/100</f>
        <v>3.6889999999999996</v>
      </c>
      <c r="AB1298" s="142" t="s">
        <v>3047</v>
      </c>
      <c r="AC1298" s="142">
        <f>B1298*IBGE_2!AC$1298/100</f>
        <v>8.8559999999999999</v>
      </c>
      <c r="AD1298" s="142">
        <f>B1298*IBGE_2!AD$1298/100</f>
        <v>0.35</v>
      </c>
      <c r="AE1298" s="142">
        <f>B1298*IBGE_2!AE$1298/100</f>
        <v>9</v>
      </c>
      <c r="AF1298" s="142">
        <f>B1298*IBGE_2!AF$1298/100</f>
        <v>0.1</v>
      </c>
      <c r="AG1298" s="142">
        <f>B1298*IBGE_2!AG$1298/100</f>
        <v>0.27</v>
      </c>
      <c r="AH1298" s="142">
        <f>B1298*IBGE_2!AH$1298/100</f>
        <v>0.23</v>
      </c>
      <c r="AI1298" s="142">
        <f>B1298*IBGE_2!AI$1298/100</f>
        <v>333</v>
      </c>
      <c r="AJ1298" s="142">
        <f>B1298*IBGE_2!AJ$1298/100</f>
        <v>38.6</v>
      </c>
      <c r="AK1298" s="142">
        <f>B1298*IBGE_2!AK$1298/100</f>
        <v>20</v>
      </c>
      <c r="AL1298" s="142" t="s">
        <v>3047</v>
      </c>
      <c r="AM1298" s="142" t="s">
        <v>3047</v>
      </c>
      <c r="AN1298" s="161"/>
    </row>
    <row r="1299" spans="1:40">
      <c r="A1299" s="143" t="s">
        <v>2359</v>
      </c>
      <c r="B1299" s="141">
        <v>100</v>
      </c>
      <c r="C1299" s="142">
        <f>B1299*IBGE_2!C$1299/100</f>
        <v>213</v>
      </c>
      <c r="D1299" s="142">
        <f>B1299*IBGE_2!D$1299/100</f>
        <v>27.73</v>
      </c>
      <c r="E1299" s="142">
        <f>B1299*IBGE_2!E$1299/100</f>
        <v>10.5</v>
      </c>
      <c r="F1299" s="142">
        <f>B1299*IBGE_2!F$1299/100</f>
        <v>3.28</v>
      </c>
      <c r="G1299" s="142">
        <f>B1299*IBGE_2!G$1299/100</f>
        <v>3.04</v>
      </c>
      <c r="H1299" s="142">
        <f>B1299*IBGE_2!H$1299/100</f>
        <v>2.91</v>
      </c>
      <c r="I1299" s="142">
        <f>B1299*IBGE_2!I$1299/100</f>
        <v>2.4300000000000002</v>
      </c>
      <c r="J1299" s="142">
        <f>B1299*IBGE_2!J$1299/100</f>
        <v>0.12</v>
      </c>
      <c r="K1299" s="142">
        <f>B1299*IBGE_2!K$1299/100</f>
        <v>82</v>
      </c>
      <c r="L1299" s="142" t="s">
        <v>3047</v>
      </c>
      <c r="M1299" s="142" t="s">
        <v>3047</v>
      </c>
      <c r="N1299" s="142">
        <f>B1299*IBGE_2!N$1299/100</f>
        <v>30</v>
      </c>
      <c r="O1299" s="142">
        <f>B1299*IBGE_2!O$1299/100</f>
        <v>24</v>
      </c>
      <c r="P1299" s="142">
        <f>B1299*IBGE_2!P$1299/100</f>
        <v>2.4E-2</v>
      </c>
      <c r="Q1299" s="142">
        <f>B1299*IBGE_2!Q$1299/100</f>
        <v>198</v>
      </c>
      <c r="R1299" s="142">
        <f>B1299*IBGE_2!R$1299/100</f>
        <v>2.29</v>
      </c>
      <c r="S1299" s="142">
        <f>B1299*IBGE_2!S$1299/100</f>
        <v>73</v>
      </c>
      <c r="T1299" s="142">
        <f>B1299*IBGE_2!T$1299/100</f>
        <v>282</v>
      </c>
      <c r="U1299" s="142">
        <f>B1299*IBGE_2!U$1299/100</f>
        <v>0.14299999999999999</v>
      </c>
      <c r="V1299" s="142">
        <f>B1299*IBGE_2!V$1299/100</f>
        <v>4.22</v>
      </c>
      <c r="W1299" s="142">
        <f>B1299*IBGE_2!W$1299/100</f>
        <v>20</v>
      </c>
      <c r="X1299" s="142">
        <f>B1299*IBGE_2!X$1299/100</f>
        <v>5.6000000000000008E-2</v>
      </c>
      <c r="Y1299" s="142">
        <f>B1299*IBGE_2!Y$1299/100</f>
        <v>0.22699999999999998</v>
      </c>
      <c r="Z1299" s="142">
        <f>B1299*IBGE_2!Z$1299/100</f>
        <v>0.32</v>
      </c>
      <c r="AA1299" s="142">
        <f>B1299*IBGE_2!AA$1299/100</f>
        <v>3.6889999999999996</v>
      </c>
      <c r="AB1299" s="142" t="s">
        <v>3047</v>
      </c>
      <c r="AC1299" s="142">
        <f>B1299*IBGE_2!AC$1299/100</f>
        <v>8.8559999999999999</v>
      </c>
      <c r="AD1299" s="142">
        <f>B1299*IBGE_2!AD$1299/100</f>
        <v>0.35</v>
      </c>
      <c r="AE1299" s="142">
        <f>B1299*IBGE_2!AE$1299/100</f>
        <v>9</v>
      </c>
      <c r="AF1299" s="142">
        <f>B1299*IBGE_2!AF$1299/100</f>
        <v>0.1</v>
      </c>
      <c r="AG1299" s="142">
        <f>B1299*IBGE_2!AG$1299/100</f>
        <v>0.27</v>
      </c>
      <c r="AH1299" s="142">
        <f>B1299*IBGE_2!AH$1299/100</f>
        <v>0.23</v>
      </c>
      <c r="AI1299" s="142">
        <f>B1299*IBGE_2!AI$1299/100</f>
        <v>333</v>
      </c>
      <c r="AJ1299" s="142">
        <f>B1299*IBGE_2!AJ$1299/100</f>
        <v>38.6</v>
      </c>
      <c r="AK1299" s="142">
        <f>B1299*IBGE_2!AK$1299/100</f>
        <v>20</v>
      </c>
      <c r="AL1299" s="142" t="s">
        <v>3047</v>
      </c>
      <c r="AM1299" s="142" t="s">
        <v>3047</v>
      </c>
      <c r="AN1299" s="161"/>
    </row>
    <row r="1300" spans="1:40">
      <c r="A1300" s="143" t="s">
        <v>2360</v>
      </c>
      <c r="B1300" s="141">
        <v>100</v>
      </c>
      <c r="C1300" s="142">
        <f>B1300*IBGE_2!C$1300/100</f>
        <v>213</v>
      </c>
      <c r="D1300" s="142">
        <f>B1300*IBGE_2!D$1300/100</f>
        <v>27.73</v>
      </c>
      <c r="E1300" s="142">
        <f>B1300*IBGE_2!E$1300/100</f>
        <v>10.5</v>
      </c>
      <c r="F1300" s="142">
        <f>B1300*IBGE_2!F$1300/100</f>
        <v>3.28</v>
      </c>
      <c r="G1300" s="142">
        <f>B1300*IBGE_2!G$1300/100</f>
        <v>3.04</v>
      </c>
      <c r="H1300" s="142">
        <f>B1300*IBGE_2!H$1300/100</f>
        <v>2.91</v>
      </c>
      <c r="I1300" s="142">
        <f>B1300*IBGE_2!I$1300/100</f>
        <v>2.4300000000000002</v>
      </c>
      <c r="J1300" s="142">
        <f>B1300*IBGE_2!J$1300/100</f>
        <v>0.12</v>
      </c>
      <c r="K1300" s="142">
        <f>B1300*IBGE_2!K$1300/100</f>
        <v>82</v>
      </c>
      <c r="L1300" s="142" t="s">
        <v>3047</v>
      </c>
      <c r="M1300" s="142" t="s">
        <v>3047</v>
      </c>
      <c r="N1300" s="142">
        <f>B1300*IBGE_2!N$1300/100</f>
        <v>30</v>
      </c>
      <c r="O1300" s="142">
        <f>B1300*IBGE_2!O$1300/100</f>
        <v>24</v>
      </c>
      <c r="P1300" s="142">
        <f>B1300*IBGE_2!P$1300/100</f>
        <v>2.4E-2</v>
      </c>
      <c r="Q1300" s="142">
        <f>B1300*IBGE_2!Q$1300/100</f>
        <v>198</v>
      </c>
      <c r="R1300" s="142">
        <f>B1300*IBGE_2!R$1300/100</f>
        <v>2.29</v>
      </c>
      <c r="S1300" s="142">
        <f>B1300*IBGE_2!S$1300/100</f>
        <v>73</v>
      </c>
      <c r="T1300" s="142">
        <f>B1300*IBGE_2!T$1300/100</f>
        <v>282</v>
      </c>
      <c r="U1300" s="142">
        <f>B1300*IBGE_2!U$1300/100</f>
        <v>0.14299999999999999</v>
      </c>
      <c r="V1300" s="142">
        <f>B1300*IBGE_2!V$1300/100</f>
        <v>4.22</v>
      </c>
      <c r="W1300" s="142">
        <f>B1300*IBGE_2!W$1300/100</f>
        <v>20</v>
      </c>
      <c r="X1300" s="142">
        <f>B1300*IBGE_2!X$1300/100</f>
        <v>5.6000000000000008E-2</v>
      </c>
      <c r="Y1300" s="142">
        <f>B1300*IBGE_2!Y$1300/100</f>
        <v>0.22699999999999998</v>
      </c>
      <c r="Z1300" s="142">
        <f>B1300*IBGE_2!Z$1300/100</f>
        <v>0.32</v>
      </c>
      <c r="AA1300" s="142">
        <f>B1300*IBGE_2!AA$1300/100</f>
        <v>3.6889999999999996</v>
      </c>
      <c r="AB1300" s="142" t="s">
        <v>3047</v>
      </c>
      <c r="AC1300" s="142">
        <f>B1300*IBGE_2!AC$1300/100</f>
        <v>8.8559999999999999</v>
      </c>
      <c r="AD1300" s="142">
        <f>B1300*IBGE_2!AD$1300/100</f>
        <v>0.35</v>
      </c>
      <c r="AE1300" s="142">
        <f>B1300*IBGE_2!AE$1300/100</f>
        <v>9</v>
      </c>
      <c r="AF1300" s="142">
        <f>B1300*IBGE_2!AF$1300/100</f>
        <v>0.1</v>
      </c>
      <c r="AG1300" s="142">
        <f>B1300*IBGE_2!AG$1300/100</f>
        <v>0.27</v>
      </c>
      <c r="AH1300" s="142">
        <f>B1300*IBGE_2!AH$1300/100</f>
        <v>0.23</v>
      </c>
      <c r="AI1300" s="142">
        <f>B1300*IBGE_2!AI$1300/100</f>
        <v>333</v>
      </c>
      <c r="AJ1300" s="142">
        <f>B1300*IBGE_2!AJ$1300/100</f>
        <v>38.6</v>
      </c>
      <c r="AK1300" s="142">
        <f>B1300*IBGE_2!AK$1300/100</f>
        <v>20</v>
      </c>
      <c r="AL1300" s="142" t="s">
        <v>3047</v>
      </c>
      <c r="AM1300" s="142" t="s">
        <v>3047</v>
      </c>
      <c r="AN1300" s="161"/>
    </row>
    <row r="1301" spans="1:40">
      <c r="A1301" s="143" t="s">
        <v>2361</v>
      </c>
      <c r="B1301" s="141">
        <v>100</v>
      </c>
      <c r="C1301" s="142">
        <f>B1301*IBGE_2!C$1301/100</f>
        <v>235.65899999999999</v>
      </c>
      <c r="D1301" s="142">
        <f>B1301*IBGE_2!D$1301/100</f>
        <v>27.73</v>
      </c>
      <c r="E1301" s="142">
        <f>B1301*IBGE_2!E$1301/100</f>
        <v>13.062999999999999</v>
      </c>
      <c r="F1301" s="142">
        <f>B1301*IBGE_2!F$1301/100</f>
        <v>3.681</v>
      </c>
      <c r="G1301" s="142">
        <f>B1301*IBGE_2!G$1301/100</f>
        <v>3.6240000000000006</v>
      </c>
      <c r="H1301" s="142">
        <f>B1301*IBGE_2!H$1301/100</f>
        <v>4.3899999999999997</v>
      </c>
      <c r="I1301" s="142">
        <f>B1301*IBGE_2!I$1301/100</f>
        <v>3.7360000000000002</v>
      </c>
      <c r="J1301" s="142">
        <f>B1301*IBGE_2!J$1301/100</f>
        <v>0.29399999999999998</v>
      </c>
      <c r="K1301" s="142">
        <f>B1301*IBGE_2!K$1301/100</f>
        <v>82</v>
      </c>
      <c r="L1301" s="142" t="s">
        <v>3047</v>
      </c>
      <c r="M1301" s="142" t="s">
        <v>3047</v>
      </c>
      <c r="N1301" s="142">
        <f>B1301*IBGE_2!N$1301/100</f>
        <v>30</v>
      </c>
      <c r="O1301" s="142">
        <f>B1301*IBGE_2!O$1301/100</f>
        <v>24</v>
      </c>
      <c r="P1301" s="142">
        <f>B1301*IBGE_2!P$1301/100</f>
        <v>2.4E-2</v>
      </c>
      <c r="Q1301" s="142">
        <f>B1301*IBGE_2!Q$1301/100</f>
        <v>198</v>
      </c>
      <c r="R1301" s="142">
        <f>B1301*IBGE_2!R$1301/100</f>
        <v>2.2909999999999999</v>
      </c>
      <c r="S1301" s="142">
        <f>B1301*IBGE_2!S$1301/100</f>
        <v>73</v>
      </c>
      <c r="T1301" s="142">
        <f>B1301*IBGE_2!T$1301/100</f>
        <v>282</v>
      </c>
      <c r="U1301" s="142">
        <f>B1301*IBGE_2!U$1301/100</f>
        <v>0.14299999999999999</v>
      </c>
      <c r="V1301" s="142">
        <f>B1301*IBGE_2!V$1301/100</f>
        <v>4.22</v>
      </c>
      <c r="W1301" s="142">
        <f>B1301*IBGE_2!W$1301/100</f>
        <v>20</v>
      </c>
      <c r="X1301" s="142">
        <f>B1301*IBGE_2!X$1301/100</f>
        <v>5.6000000000000008E-2</v>
      </c>
      <c r="Y1301" s="142">
        <f>B1301*IBGE_2!Y$1301/100</f>
        <v>0.22699999999999998</v>
      </c>
      <c r="Z1301" s="142">
        <f>B1301*IBGE_2!Z$1301/100</f>
        <v>0.32</v>
      </c>
      <c r="AA1301" s="142">
        <f>B1301*IBGE_2!AA$1301/100</f>
        <v>3.6889999999999996</v>
      </c>
      <c r="AB1301" s="142" t="s">
        <v>3047</v>
      </c>
      <c r="AC1301" s="142">
        <f>B1301*IBGE_2!AC$1301/100</f>
        <v>8.8559999999999999</v>
      </c>
      <c r="AD1301" s="142">
        <f>B1301*IBGE_2!AD$1301/100</f>
        <v>0.35</v>
      </c>
      <c r="AE1301" s="142">
        <f>B1301*IBGE_2!AE$1301/100</f>
        <v>9</v>
      </c>
      <c r="AF1301" s="142">
        <f>B1301*IBGE_2!AF$1301/100</f>
        <v>0.1</v>
      </c>
      <c r="AG1301" s="142">
        <f>B1301*IBGE_2!AG$1301/100</f>
        <v>0.48</v>
      </c>
      <c r="AH1301" s="142">
        <f>B1301*IBGE_2!AH$1301/100</f>
        <v>0.24399999999999999</v>
      </c>
      <c r="AI1301" s="142">
        <f>B1301*IBGE_2!AI$1301/100</f>
        <v>333</v>
      </c>
      <c r="AJ1301" s="142">
        <f>B1301*IBGE_2!AJ$1301/100</f>
        <v>39.774999999999999</v>
      </c>
      <c r="AK1301" s="142">
        <f>B1301*IBGE_2!AK$1301/100</f>
        <v>20</v>
      </c>
      <c r="AL1301" s="142" t="s">
        <v>3047</v>
      </c>
      <c r="AM1301" s="142" t="s">
        <v>3047</v>
      </c>
      <c r="AN1301" s="161"/>
    </row>
    <row r="1302" spans="1:40">
      <c r="A1302" s="143" t="s">
        <v>2362</v>
      </c>
      <c r="B1302" s="141">
        <v>100</v>
      </c>
      <c r="C1302" s="142">
        <f>B1302*IBGE_2!C$1302/100</f>
        <v>235.65899999999999</v>
      </c>
      <c r="D1302" s="142">
        <f>B1302*IBGE_2!D$1302/100</f>
        <v>27.73</v>
      </c>
      <c r="E1302" s="142">
        <f>B1302*IBGE_2!E$1302/100</f>
        <v>13.062999999999999</v>
      </c>
      <c r="F1302" s="142">
        <f>B1302*IBGE_2!F$1302/100</f>
        <v>3.681</v>
      </c>
      <c r="G1302" s="142">
        <f>B1302*IBGE_2!G$1302/100</f>
        <v>3.6240000000000006</v>
      </c>
      <c r="H1302" s="142">
        <f>B1302*IBGE_2!H$1302/100</f>
        <v>4.3899999999999997</v>
      </c>
      <c r="I1302" s="142">
        <f>B1302*IBGE_2!I$1302/100</f>
        <v>3.7360000000000002</v>
      </c>
      <c r="J1302" s="142">
        <f>B1302*IBGE_2!J$1302/100</f>
        <v>0.29399999999999998</v>
      </c>
      <c r="K1302" s="142">
        <f>B1302*IBGE_2!K$1302/100</f>
        <v>82</v>
      </c>
      <c r="L1302" s="142" t="s">
        <v>3047</v>
      </c>
      <c r="M1302" s="142" t="s">
        <v>3047</v>
      </c>
      <c r="N1302" s="142">
        <f>B1302*IBGE_2!N$1302/100</f>
        <v>30</v>
      </c>
      <c r="O1302" s="142">
        <f>B1302*IBGE_2!O$1302/100</f>
        <v>24</v>
      </c>
      <c r="P1302" s="142">
        <f>B1302*IBGE_2!P$1302/100</f>
        <v>2.4E-2</v>
      </c>
      <c r="Q1302" s="142">
        <f>B1302*IBGE_2!Q$1302/100</f>
        <v>198</v>
      </c>
      <c r="R1302" s="142">
        <f>B1302*IBGE_2!R$1302/100</f>
        <v>2.2909999999999999</v>
      </c>
      <c r="S1302" s="142">
        <f>B1302*IBGE_2!S$1302/100</f>
        <v>73</v>
      </c>
      <c r="T1302" s="142">
        <f>B1302*IBGE_2!T$1302/100</f>
        <v>282</v>
      </c>
      <c r="U1302" s="142">
        <f>B1302*IBGE_2!U$1302/100</f>
        <v>0.14299999999999999</v>
      </c>
      <c r="V1302" s="142">
        <f>B1302*IBGE_2!V$1302/100</f>
        <v>4.22</v>
      </c>
      <c r="W1302" s="142">
        <f>B1302*IBGE_2!W$1302/100</f>
        <v>20</v>
      </c>
      <c r="X1302" s="142">
        <f>B1302*IBGE_2!X$1302/100</f>
        <v>5.6000000000000008E-2</v>
      </c>
      <c r="Y1302" s="142">
        <f>B1302*IBGE_2!Y$1302/100</f>
        <v>0.22699999999999998</v>
      </c>
      <c r="Z1302" s="142">
        <f>B1302*IBGE_2!Z$1302/100</f>
        <v>0.32</v>
      </c>
      <c r="AA1302" s="142">
        <f>B1302*IBGE_2!AA$1302/100</f>
        <v>3.6889999999999996</v>
      </c>
      <c r="AB1302" s="142" t="s">
        <v>3047</v>
      </c>
      <c r="AC1302" s="142">
        <f>B1302*IBGE_2!AC$1302/100</f>
        <v>8.8559999999999999</v>
      </c>
      <c r="AD1302" s="142">
        <f>B1302*IBGE_2!AD$1302/100</f>
        <v>0.35</v>
      </c>
      <c r="AE1302" s="142">
        <f>B1302*IBGE_2!AE$1302/100</f>
        <v>9</v>
      </c>
      <c r="AF1302" s="142">
        <f>B1302*IBGE_2!AF$1302/100</f>
        <v>0.1</v>
      </c>
      <c r="AG1302" s="142">
        <f>B1302*IBGE_2!AG$1302/100</f>
        <v>0.48</v>
      </c>
      <c r="AH1302" s="142">
        <f>B1302*IBGE_2!AH$1302/100</f>
        <v>0.24399999999999999</v>
      </c>
      <c r="AI1302" s="142">
        <f>B1302*IBGE_2!AI$1302/100</f>
        <v>333</v>
      </c>
      <c r="AJ1302" s="142">
        <f>B1302*IBGE_2!AJ$1302/100</f>
        <v>39.774999999999999</v>
      </c>
      <c r="AK1302" s="142">
        <f>B1302*IBGE_2!AK$1302/100</f>
        <v>20</v>
      </c>
      <c r="AL1302" s="142" t="s">
        <v>3047</v>
      </c>
      <c r="AM1302" s="142" t="s">
        <v>3047</v>
      </c>
      <c r="AN1302" s="161"/>
    </row>
    <row r="1303" spans="1:40">
      <c r="A1303" s="143" t="s">
        <v>2363</v>
      </c>
      <c r="B1303" s="141">
        <v>100</v>
      </c>
      <c r="C1303" s="142">
        <f>B1303*IBGE_2!C$1303/100</f>
        <v>175.2</v>
      </c>
      <c r="D1303" s="142">
        <f>B1303*IBGE_2!D$1303/100</f>
        <v>22.448</v>
      </c>
      <c r="E1303" s="142">
        <f>B1303*IBGE_2!E$1303/100</f>
        <v>8.4359999999999999</v>
      </c>
      <c r="F1303" s="142">
        <f>B1303*IBGE_2!F$1303/100</f>
        <v>2.6289999999999996</v>
      </c>
      <c r="G1303" s="142">
        <f>B1303*IBGE_2!G$1303/100</f>
        <v>2.4369999999999998</v>
      </c>
      <c r="H1303" s="142">
        <f>B1303*IBGE_2!H$1303/100</f>
        <v>2.343</v>
      </c>
      <c r="I1303" s="142">
        <f>B1303*IBGE_2!I$1303/100</f>
        <v>1.9579999999999997</v>
      </c>
      <c r="J1303" s="142">
        <f>B1303*IBGE_2!J$1303/100</f>
        <v>9.7000000000000017E-2</v>
      </c>
      <c r="K1303" s="142">
        <f>B1303*IBGE_2!K$1303/100</f>
        <v>65.599999999999994</v>
      </c>
      <c r="L1303" s="142">
        <f>B1303*IBGE_2!L$1303/100</f>
        <v>1.0760000000000001</v>
      </c>
      <c r="M1303" s="142">
        <f>B1303*IBGE_2!M$1303/100</f>
        <v>0.3</v>
      </c>
      <c r="N1303" s="142">
        <f>B1303*IBGE_2!N$1303/100</f>
        <v>26.6</v>
      </c>
      <c r="O1303" s="142">
        <f>B1303*IBGE_2!O$1303/100</f>
        <v>22.4</v>
      </c>
      <c r="P1303" s="142">
        <f>B1303*IBGE_2!P$1303/100</f>
        <v>4.1000000000000009E-2</v>
      </c>
      <c r="Q1303" s="142">
        <f>B1303*IBGE_2!Q$1303/100</f>
        <v>163.6</v>
      </c>
      <c r="R1303" s="142">
        <f>B1303*IBGE_2!R$1303/100</f>
        <v>2.036</v>
      </c>
      <c r="S1303" s="142">
        <f>B1303*IBGE_2!S$1303/100</f>
        <v>163.19999999999999</v>
      </c>
      <c r="T1303" s="142">
        <f>B1303*IBGE_2!T$1303/100</f>
        <v>291.8</v>
      </c>
      <c r="U1303" s="142">
        <f>B1303*IBGE_2!U$1303/100</f>
        <v>0.13800000000000001</v>
      </c>
      <c r="V1303" s="142">
        <f>B1303*IBGE_2!V$1303/100</f>
        <v>3.4159999999999995</v>
      </c>
      <c r="W1303" s="142">
        <f>B1303*IBGE_2!W$1303/100</f>
        <v>16</v>
      </c>
      <c r="X1303" s="142">
        <f>B1303*IBGE_2!X$1303/100</f>
        <v>0.05</v>
      </c>
      <c r="Y1303" s="142">
        <f>B1303*IBGE_2!Y$1303/100</f>
        <v>0.19500000000000001</v>
      </c>
      <c r="Z1303" s="142">
        <f>B1303*IBGE_2!Z$1303/100</f>
        <v>0.27500000000000002</v>
      </c>
      <c r="AA1303" s="142">
        <f>B1303*IBGE_2!AA$1303/100</f>
        <v>3.1459999999999995</v>
      </c>
      <c r="AB1303" s="142">
        <f>B1303*IBGE_2!AB$1303/100</f>
        <v>1.4</v>
      </c>
      <c r="AC1303" s="142">
        <f>B1303*IBGE_2!AC$1303/100</f>
        <v>7.3129999999999997</v>
      </c>
      <c r="AD1303" s="142">
        <f>B1303*IBGE_2!AD$1303/100</f>
        <v>0.28000000000000003</v>
      </c>
      <c r="AE1303" s="142">
        <f>B1303*IBGE_2!AE$1303/100</f>
        <v>9.4</v>
      </c>
      <c r="AF1303" s="142">
        <f>B1303*IBGE_2!AF$1303/100</f>
        <v>0.08</v>
      </c>
      <c r="AG1303" s="142">
        <f>B1303*IBGE_2!AG$1303/100</f>
        <v>0.5</v>
      </c>
      <c r="AH1303" s="142">
        <f>B1303*IBGE_2!AH$1303/100</f>
        <v>0.184</v>
      </c>
      <c r="AI1303" s="142">
        <f>B1303*IBGE_2!AI$1303/100</f>
        <v>333</v>
      </c>
      <c r="AJ1303" s="142">
        <f>B1303*IBGE_2!AJ$1303/100</f>
        <v>30.92</v>
      </c>
      <c r="AK1303" s="142">
        <f>B1303*IBGE_2!AK$1303/100</f>
        <v>19.483000000000001</v>
      </c>
      <c r="AL1303" s="142">
        <f>B1303*IBGE_2!AL$1303/100</f>
        <v>0.85</v>
      </c>
      <c r="AM1303" s="142" t="s">
        <v>3047</v>
      </c>
      <c r="AN1303" s="161"/>
    </row>
    <row r="1304" spans="1:40">
      <c r="A1304" s="143" t="s">
        <v>2364</v>
      </c>
      <c r="B1304" s="141">
        <v>100</v>
      </c>
      <c r="C1304" s="142">
        <f>B1304*IBGE_2!C$1304/100</f>
        <v>300</v>
      </c>
      <c r="D1304" s="142">
        <f>B1304*IBGE_2!D$1304/100</f>
        <v>25.95</v>
      </c>
      <c r="E1304" s="142">
        <f>B1304*IBGE_2!E$1304/100</f>
        <v>20.97</v>
      </c>
      <c r="F1304" s="142">
        <f>B1304*IBGE_2!F$1304/100</f>
        <v>5.82</v>
      </c>
      <c r="G1304" s="142">
        <f>B1304*IBGE_2!G$1304/100</f>
        <v>8.2899999999999991</v>
      </c>
      <c r="H1304" s="142">
        <f>B1304*IBGE_2!H$1304/100</f>
        <v>4.62</v>
      </c>
      <c r="I1304" s="142">
        <f>B1304*IBGE_2!I$1304/100</f>
        <v>4.04</v>
      </c>
      <c r="J1304" s="142">
        <f>B1304*IBGE_2!J$1304/100</f>
        <v>0.18</v>
      </c>
      <c r="K1304" s="142">
        <f>B1304*IBGE_2!K$1304/100</f>
        <v>88</v>
      </c>
      <c r="L1304" s="142" t="s">
        <v>3047</v>
      </c>
      <c r="M1304" s="142" t="s">
        <v>3047</v>
      </c>
      <c r="N1304" s="142">
        <f>B1304*IBGE_2!N$1304/100</f>
        <v>21</v>
      </c>
      <c r="O1304" s="142">
        <f>B1304*IBGE_2!O$1304/100</f>
        <v>20</v>
      </c>
      <c r="P1304" s="142">
        <f>B1304*IBGE_2!P$1304/100</f>
        <v>2.1999999999999999E-2</v>
      </c>
      <c r="Q1304" s="142">
        <f>B1304*IBGE_2!Q$1304/100</f>
        <v>154</v>
      </c>
      <c r="R1304" s="142">
        <f>B1304*IBGE_2!R$1304/100</f>
        <v>1.42</v>
      </c>
      <c r="S1304" s="142">
        <f>B1304*IBGE_2!S$1304/100</f>
        <v>87</v>
      </c>
      <c r="T1304" s="142">
        <f>B1304*IBGE_2!T$1304/100</f>
        <v>210</v>
      </c>
      <c r="U1304" s="142">
        <f>B1304*IBGE_2!U$1304/100</f>
        <v>7.5999999999999998E-2</v>
      </c>
      <c r="V1304" s="142">
        <f>B1304*IBGE_2!V$1304/100</f>
        <v>2.25</v>
      </c>
      <c r="W1304" s="142">
        <f>B1304*IBGE_2!W$1304/100</f>
        <v>105</v>
      </c>
      <c r="X1304" s="142">
        <f>B1304*IBGE_2!X$1304/100</f>
        <v>6.0999999999999999E-2</v>
      </c>
      <c r="Y1304" s="142">
        <f>B1304*IBGE_2!Y$1304/100</f>
        <v>0.19500000000000001</v>
      </c>
      <c r="Z1304" s="142">
        <f>B1304*IBGE_2!Z$1304/100</f>
        <v>0.27</v>
      </c>
      <c r="AA1304" s="142">
        <f>B1304*IBGE_2!AA$1304/100</f>
        <v>6.718</v>
      </c>
      <c r="AB1304" s="142" t="s">
        <v>3047</v>
      </c>
      <c r="AC1304" s="142">
        <f>B1304*IBGE_2!AC$1304/100</f>
        <v>11.417999999999999</v>
      </c>
      <c r="AD1304" s="142">
        <f>B1304*IBGE_2!AD$1304/100</f>
        <v>0.27</v>
      </c>
      <c r="AE1304" s="142">
        <f>B1304*IBGE_2!AE$1304/100</f>
        <v>6</v>
      </c>
      <c r="AF1304" s="142">
        <f>B1304*IBGE_2!AF$1304/100</f>
        <v>0.2</v>
      </c>
      <c r="AG1304" s="142">
        <f>B1304*IBGE_2!AG$1304/100</f>
        <v>0.27</v>
      </c>
      <c r="AH1304" s="142">
        <f>B1304*IBGE_2!AH$1304/100</f>
        <v>0.45399999999999996</v>
      </c>
      <c r="AI1304" s="142">
        <f>B1304*IBGE_2!AI$1304/100</f>
        <v>333</v>
      </c>
      <c r="AJ1304" s="142">
        <f>B1304*IBGE_2!AJ$1304/100</f>
        <v>22.5</v>
      </c>
      <c r="AK1304" s="142">
        <f>B1304*IBGE_2!AK$1304/100</f>
        <v>105</v>
      </c>
      <c r="AL1304" s="142" t="s">
        <v>3047</v>
      </c>
      <c r="AM1304" s="142" t="s">
        <v>3047</v>
      </c>
      <c r="AN1304" s="161"/>
    </row>
    <row r="1305" spans="1:40">
      <c r="A1305" s="143" t="s">
        <v>2365</v>
      </c>
      <c r="B1305" s="141">
        <v>100</v>
      </c>
      <c r="C1305" s="142">
        <f>B1305*IBGE_2!C$1305/100</f>
        <v>300</v>
      </c>
      <c r="D1305" s="142">
        <f>B1305*IBGE_2!D$1305/100</f>
        <v>25.95</v>
      </c>
      <c r="E1305" s="142">
        <f>B1305*IBGE_2!E$1305/100</f>
        <v>20.97</v>
      </c>
      <c r="F1305" s="142">
        <f>B1305*IBGE_2!F$1305/100</f>
        <v>5.82</v>
      </c>
      <c r="G1305" s="142">
        <f>B1305*IBGE_2!G$1305/100</f>
        <v>8.2899999999999991</v>
      </c>
      <c r="H1305" s="142">
        <f>B1305*IBGE_2!H$1305/100</f>
        <v>4.62</v>
      </c>
      <c r="I1305" s="142">
        <f>B1305*IBGE_2!I$1305/100</f>
        <v>4.04</v>
      </c>
      <c r="J1305" s="142">
        <f>B1305*IBGE_2!J$1305/100</f>
        <v>0.18</v>
      </c>
      <c r="K1305" s="142">
        <f>B1305*IBGE_2!K$1305/100</f>
        <v>88</v>
      </c>
      <c r="L1305" s="142" t="s">
        <v>3047</v>
      </c>
      <c r="M1305" s="142" t="s">
        <v>3047</v>
      </c>
      <c r="N1305" s="142">
        <f>B1305*IBGE_2!N$1305/100</f>
        <v>21</v>
      </c>
      <c r="O1305" s="142">
        <f>B1305*IBGE_2!O$1305/100</f>
        <v>20</v>
      </c>
      <c r="P1305" s="142">
        <f>B1305*IBGE_2!P$1305/100</f>
        <v>2.1999999999999999E-2</v>
      </c>
      <c r="Q1305" s="142">
        <f>B1305*IBGE_2!Q$1305/100</f>
        <v>154</v>
      </c>
      <c r="R1305" s="142">
        <f>B1305*IBGE_2!R$1305/100</f>
        <v>1.42</v>
      </c>
      <c r="S1305" s="142">
        <f>B1305*IBGE_2!S$1305/100</f>
        <v>87</v>
      </c>
      <c r="T1305" s="142">
        <f>B1305*IBGE_2!T$1305/100</f>
        <v>210</v>
      </c>
      <c r="U1305" s="142">
        <f>B1305*IBGE_2!U$1305/100</f>
        <v>7.5999999999999998E-2</v>
      </c>
      <c r="V1305" s="142">
        <f>B1305*IBGE_2!V$1305/100</f>
        <v>2.25</v>
      </c>
      <c r="W1305" s="142">
        <f>B1305*IBGE_2!W$1305/100</f>
        <v>105</v>
      </c>
      <c r="X1305" s="142">
        <f>B1305*IBGE_2!X$1305/100</f>
        <v>6.0999999999999999E-2</v>
      </c>
      <c r="Y1305" s="142">
        <f>B1305*IBGE_2!Y$1305/100</f>
        <v>0.19500000000000001</v>
      </c>
      <c r="Z1305" s="142">
        <f>B1305*IBGE_2!Z$1305/100</f>
        <v>0.27</v>
      </c>
      <c r="AA1305" s="142">
        <f>B1305*IBGE_2!AA$1305/100</f>
        <v>6.718</v>
      </c>
      <c r="AB1305" s="142" t="s">
        <v>3047</v>
      </c>
      <c r="AC1305" s="142">
        <f>B1305*IBGE_2!AC$1305/100</f>
        <v>11.417999999999999</v>
      </c>
      <c r="AD1305" s="142">
        <f>B1305*IBGE_2!AD$1305/100</f>
        <v>0.27</v>
      </c>
      <c r="AE1305" s="142">
        <f>B1305*IBGE_2!AE$1305/100</f>
        <v>6</v>
      </c>
      <c r="AF1305" s="142">
        <f>B1305*IBGE_2!AF$1305/100</f>
        <v>0.2</v>
      </c>
      <c r="AG1305" s="142">
        <f>B1305*IBGE_2!AG$1305/100</f>
        <v>0.27</v>
      </c>
      <c r="AH1305" s="142">
        <f>B1305*IBGE_2!AH$1305/100</f>
        <v>0.45399999999999996</v>
      </c>
      <c r="AI1305" s="142">
        <f>B1305*IBGE_2!AI$1305/100</f>
        <v>333</v>
      </c>
      <c r="AJ1305" s="142">
        <f>B1305*IBGE_2!AJ$1305/100</f>
        <v>22.5</v>
      </c>
      <c r="AK1305" s="142">
        <f>B1305*IBGE_2!AK$1305/100</f>
        <v>105</v>
      </c>
      <c r="AL1305" s="142" t="s">
        <v>3047</v>
      </c>
      <c r="AM1305" s="142" t="s">
        <v>3047</v>
      </c>
      <c r="AN1305" s="161"/>
    </row>
    <row r="1306" spans="1:40">
      <c r="A1306" s="143" t="s">
        <v>2366</v>
      </c>
      <c r="B1306" s="141">
        <v>100</v>
      </c>
      <c r="C1306" s="142">
        <f>B1306*IBGE_2!C$1306/100</f>
        <v>322.65899999999999</v>
      </c>
      <c r="D1306" s="142">
        <f>B1306*IBGE_2!D$1306/100</f>
        <v>25.95</v>
      </c>
      <c r="E1306" s="142">
        <f>B1306*IBGE_2!E$1306/100</f>
        <v>23.533000000000001</v>
      </c>
      <c r="F1306" s="142">
        <f>B1306*IBGE_2!F$1306/100</f>
        <v>6.2210000000000001</v>
      </c>
      <c r="G1306" s="142">
        <f>B1306*IBGE_2!G$1306/100</f>
        <v>8.8740000000000006</v>
      </c>
      <c r="H1306" s="142">
        <f>B1306*IBGE_2!H$1306/100</f>
        <v>6.1</v>
      </c>
      <c r="I1306" s="142">
        <f>B1306*IBGE_2!I$1306/100</f>
        <v>5.3460000000000001</v>
      </c>
      <c r="J1306" s="142">
        <f>B1306*IBGE_2!J$1306/100</f>
        <v>0.35399999999999998</v>
      </c>
      <c r="K1306" s="142">
        <f>B1306*IBGE_2!K$1306/100</f>
        <v>88</v>
      </c>
      <c r="L1306" s="142" t="s">
        <v>3047</v>
      </c>
      <c r="M1306" s="142" t="s">
        <v>3047</v>
      </c>
      <c r="N1306" s="142">
        <f>B1306*IBGE_2!N$1306/100</f>
        <v>21</v>
      </c>
      <c r="O1306" s="142">
        <f>B1306*IBGE_2!O$1306/100</f>
        <v>20</v>
      </c>
      <c r="P1306" s="142">
        <f>B1306*IBGE_2!P$1306/100</f>
        <v>2.1999999999999999E-2</v>
      </c>
      <c r="Q1306" s="142">
        <f>B1306*IBGE_2!Q$1306/100</f>
        <v>154</v>
      </c>
      <c r="R1306" s="142">
        <f>B1306*IBGE_2!R$1306/100</f>
        <v>1.421</v>
      </c>
      <c r="S1306" s="142">
        <f>B1306*IBGE_2!S$1306/100</f>
        <v>87</v>
      </c>
      <c r="T1306" s="142">
        <f>B1306*IBGE_2!T$1306/100</f>
        <v>210</v>
      </c>
      <c r="U1306" s="142">
        <f>B1306*IBGE_2!U$1306/100</f>
        <v>7.5999999999999998E-2</v>
      </c>
      <c r="V1306" s="142">
        <f>B1306*IBGE_2!V$1306/100</f>
        <v>2.25</v>
      </c>
      <c r="W1306" s="142">
        <f>B1306*IBGE_2!W$1306/100</f>
        <v>105</v>
      </c>
      <c r="X1306" s="142">
        <f>B1306*IBGE_2!X$1306/100</f>
        <v>6.0999999999999999E-2</v>
      </c>
      <c r="Y1306" s="142">
        <f>B1306*IBGE_2!Y$1306/100</f>
        <v>0.19500000000000001</v>
      </c>
      <c r="Z1306" s="142">
        <f>B1306*IBGE_2!Z$1306/100</f>
        <v>0.27</v>
      </c>
      <c r="AA1306" s="142">
        <f>B1306*IBGE_2!AA$1306/100</f>
        <v>6.718</v>
      </c>
      <c r="AB1306" s="142" t="s">
        <v>3047</v>
      </c>
      <c r="AC1306" s="142">
        <f>B1306*IBGE_2!AC$1306/100</f>
        <v>11.417999999999999</v>
      </c>
      <c r="AD1306" s="142">
        <f>B1306*IBGE_2!AD$1306/100</f>
        <v>0.27</v>
      </c>
      <c r="AE1306" s="142">
        <f>B1306*IBGE_2!AE$1306/100</f>
        <v>6</v>
      </c>
      <c r="AF1306" s="142">
        <f>B1306*IBGE_2!AF$1306/100</f>
        <v>0.2</v>
      </c>
      <c r="AG1306" s="142">
        <f>B1306*IBGE_2!AG$1306/100</f>
        <v>0.48</v>
      </c>
      <c r="AH1306" s="142">
        <f>B1306*IBGE_2!AH$1306/100</f>
        <v>0.46800000000000003</v>
      </c>
      <c r="AI1306" s="142">
        <f>B1306*IBGE_2!AI$1306/100</f>
        <v>333</v>
      </c>
      <c r="AJ1306" s="142">
        <f>B1306*IBGE_2!AJ$1306/100</f>
        <v>23.675000000000001</v>
      </c>
      <c r="AK1306" s="142">
        <f>B1306*IBGE_2!AK$1306/100</f>
        <v>105</v>
      </c>
      <c r="AL1306" s="142" t="s">
        <v>3047</v>
      </c>
      <c r="AM1306" s="142" t="s">
        <v>3047</v>
      </c>
      <c r="AN1306" s="161"/>
    </row>
    <row r="1307" spans="1:40">
      <c r="A1307" s="143" t="s">
        <v>2367</v>
      </c>
      <c r="B1307" s="141">
        <v>100</v>
      </c>
      <c r="C1307" s="142">
        <f>B1307*IBGE_2!C$1307/100</f>
        <v>322.65899999999999</v>
      </c>
      <c r="D1307" s="142">
        <f>B1307*IBGE_2!D$1307/100</f>
        <v>25.95</v>
      </c>
      <c r="E1307" s="142">
        <f>B1307*IBGE_2!E$1307/100</f>
        <v>23.533000000000001</v>
      </c>
      <c r="F1307" s="142">
        <f>B1307*IBGE_2!F$1307/100</f>
        <v>6.2210000000000001</v>
      </c>
      <c r="G1307" s="142">
        <f>B1307*IBGE_2!G$1307/100</f>
        <v>8.8740000000000006</v>
      </c>
      <c r="H1307" s="142">
        <f>B1307*IBGE_2!H$1307/100</f>
        <v>6.1</v>
      </c>
      <c r="I1307" s="142">
        <f>B1307*IBGE_2!I$1307/100</f>
        <v>5.3460000000000001</v>
      </c>
      <c r="J1307" s="142">
        <f>B1307*IBGE_2!J$1307/100</f>
        <v>0.35399999999999998</v>
      </c>
      <c r="K1307" s="142">
        <f>B1307*IBGE_2!K$1307/100</f>
        <v>88</v>
      </c>
      <c r="L1307" s="142" t="s">
        <v>3047</v>
      </c>
      <c r="M1307" s="142" t="s">
        <v>3047</v>
      </c>
      <c r="N1307" s="142">
        <f>B1307*IBGE_2!N$1307/100</f>
        <v>21</v>
      </c>
      <c r="O1307" s="142">
        <f>B1307*IBGE_2!O$1307/100</f>
        <v>20</v>
      </c>
      <c r="P1307" s="142">
        <f>B1307*IBGE_2!P$1307/100</f>
        <v>2.1999999999999999E-2</v>
      </c>
      <c r="Q1307" s="142">
        <f>B1307*IBGE_2!Q$1307/100</f>
        <v>154</v>
      </c>
      <c r="R1307" s="142">
        <f>B1307*IBGE_2!R$1307/100</f>
        <v>1.421</v>
      </c>
      <c r="S1307" s="142">
        <f>B1307*IBGE_2!S$1307/100</f>
        <v>87</v>
      </c>
      <c r="T1307" s="142">
        <f>B1307*IBGE_2!T$1307/100</f>
        <v>210</v>
      </c>
      <c r="U1307" s="142">
        <f>B1307*IBGE_2!U$1307/100</f>
        <v>7.5999999999999998E-2</v>
      </c>
      <c r="V1307" s="142">
        <f>B1307*IBGE_2!V$1307/100</f>
        <v>2.25</v>
      </c>
      <c r="W1307" s="142">
        <f>B1307*IBGE_2!W$1307/100</f>
        <v>105</v>
      </c>
      <c r="X1307" s="142">
        <f>B1307*IBGE_2!X$1307/100</f>
        <v>6.0999999999999999E-2</v>
      </c>
      <c r="Y1307" s="142">
        <f>B1307*IBGE_2!Y$1307/100</f>
        <v>0.19500000000000001</v>
      </c>
      <c r="Z1307" s="142">
        <f>B1307*IBGE_2!Z$1307/100</f>
        <v>0.27</v>
      </c>
      <c r="AA1307" s="142">
        <f>B1307*IBGE_2!AA$1307/100</f>
        <v>6.718</v>
      </c>
      <c r="AB1307" s="142" t="s">
        <v>3047</v>
      </c>
      <c r="AC1307" s="142">
        <f>B1307*IBGE_2!AC$1307/100</f>
        <v>11.417999999999999</v>
      </c>
      <c r="AD1307" s="142">
        <f>B1307*IBGE_2!AD$1307/100</f>
        <v>0.27</v>
      </c>
      <c r="AE1307" s="142">
        <f>B1307*IBGE_2!AE$1307/100</f>
        <v>6</v>
      </c>
      <c r="AF1307" s="142">
        <f>B1307*IBGE_2!AF$1307/100</f>
        <v>0.2</v>
      </c>
      <c r="AG1307" s="142">
        <f>B1307*IBGE_2!AG$1307/100</f>
        <v>0.48</v>
      </c>
      <c r="AH1307" s="142">
        <f>B1307*IBGE_2!AH$1307/100</f>
        <v>0.46800000000000003</v>
      </c>
      <c r="AI1307" s="142">
        <f>B1307*IBGE_2!AI$1307/100</f>
        <v>333</v>
      </c>
      <c r="AJ1307" s="142">
        <f>B1307*IBGE_2!AJ$1307/100</f>
        <v>23.675000000000001</v>
      </c>
      <c r="AK1307" s="142">
        <f>B1307*IBGE_2!AK$1307/100</f>
        <v>105</v>
      </c>
      <c r="AL1307" s="142" t="s">
        <v>3047</v>
      </c>
      <c r="AM1307" s="142" t="s">
        <v>3047</v>
      </c>
      <c r="AN1307" s="161"/>
    </row>
    <row r="1308" spans="1:40">
      <c r="A1308" s="143" t="s">
        <v>2368</v>
      </c>
      <c r="B1308" s="141">
        <v>100</v>
      </c>
      <c r="C1308" s="142">
        <f>B1308*IBGE_2!C$1308/100</f>
        <v>272.58999999999997</v>
      </c>
      <c r="D1308" s="142">
        <f>B1308*IBGE_2!D$1308/100</f>
        <v>21.539000000000001</v>
      </c>
      <c r="E1308" s="142">
        <f>B1308*IBGE_2!E$1308/100</f>
        <v>19.265000000000001</v>
      </c>
      <c r="F1308" s="142">
        <f>B1308*IBGE_2!F$1308/100</f>
        <v>6.1879999999999997</v>
      </c>
      <c r="G1308" s="142">
        <f>B1308*IBGE_2!G$1308/100</f>
        <v>7.2690000000000001</v>
      </c>
      <c r="H1308" s="142">
        <f>B1308*IBGE_2!H$1308/100</f>
        <v>3.8090000000000002</v>
      </c>
      <c r="I1308" s="142">
        <f>B1308*IBGE_2!I$1308/100</f>
        <v>3.3220000000000001</v>
      </c>
      <c r="J1308" s="142">
        <f>B1308*IBGE_2!J$1308/100</f>
        <v>0.16600000000000001</v>
      </c>
      <c r="K1308" s="142">
        <f>B1308*IBGE_2!K$1308/100</f>
        <v>77.233000000000004</v>
      </c>
      <c r="L1308" s="142">
        <f>B1308*IBGE_2!L$1308/100</f>
        <v>1.851</v>
      </c>
      <c r="M1308" s="142">
        <f>B1308*IBGE_2!M$1308/100</f>
        <v>4.2999999999999997E-2</v>
      </c>
      <c r="N1308" s="142">
        <f>B1308*IBGE_2!N$1308/100</f>
        <v>39.679000000000002</v>
      </c>
      <c r="O1308" s="142">
        <f>B1308*IBGE_2!O$1308/100</f>
        <v>18.312000000000001</v>
      </c>
      <c r="P1308" s="142">
        <f>B1308*IBGE_2!P$1308/100</f>
        <v>2.8000000000000004E-2</v>
      </c>
      <c r="Q1308" s="142">
        <f>B1308*IBGE_2!Q$1308/100</f>
        <v>142.893</v>
      </c>
      <c r="R1308" s="142">
        <f>B1308*IBGE_2!R$1308/100</f>
        <v>1.206</v>
      </c>
      <c r="S1308" s="142">
        <f>B1308*IBGE_2!S$1308/100</f>
        <v>90.516999999999996</v>
      </c>
      <c r="T1308" s="142">
        <f>B1308*IBGE_2!T$1308/100</f>
        <v>198.054</v>
      </c>
      <c r="U1308" s="142">
        <f>B1308*IBGE_2!U$1308/100</f>
        <v>6.5000000000000002E-2</v>
      </c>
      <c r="V1308" s="142">
        <f>B1308*IBGE_2!V$1308/100</f>
        <v>1.889</v>
      </c>
      <c r="W1308" s="142">
        <f>B1308*IBGE_2!W$1308/100</f>
        <v>104.697</v>
      </c>
      <c r="X1308" s="142">
        <f>B1308*IBGE_2!X$1308/100</f>
        <v>6.7000000000000004E-2</v>
      </c>
      <c r="Y1308" s="142">
        <f>B1308*IBGE_2!Y$1308/100</f>
        <v>0.19900000000000001</v>
      </c>
      <c r="Z1308" s="142">
        <f>B1308*IBGE_2!Z$1308/100</f>
        <v>0.22400000000000003</v>
      </c>
      <c r="AA1308" s="142">
        <f>B1308*IBGE_2!AA$1308/100</f>
        <v>5.47</v>
      </c>
      <c r="AB1308" s="142">
        <f>B1308*IBGE_2!AB$1308/100</f>
        <v>4.0000000000000001E-3</v>
      </c>
      <c r="AC1308" s="142">
        <f>B1308*IBGE_2!AC$1308/100</f>
        <v>9.5050000000000008</v>
      </c>
      <c r="AD1308" s="142">
        <f>B1308*IBGE_2!AD$1308/100</f>
        <v>0.30599999999999999</v>
      </c>
      <c r="AE1308" s="142">
        <f>B1308*IBGE_2!AE$1308/100</f>
        <v>8.3960000000000008</v>
      </c>
      <c r="AF1308" s="142">
        <f>B1308*IBGE_2!AF$1308/100</f>
        <v>0.38700000000000001</v>
      </c>
      <c r="AG1308" s="142">
        <f>B1308*IBGE_2!AG$1308/100</f>
        <v>0.28100000000000003</v>
      </c>
      <c r="AH1308" s="142">
        <f>B1308*IBGE_2!AH$1308/100</f>
        <v>0.46</v>
      </c>
      <c r="AI1308" s="142">
        <f>B1308*IBGE_2!AI$1308/100</f>
        <v>333</v>
      </c>
      <c r="AJ1308" s="142">
        <f>B1308*IBGE_2!AJ$1308/100</f>
        <v>19.169</v>
      </c>
      <c r="AK1308" s="142">
        <f>B1308*IBGE_2!AK$1308/100</f>
        <v>105.081</v>
      </c>
      <c r="AL1308" s="142">
        <f>B1308*IBGE_2!AL$1308/100</f>
        <v>1.0329999999999999</v>
      </c>
      <c r="AM1308" s="142" t="s">
        <v>3047</v>
      </c>
      <c r="AN1308" s="161"/>
    </row>
    <row r="1309" spans="1:40">
      <c r="A1309" s="143" t="s">
        <v>2369</v>
      </c>
      <c r="B1309" s="141">
        <v>100</v>
      </c>
      <c r="C1309" s="142">
        <f>B1309*IBGE_2!C$1309/100</f>
        <v>215</v>
      </c>
      <c r="D1309" s="142">
        <f>B1309*IBGE_2!D$1309/100</f>
        <v>19.399999999999999</v>
      </c>
      <c r="E1309" s="142">
        <f>B1309*IBGE_2!E$1309/100</f>
        <v>14.6</v>
      </c>
      <c r="F1309" s="142">
        <f>B1309*IBGE_2!F$1309/100</f>
        <v>3.92</v>
      </c>
      <c r="G1309" s="142">
        <f>B1309*IBGE_2!G$1309/100</f>
        <v>5.5</v>
      </c>
      <c r="H1309" s="142">
        <f>B1309*IBGE_2!H$1309/100</f>
        <v>2.98</v>
      </c>
      <c r="I1309" s="142">
        <f>B1309*IBGE_2!I$1309/100</f>
        <v>2.57</v>
      </c>
      <c r="J1309" s="142">
        <f>B1309*IBGE_2!J$1309/100</f>
        <v>0.10800000000000001</v>
      </c>
      <c r="K1309" s="142">
        <f>B1309*IBGE_2!K$1309/100</f>
        <v>84</v>
      </c>
      <c r="L1309" s="142">
        <f>B1309*IBGE_2!L$1309/100</f>
        <v>0.2</v>
      </c>
      <c r="M1309" s="142" t="s">
        <v>3047</v>
      </c>
      <c r="N1309" s="142">
        <f>B1309*IBGE_2!N$1309/100</f>
        <v>88</v>
      </c>
      <c r="O1309" s="142">
        <f>B1309*IBGE_2!O$1309/100</f>
        <v>5</v>
      </c>
      <c r="P1309" s="142">
        <f>B1309*IBGE_2!P$1309/100</f>
        <v>1.6E-2</v>
      </c>
      <c r="Q1309" s="142">
        <f>B1309*IBGE_2!Q$1309/100</f>
        <v>83</v>
      </c>
      <c r="R1309" s="142">
        <f>B1309*IBGE_2!R$1309/100</f>
        <v>0.91</v>
      </c>
      <c r="S1309" s="142">
        <f>B1309*IBGE_2!S$1309/100</f>
        <v>67</v>
      </c>
      <c r="T1309" s="142">
        <f>B1309*IBGE_2!T$1309/100</f>
        <v>31</v>
      </c>
      <c r="U1309" s="142">
        <f>B1309*IBGE_2!U$1309/100</f>
        <v>0.10199999999999999</v>
      </c>
      <c r="V1309" s="142">
        <f>B1309*IBGE_2!V$1309/100</f>
        <v>0.69</v>
      </c>
      <c r="W1309" s="142">
        <f>B1309*IBGE_2!W$1309/100</f>
        <v>30</v>
      </c>
      <c r="X1309" s="142">
        <f>B1309*IBGE_2!X$1309/100</f>
        <v>0.06</v>
      </c>
      <c r="Y1309" s="142">
        <f>B1309*IBGE_2!Y$1309/100</f>
        <v>0.2</v>
      </c>
      <c r="Z1309" s="142">
        <f>B1309*IBGE_2!Z$1309/100</f>
        <v>0.01</v>
      </c>
      <c r="AA1309" s="142">
        <f>B1309*IBGE_2!AA$1309/100</f>
        <v>0.4</v>
      </c>
      <c r="AB1309" s="142" t="s">
        <v>3047</v>
      </c>
      <c r="AC1309" s="142">
        <f>B1309*IBGE_2!AC$1309/100</f>
        <v>4</v>
      </c>
      <c r="AD1309" s="142">
        <f>B1309*IBGE_2!AD$1309/100</f>
        <v>0.47</v>
      </c>
      <c r="AE1309" s="142">
        <f>B1309*IBGE_2!AE$1309/100</f>
        <v>86</v>
      </c>
      <c r="AF1309" s="142">
        <f>B1309*IBGE_2!AF$1309/100</f>
        <v>0.14899999999999999</v>
      </c>
      <c r="AG1309" s="142">
        <f>B1309*IBGE_2!AG$1309/100</f>
        <v>0.27</v>
      </c>
      <c r="AH1309" s="142">
        <f>B1309*IBGE_2!AH$1309/100</f>
        <v>0.28699999999999998</v>
      </c>
      <c r="AI1309" s="142">
        <f>B1309*IBGE_2!AI$1309/100</f>
        <v>333</v>
      </c>
      <c r="AJ1309" s="142">
        <f>B1309*IBGE_2!AJ$1309/100</f>
        <v>3.6</v>
      </c>
      <c r="AK1309" s="142">
        <f>B1309*IBGE_2!AK$1309/100</f>
        <v>30</v>
      </c>
      <c r="AL1309" s="142" t="s">
        <v>3047</v>
      </c>
      <c r="AM1309" s="142" t="s">
        <v>3047</v>
      </c>
      <c r="AN1309" s="161"/>
    </row>
    <row r="1310" spans="1:40">
      <c r="A1310" s="143" t="s">
        <v>2370</v>
      </c>
      <c r="B1310" s="141">
        <v>100</v>
      </c>
      <c r="C1310" s="142">
        <f>B1310*IBGE_2!C$1310/100</f>
        <v>215</v>
      </c>
      <c r="D1310" s="142">
        <f>B1310*IBGE_2!D$1310/100</f>
        <v>19.399999999999999</v>
      </c>
      <c r="E1310" s="142">
        <f>B1310*IBGE_2!E$1310/100</f>
        <v>14.6</v>
      </c>
      <c r="F1310" s="142">
        <f>B1310*IBGE_2!F$1310/100</f>
        <v>3.92</v>
      </c>
      <c r="G1310" s="142">
        <f>B1310*IBGE_2!G$1310/100</f>
        <v>5.5</v>
      </c>
      <c r="H1310" s="142">
        <f>B1310*IBGE_2!H$1310/100</f>
        <v>2.98</v>
      </c>
      <c r="I1310" s="142">
        <f>B1310*IBGE_2!I$1310/100</f>
        <v>2.57</v>
      </c>
      <c r="J1310" s="142">
        <f>B1310*IBGE_2!J$1310/100</f>
        <v>0.10800000000000001</v>
      </c>
      <c r="K1310" s="142">
        <f>B1310*IBGE_2!K$1310/100</f>
        <v>84</v>
      </c>
      <c r="L1310" s="142">
        <f>B1310*IBGE_2!L$1310/100</f>
        <v>0.2</v>
      </c>
      <c r="M1310" s="142" t="s">
        <v>3047</v>
      </c>
      <c r="N1310" s="142">
        <f>B1310*IBGE_2!N$1310/100</f>
        <v>88</v>
      </c>
      <c r="O1310" s="142">
        <f>B1310*IBGE_2!O$1310/100</f>
        <v>5</v>
      </c>
      <c r="P1310" s="142">
        <f>B1310*IBGE_2!P$1310/100</f>
        <v>1.6E-2</v>
      </c>
      <c r="Q1310" s="142">
        <f>B1310*IBGE_2!Q$1310/100</f>
        <v>83</v>
      </c>
      <c r="R1310" s="142">
        <f>B1310*IBGE_2!R$1310/100</f>
        <v>0.91</v>
      </c>
      <c r="S1310" s="142">
        <f>B1310*IBGE_2!S$1310/100</f>
        <v>67</v>
      </c>
      <c r="T1310" s="142">
        <f>B1310*IBGE_2!T$1310/100</f>
        <v>31</v>
      </c>
      <c r="U1310" s="142">
        <f>B1310*IBGE_2!U$1310/100</f>
        <v>0.10199999999999999</v>
      </c>
      <c r="V1310" s="142">
        <f>B1310*IBGE_2!V$1310/100</f>
        <v>0.69</v>
      </c>
      <c r="W1310" s="142">
        <f>B1310*IBGE_2!W$1310/100</f>
        <v>30</v>
      </c>
      <c r="X1310" s="142">
        <f>B1310*IBGE_2!X$1310/100</f>
        <v>0.06</v>
      </c>
      <c r="Y1310" s="142">
        <f>B1310*IBGE_2!Y$1310/100</f>
        <v>0.2</v>
      </c>
      <c r="Z1310" s="142">
        <f>B1310*IBGE_2!Z$1310/100</f>
        <v>0.01</v>
      </c>
      <c r="AA1310" s="142">
        <f>B1310*IBGE_2!AA$1310/100</f>
        <v>0.4</v>
      </c>
      <c r="AB1310" s="142" t="s">
        <v>3047</v>
      </c>
      <c r="AC1310" s="142">
        <f>B1310*IBGE_2!AC$1310/100</f>
        <v>4</v>
      </c>
      <c r="AD1310" s="142">
        <f>B1310*IBGE_2!AD$1310/100</f>
        <v>0.47</v>
      </c>
      <c r="AE1310" s="142">
        <f>B1310*IBGE_2!AE$1310/100</f>
        <v>86</v>
      </c>
      <c r="AF1310" s="142">
        <f>B1310*IBGE_2!AF$1310/100</f>
        <v>0.14899999999999999</v>
      </c>
      <c r="AG1310" s="142">
        <f>B1310*IBGE_2!AG$1310/100</f>
        <v>0.27</v>
      </c>
      <c r="AH1310" s="142">
        <f>B1310*IBGE_2!AH$1310/100</f>
        <v>0.28699999999999998</v>
      </c>
      <c r="AI1310" s="142">
        <f>B1310*IBGE_2!AI$1310/100</f>
        <v>333</v>
      </c>
      <c r="AJ1310" s="142">
        <f>B1310*IBGE_2!AJ$1310/100</f>
        <v>3.6</v>
      </c>
      <c r="AK1310" s="142">
        <f>B1310*IBGE_2!AK$1310/100</f>
        <v>30</v>
      </c>
      <c r="AL1310" s="142" t="s">
        <v>3047</v>
      </c>
      <c r="AM1310" s="142" t="s">
        <v>3047</v>
      </c>
      <c r="AN1310" s="161"/>
    </row>
    <row r="1311" spans="1:40">
      <c r="A1311" s="143" t="s">
        <v>2371</v>
      </c>
      <c r="B1311" s="141">
        <v>100</v>
      </c>
      <c r="C1311" s="142">
        <f>B1311*IBGE_2!C$1311/100</f>
        <v>215</v>
      </c>
      <c r="D1311" s="142">
        <f>B1311*IBGE_2!D$1311/100</f>
        <v>19.399999999999999</v>
      </c>
      <c r="E1311" s="142">
        <f>B1311*IBGE_2!E$1311/100</f>
        <v>14.6</v>
      </c>
      <c r="F1311" s="142">
        <f>B1311*IBGE_2!F$1311/100</f>
        <v>3.92</v>
      </c>
      <c r="G1311" s="142">
        <f>B1311*IBGE_2!G$1311/100</f>
        <v>5.5</v>
      </c>
      <c r="H1311" s="142">
        <f>B1311*IBGE_2!H$1311/100</f>
        <v>2.98</v>
      </c>
      <c r="I1311" s="142">
        <f>B1311*IBGE_2!I$1311/100</f>
        <v>2.57</v>
      </c>
      <c r="J1311" s="142">
        <f>B1311*IBGE_2!J$1311/100</f>
        <v>0.10800000000000001</v>
      </c>
      <c r="K1311" s="142">
        <f>B1311*IBGE_2!K$1311/100</f>
        <v>84</v>
      </c>
      <c r="L1311" s="142">
        <f>B1311*IBGE_2!L$1311/100</f>
        <v>0.2</v>
      </c>
      <c r="M1311" s="142" t="s">
        <v>3047</v>
      </c>
      <c r="N1311" s="142">
        <f>B1311*IBGE_2!N$1311/100</f>
        <v>88</v>
      </c>
      <c r="O1311" s="142">
        <f>B1311*IBGE_2!O$1311/100</f>
        <v>5</v>
      </c>
      <c r="P1311" s="142">
        <f>B1311*IBGE_2!P$1311/100</f>
        <v>1.6E-2</v>
      </c>
      <c r="Q1311" s="142">
        <f>B1311*IBGE_2!Q$1311/100</f>
        <v>83</v>
      </c>
      <c r="R1311" s="142">
        <f>B1311*IBGE_2!R$1311/100</f>
        <v>0.91</v>
      </c>
      <c r="S1311" s="142">
        <f>B1311*IBGE_2!S$1311/100</f>
        <v>67</v>
      </c>
      <c r="T1311" s="142">
        <f>B1311*IBGE_2!T$1311/100</f>
        <v>31</v>
      </c>
      <c r="U1311" s="142">
        <f>B1311*IBGE_2!U$1311/100</f>
        <v>0.10199999999999999</v>
      </c>
      <c r="V1311" s="142">
        <f>B1311*IBGE_2!V$1311/100</f>
        <v>0.69</v>
      </c>
      <c r="W1311" s="142">
        <f>B1311*IBGE_2!W$1311/100</f>
        <v>30</v>
      </c>
      <c r="X1311" s="142">
        <f>B1311*IBGE_2!X$1311/100</f>
        <v>0.06</v>
      </c>
      <c r="Y1311" s="142">
        <f>B1311*IBGE_2!Y$1311/100</f>
        <v>0.2</v>
      </c>
      <c r="Z1311" s="142">
        <f>B1311*IBGE_2!Z$1311/100</f>
        <v>0.01</v>
      </c>
      <c r="AA1311" s="142">
        <f>B1311*IBGE_2!AA$1311/100</f>
        <v>0.4</v>
      </c>
      <c r="AB1311" s="142" t="s">
        <v>3047</v>
      </c>
      <c r="AC1311" s="142">
        <f>B1311*IBGE_2!AC$1311/100</f>
        <v>4</v>
      </c>
      <c r="AD1311" s="142">
        <f>B1311*IBGE_2!AD$1311/100</f>
        <v>0.47</v>
      </c>
      <c r="AE1311" s="142">
        <f>B1311*IBGE_2!AE$1311/100</f>
        <v>86</v>
      </c>
      <c r="AF1311" s="142">
        <f>B1311*IBGE_2!AF$1311/100</f>
        <v>0.14899999999999999</v>
      </c>
      <c r="AG1311" s="142">
        <f>B1311*IBGE_2!AG$1311/100</f>
        <v>0.27</v>
      </c>
      <c r="AH1311" s="142">
        <f>B1311*IBGE_2!AH$1311/100</f>
        <v>0.28699999999999998</v>
      </c>
      <c r="AI1311" s="142">
        <f>B1311*IBGE_2!AI$1311/100</f>
        <v>333</v>
      </c>
      <c r="AJ1311" s="142">
        <f>B1311*IBGE_2!AJ$1311/100</f>
        <v>3.6</v>
      </c>
      <c r="AK1311" s="142">
        <f>B1311*IBGE_2!AK$1311/100</f>
        <v>30</v>
      </c>
      <c r="AL1311" s="142" t="s">
        <v>3047</v>
      </c>
      <c r="AM1311" s="142" t="s">
        <v>3047</v>
      </c>
      <c r="AN1311" s="161"/>
    </row>
    <row r="1312" spans="1:40">
      <c r="A1312" s="143" t="s">
        <v>2372</v>
      </c>
      <c r="B1312" s="141">
        <v>100</v>
      </c>
      <c r="C1312" s="142">
        <f>B1312*IBGE_2!C$1312/100</f>
        <v>237.65899999999999</v>
      </c>
      <c r="D1312" s="142">
        <f>B1312*IBGE_2!D$1312/100</f>
        <v>19.399999999999999</v>
      </c>
      <c r="E1312" s="142">
        <f>B1312*IBGE_2!E$1312/100</f>
        <v>17.163</v>
      </c>
      <c r="F1312" s="142">
        <f>B1312*IBGE_2!F$1312/100</f>
        <v>4.3209999999999997</v>
      </c>
      <c r="G1312" s="142">
        <f>B1312*IBGE_2!G$1312/100</f>
        <v>6.0839999999999996</v>
      </c>
      <c r="H1312" s="142">
        <f>B1312*IBGE_2!H$1312/100</f>
        <v>4.46</v>
      </c>
      <c r="I1312" s="142">
        <f>B1312*IBGE_2!I$1312/100</f>
        <v>3.8759999999999994</v>
      </c>
      <c r="J1312" s="142">
        <f>B1312*IBGE_2!J$1312/100</f>
        <v>0.28199999999999997</v>
      </c>
      <c r="K1312" s="142">
        <f>B1312*IBGE_2!K$1312/100</f>
        <v>84</v>
      </c>
      <c r="L1312" s="142">
        <f>B1312*IBGE_2!L$1312/100</f>
        <v>0.2</v>
      </c>
      <c r="M1312" s="142" t="s">
        <v>3047</v>
      </c>
      <c r="N1312" s="142">
        <f>B1312*IBGE_2!N$1312/100</f>
        <v>88</v>
      </c>
      <c r="O1312" s="142">
        <f>B1312*IBGE_2!O$1312/100</f>
        <v>5</v>
      </c>
      <c r="P1312" s="142">
        <f>B1312*IBGE_2!P$1312/100</f>
        <v>1.6E-2</v>
      </c>
      <c r="Q1312" s="142">
        <f>B1312*IBGE_2!Q$1312/100</f>
        <v>83</v>
      </c>
      <c r="R1312" s="142">
        <f>B1312*IBGE_2!R$1312/100</f>
        <v>0.91100000000000003</v>
      </c>
      <c r="S1312" s="142">
        <f>B1312*IBGE_2!S$1312/100</f>
        <v>67</v>
      </c>
      <c r="T1312" s="142">
        <f>B1312*IBGE_2!T$1312/100</f>
        <v>31</v>
      </c>
      <c r="U1312" s="142">
        <f>B1312*IBGE_2!U$1312/100</f>
        <v>0.10199999999999999</v>
      </c>
      <c r="V1312" s="142">
        <f>B1312*IBGE_2!V$1312/100</f>
        <v>0.69</v>
      </c>
      <c r="W1312" s="142">
        <f>B1312*IBGE_2!W$1312/100</f>
        <v>30</v>
      </c>
      <c r="X1312" s="142">
        <f>B1312*IBGE_2!X$1312/100</f>
        <v>0.06</v>
      </c>
      <c r="Y1312" s="142">
        <f>B1312*IBGE_2!Y$1312/100</f>
        <v>0.2</v>
      </c>
      <c r="Z1312" s="142">
        <f>B1312*IBGE_2!Z$1312/100</f>
        <v>0.01</v>
      </c>
      <c r="AA1312" s="142">
        <f>B1312*IBGE_2!AA$1312/100</f>
        <v>0.4</v>
      </c>
      <c r="AB1312" s="142" t="s">
        <v>3047</v>
      </c>
      <c r="AC1312" s="142">
        <f>B1312*IBGE_2!AC$1312/100</f>
        <v>4</v>
      </c>
      <c r="AD1312" s="142">
        <f>B1312*IBGE_2!AD$1312/100</f>
        <v>0.47</v>
      </c>
      <c r="AE1312" s="142">
        <f>B1312*IBGE_2!AE$1312/100</f>
        <v>86</v>
      </c>
      <c r="AF1312" s="142">
        <f>B1312*IBGE_2!AF$1312/100</f>
        <v>0.14899999999999999</v>
      </c>
      <c r="AG1312" s="142">
        <f>B1312*IBGE_2!AG$1312/100</f>
        <v>0.48</v>
      </c>
      <c r="AH1312" s="142">
        <f>B1312*IBGE_2!AH$1312/100</f>
        <v>0.30099999999999999</v>
      </c>
      <c r="AI1312" s="142">
        <f>B1312*IBGE_2!AI$1312/100</f>
        <v>333</v>
      </c>
      <c r="AJ1312" s="142">
        <f>B1312*IBGE_2!AJ$1312/100</f>
        <v>4.7750000000000004</v>
      </c>
      <c r="AK1312" s="142">
        <f>B1312*IBGE_2!AK$1312/100</f>
        <v>30</v>
      </c>
      <c r="AL1312" s="142" t="s">
        <v>3047</v>
      </c>
      <c r="AM1312" s="142" t="s">
        <v>3047</v>
      </c>
      <c r="AN1312" s="161"/>
    </row>
    <row r="1313" spans="1:40">
      <c r="A1313" s="143" t="s">
        <v>2373</v>
      </c>
      <c r="B1313" s="141">
        <v>100</v>
      </c>
      <c r="C1313" s="142">
        <f>B1313*IBGE_2!C$1313/100</f>
        <v>237.65899999999999</v>
      </c>
      <c r="D1313" s="142">
        <f>B1313*IBGE_2!D$1313/100</f>
        <v>19.399999999999999</v>
      </c>
      <c r="E1313" s="142">
        <f>B1313*IBGE_2!E$1313/100</f>
        <v>17.163</v>
      </c>
      <c r="F1313" s="142">
        <f>B1313*IBGE_2!F$1313/100</f>
        <v>4.3209999999999997</v>
      </c>
      <c r="G1313" s="142">
        <f>B1313*IBGE_2!G$1313/100</f>
        <v>6.0839999999999996</v>
      </c>
      <c r="H1313" s="142">
        <f>B1313*IBGE_2!H$1313/100</f>
        <v>4.46</v>
      </c>
      <c r="I1313" s="142">
        <f>B1313*IBGE_2!I$1313/100</f>
        <v>3.8759999999999994</v>
      </c>
      <c r="J1313" s="142">
        <f>B1313*IBGE_2!J$1313/100</f>
        <v>0.28199999999999997</v>
      </c>
      <c r="K1313" s="142">
        <f>B1313*IBGE_2!K$1313/100</f>
        <v>84</v>
      </c>
      <c r="L1313" s="142">
        <f>B1313*IBGE_2!L$1313/100</f>
        <v>0.2</v>
      </c>
      <c r="M1313" s="142" t="s">
        <v>3047</v>
      </c>
      <c r="N1313" s="142">
        <f>B1313*IBGE_2!N$1313/100</f>
        <v>88</v>
      </c>
      <c r="O1313" s="142">
        <f>B1313*IBGE_2!O$1313/100</f>
        <v>5</v>
      </c>
      <c r="P1313" s="142">
        <f>B1313*IBGE_2!P$1313/100</f>
        <v>1.6E-2</v>
      </c>
      <c r="Q1313" s="142">
        <f>B1313*IBGE_2!Q$1313/100</f>
        <v>83</v>
      </c>
      <c r="R1313" s="142">
        <f>B1313*IBGE_2!R$1313/100</f>
        <v>0.91100000000000003</v>
      </c>
      <c r="S1313" s="142">
        <f>B1313*IBGE_2!S$1313/100</f>
        <v>67</v>
      </c>
      <c r="T1313" s="142">
        <f>B1313*IBGE_2!T$1313/100</f>
        <v>31</v>
      </c>
      <c r="U1313" s="142">
        <f>B1313*IBGE_2!U$1313/100</f>
        <v>0.10199999999999999</v>
      </c>
      <c r="V1313" s="142">
        <f>B1313*IBGE_2!V$1313/100</f>
        <v>0.69</v>
      </c>
      <c r="W1313" s="142">
        <f>B1313*IBGE_2!W$1313/100</f>
        <v>30</v>
      </c>
      <c r="X1313" s="142">
        <f>B1313*IBGE_2!X$1313/100</f>
        <v>0.06</v>
      </c>
      <c r="Y1313" s="142">
        <f>B1313*IBGE_2!Y$1313/100</f>
        <v>0.2</v>
      </c>
      <c r="Z1313" s="142">
        <f>B1313*IBGE_2!Z$1313/100</f>
        <v>0.01</v>
      </c>
      <c r="AA1313" s="142">
        <f>B1313*IBGE_2!AA$1313/100</f>
        <v>0.4</v>
      </c>
      <c r="AB1313" s="142" t="s">
        <v>3047</v>
      </c>
      <c r="AC1313" s="142">
        <f>B1313*IBGE_2!AC$1313/100</f>
        <v>4</v>
      </c>
      <c r="AD1313" s="142">
        <f>B1313*IBGE_2!AD$1313/100</f>
        <v>0.47</v>
      </c>
      <c r="AE1313" s="142">
        <f>B1313*IBGE_2!AE$1313/100</f>
        <v>86</v>
      </c>
      <c r="AF1313" s="142">
        <f>B1313*IBGE_2!AF$1313/100</f>
        <v>0.14899999999999999</v>
      </c>
      <c r="AG1313" s="142">
        <f>B1313*IBGE_2!AG$1313/100</f>
        <v>0.48</v>
      </c>
      <c r="AH1313" s="142">
        <f>B1313*IBGE_2!AH$1313/100</f>
        <v>0.30099999999999999</v>
      </c>
      <c r="AI1313" s="142">
        <f>B1313*IBGE_2!AI$1313/100</f>
        <v>333</v>
      </c>
      <c r="AJ1313" s="142">
        <f>B1313*IBGE_2!AJ$1313/100</f>
        <v>4.7750000000000004</v>
      </c>
      <c r="AK1313" s="142">
        <f>B1313*IBGE_2!AK$1313/100</f>
        <v>30</v>
      </c>
      <c r="AL1313" s="145" t="s">
        <v>3047</v>
      </c>
      <c r="AM1313" s="142" t="s">
        <v>3047</v>
      </c>
      <c r="AN1313" s="161"/>
    </row>
    <row r="1314" spans="1:40">
      <c r="A1314" s="143" t="s">
        <v>2374</v>
      </c>
      <c r="B1314" s="141">
        <v>100</v>
      </c>
      <c r="C1314" s="142">
        <f>B1314*IBGE_2!C$1314/100</f>
        <v>176.8</v>
      </c>
      <c r="D1314" s="142">
        <f>B1314*IBGE_2!D$1314/100</f>
        <v>15.784000000000001</v>
      </c>
      <c r="E1314" s="142">
        <f>B1314*IBGE_2!E$1314/100</f>
        <v>11.715999999999999</v>
      </c>
      <c r="F1314" s="142">
        <f>B1314*IBGE_2!F$1314/100</f>
        <v>3.141</v>
      </c>
      <c r="G1314" s="142">
        <f>B1314*IBGE_2!G$1314/100</f>
        <v>4.4050000000000002</v>
      </c>
      <c r="H1314" s="142">
        <f>B1314*IBGE_2!H$1314/100</f>
        <v>2.399</v>
      </c>
      <c r="I1314" s="142">
        <f>B1314*IBGE_2!I$1314/100</f>
        <v>2.0699999999999998</v>
      </c>
      <c r="J1314" s="142">
        <f>B1314*IBGE_2!J$1314/100</f>
        <v>8.6999999999999994E-2</v>
      </c>
      <c r="K1314" s="142">
        <f>B1314*IBGE_2!K$1314/100</f>
        <v>67.2</v>
      </c>
      <c r="L1314" s="142">
        <f>B1314*IBGE_2!L$1314/100</f>
        <v>1.236</v>
      </c>
      <c r="M1314" s="142">
        <f>B1314*IBGE_2!M$1314/100</f>
        <v>0.3</v>
      </c>
      <c r="N1314" s="142">
        <f>B1314*IBGE_2!N$1314/100</f>
        <v>73</v>
      </c>
      <c r="O1314" s="142">
        <f>B1314*IBGE_2!O$1314/100</f>
        <v>7.2</v>
      </c>
      <c r="P1314" s="142">
        <f>B1314*IBGE_2!P$1314/100</f>
        <v>3.4000000000000002E-2</v>
      </c>
      <c r="Q1314" s="142">
        <f>B1314*IBGE_2!Q$1314/100</f>
        <v>71.599999999999994</v>
      </c>
      <c r="R1314" s="142">
        <f>B1314*IBGE_2!R$1314/100</f>
        <v>0.93200000000000005</v>
      </c>
      <c r="S1314" s="142">
        <f>B1314*IBGE_2!S$1314/100</f>
        <v>158.4</v>
      </c>
      <c r="T1314" s="142">
        <f>B1314*IBGE_2!T$1314/100</f>
        <v>91</v>
      </c>
      <c r="U1314" s="142">
        <f>B1314*IBGE_2!U$1314/100</f>
        <v>0.105</v>
      </c>
      <c r="V1314" s="142">
        <f>B1314*IBGE_2!V$1314/100</f>
        <v>0.59199999999999997</v>
      </c>
      <c r="W1314" s="142">
        <f>B1314*IBGE_2!W$1314/100</f>
        <v>24</v>
      </c>
      <c r="X1314" s="142">
        <f>B1314*IBGE_2!X$1314/100</f>
        <v>5.2999999999999999E-2</v>
      </c>
      <c r="Y1314" s="142">
        <f>B1314*IBGE_2!Y$1314/100</f>
        <v>0.17299999999999996</v>
      </c>
      <c r="Z1314" s="142">
        <f>B1314*IBGE_2!Z$1314/100</f>
        <v>2.7000000000000003E-2</v>
      </c>
      <c r="AA1314" s="142">
        <f>B1314*IBGE_2!AA$1314/100</f>
        <v>0.51500000000000001</v>
      </c>
      <c r="AB1314" s="142">
        <f>B1314*IBGE_2!AB$1314/100</f>
        <v>1.4</v>
      </c>
      <c r="AC1314" s="142">
        <f>B1314*IBGE_2!AC$1314/100</f>
        <v>3.4279999999999999</v>
      </c>
      <c r="AD1314" s="142">
        <f>B1314*IBGE_2!AD$1314/100</f>
        <v>0.376</v>
      </c>
      <c r="AE1314" s="142">
        <f>B1314*IBGE_2!AE$1314/100</f>
        <v>71</v>
      </c>
      <c r="AF1314" s="142">
        <f>B1314*IBGE_2!AF$1314/100</f>
        <v>0.11899999999999998</v>
      </c>
      <c r="AG1314" s="142">
        <f>B1314*IBGE_2!AG$1314/100</f>
        <v>0.5</v>
      </c>
      <c r="AH1314" s="142">
        <f>B1314*IBGE_2!AH$1314/100</f>
        <v>0.23</v>
      </c>
      <c r="AI1314" s="142">
        <f>B1314*IBGE_2!AI$1314/100</f>
        <v>333</v>
      </c>
      <c r="AJ1314" s="142">
        <f>B1314*IBGE_2!AJ$1314/100</f>
        <v>2.92</v>
      </c>
      <c r="AK1314" s="142">
        <f>B1314*IBGE_2!AK$1314/100</f>
        <v>27.483000000000001</v>
      </c>
      <c r="AL1314" s="142">
        <f>B1314*IBGE_2!AL$1314/100</f>
        <v>0.85</v>
      </c>
      <c r="AM1314" s="142" t="s">
        <v>3047</v>
      </c>
      <c r="AN1314" s="161"/>
    </row>
    <row r="1315" spans="1:40">
      <c r="A1315" s="143" t="s">
        <v>2375</v>
      </c>
      <c r="B1315" s="141">
        <v>100</v>
      </c>
      <c r="C1315" s="142">
        <f>B1315*IBGE_2!C$1315/100</f>
        <v>237.65899999999999</v>
      </c>
      <c r="D1315" s="142">
        <f>B1315*IBGE_2!D$1315/100</f>
        <v>19.399999999999999</v>
      </c>
      <c r="E1315" s="142">
        <f>B1315*IBGE_2!E$1315/100</f>
        <v>17.163</v>
      </c>
      <c r="F1315" s="142">
        <f>B1315*IBGE_2!F$1315/100</f>
        <v>4.3209999999999997</v>
      </c>
      <c r="G1315" s="142">
        <f>B1315*IBGE_2!G$1315/100</f>
        <v>6.0839999999999996</v>
      </c>
      <c r="H1315" s="142">
        <f>B1315*IBGE_2!H$1315/100</f>
        <v>4.46</v>
      </c>
      <c r="I1315" s="142">
        <f>B1315*IBGE_2!I$1315/100</f>
        <v>3.8759999999999994</v>
      </c>
      <c r="J1315" s="142">
        <f>B1315*IBGE_2!J$1315/100</f>
        <v>0.28199999999999997</v>
      </c>
      <c r="K1315" s="142">
        <f>B1315*IBGE_2!K$1315/100</f>
        <v>84</v>
      </c>
      <c r="L1315" s="142">
        <f>B1315*IBGE_2!L$1315/100</f>
        <v>0.2</v>
      </c>
      <c r="M1315" s="142" t="s">
        <v>3047</v>
      </c>
      <c r="N1315" s="142">
        <f>B1315*IBGE_2!N$1315/100</f>
        <v>88</v>
      </c>
      <c r="O1315" s="142">
        <f>B1315*IBGE_2!O$1315/100</f>
        <v>5</v>
      </c>
      <c r="P1315" s="142">
        <f>B1315*IBGE_2!P$1315/100</f>
        <v>1.6E-2</v>
      </c>
      <c r="Q1315" s="142">
        <f>B1315*IBGE_2!Q$1315/100</f>
        <v>83</v>
      </c>
      <c r="R1315" s="142">
        <f>B1315*IBGE_2!R$1315/100</f>
        <v>0.91100000000000003</v>
      </c>
      <c r="S1315" s="142">
        <f>B1315*IBGE_2!S$1315/100</f>
        <v>67</v>
      </c>
      <c r="T1315" s="142">
        <f>B1315*IBGE_2!T$1315/100</f>
        <v>31</v>
      </c>
      <c r="U1315" s="142">
        <f>B1315*IBGE_2!U$1315/100</f>
        <v>0.10199999999999999</v>
      </c>
      <c r="V1315" s="142">
        <f>B1315*IBGE_2!V$1315/100</f>
        <v>0.69</v>
      </c>
      <c r="W1315" s="142">
        <f>B1315*IBGE_2!W$1315/100</f>
        <v>30</v>
      </c>
      <c r="X1315" s="142">
        <f>B1315*IBGE_2!X$1315/100</f>
        <v>0.06</v>
      </c>
      <c r="Y1315" s="142">
        <f>B1315*IBGE_2!Y$1315/100</f>
        <v>0.2</v>
      </c>
      <c r="Z1315" s="142">
        <f>B1315*IBGE_2!Z$1315/100</f>
        <v>0.01</v>
      </c>
      <c r="AA1315" s="142">
        <f>B1315*IBGE_2!AA$1315/100</f>
        <v>0.4</v>
      </c>
      <c r="AB1315" s="142" t="s">
        <v>3047</v>
      </c>
      <c r="AC1315" s="142">
        <f>B1315*IBGE_2!AC$1315/100</f>
        <v>4</v>
      </c>
      <c r="AD1315" s="142">
        <f>B1315*IBGE_2!AD$1315/100</f>
        <v>0.47</v>
      </c>
      <c r="AE1315" s="142">
        <f>B1315*IBGE_2!AE$1315/100</f>
        <v>86</v>
      </c>
      <c r="AF1315" s="142">
        <f>B1315*IBGE_2!AF$1315/100</f>
        <v>0.14899999999999999</v>
      </c>
      <c r="AG1315" s="142">
        <f>B1315*IBGE_2!AG$1315/100</f>
        <v>0.48</v>
      </c>
      <c r="AH1315" s="142">
        <f>B1315*IBGE_2!AH$1315/100</f>
        <v>0.30099999999999999</v>
      </c>
      <c r="AI1315" s="142">
        <f>B1315*IBGE_2!AI$1315/100</f>
        <v>333</v>
      </c>
      <c r="AJ1315" s="142">
        <f>B1315*IBGE_2!AJ$1315/100</f>
        <v>4.7750000000000004</v>
      </c>
      <c r="AK1315" s="142">
        <f>B1315*IBGE_2!AK$1315/100</f>
        <v>30</v>
      </c>
      <c r="AL1315" s="142" t="s">
        <v>3047</v>
      </c>
      <c r="AM1315" s="142" t="s">
        <v>3047</v>
      </c>
      <c r="AN1315" s="161"/>
    </row>
    <row r="1316" spans="1:40">
      <c r="A1316" s="143" t="s">
        <v>2376</v>
      </c>
      <c r="B1316" s="141">
        <v>100</v>
      </c>
      <c r="C1316" s="142">
        <f>B1316*IBGE_2!C$1316/100</f>
        <v>167</v>
      </c>
      <c r="D1316" s="142">
        <f>B1316*IBGE_2!D$1316/100</f>
        <v>24.46</v>
      </c>
      <c r="E1316" s="142">
        <f>B1316*IBGE_2!E$1316/100</f>
        <v>6.51</v>
      </c>
      <c r="F1316" s="142">
        <f>B1316*IBGE_2!F$1316/100</f>
        <v>2.06</v>
      </c>
      <c r="G1316" s="142">
        <f>B1316*IBGE_2!G$1316/100</f>
        <v>1.4159999999999999</v>
      </c>
      <c r="H1316" s="142">
        <f>B1316*IBGE_2!H$1316/100</f>
        <v>1.9880000000000002</v>
      </c>
      <c r="I1316" s="142">
        <f>B1316*IBGE_2!I$1316/100</f>
        <v>0.71899999999999986</v>
      </c>
      <c r="J1316" s="142" t="s">
        <v>3047</v>
      </c>
      <c r="K1316" s="142">
        <f>B1316*IBGE_2!K$1316/100</f>
        <v>563</v>
      </c>
      <c r="L1316" s="142">
        <f>B1316*IBGE_2!L$1316/100</f>
        <v>0.87</v>
      </c>
      <c r="M1316" s="142" t="s">
        <v>3047</v>
      </c>
      <c r="N1316" s="142">
        <f>B1316*IBGE_2!N$1316/100</f>
        <v>11</v>
      </c>
      <c r="O1316" s="142">
        <f>B1316*IBGE_2!O$1316/100</f>
        <v>25</v>
      </c>
      <c r="P1316" s="142">
        <f>B1316*IBGE_2!P$1316/100</f>
        <v>0.35899999999999999</v>
      </c>
      <c r="Q1316" s="142">
        <f>B1316*IBGE_2!Q$1316/100</f>
        <v>405</v>
      </c>
      <c r="R1316" s="142">
        <f>B1316*IBGE_2!R$1316/100</f>
        <v>11.63</v>
      </c>
      <c r="S1316" s="142">
        <f>B1316*IBGE_2!S$1316/100</f>
        <v>76</v>
      </c>
      <c r="T1316" s="142">
        <f>B1316*IBGE_2!T$1316/100</f>
        <v>263</v>
      </c>
      <c r="U1316" s="142">
        <f>B1316*IBGE_2!U$1316/100</f>
        <v>0.496</v>
      </c>
      <c r="V1316" s="142">
        <f>B1316*IBGE_2!V$1316/100</f>
        <v>3.98</v>
      </c>
      <c r="W1316" s="142">
        <f>B1316*IBGE_2!W$1316/100</f>
        <v>3978</v>
      </c>
      <c r="X1316" s="142">
        <f>B1316*IBGE_2!X$1316/100</f>
        <v>0.29099999999999998</v>
      </c>
      <c r="Y1316" s="142">
        <f>B1316*IBGE_2!Y$1316/100</f>
        <v>1.9930000000000001</v>
      </c>
      <c r="Z1316" s="142">
        <f>B1316*IBGE_2!Z$1316/100</f>
        <v>0.755</v>
      </c>
      <c r="AA1316" s="142">
        <f>B1316*IBGE_2!AA$1316/100</f>
        <v>11.045</v>
      </c>
      <c r="AB1316" s="142">
        <f>B1316*IBGE_2!AB$1316/100</f>
        <v>27.9</v>
      </c>
      <c r="AC1316" s="142">
        <f>B1316*IBGE_2!AC$1316/100</f>
        <v>15.178000000000003</v>
      </c>
      <c r="AD1316" s="142">
        <f>B1316*IBGE_2!AD$1316/100</f>
        <v>16.850000000000001</v>
      </c>
      <c r="AE1316" s="142">
        <f>B1316*IBGE_2!AE$1316/100</f>
        <v>578</v>
      </c>
      <c r="AF1316" s="142">
        <f>B1316*IBGE_2!AF$1316/100</f>
        <v>0.2</v>
      </c>
      <c r="AG1316" s="142">
        <f>B1316*IBGE_2!AG$1316/100</f>
        <v>0.82</v>
      </c>
      <c r="AH1316" s="142">
        <f>B1316*IBGE_2!AH$1316/100</f>
        <v>0.09</v>
      </c>
      <c r="AI1316" s="142">
        <f>B1316*IBGE_2!AI$1316/100</f>
        <v>333</v>
      </c>
      <c r="AJ1316" s="142">
        <f>B1316*IBGE_2!AJ$1316/100</f>
        <v>82.4</v>
      </c>
      <c r="AK1316" s="142">
        <f>B1316*IBGE_2!AK$1316/100</f>
        <v>3981.4169999999999</v>
      </c>
      <c r="AL1316" s="142" t="s">
        <v>3047</v>
      </c>
      <c r="AM1316" s="142" t="s">
        <v>3047</v>
      </c>
      <c r="AN1316" s="161"/>
    </row>
    <row r="1317" spans="1:40">
      <c r="A1317" s="143" t="s">
        <v>2377</v>
      </c>
      <c r="B1317" s="141">
        <v>100</v>
      </c>
      <c r="C1317" s="142">
        <f>B1317*IBGE_2!C$1317/100</f>
        <v>167</v>
      </c>
      <c r="D1317" s="142">
        <f>B1317*IBGE_2!D$1317/100</f>
        <v>24.46</v>
      </c>
      <c r="E1317" s="142">
        <f>B1317*IBGE_2!E$1317/100</f>
        <v>6.51</v>
      </c>
      <c r="F1317" s="142">
        <f>B1317*IBGE_2!F$1317/100</f>
        <v>2.06</v>
      </c>
      <c r="G1317" s="142">
        <f>B1317*IBGE_2!G$1317/100</f>
        <v>1.4159999999999999</v>
      </c>
      <c r="H1317" s="142">
        <f>B1317*IBGE_2!H$1317/100</f>
        <v>1.9880000000000002</v>
      </c>
      <c r="I1317" s="142">
        <f>B1317*IBGE_2!I$1317/100</f>
        <v>0.71899999999999986</v>
      </c>
      <c r="J1317" s="142" t="s">
        <v>3047</v>
      </c>
      <c r="K1317" s="142">
        <f>B1317*IBGE_2!K$1317/100</f>
        <v>563</v>
      </c>
      <c r="L1317" s="142">
        <f>B1317*IBGE_2!L$1317/100</f>
        <v>0.87</v>
      </c>
      <c r="M1317" s="142" t="s">
        <v>3047</v>
      </c>
      <c r="N1317" s="142">
        <f>B1317*IBGE_2!N$1317/100</f>
        <v>11</v>
      </c>
      <c r="O1317" s="142">
        <f>B1317*IBGE_2!O$1317/100</f>
        <v>25</v>
      </c>
      <c r="P1317" s="142">
        <f>B1317*IBGE_2!P$1317/100</f>
        <v>0.35899999999999999</v>
      </c>
      <c r="Q1317" s="142">
        <f>B1317*IBGE_2!Q$1317/100</f>
        <v>405</v>
      </c>
      <c r="R1317" s="142">
        <f>B1317*IBGE_2!R$1317/100</f>
        <v>11.63</v>
      </c>
      <c r="S1317" s="142">
        <f>B1317*IBGE_2!S$1317/100</f>
        <v>76</v>
      </c>
      <c r="T1317" s="142">
        <f>B1317*IBGE_2!T$1317/100</f>
        <v>263</v>
      </c>
      <c r="U1317" s="142">
        <f>B1317*IBGE_2!U$1317/100</f>
        <v>0.496</v>
      </c>
      <c r="V1317" s="142">
        <f>B1317*IBGE_2!V$1317/100</f>
        <v>3.98</v>
      </c>
      <c r="W1317" s="142">
        <f>B1317*IBGE_2!W$1317/100</f>
        <v>3978</v>
      </c>
      <c r="X1317" s="142">
        <f>B1317*IBGE_2!X$1317/100</f>
        <v>0.29099999999999998</v>
      </c>
      <c r="Y1317" s="142">
        <f>B1317*IBGE_2!Y$1317/100</f>
        <v>1.9930000000000001</v>
      </c>
      <c r="Z1317" s="142">
        <f>B1317*IBGE_2!Z$1317/100</f>
        <v>0.755</v>
      </c>
      <c r="AA1317" s="142">
        <f>B1317*IBGE_2!AA$1317/100</f>
        <v>11.045</v>
      </c>
      <c r="AB1317" s="142">
        <f>B1317*IBGE_2!AB$1317/100</f>
        <v>27.9</v>
      </c>
      <c r="AC1317" s="142">
        <f>B1317*IBGE_2!AC$1317/100</f>
        <v>15.178000000000003</v>
      </c>
      <c r="AD1317" s="142">
        <f>B1317*IBGE_2!AD$1317/100</f>
        <v>16.850000000000001</v>
      </c>
      <c r="AE1317" s="142">
        <f>B1317*IBGE_2!AE$1317/100</f>
        <v>578</v>
      </c>
      <c r="AF1317" s="142">
        <f>B1317*IBGE_2!AF$1317/100</f>
        <v>0.2</v>
      </c>
      <c r="AG1317" s="142">
        <f>B1317*IBGE_2!AG$1317/100</f>
        <v>0.82</v>
      </c>
      <c r="AH1317" s="142">
        <f>B1317*IBGE_2!AH$1317/100</f>
        <v>0.09</v>
      </c>
      <c r="AI1317" s="142">
        <f>B1317*IBGE_2!AI$1317/100</f>
        <v>333</v>
      </c>
      <c r="AJ1317" s="142">
        <f>B1317*IBGE_2!AJ$1317/100</f>
        <v>82.4</v>
      </c>
      <c r="AK1317" s="142">
        <f>B1317*IBGE_2!AK$1317/100</f>
        <v>3981.4169999999999</v>
      </c>
      <c r="AL1317" s="142" t="s">
        <v>3047</v>
      </c>
      <c r="AM1317" s="142" t="s">
        <v>3047</v>
      </c>
      <c r="AN1317" s="161"/>
    </row>
    <row r="1318" spans="1:40">
      <c r="A1318" s="143" t="s">
        <v>2378</v>
      </c>
      <c r="B1318" s="141">
        <v>100</v>
      </c>
      <c r="C1318" s="142">
        <f>B1318*IBGE_2!C$1318/100</f>
        <v>189.65899999999999</v>
      </c>
      <c r="D1318" s="142">
        <f>B1318*IBGE_2!D$1318/100</f>
        <v>24.46</v>
      </c>
      <c r="E1318" s="142">
        <f>B1318*IBGE_2!E$1318/100</f>
        <v>9.0730000000000004</v>
      </c>
      <c r="F1318" s="142">
        <f>B1318*IBGE_2!F$1318/100</f>
        <v>2.4609999999999999</v>
      </c>
      <c r="G1318" s="142">
        <f>B1318*IBGE_2!G$1318/100</f>
        <v>2</v>
      </c>
      <c r="H1318" s="142">
        <f>B1318*IBGE_2!H$1318/100</f>
        <v>3.468</v>
      </c>
      <c r="I1318" s="142">
        <f>B1318*IBGE_2!I$1318/100</f>
        <v>2.0249999999999999</v>
      </c>
      <c r="J1318" s="142">
        <f>B1318*IBGE_2!J$1318/100</f>
        <v>0.17399999999999999</v>
      </c>
      <c r="K1318" s="142">
        <f>B1318*IBGE_2!K$1318/100</f>
        <v>563</v>
      </c>
      <c r="L1318" s="142">
        <f>B1318*IBGE_2!L$1318/100</f>
        <v>0.87</v>
      </c>
      <c r="M1318" s="142" t="s">
        <v>3047</v>
      </c>
      <c r="N1318" s="142">
        <f>B1318*IBGE_2!N$1318/100</f>
        <v>11</v>
      </c>
      <c r="O1318" s="142">
        <f>B1318*IBGE_2!O$1318/100</f>
        <v>25</v>
      </c>
      <c r="P1318" s="142">
        <f>B1318*IBGE_2!P$1318/100</f>
        <v>0.35899999999999999</v>
      </c>
      <c r="Q1318" s="142">
        <f>B1318*IBGE_2!Q$1318/100</f>
        <v>405</v>
      </c>
      <c r="R1318" s="142">
        <f>B1318*IBGE_2!R$1318/100</f>
        <v>11.630999999999998</v>
      </c>
      <c r="S1318" s="142">
        <f>B1318*IBGE_2!S$1318/100</f>
        <v>76</v>
      </c>
      <c r="T1318" s="142">
        <f>B1318*IBGE_2!T$1318/100</f>
        <v>263</v>
      </c>
      <c r="U1318" s="142">
        <f>B1318*IBGE_2!U$1318/100</f>
        <v>0.496</v>
      </c>
      <c r="V1318" s="142">
        <f>B1318*IBGE_2!V$1318/100</f>
        <v>3.98</v>
      </c>
      <c r="W1318" s="142">
        <f>B1318*IBGE_2!W$1318/100</f>
        <v>3978</v>
      </c>
      <c r="X1318" s="142">
        <f>B1318*IBGE_2!X$1318/100</f>
        <v>0.29099999999999998</v>
      </c>
      <c r="Y1318" s="142">
        <f>B1318*IBGE_2!Y$1318/100</f>
        <v>1.9930000000000001</v>
      </c>
      <c r="Z1318" s="142">
        <f>B1318*IBGE_2!Z$1318/100</f>
        <v>0.755</v>
      </c>
      <c r="AA1318" s="142">
        <f>B1318*IBGE_2!AA$1318/100</f>
        <v>11.045</v>
      </c>
      <c r="AB1318" s="142">
        <f>B1318*IBGE_2!AB$1318/100</f>
        <v>27.9</v>
      </c>
      <c r="AC1318" s="142">
        <f>B1318*IBGE_2!AC$1318/100</f>
        <v>15.178000000000003</v>
      </c>
      <c r="AD1318" s="142">
        <f>B1318*IBGE_2!AD$1318/100</f>
        <v>16.850000000000001</v>
      </c>
      <c r="AE1318" s="142">
        <f>B1318*IBGE_2!AE$1318/100</f>
        <v>578</v>
      </c>
      <c r="AF1318" s="142">
        <f>B1318*IBGE_2!AF$1318/100</f>
        <v>0.2</v>
      </c>
      <c r="AG1318" s="142">
        <f>B1318*IBGE_2!AG$1318/100</f>
        <v>1.03</v>
      </c>
      <c r="AH1318" s="142">
        <f>B1318*IBGE_2!AH$1318/100</f>
        <v>0.10400000000000001</v>
      </c>
      <c r="AI1318" s="142">
        <f>B1318*IBGE_2!AI$1318/100</f>
        <v>333</v>
      </c>
      <c r="AJ1318" s="142">
        <f>B1318*IBGE_2!AJ$1318/100</f>
        <v>83.575000000000003</v>
      </c>
      <c r="AK1318" s="142">
        <f>B1318*IBGE_2!AK$1318/100</f>
        <v>3981.4169999999999</v>
      </c>
      <c r="AL1318" s="142" t="s">
        <v>3047</v>
      </c>
      <c r="AM1318" s="142" t="s">
        <v>3047</v>
      </c>
      <c r="AN1318" s="161"/>
    </row>
    <row r="1319" spans="1:40">
      <c r="A1319" s="143" t="s">
        <v>2379</v>
      </c>
      <c r="B1319" s="141">
        <v>100</v>
      </c>
      <c r="C1319" s="142">
        <f>B1319*IBGE_2!C$1319/100</f>
        <v>138.4</v>
      </c>
      <c r="D1319" s="142">
        <f>B1319*IBGE_2!D$1319/100</f>
        <v>19.832000000000001</v>
      </c>
      <c r="E1319" s="142">
        <f>B1319*IBGE_2!E$1319/100</f>
        <v>5.2439999999999998</v>
      </c>
      <c r="F1319" s="142">
        <f>B1319*IBGE_2!F$1319/100</f>
        <v>1.653</v>
      </c>
      <c r="G1319" s="142">
        <f>B1319*IBGE_2!G$1319/100</f>
        <v>1.1379999999999999</v>
      </c>
      <c r="H1319" s="142">
        <f>B1319*IBGE_2!H$1319/100</f>
        <v>1.605</v>
      </c>
      <c r="I1319" s="142">
        <f>B1319*IBGE_2!I$1319/100</f>
        <v>0.58899999999999997</v>
      </c>
      <c r="J1319" s="142">
        <f>B1319*IBGE_2!J$1319/100</f>
        <v>1E-3</v>
      </c>
      <c r="K1319" s="142">
        <f>B1319*IBGE_2!K$1319/100</f>
        <v>450.4</v>
      </c>
      <c r="L1319" s="142">
        <f>B1319*IBGE_2!L$1319/100</f>
        <v>1.7719999999999998</v>
      </c>
      <c r="M1319" s="142">
        <f>B1319*IBGE_2!M$1319/100</f>
        <v>0.3</v>
      </c>
      <c r="N1319" s="142">
        <f>B1319*IBGE_2!N$1319/100</f>
        <v>11.4</v>
      </c>
      <c r="O1319" s="142">
        <f>B1319*IBGE_2!O$1319/100</f>
        <v>23.2</v>
      </c>
      <c r="P1319" s="142">
        <f>B1319*IBGE_2!P$1319/100</f>
        <v>0.309</v>
      </c>
      <c r="Q1319" s="142">
        <f>B1319*IBGE_2!Q$1319/100</f>
        <v>329.2</v>
      </c>
      <c r="R1319" s="142">
        <f>B1319*IBGE_2!R$1319/100</f>
        <v>9.5079999999999991</v>
      </c>
      <c r="S1319" s="142">
        <f>B1319*IBGE_2!S$1319/100</f>
        <v>165.6</v>
      </c>
      <c r="T1319" s="142">
        <f>B1319*IBGE_2!T$1319/100</f>
        <v>276.60000000000002</v>
      </c>
      <c r="U1319" s="142">
        <f>B1319*IBGE_2!U$1319/100</f>
        <v>0.42</v>
      </c>
      <c r="V1319" s="142">
        <f>B1319*IBGE_2!V$1319/100</f>
        <v>3.2240000000000002</v>
      </c>
      <c r="W1319" s="142">
        <f>B1319*IBGE_2!W$1319/100</f>
        <v>3182.4</v>
      </c>
      <c r="X1319" s="142">
        <f>B1319*IBGE_2!X$1319/100</f>
        <v>0.23799999999999996</v>
      </c>
      <c r="Y1319" s="142">
        <f>B1319*IBGE_2!Y$1319/100</f>
        <v>1.6080000000000001</v>
      </c>
      <c r="Z1319" s="142">
        <f>B1319*IBGE_2!Z$1319/100</f>
        <v>0.623</v>
      </c>
      <c r="AA1319" s="142">
        <f>B1319*IBGE_2!AA$1319/100</f>
        <v>9.0310000000000006</v>
      </c>
      <c r="AB1319" s="142">
        <f>B1319*IBGE_2!AB$1319/100</f>
        <v>23.72</v>
      </c>
      <c r="AC1319" s="142">
        <f>B1319*IBGE_2!AC$1319/100</f>
        <v>12.371000000000002</v>
      </c>
      <c r="AD1319" s="142">
        <f>B1319*IBGE_2!AD$1319/100</f>
        <v>13.48</v>
      </c>
      <c r="AE1319" s="142">
        <f>B1319*IBGE_2!AE$1319/100</f>
        <v>464.6</v>
      </c>
      <c r="AF1319" s="142">
        <f>B1319*IBGE_2!AF$1319/100</f>
        <v>0.16</v>
      </c>
      <c r="AG1319" s="142">
        <f>B1319*IBGE_2!AG$1319/100</f>
        <v>0.94</v>
      </c>
      <c r="AH1319" s="142">
        <f>B1319*IBGE_2!AH$1319/100</f>
        <v>7.1999999999999995E-2</v>
      </c>
      <c r="AI1319" s="142">
        <f>B1319*IBGE_2!AI$1319/100</f>
        <v>333</v>
      </c>
      <c r="AJ1319" s="142">
        <f>B1319*IBGE_2!AJ$1319/100</f>
        <v>65.959999999999994</v>
      </c>
      <c r="AK1319" s="142">
        <f>B1319*IBGE_2!AK$1319/100</f>
        <v>3188.6170000000002</v>
      </c>
      <c r="AL1319" s="142">
        <f>B1319*IBGE_2!AL$1319/100</f>
        <v>0.85</v>
      </c>
      <c r="AM1319" s="142" t="s">
        <v>3047</v>
      </c>
      <c r="AN1319" s="161"/>
    </row>
    <row r="1320" spans="1:40">
      <c r="A1320" s="143" t="s">
        <v>2380</v>
      </c>
      <c r="B1320" s="141">
        <v>100</v>
      </c>
      <c r="C1320" s="142">
        <f>B1320*IBGE_2!C$1320/100</f>
        <v>31.471</v>
      </c>
      <c r="D1320" s="142">
        <f>B1320*IBGE_2!D$1320/100</f>
        <v>1.6120000000000001</v>
      </c>
      <c r="E1320" s="142">
        <f>B1320*IBGE_2!E$1320/100</f>
        <v>1.0640000000000001</v>
      </c>
      <c r="F1320" s="142">
        <f>B1320*IBGE_2!F$1320/100</f>
        <v>0.309</v>
      </c>
      <c r="G1320" s="142">
        <f>B1320*IBGE_2!G$1320/100</f>
        <v>0.44700000000000001</v>
      </c>
      <c r="H1320" s="142">
        <f>B1320*IBGE_2!H$1320/100</f>
        <v>0.22800000000000001</v>
      </c>
      <c r="I1320" s="142">
        <f>B1320*IBGE_2!I$1320/100</f>
        <v>0.20599999999999999</v>
      </c>
      <c r="J1320" s="142">
        <f>B1320*IBGE_2!J$1320/100</f>
        <v>1.3000000000000001E-2</v>
      </c>
      <c r="K1320" s="142">
        <f>B1320*IBGE_2!K$1320/100</f>
        <v>3.194</v>
      </c>
      <c r="L1320" s="142">
        <f>B1320*IBGE_2!L$1320/100</f>
        <v>3.637</v>
      </c>
      <c r="M1320" s="142">
        <f>B1320*IBGE_2!M$1320/100</f>
        <v>0.128</v>
      </c>
      <c r="N1320" s="142">
        <f>B1320*IBGE_2!N$1320/100</f>
        <v>5.22</v>
      </c>
      <c r="O1320" s="142">
        <f>B1320*IBGE_2!O$1320/100</f>
        <v>3.2549999999999999</v>
      </c>
      <c r="P1320" s="142">
        <f>B1320*IBGE_2!P$1320/100</f>
        <v>8.3000000000000004E-2</v>
      </c>
      <c r="Q1320" s="142">
        <f>B1320*IBGE_2!Q$1320/100</f>
        <v>18.477</v>
      </c>
      <c r="R1320" s="142">
        <f>B1320*IBGE_2!R$1320/100</f>
        <v>0.23699999999999999</v>
      </c>
      <c r="S1320" s="142">
        <f>B1320*IBGE_2!S$1320/100</f>
        <v>343.654</v>
      </c>
      <c r="T1320" s="142">
        <f>B1320*IBGE_2!T$1320/100</f>
        <v>37.023000000000003</v>
      </c>
      <c r="U1320" s="142">
        <f>B1320*IBGE_2!U$1320/100</f>
        <v>2.7000000000000003E-2</v>
      </c>
      <c r="V1320" s="142">
        <f>B1320*IBGE_2!V$1320/100</f>
        <v>0.153</v>
      </c>
      <c r="W1320" s="142">
        <f>B1320*IBGE_2!W$1320/100</f>
        <v>0.46899999999999997</v>
      </c>
      <c r="X1320" s="142">
        <f>B1320*IBGE_2!X$1320/100</f>
        <v>2.4E-2</v>
      </c>
      <c r="Y1320" s="142">
        <f>B1320*IBGE_2!Y$1320/100</f>
        <v>1.4000000000000002E-2</v>
      </c>
      <c r="Z1320" s="142">
        <f>B1320*IBGE_2!Z$1320/100</f>
        <v>3.1E-2</v>
      </c>
      <c r="AA1320" s="142">
        <f>B1320*IBGE_2!AA$1320/100</f>
        <v>0.75</v>
      </c>
      <c r="AB1320" s="142">
        <f>B1320*IBGE_2!AB$1320/100</f>
        <v>0.105</v>
      </c>
      <c r="AC1320" s="142">
        <f>B1320*IBGE_2!AC$1320/100</f>
        <v>1.016</v>
      </c>
      <c r="AD1320" s="142">
        <f>B1320*IBGE_2!AD$1320/100</f>
        <v>3.1E-2</v>
      </c>
      <c r="AE1320" s="142">
        <f>B1320*IBGE_2!AE$1320/100</f>
        <v>6.0449999999999999</v>
      </c>
      <c r="AF1320" s="142">
        <f>B1320*IBGE_2!AF$1320/100</f>
        <v>1.2E-2</v>
      </c>
      <c r="AG1320" s="142">
        <f>B1320*IBGE_2!AG$1320/100</f>
        <v>6.6000000000000003E-2</v>
      </c>
      <c r="AH1320" s="142">
        <f>B1320*IBGE_2!AH$1320/100</f>
        <v>1.7000000000000001E-2</v>
      </c>
      <c r="AI1320" s="145" t="s">
        <v>3047</v>
      </c>
      <c r="AJ1320" s="142">
        <f>B1320*IBGE_2!AJ$1320/100</f>
        <v>1.55</v>
      </c>
      <c r="AK1320" s="142">
        <f>B1320*IBGE_2!AK$1320/100</f>
        <v>25.419</v>
      </c>
      <c r="AL1320" s="142">
        <f>B1320*IBGE_2!AL$1320/100</f>
        <v>0.105</v>
      </c>
      <c r="AM1320" s="142" t="s">
        <v>3047</v>
      </c>
      <c r="AN1320" s="161"/>
    </row>
    <row r="1321" spans="1:40">
      <c r="A1321" s="143" t="s">
        <v>2381</v>
      </c>
      <c r="B1321" s="141">
        <v>100</v>
      </c>
      <c r="C1321" s="142">
        <f>B1321*IBGE_2!C$1321/100</f>
        <v>146</v>
      </c>
      <c r="D1321" s="142">
        <f>B1321*IBGE_2!D$1321/100</f>
        <v>30.39</v>
      </c>
      <c r="E1321" s="142">
        <f>B1321*IBGE_2!E$1321/100</f>
        <v>2.68</v>
      </c>
      <c r="F1321" s="142">
        <f>B1321*IBGE_2!F$1321/100</f>
        <v>0.67</v>
      </c>
      <c r="G1321" s="142">
        <f>B1321*IBGE_2!G$1321/100</f>
        <v>0.52800000000000002</v>
      </c>
      <c r="H1321" s="142">
        <f>B1321*IBGE_2!H$1321/100</f>
        <v>0.35299999999999998</v>
      </c>
      <c r="I1321" s="142">
        <f>B1321*IBGE_2!I$1321/100</f>
        <v>0.223</v>
      </c>
      <c r="J1321" s="142">
        <f>B1321*IBGE_2!J$1321/100</f>
        <v>7.000000000000001E-3</v>
      </c>
      <c r="K1321" s="142">
        <f>B1321*IBGE_2!K$1321/100</f>
        <v>370</v>
      </c>
      <c r="L1321" s="142" t="s">
        <v>3047</v>
      </c>
      <c r="M1321" s="142" t="s">
        <v>3047</v>
      </c>
      <c r="N1321" s="142">
        <f>B1321*IBGE_2!N$1321/100</f>
        <v>17</v>
      </c>
      <c r="O1321" s="142">
        <f>B1321*IBGE_2!O$1321/100</f>
        <v>3</v>
      </c>
      <c r="P1321" s="142">
        <f>B1321*IBGE_2!P$1321/100</f>
        <v>7.3999999999999996E-2</v>
      </c>
      <c r="Q1321" s="142">
        <f>B1321*IBGE_2!Q$1321/100</f>
        <v>189</v>
      </c>
      <c r="R1321" s="142">
        <f>B1321*IBGE_2!R$1321/100</f>
        <v>3.19</v>
      </c>
      <c r="S1321" s="142">
        <f>B1321*IBGE_2!S$1321/100</f>
        <v>56</v>
      </c>
      <c r="T1321" s="142">
        <f>B1321*IBGE_2!T$1321/100</f>
        <v>179</v>
      </c>
      <c r="U1321" s="142">
        <f>B1321*IBGE_2!U$1321/100</f>
        <v>0.161</v>
      </c>
      <c r="V1321" s="142">
        <f>B1321*IBGE_2!V$1321/100</f>
        <v>4.42</v>
      </c>
      <c r="W1321" s="142" t="s">
        <v>3047</v>
      </c>
      <c r="X1321" s="142">
        <f>B1321*IBGE_2!X$1321/100</f>
        <v>2.6000000000000002E-2</v>
      </c>
      <c r="Y1321" s="142">
        <f>B1321*IBGE_2!Y$1321/100</f>
        <v>0.21</v>
      </c>
      <c r="Z1321" s="142">
        <f>B1321*IBGE_2!Z$1321/100</f>
        <v>7.0999999999999994E-2</v>
      </c>
      <c r="AA1321" s="142">
        <f>B1321*IBGE_2!AA$1321/100</f>
        <v>3.12</v>
      </c>
      <c r="AB1321" s="142" t="s">
        <v>3047</v>
      </c>
      <c r="AC1321" s="142">
        <f>B1321*IBGE_2!AC$1321/100</f>
        <v>8.8699999999999992</v>
      </c>
      <c r="AD1321" s="142">
        <f>B1321*IBGE_2!AD$1321/100</f>
        <v>1.04</v>
      </c>
      <c r="AE1321" s="142">
        <f>B1321*IBGE_2!AE$1321/100</f>
        <v>5</v>
      </c>
      <c r="AF1321" s="142">
        <f>B1321*IBGE_2!AF$1321/100</f>
        <v>0.2</v>
      </c>
      <c r="AG1321" s="142">
        <f>B1321*IBGE_2!AG$1321/100</f>
        <v>0.2</v>
      </c>
      <c r="AH1321" s="142">
        <f>B1321*IBGE_2!AH$1321/100</f>
        <v>0.13</v>
      </c>
      <c r="AI1321" s="142">
        <f>B1321*IBGE_2!AI$1321/100</f>
        <v>333</v>
      </c>
      <c r="AJ1321" s="142">
        <f>B1321*IBGE_2!AJ$1321/100</f>
        <v>41.1</v>
      </c>
      <c r="AK1321" s="142" t="s">
        <v>3047</v>
      </c>
      <c r="AL1321" s="142" t="s">
        <v>3047</v>
      </c>
      <c r="AM1321" s="142" t="s">
        <v>3047</v>
      </c>
      <c r="AN1321" s="161"/>
    </row>
    <row r="1322" spans="1:40">
      <c r="A1322" s="143" t="s">
        <v>2382</v>
      </c>
      <c r="B1322" s="141">
        <v>100</v>
      </c>
      <c r="C1322" s="142">
        <f>B1322*IBGE_2!C$1322/100</f>
        <v>146</v>
      </c>
      <c r="D1322" s="142">
        <f>B1322*IBGE_2!D$1322/100</f>
        <v>30.39</v>
      </c>
      <c r="E1322" s="142">
        <f>B1322*IBGE_2!E$1322/100</f>
        <v>2.68</v>
      </c>
      <c r="F1322" s="142">
        <f>B1322*IBGE_2!F$1322/100</f>
        <v>0.67</v>
      </c>
      <c r="G1322" s="142">
        <f>B1322*IBGE_2!G$1322/100</f>
        <v>0.52800000000000002</v>
      </c>
      <c r="H1322" s="142">
        <f>B1322*IBGE_2!H$1322/100</f>
        <v>0.35299999999999998</v>
      </c>
      <c r="I1322" s="142">
        <f>B1322*IBGE_2!I$1322/100</f>
        <v>0.223</v>
      </c>
      <c r="J1322" s="142">
        <f>B1322*IBGE_2!J$1322/100</f>
        <v>7.000000000000001E-3</v>
      </c>
      <c r="K1322" s="142">
        <f>B1322*IBGE_2!K$1322/100</f>
        <v>370</v>
      </c>
      <c r="L1322" s="142" t="s">
        <v>3047</v>
      </c>
      <c r="M1322" s="142" t="s">
        <v>3047</v>
      </c>
      <c r="N1322" s="142">
        <f>B1322*IBGE_2!N$1322/100</f>
        <v>17</v>
      </c>
      <c r="O1322" s="142">
        <f>B1322*IBGE_2!O$1322/100</f>
        <v>3</v>
      </c>
      <c r="P1322" s="142">
        <f>B1322*IBGE_2!P$1322/100</f>
        <v>7.3999999999999996E-2</v>
      </c>
      <c r="Q1322" s="142">
        <f>B1322*IBGE_2!Q$1322/100</f>
        <v>189</v>
      </c>
      <c r="R1322" s="142">
        <f>B1322*IBGE_2!R$1322/100</f>
        <v>3.19</v>
      </c>
      <c r="S1322" s="142">
        <f>B1322*IBGE_2!S$1322/100</f>
        <v>56</v>
      </c>
      <c r="T1322" s="142">
        <f>B1322*IBGE_2!T$1322/100</f>
        <v>179</v>
      </c>
      <c r="U1322" s="142">
        <f>B1322*IBGE_2!U$1322/100</f>
        <v>0.161</v>
      </c>
      <c r="V1322" s="142">
        <f>B1322*IBGE_2!V$1322/100</f>
        <v>4.42</v>
      </c>
      <c r="W1322" s="142" t="s">
        <v>3047</v>
      </c>
      <c r="X1322" s="142">
        <f>B1322*IBGE_2!X$1322/100</f>
        <v>2.6000000000000002E-2</v>
      </c>
      <c r="Y1322" s="142">
        <f>B1322*IBGE_2!Y$1322/100</f>
        <v>0.21</v>
      </c>
      <c r="Z1322" s="142">
        <f>B1322*IBGE_2!Z$1322/100</f>
        <v>7.0999999999999994E-2</v>
      </c>
      <c r="AA1322" s="142">
        <f>B1322*IBGE_2!AA$1322/100</f>
        <v>3.12</v>
      </c>
      <c r="AB1322" s="142" t="s">
        <v>3047</v>
      </c>
      <c r="AC1322" s="142">
        <f>B1322*IBGE_2!AC$1322/100</f>
        <v>8.8699999999999992</v>
      </c>
      <c r="AD1322" s="142">
        <f>B1322*IBGE_2!AD$1322/100</f>
        <v>1.04</v>
      </c>
      <c r="AE1322" s="142">
        <f>B1322*IBGE_2!AE$1322/100</f>
        <v>5</v>
      </c>
      <c r="AF1322" s="142">
        <f>B1322*IBGE_2!AF$1322/100</f>
        <v>0.2</v>
      </c>
      <c r="AG1322" s="142">
        <f>B1322*IBGE_2!AG$1322/100</f>
        <v>0.2</v>
      </c>
      <c r="AH1322" s="142">
        <f>B1322*IBGE_2!AH$1322/100</f>
        <v>0.13</v>
      </c>
      <c r="AI1322" s="142">
        <f>B1322*IBGE_2!AI$1322/100</f>
        <v>333</v>
      </c>
      <c r="AJ1322" s="142">
        <f>B1322*IBGE_2!AJ$1322/100</f>
        <v>41.1</v>
      </c>
      <c r="AK1322" s="142" t="s">
        <v>3047</v>
      </c>
      <c r="AL1322" s="142" t="s">
        <v>3047</v>
      </c>
      <c r="AM1322" s="142" t="s">
        <v>3047</v>
      </c>
      <c r="AN1322" s="161"/>
    </row>
    <row r="1323" spans="1:40">
      <c r="A1323" s="143" t="s">
        <v>2383</v>
      </c>
      <c r="B1323" s="141">
        <v>100</v>
      </c>
      <c r="C1323" s="142">
        <f>B1323*IBGE_2!C$1323/100</f>
        <v>168.65899999999999</v>
      </c>
      <c r="D1323" s="142">
        <f>B1323*IBGE_2!D$1323/100</f>
        <v>30.39</v>
      </c>
      <c r="E1323" s="142">
        <f>B1323*IBGE_2!E$1323/100</f>
        <v>5.2430000000000003</v>
      </c>
      <c r="F1323" s="142">
        <f>B1323*IBGE_2!F$1323/100</f>
        <v>1.071</v>
      </c>
      <c r="G1323" s="142">
        <f>B1323*IBGE_2!G$1323/100</f>
        <v>1.1120000000000001</v>
      </c>
      <c r="H1323" s="142">
        <f>B1323*IBGE_2!H$1323/100</f>
        <v>1.8329999999999997</v>
      </c>
      <c r="I1323" s="142">
        <f>B1323*IBGE_2!I$1323/100</f>
        <v>1.5289999999999997</v>
      </c>
      <c r="J1323" s="142">
        <f>B1323*IBGE_2!J$1323/100</f>
        <v>0.18099999999999997</v>
      </c>
      <c r="K1323" s="142">
        <f>B1323*IBGE_2!K$1323/100</f>
        <v>370</v>
      </c>
      <c r="L1323" s="142" t="s">
        <v>3047</v>
      </c>
      <c r="M1323" s="142" t="s">
        <v>3047</v>
      </c>
      <c r="N1323" s="142">
        <f>B1323*IBGE_2!N$1323/100</f>
        <v>17</v>
      </c>
      <c r="O1323" s="142">
        <f>B1323*IBGE_2!O$1323/100</f>
        <v>3</v>
      </c>
      <c r="P1323" s="142">
        <f>B1323*IBGE_2!P$1323/100</f>
        <v>7.3999999999999996E-2</v>
      </c>
      <c r="Q1323" s="142">
        <f>B1323*IBGE_2!Q$1323/100</f>
        <v>189</v>
      </c>
      <c r="R1323" s="142">
        <f>B1323*IBGE_2!R$1323/100</f>
        <v>3.1909999999999998</v>
      </c>
      <c r="S1323" s="142">
        <f>B1323*IBGE_2!S$1323/100</f>
        <v>56</v>
      </c>
      <c r="T1323" s="142">
        <f>B1323*IBGE_2!T$1323/100</f>
        <v>179</v>
      </c>
      <c r="U1323" s="142">
        <f>B1323*IBGE_2!U$1323/100</f>
        <v>0.161</v>
      </c>
      <c r="V1323" s="142">
        <f>B1323*IBGE_2!V$1323/100</f>
        <v>4.42</v>
      </c>
      <c r="W1323" s="142" t="s">
        <v>3047</v>
      </c>
      <c r="X1323" s="142">
        <f>B1323*IBGE_2!X$1323/100</f>
        <v>2.6000000000000002E-2</v>
      </c>
      <c r="Y1323" s="142">
        <f>B1323*IBGE_2!Y$1323/100</f>
        <v>0.21</v>
      </c>
      <c r="Z1323" s="142">
        <f>B1323*IBGE_2!Z$1323/100</f>
        <v>7.0999999999999994E-2</v>
      </c>
      <c r="AA1323" s="142">
        <f>B1323*IBGE_2!AA$1323/100</f>
        <v>3.12</v>
      </c>
      <c r="AB1323" s="142" t="s">
        <v>3047</v>
      </c>
      <c r="AC1323" s="142">
        <f>B1323*IBGE_2!AC$1323/100</f>
        <v>8.8699999999999992</v>
      </c>
      <c r="AD1323" s="142">
        <f>B1323*IBGE_2!AD$1323/100</f>
        <v>1.04</v>
      </c>
      <c r="AE1323" s="142">
        <f>B1323*IBGE_2!AE$1323/100</f>
        <v>5</v>
      </c>
      <c r="AF1323" s="142">
        <f>B1323*IBGE_2!AF$1323/100</f>
        <v>0.2</v>
      </c>
      <c r="AG1323" s="142">
        <f>B1323*IBGE_2!AG$1323/100</f>
        <v>0.41</v>
      </c>
      <c r="AH1323" s="142">
        <f>B1323*IBGE_2!AH$1323/100</f>
        <v>0.14399999999999999</v>
      </c>
      <c r="AI1323" s="142">
        <f>B1323*IBGE_2!AI$1323/100</f>
        <v>333</v>
      </c>
      <c r="AJ1323" s="142">
        <f>B1323*IBGE_2!AJ$1323/100</f>
        <v>42.274999999999999</v>
      </c>
      <c r="AK1323" s="142" t="s">
        <v>3047</v>
      </c>
      <c r="AL1323" s="142" t="s">
        <v>3047</v>
      </c>
      <c r="AM1323" s="142" t="s">
        <v>3047</v>
      </c>
      <c r="AN1323" s="161"/>
    </row>
    <row r="1324" spans="1:40">
      <c r="A1324" s="143" t="s">
        <v>2384</v>
      </c>
      <c r="B1324" s="141">
        <v>100</v>
      </c>
      <c r="C1324" s="142">
        <f>B1324*IBGE_2!C$1324/100</f>
        <v>168.65899999999999</v>
      </c>
      <c r="D1324" s="142">
        <f>B1324*IBGE_2!D$1324/100</f>
        <v>30.39</v>
      </c>
      <c r="E1324" s="142">
        <f>B1324*IBGE_2!E$1324/100</f>
        <v>5.2430000000000003</v>
      </c>
      <c r="F1324" s="142">
        <f>B1324*IBGE_2!F$1324/100</f>
        <v>1.071</v>
      </c>
      <c r="G1324" s="142">
        <f>B1324*IBGE_2!G$1324/100</f>
        <v>1.1120000000000001</v>
      </c>
      <c r="H1324" s="142">
        <f>B1324*IBGE_2!H$1324/100</f>
        <v>1.8329999999999997</v>
      </c>
      <c r="I1324" s="142">
        <f>B1324*IBGE_2!I$1324/100</f>
        <v>1.5289999999999997</v>
      </c>
      <c r="J1324" s="142">
        <f>B1324*IBGE_2!J$1324/100</f>
        <v>0.18099999999999997</v>
      </c>
      <c r="K1324" s="142">
        <f>B1324*IBGE_2!K$1324/100</f>
        <v>370</v>
      </c>
      <c r="L1324" s="142" t="s">
        <v>3047</v>
      </c>
      <c r="M1324" s="142" t="s">
        <v>3047</v>
      </c>
      <c r="N1324" s="142">
        <f>B1324*IBGE_2!N$1324/100</f>
        <v>17</v>
      </c>
      <c r="O1324" s="142">
        <f>B1324*IBGE_2!O$1324/100</f>
        <v>3</v>
      </c>
      <c r="P1324" s="142">
        <f>B1324*IBGE_2!P$1324/100</f>
        <v>7.3999999999999996E-2</v>
      </c>
      <c r="Q1324" s="142">
        <f>B1324*IBGE_2!Q$1324/100</f>
        <v>189</v>
      </c>
      <c r="R1324" s="142">
        <f>B1324*IBGE_2!R$1324/100</f>
        <v>3.1909999999999998</v>
      </c>
      <c r="S1324" s="142">
        <f>B1324*IBGE_2!S$1324/100</f>
        <v>56</v>
      </c>
      <c r="T1324" s="142">
        <f>B1324*IBGE_2!T$1324/100</f>
        <v>179</v>
      </c>
      <c r="U1324" s="142">
        <f>B1324*IBGE_2!U$1324/100</f>
        <v>0.161</v>
      </c>
      <c r="V1324" s="142">
        <f>B1324*IBGE_2!V$1324/100</f>
        <v>4.42</v>
      </c>
      <c r="W1324" s="142" t="s">
        <v>3047</v>
      </c>
      <c r="X1324" s="142">
        <f>B1324*IBGE_2!X$1324/100</f>
        <v>2.6000000000000002E-2</v>
      </c>
      <c r="Y1324" s="142">
        <f>B1324*IBGE_2!Y$1324/100</f>
        <v>0.21</v>
      </c>
      <c r="Z1324" s="142">
        <f>B1324*IBGE_2!Z$1324/100</f>
        <v>7.0999999999999994E-2</v>
      </c>
      <c r="AA1324" s="142">
        <f>B1324*IBGE_2!AA$1324/100</f>
        <v>3.12</v>
      </c>
      <c r="AB1324" s="142" t="s">
        <v>3047</v>
      </c>
      <c r="AC1324" s="142">
        <f>B1324*IBGE_2!AC$1324/100</f>
        <v>8.8699999999999992</v>
      </c>
      <c r="AD1324" s="142">
        <f>B1324*IBGE_2!AD$1324/100</f>
        <v>1.04</v>
      </c>
      <c r="AE1324" s="142">
        <f>B1324*IBGE_2!AE$1324/100</f>
        <v>5</v>
      </c>
      <c r="AF1324" s="142">
        <f>B1324*IBGE_2!AF$1324/100</f>
        <v>0.2</v>
      </c>
      <c r="AG1324" s="142">
        <f>B1324*IBGE_2!AG$1324/100</f>
        <v>0.41</v>
      </c>
      <c r="AH1324" s="142">
        <f>B1324*IBGE_2!AH$1324/100</f>
        <v>0.14399999999999999</v>
      </c>
      <c r="AI1324" s="142">
        <f>B1324*IBGE_2!AI$1324/100</f>
        <v>333</v>
      </c>
      <c r="AJ1324" s="142">
        <f>B1324*IBGE_2!AJ$1324/100</f>
        <v>42.274999999999999</v>
      </c>
      <c r="AK1324" s="142" t="s">
        <v>3047</v>
      </c>
      <c r="AL1324" s="142" t="s">
        <v>3047</v>
      </c>
      <c r="AM1324" s="142" t="s">
        <v>3047</v>
      </c>
      <c r="AN1324" s="161"/>
    </row>
    <row r="1325" spans="1:40">
      <c r="A1325" s="143" t="s">
        <v>2385</v>
      </c>
      <c r="B1325" s="141">
        <v>100</v>
      </c>
      <c r="C1325" s="142">
        <f>B1325*IBGE_2!C$1325/100</f>
        <v>121.6</v>
      </c>
      <c r="D1325" s="142">
        <f>B1325*IBGE_2!D$1325/100</f>
        <v>24.576000000000001</v>
      </c>
      <c r="E1325" s="142">
        <f>B1325*IBGE_2!E$1325/100</f>
        <v>2.1800000000000002</v>
      </c>
      <c r="F1325" s="142">
        <f>B1325*IBGE_2!F$1325/100</f>
        <v>0.54100000000000004</v>
      </c>
      <c r="G1325" s="142">
        <f>B1325*IBGE_2!G$1325/100</f>
        <v>0.42799999999999999</v>
      </c>
      <c r="H1325" s="142">
        <f>B1325*IBGE_2!H$1325/100</f>
        <v>0.29699999999999999</v>
      </c>
      <c r="I1325" s="142">
        <f>B1325*IBGE_2!I$1325/100</f>
        <v>0.192</v>
      </c>
      <c r="J1325" s="142">
        <f>B1325*IBGE_2!J$1325/100</f>
        <v>6.0000000000000001E-3</v>
      </c>
      <c r="K1325" s="142">
        <f>B1325*IBGE_2!K$1325/100</f>
        <v>296</v>
      </c>
      <c r="L1325" s="142">
        <f>B1325*IBGE_2!L$1325/100</f>
        <v>1.0760000000000001</v>
      </c>
      <c r="M1325" s="142">
        <f>B1325*IBGE_2!M$1325/100</f>
        <v>0.3</v>
      </c>
      <c r="N1325" s="142">
        <f>B1325*IBGE_2!N$1325/100</f>
        <v>16.2</v>
      </c>
      <c r="O1325" s="142">
        <f>B1325*IBGE_2!O$1325/100</f>
        <v>5.6</v>
      </c>
      <c r="P1325" s="142">
        <f>B1325*IBGE_2!P$1325/100</f>
        <v>8.1000000000000003E-2</v>
      </c>
      <c r="Q1325" s="142">
        <f>B1325*IBGE_2!Q$1325/100</f>
        <v>156.4</v>
      </c>
      <c r="R1325" s="142">
        <f>B1325*IBGE_2!R$1325/100</f>
        <v>2.7559999999999998</v>
      </c>
      <c r="S1325" s="142">
        <f>B1325*IBGE_2!S$1325/100</f>
        <v>149.6</v>
      </c>
      <c r="T1325" s="142">
        <f>B1325*IBGE_2!T$1325/100</f>
        <v>209.4</v>
      </c>
      <c r="U1325" s="142">
        <f>B1325*IBGE_2!U$1325/100</f>
        <v>0.152</v>
      </c>
      <c r="V1325" s="142">
        <f>B1325*IBGE_2!V$1325/100</f>
        <v>3.5760000000000001</v>
      </c>
      <c r="W1325" s="142" t="s">
        <v>3047</v>
      </c>
      <c r="X1325" s="142">
        <f>B1325*IBGE_2!X$1325/100</f>
        <v>2.6000000000000002E-2</v>
      </c>
      <c r="Y1325" s="142">
        <f>B1325*IBGE_2!Y$1325/100</f>
        <v>0.18099999999999997</v>
      </c>
      <c r="Z1325" s="142">
        <f>B1325*IBGE_2!Z$1325/100</f>
        <v>7.5999999999999998E-2</v>
      </c>
      <c r="AA1325" s="142">
        <f>B1325*IBGE_2!AA$1325/100</f>
        <v>2.6909999999999998</v>
      </c>
      <c r="AB1325" s="142">
        <f>B1325*IBGE_2!AB$1325/100</f>
        <v>1.4</v>
      </c>
      <c r="AC1325" s="142">
        <f>B1325*IBGE_2!AC$1325/100</f>
        <v>7.3239999999999998</v>
      </c>
      <c r="AD1325" s="142">
        <f>B1325*IBGE_2!AD$1325/100</f>
        <v>0.83200000000000007</v>
      </c>
      <c r="AE1325" s="142">
        <f>B1325*IBGE_2!AE$1325/100</f>
        <v>6.2</v>
      </c>
      <c r="AF1325" s="142">
        <f>B1325*IBGE_2!AF$1325/100</f>
        <v>0.16</v>
      </c>
      <c r="AG1325" s="142">
        <f>B1325*IBGE_2!AG$1325/100</f>
        <v>0.44400000000000001</v>
      </c>
      <c r="AH1325" s="142">
        <f>B1325*IBGE_2!AH$1325/100</f>
        <v>0.10400000000000001</v>
      </c>
      <c r="AI1325" s="142">
        <f>B1325*IBGE_2!AI$1325/100</f>
        <v>333</v>
      </c>
      <c r="AJ1325" s="142">
        <f>B1325*IBGE_2!AJ$1325/100</f>
        <v>32.92</v>
      </c>
      <c r="AK1325" s="142">
        <f>B1325*IBGE_2!AK$1325/100</f>
        <v>3.4830000000000001</v>
      </c>
      <c r="AL1325" s="142">
        <f>B1325*IBGE_2!AL$1325/100</f>
        <v>0.85</v>
      </c>
      <c r="AM1325" s="142" t="s">
        <v>3047</v>
      </c>
      <c r="AN1325" s="161"/>
    </row>
    <row r="1326" spans="1:40">
      <c r="A1326" s="143" t="s">
        <v>2386</v>
      </c>
      <c r="B1326" s="141">
        <v>100</v>
      </c>
      <c r="C1326" s="142">
        <f>B1326*IBGE_2!C$1326/100</f>
        <v>149.38999999999999</v>
      </c>
      <c r="D1326" s="142">
        <f>B1326*IBGE_2!D$1326/100</f>
        <v>25.090999999999998</v>
      </c>
      <c r="E1326" s="142">
        <f>B1326*IBGE_2!E$1326/100</f>
        <v>4.633</v>
      </c>
      <c r="F1326" s="142">
        <f>B1326*IBGE_2!F$1326/100</f>
        <v>2.0680000000000001</v>
      </c>
      <c r="G1326" s="142">
        <f>B1326*IBGE_2!G$1326/100</f>
        <v>1.0589999999999999</v>
      </c>
      <c r="H1326" s="142">
        <f>B1326*IBGE_2!H$1326/100</f>
        <v>0.39500000000000002</v>
      </c>
      <c r="I1326" s="142">
        <f>B1326*IBGE_2!I$1326/100</f>
        <v>0.26900000000000002</v>
      </c>
      <c r="J1326" s="142">
        <f>B1326*IBGE_2!J$1326/100</f>
        <v>2.8000000000000004E-2</v>
      </c>
      <c r="K1326" s="142">
        <f>B1326*IBGE_2!K$1326/100</f>
        <v>302.83300000000003</v>
      </c>
      <c r="L1326" s="142">
        <f>B1326*IBGE_2!L$1326/100</f>
        <v>1.851</v>
      </c>
      <c r="M1326" s="142">
        <f>B1326*IBGE_2!M$1326/100</f>
        <v>4.2999999999999997E-2</v>
      </c>
      <c r="N1326" s="142">
        <f>B1326*IBGE_2!N$1326/100</f>
        <v>36.478999999999999</v>
      </c>
      <c r="O1326" s="142">
        <f>B1326*IBGE_2!O$1326/100</f>
        <v>4.7119999999999997</v>
      </c>
      <c r="P1326" s="142">
        <f>B1326*IBGE_2!P$1326/100</f>
        <v>6.9000000000000006E-2</v>
      </c>
      <c r="Q1326" s="142">
        <f>B1326*IBGE_2!Q$1326/100</f>
        <v>170.893</v>
      </c>
      <c r="R1326" s="142">
        <f>B1326*IBGE_2!R$1326/100</f>
        <v>2.6219999999999999</v>
      </c>
      <c r="S1326" s="142">
        <f>B1326*IBGE_2!S$1326/100</f>
        <v>65.716999999999999</v>
      </c>
      <c r="T1326" s="142">
        <f>B1326*IBGE_2!T$1326/100</f>
        <v>173.25399999999999</v>
      </c>
      <c r="U1326" s="142">
        <f>B1326*IBGE_2!U$1326/100</f>
        <v>0.13300000000000001</v>
      </c>
      <c r="V1326" s="142">
        <f>B1326*IBGE_2!V$1326/100</f>
        <v>3.625</v>
      </c>
      <c r="W1326" s="142">
        <f>B1326*IBGE_2!W$1326/100</f>
        <v>20.696999999999999</v>
      </c>
      <c r="X1326" s="142">
        <f>B1326*IBGE_2!X$1326/100</f>
        <v>3.9E-2</v>
      </c>
      <c r="Y1326" s="142">
        <f>B1326*IBGE_2!Y$1326/100</f>
        <v>0.21099999999999997</v>
      </c>
      <c r="Z1326" s="142">
        <f>B1326*IBGE_2!Z$1326/100</f>
        <v>6.5000000000000002E-2</v>
      </c>
      <c r="AA1326" s="142">
        <f>B1326*IBGE_2!AA$1326/100</f>
        <v>2.5920000000000001</v>
      </c>
      <c r="AB1326" s="142">
        <f>B1326*IBGE_2!AB$1326/100</f>
        <v>4.0000000000000001E-3</v>
      </c>
      <c r="AC1326" s="142">
        <f>B1326*IBGE_2!AC$1326/100</f>
        <v>7.4669999999999996</v>
      </c>
      <c r="AD1326" s="142">
        <f>B1326*IBGE_2!AD$1326/100</f>
        <v>0.92200000000000004</v>
      </c>
      <c r="AE1326" s="142">
        <f>B1326*IBGE_2!AE$1326/100</f>
        <v>7.5960000000000001</v>
      </c>
      <c r="AF1326" s="142">
        <f>B1326*IBGE_2!AF$1326/100</f>
        <v>0.38700000000000001</v>
      </c>
      <c r="AG1326" s="142">
        <f>B1326*IBGE_2!AG$1326/100</f>
        <v>0.22500000000000001</v>
      </c>
      <c r="AH1326" s="142">
        <f>B1326*IBGE_2!AH$1326/100</f>
        <v>0.20100000000000001</v>
      </c>
      <c r="AI1326" s="142">
        <f>B1326*IBGE_2!AI$1326/100</f>
        <v>333</v>
      </c>
      <c r="AJ1326" s="142">
        <f>B1326*IBGE_2!AJ$1326/100</f>
        <v>34.048999999999999</v>
      </c>
      <c r="AK1326" s="142">
        <f>B1326*IBGE_2!AK$1326/100</f>
        <v>21.081</v>
      </c>
      <c r="AL1326" s="142">
        <f>B1326*IBGE_2!AL$1326/100</f>
        <v>1.0329999999999999</v>
      </c>
      <c r="AM1326" s="142" t="s">
        <v>3047</v>
      </c>
      <c r="AN1326" s="161"/>
    </row>
    <row r="1327" spans="1:40">
      <c r="A1327" s="143" t="s">
        <v>2387</v>
      </c>
      <c r="B1327" s="141">
        <v>100</v>
      </c>
      <c r="C1327" s="142">
        <f>B1327*IBGE_2!C$1327/100</f>
        <v>168.65899999999999</v>
      </c>
      <c r="D1327" s="142">
        <f>B1327*IBGE_2!D$1327/100</f>
        <v>30.39</v>
      </c>
      <c r="E1327" s="142">
        <f>B1327*IBGE_2!E$1327/100</f>
        <v>5.2430000000000003</v>
      </c>
      <c r="F1327" s="142">
        <f>B1327*IBGE_2!F$1327/100</f>
        <v>1.071</v>
      </c>
      <c r="G1327" s="142">
        <f>B1327*IBGE_2!G$1327/100</f>
        <v>1.1120000000000001</v>
      </c>
      <c r="H1327" s="142">
        <f>B1327*IBGE_2!H$1327/100</f>
        <v>1.8329999999999997</v>
      </c>
      <c r="I1327" s="142">
        <f>B1327*IBGE_2!I$1327/100</f>
        <v>1.5289999999999997</v>
      </c>
      <c r="J1327" s="142">
        <f>B1327*IBGE_2!J$1327/100</f>
        <v>0.18099999999999997</v>
      </c>
      <c r="K1327" s="142">
        <f>B1327*IBGE_2!K$1327/100</f>
        <v>370</v>
      </c>
      <c r="L1327" s="142" t="s">
        <v>3047</v>
      </c>
      <c r="M1327" s="142" t="s">
        <v>3047</v>
      </c>
      <c r="N1327" s="142">
        <f>B1327*IBGE_2!N$1327/100</f>
        <v>17</v>
      </c>
      <c r="O1327" s="142">
        <f>B1327*IBGE_2!O$1327/100</f>
        <v>3</v>
      </c>
      <c r="P1327" s="142">
        <f>B1327*IBGE_2!P$1327/100</f>
        <v>7.3999999999999996E-2</v>
      </c>
      <c r="Q1327" s="142">
        <f>B1327*IBGE_2!Q$1327/100</f>
        <v>189</v>
      </c>
      <c r="R1327" s="142">
        <f>B1327*IBGE_2!R$1327/100</f>
        <v>3.1909999999999998</v>
      </c>
      <c r="S1327" s="142">
        <f>B1327*IBGE_2!S$1327/100</f>
        <v>56</v>
      </c>
      <c r="T1327" s="142">
        <f>B1327*IBGE_2!T$1327/100</f>
        <v>179</v>
      </c>
      <c r="U1327" s="142">
        <f>B1327*IBGE_2!U$1327/100</f>
        <v>0.161</v>
      </c>
      <c r="V1327" s="142">
        <f>B1327*IBGE_2!V$1327/100</f>
        <v>4.42</v>
      </c>
      <c r="W1327" s="142" t="s">
        <v>3047</v>
      </c>
      <c r="X1327" s="142">
        <f>B1327*IBGE_2!X$1327/100</f>
        <v>2.6000000000000002E-2</v>
      </c>
      <c r="Y1327" s="142">
        <f>B1327*IBGE_2!Y$1327/100</f>
        <v>0.21</v>
      </c>
      <c r="Z1327" s="142">
        <f>B1327*IBGE_2!Z$1327/100</f>
        <v>7.0999999999999994E-2</v>
      </c>
      <c r="AA1327" s="142">
        <f>B1327*IBGE_2!AA$1327/100</f>
        <v>3.12</v>
      </c>
      <c r="AB1327" s="142" t="s">
        <v>3047</v>
      </c>
      <c r="AC1327" s="142">
        <f>B1327*IBGE_2!AC$1327/100</f>
        <v>8.8699999999999992</v>
      </c>
      <c r="AD1327" s="142">
        <f>B1327*IBGE_2!AD$1327/100</f>
        <v>1.04</v>
      </c>
      <c r="AE1327" s="142">
        <f>B1327*IBGE_2!AE$1327/100</f>
        <v>5</v>
      </c>
      <c r="AF1327" s="142">
        <f>B1327*IBGE_2!AF$1327/100</f>
        <v>0.2</v>
      </c>
      <c r="AG1327" s="142">
        <f>B1327*IBGE_2!AG$1327/100</f>
        <v>0.41</v>
      </c>
      <c r="AH1327" s="142">
        <f>B1327*IBGE_2!AH$1327/100</f>
        <v>0.14399999999999999</v>
      </c>
      <c r="AI1327" s="142">
        <f>B1327*IBGE_2!AI$1327/100</f>
        <v>333</v>
      </c>
      <c r="AJ1327" s="142">
        <f>B1327*IBGE_2!AJ$1327/100</f>
        <v>42.274999999999999</v>
      </c>
      <c r="AK1327" s="145" t="s">
        <v>3047</v>
      </c>
      <c r="AL1327" s="145" t="s">
        <v>3047</v>
      </c>
      <c r="AM1327" s="142" t="s">
        <v>3047</v>
      </c>
      <c r="AN1327" s="161"/>
    </row>
    <row r="1328" spans="1:40">
      <c r="A1328" s="143" t="s">
        <v>2388</v>
      </c>
      <c r="B1328" s="141">
        <v>100</v>
      </c>
      <c r="C1328" s="142">
        <f>B1328*IBGE_2!C$1328/100</f>
        <v>31.471</v>
      </c>
      <c r="D1328" s="142">
        <f>B1328*IBGE_2!D$1328/100</f>
        <v>1.6120000000000001</v>
      </c>
      <c r="E1328" s="142">
        <f>B1328*IBGE_2!E$1328/100</f>
        <v>1.0640000000000001</v>
      </c>
      <c r="F1328" s="142">
        <f>B1328*IBGE_2!F$1328/100</f>
        <v>0.309</v>
      </c>
      <c r="G1328" s="142">
        <f>B1328*IBGE_2!G$1328/100</f>
        <v>0.44700000000000001</v>
      </c>
      <c r="H1328" s="142">
        <f>B1328*IBGE_2!H$1328/100</f>
        <v>0.22800000000000001</v>
      </c>
      <c r="I1328" s="142">
        <f>B1328*IBGE_2!I$1328/100</f>
        <v>0.20599999999999999</v>
      </c>
      <c r="J1328" s="142">
        <f>B1328*IBGE_2!J$1328/100</f>
        <v>1.3000000000000001E-2</v>
      </c>
      <c r="K1328" s="142">
        <f>B1328*IBGE_2!K$1328/100</f>
        <v>3.194</v>
      </c>
      <c r="L1328" s="142">
        <f>B1328*IBGE_2!L$1328/100</f>
        <v>3.637</v>
      </c>
      <c r="M1328" s="142">
        <f>B1328*IBGE_2!M$1328/100</f>
        <v>0.128</v>
      </c>
      <c r="N1328" s="142">
        <f>B1328*IBGE_2!N$1328/100</f>
        <v>5.22</v>
      </c>
      <c r="O1328" s="142">
        <f>B1328*IBGE_2!O$1328/100</f>
        <v>3.2549999999999999</v>
      </c>
      <c r="P1328" s="142">
        <f>B1328*IBGE_2!P$1328/100</f>
        <v>8.3000000000000004E-2</v>
      </c>
      <c r="Q1328" s="142">
        <f>B1328*IBGE_2!Q$1328/100</f>
        <v>18.477</v>
      </c>
      <c r="R1328" s="142">
        <f>B1328*IBGE_2!R$1328/100</f>
        <v>0.23699999999999999</v>
      </c>
      <c r="S1328" s="142">
        <f>B1328*IBGE_2!S$1328/100</f>
        <v>343.654</v>
      </c>
      <c r="T1328" s="142">
        <f>B1328*IBGE_2!T$1328/100</f>
        <v>37.023000000000003</v>
      </c>
      <c r="U1328" s="142">
        <f>B1328*IBGE_2!U$1328/100</f>
        <v>2.7000000000000003E-2</v>
      </c>
      <c r="V1328" s="142">
        <f>B1328*IBGE_2!V$1328/100</f>
        <v>0.153</v>
      </c>
      <c r="W1328" s="142">
        <f>B1328*IBGE_2!W$1328/100</f>
        <v>0.46899999999999997</v>
      </c>
      <c r="X1328" s="142">
        <f>B1328*IBGE_2!X$1328/100</f>
        <v>2.4E-2</v>
      </c>
      <c r="Y1328" s="142">
        <f>B1328*IBGE_2!Y$1328/100</f>
        <v>1.4000000000000002E-2</v>
      </c>
      <c r="Z1328" s="142">
        <f>B1328*IBGE_2!Z$1328/100</f>
        <v>3.1E-2</v>
      </c>
      <c r="AA1328" s="142">
        <f>B1328*IBGE_2!AA$1328/100</f>
        <v>0.75</v>
      </c>
      <c r="AB1328" s="142">
        <f>B1328*IBGE_2!AB$1328/100</f>
        <v>0.105</v>
      </c>
      <c r="AC1328" s="142">
        <f>B1328*IBGE_2!AC$1328/100</f>
        <v>1.016</v>
      </c>
      <c r="AD1328" s="142">
        <f>B1328*IBGE_2!AD$1328/100</f>
        <v>3.1E-2</v>
      </c>
      <c r="AE1328" s="142">
        <f>B1328*IBGE_2!AE$1328/100</f>
        <v>6.0449999999999999</v>
      </c>
      <c r="AF1328" s="142">
        <f>B1328*IBGE_2!AF$1328/100</f>
        <v>1.2E-2</v>
      </c>
      <c r="AG1328" s="142">
        <f>B1328*IBGE_2!AG$1328/100</f>
        <v>6.6000000000000003E-2</v>
      </c>
      <c r="AH1328" s="142">
        <f>B1328*IBGE_2!AH$1328/100</f>
        <v>1.7000000000000001E-2</v>
      </c>
      <c r="AI1328" s="145" t="s">
        <v>3047</v>
      </c>
      <c r="AJ1328" s="142">
        <f>B1328*IBGE_2!AJ$1328/100</f>
        <v>1.55</v>
      </c>
      <c r="AK1328" s="142">
        <f>B1328*IBGE_2!AK$1328/100</f>
        <v>25.419</v>
      </c>
      <c r="AL1328" s="142">
        <f>B1328*IBGE_2!AL$1328/100</f>
        <v>0.105</v>
      </c>
      <c r="AM1328" s="142" t="s">
        <v>3047</v>
      </c>
      <c r="AN1328" s="161"/>
    </row>
    <row r="1329" spans="1:40">
      <c r="A1329" s="143" t="s">
        <v>2389</v>
      </c>
      <c r="B1329" s="141">
        <v>100</v>
      </c>
      <c r="C1329" s="142">
        <f>B1329*IBGE_2!C$1329/100</f>
        <v>185</v>
      </c>
      <c r="D1329" s="142">
        <f>B1329*IBGE_2!D$1329/100</f>
        <v>26.41</v>
      </c>
      <c r="E1329" s="142">
        <f>B1329*IBGE_2!E$1329/100</f>
        <v>7.92</v>
      </c>
      <c r="F1329" s="142">
        <f>B1329*IBGE_2!F$1329/100</f>
        <v>2.2599999999999998</v>
      </c>
      <c r="G1329" s="142">
        <f>B1329*IBGE_2!G$1329/100</f>
        <v>2.0099999999999998</v>
      </c>
      <c r="H1329" s="142">
        <f>B1329*IBGE_2!H$1329/100</f>
        <v>2.2999999999999998</v>
      </c>
      <c r="I1329" s="142">
        <f>B1329*IBGE_2!I$1329/100</f>
        <v>1.62</v>
      </c>
      <c r="J1329" s="142">
        <f>B1329*IBGE_2!J$1329/100</f>
        <v>0.06</v>
      </c>
      <c r="K1329" s="142">
        <f>B1329*IBGE_2!K$1329/100</f>
        <v>242</v>
      </c>
      <c r="L1329" s="142">
        <f>B1329*IBGE_2!L$1329/100</f>
        <v>0.1</v>
      </c>
      <c r="M1329" s="142" t="s">
        <v>3047</v>
      </c>
      <c r="N1329" s="142">
        <f>B1329*IBGE_2!N$1329/100</f>
        <v>19</v>
      </c>
      <c r="O1329" s="142">
        <f>B1329*IBGE_2!O$1329/100</f>
        <v>20</v>
      </c>
      <c r="P1329" s="142">
        <f>B1329*IBGE_2!P$1329/100</f>
        <v>0.107</v>
      </c>
      <c r="Q1329" s="142">
        <f>B1329*IBGE_2!Q$1329/100</f>
        <v>199</v>
      </c>
      <c r="R1329" s="142">
        <f>B1329*IBGE_2!R$1329/100</f>
        <v>9.0299999999999994</v>
      </c>
      <c r="S1329" s="142">
        <f>B1329*IBGE_2!S$1329/100</f>
        <v>48</v>
      </c>
      <c r="T1329" s="142">
        <f>B1329*IBGE_2!T$1329/100</f>
        <v>132</v>
      </c>
      <c r="U1329" s="142">
        <f>B1329*IBGE_2!U$1329/100</f>
        <v>0.502</v>
      </c>
      <c r="V1329" s="142">
        <f>B1329*IBGE_2!V$1329/100</f>
        <v>7.3</v>
      </c>
      <c r="W1329" s="142">
        <f>B1329*IBGE_2!W$1329/100</f>
        <v>8</v>
      </c>
      <c r="X1329" s="142">
        <f>B1329*IBGE_2!X$1329/100</f>
        <v>7.0000000000000007E-2</v>
      </c>
      <c r="Y1329" s="142">
        <f>B1329*IBGE_2!Y$1329/100</f>
        <v>0.74099999999999999</v>
      </c>
      <c r="Z1329" s="142">
        <f>B1329*IBGE_2!Z$1329/100</f>
        <v>0.32</v>
      </c>
      <c r="AA1329" s="142">
        <f>B1329*IBGE_2!AA$1329/100</f>
        <v>2.8029999999999999</v>
      </c>
      <c r="AB1329" s="142">
        <f>B1329*IBGE_2!AB$1329/100</f>
        <v>1.8</v>
      </c>
      <c r="AC1329" s="142">
        <f>B1329*IBGE_2!AC$1329/100</f>
        <v>8.4359999999999999</v>
      </c>
      <c r="AD1329" s="142">
        <f>B1329*IBGE_2!AD$1329/100</f>
        <v>7.29</v>
      </c>
      <c r="AE1329" s="142">
        <f>B1329*IBGE_2!AE$1329/100</f>
        <v>80</v>
      </c>
      <c r="AF1329" s="142">
        <f>B1329*IBGE_2!AF$1329/100</f>
        <v>0.2</v>
      </c>
      <c r="AG1329" s="142">
        <f>B1329*IBGE_2!AG$1329/100</f>
        <v>1.19</v>
      </c>
      <c r="AH1329" s="145" t="s">
        <v>3047</v>
      </c>
      <c r="AI1329" s="142">
        <f>B1329*IBGE_2!AI$1329/100</f>
        <v>333</v>
      </c>
      <c r="AJ1329" s="142">
        <f>B1329*IBGE_2!AJ$1329/100</f>
        <v>8</v>
      </c>
      <c r="AK1329" s="142">
        <f>B1329*IBGE_2!AK$1329/100</f>
        <v>8</v>
      </c>
      <c r="AL1329" s="142" t="s">
        <v>3047</v>
      </c>
      <c r="AM1329" s="142" t="s">
        <v>3047</v>
      </c>
      <c r="AN1329" s="161"/>
    </row>
    <row r="1330" spans="1:40">
      <c r="A1330" s="143" t="s">
        <v>2390</v>
      </c>
      <c r="B1330" s="141">
        <v>100</v>
      </c>
      <c r="C1330" s="142">
        <f>B1330*IBGE_2!C$1330/100</f>
        <v>185</v>
      </c>
      <c r="D1330" s="142">
        <f>B1330*IBGE_2!D$1330/100</f>
        <v>26.41</v>
      </c>
      <c r="E1330" s="142">
        <f>B1330*IBGE_2!E$1330/100</f>
        <v>7.92</v>
      </c>
      <c r="F1330" s="142">
        <f>B1330*IBGE_2!F$1330/100</f>
        <v>2.2599999999999998</v>
      </c>
      <c r="G1330" s="142">
        <f>B1330*IBGE_2!G$1330/100</f>
        <v>2.0099999999999998</v>
      </c>
      <c r="H1330" s="142">
        <f>B1330*IBGE_2!H$1330/100</f>
        <v>2.2999999999999998</v>
      </c>
      <c r="I1330" s="142">
        <f>B1330*IBGE_2!I$1330/100</f>
        <v>1.62</v>
      </c>
      <c r="J1330" s="142">
        <f>B1330*IBGE_2!J$1330/100</f>
        <v>0.06</v>
      </c>
      <c r="K1330" s="142">
        <f>B1330*IBGE_2!K$1330/100</f>
        <v>242</v>
      </c>
      <c r="L1330" s="142">
        <f>B1330*IBGE_2!L$1330/100</f>
        <v>0.1</v>
      </c>
      <c r="M1330" s="142" t="s">
        <v>3047</v>
      </c>
      <c r="N1330" s="142">
        <f>B1330*IBGE_2!N$1330/100</f>
        <v>19</v>
      </c>
      <c r="O1330" s="142">
        <f>B1330*IBGE_2!O$1330/100</f>
        <v>20</v>
      </c>
      <c r="P1330" s="142">
        <f>B1330*IBGE_2!P$1330/100</f>
        <v>0.107</v>
      </c>
      <c r="Q1330" s="142">
        <f>B1330*IBGE_2!Q$1330/100</f>
        <v>199</v>
      </c>
      <c r="R1330" s="142">
        <f>B1330*IBGE_2!R$1330/100</f>
        <v>9.0299999999999994</v>
      </c>
      <c r="S1330" s="142">
        <f>B1330*IBGE_2!S$1330/100</f>
        <v>48</v>
      </c>
      <c r="T1330" s="142">
        <f>B1330*IBGE_2!T$1330/100</f>
        <v>132</v>
      </c>
      <c r="U1330" s="142">
        <f>B1330*IBGE_2!U$1330/100</f>
        <v>0.502</v>
      </c>
      <c r="V1330" s="142">
        <f>B1330*IBGE_2!V$1330/100</f>
        <v>7.3</v>
      </c>
      <c r="W1330" s="142">
        <f>B1330*IBGE_2!W$1330/100</f>
        <v>8</v>
      </c>
      <c r="X1330" s="142">
        <f>B1330*IBGE_2!X$1330/100</f>
        <v>7.0000000000000007E-2</v>
      </c>
      <c r="Y1330" s="142">
        <f>B1330*IBGE_2!Y$1330/100</f>
        <v>0.74099999999999999</v>
      </c>
      <c r="Z1330" s="142">
        <f>B1330*IBGE_2!Z$1330/100</f>
        <v>0.32</v>
      </c>
      <c r="AA1330" s="142">
        <f>B1330*IBGE_2!AA$1330/100</f>
        <v>2.8029999999999999</v>
      </c>
      <c r="AB1330" s="142">
        <f>B1330*IBGE_2!AB$1330/100</f>
        <v>1.8</v>
      </c>
      <c r="AC1330" s="142">
        <f>B1330*IBGE_2!AC$1330/100</f>
        <v>8.4359999999999999</v>
      </c>
      <c r="AD1330" s="142">
        <f>B1330*IBGE_2!AD$1330/100</f>
        <v>7.29</v>
      </c>
      <c r="AE1330" s="142">
        <f>B1330*IBGE_2!AE$1330/100</f>
        <v>80</v>
      </c>
      <c r="AF1330" s="142">
        <f>B1330*IBGE_2!AF$1330/100</f>
        <v>0.2</v>
      </c>
      <c r="AG1330" s="142">
        <f>B1330*IBGE_2!AG$1330/100</f>
        <v>1.19</v>
      </c>
      <c r="AH1330" s="145" t="s">
        <v>3047</v>
      </c>
      <c r="AI1330" s="142">
        <f>B1330*IBGE_2!AI$1330/100</f>
        <v>333</v>
      </c>
      <c r="AJ1330" s="142">
        <f>B1330*IBGE_2!AJ$1330/100</f>
        <v>8</v>
      </c>
      <c r="AK1330" s="142">
        <f>B1330*IBGE_2!AK$1330/100</f>
        <v>8</v>
      </c>
      <c r="AL1330" s="142" t="s">
        <v>3047</v>
      </c>
      <c r="AM1330" s="142" t="s">
        <v>3047</v>
      </c>
      <c r="AN1330" s="161"/>
    </row>
    <row r="1331" spans="1:40">
      <c r="A1331" s="143" t="s">
        <v>2391</v>
      </c>
      <c r="B1331" s="141">
        <v>100</v>
      </c>
      <c r="C1331" s="142">
        <f>B1331*IBGE_2!C$1331/100</f>
        <v>185</v>
      </c>
      <c r="D1331" s="142">
        <f>B1331*IBGE_2!D$1331/100</f>
        <v>26.41</v>
      </c>
      <c r="E1331" s="142">
        <f>B1331*IBGE_2!E$1331/100</f>
        <v>7.92</v>
      </c>
      <c r="F1331" s="142">
        <f>B1331*IBGE_2!F$1331/100</f>
        <v>2.2599999999999998</v>
      </c>
      <c r="G1331" s="142">
        <f>B1331*IBGE_2!G$1331/100</f>
        <v>2.0099999999999998</v>
      </c>
      <c r="H1331" s="142">
        <f>B1331*IBGE_2!H$1331/100</f>
        <v>2.2999999999999998</v>
      </c>
      <c r="I1331" s="142">
        <f>B1331*IBGE_2!I$1331/100</f>
        <v>1.62</v>
      </c>
      <c r="J1331" s="142">
        <f>B1331*IBGE_2!J$1331/100</f>
        <v>0.06</v>
      </c>
      <c r="K1331" s="142">
        <f>B1331*IBGE_2!K$1331/100</f>
        <v>242</v>
      </c>
      <c r="L1331" s="142">
        <f>B1331*IBGE_2!L$1331/100</f>
        <v>0.1</v>
      </c>
      <c r="M1331" s="142" t="s">
        <v>3047</v>
      </c>
      <c r="N1331" s="142">
        <f>B1331*IBGE_2!N$1331/100</f>
        <v>19</v>
      </c>
      <c r="O1331" s="142">
        <f>B1331*IBGE_2!O$1331/100</f>
        <v>20</v>
      </c>
      <c r="P1331" s="142">
        <f>B1331*IBGE_2!P$1331/100</f>
        <v>0.107</v>
      </c>
      <c r="Q1331" s="142">
        <f>B1331*IBGE_2!Q$1331/100</f>
        <v>199</v>
      </c>
      <c r="R1331" s="142">
        <f>B1331*IBGE_2!R$1331/100</f>
        <v>9.0299999999999994</v>
      </c>
      <c r="S1331" s="142">
        <f>B1331*IBGE_2!S$1331/100</f>
        <v>48</v>
      </c>
      <c r="T1331" s="142">
        <f>B1331*IBGE_2!T$1331/100</f>
        <v>132</v>
      </c>
      <c r="U1331" s="142">
        <f>B1331*IBGE_2!U$1331/100</f>
        <v>0.502</v>
      </c>
      <c r="V1331" s="142">
        <f>B1331*IBGE_2!V$1331/100</f>
        <v>7.3</v>
      </c>
      <c r="W1331" s="142">
        <f>B1331*IBGE_2!W$1331/100</f>
        <v>8</v>
      </c>
      <c r="X1331" s="142">
        <f>B1331*IBGE_2!X$1331/100</f>
        <v>7.0000000000000007E-2</v>
      </c>
      <c r="Y1331" s="142">
        <f>B1331*IBGE_2!Y$1331/100</f>
        <v>0.74099999999999999</v>
      </c>
      <c r="Z1331" s="142">
        <f>B1331*IBGE_2!Z$1331/100</f>
        <v>0.32</v>
      </c>
      <c r="AA1331" s="142">
        <f>B1331*IBGE_2!AA$1331/100</f>
        <v>2.8029999999999999</v>
      </c>
      <c r="AB1331" s="142">
        <f>B1331*IBGE_2!AB$1331/100</f>
        <v>1.8</v>
      </c>
      <c r="AC1331" s="142">
        <f>B1331*IBGE_2!AC$1331/100</f>
        <v>8.4359999999999999</v>
      </c>
      <c r="AD1331" s="142">
        <f>B1331*IBGE_2!AD$1331/100</f>
        <v>7.29</v>
      </c>
      <c r="AE1331" s="142">
        <f>B1331*IBGE_2!AE$1331/100</f>
        <v>80</v>
      </c>
      <c r="AF1331" s="142">
        <f>B1331*IBGE_2!AF$1331/100</f>
        <v>0.2</v>
      </c>
      <c r="AG1331" s="142">
        <f>B1331*IBGE_2!AG$1331/100</f>
        <v>1.19</v>
      </c>
      <c r="AH1331" s="145" t="s">
        <v>3047</v>
      </c>
      <c r="AI1331" s="142">
        <f>B1331*IBGE_2!AI$1331/100</f>
        <v>333</v>
      </c>
      <c r="AJ1331" s="142">
        <f>B1331*IBGE_2!AJ$1331/100</f>
        <v>8</v>
      </c>
      <c r="AK1331" s="142">
        <f>B1331*IBGE_2!AK$1331/100</f>
        <v>8</v>
      </c>
      <c r="AL1331" s="142" t="s">
        <v>3047</v>
      </c>
      <c r="AM1331" s="142" t="s">
        <v>3047</v>
      </c>
      <c r="AN1331" s="161"/>
    </row>
    <row r="1332" spans="1:40">
      <c r="A1332" s="143" t="s">
        <v>2392</v>
      </c>
      <c r="B1332" s="141">
        <v>100</v>
      </c>
      <c r="C1332" s="142">
        <f>B1332*IBGE_2!C$1332/100</f>
        <v>207.65899999999999</v>
      </c>
      <c r="D1332" s="142">
        <f>B1332*IBGE_2!D$1332/100</f>
        <v>26.41</v>
      </c>
      <c r="E1332" s="142">
        <f>B1332*IBGE_2!E$1332/100</f>
        <v>10.482999999999999</v>
      </c>
      <c r="F1332" s="142">
        <f>B1332*IBGE_2!F$1332/100</f>
        <v>2.661</v>
      </c>
      <c r="G1332" s="142">
        <f>B1332*IBGE_2!G$1332/100</f>
        <v>2.5939999999999999</v>
      </c>
      <c r="H1332" s="142">
        <f>B1332*IBGE_2!H$1332/100</f>
        <v>3.78</v>
      </c>
      <c r="I1332" s="142">
        <f>B1332*IBGE_2!I$1332/100</f>
        <v>2.9260000000000002</v>
      </c>
      <c r="J1332" s="142">
        <f>B1332*IBGE_2!J$1332/100</f>
        <v>0.23400000000000001</v>
      </c>
      <c r="K1332" s="142">
        <f>B1332*IBGE_2!K$1332/100</f>
        <v>242</v>
      </c>
      <c r="L1332" s="142">
        <f>B1332*IBGE_2!L$1332/100</f>
        <v>0.1</v>
      </c>
      <c r="M1332" s="142" t="s">
        <v>3047</v>
      </c>
      <c r="N1332" s="142">
        <f>B1332*IBGE_2!N$1332/100</f>
        <v>19</v>
      </c>
      <c r="O1332" s="142">
        <f>B1332*IBGE_2!O$1332/100</f>
        <v>20</v>
      </c>
      <c r="P1332" s="142">
        <f>B1332*IBGE_2!P$1332/100</f>
        <v>0.107</v>
      </c>
      <c r="Q1332" s="142">
        <f>B1332*IBGE_2!Q$1332/100</f>
        <v>199</v>
      </c>
      <c r="R1332" s="142">
        <f>B1332*IBGE_2!R$1332/100</f>
        <v>9.0310000000000006</v>
      </c>
      <c r="S1332" s="142">
        <f>B1332*IBGE_2!S$1332/100</f>
        <v>48</v>
      </c>
      <c r="T1332" s="142">
        <f>B1332*IBGE_2!T$1332/100</f>
        <v>132</v>
      </c>
      <c r="U1332" s="142">
        <f>B1332*IBGE_2!U$1332/100</f>
        <v>0.502</v>
      </c>
      <c r="V1332" s="142">
        <f>B1332*IBGE_2!V$1332/100</f>
        <v>7.3</v>
      </c>
      <c r="W1332" s="142">
        <f>B1332*IBGE_2!W$1332/100</f>
        <v>8</v>
      </c>
      <c r="X1332" s="142">
        <f>B1332*IBGE_2!X$1332/100</f>
        <v>7.0000000000000007E-2</v>
      </c>
      <c r="Y1332" s="142">
        <f>B1332*IBGE_2!Y$1332/100</f>
        <v>0.74099999999999999</v>
      </c>
      <c r="Z1332" s="142">
        <f>B1332*IBGE_2!Z$1332/100</f>
        <v>0.32</v>
      </c>
      <c r="AA1332" s="142">
        <f>B1332*IBGE_2!AA$1332/100</f>
        <v>2.8029999999999999</v>
      </c>
      <c r="AB1332" s="142">
        <f>B1332*IBGE_2!AB$1332/100</f>
        <v>1.8</v>
      </c>
      <c r="AC1332" s="142">
        <f>B1332*IBGE_2!AC$1332/100</f>
        <v>8.4359999999999999</v>
      </c>
      <c r="AD1332" s="142">
        <f>B1332*IBGE_2!AD$1332/100</f>
        <v>7.29</v>
      </c>
      <c r="AE1332" s="142">
        <f>B1332*IBGE_2!AE$1332/100</f>
        <v>80</v>
      </c>
      <c r="AF1332" s="142">
        <f>B1332*IBGE_2!AF$1332/100</f>
        <v>0.2</v>
      </c>
      <c r="AG1332" s="142">
        <f>B1332*IBGE_2!AG$1332/100</f>
        <v>1.4</v>
      </c>
      <c r="AH1332" s="142">
        <f>B1332*IBGE_2!AH$1332/100</f>
        <v>1.4000000000000002E-2</v>
      </c>
      <c r="AI1332" s="142">
        <f>B1332*IBGE_2!AI$1332/100</f>
        <v>333</v>
      </c>
      <c r="AJ1332" s="142">
        <f>B1332*IBGE_2!AJ$1332/100</f>
        <v>9.1750000000000007</v>
      </c>
      <c r="AK1332" s="142">
        <f>B1332*IBGE_2!AK$1332/100</f>
        <v>8</v>
      </c>
      <c r="AL1332" s="142" t="s">
        <v>3047</v>
      </c>
      <c r="AM1332" s="142" t="s">
        <v>3047</v>
      </c>
      <c r="AN1332" s="161"/>
    </row>
    <row r="1333" spans="1:40">
      <c r="A1333" s="143" t="s">
        <v>2393</v>
      </c>
      <c r="B1333" s="141">
        <v>100</v>
      </c>
      <c r="C1333" s="142">
        <f>B1333*IBGE_2!C$1333/100</f>
        <v>185</v>
      </c>
      <c r="D1333" s="142">
        <f>B1333*IBGE_2!D$1333/100</f>
        <v>26.41</v>
      </c>
      <c r="E1333" s="142">
        <f>B1333*IBGE_2!E$1333/100</f>
        <v>7.92</v>
      </c>
      <c r="F1333" s="142">
        <f>B1333*IBGE_2!F$1333/100</f>
        <v>2.2599999999999998</v>
      </c>
      <c r="G1333" s="142">
        <f>B1333*IBGE_2!G$1333/100</f>
        <v>2.0099999999999998</v>
      </c>
      <c r="H1333" s="142">
        <f>B1333*IBGE_2!H$1333/100</f>
        <v>2.2999999999999998</v>
      </c>
      <c r="I1333" s="142">
        <f>B1333*IBGE_2!I$1333/100</f>
        <v>1.62</v>
      </c>
      <c r="J1333" s="142">
        <f>B1333*IBGE_2!J$1333/100</f>
        <v>0.06</v>
      </c>
      <c r="K1333" s="142">
        <f>B1333*IBGE_2!K$1333/100</f>
        <v>242</v>
      </c>
      <c r="L1333" s="142">
        <f>B1333*IBGE_2!L$1333/100</f>
        <v>0.1</v>
      </c>
      <c r="M1333" s="142" t="s">
        <v>3047</v>
      </c>
      <c r="N1333" s="142">
        <f>B1333*IBGE_2!N$1333/100</f>
        <v>19</v>
      </c>
      <c r="O1333" s="142">
        <f>B1333*IBGE_2!O$1333/100</f>
        <v>20</v>
      </c>
      <c r="P1333" s="142">
        <f>B1333*IBGE_2!P$1333/100</f>
        <v>0.107</v>
      </c>
      <c r="Q1333" s="142">
        <f>B1333*IBGE_2!Q$1333/100</f>
        <v>199</v>
      </c>
      <c r="R1333" s="142">
        <f>B1333*IBGE_2!R$1333/100</f>
        <v>9.0299999999999994</v>
      </c>
      <c r="S1333" s="142">
        <f>B1333*IBGE_2!S$1333/100</f>
        <v>48</v>
      </c>
      <c r="T1333" s="142">
        <f>B1333*IBGE_2!T$1333/100</f>
        <v>132</v>
      </c>
      <c r="U1333" s="142">
        <f>B1333*IBGE_2!U$1333/100</f>
        <v>0.502</v>
      </c>
      <c r="V1333" s="142">
        <f>B1333*IBGE_2!V$1333/100</f>
        <v>7.3</v>
      </c>
      <c r="W1333" s="142">
        <f>B1333*IBGE_2!W$1333/100</f>
        <v>8</v>
      </c>
      <c r="X1333" s="142">
        <f>B1333*IBGE_2!X$1333/100</f>
        <v>7.0000000000000007E-2</v>
      </c>
      <c r="Y1333" s="142">
        <f>B1333*IBGE_2!Y$1333/100</f>
        <v>0.74099999999999999</v>
      </c>
      <c r="Z1333" s="142">
        <f>B1333*IBGE_2!Z$1333/100</f>
        <v>0.32</v>
      </c>
      <c r="AA1333" s="142">
        <f>B1333*IBGE_2!AA$1333/100</f>
        <v>2.8029999999999999</v>
      </c>
      <c r="AB1333" s="142">
        <f>B1333*IBGE_2!AB$1333/100</f>
        <v>1.8</v>
      </c>
      <c r="AC1333" s="142">
        <f>B1333*IBGE_2!AC$1333/100</f>
        <v>8.4359999999999999</v>
      </c>
      <c r="AD1333" s="142">
        <f>B1333*IBGE_2!AD$1333/100</f>
        <v>7.29</v>
      </c>
      <c r="AE1333" s="142">
        <f>B1333*IBGE_2!AE$1333/100</f>
        <v>80</v>
      </c>
      <c r="AF1333" s="142">
        <f>B1333*IBGE_2!AF$1333/100</f>
        <v>0.2</v>
      </c>
      <c r="AG1333" s="142">
        <f>B1333*IBGE_2!AG$1333/100</f>
        <v>1.19</v>
      </c>
      <c r="AH1333" s="145" t="s">
        <v>3047</v>
      </c>
      <c r="AI1333" s="142">
        <f>B1333*IBGE_2!AI$1333/100</f>
        <v>333</v>
      </c>
      <c r="AJ1333" s="142">
        <f>B1333*IBGE_2!AJ$1333/100</f>
        <v>8</v>
      </c>
      <c r="AK1333" s="142">
        <f>B1333*IBGE_2!AK$1333/100</f>
        <v>8</v>
      </c>
      <c r="AL1333" s="142" t="s">
        <v>3047</v>
      </c>
      <c r="AM1333" s="142" t="s">
        <v>3047</v>
      </c>
      <c r="AN1333" s="161"/>
    </row>
    <row r="1334" spans="1:40">
      <c r="A1334" s="143" t="s">
        <v>2394</v>
      </c>
      <c r="B1334" s="141">
        <v>100</v>
      </c>
      <c r="C1334" s="142">
        <f>B1334*IBGE_2!C$1334/100</f>
        <v>167</v>
      </c>
      <c r="D1334" s="142">
        <f>B1334*IBGE_2!D$1334/100</f>
        <v>24.46</v>
      </c>
      <c r="E1334" s="142">
        <f>B1334*IBGE_2!E$1334/100</f>
        <v>6.51</v>
      </c>
      <c r="F1334" s="142">
        <f>B1334*IBGE_2!F$1334/100</f>
        <v>2.06</v>
      </c>
      <c r="G1334" s="142">
        <f>B1334*IBGE_2!G$1334/100</f>
        <v>1.4159999999999999</v>
      </c>
      <c r="H1334" s="142">
        <f>B1334*IBGE_2!H$1334/100</f>
        <v>1.9880000000000002</v>
      </c>
      <c r="I1334" s="142">
        <f>B1334*IBGE_2!I$1334/100</f>
        <v>0.71899999999999986</v>
      </c>
      <c r="J1334" s="142" t="s">
        <v>3047</v>
      </c>
      <c r="K1334" s="142">
        <f>B1334*IBGE_2!K$1334/100</f>
        <v>563</v>
      </c>
      <c r="L1334" s="142">
        <f>B1334*IBGE_2!L$1334/100</f>
        <v>0.87</v>
      </c>
      <c r="M1334" s="142" t="s">
        <v>3047</v>
      </c>
      <c r="N1334" s="142">
        <f>B1334*IBGE_2!N$1334/100</f>
        <v>11</v>
      </c>
      <c r="O1334" s="142">
        <f>B1334*IBGE_2!O$1334/100</f>
        <v>25</v>
      </c>
      <c r="P1334" s="142">
        <f>B1334*IBGE_2!P$1334/100</f>
        <v>0.35899999999999999</v>
      </c>
      <c r="Q1334" s="142">
        <f>B1334*IBGE_2!Q$1334/100</f>
        <v>405</v>
      </c>
      <c r="R1334" s="142">
        <f>B1334*IBGE_2!R$1334/100</f>
        <v>11.63</v>
      </c>
      <c r="S1334" s="142">
        <f>B1334*IBGE_2!S$1334/100</f>
        <v>76</v>
      </c>
      <c r="T1334" s="142">
        <f>B1334*IBGE_2!T$1334/100</f>
        <v>263</v>
      </c>
      <c r="U1334" s="142">
        <f>B1334*IBGE_2!U$1334/100</f>
        <v>0.496</v>
      </c>
      <c r="V1334" s="142">
        <f>B1334*IBGE_2!V$1334/100</f>
        <v>3.98</v>
      </c>
      <c r="W1334" s="142">
        <f>B1334*IBGE_2!W$1334/100</f>
        <v>3978</v>
      </c>
      <c r="X1334" s="142">
        <f>B1334*IBGE_2!X$1334/100</f>
        <v>0.29099999999999998</v>
      </c>
      <c r="Y1334" s="142">
        <f>B1334*IBGE_2!Y$1334/100</f>
        <v>1.9930000000000001</v>
      </c>
      <c r="Z1334" s="142">
        <f>B1334*IBGE_2!Z$1334/100</f>
        <v>0.755</v>
      </c>
      <c r="AA1334" s="142">
        <f>B1334*IBGE_2!AA$1334/100</f>
        <v>11.045</v>
      </c>
      <c r="AB1334" s="142">
        <f>B1334*IBGE_2!AB$1334/100</f>
        <v>27.9</v>
      </c>
      <c r="AC1334" s="142">
        <f>B1334*IBGE_2!AC$1334/100</f>
        <v>15.178000000000003</v>
      </c>
      <c r="AD1334" s="142">
        <f>B1334*IBGE_2!AD$1334/100</f>
        <v>16.850000000000001</v>
      </c>
      <c r="AE1334" s="142">
        <f>B1334*IBGE_2!AE$1334/100</f>
        <v>578</v>
      </c>
      <c r="AF1334" s="142">
        <f>B1334*IBGE_2!AF$1334/100</f>
        <v>0.2</v>
      </c>
      <c r="AG1334" s="142">
        <f>B1334*IBGE_2!AG$1334/100</f>
        <v>0.82</v>
      </c>
      <c r="AH1334" s="142">
        <f>B1334*IBGE_2!AH$1334/100</f>
        <v>0.09</v>
      </c>
      <c r="AI1334" s="142">
        <f>B1334*IBGE_2!AI$1334/100</f>
        <v>333</v>
      </c>
      <c r="AJ1334" s="142">
        <f>B1334*IBGE_2!AJ$1334/100</f>
        <v>82.4</v>
      </c>
      <c r="AK1334" s="142">
        <f>B1334*IBGE_2!AK$1334/100</f>
        <v>3981.4169999999999</v>
      </c>
      <c r="AL1334" s="142" t="s">
        <v>3047</v>
      </c>
      <c r="AM1334" s="142" t="s">
        <v>3047</v>
      </c>
      <c r="AN1334" s="161"/>
    </row>
    <row r="1335" spans="1:40">
      <c r="A1335" s="143" t="s">
        <v>2395</v>
      </c>
      <c r="B1335" s="141">
        <v>100</v>
      </c>
      <c r="C1335" s="142">
        <f>B1335*IBGE_2!C$1335/100</f>
        <v>167</v>
      </c>
      <c r="D1335" s="142">
        <f>B1335*IBGE_2!D$1335/100</f>
        <v>24.46</v>
      </c>
      <c r="E1335" s="142">
        <f>B1335*IBGE_2!E$1335/100</f>
        <v>6.51</v>
      </c>
      <c r="F1335" s="142">
        <f>B1335*IBGE_2!F$1335/100</f>
        <v>2.06</v>
      </c>
      <c r="G1335" s="142">
        <f>B1335*IBGE_2!G$1335/100</f>
        <v>1.4159999999999999</v>
      </c>
      <c r="H1335" s="142">
        <f>B1335*IBGE_2!H$1335/100</f>
        <v>1.9880000000000002</v>
      </c>
      <c r="I1335" s="142">
        <f>B1335*IBGE_2!I$1335/100</f>
        <v>0.71899999999999986</v>
      </c>
      <c r="J1335" s="142" t="s">
        <v>3047</v>
      </c>
      <c r="K1335" s="142">
        <f>B1335*IBGE_2!K$1335/100</f>
        <v>563</v>
      </c>
      <c r="L1335" s="142">
        <f>B1335*IBGE_2!L$1335/100</f>
        <v>0.87</v>
      </c>
      <c r="M1335" s="142" t="s">
        <v>3047</v>
      </c>
      <c r="N1335" s="142">
        <f>B1335*IBGE_2!N$1335/100</f>
        <v>11</v>
      </c>
      <c r="O1335" s="142">
        <f>B1335*IBGE_2!O$1335/100</f>
        <v>25</v>
      </c>
      <c r="P1335" s="142">
        <f>B1335*IBGE_2!P$1335/100</f>
        <v>0.35899999999999999</v>
      </c>
      <c r="Q1335" s="142">
        <f>B1335*IBGE_2!Q$1335/100</f>
        <v>405</v>
      </c>
      <c r="R1335" s="142">
        <f>B1335*IBGE_2!R$1335/100</f>
        <v>11.63</v>
      </c>
      <c r="S1335" s="142">
        <f>B1335*IBGE_2!S$1335/100</f>
        <v>76</v>
      </c>
      <c r="T1335" s="142">
        <f>B1335*IBGE_2!T$1335/100</f>
        <v>263</v>
      </c>
      <c r="U1335" s="142">
        <f>B1335*IBGE_2!U$1335/100</f>
        <v>0.496</v>
      </c>
      <c r="V1335" s="142">
        <f>B1335*IBGE_2!V$1335/100</f>
        <v>3.98</v>
      </c>
      <c r="W1335" s="142">
        <f>B1335*IBGE_2!W$1335/100</f>
        <v>3978</v>
      </c>
      <c r="X1335" s="142">
        <f>B1335*IBGE_2!X$1335/100</f>
        <v>0.29099999999999998</v>
      </c>
      <c r="Y1335" s="142">
        <f>B1335*IBGE_2!Y$1335/100</f>
        <v>1.9930000000000001</v>
      </c>
      <c r="Z1335" s="142">
        <f>B1335*IBGE_2!Z$1335/100</f>
        <v>0.755</v>
      </c>
      <c r="AA1335" s="142">
        <f>B1335*IBGE_2!AA$1335/100</f>
        <v>11.045</v>
      </c>
      <c r="AB1335" s="142">
        <f>B1335*IBGE_2!AB$1335/100</f>
        <v>27.9</v>
      </c>
      <c r="AC1335" s="142">
        <f>B1335*IBGE_2!AC$1335/100</f>
        <v>15.178000000000003</v>
      </c>
      <c r="AD1335" s="142">
        <f>B1335*IBGE_2!AD$1335/100</f>
        <v>16.850000000000001</v>
      </c>
      <c r="AE1335" s="142">
        <f>B1335*IBGE_2!AE$1335/100</f>
        <v>578</v>
      </c>
      <c r="AF1335" s="142">
        <f>B1335*IBGE_2!AF$1335/100</f>
        <v>0.2</v>
      </c>
      <c r="AG1335" s="142">
        <f>B1335*IBGE_2!AG$1335/100</f>
        <v>0.82</v>
      </c>
      <c r="AH1335" s="142">
        <f>B1335*IBGE_2!AH$1335/100</f>
        <v>0.09</v>
      </c>
      <c r="AI1335" s="142">
        <f>B1335*IBGE_2!AI$1335/100</f>
        <v>333</v>
      </c>
      <c r="AJ1335" s="142">
        <f>B1335*IBGE_2!AJ$1335/100</f>
        <v>82.4</v>
      </c>
      <c r="AK1335" s="142">
        <f>B1335*IBGE_2!AK$1335/100</f>
        <v>3981.4169999999999</v>
      </c>
      <c r="AL1335" s="142" t="s">
        <v>3047</v>
      </c>
      <c r="AM1335" s="142" t="s">
        <v>3047</v>
      </c>
      <c r="AN1335" s="161"/>
    </row>
    <row r="1336" spans="1:40">
      <c r="A1336" s="143" t="s">
        <v>2396</v>
      </c>
      <c r="B1336" s="141">
        <v>100</v>
      </c>
      <c r="C1336" s="142">
        <f>B1336*IBGE_2!C$1336/100</f>
        <v>189.65899999999999</v>
      </c>
      <c r="D1336" s="142">
        <f>B1336*IBGE_2!D$1336/100</f>
        <v>24.46</v>
      </c>
      <c r="E1336" s="142">
        <f>B1336*IBGE_2!E$1336/100</f>
        <v>9.0730000000000004</v>
      </c>
      <c r="F1336" s="142">
        <f>B1336*IBGE_2!F$1336/100</f>
        <v>2.4609999999999999</v>
      </c>
      <c r="G1336" s="142">
        <f>B1336*IBGE_2!G$1336/100</f>
        <v>2</v>
      </c>
      <c r="H1336" s="142">
        <f>B1336*IBGE_2!H$1336/100</f>
        <v>3.468</v>
      </c>
      <c r="I1336" s="142">
        <f>B1336*IBGE_2!I$1336/100</f>
        <v>2.0249999999999999</v>
      </c>
      <c r="J1336" s="142">
        <f>B1336*IBGE_2!J$1336/100</f>
        <v>0.17399999999999999</v>
      </c>
      <c r="K1336" s="142">
        <f>B1336*IBGE_2!K$1336/100</f>
        <v>563</v>
      </c>
      <c r="L1336" s="142">
        <f>B1336*IBGE_2!L$1336/100</f>
        <v>0.87</v>
      </c>
      <c r="M1336" s="142" t="s">
        <v>3047</v>
      </c>
      <c r="N1336" s="142">
        <f>B1336*IBGE_2!N$1336/100</f>
        <v>11</v>
      </c>
      <c r="O1336" s="142">
        <f>B1336*IBGE_2!O$1336/100</f>
        <v>25</v>
      </c>
      <c r="P1336" s="142">
        <f>B1336*IBGE_2!P$1336/100</f>
        <v>0.35899999999999999</v>
      </c>
      <c r="Q1336" s="142">
        <f>B1336*IBGE_2!Q$1336/100</f>
        <v>405</v>
      </c>
      <c r="R1336" s="142">
        <f>B1336*IBGE_2!R$1336/100</f>
        <v>11.630999999999998</v>
      </c>
      <c r="S1336" s="142">
        <f>B1336*IBGE_2!S$1336/100</f>
        <v>76</v>
      </c>
      <c r="T1336" s="142">
        <f>B1336*IBGE_2!T$1336/100</f>
        <v>263</v>
      </c>
      <c r="U1336" s="142">
        <f>B1336*IBGE_2!U$1336/100</f>
        <v>0.496</v>
      </c>
      <c r="V1336" s="142">
        <f>B1336*IBGE_2!V$1336/100</f>
        <v>3.98</v>
      </c>
      <c r="W1336" s="142">
        <f>B1336*IBGE_2!W$1336/100</f>
        <v>3978</v>
      </c>
      <c r="X1336" s="142">
        <f>B1336*IBGE_2!X$1336/100</f>
        <v>0.29099999999999998</v>
      </c>
      <c r="Y1336" s="142">
        <f>B1336*IBGE_2!Y$1336/100</f>
        <v>1.9930000000000001</v>
      </c>
      <c r="Z1336" s="142">
        <f>B1336*IBGE_2!Z$1336/100</f>
        <v>0.755</v>
      </c>
      <c r="AA1336" s="142">
        <f>B1336*IBGE_2!AA$1336/100</f>
        <v>11.045</v>
      </c>
      <c r="AB1336" s="142">
        <f>B1336*IBGE_2!AB$1336/100</f>
        <v>27.9</v>
      </c>
      <c r="AC1336" s="142">
        <f>B1336*IBGE_2!AC$1336/100</f>
        <v>15.178000000000003</v>
      </c>
      <c r="AD1336" s="142">
        <f>B1336*IBGE_2!AD$1336/100</f>
        <v>16.850000000000001</v>
      </c>
      <c r="AE1336" s="142">
        <f>B1336*IBGE_2!AE$1336/100</f>
        <v>578</v>
      </c>
      <c r="AF1336" s="142">
        <f>B1336*IBGE_2!AF$1336/100</f>
        <v>0.2</v>
      </c>
      <c r="AG1336" s="142">
        <f>B1336*IBGE_2!AG$1336/100</f>
        <v>1.03</v>
      </c>
      <c r="AH1336" s="142">
        <f>B1336*IBGE_2!AH$1336/100</f>
        <v>0.10400000000000001</v>
      </c>
      <c r="AI1336" s="142">
        <f>B1336*IBGE_2!AI$1336/100</f>
        <v>333</v>
      </c>
      <c r="AJ1336" s="142">
        <f>B1336*IBGE_2!AJ$1336/100</f>
        <v>83.575000000000003</v>
      </c>
      <c r="AK1336" s="142">
        <f>B1336*IBGE_2!AK$1336/100</f>
        <v>3981.4169999999999</v>
      </c>
      <c r="AL1336" s="142" t="s">
        <v>3047</v>
      </c>
      <c r="AM1336" s="142" t="s">
        <v>3047</v>
      </c>
      <c r="AN1336" s="161"/>
    </row>
    <row r="1337" spans="1:40">
      <c r="A1337" s="143" t="s">
        <v>2397</v>
      </c>
      <c r="B1337" s="141">
        <v>100</v>
      </c>
      <c r="C1337" s="142">
        <f>B1337*IBGE_2!C$1337/100</f>
        <v>31.471</v>
      </c>
      <c r="D1337" s="142">
        <f>B1337*IBGE_2!D$1337/100</f>
        <v>1.6120000000000001</v>
      </c>
      <c r="E1337" s="142">
        <f>B1337*IBGE_2!E$1337/100</f>
        <v>1.0640000000000001</v>
      </c>
      <c r="F1337" s="142">
        <f>B1337*IBGE_2!F$1337/100</f>
        <v>0.309</v>
      </c>
      <c r="G1337" s="142">
        <f>B1337*IBGE_2!G$1337/100</f>
        <v>0.44700000000000001</v>
      </c>
      <c r="H1337" s="142">
        <f>B1337*IBGE_2!H$1337/100</f>
        <v>0.22800000000000001</v>
      </c>
      <c r="I1337" s="142">
        <f>B1337*IBGE_2!I$1337/100</f>
        <v>0.20599999999999999</v>
      </c>
      <c r="J1337" s="142">
        <f>B1337*IBGE_2!J$1337/100</f>
        <v>1.3000000000000001E-2</v>
      </c>
      <c r="K1337" s="142">
        <f>B1337*IBGE_2!K$1337/100</f>
        <v>3.194</v>
      </c>
      <c r="L1337" s="142">
        <f>B1337*IBGE_2!L$1337/100</f>
        <v>3.637</v>
      </c>
      <c r="M1337" s="142">
        <f>B1337*IBGE_2!M$1337/100</f>
        <v>0.128</v>
      </c>
      <c r="N1337" s="142">
        <f>B1337*IBGE_2!N$1337/100</f>
        <v>5.22</v>
      </c>
      <c r="O1337" s="142">
        <f>B1337*IBGE_2!O$1337/100</f>
        <v>3.2549999999999999</v>
      </c>
      <c r="P1337" s="142">
        <f>B1337*IBGE_2!P$1337/100</f>
        <v>8.3000000000000004E-2</v>
      </c>
      <c r="Q1337" s="142">
        <f>B1337*IBGE_2!Q$1337/100</f>
        <v>18.477</v>
      </c>
      <c r="R1337" s="142">
        <f>B1337*IBGE_2!R$1337/100</f>
        <v>0.23699999999999999</v>
      </c>
      <c r="S1337" s="142">
        <f>B1337*IBGE_2!S$1337/100</f>
        <v>343.654</v>
      </c>
      <c r="T1337" s="142">
        <f>B1337*IBGE_2!T$1337/100</f>
        <v>37.023000000000003</v>
      </c>
      <c r="U1337" s="142">
        <f>B1337*IBGE_2!U$1337/100</f>
        <v>2.7000000000000003E-2</v>
      </c>
      <c r="V1337" s="142">
        <f>B1337*IBGE_2!V$1337/100</f>
        <v>0.153</v>
      </c>
      <c r="W1337" s="142">
        <f>B1337*IBGE_2!W$1337/100</f>
        <v>0.46899999999999997</v>
      </c>
      <c r="X1337" s="142">
        <f>B1337*IBGE_2!X$1337/100</f>
        <v>2.4E-2</v>
      </c>
      <c r="Y1337" s="142">
        <f>B1337*IBGE_2!Y$1337/100</f>
        <v>1.4000000000000002E-2</v>
      </c>
      <c r="Z1337" s="142">
        <f>B1337*IBGE_2!Z$1337/100</f>
        <v>3.1E-2</v>
      </c>
      <c r="AA1337" s="142">
        <f>B1337*IBGE_2!AA$1337/100</f>
        <v>0.75</v>
      </c>
      <c r="AB1337" s="142">
        <f>B1337*IBGE_2!AB$1337/100</f>
        <v>0.105</v>
      </c>
      <c r="AC1337" s="142">
        <f>B1337*IBGE_2!AC$1337/100</f>
        <v>1.016</v>
      </c>
      <c r="AD1337" s="142">
        <f>B1337*IBGE_2!AD$1337/100</f>
        <v>3.1E-2</v>
      </c>
      <c r="AE1337" s="142">
        <f>B1337*IBGE_2!AE$1337/100</f>
        <v>6.0449999999999999</v>
      </c>
      <c r="AF1337" s="142">
        <f>B1337*IBGE_2!AF$1337/100</f>
        <v>1.2E-2</v>
      </c>
      <c r="AG1337" s="142">
        <f>B1337*IBGE_2!AG$1337/100</f>
        <v>6.6000000000000003E-2</v>
      </c>
      <c r="AH1337" s="142">
        <f>B1337*IBGE_2!AH$1337/100</f>
        <v>1.7000000000000001E-2</v>
      </c>
      <c r="AI1337" s="145" t="s">
        <v>3047</v>
      </c>
      <c r="AJ1337" s="142">
        <f>B1337*IBGE_2!AJ$1337/100</f>
        <v>1.55</v>
      </c>
      <c r="AK1337" s="142">
        <f>B1337*IBGE_2!AK$1337/100</f>
        <v>25.419</v>
      </c>
      <c r="AL1337" s="142">
        <f>B1337*IBGE_2!AL$1337/100</f>
        <v>0.105</v>
      </c>
      <c r="AM1337" s="142" t="s">
        <v>3047</v>
      </c>
      <c r="AN1337" s="161"/>
    </row>
    <row r="1338" spans="1:40">
      <c r="A1338" s="143" t="s">
        <v>2398</v>
      </c>
      <c r="B1338" s="141">
        <v>100</v>
      </c>
      <c r="C1338" s="142">
        <f>B1338*IBGE_2!C$1338/100</f>
        <v>207</v>
      </c>
      <c r="D1338" s="142">
        <f>B1338*IBGE_2!D$1338/100</f>
        <v>26.934999999999999</v>
      </c>
      <c r="E1338" s="142">
        <f>B1338*IBGE_2!E$1338/100</f>
        <v>10.234999999999999</v>
      </c>
      <c r="F1338" s="142">
        <f>B1338*IBGE_2!F$1338/100</f>
        <v>3.04</v>
      </c>
      <c r="G1338" s="142">
        <f>B1338*IBGE_2!G$1338/100</f>
        <v>3.48</v>
      </c>
      <c r="H1338" s="142">
        <f>B1338*IBGE_2!H$1338/100</f>
        <v>2.5150000000000001</v>
      </c>
      <c r="I1338" s="142">
        <f>B1338*IBGE_2!I$1338/100</f>
        <v>2.13</v>
      </c>
      <c r="J1338" s="142">
        <f>B1338*IBGE_2!J$1338/100</f>
        <v>0.1</v>
      </c>
      <c r="K1338" s="142">
        <f>B1338*IBGE_2!K$1338/100</f>
        <v>78</v>
      </c>
      <c r="L1338" s="142" t="s">
        <v>3047</v>
      </c>
      <c r="M1338" s="142" t="s">
        <v>3047</v>
      </c>
      <c r="N1338" s="142">
        <f>B1338*IBGE_2!N$1338/100</f>
        <v>21.5</v>
      </c>
      <c r="O1338" s="142">
        <f>B1338*IBGE_2!O$1338/100</f>
        <v>22</v>
      </c>
      <c r="P1338" s="142">
        <f>B1338*IBGE_2!P$1338/100</f>
        <v>2.1000000000000001E-2</v>
      </c>
      <c r="Q1338" s="142">
        <f>B1338*IBGE_2!Q$1338/100</f>
        <v>172</v>
      </c>
      <c r="R1338" s="142">
        <f>B1338*IBGE_2!R$1338/100</f>
        <v>1.635</v>
      </c>
      <c r="S1338" s="142">
        <f>B1338*IBGE_2!S$1338/100</f>
        <v>68</v>
      </c>
      <c r="T1338" s="142">
        <f>B1338*IBGE_2!T$1338/100</f>
        <v>224.5</v>
      </c>
      <c r="U1338" s="142">
        <f>B1338*IBGE_2!U$1338/100</f>
        <v>9.4E-2</v>
      </c>
      <c r="V1338" s="142">
        <f>B1338*IBGE_2!V$1338/100</f>
        <v>2.68</v>
      </c>
      <c r="W1338" s="142">
        <f>B1338*IBGE_2!W$1338/100</f>
        <v>24.5</v>
      </c>
      <c r="X1338" s="142">
        <f>B1338*IBGE_2!X$1338/100</f>
        <v>4.9000000000000002E-2</v>
      </c>
      <c r="Y1338" s="142">
        <f>B1338*IBGE_2!Y$1338/100</f>
        <v>0.17</v>
      </c>
      <c r="Z1338" s="142">
        <f>B1338*IBGE_2!Z$1338/100</f>
        <v>0.29499999999999998</v>
      </c>
      <c r="AA1338" s="142">
        <f>B1338*IBGE_2!AA$1338/100</f>
        <v>5.3120000000000003</v>
      </c>
      <c r="AB1338" s="142" t="s">
        <v>3047</v>
      </c>
      <c r="AC1338" s="142">
        <f>B1338*IBGE_2!AC$1338/100</f>
        <v>10.345000000000001</v>
      </c>
      <c r="AD1338" s="142">
        <f>B1338*IBGE_2!AD$1338/100</f>
        <v>0.27500000000000002</v>
      </c>
      <c r="AE1338" s="142">
        <f>B1338*IBGE_2!AE$1338/100</f>
        <v>6</v>
      </c>
      <c r="AF1338" s="142">
        <f>B1338*IBGE_2!AF$1338/100</f>
        <v>0.15</v>
      </c>
      <c r="AG1338" s="142">
        <f>B1338*IBGE_2!AG$1338/100</f>
        <v>0.24</v>
      </c>
      <c r="AH1338" s="142">
        <f>B1338*IBGE_2!AH$1338/100</f>
        <v>0.215</v>
      </c>
      <c r="AI1338" s="142">
        <f>B1338*IBGE_2!AI$1338/100</f>
        <v>333</v>
      </c>
      <c r="AJ1338" s="142">
        <f>B1338*IBGE_2!AJ$1338/100</f>
        <v>29.9</v>
      </c>
      <c r="AK1338" s="142">
        <f>B1338*IBGE_2!AK$1338/100</f>
        <v>24.5</v>
      </c>
      <c r="AL1338" s="142" t="s">
        <v>3047</v>
      </c>
      <c r="AM1338" s="142" t="s">
        <v>3047</v>
      </c>
      <c r="AN1338" s="161"/>
    </row>
    <row r="1339" spans="1:40">
      <c r="A1339" s="143" t="s">
        <v>2399</v>
      </c>
      <c r="B1339" s="141">
        <v>100</v>
      </c>
      <c r="C1339" s="142">
        <f>B1339*IBGE_2!C$1339/100</f>
        <v>207</v>
      </c>
      <c r="D1339" s="142">
        <f>B1339*IBGE_2!D$1339/100</f>
        <v>26.934999999999999</v>
      </c>
      <c r="E1339" s="142">
        <f>B1339*IBGE_2!E$1339/100</f>
        <v>10.234999999999999</v>
      </c>
      <c r="F1339" s="142">
        <f>B1339*IBGE_2!F$1339/100</f>
        <v>3.04</v>
      </c>
      <c r="G1339" s="142">
        <f>B1339*IBGE_2!G$1339/100</f>
        <v>3.48</v>
      </c>
      <c r="H1339" s="142">
        <f>B1339*IBGE_2!H$1339/100</f>
        <v>2.5150000000000001</v>
      </c>
      <c r="I1339" s="142">
        <f>B1339*IBGE_2!I$1339/100</f>
        <v>2.13</v>
      </c>
      <c r="J1339" s="142">
        <f>B1339*IBGE_2!J$1339/100</f>
        <v>0.1</v>
      </c>
      <c r="K1339" s="142">
        <f>B1339*IBGE_2!K$1339/100</f>
        <v>78</v>
      </c>
      <c r="L1339" s="142" t="s">
        <v>3047</v>
      </c>
      <c r="M1339" s="142" t="s">
        <v>3047</v>
      </c>
      <c r="N1339" s="142">
        <f>B1339*IBGE_2!N$1339/100</f>
        <v>21.5</v>
      </c>
      <c r="O1339" s="142">
        <f>B1339*IBGE_2!O$1339/100</f>
        <v>22</v>
      </c>
      <c r="P1339" s="142">
        <f>B1339*IBGE_2!P$1339/100</f>
        <v>2.1000000000000001E-2</v>
      </c>
      <c r="Q1339" s="142">
        <f>B1339*IBGE_2!Q$1339/100</f>
        <v>172</v>
      </c>
      <c r="R1339" s="142">
        <f>B1339*IBGE_2!R$1339/100</f>
        <v>1.635</v>
      </c>
      <c r="S1339" s="142">
        <f>B1339*IBGE_2!S$1339/100</f>
        <v>68</v>
      </c>
      <c r="T1339" s="142">
        <f>B1339*IBGE_2!T$1339/100</f>
        <v>224.5</v>
      </c>
      <c r="U1339" s="142">
        <f>B1339*IBGE_2!U$1339/100</f>
        <v>9.4E-2</v>
      </c>
      <c r="V1339" s="142">
        <f>B1339*IBGE_2!V$1339/100</f>
        <v>2.68</v>
      </c>
      <c r="W1339" s="142">
        <f>B1339*IBGE_2!W$1339/100</f>
        <v>24.5</v>
      </c>
      <c r="X1339" s="142">
        <f>B1339*IBGE_2!X$1339/100</f>
        <v>4.9000000000000002E-2</v>
      </c>
      <c r="Y1339" s="142">
        <f>B1339*IBGE_2!Y$1339/100</f>
        <v>0.17</v>
      </c>
      <c r="Z1339" s="142">
        <f>B1339*IBGE_2!Z$1339/100</f>
        <v>0.29499999999999998</v>
      </c>
      <c r="AA1339" s="142">
        <f>B1339*IBGE_2!AA$1339/100</f>
        <v>5.3120000000000003</v>
      </c>
      <c r="AB1339" s="142" t="s">
        <v>3047</v>
      </c>
      <c r="AC1339" s="142">
        <f>B1339*IBGE_2!AC$1339/100</f>
        <v>10.345000000000001</v>
      </c>
      <c r="AD1339" s="142">
        <f>B1339*IBGE_2!AD$1339/100</f>
        <v>0.27500000000000002</v>
      </c>
      <c r="AE1339" s="142">
        <f>B1339*IBGE_2!AE$1339/100</f>
        <v>6</v>
      </c>
      <c r="AF1339" s="142">
        <f>B1339*IBGE_2!AF$1339/100</f>
        <v>0.15</v>
      </c>
      <c r="AG1339" s="142">
        <f>B1339*IBGE_2!AG$1339/100</f>
        <v>0.24</v>
      </c>
      <c r="AH1339" s="142">
        <f>B1339*IBGE_2!AH$1339/100</f>
        <v>0.215</v>
      </c>
      <c r="AI1339" s="142">
        <f>B1339*IBGE_2!AI$1339/100</f>
        <v>333</v>
      </c>
      <c r="AJ1339" s="142">
        <f>B1339*IBGE_2!AJ$1339/100</f>
        <v>29.9</v>
      </c>
      <c r="AK1339" s="142">
        <f>B1339*IBGE_2!AK$1339/100</f>
        <v>24.5</v>
      </c>
      <c r="AL1339" s="142" t="s">
        <v>3047</v>
      </c>
      <c r="AM1339" s="142" t="s">
        <v>3047</v>
      </c>
      <c r="AN1339" s="161"/>
    </row>
    <row r="1340" spans="1:40">
      <c r="A1340" s="143" t="s">
        <v>2400</v>
      </c>
      <c r="B1340" s="141">
        <v>100</v>
      </c>
      <c r="C1340" s="142">
        <f>B1340*IBGE_2!C$1340/100</f>
        <v>229.65899999999999</v>
      </c>
      <c r="D1340" s="142">
        <f>B1340*IBGE_2!D$1340/100</f>
        <v>26.934999999999999</v>
      </c>
      <c r="E1340" s="142">
        <f>B1340*IBGE_2!E$1340/100</f>
        <v>12.798</v>
      </c>
      <c r="F1340" s="142">
        <f>B1340*IBGE_2!F$1340/100</f>
        <v>3.4409999999999998</v>
      </c>
      <c r="G1340" s="142">
        <f>B1340*IBGE_2!G$1340/100</f>
        <v>4.0640000000000001</v>
      </c>
      <c r="H1340" s="142">
        <f>B1340*IBGE_2!H$1340/100</f>
        <v>3.9950000000000001</v>
      </c>
      <c r="I1340" s="142">
        <f>B1340*IBGE_2!I$1340/100</f>
        <v>3.4360000000000004</v>
      </c>
      <c r="J1340" s="142">
        <f>B1340*IBGE_2!J$1340/100</f>
        <v>0.27400000000000002</v>
      </c>
      <c r="K1340" s="142">
        <f>B1340*IBGE_2!K$1340/100</f>
        <v>78</v>
      </c>
      <c r="L1340" s="142" t="s">
        <v>3047</v>
      </c>
      <c r="M1340" s="142" t="s">
        <v>3047</v>
      </c>
      <c r="N1340" s="142">
        <f>B1340*IBGE_2!N$1340/100</f>
        <v>21.5</v>
      </c>
      <c r="O1340" s="142">
        <f>B1340*IBGE_2!O$1340/100</f>
        <v>22</v>
      </c>
      <c r="P1340" s="142">
        <f>B1340*IBGE_2!P$1340/100</f>
        <v>2.1000000000000001E-2</v>
      </c>
      <c r="Q1340" s="142">
        <f>B1340*IBGE_2!Q$1340/100</f>
        <v>172</v>
      </c>
      <c r="R1340" s="142">
        <f>B1340*IBGE_2!R$1340/100</f>
        <v>1.6359999999999999</v>
      </c>
      <c r="S1340" s="142">
        <f>B1340*IBGE_2!S$1340/100</f>
        <v>68</v>
      </c>
      <c r="T1340" s="142">
        <f>B1340*IBGE_2!T$1340/100</f>
        <v>224.5</v>
      </c>
      <c r="U1340" s="142">
        <f>B1340*IBGE_2!U$1340/100</f>
        <v>9.4E-2</v>
      </c>
      <c r="V1340" s="142">
        <f>B1340*IBGE_2!V$1340/100</f>
        <v>2.68</v>
      </c>
      <c r="W1340" s="142">
        <f>B1340*IBGE_2!W$1340/100</f>
        <v>24.5</v>
      </c>
      <c r="X1340" s="142">
        <f>B1340*IBGE_2!X$1340/100</f>
        <v>4.9000000000000002E-2</v>
      </c>
      <c r="Y1340" s="142">
        <f>B1340*IBGE_2!Y$1340/100</f>
        <v>0.17</v>
      </c>
      <c r="Z1340" s="142">
        <f>B1340*IBGE_2!Z$1340/100</f>
        <v>0.29499999999999998</v>
      </c>
      <c r="AA1340" s="142">
        <f>B1340*IBGE_2!AA$1340/100</f>
        <v>5.3120000000000003</v>
      </c>
      <c r="AB1340" s="142" t="s">
        <v>3047</v>
      </c>
      <c r="AC1340" s="142">
        <f>B1340*IBGE_2!AC$1340/100</f>
        <v>10.345000000000001</v>
      </c>
      <c r="AD1340" s="142">
        <f>B1340*IBGE_2!AD$1340/100</f>
        <v>0.27500000000000002</v>
      </c>
      <c r="AE1340" s="142">
        <f>B1340*IBGE_2!AE$1340/100</f>
        <v>6</v>
      </c>
      <c r="AF1340" s="142">
        <f>B1340*IBGE_2!AF$1340/100</f>
        <v>0.15</v>
      </c>
      <c r="AG1340" s="142">
        <f>B1340*IBGE_2!AG$1340/100</f>
        <v>0.45</v>
      </c>
      <c r="AH1340" s="142">
        <f>B1340*IBGE_2!AH$1340/100</f>
        <v>0.22900000000000001</v>
      </c>
      <c r="AI1340" s="142">
        <f>B1340*IBGE_2!AI$1340/100</f>
        <v>333</v>
      </c>
      <c r="AJ1340" s="142">
        <f>B1340*IBGE_2!AJ$1340/100</f>
        <v>31.074999999999999</v>
      </c>
      <c r="AK1340" s="142">
        <f>B1340*IBGE_2!AK$1340/100</f>
        <v>24.5</v>
      </c>
      <c r="AL1340" s="142" t="s">
        <v>3047</v>
      </c>
      <c r="AM1340" s="142" t="s">
        <v>3047</v>
      </c>
      <c r="AN1340" s="161"/>
    </row>
    <row r="1341" spans="1:40">
      <c r="A1341" s="143" t="s">
        <v>2401</v>
      </c>
      <c r="B1341" s="141">
        <v>100</v>
      </c>
      <c r="C1341" s="142">
        <f>B1341*IBGE_2!C$1341/100</f>
        <v>229.65899999999999</v>
      </c>
      <c r="D1341" s="142">
        <f>B1341*IBGE_2!D$1341/100</f>
        <v>26.934999999999999</v>
      </c>
      <c r="E1341" s="142">
        <f>B1341*IBGE_2!E$1341/100</f>
        <v>12.798</v>
      </c>
      <c r="F1341" s="142">
        <f>B1341*IBGE_2!F$1341/100</f>
        <v>3.4409999999999998</v>
      </c>
      <c r="G1341" s="142">
        <f>B1341*IBGE_2!G$1341/100</f>
        <v>4.0640000000000001</v>
      </c>
      <c r="H1341" s="142">
        <f>B1341*IBGE_2!H$1341/100</f>
        <v>3.9950000000000001</v>
      </c>
      <c r="I1341" s="142">
        <f>B1341*IBGE_2!I$1341/100</f>
        <v>3.4360000000000004</v>
      </c>
      <c r="J1341" s="142">
        <f>B1341*IBGE_2!J$1341/100</f>
        <v>0.27400000000000002</v>
      </c>
      <c r="K1341" s="142">
        <f>B1341*IBGE_2!K$1341/100</f>
        <v>78</v>
      </c>
      <c r="L1341" s="142" t="s">
        <v>3047</v>
      </c>
      <c r="M1341" s="142" t="s">
        <v>3047</v>
      </c>
      <c r="N1341" s="142">
        <f>B1341*IBGE_2!N$1341/100</f>
        <v>21.5</v>
      </c>
      <c r="O1341" s="142">
        <f>B1341*IBGE_2!O$1341/100</f>
        <v>22</v>
      </c>
      <c r="P1341" s="142">
        <f>B1341*IBGE_2!P$1341/100</f>
        <v>2.1000000000000001E-2</v>
      </c>
      <c r="Q1341" s="142">
        <f>B1341*IBGE_2!Q$1341/100</f>
        <v>172</v>
      </c>
      <c r="R1341" s="142">
        <f>B1341*IBGE_2!R$1341/100</f>
        <v>1.6359999999999999</v>
      </c>
      <c r="S1341" s="142">
        <f>B1341*IBGE_2!S$1341/100</f>
        <v>68</v>
      </c>
      <c r="T1341" s="142">
        <f>B1341*IBGE_2!T$1341/100</f>
        <v>224.5</v>
      </c>
      <c r="U1341" s="142">
        <f>B1341*IBGE_2!U$1341/100</f>
        <v>9.4E-2</v>
      </c>
      <c r="V1341" s="142">
        <f>B1341*IBGE_2!V$1341/100</f>
        <v>2.68</v>
      </c>
      <c r="W1341" s="142">
        <f>B1341*IBGE_2!W$1341/100</f>
        <v>24.5</v>
      </c>
      <c r="X1341" s="142">
        <f>B1341*IBGE_2!X$1341/100</f>
        <v>4.9000000000000002E-2</v>
      </c>
      <c r="Y1341" s="142">
        <f>B1341*IBGE_2!Y$1341/100</f>
        <v>0.17</v>
      </c>
      <c r="Z1341" s="142">
        <f>B1341*IBGE_2!Z$1341/100</f>
        <v>0.29499999999999998</v>
      </c>
      <c r="AA1341" s="142">
        <f>B1341*IBGE_2!AA$1341/100</f>
        <v>5.3120000000000003</v>
      </c>
      <c r="AB1341" s="142" t="s">
        <v>3047</v>
      </c>
      <c r="AC1341" s="142">
        <f>B1341*IBGE_2!AC$1341/100</f>
        <v>10.345000000000001</v>
      </c>
      <c r="AD1341" s="142">
        <f>B1341*IBGE_2!AD$1341/100</f>
        <v>0.27500000000000002</v>
      </c>
      <c r="AE1341" s="142">
        <f>B1341*IBGE_2!AE$1341/100</f>
        <v>6</v>
      </c>
      <c r="AF1341" s="142">
        <f>B1341*IBGE_2!AF$1341/100</f>
        <v>0.15</v>
      </c>
      <c r="AG1341" s="142">
        <f>B1341*IBGE_2!AG$1341/100</f>
        <v>0.45</v>
      </c>
      <c r="AH1341" s="142">
        <f>B1341*IBGE_2!AH$1341/100</f>
        <v>0.22900000000000001</v>
      </c>
      <c r="AI1341" s="142">
        <f>B1341*IBGE_2!AI$1341/100</f>
        <v>333</v>
      </c>
      <c r="AJ1341" s="142">
        <f>B1341*IBGE_2!AJ$1341/100</f>
        <v>31.074999999999999</v>
      </c>
      <c r="AK1341" s="142">
        <f>B1341*IBGE_2!AK$1341/100</f>
        <v>24.5</v>
      </c>
      <c r="AL1341" s="142" t="s">
        <v>3047</v>
      </c>
      <c r="AM1341" s="142" t="s">
        <v>3047</v>
      </c>
      <c r="AN1341" s="161"/>
    </row>
    <row r="1342" spans="1:40">
      <c r="A1342" s="143" t="s">
        <v>2402</v>
      </c>
      <c r="B1342" s="141">
        <v>100</v>
      </c>
      <c r="C1342" s="142">
        <f>B1342*IBGE_2!C$1342/100</f>
        <v>140</v>
      </c>
      <c r="D1342" s="142">
        <f>B1342*IBGE_2!D$1342/100</f>
        <v>30.19</v>
      </c>
      <c r="E1342" s="142">
        <f>B1342*IBGE_2!E$1342/100</f>
        <v>1.18</v>
      </c>
      <c r="F1342" s="142">
        <f>B1342*IBGE_2!F$1342/100</f>
        <v>0.38</v>
      </c>
      <c r="G1342" s="142">
        <f>B1342*IBGE_2!G$1342/100</f>
        <v>0.21</v>
      </c>
      <c r="H1342" s="142">
        <f>B1342*IBGE_2!H$1342/100</f>
        <v>0.31</v>
      </c>
      <c r="I1342" s="142">
        <f>B1342*IBGE_2!I$1342/100</f>
        <v>0.21</v>
      </c>
      <c r="J1342" s="142">
        <f>B1342*IBGE_2!J$1342/100</f>
        <v>0.01</v>
      </c>
      <c r="K1342" s="142">
        <f>B1342*IBGE_2!K$1342/100</f>
        <v>86</v>
      </c>
      <c r="L1342" s="142" t="s">
        <v>3047</v>
      </c>
      <c r="M1342" s="142" t="s">
        <v>3047</v>
      </c>
      <c r="N1342" s="142">
        <f>B1342*IBGE_2!N$1342/100</f>
        <v>15</v>
      </c>
      <c r="O1342" s="142">
        <f>B1342*IBGE_2!O$1342/100</f>
        <v>28</v>
      </c>
      <c r="P1342" s="142">
        <f>B1342*IBGE_2!P$1342/100</f>
        <v>2.5000000000000001E-2</v>
      </c>
      <c r="Q1342" s="142">
        <f>B1342*IBGE_2!Q$1342/100</f>
        <v>216</v>
      </c>
      <c r="R1342" s="142">
        <f>B1342*IBGE_2!R$1342/100</f>
        <v>1.57</v>
      </c>
      <c r="S1342" s="142">
        <f>B1342*IBGE_2!S$1342/100</f>
        <v>56</v>
      </c>
      <c r="T1342" s="142">
        <f>B1342*IBGE_2!T$1342/100</f>
        <v>277</v>
      </c>
      <c r="U1342" s="142">
        <f>B1342*IBGE_2!U$1342/100</f>
        <v>8.5999999999999993E-2</v>
      </c>
      <c r="V1342" s="142">
        <f>B1342*IBGE_2!V$1342/100</f>
        <v>2.08</v>
      </c>
      <c r="W1342" s="142" t="s">
        <v>3047</v>
      </c>
      <c r="X1342" s="142">
        <f>B1342*IBGE_2!X$1342/100</f>
        <v>4.1000000000000009E-2</v>
      </c>
      <c r="Y1342" s="142">
        <f>B1342*IBGE_2!Y$1342/100</f>
        <v>0.13600000000000001</v>
      </c>
      <c r="Z1342" s="142">
        <f>B1342*IBGE_2!Z$1342/100</f>
        <v>0.56999999999999995</v>
      </c>
      <c r="AA1342" s="142">
        <f>B1342*IBGE_2!AA$1342/100</f>
        <v>6.9359999999999999</v>
      </c>
      <c r="AB1342" s="142" t="s">
        <v>3047</v>
      </c>
      <c r="AC1342" s="142">
        <f>B1342*IBGE_2!AC$1342/100</f>
        <v>12.652999999999999</v>
      </c>
      <c r="AD1342" s="142">
        <f>B1342*IBGE_2!AD$1342/100</f>
        <v>0.39</v>
      </c>
      <c r="AE1342" s="142">
        <f>B1342*IBGE_2!AE$1342/100</f>
        <v>6</v>
      </c>
      <c r="AF1342" s="142">
        <f>B1342*IBGE_2!AF$1342/100</f>
        <v>0.4</v>
      </c>
      <c r="AG1342" s="142">
        <f>B1342*IBGE_2!AG$1342/100</f>
        <v>0.21</v>
      </c>
      <c r="AH1342" s="142">
        <f>B1342*IBGE_2!AH$1342/100</f>
        <v>0.02</v>
      </c>
      <c r="AI1342" s="142">
        <f>B1342*IBGE_2!AI$1342/100</f>
        <v>333</v>
      </c>
      <c r="AJ1342" s="142">
        <f>B1342*IBGE_2!AJ$1342/100</f>
        <v>32.1</v>
      </c>
      <c r="AK1342" s="145" t="s">
        <v>3047</v>
      </c>
      <c r="AL1342" s="142" t="s">
        <v>3047</v>
      </c>
      <c r="AM1342" s="142" t="s">
        <v>3047</v>
      </c>
      <c r="AN1342" s="161"/>
    </row>
    <row r="1343" spans="1:40">
      <c r="A1343" s="143" t="s">
        <v>2403</v>
      </c>
      <c r="B1343" s="141">
        <v>100</v>
      </c>
      <c r="C1343" s="142">
        <f>B1343*IBGE_2!C$1343/100</f>
        <v>140</v>
      </c>
      <c r="D1343" s="142">
        <f>B1343*IBGE_2!D$1343/100</f>
        <v>30.19</v>
      </c>
      <c r="E1343" s="142">
        <f>B1343*IBGE_2!E$1343/100</f>
        <v>1.18</v>
      </c>
      <c r="F1343" s="142">
        <f>B1343*IBGE_2!F$1343/100</f>
        <v>0.38</v>
      </c>
      <c r="G1343" s="142">
        <f>B1343*IBGE_2!G$1343/100</f>
        <v>0.21</v>
      </c>
      <c r="H1343" s="142">
        <f>B1343*IBGE_2!H$1343/100</f>
        <v>0.31</v>
      </c>
      <c r="I1343" s="142">
        <f>B1343*IBGE_2!I$1343/100</f>
        <v>0.21</v>
      </c>
      <c r="J1343" s="142">
        <f>B1343*IBGE_2!J$1343/100</f>
        <v>0.01</v>
      </c>
      <c r="K1343" s="142">
        <f>B1343*IBGE_2!K$1343/100</f>
        <v>86</v>
      </c>
      <c r="L1343" s="142" t="s">
        <v>3047</v>
      </c>
      <c r="M1343" s="142" t="s">
        <v>3047</v>
      </c>
      <c r="N1343" s="142">
        <f>B1343*IBGE_2!N$1343/100</f>
        <v>15</v>
      </c>
      <c r="O1343" s="142">
        <f>B1343*IBGE_2!O$1343/100</f>
        <v>28</v>
      </c>
      <c r="P1343" s="142">
        <f>B1343*IBGE_2!P$1343/100</f>
        <v>2.5000000000000001E-2</v>
      </c>
      <c r="Q1343" s="142">
        <f>B1343*IBGE_2!Q$1343/100</f>
        <v>216</v>
      </c>
      <c r="R1343" s="142">
        <f>B1343*IBGE_2!R$1343/100</f>
        <v>1.57</v>
      </c>
      <c r="S1343" s="142">
        <f>B1343*IBGE_2!S$1343/100</f>
        <v>56</v>
      </c>
      <c r="T1343" s="142">
        <f>B1343*IBGE_2!T$1343/100</f>
        <v>277</v>
      </c>
      <c r="U1343" s="142">
        <f>B1343*IBGE_2!U$1343/100</f>
        <v>8.5999999999999993E-2</v>
      </c>
      <c r="V1343" s="142">
        <f>B1343*IBGE_2!V$1343/100</f>
        <v>2.08</v>
      </c>
      <c r="W1343" s="142" t="s">
        <v>3047</v>
      </c>
      <c r="X1343" s="142">
        <f>B1343*IBGE_2!X$1343/100</f>
        <v>4.1000000000000009E-2</v>
      </c>
      <c r="Y1343" s="142">
        <f>B1343*IBGE_2!Y$1343/100</f>
        <v>0.13600000000000001</v>
      </c>
      <c r="Z1343" s="142">
        <f>B1343*IBGE_2!Z$1343/100</f>
        <v>0.56999999999999995</v>
      </c>
      <c r="AA1343" s="142">
        <f>B1343*IBGE_2!AA$1343/100</f>
        <v>6.9359999999999999</v>
      </c>
      <c r="AB1343" s="142" t="s">
        <v>3047</v>
      </c>
      <c r="AC1343" s="142">
        <f>B1343*IBGE_2!AC$1343/100</f>
        <v>12.652999999999999</v>
      </c>
      <c r="AD1343" s="142">
        <f>B1343*IBGE_2!AD$1343/100</f>
        <v>0.39</v>
      </c>
      <c r="AE1343" s="142">
        <f>B1343*IBGE_2!AE$1343/100</f>
        <v>6</v>
      </c>
      <c r="AF1343" s="142">
        <f>B1343*IBGE_2!AF$1343/100</f>
        <v>0.4</v>
      </c>
      <c r="AG1343" s="142">
        <f>B1343*IBGE_2!AG$1343/100</f>
        <v>0.21</v>
      </c>
      <c r="AH1343" s="142">
        <f>B1343*IBGE_2!AH$1343/100</f>
        <v>0.02</v>
      </c>
      <c r="AI1343" s="142">
        <f>B1343*IBGE_2!AI$1343/100</f>
        <v>333</v>
      </c>
      <c r="AJ1343" s="142">
        <f>B1343*IBGE_2!AJ$1343/100</f>
        <v>32.1</v>
      </c>
      <c r="AK1343" s="145" t="s">
        <v>3047</v>
      </c>
      <c r="AL1343" s="142" t="s">
        <v>3047</v>
      </c>
      <c r="AM1343" s="142" t="s">
        <v>3047</v>
      </c>
      <c r="AN1343" s="161"/>
    </row>
    <row r="1344" spans="1:40">
      <c r="A1344" s="143" t="s">
        <v>2404</v>
      </c>
      <c r="B1344" s="141">
        <v>100</v>
      </c>
      <c r="C1344" s="142">
        <f>B1344*IBGE_2!C$1344/100</f>
        <v>140</v>
      </c>
      <c r="D1344" s="142">
        <f>B1344*IBGE_2!D$1344/100</f>
        <v>30.19</v>
      </c>
      <c r="E1344" s="142">
        <f>B1344*IBGE_2!E$1344/100</f>
        <v>1.18</v>
      </c>
      <c r="F1344" s="142">
        <f>B1344*IBGE_2!F$1344/100</f>
        <v>0.38</v>
      </c>
      <c r="G1344" s="142">
        <f>B1344*IBGE_2!G$1344/100</f>
        <v>0.21</v>
      </c>
      <c r="H1344" s="142">
        <f>B1344*IBGE_2!H$1344/100</f>
        <v>0.31</v>
      </c>
      <c r="I1344" s="142">
        <f>B1344*IBGE_2!I$1344/100</f>
        <v>0.21</v>
      </c>
      <c r="J1344" s="142">
        <f>B1344*IBGE_2!J$1344/100</f>
        <v>0.01</v>
      </c>
      <c r="K1344" s="142">
        <f>B1344*IBGE_2!K$1344/100</f>
        <v>86</v>
      </c>
      <c r="L1344" s="142" t="s">
        <v>3047</v>
      </c>
      <c r="M1344" s="142" t="s">
        <v>3047</v>
      </c>
      <c r="N1344" s="142">
        <f>B1344*IBGE_2!N$1344/100</f>
        <v>15</v>
      </c>
      <c r="O1344" s="142">
        <f>B1344*IBGE_2!O$1344/100</f>
        <v>28</v>
      </c>
      <c r="P1344" s="142">
        <f>B1344*IBGE_2!P$1344/100</f>
        <v>2.5000000000000001E-2</v>
      </c>
      <c r="Q1344" s="142">
        <f>B1344*IBGE_2!Q$1344/100</f>
        <v>216</v>
      </c>
      <c r="R1344" s="142">
        <f>B1344*IBGE_2!R$1344/100</f>
        <v>1.57</v>
      </c>
      <c r="S1344" s="142">
        <f>B1344*IBGE_2!S$1344/100</f>
        <v>56</v>
      </c>
      <c r="T1344" s="142">
        <f>B1344*IBGE_2!T$1344/100</f>
        <v>277</v>
      </c>
      <c r="U1344" s="142">
        <f>B1344*IBGE_2!U$1344/100</f>
        <v>8.5999999999999993E-2</v>
      </c>
      <c r="V1344" s="142">
        <f>B1344*IBGE_2!V$1344/100</f>
        <v>2.08</v>
      </c>
      <c r="W1344" s="142" t="s">
        <v>3047</v>
      </c>
      <c r="X1344" s="142">
        <f>B1344*IBGE_2!X$1344/100</f>
        <v>4.1000000000000009E-2</v>
      </c>
      <c r="Y1344" s="142">
        <f>B1344*IBGE_2!Y$1344/100</f>
        <v>0.13600000000000001</v>
      </c>
      <c r="Z1344" s="142">
        <f>B1344*IBGE_2!Z$1344/100</f>
        <v>0.56999999999999995</v>
      </c>
      <c r="AA1344" s="142">
        <f>B1344*IBGE_2!AA$1344/100</f>
        <v>6.9359999999999999</v>
      </c>
      <c r="AB1344" s="142" t="s">
        <v>3047</v>
      </c>
      <c r="AC1344" s="142">
        <f>B1344*IBGE_2!AC$1344/100</f>
        <v>12.652999999999999</v>
      </c>
      <c r="AD1344" s="142">
        <f>B1344*IBGE_2!AD$1344/100</f>
        <v>0.39</v>
      </c>
      <c r="AE1344" s="142">
        <f>B1344*IBGE_2!AE$1344/100</f>
        <v>6</v>
      </c>
      <c r="AF1344" s="142">
        <f>B1344*IBGE_2!AF$1344/100</f>
        <v>0.4</v>
      </c>
      <c r="AG1344" s="142">
        <f>B1344*IBGE_2!AG$1344/100</f>
        <v>0.21</v>
      </c>
      <c r="AH1344" s="142">
        <f>B1344*IBGE_2!AH$1344/100</f>
        <v>0.02</v>
      </c>
      <c r="AI1344" s="142">
        <f>B1344*IBGE_2!AI$1344/100</f>
        <v>333</v>
      </c>
      <c r="AJ1344" s="142">
        <f>B1344*IBGE_2!AJ$1344/100</f>
        <v>32.1</v>
      </c>
      <c r="AK1344" s="145" t="s">
        <v>3047</v>
      </c>
      <c r="AL1344" s="142" t="s">
        <v>3047</v>
      </c>
      <c r="AM1344" s="142" t="s">
        <v>3047</v>
      </c>
      <c r="AN1344" s="161"/>
    </row>
    <row r="1345" spans="1:40">
      <c r="A1345" s="143" t="s">
        <v>2405</v>
      </c>
      <c r="B1345" s="141">
        <v>100</v>
      </c>
      <c r="C1345" s="142">
        <f>B1345*IBGE_2!C$1345/100</f>
        <v>140</v>
      </c>
      <c r="D1345" s="142">
        <f>B1345*IBGE_2!D$1345/100</f>
        <v>30.19</v>
      </c>
      <c r="E1345" s="142">
        <f>B1345*IBGE_2!E$1345/100</f>
        <v>1.18</v>
      </c>
      <c r="F1345" s="142">
        <f>B1345*IBGE_2!F$1345/100</f>
        <v>0.38</v>
      </c>
      <c r="G1345" s="142">
        <f>B1345*IBGE_2!G$1345/100</f>
        <v>0.21</v>
      </c>
      <c r="H1345" s="142">
        <f>B1345*IBGE_2!H$1345/100</f>
        <v>0.31</v>
      </c>
      <c r="I1345" s="142">
        <f>B1345*IBGE_2!I$1345/100</f>
        <v>0.21</v>
      </c>
      <c r="J1345" s="142">
        <f>B1345*IBGE_2!J$1345/100</f>
        <v>0.01</v>
      </c>
      <c r="K1345" s="142">
        <f>B1345*IBGE_2!K$1345/100</f>
        <v>86</v>
      </c>
      <c r="L1345" s="142" t="s">
        <v>3047</v>
      </c>
      <c r="M1345" s="142" t="s">
        <v>3047</v>
      </c>
      <c r="N1345" s="142">
        <f>B1345*IBGE_2!N$1345/100</f>
        <v>15</v>
      </c>
      <c r="O1345" s="142">
        <f>B1345*IBGE_2!O$1345/100</f>
        <v>28</v>
      </c>
      <c r="P1345" s="142">
        <f>B1345*IBGE_2!P$1345/100</f>
        <v>2.5000000000000001E-2</v>
      </c>
      <c r="Q1345" s="142">
        <f>B1345*IBGE_2!Q$1345/100</f>
        <v>216</v>
      </c>
      <c r="R1345" s="142">
        <f>B1345*IBGE_2!R$1345/100</f>
        <v>1.57</v>
      </c>
      <c r="S1345" s="142">
        <f>B1345*IBGE_2!S$1345/100</f>
        <v>56</v>
      </c>
      <c r="T1345" s="142">
        <f>B1345*IBGE_2!T$1345/100</f>
        <v>277</v>
      </c>
      <c r="U1345" s="142">
        <f>B1345*IBGE_2!U$1345/100</f>
        <v>8.5999999999999993E-2</v>
      </c>
      <c r="V1345" s="142">
        <f>B1345*IBGE_2!V$1345/100</f>
        <v>2.08</v>
      </c>
      <c r="W1345" s="142" t="s">
        <v>3047</v>
      </c>
      <c r="X1345" s="142">
        <f>B1345*IBGE_2!X$1345/100</f>
        <v>4.1000000000000009E-2</v>
      </c>
      <c r="Y1345" s="142">
        <f>B1345*IBGE_2!Y$1345/100</f>
        <v>0.13600000000000001</v>
      </c>
      <c r="Z1345" s="142">
        <f>B1345*IBGE_2!Z$1345/100</f>
        <v>0.56999999999999995</v>
      </c>
      <c r="AA1345" s="142">
        <f>B1345*IBGE_2!AA$1345/100</f>
        <v>6.9359999999999999</v>
      </c>
      <c r="AB1345" s="142" t="s">
        <v>3047</v>
      </c>
      <c r="AC1345" s="142">
        <f>B1345*IBGE_2!AC$1345/100</f>
        <v>12.652999999999999</v>
      </c>
      <c r="AD1345" s="142">
        <f>B1345*IBGE_2!AD$1345/100</f>
        <v>0.39</v>
      </c>
      <c r="AE1345" s="142">
        <f>B1345*IBGE_2!AE$1345/100</f>
        <v>6</v>
      </c>
      <c r="AF1345" s="142">
        <f>B1345*IBGE_2!AF$1345/100</f>
        <v>0.4</v>
      </c>
      <c r="AG1345" s="142">
        <f>B1345*IBGE_2!AG$1345/100</f>
        <v>0.21</v>
      </c>
      <c r="AH1345" s="142">
        <f>B1345*IBGE_2!AH$1345/100</f>
        <v>0.02</v>
      </c>
      <c r="AI1345" s="142">
        <f>B1345*IBGE_2!AI$1345/100</f>
        <v>333</v>
      </c>
      <c r="AJ1345" s="142">
        <f>B1345*IBGE_2!AJ$1345/100</f>
        <v>32.1</v>
      </c>
      <c r="AK1345" s="145" t="s">
        <v>3047</v>
      </c>
      <c r="AL1345" s="142" t="s">
        <v>3047</v>
      </c>
      <c r="AM1345" s="142" t="s">
        <v>3047</v>
      </c>
      <c r="AN1345" s="161"/>
    </row>
    <row r="1346" spans="1:40">
      <c r="A1346" s="143" t="s">
        <v>2406</v>
      </c>
      <c r="B1346" s="141">
        <v>100</v>
      </c>
      <c r="C1346" s="142">
        <f>B1346*IBGE_2!C$1346/100</f>
        <v>162.65899999999999</v>
      </c>
      <c r="D1346" s="142">
        <f>B1346*IBGE_2!D$1346/100</f>
        <v>30.19</v>
      </c>
      <c r="E1346" s="142">
        <f>B1346*IBGE_2!E$1346/100</f>
        <v>3.7430000000000003</v>
      </c>
      <c r="F1346" s="142">
        <f>B1346*IBGE_2!F$1346/100</f>
        <v>0.78100000000000014</v>
      </c>
      <c r="G1346" s="142">
        <f>B1346*IBGE_2!G$1346/100</f>
        <v>0.79400000000000004</v>
      </c>
      <c r="H1346" s="142">
        <f>B1346*IBGE_2!H$1346/100</f>
        <v>1.79</v>
      </c>
      <c r="I1346" s="142">
        <f>B1346*IBGE_2!I$1346/100</f>
        <v>1.516</v>
      </c>
      <c r="J1346" s="142">
        <f>B1346*IBGE_2!J$1346/100</f>
        <v>0.184</v>
      </c>
      <c r="K1346" s="142">
        <f>B1346*IBGE_2!K$1346/100</f>
        <v>86</v>
      </c>
      <c r="L1346" s="142" t="s">
        <v>3047</v>
      </c>
      <c r="M1346" s="142" t="s">
        <v>3047</v>
      </c>
      <c r="N1346" s="142">
        <f>B1346*IBGE_2!N$1346/100</f>
        <v>15</v>
      </c>
      <c r="O1346" s="142">
        <f>B1346*IBGE_2!O$1346/100</f>
        <v>28</v>
      </c>
      <c r="P1346" s="142">
        <f>B1346*IBGE_2!P$1346/100</f>
        <v>2.5000000000000001E-2</v>
      </c>
      <c r="Q1346" s="142">
        <f>B1346*IBGE_2!Q$1346/100</f>
        <v>216</v>
      </c>
      <c r="R1346" s="142">
        <f>B1346*IBGE_2!R$1346/100</f>
        <v>1.571</v>
      </c>
      <c r="S1346" s="142">
        <f>B1346*IBGE_2!S$1346/100</f>
        <v>56</v>
      </c>
      <c r="T1346" s="142">
        <f>B1346*IBGE_2!T$1346/100</f>
        <v>277</v>
      </c>
      <c r="U1346" s="142">
        <f>B1346*IBGE_2!U$1346/100</f>
        <v>8.5999999999999993E-2</v>
      </c>
      <c r="V1346" s="142">
        <f>B1346*IBGE_2!V$1346/100</f>
        <v>2.08</v>
      </c>
      <c r="W1346" s="142" t="s">
        <v>3047</v>
      </c>
      <c r="X1346" s="142">
        <f>B1346*IBGE_2!X$1346/100</f>
        <v>4.1000000000000009E-2</v>
      </c>
      <c r="Y1346" s="142">
        <f>B1346*IBGE_2!Y$1346/100</f>
        <v>0.13600000000000001</v>
      </c>
      <c r="Z1346" s="142">
        <f>B1346*IBGE_2!Z$1346/100</f>
        <v>0.56999999999999995</v>
      </c>
      <c r="AA1346" s="142">
        <f>B1346*IBGE_2!AA$1346/100</f>
        <v>6.9359999999999999</v>
      </c>
      <c r="AB1346" s="142" t="s">
        <v>3047</v>
      </c>
      <c r="AC1346" s="142">
        <f>B1346*IBGE_2!AC$1346/100</f>
        <v>12.652999999999999</v>
      </c>
      <c r="AD1346" s="142">
        <f>B1346*IBGE_2!AD$1346/100</f>
        <v>0.39</v>
      </c>
      <c r="AE1346" s="142">
        <f>B1346*IBGE_2!AE$1346/100</f>
        <v>6</v>
      </c>
      <c r="AF1346" s="142">
        <f>B1346*IBGE_2!AF$1346/100</f>
        <v>0.4</v>
      </c>
      <c r="AG1346" s="142">
        <f>B1346*IBGE_2!AG$1346/100</f>
        <v>0.42</v>
      </c>
      <c r="AH1346" s="142">
        <f>B1346*IBGE_2!AH$1346/100</f>
        <v>3.4000000000000002E-2</v>
      </c>
      <c r="AI1346" s="142">
        <f>B1346*IBGE_2!AI$1346/100</f>
        <v>333</v>
      </c>
      <c r="AJ1346" s="142">
        <f>B1346*IBGE_2!AJ$1346/100</f>
        <v>33.274999999999999</v>
      </c>
      <c r="AK1346" s="145" t="s">
        <v>3047</v>
      </c>
      <c r="AL1346" s="142" t="s">
        <v>3047</v>
      </c>
      <c r="AM1346" s="142" t="s">
        <v>3047</v>
      </c>
      <c r="AN1346" s="161"/>
    </row>
    <row r="1347" spans="1:40">
      <c r="A1347" s="143" t="s">
        <v>2407</v>
      </c>
      <c r="B1347" s="141">
        <v>100</v>
      </c>
      <c r="C1347" s="142">
        <f>B1347*IBGE_2!C$1347/100</f>
        <v>162.65899999999999</v>
      </c>
      <c r="D1347" s="142">
        <f>B1347*IBGE_2!D$1347/100</f>
        <v>30.19</v>
      </c>
      <c r="E1347" s="142">
        <f>B1347*IBGE_2!E$1347/100</f>
        <v>3.7430000000000003</v>
      </c>
      <c r="F1347" s="142">
        <f>B1347*IBGE_2!F$1347/100</f>
        <v>0.78100000000000014</v>
      </c>
      <c r="G1347" s="142">
        <f>B1347*IBGE_2!G$1347/100</f>
        <v>0.79400000000000004</v>
      </c>
      <c r="H1347" s="142">
        <f>B1347*IBGE_2!H$1347/100</f>
        <v>1.79</v>
      </c>
      <c r="I1347" s="142">
        <f>B1347*IBGE_2!I$1347/100</f>
        <v>1.516</v>
      </c>
      <c r="J1347" s="142">
        <f>B1347*IBGE_2!J$1347/100</f>
        <v>0.184</v>
      </c>
      <c r="K1347" s="142">
        <f>B1347*IBGE_2!K$1347/100</f>
        <v>86</v>
      </c>
      <c r="L1347" s="142" t="s">
        <v>3047</v>
      </c>
      <c r="M1347" s="142" t="s">
        <v>3047</v>
      </c>
      <c r="N1347" s="142">
        <f>B1347*IBGE_2!N$1347/100</f>
        <v>15</v>
      </c>
      <c r="O1347" s="142">
        <f>B1347*IBGE_2!O$1347/100</f>
        <v>28</v>
      </c>
      <c r="P1347" s="142">
        <f>B1347*IBGE_2!P$1347/100</f>
        <v>2.5000000000000001E-2</v>
      </c>
      <c r="Q1347" s="142">
        <f>B1347*IBGE_2!Q$1347/100</f>
        <v>216</v>
      </c>
      <c r="R1347" s="142">
        <f>B1347*IBGE_2!R$1347/100</f>
        <v>1.571</v>
      </c>
      <c r="S1347" s="142">
        <f>B1347*IBGE_2!S$1347/100</f>
        <v>56</v>
      </c>
      <c r="T1347" s="142">
        <f>B1347*IBGE_2!T$1347/100</f>
        <v>277</v>
      </c>
      <c r="U1347" s="142">
        <f>B1347*IBGE_2!U$1347/100</f>
        <v>8.5999999999999993E-2</v>
      </c>
      <c r="V1347" s="142">
        <f>B1347*IBGE_2!V$1347/100</f>
        <v>2.08</v>
      </c>
      <c r="W1347" s="142" t="s">
        <v>3047</v>
      </c>
      <c r="X1347" s="142">
        <f>B1347*IBGE_2!X$1347/100</f>
        <v>4.1000000000000009E-2</v>
      </c>
      <c r="Y1347" s="142">
        <f>B1347*IBGE_2!Y$1347/100</f>
        <v>0.13600000000000001</v>
      </c>
      <c r="Z1347" s="142">
        <f>B1347*IBGE_2!Z$1347/100</f>
        <v>0.56999999999999995</v>
      </c>
      <c r="AA1347" s="142">
        <f>B1347*IBGE_2!AA$1347/100</f>
        <v>6.9359999999999999</v>
      </c>
      <c r="AB1347" s="142" t="s">
        <v>3047</v>
      </c>
      <c r="AC1347" s="142">
        <f>B1347*IBGE_2!AC$1347/100</f>
        <v>12.652999999999999</v>
      </c>
      <c r="AD1347" s="142">
        <f>B1347*IBGE_2!AD$1347/100</f>
        <v>0.39</v>
      </c>
      <c r="AE1347" s="142">
        <f>B1347*IBGE_2!AE$1347/100</f>
        <v>6</v>
      </c>
      <c r="AF1347" s="142">
        <f>B1347*IBGE_2!AF$1347/100</f>
        <v>0.4</v>
      </c>
      <c r="AG1347" s="142">
        <f>B1347*IBGE_2!AG$1347/100</f>
        <v>0.42</v>
      </c>
      <c r="AH1347" s="142">
        <f>B1347*IBGE_2!AH$1347/100</f>
        <v>3.4000000000000002E-2</v>
      </c>
      <c r="AI1347" s="142">
        <f>B1347*IBGE_2!AI$1347/100</f>
        <v>333</v>
      </c>
      <c r="AJ1347" s="142">
        <f>B1347*IBGE_2!AJ$1347/100</f>
        <v>33.274999999999999</v>
      </c>
      <c r="AK1347" s="145" t="s">
        <v>3047</v>
      </c>
      <c r="AL1347" s="142" t="s">
        <v>3047</v>
      </c>
      <c r="AM1347" s="142" t="s">
        <v>3047</v>
      </c>
      <c r="AN1347" s="161"/>
    </row>
    <row r="1348" spans="1:40">
      <c r="A1348" s="143" t="s">
        <v>2408</v>
      </c>
      <c r="B1348" s="141">
        <v>100</v>
      </c>
      <c r="C1348" s="142">
        <f>B1348*IBGE_2!C$1348/100</f>
        <v>140</v>
      </c>
      <c r="D1348" s="142">
        <f>B1348*IBGE_2!D$1348/100</f>
        <v>30.19</v>
      </c>
      <c r="E1348" s="142">
        <f>B1348*IBGE_2!E$1348/100</f>
        <v>1.18</v>
      </c>
      <c r="F1348" s="142">
        <f>B1348*IBGE_2!F$1348/100</f>
        <v>0.38</v>
      </c>
      <c r="G1348" s="142">
        <f>B1348*IBGE_2!G$1348/100</f>
        <v>0.21</v>
      </c>
      <c r="H1348" s="142">
        <f>B1348*IBGE_2!H$1348/100</f>
        <v>0.31</v>
      </c>
      <c r="I1348" s="142">
        <f>B1348*IBGE_2!I$1348/100</f>
        <v>0.21</v>
      </c>
      <c r="J1348" s="142">
        <f>B1348*IBGE_2!J$1348/100</f>
        <v>0.01</v>
      </c>
      <c r="K1348" s="142">
        <f>B1348*IBGE_2!K$1348/100</f>
        <v>86</v>
      </c>
      <c r="L1348" s="142" t="s">
        <v>3047</v>
      </c>
      <c r="M1348" s="142" t="s">
        <v>3047</v>
      </c>
      <c r="N1348" s="142">
        <f>B1348*IBGE_2!N$1348/100</f>
        <v>15</v>
      </c>
      <c r="O1348" s="142">
        <f>B1348*IBGE_2!O$1348/100</f>
        <v>28</v>
      </c>
      <c r="P1348" s="142">
        <f>B1348*IBGE_2!P$1348/100</f>
        <v>2.5000000000000001E-2</v>
      </c>
      <c r="Q1348" s="142">
        <f>B1348*IBGE_2!Q$1348/100</f>
        <v>216</v>
      </c>
      <c r="R1348" s="142">
        <f>B1348*IBGE_2!R$1348/100</f>
        <v>1.57</v>
      </c>
      <c r="S1348" s="142">
        <f>B1348*IBGE_2!S$1348/100</f>
        <v>56</v>
      </c>
      <c r="T1348" s="142">
        <f>B1348*IBGE_2!T$1348/100</f>
        <v>277</v>
      </c>
      <c r="U1348" s="142">
        <f>B1348*IBGE_2!U$1348/100</f>
        <v>8.5999999999999993E-2</v>
      </c>
      <c r="V1348" s="142">
        <f>B1348*IBGE_2!V$1348/100</f>
        <v>2.08</v>
      </c>
      <c r="W1348" s="142" t="s">
        <v>3047</v>
      </c>
      <c r="X1348" s="142">
        <f>B1348*IBGE_2!X$1348/100</f>
        <v>4.1000000000000009E-2</v>
      </c>
      <c r="Y1348" s="142">
        <f>B1348*IBGE_2!Y$1348/100</f>
        <v>0.13600000000000001</v>
      </c>
      <c r="Z1348" s="142">
        <f>B1348*IBGE_2!Z$1348/100</f>
        <v>0.56999999999999995</v>
      </c>
      <c r="AA1348" s="142">
        <f>B1348*IBGE_2!AA$1348/100</f>
        <v>6.9359999999999999</v>
      </c>
      <c r="AB1348" s="142" t="s">
        <v>3047</v>
      </c>
      <c r="AC1348" s="142">
        <f>B1348*IBGE_2!AC$1348/100</f>
        <v>12.652999999999999</v>
      </c>
      <c r="AD1348" s="142">
        <f>B1348*IBGE_2!AD$1348/100</f>
        <v>0.39</v>
      </c>
      <c r="AE1348" s="142">
        <f>B1348*IBGE_2!AE$1348/100</f>
        <v>6</v>
      </c>
      <c r="AF1348" s="142">
        <f>B1348*IBGE_2!AF$1348/100</f>
        <v>0.4</v>
      </c>
      <c r="AG1348" s="142">
        <f>B1348*IBGE_2!AG$1348/100</f>
        <v>0.21</v>
      </c>
      <c r="AH1348" s="142">
        <f>B1348*IBGE_2!AH$1348/100</f>
        <v>0.02</v>
      </c>
      <c r="AI1348" s="142">
        <f>B1348*IBGE_2!AI$1348/100</f>
        <v>333</v>
      </c>
      <c r="AJ1348" s="142">
        <f>B1348*IBGE_2!AJ$1348/100</f>
        <v>32.1</v>
      </c>
      <c r="AK1348" s="145" t="s">
        <v>3047</v>
      </c>
      <c r="AL1348" s="142" t="s">
        <v>3047</v>
      </c>
      <c r="AM1348" s="142" t="s">
        <v>3047</v>
      </c>
      <c r="AN1348" s="161"/>
    </row>
    <row r="1349" spans="1:40">
      <c r="A1349" s="143" t="s">
        <v>2409</v>
      </c>
      <c r="B1349" s="141">
        <v>100</v>
      </c>
      <c r="C1349" s="142">
        <f>B1349*IBGE_2!C$1349/100</f>
        <v>229</v>
      </c>
      <c r="D1349" s="142">
        <f>B1349*IBGE_2!D$1349/100</f>
        <v>27.38</v>
      </c>
      <c r="E1349" s="142">
        <f>B1349*IBGE_2!E$1349/100</f>
        <v>12.43</v>
      </c>
      <c r="F1349" s="142">
        <f>B1349*IBGE_2!F$1349/100</f>
        <v>3.39</v>
      </c>
      <c r="G1349" s="142">
        <f>B1349*IBGE_2!G$1349/100</f>
        <v>4.66</v>
      </c>
      <c r="H1349" s="142">
        <f>B1349*IBGE_2!H$1349/100</f>
        <v>2.94</v>
      </c>
      <c r="I1349" s="142">
        <f>B1349*IBGE_2!I$1349/100</f>
        <v>2.4900000000000002</v>
      </c>
      <c r="J1349" s="142">
        <f>B1349*IBGE_2!J$1349/100</f>
        <v>0.16</v>
      </c>
      <c r="K1349" s="142">
        <f>B1349*IBGE_2!K$1349/100</f>
        <v>81</v>
      </c>
      <c r="L1349" s="142" t="s">
        <v>3047</v>
      </c>
      <c r="M1349" s="142" t="s">
        <v>3047</v>
      </c>
      <c r="N1349" s="142">
        <f>B1349*IBGE_2!N$1349/100</f>
        <v>24</v>
      </c>
      <c r="O1349" s="142">
        <f>B1349*IBGE_2!O$1349/100</f>
        <v>25</v>
      </c>
      <c r="P1349" s="142">
        <f>B1349*IBGE_2!P$1349/100</f>
        <v>0.02</v>
      </c>
      <c r="Q1349" s="142">
        <f>B1349*IBGE_2!Q$1349/100</f>
        <v>197</v>
      </c>
      <c r="R1349" s="142">
        <f>B1349*IBGE_2!R$1349/100</f>
        <v>1.46</v>
      </c>
      <c r="S1349" s="142">
        <f>B1349*IBGE_2!S$1349/100</f>
        <v>61</v>
      </c>
      <c r="T1349" s="142">
        <f>B1349*IBGE_2!T$1349/100</f>
        <v>266</v>
      </c>
      <c r="U1349" s="142">
        <f>B1349*IBGE_2!U$1349/100</f>
        <v>5.6000000000000008E-2</v>
      </c>
      <c r="V1349" s="142">
        <f>B1349*IBGE_2!V$1349/100</f>
        <v>2.1</v>
      </c>
      <c r="W1349" s="142">
        <f>B1349*IBGE_2!W$1349/100</f>
        <v>34</v>
      </c>
      <c r="X1349" s="142">
        <f>B1349*IBGE_2!X$1349/100</f>
        <v>0.05</v>
      </c>
      <c r="Y1349" s="142">
        <f>B1349*IBGE_2!Y$1349/100</f>
        <v>0.13400000000000001</v>
      </c>
      <c r="Z1349" s="142">
        <f>B1349*IBGE_2!Z$1349/100</f>
        <v>0.42</v>
      </c>
      <c r="AA1349" s="142">
        <f>B1349*IBGE_2!AA$1349/100</f>
        <v>5.7320000000000002</v>
      </c>
      <c r="AB1349" s="142" t="s">
        <v>3047</v>
      </c>
      <c r="AC1349" s="142">
        <f>B1349*IBGE_2!AC$1349/100</f>
        <v>10.648999999999999</v>
      </c>
      <c r="AD1349" s="142">
        <f>B1349*IBGE_2!AD$1349/100</f>
        <v>0.34</v>
      </c>
      <c r="AE1349" s="142">
        <f>B1349*IBGE_2!AE$1349/100</f>
        <v>6</v>
      </c>
      <c r="AF1349" s="142">
        <f>B1349*IBGE_2!AF$1349/100</f>
        <v>0.4</v>
      </c>
      <c r="AG1349" s="142">
        <f>B1349*IBGE_2!AG$1349/100</f>
        <v>0.17</v>
      </c>
      <c r="AH1349" s="142">
        <f>B1349*IBGE_2!AH$1349/100</f>
        <v>0.25</v>
      </c>
      <c r="AI1349" s="142">
        <f>B1349*IBGE_2!AI$1349/100</f>
        <v>333</v>
      </c>
      <c r="AJ1349" s="142">
        <f>B1349*IBGE_2!AJ$1349/100</f>
        <v>29.9</v>
      </c>
      <c r="AK1349" s="142">
        <f>B1349*IBGE_2!AK$1349/100</f>
        <v>34</v>
      </c>
      <c r="AL1349" s="142" t="s">
        <v>3047</v>
      </c>
      <c r="AM1349" s="142" t="s">
        <v>3047</v>
      </c>
      <c r="AN1349" s="161"/>
    </row>
    <row r="1350" spans="1:40">
      <c r="A1350" s="143" t="s">
        <v>2410</v>
      </c>
      <c r="B1350" s="141">
        <v>100</v>
      </c>
      <c r="C1350" s="142">
        <f>B1350*IBGE_2!C$1350/100</f>
        <v>229</v>
      </c>
      <c r="D1350" s="142">
        <f>B1350*IBGE_2!D$1350/100</f>
        <v>27.38</v>
      </c>
      <c r="E1350" s="142">
        <f>B1350*IBGE_2!E$1350/100</f>
        <v>12.43</v>
      </c>
      <c r="F1350" s="142">
        <f>B1350*IBGE_2!F$1350/100</f>
        <v>3.39</v>
      </c>
      <c r="G1350" s="142">
        <f>B1350*IBGE_2!G$1350/100</f>
        <v>4.66</v>
      </c>
      <c r="H1350" s="142">
        <f>B1350*IBGE_2!H$1350/100</f>
        <v>2.94</v>
      </c>
      <c r="I1350" s="142">
        <f>B1350*IBGE_2!I$1350/100</f>
        <v>2.4900000000000002</v>
      </c>
      <c r="J1350" s="142">
        <f>B1350*IBGE_2!J$1350/100</f>
        <v>0.16</v>
      </c>
      <c r="K1350" s="142">
        <f>B1350*IBGE_2!K$1350/100</f>
        <v>81</v>
      </c>
      <c r="L1350" s="142" t="s">
        <v>3047</v>
      </c>
      <c r="M1350" s="142" t="s">
        <v>3047</v>
      </c>
      <c r="N1350" s="142">
        <f>B1350*IBGE_2!N$1350/100</f>
        <v>24</v>
      </c>
      <c r="O1350" s="142">
        <f>B1350*IBGE_2!O$1350/100</f>
        <v>25</v>
      </c>
      <c r="P1350" s="142">
        <f>B1350*IBGE_2!P$1350/100</f>
        <v>0.02</v>
      </c>
      <c r="Q1350" s="142">
        <f>B1350*IBGE_2!Q$1350/100</f>
        <v>197</v>
      </c>
      <c r="R1350" s="142">
        <f>B1350*IBGE_2!R$1350/100</f>
        <v>1.46</v>
      </c>
      <c r="S1350" s="142">
        <f>B1350*IBGE_2!S$1350/100</f>
        <v>61</v>
      </c>
      <c r="T1350" s="142">
        <f>B1350*IBGE_2!T$1350/100</f>
        <v>266</v>
      </c>
      <c r="U1350" s="142">
        <f>B1350*IBGE_2!U$1350/100</f>
        <v>5.6000000000000008E-2</v>
      </c>
      <c r="V1350" s="142">
        <f>B1350*IBGE_2!V$1350/100</f>
        <v>2.1</v>
      </c>
      <c r="W1350" s="142">
        <f>B1350*IBGE_2!W$1350/100</f>
        <v>34</v>
      </c>
      <c r="X1350" s="142">
        <f>B1350*IBGE_2!X$1350/100</f>
        <v>0.05</v>
      </c>
      <c r="Y1350" s="142">
        <f>B1350*IBGE_2!Y$1350/100</f>
        <v>0.13400000000000001</v>
      </c>
      <c r="Z1350" s="142">
        <f>B1350*IBGE_2!Z$1350/100</f>
        <v>0.42</v>
      </c>
      <c r="AA1350" s="142">
        <f>B1350*IBGE_2!AA$1350/100</f>
        <v>5.7320000000000002</v>
      </c>
      <c r="AB1350" s="142" t="s">
        <v>3047</v>
      </c>
      <c r="AC1350" s="142">
        <f>B1350*IBGE_2!AC$1350/100</f>
        <v>10.648999999999999</v>
      </c>
      <c r="AD1350" s="142">
        <f>B1350*IBGE_2!AD$1350/100</f>
        <v>0.34</v>
      </c>
      <c r="AE1350" s="142">
        <f>B1350*IBGE_2!AE$1350/100</f>
        <v>6</v>
      </c>
      <c r="AF1350" s="142">
        <f>B1350*IBGE_2!AF$1350/100</f>
        <v>0.4</v>
      </c>
      <c r="AG1350" s="142">
        <f>B1350*IBGE_2!AG$1350/100</f>
        <v>0.17</v>
      </c>
      <c r="AH1350" s="142">
        <f>B1350*IBGE_2!AH$1350/100</f>
        <v>0.25</v>
      </c>
      <c r="AI1350" s="142">
        <f>B1350*IBGE_2!AI$1350/100</f>
        <v>333</v>
      </c>
      <c r="AJ1350" s="142">
        <f>B1350*IBGE_2!AJ$1350/100</f>
        <v>29.9</v>
      </c>
      <c r="AK1350" s="142">
        <f>B1350*IBGE_2!AK$1350/100</f>
        <v>34</v>
      </c>
      <c r="AL1350" s="142" t="s">
        <v>3047</v>
      </c>
      <c r="AM1350" s="142" t="s">
        <v>3047</v>
      </c>
      <c r="AN1350" s="161"/>
    </row>
    <row r="1351" spans="1:40">
      <c r="A1351" s="143" t="s">
        <v>2411</v>
      </c>
      <c r="B1351" s="141">
        <v>100</v>
      </c>
      <c r="C1351" s="142">
        <f>B1351*IBGE_2!C$1351/100</f>
        <v>207</v>
      </c>
      <c r="D1351" s="142">
        <f>B1351*IBGE_2!D$1351/100</f>
        <v>26.934999999999999</v>
      </c>
      <c r="E1351" s="142">
        <f>B1351*IBGE_2!E$1351/100</f>
        <v>10.234999999999999</v>
      </c>
      <c r="F1351" s="142">
        <f>B1351*IBGE_2!F$1351/100</f>
        <v>3.04</v>
      </c>
      <c r="G1351" s="142">
        <f>B1351*IBGE_2!G$1351/100</f>
        <v>3.48</v>
      </c>
      <c r="H1351" s="142">
        <f>B1351*IBGE_2!H$1351/100</f>
        <v>2.5150000000000001</v>
      </c>
      <c r="I1351" s="142">
        <f>B1351*IBGE_2!I$1351/100</f>
        <v>2.13</v>
      </c>
      <c r="J1351" s="142">
        <f>B1351*IBGE_2!J$1351/100</f>
        <v>0.1</v>
      </c>
      <c r="K1351" s="142">
        <f>B1351*IBGE_2!K$1351/100</f>
        <v>78</v>
      </c>
      <c r="L1351" s="142" t="s">
        <v>3047</v>
      </c>
      <c r="M1351" s="142" t="s">
        <v>3047</v>
      </c>
      <c r="N1351" s="142">
        <f>B1351*IBGE_2!N$1351/100</f>
        <v>21.5</v>
      </c>
      <c r="O1351" s="142">
        <f>B1351*IBGE_2!O$1351/100</f>
        <v>22</v>
      </c>
      <c r="P1351" s="142">
        <f>B1351*IBGE_2!P$1351/100</f>
        <v>2.1000000000000001E-2</v>
      </c>
      <c r="Q1351" s="142">
        <f>B1351*IBGE_2!Q$1351/100</f>
        <v>172</v>
      </c>
      <c r="R1351" s="142">
        <f>B1351*IBGE_2!R$1351/100</f>
        <v>1.635</v>
      </c>
      <c r="S1351" s="142">
        <f>B1351*IBGE_2!S$1351/100</f>
        <v>68</v>
      </c>
      <c r="T1351" s="142">
        <f>B1351*IBGE_2!T$1351/100</f>
        <v>224.5</v>
      </c>
      <c r="U1351" s="142">
        <f>B1351*IBGE_2!U$1351/100</f>
        <v>9.4E-2</v>
      </c>
      <c r="V1351" s="142">
        <f>B1351*IBGE_2!V$1351/100</f>
        <v>2.68</v>
      </c>
      <c r="W1351" s="142">
        <f>B1351*IBGE_2!W$1351/100</f>
        <v>24.5</v>
      </c>
      <c r="X1351" s="142">
        <f>B1351*IBGE_2!X$1351/100</f>
        <v>4.9000000000000002E-2</v>
      </c>
      <c r="Y1351" s="142">
        <f>B1351*IBGE_2!Y$1351/100</f>
        <v>0.17</v>
      </c>
      <c r="Z1351" s="142">
        <f>B1351*IBGE_2!Z$1351/100</f>
        <v>0.29499999999999998</v>
      </c>
      <c r="AA1351" s="142">
        <f>B1351*IBGE_2!AA$1351/100</f>
        <v>5.3120000000000003</v>
      </c>
      <c r="AB1351" s="142" t="s">
        <v>3047</v>
      </c>
      <c r="AC1351" s="142">
        <f>B1351*IBGE_2!AC$1351/100</f>
        <v>10.345000000000001</v>
      </c>
      <c r="AD1351" s="142">
        <f>B1351*IBGE_2!AD$1351/100</f>
        <v>0.27500000000000002</v>
      </c>
      <c r="AE1351" s="142">
        <f>B1351*IBGE_2!AE$1351/100</f>
        <v>6</v>
      </c>
      <c r="AF1351" s="142">
        <f>B1351*IBGE_2!AF$1351/100</f>
        <v>0.15</v>
      </c>
      <c r="AG1351" s="142">
        <f>B1351*IBGE_2!AG$1351/100</f>
        <v>0.24</v>
      </c>
      <c r="AH1351" s="142">
        <f>B1351*IBGE_2!AH$1351/100</f>
        <v>0.215</v>
      </c>
      <c r="AI1351" s="142">
        <f>B1351*IBGE_2!AI$1351/100</f>
        <v>333</v>
      </c>
      <c r="AJ1351" s="142">
        <f>B1351*IBGE_2!AJ$1351/100</f>
        <v>29.9</v>
      </c>
      <c r="AK1351" s="142">
        <f>B1351*IBGE_2!AK$1351/100</f>
        <v>24.5</v>
      </c>
      <c r="AL1351" s="142" t="s">
        <v>3047</v>
      </c>
      <c r="AM1351" s="142" t="s">
        <v>3047</v>
      </c>
      <c r="AN1351" s="161"/>
    </row>
    <row r="1352" spans="1:40">
      <c r="A1352" s="143" t="s">
        <v>2412</v>
      </c>
      <c r="B1352" s="141">
        <v>100</v>
      </c>
      <c r="C1352" s="142">
        <f>B1352*IBGE_2!C$1352/100</f>
        <v>207</v>
      </c>
      <c r="D1352" s="142">
        <f>B1352*IBGE_2!D$1352/100</f>
        <v>26.934999999999999</v>
      </c>
      <c r="E1352" s="142">
        <f>B1352*IBGE_2!E$1352/100</f>
        <v>10.234999999999999</v>
      </c>
      <c r="F1352" s="142">
        <f>B1352*IBGE_2!F$1352/100</f>
        <v>3.04</v>
      </c>
      <c r="G1352" s="142">
        <f>B1352*IBGE_2!G$1352/100</f>
        <v>3.48</v>
      </c>
      <c r="H1352" s="142">
        <f>B1352*IBGE_2!H$1352/100</f>
        <v>2.5150000000000001</v>
      </c>
      <c r="I1352" s="142">
        <f>B1352*IBGE_2!I$1352/100</f>
        <v>2.13</v>
      </c>
      <c r="J1352" s="142">
        <f>B1352*IBGE_2!J$1352/100</f>
        <v>0.1</v>
      </c>
      <c r="K1352" s="142">
        <f>B1352*IBGE_2!K$1352/100</f>
        <v>78</v>
      </c>
      <c r="L1352" s="142" t="s">
        <v>3047</v>
      </c>
      <c r="M1352" s="142" t="s">
        <v>3047</v>
      </c>
      <c r="N1352" s="142">
        <f>B1352*IBGE_2!N$1352/100</f>
        <v>21.5</v>
      </c>
      <c r="O1352" s="142">
        <f>B1352*IBGE_2!O$1352/100</f>
        <v>22</v>
      </c>
      <c r="P1352" s="142">
        <f>B1352*IBGE_2!P$1352/100</f>
        <v>2.1000000000000001E-2</v>
      </c>
      <c r="Q1352" s="142">
        <f>B1352*IBGE_2!Q$1352/100</f>
        <v>172</v>
      </c>
      <c r="R1352" s="142">
        <f>B1352*IBGE_2!R$1352/100</f>
        <v>1.635</v>
      </c>
      <c r="S1352" s="142">
        <f>B1352*IBGE_2!S$1352/100</f>
        <v>68</v>
      </c>
      <c r="T1352" s="142">
        <f>B1352*IBGE_2!T$1352/100</f>
        <v>224.5</v>
      </c>
      <c r="U1352" s="142">
        <f>B1352*IBGE_2!U$1352/100</f>
        <v>9.4E-2</v>
      </c>
      <c r="V1352" s="142">
        <f>B1352*IBGE_2!V$1352/100</f>
        <v>2.68</v>
      </c>
      <c r="W1352" s="142">
        <f>B1352*IBGE_2!W$1352/100</f>
        <v>24.5</v>
      </c>
      <c r="X1352" s="142">
        <f>B1352*IBGE_2!X$1352/100</f>
        <v>4.9000000000000002E-2</v>
      </c>
      <c r="Y1352" s="142">
        <f>B1352*IBGE_2!Y$1352/100</f>
        <v>0.17</v>
      </c>
      <c r="Z1352" s="142">
        <f>B1352*IBGE_2!Z$1352/100</f>
        <v>0.29499999999999998</v>
      </c>
      <c r="AA1352" s="142">
        <f>B1352*IBGE_2!AA$1352/100</f>
        <v>5.3120000000000003</v>
      </c>
      <c r="AB1352" s="142" t="s">
        <v>3047</v>
      </c>
      <c r="AC1352" s="142">
        <f>B1352*IBGE_2!AC$1352/100</f>
        <v>10.345000000000001</v>
      </c>
      <c r="AD1352" s="142">
        <f>B1352*IBGE_2!AD$1352/100</f>
        <v>0.27500000000000002</v>
      </c>
      <c r="AE1352" s="142">
        <f>B1352*IBGE_2!AE$1352/100</f>
        <v>6</v>
      </c>
      <c r="AF1352" s="142">
        <f>B1352*IBGE_2!AF$1352/100</f>
        <v>0.15</v>
      </c>
      <c r="AG1352" s="142">
        <f>B1352*IBGE_2!AG$1352/100</f>
        <v>0.24</v>
      </c>
      <c r="AH1352" s="142">
        <f>B1352*IBGE_2!AH$1352/100</f>
        <v>0.215</v>
      </c>
      <c r="AI1352" s="142">
        <f>B1352*IBGE_2!AI$1352/100</f>
        <v>333</v>
      </c>
      <c r="AJ1352" s="142">
        <f>B1352*IBGE_2!AJ$1352/100</f>
        <v>29.9</v>
      </c>
      <c r="AK1352" s="142">
        <f>B1352*IBGE_2!AK$1352/100</f>
        <v>24.5</v>
      </c>
      <c r="AL1352" s="142" t="s">
        <v>3047</v>
      </c>
      <c r="AM1352" s="142" t="s">
        <v>3047</v>
      </c>
      <c r="AN1352" s="161"/>
    </row>
    <row r="1353" spans="1:40">
      <c r="A1353" s="143" t="s">
        <v>2413</v>
      </c>
      <c r="B1353" s="141">
        <v>100</v>
      </c>
      <c r="C1353" s="142">
        <f>B1353*IBGE_2!C$1353/100</f>
        <v>207</v>
      </c>
      <c r="D1353" s="142">
        <f>B1353*IBGE_2!D$1353/100</f>
        <v>26.934999999999999</v>
      </c>
      <c r="E1353" s="142">
        <f>B1353*IBGE_2!E$1353/100</f>
        <v>10.234999999999999</v>
      </c>
      <c r="F1353" s="142">
        <f>B1353*IBGE_2!F$1353/100</f>
        <v>3.04</v>
      </c>
      <c r="G1353" s="142">
        <f>B1353*IBGE_2!G$1353/100</f>
        <v>3.48</v>
      </c>
      <c r="H1353" s="142">
        <f>B1353*IBGE_2!H$1353/100</f>
        <v>2.5150000000000001</v>
      </c>
      <c r="I1353" s="142">
        <f>B1353*IBGE_2!I$1353/100</f>
        <v>2.13</v>
      </c>
      <c r="J1353" s="142">
        <f>B1353*IBGE_2!J$1353/100</f>
        <v>0.1</v>
      </c>
      <c r="K1353" s="142">
        <f>B1353*IBGE_2!K$1353/100</f>
        <v>78</v>
      </c>
      <c r="L1353" s="142" t="s">
        <v>3047</v>
      </c>
      <c r="M1353" s="142" t="s">
        <v>3047</v>
      </c>
      <c r="N1353" s="142">
        <f>B1353*IBGE_2!N$1353/100</f>
        <v>21.5</v>
      </c>
      <c r="O1353" s="142">
        <f>B1353*IBGE_2!O$1353/100</f>
        <v>22</v>
      </c>
      <c r="P1353" s="142">
        <f>B1353*IBGE_2!P$1353/100</f>
        <v>2.1000000000000001E-2</v>
      </c>
      <c r="Q1353" s="142">
        <f>B1353*IBGE_2!Q$1353/100</f>
        <v>172</v>
      </c>
      <c r="R1353" s="142">
        <f>B1353*IBGE_2!R$1353/100</f>
        <v>1.635</v>
      </c>
      <c r="S1353" s="142">
        <f>B1353*IBGE_2!S$1353/100</f>
        <v>68</v>
      </c>
      <c r="T1353" s="142">
        <f>B1353*IBGE_2!T$1353/100</f>
        <v>224.5</v>
      </c>
      <c r="U1353" s="142">
        <f>B1353*IBGE_2!U$1353/100</f>
        <v>9.4E-2</v>
      </c>
      <c r="V1353" s="142">
        <f>B1353*IBGE_2!V$1353/100</f>
        <v>2.68</v>
      </c>
      <c r="W1353" s="142">
        <f>B1353*IBGE_2!W$1353/100</f>
        <v>24.5</v>
      </c>
      <c r="X1353" s="142">
        <f>B1353*IBGE_2!X$1353/100</f>
        <v>4.9000000000000002E-2</v>
      </c>
      <c r="Y1353" s="142">
        <f>B1353*IBGE_2!Y$1353/100</f>
        <v>0.17</v>
      </c>
      <c r="Z1353" s="142">
        <f>B1353*IBGE_2!Z$1353/100</f>
        <v>0.29499999999999998</v>
      </c>
      <c r="AA1353" s="142">
        <f>B1353*IBGE_2!AA$1353/100</f>
        <v>5.3120000000000003</v>
      </c>
      <c r="AB1353" s="142" t="s">
        <v>3047</v>
      </c>
      <c r="AC1353" s="142">
        <f>B1353*IBGE_2!AC$1353/100</f>
        <v>10.345000000000001</v>
      </c>
      <c r="AD1353" s="142">
        <f>B1353*IBGE_2!AD$1353/100</f>
        <v>0.27500000000000002</v>
      </c>
      <c r="AE1353" s="142">
        <f>B1353*IBGE_2!AE$1353/100</f>
        <v>6</v>
      </c>
      <c r="AF1353" s="142">
        <f>B1353*IBGE_2!AF$1353/100</f>
        <v>0.15</v>
      </c>
      <c r="AG1353" s="142">
        <f>B1353*IBGE_2!AG$1353/100</f>
        <v>0.24</v>
      </c>
      <c r="AH1353" s="142">
        <f>B1353*IBGE_2!AH$1353/100</f>
        <v>0.215</v>
      </c>
      <c r="AI1353" s="142">
        <f>B1353*IBGE_2!AI$1353/100</f>
        <v>333</v>
      </c>
      <c r="AJ1353" s="142">
        <f>B1353*IBGE_2!AJ$1353/100</f>
        <v>29.9</v>
      </c>
      <c r="AK1353" s="142">
        <f>B1353*IBGE_2!AK$1353/100</f>
        <v>24.5</v>
      </c>
      <c r="AL1353" s="142" t="s">
        <v>3047</v>
      </c>
      <c r="AM1353" s="142" t="s">
        <v>3047</v>
      </c>
      <c r="AN1353" s="161"/>
    </row>
    <row r="1354" spans="1:40">
      <c r="A1354" s="143" t="s">
        <v>2414</v>
      </c>
      <c r="B1354" s="141">
        <v>100</v>
      </c>
      <c r="C1354" s="142">
        <f>B1354*IBGE_2!C$1354/100</f>
        <v>178</v>
      </c>
      <c r="D1354" s="142">
        <f>B1354*IBGE_2!D$1354/100</f>
        <v>22.62</v>
      </c>
      <c r="E1354" s="142">
        <f>B1354*IBGE_2!E$1354/100</f>
        <v>9.02</v>
      </c>
      <c r="F1354" s="142">
        <f>B1354*IBGE_2!F$1354/100</f>
        <v>3.12</v>
      </c>
      <c r="G1354" s="142">
        <f>B1354*IBGE_2!G$1354/100</f>
        <v>4.4400000000000004</v>
      </c>
      <c r="H1354" s="142">
        <f>B1354*IBGE_2!H$1354/100</f>
        <v>1.41</v>
      </c>
      <c r="I1354" s="142">
        <f>B1354*IBGE_2!I$1354/100</f>
        <v>1.17</v>
      </c>
      <c r="J1354" s="142">
        <f>B1354*IBGE_2!J$1354/100</f>
        <v>0.24</v>
      </c>
      <c r="K1354" s="142">
        <f>B1354*IBGE_2!K$1354/100</f>
        <v>59</v>
      </c>
      <c r="L1354" s="142" t="s">
        <v>3047</v>
      </c>
      <c r="M1354" s="142" t="s">
        <v>3047</v>
      </c>
      <c r="N1354" s="142">
        <f>B1354*IBGE_2!N$1354/100</f>
        <v>8</v>
      </c>
      <c r="O1354" s="142">
        <f>B1354*IBGE_2!O$1354/100</f>
        <v>22</v>
      </c>
      <c r="P1354" s="142">
        <f>B1354*IBGE_2!P$1354/100</f>
        <v>4.1000000000000009E-2</v>
      </c>
      <c r="Q1354" s="142">
        <f>B1354*IBGE_2!Q$1354/100</f>
        <v>281</v>
      </c>
      <c r="R1354" s="142">
        <f>B1354*IBGE_2!R$1354/100</f>
        <v>1.34</v>
      </c>
      <c r="S1354" s="142">
        <f>B1354*IBGE_2!S$1354/100</f>
        <v>1500</v>
      </c>
      <c r="T1354" s="142">
        <f>B1354*IBGE_2!T$1354/100</f>
        <v>409</v>
      </c>
      <c r="U1354" s="142">
        <f>B1354*IBGE_2!U$1354/100</f>
        <v>0.14499999999999999</v>
      </c>
      <c r="V1354" s="142">
        <f>B1354*IBGE_2!V$1354/100</f>
        <v>2.4700000000000002</v>
      </c>
      <c r="W1354" s="142" t="s">
        <v>3047</v>
      </c>
      <c r="X1354" s="142">
        <f>B1354*IBGE_2!X$1354/100</f>
        <v>0.73</v>
      </c>
      <c r="Y1354" s="142">
        <f>B1354*IBGE_2!Y$1354/100</f>
        <v>0.33</v>
      </c>
      <c r="Z1354" s="142">
        <f>B1354*IBGE_2!Z$1354/100</f>
        <v>0.31</v>
      </c>
      <c r="AA1354" s="142">
        <f>B1354*IBGE_2!AA$1354/100</f>
        <v>6.15</v>
      </c>
      <c r="AB1354" s="142" t="s">
        <v>3047</v>
      </c>
      <c r="AC1354" s="142">
        <f>B1354*IBGE_2!AC$1354/100</f>
        <v>10.117000000000001</v>
      </c>
      <c r="AD1354" s="142">
        <f>B1354*IBGE_2!AD$1354/100</f>
        <v>0.7</v>
      </c>
      <c r="AE1354" s="142">
        <f>B1354*IBGE_2!AE$1354/100</f>
        <v>3</v>
      </c>
      <c r="AF1354" s="142">
        <f>B1354*IBGE_2!AF$1354/100</f>
        <v>0.8</v>
      </c>
      <c r="AG1354" s="142">
        <f>B1354*IBGE_2!AG$1354/100</f>
        <v>0.31</v>
      </c>
      <c r="AH1354" s="142">
        <f>B1354*IBGE_2!AH$1354/100</f>
        <v>2.7000000000000003E-2</v>
      </c>
      <c r="AI1354" s="145" t="s">
        <v>3047</v>
      </c>
      <c r="AJ1354" s="142">
        <f>B1354*IBGE_2!AJ$1354/100</f>
        <v>19.8</v>
      </c>
      <c r="AK1354" s="145" t="s">
        <v>3047</v>
      </c>
      <c r="AL1354" s="142" t="s">
        <v>3047</v>
      </c>
      <c r="AM1354" s="142" t="s">
        <v>3047</v>
      </c>
      <c r="AN1354" s="161"/>
    </row>
    <row r="1355" spans="1:40">
      <c r="A1355" s="143" t="s">
        <v>2415</v>
      </c>
      <c r="B1355" s="141">
        <v>100</v>
      </c>
      <c r="C1355" s="142">
        <f>B1355*IBGE_2!C$1355/100</f>
        <v>219</v>
      </c>
      <c r="D1355" s="142">
        <f>B1355*IBGE_2!D$1355/100</f>
        <v>23.9</v>
      </c>
      <c r="E1355" s="142">
        <f>B1355*IBGE_2!E$1355/100</f>
        <v>13</v>
      </c>
      <c r="F1355" s="142">
        <f>B1355*IBGE_2!F$1355/100</f>
        <v>3.7389999999999999</v>
      </c>
      <c r="G1355" s="142">
        <f>B1355*IBGE_2!G$1355/100</f>
        <v>5.4619999999999997</v>
      </c>
      <c r="H1355" s="142">
        <f>B1355*IBGE_2!H$1355/100</f>
        <v>2.7330000000000001</v>
      </c>
      <c r="I1355" s="142">
        <f>B1355*IBGE_2!I$1355/100</f>
        <v>2.3239999999999998</v>
      </c>
      <c r="J1355" s="142">
        <f>B1355*IBGE_2!J$1355/100</f>
        <v>9.6000000000000002E-2</v>
      </c>
      <c r="K1355" s="142">
        <f>B1355*IBGE_2!K$1355/100</f>
        <v>116</v>
      </c>
      <c r="L1355" s="142" t="s">
        <v>3047</v>
      </c>
      <c r="M1355" s="142" t="s">
        <v>3047</v>
      </c>
      <c r="N1355" s="142">
        <f>B1355*IBGE_2!N$1355/100</f>
        <v>17</v>
      </c>
      <c r="O1355" s="142">
        <f>B1355*IBGE_2!O$1355/100</f>
        <v>26</v>
      </c>
      <c r="P1355" s="142">
        <f>B1355*IBGE_2!P$1355/100</f>
        <v>1.7000000000000001E-2</v>
      </c>
      <c r="Q1355" s="142">
        <f>B1355*IBGE_2!Q$1355/100</f>
        <v>332</v>
      </c>
      <c r="R1355" s="142">
        <f>B1355*IBGE_2!R$1355/100</f>
        <v>5.91</v>
      </c>
      <c r="S1355" s="142">
        <f>B1355*IBGE_2!S$1355/100</f>
        <v>57</v>
      </c>
      <c r="T1355" s="142">
        <f>B1355*IBGE_2!T$1355/100</f>
        <v>256</v>
      </c>
      <c r="U1355" s="142">
        <f>B1355*IBGE_2!U$1355/100</f>
        <v>0.76300000000000001</v>
      </c>
      <c r="V1355" s="142">
        <f>B1355*IBGE_2!V$1355/100</f>
        <v>3.83</v>
      </c>
      <c r="W1355" s="142">
        <f>B1355*IBGE_2!W$1355/100</f>
        <v>28</v>
      </c>
      <c r="X1355" s="142">
        <f>B1355*IBGE_2!X$1355/100</f>
        <v>0.28000000000000003</v>
      </c>
      <c r="Y1355" s="142">
        <f>B1355*IBGE_2!Y$1355/100</f>
        <v>0.35</v>
      </c>
      <c r="Z1355" s="142">
        <f>B1355*IBGE_2!Z$1355/100</f>
        <v>0.56999999999999995</v>
      </c>
      <c r="AA1355" s="142">
        <f>B1355*IBGE_2!AA$1355/100</f>
        <v>7.6</v>
      </c>
      <c r="AB1355" s="142">
        <f>B1355*IBGE_2!AB$1355/100</f>
        <v>2.9</v>
      </c>
      <c r="AC1355" s="142">
        <f>B1355*IBGE_2!AC$1355/100</f>
        <v>13.382999999999999</v>
      </c>
      <c r="AD1355" s="142">
        <f>B1355*IBGE_2!AD$1355/100</f>
        <v>0.41</v>
      </c>
      <c r="AE1355" s="142">
        <f>B1355*IBGE_2!AE$1355/100</f>
        <v>6</v>
      </c>
      <c r="AF1355" s="145" t="s">
        <v>3047</v>
      </c>
      <c r="AG1355" s="142">
        <f>B1355*IBGE_2!AG$1355/100</f>
        <v>0.06</v>
      </c>
      <c r="AH1355" s="142">
        <f>B1355*IBGE_2!AH$1355/100</f>
        <v>0.25700000000000001</v>
      </c>
      <c r="AI1355" s="142">
        <f>B1355*IBGE_2!AI$1355/100</f>
        <v>333</v>
      </c>
      <c r="AJ1355" s="142">
        <f>B1355*IBGE_2!AJ$1355/100</f>
        <v>20.100000000000001</v>
      </c>
      <c r="AK1355" s="142">
        <f>B1355*IBGE_2!AK$1355/100</f>
        <v>28</v>
      </c>
      <c r="AL1355" s="142" t="s">
        <v>3047</v>
      </c>
      <c r="AM1355" s="142" t="s">
        <v>3047</v>
      </c>
      <c r="AN1355" s="161"/>
    </row>
    <row r="1356" spans="1:40">
      <c r="A1356" s="143" t="s">
        <v>2416</v>
      </c>
      <c r="B1356" s="141">
        <v>100</v>
      </c>
      <c r="C1356" s="142">
        <f>B1356*IBGE_2!C$1356/100</f>
        <v>273.01600000000002</v>
      </c>
      <c r="D1356" s="142">
        <f>B1356*IBGE_2!D$1356/100</f>
        <v>16.236999999999998</v>
      </c>
      <c r="E1356" s="142">
        <f>B1356*IBGE_2!E$1356/100</f>
        <v>15.63</v>
      </c>
      <c r="F1356" s="142">
        <f>B1356*IBGE_2!F$1356/100</f>
        <v>3.6190000000000002</v>
      </c>
      <c r="G1356" s="142">
        <f>B1356*IBGE_2!G$1356/100</f>
        <v>7.431</v>
      </c>
      <c r="H1356" s="142">
        <f>B1356*IBGE_2!H$1356/100</f>
        <v>2.5720000000000001</v>
      </c>
      <c r="I1356" s="142">
        <f>B1356*IBGE_2!I$1356/100</f>
        <v>2.3410000000000002</v>
      </c>
      <c r="J1356" s="142">
        <f>B1356*IBGE_2!J$1356/100</f>
        <v>0.13700000000000001</v>
      </c>
      <c r="K1356" s="142">
        <f>B1356*IBGE_2!K$1356/100</f>
        <v>39.844000000000001</v>
      </c>
      <c r="L1356" s="142">
        <f>B1356*IBGE_2!L$1356/100</f>
        <v>15.912000000000001</v>
      </c>
      <c r="M1356" s="142">
        <f>B1356*IBGE_2!M$1356/100</f>
        <v>0.64300000000000002</v>
      </c>
      <c r="N1356" s="142">
        <f>B1356*IBGE_2!N$1356/100</f>
        <v>9.8450000000000006</v>
      </c>
      <c r="O1356" s="142">
        <f>B1356*IBGE_2!O$1356/100</f>
        <v>17.73</v>
      </c>
      <c r="P1356" s="142">
        <f>B1356*IBGE_2!P$1356/100</f>
        <v>0.107</v>
      </c>
      <c r="Q1356" s="142">
        <f>B1356*IBGE_2!Q$1356/100</f>
        <v>121.51600000000001</v>
      </c>
      <c r="R1356" s="142">
        <f>B1356*IBGE_2!R$1356/100</f>
        <v>1.36</v>
      </c>
      <c r="S1356" s="142">
        <f>B1356*IBGE_2!S$1356/100</f>
        <v>704.38</v>
      </c>
      <c r="T1356" s="142">
        <f>B1356*IBGE_2!T$1356/100</f>
        <v>138.84100000000001</v>
      </c>
      <c r="U1356" s="142">
        <f>B1356*IBGE_2!U$1356/100</f>
        <v>4.7E-2</v>
      </c>
      <c r="V1356" s="142">
        <f>B1356*IBGE_2!V$1356/100</f>
        <v>0.71099999999999997</v>
      </c>
      <c r="W1356" s="142">
        <f>B1356*IBGE_2!W$1356/100</f>
        <v>4.2190000000000003</v>
      </c>
      <c r="X1356" s="142">
        <f>B1356*IBGE_2!X$1356/100</f>
        <v>0.16699999999999998</v>
      </c>
      <c r="Y1356" s="142">
        <f>B1356*IBGE_2!Y$1356/100</f>
        <v>0.14199999999999999</v>
      </c>
      <c r="Z1356" s="142">
        <f>B1356*IBGE_2!Z$1356/100</f>
        <v>0.29899999999999999</v>
      </c>
      <c r="AA1356" s="142">
        <f>B1356*IBGE_2!AA$1356/100</f>
        <v>6.8920000000000003</v>
      </c>
      <c r="AB1356" s="142" t="s">
        <v>3047</v>
      </c>
      <c r="AC1356" s="142">
        <f>B1356*IBGE_2!AC$1356/100</f>
        <v>10.018000000000001</v>
      </c>
      <c r="AD1356" s="142">
        <f>B1356*IBGE_2!AD$1356/100</f>
        <v>0.159</v>
      </c>
      <c r="AE1356" s="142">
        <f>B1356*IBGE_2!AE$1356/100</f>
        <v>35</v>
      </c>
      <c r="AF1356" s="142">
        <f>B1356*IBGE_2!AF$1356/100</f>
        <v>9.4E-2</v>
      </c>
      <c r="AG1356" s="142">
        <f>B1356*IBGE_2!AG$1356/100</f>
        <v>1.087</v>
      </c>
      <c r="AH1356" s="142">
        <f>B1356*IBGE_2!AH$1356/100</f>
        <v>3.008</v>
      </c>
      <c r="AI1356" s="145" t="s">
        <v>3047</v>
      </c>
      <c r="AJ1356" s="142">
        <f>B1356*IBGE_2!AJ$1356/100</f>
        <v>16.445</v>
      </c>
      <c r="AK1356" s="142">
        <f>B1356*IBGE_2!AK$1356/100</f>
        <v>4.8879999999999999</v>
      </c>
      <c r="AL1356" s="142">
        <f>B1356*IBGE_2!AL$1356/100</f>
        <v>0.14299999999999999</v>
      </c>
      <c r="AM1356" s="142" t="s">
        <v>3047</v>
      </c>
      <c r="AN1356" s="161"/>
    </row>
    <row r="1357" spans="1:40">
      <c r="A1357" s="143" t="s">
        <v>2417</v>
      </c>
      <c r="B1357" s="141">
        <v>100</v>
      </c>
      <c r="C1357" s="142">
        <f>B1357*IBGE_2!C$1357/100</f>
        <v>273.01600000000002</v>
      </c>
      <c r="D1357" s="142">
        <f>B1357*IBGE_2!D$1357/100</f>
        <v>16.236999999999998</v>
      </c>
      <c r="E1357" s="142">
        <f>B1357*IBGE_2!E$1357/100</f>
        <v>15.63</v>
      </c>
      <c r="F1357" s="142">
        <f>B1357*IBGE_2!F$1357/100</f>
        <v>3.6190000000000002</v>
      </c>
      <c r="G1357" s="142">
        <f>B1357*IBGE_2!G$1357/100</f>
        <v>7.431</v>
      </c>
      <c r="H1357" s="142">
        <f>B1357*IBGE_2!H$1357/100</f>
        <v>2.5720000000000001</v>
      </c>
      <c r="I1357" s="142">
        <f>B1357*IBGE_2!I$1357/100</f>
        <v>2.3410000000000002</v>
      </c>
      <c r="J1357" s="142">
        <f>B1357*IBGE_2!J$1357/100</f>
        <v>0.13700000000000001</v>
      </c>
      <c r="K1357" s="142">
        <f>B1357*IBGE_2!K$1357/100</f>
        <v>39.844000000000001</v>
      </c>
      <c r="L1357" s="142">
        <f>B1357*IBGE_2!L$1357/100</f>
        <v>15.912000000000001</v>
      </c>
      <c r="M1357" s="142">
        <f>B1357*IBGE_2!M$1357/100</f>
        <v>0.64300000000000002</v>
      </c>
      <c r="N1357" s="142">
        <f>B1357*IBGE_2!N$1357/100</f>
        <v>9.8450000000000006</v>
      </c>
      <c r="O1357" s="142">
        <f>B1357*IBGE_2!O$1357/100</f>
        <v>17.73</v>
      </c>
      <c r="P1357" s="142">
        <f>B1357*IBGE_2!P$1357/100</f>
        <v>0.107</v>
      </c>
      <c r="Q1357" s="142">
        <f>B1357*IBGE_2!Q$1357/100</f>
        <v>121.51600000000001</v>
      </c>
      <c r="R1357" s="142">
        <f>B1357*IBGE_2!R$1357/100</f>
        <v>1.36</v>
      </c>
      <c r="S1357" s="142">
        <f>B1357*IBGE_2!S$1357/100</f>
        <v>704.38</v>
      </c>
      <c r="T1357" s="142">
        <f>B1357*IBGE_2!T$1357/100</f>
        <v>138.84100000000001</v>
      </c>
      <c r="U1357" s="142">
        <f>B1357*IBGE_2!U$1357/100</f>
        <v>4.7E-2</v>
      </c>
      <c r="V1357" s="142">
        <f>B1357*IBGE_2!V$1357/100</f>
        <v>0.71099999999999997</v>
      </c>
      <c r="W1357" s="142">
        <f>B1357*IBGE_2!W$1357/100</f>
        <v>4.2190000000000003</v>
      </c>
      <c r="X1357" s="142">
        <f>B1357*IBGE_2!X$1357/100</f>
        <v>0.16699999999999998</v>
      </c>
      <c r="Y1357" s="142">
        <f>B1357*IBGE_2!Y$1357/100</f>
        <v>0.14199999999999999</v>
      </c>
      <c r="Z1357" s="142">
        <f>B1357*IBGE_2!Z$1357/100</f>
        <v>0.29899999999999999</v>
      </c>
      <c r="AA1357" s="142">
        <f>B1357*IBGE_2!AA$1357/100</f>
        <v>6.8920000000000003</v>
      </c>
      <c r="AB1357" s="142" t="s">
        <v>3047</v>
      </c>
      <c r="AC1357" s="142">
        <f>B1357*IBGE_2!AC$1357/100</f>
        <v>10.018000000000001</v>
      </c>
      <c r="AD1357" s="142">
        <f>B1357*IBGE_2!AD$1357/100</f>
        <v>0.159</v>
      </c>
      <c r="AE1357" s="142">
        <f>B1357*IBGE_2!AE$1357/100</f>
        <v>35</v>
      </c>
      <c r="AF1357" s="142">
        <f>B1357*IBGE_2!AF$1357/100</f>
        <v>9.4E-2</v>
      </c>
      <c r="AG1357" s="142">
        <f>B1357*IBGE_2!AG$1357/100</f>
        <v>1.087</v>
      </c>
      <c r="AH1357" s="142">
        <f>B1357*IBGE_2!AH$1357/100</f>
        <v>3.008</v>
      </c>
      <c r="AI1357" s="145" t="s">
        <v>3047</v>
      </c>
      <c r="AJ1357" s="142">
        <f>B1357*IBGE_2!AJ$1357/100</f>
        <v>16.445</v>
      </c>
      <c r="AK1357" s="142">
        <f>B1357*IBGE_2!AK$1357/100</f>
        <v>4.8879999999999999</v>
      </c>
      <c r="AL1357" s="142">
        <f>B1357*IBGE_2!AL$1357/100</f>
        <v>0.14299999999999999</v>
      </c>
      <c r="AM1357" s="142" t="s">
        <v>3047</v>
      </c>
      <c r="AN1357" s="161"/>
    </row>
    <row r="1358" spans="1:40">
      <c r="A1358" s="143" t="s">
        <v>2418</v>
      </c>
      <c r="B1358" s="141">
        <v>100</v>
      </c>
      <c r="C1358" s="142">
        <f>B1358*IBGE_2!C$1358/100</f>
        <v>273.01600000000002</v>
      </c>
      <c r="D1358" s="142">
        <f>B1358*IBGE_2!D$1358/100</f>
        <v>16.236999999999998</v>
      </c>
      <c r="E1358" s="142">
        <f>B1358*IBGE_2!E$1358/100</f>
        <v>15.63</v>
      </c>
      <c r="F1358" s="142">
        <f>B1358*IBGE_2!F$1358/100</f>
        <v>3.6190000000000002</v>
      </c>
      <c r="G1358" s="142">
        <f>B1358*IBGE_2!G$1358/100</f>
        <v>7.431</v>
      </c>
      <c r="H1358" s="142">
        <f>B1358*IBGE_2!H$1358/100</f>
        <v>2.5720000000000001</v>
      </c>
      <c r="I1358" s="142">
        <f>B1358*IBGE_2!I$1358/100</f>
        <v>2.3410000000000002</v>
      </c>
      <c r="J1358" s="142">
        <f>B1358*IBGE_2!J$1358/100</f>
        <v>0.13700000000000001</v>
      </c>
      <c r="K1358" s="142">
        <f>B1358*IBGE_2!K$1358/100</f>
        <v>39.844000000000001</v>
      </c>
      <c r="L1358" s="142">
        <f>B1358*IBGE_2!L$1358/100</f>
        <v>15.912000000000001</v>
      </c>
      <c r="M1358" s="142">
        <f>B1358*IBGE_2!M$1358/100</f>
        <v>0.64300000000000002</v>
      </c>
      <c r="N1358" s="142">
        <f>B1358*IBGE_2!N$1358/100</f>
        <v>9.8450000000000006</v>
      </c>
      <c r="O1358" s="142">
        <f>B1358*IBGE_2!O$1358/100</f>
        <v>17.73</v>
      </c>
      <c r="P1358" s="142">
        <f>B1358*IBGE_2!P$1358/100</f>
        <v>0.107</v>
      </c>
      <c r="Q1358" s="142">
        <f>B1358*IBGE_2!Q$1358/100</f>
        <v>121.51600000000001</v>
      </c>
      <c r="R1358" s="142">
        <f>B1358*IBGE_2!R$1358/100</f>
        <v>1.36</v>
      </c>
      <c r="S1358" s="142">
        <f>B1358*IBGE_2!S$1358/100</f>
        <v>704.38</v>
      </c>
      <c r="T1358" s="142">
        <f>B1358*IBGE_2!T$1358/100</f>
        <v>138.84100000000001</v>
      </c>
      <c r="U1358" s="142">
        <f>B1358*IBGE_2!U$1358/100</f>
        <v>4.7E-2</v>
      </c>
      <c r="V1358" s="142">
        <f>B1358*IBGE_2!V$1358/100</f>
        <v>0.71099999999999997</v>
      </c>
      <c r="W1358" s="142">
        <f>B1358*IBGE_2!W$1358/100</f>
        <v>4.2190000000000003</v>
      </c>
      <c r="X1358" s="142">
        <f>B1358*IBGE_2!X$1358/100</f>
        <v>0.16699999999999998</v>
      </c>
      <c r="Y1358" s="142">
        <f>B1358*IBGE_2!Y$1358/100</f>
        <v>0.14199999999999999</v>
      </c>
      <c r="Z1358" s="142">
        <f>B1358*IBGE_2!Z$1358/100</f>
        <v>0.29899999999999999</v>
      </c>
      <c r="AA1358" s="142">
        <f>B1358*IBGE_2!AA$1358/100</f>
        <v>6.8920000000000003</v>
      </c>
      <c r="AB1358" s="142" t="s">
        <v>3047</v>
      </c>
      <c r="AC1358" s="142">
        <f>B1358*IBGE_2!AC$1358/100</f>
        <v>10.018000000000001</v>
      </c>
      <c r="AD1358" s="142">
        <f>B1358*IBGE_2!AD$1358/100</f>
        <v>0.159</v>
      </c>
      <c r="AE1358" s="142">
        <f>B1358*IBGE_2!AE$1358/100</f>
        <v>35</v>
      </c>
      <c r="AF1358" s="142">
        <f>B1358*IBGE_2!AF$1358/100</f>
        <v>9.4E-2</v>
      </c>
      <c r="AG1358" s="142">
        <f>B1358*IBGE_2!AG$1358/100</f>
        <v>1.087</v>
      </c>
      <c r="AH1358" s="142">
        <f>B1358*IBGE_2!AH$1358/100</f>
        <v>3.008</v>
      </c>
      <c r="AI1358" s="145" t="s">
        <v>3047</v>
      </c>
      <c r="AJ1358" s="142">
        <f>B1358*IBGE_2!AJ$1358/100</f>
        <v>16.445</v>
      </c>
      <c r="AK1358" s="142">
        <f>B1358*IBGE_2!AK$1358/100</f>
        <v>4.8879999999999999</v>
      </c>
      <c r="AL1358" s="142">
        <f>B1358*IBGE_2!AL$1358/100</f>
        <v>0.14299999999999999</v>
      </c>
      <c r="AM1358" s="142" t="s">
        <v>3047</v>
      </c>
      <c r="AN1358" s="161"/>
    </row>
    <row r="1359" spans="1:40">
      <c r="A1359" s="143" t="s">
        <v>2419</v>
      </c>
      <c r="B1359" s="141">
        <v>100</v>
      </c>
      <c r="C1359" s="142">
        <f>B1359*IBGE_2!C$1359/100</f>
        <v>273.01600000000002</v>
      </c>
      <c r="D1359" s="142">
        <f>B1359*IBGE_2!D$1359/100</f>
        <v>16.236999999999998</v>
      </c>
      <c r="E1359" s="142">
        <f>B1359*IBGE_2!E$1359/100</f>
        <v>15.63</v>
      </c>
      <c r="F1359" s="142">
        <f>B1359*IBGE_2!F$1359/100</f>
        <v>3.6190000000000002</v>
      </c>
      <c r="G1359" s="142">
        <f>B1359*IBGE_2!G$1359/100</f>
        <v>7.431</v>
      </c>
      <c r="H1359" s="142">
        <f>B1359*IBGE_2!H$1359/100</f>
        <v>2.5720000000000001</v>
      </c>
      <c r="I1359" s="142">
        <f>B1359*IBGE_2!I$1359/100</f>
        <v>2.3410000000000002</v>
      </c>
      <c r="J1359" s="142">
        <f>B1359*IBGE_2!J$1359/100</f>
        <v>0.13700000000000001</v>
      </c>
      <c r="K1359" s="142">
        <f>B1359*IBGE_2!K$1359/100</f>
        <v>39.844000000000001</v>
      </c>
      <c r="L1359" s="142">
        <f>B1359*IBGE_2!L$1359/100</f>
        <v>15.912000000000001</v>
      </c>
      <c r="M1359" s="142">
        <f>B1359*IBGE_2!M$1359/100</f>
        <v>0.64300000000000002</v>
      </c>
      <c r="N1359" s="142">
        <f>B1359*IBGE_2!N$1359/100</f>
        <v>9.8450000000000006</v>
      </c>
      <c r="O1359" s="142">
        <f>B1359*IBGE_2!O$1359/100</f>
        <v>17.73</v>
      </c>
      <c r="P1359" s="142">
        <f>B1359*IBGE_2!P$1359/100</f>
        <v>0.107</v>
      </c>
      <c r="Q1359" s="142">
        <f>B1359*IBGE_2!Q$1359/100</f>
        <v>121.51600000000001</v>
      </c>
      <c r="R1359" s="142">
        <f>B1359*IBGE_2!R$1359/100</f>
        <v>1.36</v>
      </c>
      <c r="S1359" s="142">
        <f>B1359*IBGE_2!S$1359/100</f>
        <v>704.38</v>
      </c>
      <c r="T1359" s="142">
        <f>B1359*IBGE_2!T$1359/100</f>
        <v>138.84100000000001</v>
      </c>
      <c r="U1359" s="142">
        <f>B1359*IBGE_2!U$1359/100</f>
        <v>4.7E-2</v>
      </c>
      <c r="V1359" s="142">
        <f>B1359*IBGE_2!V$1359/100</f>
        <v>0.71099999999999997</v>
      </c>
      <c r="W1359" s="142">
        <f>B1359*IBGE_2!W$1359/100</f>
        <v>4.2190000000000003</v>
      </c>
      <c r="X1359" s="142">
        <f>B1359*IBGE_2!X$1359/100</f>
        <v>0.16699999999999998</v>
      </c>
      <c r="Y1359" s="142">
        <f>B1359*IBGE_2!Y$1359/100</f>
        <v>0.14199999999999999</v>
      </c>
      <c r="Z1359" s="142">
        <f>B1359*IBGE_2!Z$1359/100</f>
        <v>0.29899999999999999</v>
      </c>
      <c r="AA1359" s="142">
        <f>B1359*IBGE_2!AA$1359/100</f>
        <v>6.8920000000000003</v>
      </c>
      <c r="AB1359" s="142" t="s">
        <v>3047</v>
      </c>
      <c r="AC1359" s="142">
        <f>B1359*IBGE_2!AC$1359/100</f>
        <v>10.018000000000001</v>
      </c>
      <c r="AD1359" s="142">
        <f>B1359*IBGE_2!AD$1359/100</f>
        <v>0.159</v>
      </c>
      <c r="AE1359" s="142">
        <f>B1359*IBGE_2!AE$1359/100</f>
        <v>35</v>
      </c>
      <c r="AF1359" s="142">
        <f>B1359*IBGE_2!AF$1359/100</f>
        <v>9.4E-2</v>
      </c>
      <c r="AG1359" s="142">
        <f>B1359*IBGE_2!AG$1359/100</f>
        <v>1.087</v>
      </c>
      <c r="AH1359" s="142">
        <f>B1359*IBGE_2!AH$1359/100</f>
        <v>3.008</v>
      </c>
      <c r="AI1359" s="145" t="s">
        <v>3047</v>
      </c>
      <c r="AJ1359" s="142">
        <f>B1359*IBGE_2!AJ$1359/100</f>
        <v>16.445</v>
      </c>
      <c r="AK1359" s="142">
        <f>B1359*IBGE_2!AK$1359/100</f>
        <v>4.8879999999999999</v>
      </c>
      <c r="AL1359" s="142">
        <f>B1359*IBGE_2!AL$1359/100</f>
        <v>0.14299999999999999</v>
      </c>
      <c r="AM1359" s="142" t="s">
        <v>3047</v>
      </c>
      <c r="AN1359" s="161"/>
    </row>
    <row r="1360" spans="1:40">
      <c r="A1360" s="143" t="s">
        <v>2420</v>
      </c>
      <c r="B1360" s="141">
        <v>100</v>
      </c>
      <c r="C1360" s="142">
        <f>B1360*IBGE_2!C$1360/100</f>
        <v>273.01600000000002</v>
      </c>
      <c r="D1360" s="142">
        <f>B1360*IBGE_2!D$1360/100</f>
        <v>16.236999999999998</v>
      </c>
      <c r="E1360" s="142">
        <f>B1360*IBGE_2!E$1360/100</f>
        <v>15.63</v>
      </c>
      <c r="F1360" s="142">
        <f>B1360*IBGE_2!F$1360/100</f>
        <v>3.6190000000000002</v>
      </c>
      <c r="G1360" s="142">
        <f>B1360*IBGE_2!G$1360/100</f>
        <v>7.431</v>
      </c>
      <c r="H1360" s="142">
        <f>B1360*IBGE_2!H$1360/100</f>
        <v>2.5720000000000001</v>
      </c>
      <c r="I1360" s="142">
        <f>B1360*IBGE_2!I$1360/100</f>
        <v>2.3410000000000002</v>
      </c>
      <c r="J1360" s="142">
        <f>B1360*IBGE_2!J$1360/100</f>
        <v>0.13700000000000001</v>
      </c>
      <c r="K1360" s="142">
        <f>B1360*IBGE_2!K$1360/100</f>
        <v>39.844000000000001</v>
      </c>
      <c r="L1360" s="142">
        <f>B1360*IBGE_2!L$1360/100</f>
        <v>15.912000000000001</v>
      </c>
      <c r="M1360" s="142">
        <f>B1360*IBGE_2!M$1360/100</f>
        <v>0.64300000000000002</v>
      </c>
      <c r="N1360" s="142">
        <f>B1360*IBGE_2!N$1360/100</f>
        <v>9.8450000000000006</v>
      </c>
      <c r="O1360" s="142">
        <f>B1360*IBGE_2!O$1360/100</f>
        <v>17.73</v>
      </c>
      <c r="P1360" s="142">
        <f>B1360*IBGE_2!P$1360/100</f>
        <v>0.107</v>
      </c>
      <c r="Q1360" s="142">
        <f>B1360*IBGE_2!Q$1360/100</f>
        <v>121.51600000000001</v>
      </c>
      <c r="R1360" s="142">
        <f>B1360*IBGE_2!R$1360/100</f>
        <v>1.36</v>
      </c>
      <c r="S1360" s="142">
        <f>B1360*IBGE_2!S$1360/100</f>
        <v>704.38</v>
      </c>
      <c r="T1360" s="142">
        <f>B1360*IBGE_2!T$1360/100</f>
        <v>138.84100000000001</v>
      </c>
      <c r="U1360" s="142">
        <f>B1360*IBGE_2!U$1360/100</f>
        <v>4.7E-2</v>
      </c>
      <c r="V1360" s="142">
        <f>B1360*IBGE_2!V$1360/100</f>
        <v>0.71099999999999997</v>
      </c>
      <c r="W1360" s="142">
        <f>B1360*IBGE_2!W$1360/100</f>
        <v>4.2190000000000003</v>
      </c>
      <c r="X1360" s="142">
        <f>B1360*IBGE_2!X$1360/100</f>
        <v>0.16699999999999998</v>
      </c>
      <c r="Y1360" s="142">
        <f>B1360*IBGE_2!Y$1360/100</f>
        <v>0.14199999999999999</v>
      </c>
      <c r="Z1360" s="142">
        <f>B1360*IBGE_2!Z$1360/100</f>
        <v>0.29899999999999999</v>
      </c>
      <c r="AA1360" s="142">
        <f>B1360*IBGE_2!AA$1360/100</f>
        <v>6.8920000000000003</v>
      </c>
      <c r="AB1360" s="142" t="s">
        <v>3047</v>
      </c>
      <c r="AC1360" s="142">
        <f>B1360*IBGE_2!AC$1360/100</f>
        <v>10.018000000000001</v>
      </c>
      <c r="AD1360" s="142">
        <f>B1360*IBGE_2!AD$1360/100</f>
        <v>0.159</v>
      </c>
      <c r="AE1360" s="142">
        <f>B1360*IBGE_2!AE$1360/100</f>
        <v>35</v>
      </c>
      <c r="AF1360" s="142">
        <f>B1360*IBGE_2!AF$1360/100</f>
        <v>9.4E-2</v>
      </c>
      <c r="AG1360" s="142">
        <f>B1360*IBGE_2!AG$1360/100</f>
        <v>1.087</v>
      </c>
      <c r="AH1360" s="142">
        <f>B1360*IBGE_2!AH$1360/100</f>
        <v>3.008</v>
      </c>
      <c r="AI1360" s="145" t="s">
        <v>3047</v>
      </c>
      <c r="AJ1360" s="142">
        <f>B1360*IBGE_2!AJ$1360/100</f>
        <v>16.445</v>
      </c>
      <c r="AK1360" s="142">
        <f>B1360*IBGE_2!AK$1360/100</f>
        <v>4.8879999999999999</v>
      </c>
      <c r="AL1360" s="142">
        <f>B1360*IBGE_2!AL$1360/100</f>
        <v>0.14299999999999999</v>
      </c>
      <c r="AM1360" s="142" t="s">
        <v>3047</v>
      </c>
      <c r="AN1360" s="161"/>
    </row>
    <row r="1361" spans="1:40">
      <c r="A1361" s="143" t="s">
        <v>2421</v>
      </c>
      <c r="B1361" s="141">
        <v>100</v>
      </c>
      <c r="C1361" s="142">
        <f>B1361*IBGE_2!C$1361/100</f>
        <v>211.83699999999996</v>
      </c>
      <c r="D1361" s="142">
        <f>B1361*IBGE_2!D$1361/100</f>
        <v>31.369</v>
      </c>
      <c r="E1361" s="142">
        <f>B1361*IBGE_2!E$1361/100</f>
        <v>7.1170000000000009</v>
      </c>
      <c r="F1361" s="142">
        <f>B1361*IBGE_2!F$1361/100</f>
        <v>1.6779999999999999</v>
      </c>
      <c r="G1361" s="142">
        <f>B1361*IBGE_2!G$1361/100</f>
        <v>2.1280000000000001</v>
      </c>
      <c r="H1361" s="142">
        <f>B1361*IBGE_2!H$1361/100</f>
        <v>2.4780000000000002</v>
      </c>
      <c r="I1361" s="142">
        <f>B1361*IBGE_2!I$1361/100</f>
        <v>2.0630000000000002</v>
      </c>
      <c r="J1361" s="142">
        <f>B1361*IBGE_2!J$1361/100</f>
        <v>0.215</v>
      </c>
      <c r="K1361" s="142">
        <f>B1361*IBGE_2!K$1361/100</f>
        <v>85</v>
      </c>
      <c r="L1361" s="142">
        <f>B1361*IBGE_2!L$1361/100</f>
        <v>3.3919999999999999</v>
      </c>
      <c r="M1361" s="142">
        <f>B1361*IBGE_2!M$1361/100</f>
        <v>0.13500000000000001</v>
      </c>
      <c r="N1361" s="142">
        <f>B1361*IBGE_2!N$1361/100</f>
        <v>15.667</v>
      </c>
      <c r="O1361" s="142">
        <f>B1361*IBGE_2!O$1361/100</f>
        <v>27.978000000000002</v>
      </c>
      <c r="P1361" s="142">
        <f>B1361*IBGE_2!P$1361/100</f>
        <v>4.7E-2</v>
      </c>
      <c r="Q1361" s="142">
        <f>B1361*IBGE_2!Q$1361/100</f>
        <v>220.8</v>
      </c>
      <c r="R1361" s="142">
        <f>B1361*IBGE_2!R$1361/100</f>
        <v>1.268</v>
      </c>
      <c r="S1361" s="142">
        <f>B1361*IBGE_2!S$1361/100</f>
        <v>77.088999999999999</v>
      </c>
      <c r="T1361" s="142">
        <f>B1361*IBGE_2!T$1361/100</f>
        <v>251.75599999999997</v>
      </c>
      <c r="U1361" s="142">
        <f>B1361*IBGE_2!U$1361/100</f>
        <v>5.6000000000000008E-2</v>
      </c>
      <c r="V1361" s="142">
        <f>B1361*IBGE_2!V$1361/100</f>
        <v>1.2609999999999999</v>
      </c>
      <c r="W1361" s="142">
        <f>B1361*IBGE_2!W$1361/100</f>
        <v>9</v>
      </c>
      <c r="X1361" s="142">
        <f>B1361*IBGE_2!X$1361/100</f>
        <v>0.1</v>
      </c>
      <c r="Y1361" s="142">
        <f>B1361*IBGE_2!Y$1361/100</f>
        <v>0.13800000000000001</v>
      </c>
      <c r="Z1361" s="142">
        <f>B1361*IBGE_2!Z$1361/100</f>
        <v>0.60199999999999998</v>
      </c>
      <c r="AA1361" s="142">
        <f>B1361*IBGE_2!AA$1361/100</f>
        <v>12.683</v>
      </c>
      <c r="AB1361" s="142" t="s">
        <v>3047</v>
      </c>
      <c r="AC1361" s="142">
        <f>B1361*IBGE_2!AC$1361/100</f>
        <v>18.794</v>
      </c>
      <c r="AD1361" s="142">
        <f>B1361*IBGE_2!AD$1361/100</f>
        <v>0.34</v>
      </c>
      <c r="AE1361" s="142">
        <f>B1361*IBGE_2!AE$1361/100</f>
        <v>13.067</v>
      </c>
      <c r="AF1361" s="142">
        <f>B1361*IBGE_2!AF$1361/100</f>
        <v>0.2</v>
      </c>
      <c r="AG1361" s="142">
        <f>B1361*IBGE_2!AG$1361/100</f>
        <v>0.48199999999999998</v>
      </c>
      <c r="AH1361" s="142">
        <f>B1361*IBGE_2!AH$1361/100</f>
        <v>0.10400000000000001</v>
      </c>
      <c r="AI1361" s="142">
        <f>B1361*IBGE_2!AI$1361/100</f>
        <v>333</v>
      </c>
      <c r="AJ1361" s="142">
        <f>B1361*IBGE_2!AJ$1361/100</f>
        <v>27.081</v>
      </c>
      <c r="AK1361" s="142">
        <f>B1361*IBGE_2!AK$1361/100</f>
        <v>9</v>
      </c>
      <c r="AL1361" s="142">
        <f>B1361*IBGE_2!AL$1361/100</f>
        <v>1.4000000000000002E-2</v>
      </c>
      <c r="AM1361" s="142" t="s">
        <v>3047</v>
      </c>
      <c r="AN1361" s="161"/>
    </row>
    <row r="1362" spans="1:40">
      <c r="A1362" s="143" t="s">
        <v>2422</v>
      </c>
      <c r="B1362" s="141">
        <v>100</v>
      </c>
      <c r="C1362" s="142">
        <f>B1362*IBGE_2!C$1362/100</f>
        <v>211.83699999999996</v>
      </c>
      <c r="D1362" s="142">
        <f>B1362*IBGE_2!D$1362/100</f>
        <v>31.369</v>
      </c>
      <c r="E1362" s="142">
        <f>B1362*IBGE_2!E$1362/100</f>
        <v>7.1170000000000009</v>
      </c>
      <c r="F1362" s="142">
        <f>B1362*IBGE_2!F$1362/100</f>
        <v>1.6779999999999999</v>
      </c>
      <c r="G1362" s="142">
        <f>B1362*IBGE_2!G$1362/100</f>
        <v>2.1280000000000001</v>
      </c>
      <c r="H1362" s="142">
        <f>B1362*IBGE_2!H$1362/100</f>
        <v>2.4780000000000002</v>
      </c>
      <c r="I1362" s="142">
        <f>B1362*IBGE_2!I$1362/100</f>
        <v>2.0630000000000002</v>
      </c>
      <c r="J1362" s="142">
        <f>B1362*IBGE_2!J$1362/100</f>
        <v>0.215</v>
      </c>
      <c r="K1362" s="142">
        <f>B1362*IBGE_2!K$1362/100</f>
        <v>85</v>
      </c>
      <c r="L1362" s="142">
        <f>B1362*IBGE_2!L$1362/100</f>
        <v>3.3919999999999999</v>
      </c>
      <c r="M1362" s="142">
        <f>B1362*IBGE_2!M$1362/100</f>
        <v>0.13500000000000001</v>
      </c>
      <c r="N1362" s="142">
        <f>B1362*IBGE_2!N$1362/100</f>
        <v>15.667</v>
      </c>
      <c r="O1362" s="142">
        <f>B1362*IBGE_2!O$1362/100</f>
        <v>27.978000000000002</v>
      </c>
      <c r="P1362" s="142">
        <f>B1362*IBGE_2!P$1362/100</f>
        <v>4.7E-2</v>
      </c>
      <c r="Q1362" s="142">
        <f>B1362*IBGE_2!Q$1362/100</f>
        <v>220.8</v>
      </c>
      <c r="R1362" s="142">
        <f>B1362*IBGE_2!R$1362/100</f>
        <v>1.268</v>
      </c>
      <c r="S1362" s="142">
        <f>B1362*IBGE_2!S$1362/100</f>
        <v>77.088999999999999</v>
      </c>
      <c r="T1362" s="142">
        <f>B1362*IBGE_2!T$1362/100</f>
        <v>251.75599999999997</v>
      </c>
      <c r="U1362" s="142">
        <f>B1362*IBGE_2!U$1362/100</f>
        <v>5.6000000000000008E-2</v>
      </c>
      <c r="V1362" s="142">
        <f>B1362*IBGE_2!V$1362/100</f>
        <v>1.2609999999999999</v>
      </c>
      <c r="W1362" s="142">
        <f>B1362*IBGE_2!W$1362/100</f>
        <v>9</v>
      </c>
      <c r="X1362" s="142">
        <f>B1362*IBGE_2!X$1362/100</f>
        <v>0.1</v>
      </c>
      <c r="Y1362" s="142">
        <f>B1362*IBGE_2!Y$1362/100</f>
        <v>0.13800000000000001</v>
      </c>
      <c r="Z1362" s="142">
        <f>B1362*IBGE_2!Z$1362/100</f>
        <v>0.60199999999999998</v>
      </c>
      <c r="AA1362" s="142">
        <f>B1362*IBGE_2!AA$1362/100</f>
        <v>12.683</v>
      </c>
      <c r="AB1362" s="142" t="s">
        <v>3047</v>
      </c>
      <c r="AC1362" s="142">
        <f>B1362*IBGE_2!AC$1362/100</f>
        <v>18.794</v>
      </c>
      <c r="AD1362" s="142">
        <f>B1362*IBGE_2!AD$1362/100</f>
        <v>0.34</v>
      </c>
      <c r="AE1362" s="142">
        <f>B1362*IBGE_2!AE$1362/100</f>
        <v>13.067</v>
      </c>
      <c r="AF1362" s="142">
        <f>B1362*IBGE_2!AF$1362/100</f>
        <v>0.2</v>
      </c>
      <c r="AG1362" s="142">
        <f>B1362*IBGE_2!AG$1362/100</f>
        <v>0.48199999999999998</v>
      </c>
      <c r="AH1362" s="142">
        <f>B1362*IBGE_2!AH$1362/100</f>
        <v>0.10400000000000001</v>
      </c>
      <c r="AI1362" s="142">
        <f>B1362*IBGE_2!AI$1362/100</f>
        <v>333</v>
      </c>
      <c r="AJ1362" s="142">
        <f>B1362*IBGE_2!AJ$1362/100</f>
        <v>27.081</v>
      </c>
      <c r="AK1362" s="142">
        <f>B1362*IBGE_2!AK$1362/100</f>
        <v>9</v>
      </c>
      <c r="AL1362" s="142">
        <f>B1362*IBGE_2!AL$1362/100</f>
        <v>1.4000000000000002E-2</v>
      </c>
      <c r="AM1362" s="142" t="s">
        <v>3047</v>
      </c>
      <c r="AN1362" s="161"/>
    </row>
    <row r="1363" spans="1:40">
      <c r="A1363" s="143" t="s">
        <v>2423</v>
      </c>
      <c r="B1363" s="141">
        <v>100</v>
      </c>
      <c r="C1363" s="142">
        <f>B1363*IBGE_2!C$1363/100</f>
        <v>211.83699999999996</v>
      </c>
      <c r="D1363" s="142">
        <f>B1363*IBGE_2!D$1363/100</f>
        <v>31.369</v>
      </c>
      <c r="E1363" s="142">
        <f>B1363*IBGE_2!E$1363/100</f>
        <v>7.1170000000000009</v>
      </c>
      <c r="F1363" s="142">
        <f>B1363*IBGE_2!F$1363/100</f>
        <v>1.6779999999999999</v>
      </c>
      <c r="G1363" s="142">
        <f>B1363*IBGE_2!G$1363/100</f>
        <v>2.1280000000000001</v>
      </c>
      <c r="H1363" s="142">
        <f>B1363*IBGE_2!H$1363/100</f>
        <v>2.4780000000000002</v>
      </c>
      <c r="I1363" s="142">
        <f>B1363*IBGE_2!I$1363/100</f>
        <v>2.0630000000000002</v>
      </c>
      <c r="J1363" s="142">
        <f>B1363*IBGE_2!J$1363/100</f>
        <v>0.215</v>
      </c>
      <c r="K1363" s="142">
        <f>B1363*IBGE_2!K$1363/100</f>
        <v>85</v>
      </c>
      <c r="L1363" s="142">
        <f>B1363*IBGE_2!L$1363/100</f>
        <v>3.3919999999999999</v>
      </c>
      <c r="M1363" s="142">
        <f>B1363*IBGE_2!M$1363/100</f>
        <v>0.13500000000000001</v>
      </c>
      <c r="N1363" s="142">
        <f>B1363*IBGE_2!N$1363/100</f>
        <v>15.667</v>
      </c>
      <c r="O1363" s="142">
        <f>B1363*IBGE_2!O$1363/100</f>
        <v>27.978000000000002</v>
      </c>
      <c r="P1363" s="142">
        <f>B1363*IBGE_2!P$1363/100</f>
        <v>4.7E-2</v>
      </c>
      <c r="Q1363" s="142">
        <f>B1363*IBGE_2!Q$1363/100</f>
        <v>220.8</v>
      </c>
      <c r="R1363" s="142">
        <f>B1363*IBGE_2!R$1363/100</f>
        <v>1.268</v>
      </c>
      <c r="S1363" s="142">
        <f>B1363*IBGE_2!S$1363/100</f>
        <v>77.088999999999999</v>
      </c>
      <c r="T1363" s="142">
        <f>B1363*IBGE_2!T$1363/100</f>
        <v>251.75599999999997</v>
      </c>
      <c r="U1363" s="142">
        <f>B1363*IBGE_2!U$1363/100</f>
        <v>5.6000000000000008E-2</v>
      </c>
      <c r="V1363" s="142">
        <f>B1363*IBGE_2!V$1363/100</f>
        <v>1.2609999999999999</v>
      </c>
      <c r="W1363" s="142">
        <f>B1363*IBGE_2!W$1363/100</f>
        <v>9</v>
      </c>
      <c r="X1363" s="142">
        <f>B1363*IBGE_2!X$1363/100</f>
        <v>0.1</v>
      </c>
      <c r="Y1363" s="142">
        <f>B1363*IBGE_2!Y$1363/100</f>
        <v>0.13800000000000001</v>
      </c>
      <c r="Z1363" s="142">
        <f>B1363*IBGE_2!Z$1363/100</f>
        <v>0.60199999999999998</v>
      </c>
      <c r="AA1363" s="142">
        <f>B1363*IBGE_2!AA$1363/100</f>
        <v>12.683</v>
      </c>
      <c r="AB1363" s="142" t="s">
        <v>3047</v>
      </c>
      <c r="AC1363" s="142">
        <f>B1363*IBGE_2!AC$1363/100</f>
        <v>18.794</v>
      </c>
      <c r="AD1363" s="142">
        <f>B1363*IBGE_2!AD$1363/100</f>
        <v>0.34</v>
      </c>
      <c r="AE1363" s="142">
        <f>B1363*IBGE_2!AE$1363/100</f>
        <v>13.067</v>
      </c>
      <c r="AF1363" s="142">
        <f>B1363*IBGE_2!AF$1363/100</f>
        <v>0.2</v>
      </c>
      <c r="AG1363" s="142">
        <f>B1363*IBGE_2!AG$1363/100</f>
        <v>0.48199999999999998</v>
      </c>
      <c r="AH1363" s="142">
        <f>B1363*IBGE_2!AH$1363/100</f>
        <v>0.10400000000000001</v>
      </c>
      <c r="AI1363" s="142">
        <f>B1363*IBGE_2!AI$1363/100</f>
        <v>333</v>
      </c>
      <c r="AJ1363" s="142">
        <f>B1363*IBGE_2!AJ$1363/100</f>
        <v>27.081</v>
      </c>
      <c r="AK1363" s="142">
        <f>B1363*IBGE_2!AK$1363/100</f>
        <v>9</v>
      </c>
      <c r="AL1363" s="142">
        <f>B1363*IBGE_2!AL$1363/100</f>
        <v>1.4000000000000002E-2</v>
      </c>
      <c r="AM1363" s="142" t="s">
        <v>3047</v>
      </c>
      <c r="AN1363" s="161"/>
    </row>
    <row r="1364" spans="1:40">
      <c r="A1364" s="143" t="s">
        <v>2424</v>
      </c>
      <c r="B1364" s="141">
        <v>100</v>
      </c>
      <c r="C1364" s="142">
        <f>B1364*IBGE_2!C$1364/100</f>
        <v>211.83699999999996</v>
      </c>
      <c r="D1364" s="142">
        <f>B1364*IBGE_2!D$1364/100</f>
        <v>31.369</v>
      </c>
      <c r="E1364" s="142">
        <f>B1364*IBGE_2!E$1364/100</f>
        <v>7.1170000000000009</v>
      </c>
      <c r="F1364" s="142">
        <f>B1364*IBGE_2!F$1364/100</f>
        <v>1.6779999999999999</v>
      </c>
      <c r="G1364" s="142">
        <f>B1364*IBGE_2!G$1364/100</f>
        <v>2.1280000000000001</v>
      </c>
      <c r="H1364" s="142">
        <f>B1364*IBGE_2!H$1364/100</f>
        <v>2.4780000000000002</v>
      </c>
      <c r="I1364" s="142">
        <f>B1364*IBGE_2!I$1364/100</f>
        <v>2.0630000000000002</v>
      </c>
      <c r="J1364" s="142">
        <f>B1364*IBGE_2!J$1364/100</f>
        <v>0.215</v>
      </c>
      <c r="K1364" s="142">
        <f>B1364*IBGE_2!K$1364/100</f>
        <v>85</v>
      </c>
      <c r="L1364" s="142">
        <f>B1364*IBGE_2!L$1364/100</f>
        <v>3.3919999999999999</v>
      </c>
      <c r="M1364" s="142">
        <f>B1364*IBGE_2!M$1364/100</f>
        <v>0.13500000000000001</v>
      </c>
      <c r="N1364" s="142">
        <f>B1364*IBGE_2!N$1364/100</f>
        <v>15.667</v>
      </c>
      <c r="O1364" s="142">
        <f>B1364*IBGE_2!O$1364/100</f>
        <v>27.978000000000002</v>
      </c>
      <c r="P1364" s="142">
        <f>B1364*IBGE_2!P$1364/100</f>
        <v>4.7E-2</v>
      </c>
      <c r="Q1364" s="142">
        <f>B1364*IBGE_2!Q$1364/100</f>
        <v>220.8</v>
      </c>
      <c r="R1364" s="142">
        <f>B1364*IBGE_2!R$1364/100</f>
        <v>1.268</v>
      </c>
      <c r="S1364" s="142">
        <f>B1364*IBGE_2!S$1364/100</f>
        <v>77.088999999999999</v>
      </c>
      <c r="T1364" s="142">
        <f>B1364*IBGE_2!T$1364/100</f>
        <v>251.75599999999997</v>
      </c>
      <c r="U1364" s="142">
        <f>B1364*IBGE_2!U$1364/100</f>
        <v>5.6000000000000008E-2</v>
      </c>
      <c r="V1364" s="142">
        <f>B1364*IBGE_2!V$1364/100</f>
        <v>1.2609999999999999</v>
      </c>
      <c r="W1364" s="142">
        <f>B1364*IBGE_2!W$1364/100</f>
        <v>9</v>
      </c>
      <c r="X1364" s="142">
        <f>B1364*IBGE_2!X$1364/100</f>
        <v>0.1</v>
      </c>
      <c r="Y1364" s="142">
        <f>B1364*IBGE_2!Y$1364/100</f>
        <v>0.13800000000000001</v>
      </c>
      <c r="Z1364" s="142">
        <f>B1364*IBGE_2!Z$1364/100</f>
        <v>0.60199999999999998</v>
      </c>
      <c r="AA1364" s="142">
        <f>B1364*IBGE_2!AA$1364/100</f>
        <v>12.683</v>
      </c>
      <c r="AB1364" s="142" t="s">
        <v>3047</v>
      </c>
      <c r="AC1364" s="142">
        <f>B1364*IBGE_2!AC$1364/100</f>
        <v>18.794</v>
      </c>
      <c r="AD1364" s="142">
        <f>B1364*IBGE_2!AD$1364/100</f>
        <v>0.34</v>
      </c>
      <c r="AE1364" s="142">
        <f>B1364*IBGE_2!AE$1364/100</f>
        <v>13.067</v>
      </c>
      <c r="AF1364" s="142">
        <f>B1364*IBGE_2!AF$1364/100</f>
        <v>0.2</v>
      </c>
      <c r="AG1364" s="142">
        <f>B1364*IBGE_2!AG$1364/100</f>
        <v>0.48199999999999998</v>
      </c>
      <c r="AH1364" s="142">
        <f>B1364*IBGE_2!AH$1364/100</f>
        <v>0.10400000000000001</v>
      </c>
      <c r="AI1364" s="142">
        <f>B1364*IBGE_2!AI$1364/100</f>
        <v>333</v>
      </c>
      <c r="AJ1364" s="142">
        <f>B1364*IBGE_2!AJ$1364/100</f>
        <v>27.081</v>
      </c>
      <c r="AK1364" s="142">
        <f>B1364*IBGE_2!AK$1364/100</f>
        <v>9</v>
      </c>
      <c r="AL1364" s="142">
        <f>B1364*IBGE_2!AL$1364/100</f>
        <v>1.4000000000000002E-2</v>
      </c>
      <c r="AM1364" s="142" t="s">
        <v>3047</v>
      </c>
      <c r="AN1364" s="161"/>
    </row>
    <row r="1365" spans="1:40">
      <c r="A1365" s="143" t="s">
        <v>2425</v>
      </c>
      <c r="B1365" s="141">
        <v>100</v>
      </c>
      <c r="C1365" s="142">
        <f>B1365*IBGE_2!C$1365/100</f>
        <v>211.83699999999996</v>
      </c>
      <c r="D1365" s="142">
        <f>B1365*IBGE_2!D$1365/100</f>
        <v>31.369</v>
      </c>
      <c r="E1365" s="142">
        <f>B1365*IBGE_2!E$1365/100</f>
        <v>7.1170000000000009</v>
      </c>
      <c r="F1365" s="142">
        <f>B1365*IBGE_2!F$1365/100</f>
        <v>1.6779999999999999</v>
      </c>
      <c r="G1365" s="142">
        <f>B1365*IBGE_2!G$1365/100</f>
        <v>2.1280000000000001</v>
      </c>
      <c r="H1365" s="142">
        <f>B1365*IBGE_2!H$1365/100</f>
        <v>2.4780000000000002</v>
      </c>
      <c r="I1365" s="142">
        <f>B1365*IBGE_2!I$1365/100</f>
        <v>2.0630000000000002</v>
      </c>
      <c r="J1365" s="142">
        <f>B1365*IBGE_2!J$1365/100</f>
        <v>0.215</v>
      </c>
      <c r="K1365" s="142">
        <f>B1365*IBGE_2!K$1365/100</f>
        <v>85</v>
      </c>
      <c r="L1365" s="142">
        <f>B1365*IBGE_2!L$1365/100</f>
        <v>3.3919999999999999</v>
      </c>
      <c r="M1365" s="142">
        <f>B1365*IBGE_2!M$1365/100</f>
        <v>0.13500000000000001</v>
      </c>
      <c r="N1365" s="142">
        <f>B1365*IBGE_2!N$1365/100</f>
        <v>15.667</v>
      </c>
      <c r="O1365" s="142">
        <f>B1365*IBGE_2!O$1365/100</f>
        <v>27.978000000000002</v>
      </c>
      <c r="P1365" s="142">
        <f>B1365*IBGE_2!P$1365/100</f>
        <v>4.7E-2</v>
      </c>
      <c r="Q1365" s="142">
        <f>B1365*IBGE_2!Q$1365/100</f>
        <v>220.8</v>
      </c>
      <c r="R1365" s="142">
        <f>B1365*IBGE_2!R$1365/100</f>
        <v>1.268</v>
      </c>
      <c r="S1365" s="142">
        <f>B1365*IBGE_2!S$1365/100</f>
        <v>77.088999999999999</v>
      </c>
      <c r="T1365" s="142">
        <f>B1365*IBGE_2!T$1365/100</f>
        <v>251.75599999999997</v>
      </c>
      <c r="U1365" s="142">
        <f>B1365*IBGE_2!U$1365/100</f>
        <v>5.6000000000000008E-2</v>
      </c>
      <c r="V1365" s="142">
        <f>B1365*IBGE_2!V$1365/100</f>
        <v>1.2609999999999999</v>
      </c>
      <c r="W1365" s="142">
        <f>B1365*IBGE_2!W$1365/100</f>
        <v>9</v>
      </c>
      <c r="X1365" s="142">
        <f>B1365*IBGE_2!X$1365/100</f>
        <v>0.1</v>
      </c>
      <c r="Y1365" s="142">
        <f>B1365*IBGE_2!Y$1365/100</f>
        <v>0.13800000000000001</v>
      </c>
      <c r="Z1365" s="142">
        <f>B1365*IBGE_2!Z$1365/100</f>
        <v>0.60199999999999998</v>
      </c>
      <c r="AA1365" s="142">
        <f>B1365*IBGE_2!AA$1365/100</f>
        <v>12.683</v>
      </c>
      <c r="AB1365" s="142" t="s">
        <v>3047</v>
      </c>
      <c r="AC1365" s="142">
        <f>B1365*IBGE_2!AC$1365/100</f>
        <v>18.794</v>
      </c>
      <c r="AD1365" s="142">
        <f>B1365*IBGE_2!AD$1365/100</f>
        <v>0.34</v>
      </c>
      <c r="AE1365" s="142">
        <f>B1365*IBGE_2!AE$1365/100</f>
        <v>13.067</v>
      </c>
      <c r="AF1365" s="142">
        <f>B1365*IBGE_2!AF$1365/100</f>
        <v>0.2</v>
      </c>
      <c r="AG1365" s="142">
        <f>B1365*IBGE_2!AG$1365/100</f>
        <v>0.48199999999999998</v>
      </c>
      <c r="AH1365" s="142">
        <f>B1365*IBGE_2!AH$1365/100</f>
        <v>0.10400000000000001</v>
      </c>
      <c r="AI1365" s="142">
        <f>B1365*IBGE_2!AI$1365/100</f>
        <v>333</v>
      </c>
      <c r="AJ1365" s="142">
        <f>B1365*IBGE_2!AJ$1365/100</f>
        <v>27.081</v>
      </c>
      <c r="AK1365" s="142">
        <f>B1365*IBGE_2!AK$1365/100</f>
        <v>9</v>
      </c>
      <c r="AL1365" s="142">
        <f>B1365*IBGE_2!AL$1365/100</f>
        <v>1.4000000000000002E-2</v>
      </c>
      <c r="AM1365" s="142" t="s">
        <v>3047</v>
      </c>
      <c r="AN1365" s="161"/>
    </row>
    <row r="1366" spans="1:40">
      <c r="A1366" s="143" t="s">
        <v>2426</v>
      </c>
      <c r="B1366" s="141">
        <v>100</v>
      </c>
      <c r="C1366" s="142">
        <f>B1366*IBGE_2!C$1366/100</f>
        <v>211.83699999999996</v>
      </c>
      <c r="D1366" s="142">
        <f>B1366*IBGE_2!D$1366/100</f>
        <v>31.369</v>
      </c>
      <c r="E1366" s="142">
        <f>B1366*IBGE_2!E$1366/100</f>
        <v>7.1170000000000009</v>
      </c>
      <c r="F1366" s="142">
        <f>B1366*IBGE_2!F$1366/100</f>
        <v>1.6779999999999999</v>
      </c>
      <c r="G1366" s="142">
        <f>B1366*IBGE_2!G$1366/100</f>
        <v>2.1280000000000001</v>
      </c>
      <c r="H1366" s="142">
        <f>B1366*IBGE_2!H$1366/100</f>
        <v>2.4780000000000002</v>
      </c>
      <c r="I1366" s="142">
        <f>B1366*IBGE_2!I$1366/100</f>
        <v>2.0630000000000002</v>
      </c>
      <c r="J1366" s="142">
        <f>B1366*IBGE_2!J$1366/100</f>
        <v>0.215</v>
      </c>
      <c r="K1366" s="142">
        <f>B1366*IBGE_2!K$1366/100</f>
        <v>85</v>
      </c>
      <c r="L1366" s="142">
        <f>B1366*IBGE_2!L$1366/100</f>
        <v>3.3919999999999999</v>
      </c>
      <c r="M1366" s="142">
        <f>B1366*IBGE_2!M$1366/100</f>
        <v>0.13500000000000001</v>
      </c>
      <c r="N1366" s="142">
        <f>B1366*IBGE_2!N$1366/100</f>
        <v>15.667</v>
      </c>
      <c r="O1366" s="142">
        <f>B1366*IBGE_2!O$1366/100</f>
        <v>27.978000000000002</v>
      </c>
      <c r="P1366" s="142">
        <f>B1366*IBGE_2!P$1366/100</f>
        <v>4.7E-2</v>
      </c>
      <c r="Q1366" s="142">
        <f>B1366*IBGE_2!Q$1366/100</f>
        <v>220.8</v>
      </c>
      <c r="R1366" s="142">
        <f>B1366*IBGE_2!R$1366/100</f>
        <v>1.268</v>
      </c>
      <c r="S1366" s="142">
        <f>B1366*IBGE_2!S$1366/100</f>
        <v>77.088999999999999</v>
      </c>
      <c r="T1366" s="142">
        <f>B1366*IBGE_2!T$1366/100</f>
        <v>251.75599999999997</v>
      </c>
      <c r="U1366" s="142">
        <f>B1366*IBGE_2!U$1366/100</f>
        <v>5.6000000000000008E-2</v>
      </c>
      <c r="V1366" s="142">
        <f>B1366*IBGE_2!V$1366/100</f>
        <v>1.2609999999999999</v>
      </c>
      <c r="W1366" s="142">
        <f>B1366*IBGE_2!W$1366/100</f>
        <v>9</v>
      </c>
      <c r="X1366" s="142">
        <f>B1366*IBGE_2!X$1366/100</f>
        <v>0.1</v>
      </c>
      <c r="Y1366" s="142">
        <f>B1366*IBGE_2!Y$1366/100</f>
        <v>0.13800000000000001</v>
      </c>
      <c r="Z1366" s="142">
        <f>B1366*IBGE_2!Z$1366/100</f>
        <v>0.60199999999999998</v>
      </c>
      <c r="AA1366" s="142">
        <f>B1366*IBGE_2!AA$1366/100</f>
        <v>12.683</v>
      </c>
      <c r="AB1366" s="142" t="s">
        <v>3047</v>
      </c>
      <c r="AC1366" s="142">
        <f>B1366*IBGE_2!AC$1366/100</f>
        <v>18.794</v>
      </c>
      <c r="AD1366" s="142">
        <f>B1366*IBGE_2!AD$1366/100</f>
        <v>0.34</v>
      </c>
      <c r="AE1366" s="142">
        <f>B1366*IBGE_2!AE$1366/100</f>
        <v>13.067</v>
      </c>
      <c r="AF1366" s="142">
        <f>B1366*IBGE_2!AF$1366/100</f>
        <v>0.2</v>
      </c>
      <c r="AG1366" s="142">
        <f>B1366*IBGE_2!AG$1366/100</f>
        <v>0.48199999999999998</v>
      </c>
      <c r="AH1366" s="142">
        <f>B1366*IBGE_2!AH$1366/100</f>
        <v>0.10400000000000001</v>
      </c>
      <c r="AI1366" s="142">
        <f>B1366*IBGE_2!AI$1366/100</f>
        <v>333</v>
      </c>
      <c r="AJ1366" s="142">
        <f>B1366*IBGE_2!AJ$1366/100</f>
        <v>27.081</v>
      </c>
      <c r="AK1366" s="142">
        <f>B1366*IBGE_2!AK$1366/100</f>
        <v>9</v>
      </c>
      <c r="AL1366" s="142">
        <f>B1366*IBGE_2!AL$1366/100</f>
        <v>1.4000000000000002E-2</v>
      </c>
      <c r="AM1366" s="142" t="s">
        <v>3047</v>
      </c>
      <c r="AN1366" s="161"/>
    </row>
    <row r="1367" spans="1:40">
      <c r="A1367" s="143" t="s">
        <v>2427</v>
      </c>
      <c r="B1367" s="141">
        <v>100</v>
      </c>
      <c r="C1367" s="142">
        <f>B1367*IBGE_2!C$1367/100</f>
        <v>269.65899999999999</v>
      </c>
      <c r="D1367" s="142">
        <f>B1367*IBGE_2!D$1367/100</f>
        <v>32.4</v>
      </c>
      <c r="E1367" s="142">
        <f>B1367*IBGE_2!E$1367/100</f>
        <v>14.663</v>
      </c>
      <c r="F1367" s="142">
        <f>B1367*IBGE_2!F$1367/100</f>
        <v>3.9180000000000001</v>
      </c>
      <c r="G1367" s="142">
        <f>B1367*IBGE_2!G$1367/100</f>
        <v>6.2110000000000003</v>
      </c>
      <c r="H1367" s="142">
        <f>B1367*IBGE_2!H$1367/100</f>
        <v>3.0169999999999999</v>
      </c>
      <c r="I1367" s="142">
        <f>B1367*IBGE_2!I$1367/100</f>
        <v>2.3610000000000002</v>
      </c>
      <c r="J1367" s="142">
        <f>B1367*IBGE_2!J$1367/100</f>
        <v>0.30399999999999999</v>
      </c>
      <c r="K1367" s="142">
        <f>B1367*IBGE_2!K$1367/100</f>
        <v>89</v>
      </c>
      <c r="L1367" s="142" t="s">
        <v>3047</v>
      </c>
      <c r="M1367" s="142" t="s">
        <v>3047</v>
      </c>
      <c r="N1367" s="142">
        <f>B1367*IBGE_2!N$1367/100</f>
        <v>16</v>
      </c>
      <c r="O1367" s="142">
        <f>B1367*IBGE_2!O$1367/100</f>
        <v>22</v>
      </c>
      <c r="P1367" s="142">
        <f>B1367*IBGE_2!P$1367/100</f>
        <v>2.6000000000000002E-2</v>
      </c>
      <c r="Q1367" s="142">
        <f>B1367*IBGE_2!Q$1367/100</f>
        <v>242</v>
      </c>
      <c r="R1367" s="142">
        <f>B1367*IBGE_2!R$1367/100</f>
        <v>1.431</v>
      </c>
      <c r="S1367" s="142">
        <f>B1367*IBGE_2!S$1367/100</f>
        <v>43</v>
      </c>
      <c r="T1367" s="142">
        <f>B1367*IBGE_2!T$1367/100</f>
        <v>271</v>
      </c>
      <c r="U1367" s="142">
        <f>B1367*IBGE_2!U$1367/100</f>
        <v>8.4000000000000005E-2</v>
      </c>
      <c r="V1367" s="142">
        <f>B1367*IBGE_2!V$1367/100</f>
        <v>1.37</v>
      </c>
      <c r="W1367" s="142">
        <f>B1367*IBGE_2!W$1367/100</f>
        <v>57</v>
      </c>
      <c r="X1367" s="142">
        <f>B1367*IBGE_2!X$1367/100</f>
        <v>7.0000000000000007E-2</v>
      </c>
      <c r="Y1367" s="142">
        <f>B1367*IBGE_2!Y$1367/100</f>
        <v>0.18</v>
      </c>
      <c r="Z1367" s="142">
        <f>B1367*IBGE_2!Z$1367/100</f>
        <v>0.75</v>
      </c>
      <c r="AA1367" s="142">
        <f>B1367*IBGE_2!AA$1367/100</f>
        <v>7.53</v>
      </c>
      <c r="AB1367" s="142">
        <f>B1367*IBGE_2!AB$1367/100</f>
        <v>2.2999999999999998</v>
      </c>
      <c r="AC1367" s="142">
        <f>B1367*IBGE_2!AC$1367/100</f>
        <v>15.047000000000001</v>
      </c>
      <c r="AD1367" s="142">
        <f>B1367*IBGE_2!AD$1367/100</f>
        <v>0.72</v>
      </c>
      <c r="AE1367" s="142">
        <f>B1367*IBGE_2!AE$1367/100</f>
        <v>5</v>
      </c>
      <c r="AF1367" s="142">
        <f>B1367*IBGE_2!AF$1367/100</f>
        <v>0.23899999999999999</v>
      </c>
      <c r="AG1367" s="142">
        <f>B1367*IBGE_2!AG$1367/100</f>
        <v>0.48</v>
      </c>
      <c r="AH1367" s="142">
        <f>B1367*IBGE_2!AH$1367/100</f>
        <v>0.27700000000000002</v>
      </c>
      <c r="AI1367" s="142">
        <f>B1367*IBGE_2!AI$1367/100</f>
        <v>333</v>
      </c>
      <c r="AJ1367" s="142">
        <f>B1367*IBGE_2!AJ$1367/100</f>
        <v>21.875</v>
      </c>
      <c r="AK1367" s="142">
        <f>B1367*IBGE_2!AK$1367/100</f>
        <v>57</v>
      </c>
      <c r="AL1367" s="145" t="s">
        <v>3047</v>
      </c>
      <c r="AM1367" s="142" t="s">
        <v>3047</v>
      </c>
      <c r="AN1367" s="161"/>
    </row>
    <row r="1368" spans="1:40">
      <c r="A1368" s="143" t="s">
        <v>2428</v>
      </c>
      <c r="B1368" s="141">
        <v>100</v>
      </c>
      <c r="C1368" s="142">
        <f>B1368*IBGE_2!C$1368/100</f>
        <v>290</v>
      </c>
      <c r="D1368" s="142">
        <f>B1368*IBGE_2!D$1368/100</f>
        <v>26.86</v>
      </c>
      <c r="E1368" s="142">
        <f>B1368*IBGE_2!E$1368/100</f>
        <v>19.46</v>
      </c>
      <c r="F1368" s="142">
        <f>B1368*IBGE_2!F$1368/100</f>
        <v>5.45</v>
      </c>
      <c r="G1368" s="142">
        <f>B1368*IBGE_2!G$1368/100</f>
        <v>7.64</v>
      </c>
      <c r="H1368" s="142">
        <f>B1368*IBGE_2!H$1368/100</f>
        <v>4.1399999999999997</v>
      </c>
      <c r="I1368" s="142">
        <f>B1368*IBGE_2!I$1368/100</f>
        <v>3.57</v>
      </c>
      <c r="J1368" s="142">
        <f>B1368*IBGE_2!J$1368/100</f>
        <v>0.15</v>
      </c>
      <c r="K1368" s="142">
        <f>B1368*IBGE_2!K$1368/100</f>
        <v>84</v>
      </c>
      <c r="L1368" s="142" t="s">
        <v>3047</v>
      </c>
      <c r="M1368" s="142" t="s">
        <v>3047</v>
      </c>
      <c r="N1368" s="142">
        <f>B1368*IBGE_2!N$1368/100</f>
        <v>15</v>
      </c>
      <c r="O1368" s="142">
        <f>B1368*IBGE_2!O$1368/100</f>
        <v>19</v>
      </c>
      <c r="P1368" s="142">
        <f>B1368*IBGE_2!P$1368/100</f>
        <v>1.7999999999999999E-2</v>
      </c>
      <c r="Q1368" s="142">
        <f>B1368*IBGE_2!Q$1368/100</f>
        <v>151</v>
      </c>
      <c r="R1368" s="142">
        <f>B1368*IBGE_2!R$1368/100</f>
        <v>1.27</v>
      </c>
      <c r="S1368" s="142">
        <f>B1368*IBGE_2!S$1368/100</f>
        <v>82</v>
      </c>
      <c r="T1368" s="142">
        <f>B1368*IBGE_2!T$1368/100</f>
        <v>184</v>
      </c>
      <c r="U1368" s="142">
        <f>B1368*IBGE_2!U$1368/100</f>
        <v>5.7000000000000002E-2</v>
      </c>
      <c r="V1368" s="142">
        <f>B1368*IBGE_2!V$1368/100</f>
        <v>1.82</v>
      </c>
      <c r="W1368" s="142">
        <f>B1368*IBGE_2!W$1368/100</f>
        <v>47</v>
      </c>
      <c r="X1368" s="142">
        <f>B1368*IBGE_2!X$1368/100</f>
        <v>4.2000000000000003E-2</v>
      </c>
      <c r="Y1368" s="142">
        <f>B1368*IBGE_2!Y$1368/100</f>
        <v>0.128</v>
      </c>
      <c r="Z1368" s="142">
        <f>B1368*IBGE_2!Z$1368/100</f>
        <v>0.42</v>
      </c>
      <c r="AA1368" s="142">
        <f>B1368*IBGE_2!AA$1368/100</f>
        <v>6.6479999999999997</v>
      </c>
      <c r="AB1368" s="142" t="s">
        <v>3047</v>
      </c>
      <c r="AC1368" s="142">
        <f>B1368*IBGE_2!AC$1368/100</f>
        <v>11.430999999999999</v>
      </c>
      <c r="AD1368" s="142">
        <f>B1368*IBGE_2!AD$1368/100</f>
        <v>0.28999999999999998</v>
      </c>
      <c r="AE1368" s="142">
        <f>B1368*IBGE_2!AE$1368/100</f>
        <v>3</v>
      </c>
      <c r="AF1368" s="142">
        <f>B1368*IBGE_2!AF$1368/100</f>
        <v>0.4</v>
      </c>
      <c r="AG1368" s="142">
        <f>B1368*IBGE_2!AG$1368/100</f>
        <v>0.27</v>
      </c>
      <c r="AH1368" s="142">
        <f>B1368*IBGE_2!AH$1368/100</f>
        <v>0.39</v>
      </c>
      <c r="AI1368" s="142">
        <f>B1368*IBGE_2!AI$1368/100</f>
        <v>333</v>
      </c>
      <c r="AJ1368" s="142">
        <f>B1368*IBGE_2!AJ$1368/100</f>
        <v>22.2</v>
      </c>
      <c r="AK1368" s="142">
        <f>B1368*IBGE_2!AK$1368/100</f>
        <v>47</v>
      </c>
      <c r="AL1368" s="145" t="s">
        <v>3047</v>
      </c>
      <c r="AM1368" s="142" t="s">
        <v>3047</v>
      </c>
      <c r="AN1368" s="161"/>
    </row>
    <row r="1369" spans="1:40">
      <c r="A1369" s="143" t="s">
        <v>2429</v>
      </c>
      <c r="B1369" s="141">
        <v>100</v>
      </c>
      <c r="C1369" s="142">
        <f>B1369*IBGE_2!C$1369/100</f>
        <v>290</v>
      </c>
      <c r="D1369" s="142">
        <f>B1369*IBGE_2!D$1369/100</f>
        <v>26.86</v>
      </c>
      <c r="E1369" s="142">
        <f>B1369*IBGE_2!E$1369/100</f>
        <v>19.46</v>
      </c>
      <c r="F1369" s="142">
        <f>B1369*IBGE_2!F$1369/100</f>
        <v>5.45</v>
      </c>
      <c r="G1369" s="142">
        <f>B1369*IBGE_2!G$1369/100</f>
        <v>7.64</v>
      </c>
      <c r="H1369" s="142">
        <f>B1369*IBGE_2!H$1369/100</f>
        <v>4.1399999999999997</v>
      </c>
      <c r="I1369" s="142">
        <f>B1369*IBGE_2!I$1369/100</f>
        <v>3.57</v>
      </c>
      <c r="J1369" s="142">
        <f>B1369*IBGE_2!J$1369/100</f>
        <v>0.15</v>
      </c>
      <c r="K1369" s="142">
        <f>B1369*IBGE_2!K$1369/100</f>
        <v>84</v>
      </c>
      <c r="L1369" s="142" t="s">
        <v>3047</v>
      </c>
      <c r="M1369" s="142" t="s">
        <v>3047</v>
      </c>
      <c r="N1369" s="142">
        <f>B1369*IBGE_2!N$1369/100</f>
        <v>15</v>
      </c>
      <c r="O1369" s="142">
        <f>B1369*IBGE_2!O$1369/100</f>
        <v>19</v>
      </c>
      <c r="P1369" s="142">
        <f>B1369*IBGE_2!P$1369/100</f>
        <v>1.7999999999999999E-2</v>
      </c>
      <c r="Q1369" s="142">
        <f>B1369*IBGE_2!Q$1369/100</f>
        <v>151</v>
      </c>
      <c r="R1369" s="142">
        <f>B1369*IBGE_2!R$1369/100</f>
        <v>1.27</v>
      </c>
      <c r="S1369" s="142">
        <f>B1369*IBGE_2!S$1369/100</f>
        <v>82</v>
      </c>
      <c r="T1369" s="142">
        <f>B1369*IBGE_2!T$1369/100</f>
        <v>184</v>
      </c>
      <c r="U1369" s="142">
        <f>B1369*IBGE_2!U$1369/100</f>
        <v>5.7000000000000002E-2</v>
      </c>
      <c r="V1369" s="142">
        <f>B1369*IBGE_2!V$1369/100</f>
        <v>1.82</v>
      </c>
      <c r="W1369" s="142">
        <f>B1369*IBGE_2!W$1369/100</f>
        <v>47</v>
      </c>
      <c r="X1369" s="142">
        <f>B1369*IBGE_2!X$1369/100</f>
        <v>4.2000000000000003E-2</v>
      </c>
      <c r="Y1369" s="142">
        <f>B1369*IBGE_2!Y$1369/100</f>
        <v>0.128</v>
      </c>
      <c r="Z1369" s="142">
        <f>B1369*IBGE_2!Z$1369/100</f>
        <v>0.42</v>
      </c>
      <c r="AA1369" s="142">
        <f>B1369*IBGE_2!AA$1369/100</f>
        <v>6.6479999999999997</v>
      </c>
      <c r="AB1369" s="142" t="s">
        <v>3047</v>
      </c>
      <c r="AC1369" s="142">
        <f>B1369*IBGE_2!AC$1369/100</f>
        <v>11.430999999999999</v>
      </c>
      <c r="AD1369" s="142">
        <f>B1369*IBGE_2!AD$1369/100</f>
        <v>0.28999999999999998</v>
      </c>
      <c r="AE1369" s="142">
        <f>B1369*IBGE_2!AE$1369/100</f>
        <v>3</v>
      </c>
      <c r="AF1369" s="142">
        <f>B1369*IBGE_2!AF$1369/100</f>
        <v>0.4</v>
      </c>
      <c r="AG1369" s="142">
        <f>B1369*IBGE_2!AG$1369/100</f>
        <v>0.27</v>
      </c>
      <c r="AH1369" s="142">
        <f>B1369*IBGE_2!AH$1369/100</f>
        <v>0.39</v>
      </c>
      <c r="AI1369" s="142">
        <f>B1369*IBGE_2!AI$1369/100</f>
        <v>333</v>
      </c>
      <c r="AJ1369" s="142">
        <f>B1369*IBGE_2!AJ$1369/100</f>
        <v>22.2</v>
      </c>
      <c r="AK1369" s="142">
        <f>B1369*IBGE_2!AK$1369/100</f>
        <v>47</v>
      </c>
      <c r="AL1369" s="145" t="s">
        <v>3047</v>
      </c>
      <c r="AM1369" s="142" t="s">
        <v>3047</v>
      </c>
      <c r="AN1369" s="161"/>
    </row>
    <row r="1370" spans="1:40">
      <c r="A1370" s="143" t="s">
        <v>2430</v>
      </c>
      <c r="B1370" s="141">
        <v>100</v>
      </c>
      <c r="C1370" s="142">
        <f>B1370*IBGE_2!C$1370/100</f>
        <v>312.65899999999999</v>
      </c>
      <c r="D1370" s="142">
        <f>B1370*IBGE_2!D$1370/100</f>
        <v>26.86</v>
      </c>
      <c r="E1370" s="142">
        <f>B1370*IBGE_2!E$1370/100</f>
        <v>22.023000000000003</v>
      </c>
      <c r="F1370" s="142">
        <f>B1370*IBGE_2!F$1370/100</f>
        <v>5.851</v>
      </c>
      <c r="G1370" s="142">
        <f>B1370*IBGE_2!G$1370/100</f>
        <v>8.2240000000000002</v>
      </c>
      <c r="H1370" s="142">
        <f>B1370*IBGE_2!H$1370/100</f>
        <v>5.62</v>
      </c>
      <c r="I1370" s="142">
        <f>B1370*IBGE_2!I$1370/100</f>
        <v>4.8760000000000003</v>
      </c>
      <c r="J1370" s="142">
        <f>B1370*IBGE_2!J$1370/100</f>
        <v>0.32400000000000001</v>
      </c>
      <c r="K1370" s="142">
        <f>B1370*IBGE_2!K$1370/100</f>
        <v>84</v>
      </c>
      <c r="L1370" s="142" t="s">
        <v>3047</v>
      </c>
      <c r="M1370" s="142" t="s">
        <v>3047</v>
      </c>
      <c r="N1370" s="142">
        <f>B1370*IBGE_2!N$1370/100</f>
        <v>15</v>
      </c>
      <c r="O1370" s="142">
        <f>B1370*IBGE_2!O$1370/100</f>
        <v>19</v>
      </c>
      <c r="P1370" s="142">
        <f>B1370*IBGE_2!P$1370/100</f>
        <v>1.7999999999999999E-2</v>
      </c>
      <c r="Q1370" s="142">
        <f>B1370*IBGE_2!Q$1370/100</f>
        <v>151</v>
      </c>
      <c r="R1370" s="142">
        <f>B1370*IBGE_2!R$1370/100</f>
        <v>1.2709999999999999</v>
      </c>
      <c r="S1370" s="142">
        <f>B1370*IBGE_2!S$1370/100</f>
        <v>82</v>
      </c>
      <c r="T1370" s="142">
        <f>B1370*IBGE_2!T$1370/100</f>
        <v>184</v>
      </c>
      <c r="U1370" s="142">
        <f>B1370*IBGE_2!U$1370/100</f>
        <v>5.7000000000000002E-2</v>
      </c>
      <c r="V1370" s="142">
        <f>B1370*IBGE_2!V$1370/100</f>
        <v>1.82</v>
      </c>
      <c r="W1370" s="142">
        <f>B1370*IBGE_2!W$1370/100</f>
        <v>47</v>
      </c>
      <c r="X1370" s="142">
        <f>B1370*IBGE_2!X$1370/100</f>
        <v>4.2000000000000003E-2</v>
      </c>
      <c r="Y1370" s="142">
        <f>B1370*IBGE_2!Y$1370/100</f>
        <v>0.128</v>
      </c>
      <c r="Z1370" s="142">
        <f>B1370*IBGE_2!Z$1370/100</f>
        <v>0.42</v>
      </c>
      <c r="AA1370" s="142">
        <f>B1370*IBGE_2!AA$1370/100</f>
        <v>6.6479999999999997</v>
      </c>
      <c r="AB1370" s="142" t="s">
        <v>3047</v>
      </c>
      <c r="AC1370" s="142">
        <f>B1370*IBGE_2!AC$1370/100</f>
        <v>11.430999999999999</v>
      </c>
      <c r="AD1370" s="142">
        <f>B1370*IBGE_2!AD$1370/100</f>
        <v>0.28999999999999998</v>
      </c>
      <c r="AE1370" s="142">
        <f>B1370*IBGE_2!AE$1370/100</f>
        <v>3</v>
      </c>
      <c r="AF1370" s="142">
        <f>B1370*IBGE_2!AF$1370/100</f>
        <v>0.4</v>
      </c>
      <c r="AG1370" s="142">
        <f>B1370*IBGE_2!AG$1370/100</f>
        <v>0.48</v>
      </c>
      <c r="AH1370" s="142">
        <f>B1370*IBGE_2!AH$1370/100</f>
        <v>0.40400000000000008</v>
      </c>
      <c r="AI1370" s="142">
        <f>B1370*IBGE_2!AI$1370/100</f>
        <v>333</v>
      </c>
      <c r="AJ1370" s="142">
        <f>B1370*IBGE_2!AJ$1370/100</f>
        <v>23.375</v>
      </c>
      <c r="AK1370" s="142">
        <f>B1370*IBGE_2!AK$1370/100</f>
        <v>47</v>
      </c>
      <c r="AL1370" s="145" t="s">
        <v>3047</v>
      </c>
      <c r="AM1370" s="142" t="s">
        <v>3047</v>
      </c>
      <c r="AN1370" s="161"/>
    </row>
    <row r="1371" spans="1:40">
      <c r="A1371" s="143" t="s">
        <v>2431</v>
      </c>
      <c r="B1371" s="141">
        <v>100</v>
      </c>
      <c r="C1371" s="142">
        <f>B1371*IBGE_2!C$1371/100</f>
        <v>155</v>
      </c>
      <c r="D1371" s="142">
        <f>B1371*IBGE_2!D$1371/100</f>
        <v>12.58</v>
      </c>
      <c r="E1371" s="142">
        <f>B1371*IBGE_2!E$1371/100</f>
        <v>10.61</v>
      </c>
      <c r="F1371" s="142">
        <f>B1371*IBGE_2!F$1371/100</f>
        <v>3.2669999999999999</v>
      </c>
      <c r="G1371" s="142">
        <f>B1371*IBGE_2!G$1371/100</f>
        <v>4.077</v>
      </c>
      <c r="H1371" s="142">
        <f>B1371*IBGE_2!H$1371/100</f>
        <v>1.4140000000000001</v>
      </c>
      <c r="I1371" s="142">
        <f>B1371*IBGE_2!I$1371/100</f>
        <v>1.1879999999999999</v>
      </c>
      <c r="J1371" s="142">
        <f>B1371*IBGE_2!J$1371/100</f>
        <v>3.5000000000000003E-2</v>
      </c>
      <c r="K1371" s="142">
        <f>B1371*IBGE_2!K$1371/100</f>
        <v>424</v>
      </c>
      <c r="L1371" s="142">
        <f>B1371*IBGE_2!L$1371/100</f>
        <v>1.1200000000000001</v>
      </c>
      <c r="M1371" s="142" t="s">
        <v>3047</v>
      </c>
      <c r="N1371" s="142">
        <f>B1371*IBGE_2!N$1371/100</f>
        <v>50</v>
      </c>
      <c r="O1371" s="142">
        <f>B1371*IBGE_2!O$1371/100</f>
        <v>10</v>
      </c>
      <c r="P1371" s="142">
        <f>B1371*IBGE_2!P$1371/100</f>
        <v>2.6000000000000002E-2</v>
      </c>
      <c r="Q1371" s="142">
        <f>B1371*IBGE_2!Q$1371/100</f>
        <v>172</v>
      </c>
      <c r="R1371" s="142">
        <f>B1371*IBGE_2!R$1371/100</f>
        <v>1.19</v>
      </c>
      <c r="S1371" s="142">
        <f>B1371*IBGE_2!S$1371/100</f>
        <v>124</v>
      </c>
      <c r="T1371" s="142">
        <f>B1371*IBGE_2!T$1371/100</f>
        <v>126</v>
      </c>
      <c r="U1371" s="142">
        <f>B1371*IBGE_2!U$1371/100</f>
        <v>1.3000000000000001E-2</v>
      </c>
      <c r="V1371" s="142">
        <f>B1371*IBGE_2!V$1371/100</f>
        <v>1.05</v>
      </c>
      <c r="W1371" s="142">
        <f>B1371*IBGE_2!W$1371/100</f>
        <v>168</v>
      </c>
      <c r="X1371" s="142">
        <f>B1371*IBGE_2!X$1371/100</f>
        <v>6.6000000000000003E-2</v>
      </c>
      <c r="Y1371" s="142">
        <f>B1371*IBGE_2!Y$1371/100</f>
        <v>0.51300000000000001</v>
      </c>
      <c r="Z1371" s="142">
        <f>B1371*IBGE_2!Z$1371/100</f>
        <v>0.121</v>
      </c>
      <c r="AA1371" s="142">
        <f>B1371*IBGE_2!AA$1371/100</f>
        <v>6.4000000000000001E-2</v>
      </c>
      <c r="AB1371" s="142" t="s">
        <v>3047</v>
      </c>
      <c r="AC1371" s="142">
        <f>B1371*IBGE_2!AC$1371/100</f>
        <v>2.6139999999999999</v>
      </c>
      <c r="AD1371" s="142">
        <f>B1371*IBGE_2!AD$1371/100</f>
        <v>1.1100000000000001</v>
      </c>
      <c r="AE1371" s="142">
        <f>B1371*IBGE_2!AE$1371/100</f>
        <v>44</v>
      </c>
      <c r="AF1371" s="142">
        <f>B1371*IBGE_2!AF$1371/100</f>
        <v>1.28</v>
      </c>
      <c r="AG1371" s="142">
        <f>B1371*IBGE_2!AG$1371/100</f>
        <v>1.03</v>
      </c>
      <c r="AH1371" s="145" t="s">
        <v>3047</v>
      </c>
      <c r="AI1371" s="145" t="s">
        <v>3047</v>
      </c>
      <c r="AJ1371" s="142">
        <f>B1371*IBGE_2!AJ$1371/100</f>
        <v>30.8</v>
      </c>
      <c r="AK1371" s="142">
        <f>B1371*IBGE_2!AK$1371/100</f>
        <v>169.333</v>
      </c>
      <c r="AL1371" s="142">
        <f>B1371*IBGE_2!AL$1371/100</f>
        <v>1.22</v>
      </c>
      <c r="AM1371" s="142" t="s">
        <v>3047</v>
      </c>
      <c r="AN1371" s="161"/>
    </row>
    <row r="1372" spans="1:40">
      <c r="A1372" s="143" t="s">
        <v>2432</v>
      </c>
      <c r="B1372" s="141">
        <v>100</v>
      </c>
      <c r="C1372" s="142">
        <f>B1372*IBGE_2!C$1372/100</f>
        <v>155</v>
      </c>
      <c r="D1372" s="142">
        <f>B1372*IBGE_2!D$1372/100</f>
        <v>12.58</v>
      </c>
      <c r="E1372" s="142">
        <f>B1372*IBGE_2!E$1372/100</f>
        <v>10.61</v>
      </c>
      <c r="F1372" s="142">
        <f>B1372*IBGE_2!F$1372/100</f>
        <v>3.2669999999999999</v>
      </c>
      <c r="G1372" s="142">
        <f>B1372*IBGE_2!G$1372/100</f>
        <v>4.077</v>
      </c>
      <c r="H1372" s="142">
        <f>B1372*IBGE_2!H$1372/100</f>
        <v>1.4140000000000001</v>
      </c>
      <c r="I1372" s="142">
        <f>B1372*IBGE_2!I$1372/100</f>
        <v>1.1879999999999999</v>
      </c>
      <c r="J1372" s="142">
        <f>B1372*IBGE_2!J$1372/100</f>
        <v>3.5000000000000003E-2</v>
      </c>
      <c r="K1372" s="142">
        <f>B1372*IBGE_2!K$1372/100</f>
        <v>424</v>
      </c>
      <c r="L1372" s="142">
        <f>B1372*IBGE_2!L$1372/100</f>
        <v>1.1200000000000001</v>
      </c>
      <c r="M1372" s="142" t="s">
        <v>3047</v>
      </c>
      <c r="N1372" s="142">
        <f>B1372*IBGE_2!N$1372/100</f>
        <v>50</v>
      </c>
      <c r="O1372" s="142">
        <f>B1372*IBGE_2!O$1372/100</f>
        <v>10</v>
      </c>
      <c r="P1372" s="142">
        <f>B1372*IBGE_2!P$1372/100</f>
        <v>2.6000000000000002E-2</v>
      </c>
      <c r="Q1372" s="142">
        <f>B1372*IBGE_2!Q$1372/100</f>
        <v>172</v>
      </c>
      <c r="R1372" s="142">
        <f>B1372*IBGE_2!R$1372/100</f>
        <v>1.19</v>
      </c>
      <c r="S1372" s="142">
        <f>B1372*IBGE_2!S$1372/100</f>
        <v>124</v>
      </c>
      <c r="T1372" s="142">
        <f>B1372*IBGE_2!T$1372/100</f>
        <v>126</v>
      </c>
      <c r="U1372" s="142">
        <f>B1372*IBGE_2!U$1372/100</f>
        <v>1.3000000000000001E-2</v>
      </c>
      <c r="V1372" s="142">
        <f>B1372*IBGE_2!V$1372/100</f>
        <v>1.05</v>
      </c>
      <c r="W1372" s="142">
        <f>B1372*IBGE_2!W$1372/100</f>
        <v>168</v>
      </c>
      <c r="X1372" s="142">
        <f>B1372*IBGE_2!X$1372/100</f>
        <v>6.6000000000000003E-2</v>
      </c>
      <c r="Y1372" s="142">
        <f>B1372*IBGE_2!Y$1372/100</f>
        <v>0.51300000000000001</v>
      </c>
      <c r="Z1372" s="142">
        <f>B1372*IBGE_2!Z$1372/100</f>
        <v>0.121</v>
      </c>
      <c r="AA1372" s="142">
        <f>B1372*IBGE_2!AA$1372/100</f>
        <v>6.4000000000000001E-2</v>
      </c>
      <c r="AB1372" s="142" t="s">
        <v>3047</v>
      </c>
      <c r="AC1372" s="142">
        <f>B1372*IBGE_2!AC$1372/100</f>
        <v>2.6139999999999999</v>
      </c>
      <c r="AD1372" s="142">
        <f>B1372*IBGE_2!AD$1372/100</f>
        <v>1.1100000000000001</v>
      </c>
      <c r="AE1372" s="142">
        <f>B1372*IBGE_2!AE$1372/100</f>
        <v>44</v>
      </c>
      <c r="AF1372" s="142">
        <f>B1372*IBGE_2!AF$1372/100</f>
        <v>1.28</v>
      </c>
      <c r="AG1372" s="142">
        <f>B1372*IBGE_2!AG$1372/100</f>
        <v>1.03</v>
      </c>
      <c r="AH1372" s="145" t="s">
        <v>3047</v>
      </c>
      <c r="AI1372" s="145" t="s">
        <v>3047</v>
      </c>
      <c r="AJ1372" s="142">
        <f>B1372*IBGE_2!AJ$1372/100</f>
        <v>30.8</v>
      </c>
      <c r="AK1372" s="142">
        <f>B1372*IBGE_2!AK$1372/100</f>
        <v>169.333</v>
      </c>
      <c r="AL1372" s="142">
        <f>B1372*IBGE_2!AL$1372/100</f>
        <v>1.22</v>
      </c>
      <c r="AM1372" s="142" t="s">
        <v>3047</v>
      </c>
      <c r="AN1372" s="161"/>
    </row>
    <row r="1373" spans="1:40">
      <c r="A1373" s="143" t="s">
        <v>2433</v>
      </c>
      <c r="B1373" s="141">
        <v>100</v>
      </c>
      <c r="C1373" s="142">
        <f>B1373*IBGE_2!C$1373/100</f>
        <v>155</v>
      </c>
      <c r="D1373" s="142">
        <f>B1373*IBGE_2!D$1373/100</f>
        <v>12.58</v>
      </c>
      <c r="E1373" s="142">
        <f>B1373*IBGE_2!E$1373/100</f>
        <v>10.61</v>
      </c>
      <c r="F1373" s="142">
        <f>B1373*IBGE_2!F$1373/100</f>
        <v>3.2669999999999999</v>
      </c>
      <c r="G1373" s="142">
        <f>B1373*IBGE_2!G$1373/100</f>
        <v>4.077</v>
      </c>
      <c r="H1373" s="142">
        <f>B1373*IBGE_2!H$1373/100</f>
        <v>1.4140000000000001</v>
      </c>
      <c r="I1373" s="142">
        <f>B1373*IBGE_2!I$1373/100</f>
        <v>1.1879999999999999</v>
      </c>
      <c r="J1373" s="142">
        <f>B1373*IBGE_2!J$1373/100</f>
        <v>3.5000000000000003E-2</v>
      </c>
      <c r="K1373" s="142">
        <f>B1373*IBGE_2!K$1373/100</f>
        <v>424</v>
      </c>
      <c r="L1373" s="142">
        <f>B1373*IBGE_2!L$1373/100</f>
        <v>1.1200000000000001</v>
      </c>
      <c r="M1373" s="142" t="s">
        <v>3047</v>
      </c>
      <c r="N1373" s="142">
        <f>B1373*IBGE_2!N$1373/100</f>
        <v>50</v>
      </c>
      <c r="O1373" s="142">
        <f>B1373*IBGE_2!O$1373/100</f>
        <v>10</v>
      </c>
      <c r="P1373" s="142">
        <f>B1373*IBGE_2!P$1373/100</f>
        <v>2.6000000000000002E-2</v>
      </c>
      <c r="Q1373" s="142">
        <f>B1373*IBGE_2!Q$1373/100</f>
        <v>172</v>
      </c>
      <c r="R1373" s="142">
        <f>B1373*IBGE_2!R$1373/100</f>
        <v>1.19</v>
      </c>
      <c r="S1373" s="142">
        <f>B1373*IBGE_2!S$1373/100</f>
        <v>124</v>
      </c>
      <c r="T1373" s="142">
        <f>B1373*IBGE_2!T$1373/100</f>
        <v>126</v>
      </c>
      <c r="U1373" s="142">
        <f>B1373*IBGE_2!U$1373/100</f>
        <v>1.3000000000000001E-2</v>
      </c>
      <c r="V1373" s="142">
        <f>B1373*IBGE_2!V$1373/100</f>
        <v>1.05</v>
      </c>
      <c r="W1373" s="142">
        <f>B1373*IBGE_2!W$1373/100</f>
        <v>168</v>
      </c>
      <c r="X1373" s="142">
        <f>B1373*IBGE_2!X$1373/100</f>
        <v>6.6000000000000003E-2</v>
      </c>
      <c r="Y1373" s="142">
        <f>B1373*IBGE_2!Y$1373/100</f>
        <v>0.51300000000000001</v>
      </c>
      <c r="Z1373" s="142">
        <f>B1373*IBGE_2!Z$1373/100</f>
        <v>0.121</v>
      </c>
      <c r="AA1373" s="142">
        <f>B1373*IBGE_2!AA$1373/100</f>
        <v>6.4000000000000001E-2</v>
      </c>
      <c r="AB1373" s="142" t="s">
        <v>3047</v>
      </c>
      <c r="AC1373" s="142">
        <f>B1373*IBGE_2!AC$1373/100</f>
        <v>2.6139999999999999</v>
      </c>
      <c r="AD1373" s="142">
        <f>B1373*IBGE_2!AD$1373/100</f>
        <v>1.1100000000000001</v>
      </c>
      <c r="AE1373" s="142">
        <f>B1373*IBGE_2!AE$1373/100</f>
        <v>44</v>
      </c>
      <c r="AF1373" s="142">
        <f>B1373*IBGE_2!AF$1373/100</f>
        <v>1.28</v>
      </c>
      <c r="AG1373" s="142">
        <f>B1373*IBGE_2!AG$1373/100</f>
        <v>1.03</v>
      </c>
      <c r="AH1373" s="145" t="s">
        <v>3047</v>
      </c>
      <c r="AI1373" s="145" t="s">
        <v>3047</v>
      </c>
      <c r="AJ1373" s="142">
        <f>B1373*IBGE_2!AJ$1373/100</f>
        <v>30.8</v>
      </c>
      <c r="AK1373" s="142">
        <f>B1373*IBGE_2!AK$1373/100</f>
        <v>169.333</v>
      </c>
      <c r="AL1373" s="142">
        <f>B1373*IBGE_2!AL$1373/100</f>
        <v>1.22</v>
      </c>
      <c r="AM1373" s="142" t="s">
        <v>3047</v>
      </c>
      <c r="AN1373" s="161"/>
    </row>
    <row r="1374" spans="1:40">
      <c r="A1374" s="143" t="s">
        <v>2434</v>
      </c>
      <c r="B1374" s="141">
        <v>100</v>
      </c>
      <c r="C1374" s="142">
        <f>B1374*IBGE_2!C$1374/100</f>
        <v>222.59100000000001</v>
      </c>
      <c r="D1374" s="142">
        <f>B1374*IBGE_2!D$1374/100</f>
        <v>13.673999999999999</v>
      </c>
      <c r="E1374" s="142">
        <f>B1374*IBGE_2!E$1374/100</f>
        <v>17.654</v>
      </c>
      <c r="F1374" s="142">
        <f>B1374*IBGE_2!F$1374/100</f>
        <v>4.5090000000000003</v>
      </c>
      <c r="G1374" s="142">
        <f>B1374*IBGE_2!G$1374/100</f>
        <v>5.8259999999999987</v>
      </c>
      <c r="H1374" s="142">
        <f>B1374*IBGE_2!H$1374/100</f>
        <v>5.0709999999999997</v>
      </c>
      <c r="I1374" s="142">
        <f>B1374*IBGE_2!I$1374/100</f>
        <v>4.41</v>
      </c>
      <c r="J1374" s="142">
        <f>B1374*IBGE_2!J$1374/100</f>
        <v>0.45399999999999996</v>
      </c>
      <c r="K1374" s="142">
        <f>B1374*IBGE_2!K$1374/100</f>
        <v>460.87</v>
      </c>
      <c r="L1374" s="142">
        <f>B1374*IBGE_2!L$1374/100</f>
        <v>1.2170000000000001</v>
      </c>
      <c r="M1374" s="142" t="s">
        <v>3047</v>
      </c>
      <c r="N1374" s="142">
        <f>B1374*IBGE_2!N$1374/100</f>
        <v>54.347999999999999</v>
      </c>
      <c r="O1374" s="142">
        <f>B1374*IBGE_2!O$1374/100</f>
        <v>10.87</v>
      </c>
      <c r="P1374" s="142">
        <f>B1374*IBGE_2!P$1374/100</f>
        <v>2.8000000000000004E-2</v>
      </c>
      <c r="Q1374" s="142">
        <f>B1374*IBGE_2!Q$1374/100</f>
        <v>186.95699999999999</v>
      </c>
      <c r="R1374" s="142">
        <f>B1374*IBGE_2!R$1374/100</f>
        <v>1.2969999999999999</v>
      </c>
      <c r="S1374" s="142">
        <f>B1374*IBGE_2!S$1374/100</f>
        <v>134.78299999999999</v>
      </c>
      <c r="T1374" s="142">
        <f>B1374*IBGE_2!T$1374/100</f>
        <v>136.95699999999999</v>
      </c>
      <c r="U1374" s="142">
        <f>B1374*IBGE_2!U$1374/100</f>
        <v>1.4000000000000002E-2</v>
      </c>
      <c r="V1374" s="142">
        <f>B1374*IBGE_2!V$1374/100</f>
        <v>1.1419999999999999</v>
      </c>
      <c r="W1374" s="142">
        <f>B1374*IBGE_2!W$1374/100</f>
        <v>182.60900000000001</v>
      </c>
      <c r="X1374" s="142">
        <f>B1374*IBGE_2!X$1374/100</f>
        <v>7.1999999999999995E-2</v>
      </c>
      <c r="Y1374" s="142">
        <f>B1374*IBGE_2!Y$1374/100</f>
        <v>0.55800000000000005</v>
      </c>
      <c r="Z1374" s="142">
        <f>B1374*IBGE_2!Z$1374/100</f>
        <v>0.13200000000000001</v>
      </c>
      <c r="AA1374" s="142">
        <f>B1374*IBGE_2!AA$1374/100</f>
        <v>7.0000000000000007E-2</v>
      </c>
      <c r="AB1374" s="142" t="s">
        <v>3047</v>
      </c>
      <c r="AC1374" s="142">
        <f>B1374*IBGE_2!AC$1374/100</f>
        <v>2.8410000000000002</v>
      </c>
      <c r="AD1374" s="142">
        <f>B1374*IBGE_2!AD$1374/100</f>
        <v>1.2070000000000001</v>
      </c>
      <c r="AE1374" s="142">
        <f>B1374*IBGE_2!AE$1374/100</f>
        <v>47.826000000000001</v>
      </c>
      <c r="AF1374" s="142">
        <f>B1374*IBGE_2!AF$1374/100</f>
        <v>1.391</v>
      </c>
      <c r="AG1374" s="142">
        <f>B1374*IBGE_2!AG$1374/100</f>
        <v>1.62</v>
      </c>
      <c r="AH1374" s="142">
        <f>B1374*IBGE_2!AH$1374/100</f>
        <v>3.3000000000000002E-2</v>
      </c>
      <c r="AI1374" s="142">
        <f>B1374*IBGE_2!AI$1374/100</f>
        <v>205</v>
      </c>
      <c r="AJ1374" s="142">
        <f>B1374*IBGE_2!AJ$1374/100</f>
        <v>36.283999999999999</v>
      </c>
      <c r="AK1374" s="142">
        <f>B1374*IBGE_2!AK$1374/100</f>
        <v>184.05799999999999</v>
      </c>
      <c r="AL1374" s="142">
        <f>B1374*IBGE_2!AL$1374/100</f>
        <v>1.3259999999999998</v>
      </c>
      <c r="AM1374" s="142" t="s">
        <v>3047</v>
      </c>
      <c r="AN1374" s="161"/>
    </row>
    <row r="1375" spans="1:40">
      <c r="A1375" s="143" t="s">
        <v>2435</v>
      </c>
      <c r="B1375" s="141">
        <v>100</v>
      </c>
      <c r="C1375" s="142">
        <f>B1375*IBGE_2!C$1375/100</f>
        <v>155</v>
      </c>
      <c r="D1375" s="142">
        <f>B1375*IBGE_2!D$1375/100</f>
        <v>12.58</v>
      </c>
      <c r="E1375" s="142">
        <f>B1375*IBGE_2!E$1375/100</f>
        <v>10.61</v>
      </c>
      <c r="F1375" s="142">
        <f>B1375*IBGE_2!F$1375/100</f>
        <v>3.2669999999999999</v>
      </c>
      <c r="G1375" s="142">
        <f>B1375*IBGE_2!G$1375/100</f>
        <v>4.077</v>
      </c>
      <c r="H1375" s="142">
        <f>B1375*IBGE_2!H$1375/100</f>
        <v>1.4140000000000001</v>
      </c>
      <c r="I1375" s="142">
        <f>B1375*IBGE_2!I$1375/100</f>
        <v>1.1879999999999999</v>
      </c>
      <c r="J1375" s="142">
        <f>B1375*IBGE_2!J$1375/100</f>
        <v>3.5000000000000003E-2</v>
      </c>
      <c r="K1375" s="142">
        <f>B1375*IBGE_2!K$1375/100</f>
        <v>424</v>
      </c>
      <c r="L1375" s="142">
        <f>B1375*IBGE_2!L$1375/100</f>
        <v>1.1200000000000001</v>
      </c>
      <c r="M1375" s="142" t="s">
        <v>3047</v>
      </c>
      <c r="N1375" s="142">
        <f>B1375*IBGE_2!N$1375/100</f>
        <v>50</v>
      </c>
      <c r="O1375" s="142">
        <f>B1375*IBGE_2!O$1375/100</f>
        <v>10</v>
      </c>
      <c r="P1375" s="142">
        <f>B1375*IBGE_2!P$1375/100</f>
        <v>2.6000000000000002E-2</v>
      </c>
      <c r="Q1375" s="142">
        <f>B1375*IBGE_2!Q$1375/100</f>
        <v>172</v>
      </c>
      <c r="R1375" s="142">
        <f>B1375*IBGE_2!R$1375/100</f>
        <v>1.19</v>
      </c>
      <c r="S1375" s="142">
        <f>B1375*IBGE_2!S$1375/100</f>
        <v>124</v>
      </c>
      <c r="T1375" s="142">
        <f>B1375*IBGE_2!T$1375/100</f>
        <v>126</v>
      </c>
      <c r="U1375" s="142">
        <f>B1375*IBGE_2!U$1375/100</f>
        <v>1.3000000000000001E-2</v>
      </c>
      <c r="V1375" s="142">
        <f>B1375*IBGE_2!V$1375/100</f>
        <v>1.05</v>
      </c>
      <c r="W1375" s="142">
        <f>B1375*IBGE_2!W$1375/100</f>
        <v>168</v>
      </c>
      <c r="X1375" s="142">
        <f>B1375*IBGE_2!X$1375/100</f>
        <v>6.6000000000000003E-2</v>
      </c>
      <c r="Y1375" s="142">
        <f>B1375*IBGE_2!Y$1375/100</f>
        <v>0.51300000000000001</v>
      </c>
      <c r="Z1375" s="142">
        <f>B1375*IBGE_2!Z$1375/100</f>
        <v>0.121</v>
      </c>
      <c r="AA1375" s="142">
        <f>B1375*IBGE_2!AA$1375/100</f>
        <v>6.4000000000000001E-2</v>
      </c>
      <c r="AB1375" s="142" t="s">
        <v>3047</v>
      </c>
      <c r="AC1375" s="142">
        <f>B1375*IBGE_2!AC$1375/100</f>
        <v>2.6139999999999999</v>
      </c>
      <c r="AD1375" s="142">
        <f>B1375*IBGE_2!AD$1375/100</f>
        <v>1.1100000000000001</v>
      </c>
      <c r="AE1375" s="142">
        <f>B1375*IBGE_2!AE$1375/100</f>
        <v>44</v>
      </c>
      <c r="AF1375" s="142">
        <f>B1375*IBGE_2!AF$1375/100</f>
        <v>1.28</v>
      </c>
      <c r="AG1375" s="142">
        <f>B1375*IBGE_2!AG$1375/100</f>
        <v>1.03</v>
      </c>
      <c r="AH1375" s="145" t="s">
        <v>3047</v>
      </c>
      <c r="AI1375" s="145" t="s">
        <v>3047</v>
      </c>
      <c r="AJ1375" s="142">
        <f>B1375*IBGE_2!AJ$1375/100</f>
        <v>30.8</v>
      </c>
      <c r="AK1375" s="142">
        <f>B1375*IBGE_2!AK$1375/100</f>
        <v>169.333</v>
      </c>
      <c r="AL1375" s="142">
        <f>B1375*IBGE_2!AL$1375/100</f>
        <v>1.22</v>
      </c>
      <c r="AM1375" s="142" t="s">
        <v>3047</v>
      </c>
      <c r="AN1375" s="161"/>
    </row>
    <row r="1376" spans="1:40">
      <c r="A1376" s="143" t="s">
        <v>2436</v>
      </c>
      <c r="B1376" s="141">
        <v>100</v>
      </c>
      <c r="C1376" s="142">
        <f>B1376*IBGE_2!C$1376/100</f>
        <v>155</v>
      </c>
      <c r="D1376" s="142">
        <f>B1376*IBGE_2!D$1376/100</f>
        <v>12.58</v>
      </c>
      <c r="E1376" s="142">
        <f>B1376*IBGE_2!E$1376/100</f>
        <v>10.61</v>
      </c>
      <c r="F1376" s="142">
        <f>B1376*IBGE_2!F$1376/100</f>
        <v>3.2669999999999999</v>
      </c>
      <c r="G1376" s="142">
        <f>B1376*IBGE_2!G$1376/100</f>
        <v>4.077</v>
      </c>
      <c r="H1376" s="142">
        <f>B1376*IBGE_2!H$1376/100</f>
        <v>1.4140000000000001</v>
      </c>
      <c r="I1376" s="142">
        <f>B1376*IBGE_2!I$1376/100</f>
        <v>1.1879999999999999</v>
      </c>
      <c r="J1376" s="142">
        <f>B1376*IBGE_2!J$1376/100</f>
        <v>3.5000000000000003E-2</v>
      </c>
      <c r="K1376" s="142">
        <f>B1376*IBGE_2!K$1376/100</f>
        <v>424</v>
      </c>
      <c r="L1376" s="142">
        <f>B1376*IBGE_2!L$1376/100</f>
        <v>1.1200000000000001</v>
      </c>
      <c r="M1376" s="142" t="s">
        <v>3047</v>
      </c>
      <c r="N1376" s="142">
        <f>B1376*IBGE_2!N$1376/100</f>
        <v>50</v>
      </c>
      <c r="O1376" s="142">
        <f>B1376*IBGE_2!O$1376/100</f>
        <v>10</v>
      </c>
      <c r="P1376" s="142">
        <f>B1376*IBGE_2!P$1376/100</f>
        <v>2.6000000000000002E-2</v>
      </c>
      <c r="Q1376" s="142">
        <f>B1376*IBGE_2!Q$1376/100</f>
        <v>172</v>
      </c>
      <c r="R1376" s="142">
        <f>B1376*IBGE_2!R$1376/100</f>
        <v>1.19</v>
      </c>
      <c r="S1376" s="142">
        <f>B1376*IBGE_2!S$1376/100</f>
        <v>124</v>
      </c>
      <c r="T1376" s="142">
        <f>B1376*IBGE_2!T$1376/100</f>
        <v>126</v>
      </c>
      <c r="U1376" s="142">
        <f>B1376*IBGE_2!U$1376/100</f>
        <v>1.3000000000000001E-2</v>
      </c>
      <c r="V1376" s="142">
        <f>B1376*IBGE_2!V$1376/100</f>
        <v>1.05</v>
      </c>
      <c r="W1376" s="142">
        <f>B1376*IBGE_2!W$1376/100</f>
        <v>168</v>
      </c>
      <c r="X1376" s="142">
        <f>B1376*IBGE_2!X$1376/100</f>
        <v>6.6000000000000003E-2</v>
      </c>
      <c r="Y1376" s="142">
        <f>B1376*IBGE_2!Y$1376/100</f>
        <v>0.51300000000000001</v>
      </c>
      <c r="Z1376" s="142">
        <f>B1376*IBGE_2!Z$1376/100</f>
        <v>0.121</v>
      </c>
      <c r="AA1376" s="142">
        <f>B1376*IBGE_2!AA$1376/100</f>
        <v>6.4000000000000001E-2</v>
      </c>
      <c r="AB1376" s="142" t="s">
        <v>3047</v>
      </c>
      <c r="AC1376" s="142">
        <f>B1376*IBGE_2!AC$1376/100</f>
        <v>2.6139999999999999</v>
      </c>
      <c r="AD1376" s="142">
        <f>B1376*IBGE_2!AD$1376/100</f>
        <v>1.1100000000000001</v>
      </c>
      <c r="AE1376" s="142">
        <f>B1376*IBGE_2!AE$1376/100</f>
        <v>44</v>
      </c>
      <c r="AF1376" s="142">
        <f>B1376*IBGE_2!AF$1376/100</f>
        <v>1.28</v>
      </c>
      <c r="AG1376" s="142">
        <f>B1376*IBGE_2!AG$1376/100</f>
        <v>1.03</v>
      </c>
      <c r="AH1376" s="145" t="s">
        <v>3048</v>
      </c>
      <c r="AI1376" s="145" t="s">
        <v>3047</v>
      </c>
      <c r="AJ1376" s="142">
        <f>B1376*IBGE_2!AJ$1376/100</f>
        <v>30.8</v>
      </c>
      <c r="AK1376" s="142">
        <f>B1376*IBGE_2!AK$1376/100</f>
        <v>169.333</v>
      </c>
      <c r="AL1376" s="142">
        <f>B1376*IBGE_2!AL$1376/100</f>
        <v>1.22</v>
      </c>
      <c r="AM1376" s="142" t="s">
        <v>3047</v>
      </c>
      <c r="AN1376" s="161"/>
    </row>
    <row r="1377" spans="1:40">
      <c r="A1377" s="143" t="s">
        <v>2437</v>
      </c>
      <c r="B1377" s="141">
        <v>100</v>
      </c>
      <c r="C1377" s="142">
        <f>B1377*IBGE_2!C$1377/100</f>
        <v>222.59100000000001</v>
      </c>
      <c r="D1377" s="142">
        <f>B1377*IBGE_2!D$1377/100</f>
        <v>13.673999999999999</v>
      </c>
      <c r="E1377" s="142">
        <f>B1377*IBGE_2!E$1377/100</f>
        <v>17.654</v>
      </c>
      <c r="F1377" s="142">
        <f>B1377*IBGE_2!F$1377/100</f>
        <v>4.5090000000000003</v>
      </c>
      <c r="G1377" s="142">
        <f>B1377*IBGE_2!G$1377/100</f>
        <v>5.8259999999999987</v>
      </c>
      <c r="H1377" s="142">
        <f>B1377*IBGE_2!H$1377/100</f>
        <v>5.0709999999999997</v>
      </c>
      <c r="I1377" s="142">
        <f>B1377*IBGE_2!I$1377/100</f>
        <v>4.41</v>
      </c>
      <c r="J1377" s="142">
        <f>B1377*IBGE_2!J$1377/100</f>
        <v>0.45399999999999996</v>
      </c>
      <c r="K1377" s="142">
        <f>B1377*IBGE_2!K$1377/100</f>
        <v>460.87</v>
      </c>
      <c r="L1377" s="142">
        <f>B1377*IBGE_2!L$1377/100</f>
        <v>1.2170000000000001</v>
      </c>
      <c r="M1377" s="142" t="s">
        <v>3047</v>
      </c>
      <c r="N1377" s="142">
        <f>B1377*IBGE_2!N$1377/100</f>
        <v>54.347999999999999</v>
      </c>
      <c r="O1377" s="142">
        <f>B1377*IBGE_2!O$1377/100</f>
        <v>10.87</v>
      </c>
      <c r="P1377" s="142">
        <f>B1377*IBGE_2!P$1377/100</f>
        <v>2.8000000000000004E-2</v>
      </c>
      <c r="Q1377" s="142">
        <f>B1377*IBGE_2!Q$1377/100</f>
        <v>186.95699999999999</v>
      </c>
      <c r="R1377" s="142">
        <f>B1377*IBGE_2!R$1377/100</f>
        <v>1.2969999999999999</v>
      </c>
      <c r="S1377" s="142">
        <f>B1377*IBGE_2!S$1377/100</f>
        <v>134.78299999999999</v>
      </c>
      <c r="T1377" s="142">
        <f>B1377*IBGE_2!T$1377/100</f>
        <v>136.95699999999999</v>
      </c>
      <c r="U1377" s="142">
        <f>B1377*IBGE_2!U$1377/100</f>
        <v>1.4000000000000002E-2</v>
      </c>
      <c r="V1377" s="142">
        <f>B1377*IBGE_2!V$1377/100</f>
        <v>1.1419999999999999</v>
      </c>
      <c r="W1377" s="142">
        <f>B1377*IBGE_2!W$1377/100</f>
        <v>182.60900000000001</v>
      </c>
      <c r="X1377" s="142">
        <f>B1377*IBGE_2!X$1377/100</f>
        <v>7.1999999999999995E-2</v>
      </c>
      <c r="Y1377" s="142">
        <f>B1377*IBGE_2!Y$1377/100</f>
        <v>0.55800000000000005</v>
      </c>
      <c r="Z1377" s="142">
        <f>B1377*IBGE_2!Z$1377/100</f>
        <v>0.13200000000000001</v>
      </c>
      <c r="AA1377" s="142">
        <f>B1377*IBGE_2!AA$1377/100</f>
        <v>7.0000000000000007E-2</v>
      </c>
      <c r="AB1377" s="142" t="s">
        <v>3047</v>
      </c>
      <c r="AC1377" s="142">
        <f>B1377*IBGE_2!AC$1377/100</f>
        <v>2.8410000000000002</v>
      </c>
      <c r="AD1377" s="142">
        <f>B1377*IBGE_2!AD$1377/100</f>
        <v>1.2070000000000001</v>
      </c>
      <c r="AE1377" s="142">
        <f>B1377*IBGE_2!AE$1377/100</f>
        <v>47.826000000000001</v>
      </c>
      <c r="AF1377" s="142">
        <f>B1377*IBGE_2!AF$1377/100</f>
        <v>1.391</v>
      </c>
      <c r="AG1377" s="142">
        <f>B1377*IBGE_2!AG$1377/100</f>
        <v>1.62</v>
      </c>
      <c r="AH1377" s="142">
        <f>B1377*IBGE_2!AH$1377/100</f>
        <v>3.3000000000000002E-2</v>
      </c>
      <c r="AI1377" s="142">
        <f>B1377*IBGE_2!AI$1377/100</f>
        <v>205</v>
      </c>
      <c r="AJ1377" s="142">
        <f>B1377*IBGE_2!AJ$1377/100</f>
        <v>36.283999999999999</v>
      </c>
      <c r="AK1377" s="142">
        <f>B1377*IBGE_2!AK$1377/100</f>
        <v>184.05799999999999</v>
      </c>
      <c r="AL1377" s="142">
        <f>B1377*IBGE_2!AL$1377/100</f>
        <v>1.3259999999999998</v>
      </c>
      <c r="AM1377" s="142" t="s">
        <v>3047</v>
      </c>
      <c r="AN1377" s="161"/>
    </row>
    <row r="1378" spans="1:40">
      <c r="A1378" s="143" t="s">
        <v>2438</v>
      </c>
      <c r="B1378" s="141">
        <v>100</v>
      </c>
      <c r="C1378" s="142">
        <f>B1378*IBGE_2!C$1378/100</f>
        <v>214.18100000000001</v>
      </c>
      <c r="D1378" s="142">
        <f>B1378*IBGE_2!D$1378/100</f>
        <v>13.728</v>
      </c>
      <c r="E1378" s="142">
        <f>B1378*IBGE_2!E$1378/100</f>
        <v>16.702999999999999</v>
      </c>
      <c r="F1378" s="142">
        <f>B1378*IBGE_2!F$1378/100</f>
        <v>6.8250000000000002</v>
      </c>
      <c r="G1378" s="142">
        <f>B1378*IBGE_2!G$1378/100</f>
        <v>5.7709999999999999</v>
      </c>
      <c r="H1378" s="142">
        <f>B1378*IBGE_2!H$1378/100</f>
        <v>1.7310000000000003</v>
      </c>
      <c r="I1378" s="142">
        <f>B1378*IBGE_2!I$1378/100</f>
        <v>1.4650000000000001</v>
      </c>
      <c r="J1378" s="142">
        <f>B1378*IBGE_2!J$1378/100</f>
        <v>5.800000000000001E-2</v>
      </c>
      <c r="K1378" s="142">
        <f>B1378*IBGE_2!K$1378/100</f>
        <v>474.57400000000001</v>
      </c>
      <c r="L1378" s="142">
        <f>B1378*IBGE_2!L$1378/100</f>
        <v>1.2210000000000001</v>
      </c>
      <c r="M1378" s="142" t="s">
        <v>3047</v>
      </c>
      <c r="N1378" s="142">
        <f>B1378*IBGE_2!N$1378/100</f>
        <v>55.878</v>
      </c>
      <c r="O1378" s="142">
        <f>B1378*IBGE_2!O$1378/100</f>
        <v>10.997</v>
      </c>
      <c r="P1378" s="142">
        <f>B1378*IBGE_2!P$1378/100</f>
        <v>2.8000000000000004E-2</v>
      </c>
      <c r="Q1378" s="142">
        <f>B1378*IBGE_2!Q$1378/100</f>
        <v>188.48599999999999</v>
      </c>
      <c r="R1378" s="142">
        <f>B1378*IBGE_2!R$1378/100</f>
        <v>1.2949999999999999</v>
      </c>
      <c r="S1378" s="142">
        <f>B1378*IBGE_2!S$1378/100</f>
        <v>171.49700000000001</v>
      </c>
      <c r="T1378" s="142">
        <f>B1378*IBGE_2!T$1378/100</f>
        <v>138.48599999999999</v>
      </c>
      <c r="U1378" s="142">
        <f>B1378*IBGE_2!U$1378/100</f>
        <v>1.4000000000000002E-2</v>
      </c>
      <c r="V1378" s="142">
        <f>B1378*IBGE_2!V$1378/100</f>
        <v>1.147</v>
      </c>
      <c r="W1378" s="142">
        <f>B1378*IBGE_2!W$1378/100</f>
        <v>225.37899999999999</v>
      </c>
      <c r="X1378" s="142">
        <f>B1378*IBGE_2!X$1378/100</f>
        <v>7.1999999999999995E-2</v>
      </c>
      <c r="Y1378" s="142">
        <f>B1378*IBGE_2!Y$1378/100</f>
        <v>0.56000000000000005</v>
      </c>
      <c r="Z1378" s="142">
        <f>B1378*IBGE_2!Z$1378/100</f>
        <v>0.13200000000000001</v>
      </c>
      <c r="AA1378" s="142">
        <f>B1378*IBGE_2!AA$1378/100</f>
        <v>7.1999999999999995E-2</v>
      </c>
      <c r="AB1378" s="142" t="s">
        <v>3047</v>
      </c>
      <c r="AC1378" s="142">
        <f>B1378*IBGE_2!AC$1378/100</f>
        <v>2.8570000000000007</v>
      </c>
      <c r="AD1378" s="142">
        <f>B1378*IBGE_2!AD$1378/100</f>
        <v>1.2170000000000001</v>
      </c>
      <c r="AE1378" s="142">
        <f>B1378*IBGE_2!AE$1378/100</f>
        <v>48.01700000000001</v>
      </c>
      <c r="AF1378" s="142">
        <f>B1378*IBGE_2!AF$1378/100</f>
        <v>1.4810000000000003</v>
      </c>
      <c r="AG1378" s="142">
        <f>B1378*IBGE_2!AG$1378/100</f>
        <v>1.2669999999999999</v>
      </c>
      <c r="AH1378" s="142">
        <f>B1378*IBGE_2!AH$1378/100</f>
        <v>0.20899999999999999</v>
      </c>
      <c r="AI1378" s="142">
        <f>B1378*IBGE_2!AI$1378/100</f>
        <v>205</v>
      </c>
      <c r="AJ1378" s="142">
        <f>B1378*IBGE_2!AJ$1378/100</f>
        <v>33.542000000000002</v>
      </c>
      <c r="AK1378" s="142">
        <f>B1378*IBGE_2!AK$1378/100</f>
        <v>227.667</v>
      </c>
      <c r="AL1378" s="142">
        <f>B1378*IBGE_2!AL$1378/100</f>
        <v>1.3320000000000001</v>
      </c>
      <c r="AM1378" s="142" t="s">
        <v>3047</v>
      </c>
      <c r="AN1378" s="161"/>
    </row>
    <row r="1379" spans="1:40">
      <c r="A1379" s="143" t="s">
        <v>2439</v>
      </c>
      <c r="B1379" s="141">
        <v>100</v>
      </c>
      <c r="C1379" s="142">
        <f>B1379*IBGE_2!C$1379/100</f>
        <v>155</v>
      </c>
      <c r="D1379" s="142">
        <f>B1379*IBGE_2!D$1379/100</f>
        <v>12.58</v>
      </c>
      <c r="E1379" s="142">
        <f>B1379*IBGE_2!E$1379/100</f>
        <v>10.61</v>
      </c>
      <c r="F1379" s="142">
        <f>B1379*IBGE_2!F$1379/100</f>
        <v>3.2669999999999999</v>
      </c>
      <c r="G1379" s="142">
        <f>B1379*IBGE_2!G$1379/100</f>
        <v>4.077</v>
      </c>
      <c r="H1379" s="142">
        <f>B1379*IBGE_2!H$1379/100</f>
        <v>1.4140000000000001</v>
      </c>
      <c r="I1379" s="142">
        <f>B1379*IBGE_2!I$1379/100</f>
        <v>1.1879999999999999</v>
      </c>
      <c r="J1379" s="142">
        <f>B1379*IBGE_2!J$1379/100</f>
        <v>3.5000000000000003E-2</v>
      </c>
      <c r="K1379" s="142">
        <f>B1379*IBGE_2!K$1379/100</f>
        <v>424</v>
      </c>
      <c r="L1379" s="142">
        <f>B1379*IBGE_2!L$1379/100</f>
        <v>1.1200000000000001</v>
      </c>
      <c r="M1379" s="142" t="s">
        <v>3047</v>
      </c>
      <c r="N1379" s="142">
        <f>B1379*IBGE_2!N$1379/100</f>
        <v>50</v>
      </c>
      <c r="O1379" s="142">
        <f>B1379*IBGE_2!O$1379/100</f>
        <v>10</v>
      </c>
      <c r="P1379" s="142">
        <f>B1379*IBGE_2!P$1379/100</f>
        <v>2.6000000000000002E-2</v>
      </c>
      <c r="Q1379" s="142">
        <f>B1379*IBGE_2!Q$1379/100</f>
        <v>172</v>
      </c>
      <c r="R1379" s="142">
        <f>B1379*IBGE_2!R$1379/100</f>
        <v>1.19</v>
      </c>
      <c r="S1379" s="142">
        <f>B1379*IBGE_2!S$1379/100</f>
        <v>124</v>
      </c>
      <c r="T1379" s="142">
        <f>B1379*IBGE_2!T$1379/100</f>
        <v>126</v>
      </c>
      <c r="U1379" s="142">
        <f>B1379*IBGE_2!U$1379/100</f>
        <v>1.3000000000000001E-2</v>
      </c>
      <c r="V1379" s="142">
        <f>B1379*IBGE_2!V$1379/100</f>
        <v>1.05</v>
      </c>
      <c r="W1379" s="142">
        <f>B1379*IBGE_2!W$1379/100</f>
        <v>168</v>
      </c>
      <c r="X1379" s="142">
        <f>B1379*IBGE_2!X$1379/100</f>
        <v>6.6000000000000003E-2</v>
      </c>
      <c r="Y1379" s="142">
        <f>B1379*IBGE_2!Y$1379/100</f>
        <v>0.51300000000000001</v>
      </c>
      <c r="Z1379" s="142">
        <f>B1379*IBGE_2!Z$1379/100</f>
        <v>0.121</v>
      </c>
      <c r="AA1379" s="142">
        <f>B1379*IBGE_2!AA$1379/100</f>
        <v>6.4000000000000001E-2</v>
      </c>
      <c r="AB1379" s="142" t="s">
        <v>3047</v>
      </c>
      <c r="AC1379" s="142">
        <f>B1379*IBGE_2!AC$1379/100</f>
        <v>2.6139999999999999</v>
      </c>
      <c r="AD1379" s="142">
        <f>B1379*IBGE_2!AD$1379/100</f>
        <v>1.1100000000000001</v>
      </c>
      <c r="AE1379" s="142">
        <f>B1379*IBGE_2!AE$1379/100</f>
        <v>44</v>
      </c>
      <c r="AF1379" s="142">
        <f>B1379*IBGE_2!AF$1379/100</f>
        <v>1.28</v>
      </c>
      <c r="AG1379" s="142">
        <f>B1379*IBGE_2!AG$1379/100</f>
        <v>1.03</v>
      </c>
      <c r="AH1379" s="142" t="s">
        <v>3047</v>
      </c>
      <c r="AI1379" s="142" t="s">
        <v>3047</v>
      </c>
      <c r="AJ1379" s="142">
        <f>B1379*IBGE_2!AJ$1379/100</f>
        <v>30.8</v>
      </c>
      <c r="AK1379" s="142">
        <f>B1379*IBGE_2!AK$1379/100</f>
        <v>169.333</v>
      </c>
      <c r="AL1379" s="142">
        <f>B1379*IBGE_2!AL$1379/100</f>
        <v>1.22</v>
      </c>
      <c r="AM1379" s="142" t="s">
        <v>3047</v>
      </c>
      <c r="AN1379" s="161"/>
    </row>
    <row r="1380" spans="1:40">
      <c r="A1380" s="143" t="s">
        <v>2440</v>
      </c>
      <c r="B1380" s="141">
        <v>100</v>
      </c>
      <c r="C1380" s="142">
        <f>B1380*IBGE_2!C$1380/100</f>
        <v>155</v>
      </c>
      <c r="D1380" s="142">
        <f>B1380*IBGE_2!D$1380/100</f>
        <v>12.58</v>
      </c>
      <c r="E1380" s="142">
        <f>B1380*IBGE_2!E$1380/100</f>
        <v>10.61</v>
      </c>
      <c r="F1380" s="142">
        <f>B1380*IBGE_2!F$1380/100</f>
        <v>3.2669999999999999</v>
      </c>
      <c r="G1380" s="142">
        <f>B1380*IBGE_2!G$1380/100</f>
        <v>4.077</v>
      </c>
      <c r="H1380" s="142">
        <f>B1380*IBGE_2!H$1380/100</f>
        <v>1.4140000000000001</v>
      </c>
      <c r="I1380" s="142">
        <f>B1380*IBGE_2!I$1380/100</f>
        <v>1.1879999999999999</v>
      </c>
      <c r="J1380" s="142">
        <f>B1380*IBGE_2!J$1380/100</f>
        <v>3.5000000000000003E-2</v>
      </c>
      <c r="K1380" s="142">
        <f>B1380*IBGE_2!K$1380/100</f>
        <v>424</v>
      </c>
      <c r="L1380" s="142">
        <f>B1380*IBGE_2!L$1380/100</f>
        <v>1.1200000000000001</v>
      </c>
      <c r="M1380" s="142" t="s">
        <v>3047</v>
      </c>
      <c r="N1380" s="142">
        <f>B1380*IBGE_2!N$1380/100</f>
        <v>50</v>
      </c>
      <c r="O1380" s="142">
        <f>B1380*IBGE_2!O$1380/100</f>
        <v>10</v>
      </c>
      <c r="P1380" s="142">
        <f>B1380*IBGE_2!P$1380/100</f>
        <v>2.6000000000000002E-2</v>
      </c>
      <c r="Q1380" s="142">
        <f>B1380*IBGE_2!Q$1380/100</f>
        <v>172</v>
      </c>
      <c r="R1380" s="142">
        <f>B1380*IBGE_2!R$1380/100</f>
        <v>1.19</v>
      </c>
      <c r="S1380" s="142">
        <f>B1380*IBGE_2!S$1380/100</f>
        <v>124</v>
      </c>
      <c r="T1380" s="142">
        <f>B1380*IBGE_2!T$1380/100</f>
        <v>126</v>
      </c>
      <c r="U1380" s="142">
        <f>B1380*IBGE_2!U$1380/100</f>
        <v>1.3000000000000001E-2</v>
      </c>
      <c r="V1380" s="142">
        <f>B1380*IBGE_2!V$1380/100</f>
        <v>1.05</v>
      </c>
      <c r="W1380" s="142">
        <f>B1380*IBGE_2!W$1380/100</f>
        <v>168</v>
      </c>
      <c r="X1380" s="142">
        <f>B1380*IBGE_2!X$1380/100</f>
        <v>6.6000000000000003E-2</v>
      </c>
      <c r="Y1380" s="142">
        <f>B1380*IBGE_2!Y$1380/100</f>
        <v>0.51300000000000001</v>
      </c>
      <c r="Z1380" s="142">
        <f>B1380*IBGE_2!Z$1380/100</f>
        <v>0.121</v>
      </c>
      <c r="AA1380" s="142">
        <f>B1380*IBGE_2!AA$1380/100</f>
        <v>6.4000000000000001E-2</v>
      </c>
      <c r="AB1380" s="142" t="s">
        <v>3047</v>
      </c>
      <c r="AC1380" s="142">
        <f>B1380*IBGE_2!AC$1380/100</f>
        <v>2.6139999999999999</v>
      </c>
      <c r="AD1380" s="142">
        <f>B1380*IBGE_2!AD$1380/100</f>
        <v>1.1100000000000001</v>
      </c>
      <c r="AE1380" s="142">
        <f>B1380*IBGE_2!AE$1380/100</f>
        <v>44</v>
      </c>
      <c r="AF1380" s="142">
        <f>B1380*IBGE_2!AF$1380/100</f>
        <v>1.28</v>
      </c>
      <c r="AG1380" s="142">
        <f>B1380*IBGE_2!AG$1380/100</f>
        <v>1.03</v>
      </c>
      <c r="AH1380" s="142" t="s">
        <v>3047</v>
      </c>
      <c r="AI1380" s="142" t="s">
        <v>3047</v>
      </c>
      <c r="AJ1380" s="142">
        <f>B1380*IBGE_2!AJ$1380/100</f>
        <v>30.8</v>
      </c>
      <c r="AK1380" s="142">
        <f>B1380*IBGE_2!AK$1380/100</f>
        <v>169.333</v>
      </c>
      <c r="AL1380" s="142">
        <f>B1380*IBGE_2!AL$1380/100</f>
        <v>1.22</v>
      </c>
      <c r="AM1380" s="142" t="s">
        <v>3047</v>
      </c>
      <c r="AN1380" s="161"/>
    </row>
    <row r="1381" spans="1:40">
      <c r="A1381" s="143" t="s">
        <v>2441</v>
      </c>
      <c r="B1381" s="141">
        <v>100</v>
      </c>
      <c r="C1381" s="142">
        <f>B1381*IBGE_2!C$1381/100</f>
        <v>155</v>
      </c>
      <c r="D1381" s="142">
        <f>B1381*IBGE_2!D$1381/100</f>
        <v>12.58</v>
      </c>
      <c r="E1381" s="142">
        <f>B1381*IBGE_2!E$1381/100</f>
        <v>10.61</v>
      </c>
      <c r="F1381" s="142">
        <f>B1381*IBGE_2!F$1381/100</f>
        <v>3.2669999999999999</v>
      </c>
      <c r="G1381" s="142">
        <f>B1381*IBGE_2!G$1381/100</f>
        <v>4.077</v>
      </c>
      <c r="H1381" s="142">
        <f>B1381*IBGE_2!H$1381/100</f>
        <v>1.4140000000000001</v>
      </c>
      <c r="I1381" s="142">
        <f>B1381*IBGE_2!I$1381/100</f>
        <v>1.1879999999999999</v>
      </c>
      <c r="J1381" s="142">
        <f>B1381*IBGE_2!J$1381/100</f>
        <v>3.5000000000000003E-2</v>
      </c>
      <c r="K1381" s="142">
        <f>B1381*IBGE_2!K$1381/100</f>
        <v>424</v>
      </c>
      <c r="L1381" s="142">
        <f>B1381*IBGE_2!L$1381/100</f>
        <v>1.1200000000000001</v>
      </c>
      <c r="M1381" s="142" t="s">
        <v>3047</v>
      </c>
      <c r="N1381" s="142">
        <f>B1381*IBGE_2!N$1381/100</f>
        <v>50</v>
      </c>
      <c r="O1381" s="142">
        <f>B1381*IBGE_2!O$1381/100</f>
        <v>10</v>
      </c>
      <c r="P1381" s="142">
        <f>B1381*IBGE_2!P$1381/100</f>
        <v>2.6000000000000002E-2</v>
      </c>
      <c r="Q1381" s="142">
        <f>B1381*IBGE_2!Q$1381/100</f>
        <v>172</v>
      </c>
      <c r="R1381" s="142">
        <f>B1381*IBGE_2!R$1381/100</f>
        <v>1.19</v>
      </c>
      <c r="S1381" s="142">
        <f>B1381*IBGE_2!S$1381/100</f>
        <v>124</v>
      </c>
      <c r="T1381" s="142">
        <f>B1381*IBGE_2!T$1381/100</f>
        <v>126</v>
      </c>
      <c r="U1381" s="142">
        <f>B1381*IBGE_2!U$1381/100</f>
        <v>1.3000000000000001E-2</v>
      </c>
      <c r="V1381" s="142">
        <f>B1381*IBGE_2!V$1381/100</f>
        <v>1.05</v>
      </c>
      <c r="W1381" s="142">
        <f>B1381*IBGE_2!W$1381/100</f>
        <v>168</v>
      </c>
      <c r="X1381" s="142">
        <f>B1381*IBGE_2!X$1381/100</f>
        <v>6.6000000000000003E-2</v>
      </c>
      <c r="Y1381" s="142">
        <f>B1381*IBGE_2!Y$1381/100</f>
        <v>0.51300000000000001</v>
      </c>
      <c r="Z1381" s="142">
        <f>B1381*IBGE_2!Z$1381/100</f>
        <v>0.121</v>
      </c>
      <c r="AA1381" s="142">
        <f>B1381*IBGE_2!AA$1381/100</f>
        <v>6.4000000000000001E-2</v>
      </c>
      <c r="AB1381" s="142" t="s">
        <v>3047</v>
      </c>
      <c r="AC1381" s="142">
        <f>B1381*IBGE_2!AC$1381/100</f>
        <v>2.6139999999999999</v>
      </c>
      <c r="AD1381" s="142">
        <f>B1381*IBGE_2!AD$1381/100</f>
        <v>1.1100000000000001</v>
      </c>
      <c r="AE1381" s="142">
        <f>B1381*IBGE_2!AE$1381/100</f>
        <v>44</v>
      </c>
      <c r="AF1381" s="142">
        <f>B1381*IBGE_2!AF$1381/100</f>
        <v>1.28</v>
      </c>
      <c r="AG1381" s="142">
        <f>B1381*IBGE_2!AG$1381/100</f>
        <v>1.03</v>
      </c>
      <c r="AH1381" s="142" t="s">
        <v>3047</v>
      </c>
      <c r="AI1381" s="142" t="s">
        <v>3047</v>
      </c>
      <c r="AJ1381" s="142">
        <f>B1381*IBGE_2!AJ$1381/100</f>
        <v>30.8</v>
      </c>
      <c r="AK1381" s="142">
        <f>B1381*IBGE_2!AK$1381/100</f>
        <v>169.333</v>
      </c>
      <c r="AL1381" s="142">
        <f>B1381*IBGE_2!AL$1381/100</f>
        <v>1.22</v>
      </c>
      <c r="AM1381" s="142" t="s">
        <v>3047</v>
      </c>
      <c r="AN1381" s="161"/>
    </row>
    <row r="1382" spans="1:40">
      <c r="A1382" s="143" t="s">
        <v>2442</v>
      </c>
      <c r="B1382" s="141">
        <v>100</v>
      </c>
      <c r="C1382" s="142">
        <f>B1382*IBGE_2!C$1382/100</f>
        <v>155</v>
      </c>
      <c r="D1382" s="142">
        <f>B1382*IBGE_2!D$1382/100</f>
        <v>12.58</v>
      </c>
      <c r="E1382" s="142">
        <f>B1382*IBGE_2!E$1382/100</f>
        <v>10.61</v>
      </c>
      <c r="F1382" s="142">
        <f>B1382*IBGE_2!F$1382/100</f>
        <v>3.2669999999999999</v>
      </c>
      <c r="G1382" s="142">
        <f>B1382*IBGE_2!G$1382/100</f>
        <v>4.077</v>
      </c>
      <c r="H1382" s="142">
        <f>B1382*IBGE_2!H$1382/100</f>
        <v>1.4140000000000001</v>
      </c>
      <c r="I1382" s="142">
        <f>B1382*IBGE_2!I$1382/100</f>
        <v>1.1879999999999999</v>
      </c>
      <c r="J1382" s="142">
        <f>B1382*IBGE_2!J$1382/100</f>
        <v>3.5000000000000003E-2</v>
      </c>
      <c r="K1382" s="142">
        <f>B1382*IBGE_2!K$1382/100</f>
        <v>424</v>
      </c>
      <c r="L1382" s="142">
        <f>B1382*IBGE_2!L$1382/100</f>
        <v>1.1200000000000001</v>
      </c>
      <c r="M1382" s="142" t="s">
        <v>3047</v>
      </c>
      <c r="N1382" s="142">
        <f>B1382*IBGE_2!N$1382/100</f>
        <v>50</v>
      </c>
      <c r="O1382" s="142">
        <f>B1382*IBGE_2!O$1382/100</f>
        <v>10</v>
      </c>
      <c r="P1382" s="142">
        <f>B1382*IBGE_2!P$1382/100</f>
        <v>2.6000000000000002E-2</v>
      </c>
      <c r="Q1382" s="142">
        <f>B1382*IBGE_2!Q$1382/100</f>
        <v>172</v>
      </c>
      <c r="R1382" s="142">
        <f>B1382*IBGE_2!R$1382/100</f>
        <v>1.19</v>
      </c>
      <c r="S1382" s="142">
        <f>B1382*IBGE_2!S$1382/100</f>
        <v>124</v>
      </c>
      <c r="T1382" s="142">
        <f>B1382*IBGE_2!T$1382/100</f>
        <v>126</v>
      </c>
      <c r="U1382" s="142">
        <f>B1382*IBGE_2!U$1382/100</f>
        <v>1.3000000000000001E-2</v>
      </c>
      <c r="V1382" s="142">
        <f>B1382*IBGE_2!V$1382/100</f>
        <v>1.05</v>
      </c>
      <c r="W1382" s="142">
        <f>B1382*IBGE_2!W$1382/100</f>
        <v>168</v>
      </c>
      <c r="X1382" s="142">
        <f>B1382*IBGE_2!X$1382/100</f>
        <v>6.6000000000000003E-2</v>
      </c>
      <c r="Y1382" s="142">
        <f>B1382*IBGE_2!Y$1382/100</f>
        <v>0.51300000000000001</v>
      </c>
      <c r="Z1382" s="142">
        <f>B1382*IBGE_2!Z$1382/100</f>
        <v>0.121</v>
      </c>
      <c r="AA1382" s="142">
        <f>B1382*IBGE_2!AA$1382/100</f>
        <v>6.4000000000000001E-2</v>
      </c>
      <c r="AB1382" s="142" t="s">
        <v>3047</v>
      </c>
      <c r="AC1382" s="142">
        <f>B1382*IBGE_2!AC$1382/100</f>
        <v>2.6139999999999999</v>
      </c>
      <c r="AD1382" s="142">
        <f>B1382*IBGE_2!AD$1382/100</f>
        <v>1.1100000000000001</v>
      </c>
      <c r="AE1382" s="142">
        <f>B1382*IBGE_2!AE$1382/100</f>
        <v>44</v>
      </c>
      <c r="AF1382" s="142">
        <f>B1382*IBGE_2!AF$1382/100</f>
        <v>1.28</v>
      </c>
      <c r="AG1382" s="142">
        <f>B1382*IBGE_2!AG$1382/100</f>
        <v>1.03</v>
      </c>
      <c r="AH1382" s="142" t="s">
        <v>3047</v>
      </c>
      <c r="AI1382" s="142" t="s">
        <v>3047</v>
      </c>
      <c r="AJ1382" s="142">
        <f>B1382*IBGE_2!AJ$1382/100</f>
        <v>30.8</v>
      </c>
      <c r="AK1382" s="142">
        <f>B1382*IBGE_2!AK$1382/100</f>
        <v>169.333</v>
      </c>
      <c r="AL1382" s="142">
        <f>B1382*IBGE_2!AL$1382/100</f>
        <v>1.22</v>
      </c>
      <c r="AM1382" s="142" t="s">
        <v>3047</v>
      </c>
      <c r="AN1382" s="161"/>
    </row>
    <row r="1383" spans="1:40">
      <c r="A1383" s="143" t="s">
        <v>2443</v>
      </c>
      <c r="B1383" s="141">
        <v>100</v>
      </c>
      <c r="C1383" s="142">
        <f>B1383*IBGE_2!C$1383/100</f>
        <v>155</v>
      </c>
      <c r="D1383" s="142">
        <f>B1383*IBGE_2!D$1383/100</f>
        <v>12.58</v>
      </c>
      <c r="E1383" s="142">
        <f>B1383*IBGE_2!E$1383/100</f>
        <v>10.61</v>
      </c>
      <c r="F1383" s="142">
        <f>B1383*IBGE_2!F$1383/100</f>
        <v>3.2669999999999999</v>
      </c>
      <c r="G1383" s="142">
        <f>B1383*IBGE_2!G$1383/100</f>
        <v>4.077</v>
      </c>
      <c r="H1383" s="142">
        <f>B1383*IBGE_2!H$1383/100</f>
        <v>1.4140000000000001</v>
      </c>
      <c r="I1383" s="142">
        <f>B1383*IBGE_2!I$1383/100</f>
        <v>1.1879999999999999</v>
      </c>
      <c r="J1383" s="142">
        <f>B1383*IBGE_2!J$1383/100</f>
        <v>3.5000000000000003E-2</v>
      </c>
      <c r="K1383" s="142">
        <f>B1383*IBGE_2!K$1383/100</f>
        <v>424</v>
      </c>
      <c r="L1383" s="142">
        <f>B1383*IBGE_2!L$1383/100</f>
        <v>1.1200000000000001</v>
      </c>
      <c r="M1383" s="142" t="s">
        <v>3047</v>
      </c>
      <c r="N1383" s="142">
        <f>B1383*IBGE_2!N$1383/100</f>
        <v>50</v>
      </c>
      <c r="O1383" s="142">
        <f>B1383*IBGE_2!O$1383/100</f>
        <v>10</v>
      </c>
      <c r="P1383" s="142">
        <f>B1383*IBGE_2!P$1383/100</f>
        <v>2.6000000000000002E-2</v>
      </c>
      <c r="Q1383" s="142">
        <f>B1383*IBGE_2!Q$1383/100</f>
        <v>172</v>
      </c>
      <c r="R1383" s="142">
        <f>B1383*IBGE_2!R$1383/100</f>
        <v>1.19</v>
      </c>
      <c r="S1383" s="142">
        <f>B1383*IBGE_2!S$1383/100</f>
        <v>124</v>
      </c>
      <c r="T1383" s="142">
        <f>B1383*IBGE_2!T$1383/100</f>
        <v>126</v>
      </c>
      <c r="U1383" s="142">
        <f>B1383*IBGE_2!U$1383/100</f>
        <v>1.3000000000000001E-2</v>
      </c>
      <c r="V1383" s="142">
        <f>B1383*IBGE_2!V$1383/100</f>
        <v>1.05</v>
      </c>
      <c r="W1383" s="142">
        <f>B1383*IBGE_2!W$1383/100</f>
        <v>168</v>
      </c>
      <c r="X1383" s="142">
        <f>B1383*IBGE_2!X$1383/100</f>
        <v>6.6000000000000003E-2</v>
      </c>
      <c r="Y1383" s="142">
        <f>B1383*IBGE_2!Y$1383/100</f>
        <v>0.51300000000000001</v>
      </c>
      <c r="Z1383" s="142">
        <f>B1383*IBGE_2!Z$1383/100</f>
        <v>0.121</v>
      </c>
      <c r="AA1383" s="142">
        <f>B1383*IBGE_2!AA$1383/100</f>
        <v>6.4000000000000001E-2</v>
      </c>
      <c r="AB1383" s="142" t="s">
        <v>3047</v>
      </c>
      <c r="AC1383" s="142">
        <f>B1383*IBGE_2!AC$1383/100</f>
        <v>2.6139999999999999</v>
      </c>
      <c r="AD1383" s="142">
        <f>B1383*IBGE_2!AD$1383/100</f>
        <v>1.1100000000000001</v>
      </c>
      <c r="AE1383" s="142">
        <f>B1383*IBGE_2!AE$1383/100</f>
        <v>44</v>
      </c>
      <c r="AF1383" s="142">
        <f>B1383*IBGE_2!AF$1383/100</f>
        <v>1.28</v>
      </c>
      <c r="AG1383" s="142">
        <f>B1383*IBGE_2!AG$1383/100</f>
        <v>1.03</v>
      </c>
      <c r="AH1383" s="142" t="s">
        <v>3047</v>
      </c>
      <c r="AI1383" s="142" t="s">
        <v>3047</v>
      </c>
      <c r="AJ1383" s="142">
        <f>B1383*IBGE_2!AJ$1383/100</f>
        <v>30.8</v>
      </c>
      <c r="AK1383" s="142">
        <f>B1383*IBGE_2!AK$1383/100</f>
        <v>169.333</v>
      </c>
      <c r="AL1383" s="142">
        <f>B1383*IBGE_2!AL$1383/100</f>
        <v>1.22</v>
      </c>
      <c r="AM1383" s="142" t="s">
        <v>3047</v>
      </c>
      <c r="AN1383" s="161"/>
    </row>
    <row r="1384" spans="1:40">
      <c r="A1384" s="143" t="s">
        <v>2444</v>
      </c>
      <c r="B1384" s="141">
        <v>100</v>
      </c>
      <c r="C1384" s="142">
        <f>B1384*IBGE_2!C$1384/100</f>
        <v>155</v>
      </c>
      <c r="D1384" s="142">
        <f>B1384*IBGE_2!D$1384/100</f>
        <v>12.58</v>
      </c>
      <c r="E1384" s="142">
        <f>B1384*IBGE_2!E$1384/100</f>
        <v>10.61</v>
      </c>
      <c r="F1384" s="142">
        <f>B1384*IBGE_2!F$1384/100</f>
        <v>3.2669999999999999</v>
      </c>
      <c r="G1384" s="142">
        <f>B1384*IBGE_2!G$1384/100</f>
        <v>4.077</v>
      </c>
      <c r="H1384" s="142">
        <f>B1384*IBGE_2!H$1384/100</f>
        <v>1.4140000000000001</v>
      </c>
      <c r="I1384" s="142">
        <f>B1384*IBGE_2!I$1384/100</f>
        <v>1.1879999999999999</v>
      </c>
      <c r="J1384" s="142">
        <f>B1384*IBGE_2!J$1384/100</f>
        <v>3.5000000000000003E-2</v>
      </c>
      <c r="K1384" s="142">
        <f>B1384*IBGE_2!K$1384/100</f>
        <v>424</v>
      </c>
      <c r="L1384" s="142">
        <f>B1384*IBGE_2!L$1384/100</f>
        <v>1.1200000000000001</v>
      </c>
      <c r="M1384" s="142" t="s">
        <v>3047</v>
      </c>
      <c r="N1384" s="142">
        <f>B1384*IBGE_2!N$1384/100</f>
        <v>50</v>
      </c>
      <c r="O1384" s="142">
        <f>B1384*IBGE_2!O$1384/100</f>
        <v>10</v>
      </c>
      <c r="P1384" s="142">
        <f>B1384*IBGE_2!P$1384/100</f>
        <v>2.6000000000000002E-2</v>
      </c>
      <c r="Q1384" s="142">
        <f>B1384*IBGE_2!Q$1384/100</f>
        <v>172</v>
      </c>
      <c r="R1384" s="142">
        <f>B1384*IBGE_2!R$1384/100</f>
        <v>1.19</v>
      </c>
      <c r="S1384" s="142">
        <f>B1384*IBGE_2!S$1384/100</f>
        <v>124</v>
      </c>
      <c r="T1384" s="142">
        <f>B1384*IBGE_2!T$1384/100</f>
        <v>126</v>
      </c>
      <c r="U1384" s="142">
        <f>B1384*IBGE_2!U$1384/100</f>
        <v>1.3000000000000001E-2</v>
      </c>
      <c r="V1384" s="142">
        <f>B1384*IBGE_2!V$1384/100</f>
        <v>1.05</v>
      </c>
      <c r="W1384" s="142">
        <f>B1384*IBGE_2!W$1384/100</f>
        <v>168</v>
      </c>
      <c r="X1384" s="142">
        <f>B1384*IBGE_2!X$1384/100</f>
        <v>6.6000000000000003E-2</v>
      </c>
      <c r="Y1384" s="142">
        <f>B1384*IBGE_2!Y$1384/100</f>
        <v>0.51300000000000001</v>
      </c>
      <c r="Z1384" s="142">
        <f>B1384*IBGE_2!Z$1384/100</f>
        <v>0.121</v>
      </c>
      <c r="AA1384" s="142">
        <f>B1384*IBGE_2!AA$1384/100</f>
        <v>6.4000000000000001E-2</v>
      </c>
      <c r="AB1384" s="142" t="s">
        <v>3047</v>
      </c>
      <c r="AC1384" s="142">
        <f>B1384*IBGE_2!AC$1384/100</f>
        <v>2.6139999999999999</v>
      </c>
      <c r="AD1384" s="142">
        <f>B1384*IBGE_2!AD$1384/100</f>
        <v>1.1100000000000001</v>
      </c>
      <c r="AE1384" s="142">
        <f>B1384*IBGE_2!AE$1384/100</f>
        <v>44</v>
      </c>
      <c r="AF1384" s="142">
        <f>B1384*IBGE_2!AF$1384/100</f>
        <v>1.28</v>
      </c>
      <c r="AG1384" s="142">
        <f>B1384*IBGE_2!AG$1384/100</f>
        <v>1.03</v>
      </c>
      <c r="AH1384" s="142" t="s">
        <v>3047</v>
      </c>
      <c r="AI1384" s="142" t="s">
        <v>3047</v>
      </c>
      <c r="AJ1384" s="142">
        <f>B1384*IBGE_2!AJ$1384/100</f>
        <v>30.8</v>
      </c>
      <c r="AK1384" s="142">
        <f>B1384*IBGE_2!AK$1384/100</f>
        <v>169.333</v>
      </c>
      <c r="AL1384" s="142">
        <f>B1384*IBGE_2!AL$1384/100</f>
        <v>1.22</v>
      </c>
      <c r="AM1384" s="142" t="s">
        <v>3047</v>
      </c>
      <c r="AN1384" s="161"/>
    </row>
    <row r="1385" spans="1:40">
      <c r="A1385" s="143" t="s">
        <v>2445</v>
      </c>
      <c r="B1385" s="141">
        <v>100</v>
      </c>
      <c r="C1385" s="142">
        <f>B1385*IBGE_2!C$1385/100</f>
        <v>222.59100000000001</v>
      </c>
      <c r="D1385" s="142">
        <f>B1385*IBGE_2!D$1385/100</f>
        <v>13.673999999999999</v>
      </c>
      <c r="E1385" s="142">
        <f>B1385*IBGE_2!E$1385/100</f>
        <v>17.654</v>
      </c>
      <c r="F1385" s="142">
        <f>B1385*IBGE_2!F$1385/100</f>
        <v>4.5090000000000003</v>
      </c>
      <c r="G1385" s="142">
        <f>B1385*IBGE_2!G$1385/100</f>
        <v>5.8259999999999987</v>
      </c>
      <c r="H1385" s="142">
        <f>B1385*IBGE_2!H$1385/100</f>
        <v>5.0709999999999997</v>
      </c>
      <c r="I1385" s="142">
        <f>B1385*IBGE_2!I$1385/100</f>
        <v>4.41</v>
      </c>
      <c r="J1385" s="142">
        <f>B1385*IBGE_2!J$1385/100</f>
        <v>0.45399999999999996</v>
      </c>
      <c r="K1385" s="142">
        <f>B1385*IBGE_2!K$1385/100</f>
        <v>460.87</v>
      </c>
      <c r="L1385" s="142">
        <f>B1385*IBGE_2!L$1385/100</f>
        <v>1.2170000000000001</v>
      </c>
      <c r="M1385" s="142" t="s">
        <v>3047</v>
      </c>
      <c r="N1385" s="142">
        <f>B1385*IBGE_2!N$1385/100</f>
        <v>54.347999999999999</v>
      </c>
      <c r="O1385" s="142">
        <f>B1385*IBGE_2!O$1385/100</f>
        <v>10.87</v>
      </c>
      <c r="P1385" s="142">
        <f>B1385*IBGE_2!P$1385/100</f>
        <v>2.8000000000000004E-2</v>
      </c>
      <c r="Q1385" s="142">
        <f>B1385*IBGE_2!Q$1385/100</f>
        <v>186.95699999999999</v>
      </c>
      <c r="R1385" s="142">
        <f>B1385*IBGE_2!R$1385/100</f>
        <v>1.2969999999999999</v>
      </c>
      <c r="S1385" s="142">
        <f>B1385*IBGE_2!S$1385/100</f>
        <v>134.78299999999999</v>
      </c>
      <c r="T1385" s="142">
        <f>B1385*IBGE_2!T$1385/100</f>
        <v>136.95699999999999</v>
      </c>
      <c r="U1385" s="142">
        <f>B1385*IBGE_2!U$1385/100</f>
        <v>1.4000000000000002E-2</v>
      </c>
      <c r="V1385" s="142">
        <f>B1385*IBGE_2!V$1385/100</f>
        <v>1.1419999999999999</v>
      </c>
      <c r="W1385" s="142">
        <f>B1385*IBGE_2!W$1385/100</f>
        <v>182.60900000000001</v>
      </c>
      <c r="X1385" s="142">
        <f>B1385*IBGE_2!X$1385/100</f>
        <v>7.1999999999999995E-2</v>
      </c>
      <c r="Y1385" s="142">
        <f>B1385*IBGE_2!Y$1385/100</f>
        <v>0.55800000000000005</v>
      </c>
      <c r="Z1385" s="142">
        <f>B1385*IBGE_2!Z$1385/100</f>
        <v>0.13200000000000001</v>
      </c>
      <c r="AA1385" s="142">
        <f>B1385*IBGE_2!AA$1385/100</f>
        <v>7.0000000000000007E-2</v>
      </c>
      <c r="AB1385" s="142" t="s">
        <v>3047</v>
      </c>
      <c r="AC1385" s="142">
        <f>B1385*IBGE_2!AC$1385/100</f>
        <v>2.8410000000000002</v>
      </c>
      <c r="AD1385" s="142">
        <f>B1385*IBGE_2!AD$1385/100</f>
        <v>1.2070000000000001</v>
      </c>
      <c r="AE1385" s="142">
        <f>B1385*IBGE_2!AE$1385/100</f>
        <v>47.826000000000001</v>
      </c>
      <c r="AF1385" s="142">
        <f>B1385*IBGE_2!AF$1385/100</f>
        <v>1.391</v>
      </c>
      <c r="AG1385" s="142">
        <f>B1385*IBGE_2!AG$1385/100</f>
        <v>1.62</v>
      </c>
      <c r="AH1385" s="142" t="s">
        <v>3047</v>
      </c>
      <c r="AI1385" s="142" t="s">
        <v>3047</v>
      </c>
      <c r="AJ1385" s="142">
        <f>B1385*IBGE_2!AJ$1385/100</f>
        <v>36.283999999999999</v>
      </c>
      <c r="AK1385" s="142">
        <f>B1385*IBGE_2!AK$1385/100</f>
        <v>184.05799999999999</v>
      </c>
      <c r="AL1385" s="142">
        <f>B1385*IBGE_2!AL$1385/100</f>
        <v>1.3259999999999998</v>
      </c>
      <c r="AM1385" s="142" t="s">
        <v>3047</v>
      </c>
      <c r="AN1385" s="161"/>
    </row>
    <row r="1386" spans="1:40">
      <c r="A1386" s="143" t="s">
        <v>2446</v>
      </c>
      <c r="B1386" s="141">
        <v>100</v>
      </c>
      <c r="C1386" s="142">
        <f>B1386*IBGE_2!C$1386/100</f>
        <v>155</v>
      </c>
      <c r="D1386" s="142">
        <f>B1386*IBGE_2!D$1386/100</f>
        <v>12.58</v>
      </c>
      <c r="E1386" s="142">
        <f>B1386*IBGE_2!E$1386/100</f>
        <v>10.61</v>
      </c>
      <c r="F1386" s="142">
        <f>B1386*IBGE_2!F$1386/100</f>
        <v>3.2669999999999999</v>
      </c>
      <c r="G1386" s="142">
        <f>B1386*IBGE_2!G$1386/100</f>
        <v>4.077</v>
      </c>
      <c r="H1386" s="142">
        <f>B1386*IBGE_2!H$1386/100</f>
        <v>1.4140000000000001</v>
      </c>
      <c r="I1386" s="142">
        <f>B1386*IBGE_2!I$1386/100</f>
        <v>1.1879999999999999</v>
      </c>
      <c r="J1386" s="142">
        <f>B1386*IBGE_2!J$1386/100</f>
        <v>3.5000000000000003E-2</v>
      </c>
      <c r="K1386" s="142">
        <f>B1386*IBGE_2!K$1386/100</f>
        <v>424</v>
      </c>
      <c r="L1386" s="142">
        <f>B1386*IBGE_2!L$1386/100</f>
        <v>1.1200000000000001</v>
      </c>
      <c r="M1386" s="142" t="s">
        <v>3047</v>
      </c>
      <c r="N1386" s="142">
        <f>B1386*IBGE_2!N$1386/100</f>
        <v>50</v>
      </c>
      <c r="O1386" s="142">
        <f>B1386*IBGE_2!O$1386/100</f>
        <v>10</v>
      </c>
      <c r="P1386" s="142">
        <f>B1386*IBGE_2!P$1386/100</f>
        <v>2.6000000000000002E-2</v>
      </c>
      <c r="Q1386" s="142">
        <f>B1386*IBGE_2!Q$1386/100</f>
        <v>172</v>
      </c>
      <c r="R1386" s="142">
        <f>B1386*IBGE_2!R$1386/100</f>
        <v>1.19</v>
      </c>
      <c r="S1386" s="142">
        <f>B1386*IBGE_2!S$1386/100</f>
        <v>124</v>
      </c>
      <c r="T1386" s="142">
        <f>B1386*IBGE_2!T$1386/100</f>
        <v>126</v>
      </c>
      <c r="U1386" s="142">
        <f>B1386*IBGE_2!U$1386/100</f>
        <v>1.3000000000000001E-2</v>
      </c>
      <c r="V1386" s="142">
        <f>B1386*IBGE_2!V$1386/100</f>
        <v>1.05</v>
      </c>
      <c r="W1386" s="142">
        <f>B1386*IBGE_2!W$1386/100</f>
        <v>168</v>
      </c>
      <c r="X1386" s="142">
        <f>B1386*IBGE_2!X$1386/100</f>
        <v>6.6000000000000003E-2</v>
      </c>
      <c r="Y1386" s="142">
        <f>B1386*IBGE_2!Y$1386/100</f>
        <v>0.51300000000000001</v>
      </c>
      <c r="Z1386" s="142">
        <f>B1386*IBGE_2!Z$1386/100</f>
        <v>0.121</v>
      </c>
      <c r="AA1386" s="142">
        <f>B1386*IBGE_2!AA$1386/100</f>
        <v>6.4000000000000001E-2</v>
      </c>
      <c r="AB1386" s="142" t="s">
        <v>3047</v>
      </c>
      <c r="AC1386" s="142">
        <f>B1386*IBGE_2!AC$1386/100</f>
        <v>2.6139999999999999</v>
      </c>
      <c r="AD1386" s="142">
        <f>B1386*IBGE_2!AD$1386/100</f>
        <v>1.1100000000000001</v>
      </c>
      <c r="AE1386" s="142">
        <f>B1386*IBGE_2!AE$1386/100</f>
        <v>44</v>
      </c>
      <c r="AF1386" s="142">
        <f>B1386*IBGE_2!AF$1386/100</f>
        <v>1.28</v>
      </c>
      <c r="AG1386" s="142">
        <f>B1386*IBGE_2!AG$1386/100</f>
        <v>1.03</v>
      </c>
      <c r="AH1386" s="145" t="s">
        <v>3047</v>
      </c>
      <c r="AI1386" s="145" t="s">
        <v>3047</v>
      </c>
      <c r="AJ1386" s="142">
        <f>B1386*IBGE_2!AJ$1386/100</f>
        <v>30.8</v>
      </c>
      <c r="AK1386" s="142">
        <f>B1386*IBGE_2!AK$1386/100</f>
        <v>169.333</v>
      </c>
      <c r="AL1386" s="142">
        <f>B1386*IBGE_2!AL$1386/100</f>
        <v>1.22</v>
      </c>
      <c r="AM1386" s="142" t="s">
        <v>3047</v>
      </c>
      <c r="AN1386" s="161"/>
    </row>
    <row r="1387" spans="1:40">
      <c r="A1387" s="143" t="s">
        <v>2447</v>
      </c>
      <c r="B1387" s="141">
        <v>100</v>
      </c>
      <c r="C1387" s="142">
        <f>B1387*IBGE_2!C$1387/100</f>
        <v>155</v>
      </c>
      <c r="D1387" s="142">
        <f>B1387*IBGE_2!D$1387/100</f>
        <v>12.58</v>
      </c>
      <c r="E1387" s="142">
        <f>B1387*IBGE_2!E$1387/100</f>
        <v>10.61</v>
      </c>
      <c r="F1387" s="142">
        <f>B1387*IBGE_2!F$1387/100</f>
        <v>3.2669999999999999</v>
      </c>
      <c r="G1387" s="142">
        <f>B1387*IBGE_2!G$1387/100</f>
        <v>4.077</v>
      </c>
      <c r="H1387" s="142">
        <f>B1387*IBGE_2!H$1387/100</f>
        <v>1.4140000000000001</v>
      </c>
      <c r="I1387" s="142">
        <f>B1387*IBGE_2!I$1387/100</f>
        <v>1.1879999999999999</v>
      </c>
      <c r="J1387" s="142">
        <f>B1387*IBGE_2!J$1387/100</f>
        <v>3.5000000000000003E-2</v>
      </c>
      <c r="K1387" s="142">
        <f>B1387*IBGE_2!K$1387/100</f>
        <v>424</v>
      </c>
      <c r="L1387" s="142">
        <f>B1387*IBGE_2!L$1387/100</f>
        <v>1.1200000000000001</v>
      </c>
      <c r="M1387" s="142" t="s">
        <v>3047</v>
      </c>
      <c r="N1387" s="142">
        <f>B1387*IBGE_2!N$1387/100</f>
        <v>50</v>
      </c>
      <c r="O1387" s="142">
        <f>B1387*IBGE_2!O$1387/100</f>
        <v>10</v>
      </c>
      <c r="P1387" s="142">
        <f>B1387*IBGE_2!P$1387/100</f>
        <v>2.6000000000000002E-2</v>
      </c>
      <c r="Q1387" s="142">
        <f>B1387*IBGE_2!Q$1387/100</f>
        <v>172</v>
      </c>
      <c r="R1387" s="142">
        <f>B1387*IBGE_2!R$1387/100</f>
        <v>1.19</v>
      </c>
      <c r="S1387" s="142">
        <f>B1387*IBGE_2!S$1387/100</f>
        <v>124</v>
      </c>
      <c r="T1387" s="142">
        <f>B1387*IBGE_2!T$1387/100</f>
        <v>126</v>
      </c>
      <c r="U1387" s="142">
        <f>B1387*IBGE_2!U$1387/100</f>
        <v>1.3000000000000001E-2</v>
      </c>
      <c r="V1387" s="142">
        <f>B1387*IBGE_2!V$1387/100</f>
        <v>1.05</v>
      </c>
      <c r="W1387" s="142">
        <f>B1387*IBGE_2!W$1387/100</f>
        <v>168</v>
      </c>
      <c r="X1387" s="142">
        <f>B1387*IBGE_2!X$1387/100</f>
        <v>6.6000000000000003E-2</v>
      </c>
      <c r="Y1387" s="142">
        <f>B1387*IBGE_2!Y$1387/100</f>
        <v>0.51300000000000001</v>
      </c>
      <c r="Z1387" s="142">
        <f>B1387*IBGE_2!Z$1387/100</f>
        <v>0.121</v>
      </c>
      <c r="AA1387" s="142">
        <f>B1387*IBGE_2!AA$1387/100</f>
        <v>6.4000000000000001E-2</v>
      </c>
      <c r="AB1387" s="142" t="s">
        <v>3047</v>
      </c>
      <c r="AC1387" s="142">
        <f>B1387*IBGE_2!AC$1387/100</f>
        <v>2.6139999999999999</v>
      </c>
      <c r="AD1387" s="142">
        <f>B1387*IBGE_2!AD$1387/100</f>
        <v>1.1100000000000001</v>
      </c>
      <c r="AE1387" s="142">
        <f>B1387*IBGE_2!AE$1387/100</f>
        <v>44</v>
      </c>
      <c r="AF1387" s="142">
        <f>B1387*IBGE_2!AF$1387/100</f>
        <v>1.28</v>
      </c>
      <c r="AG1387" s="142">
        <f>B1387*IBGE_2!AG$1387/100</f>
        <v>1.03</v>
      </c>
      <c r="AH1387" s="145" t="s">
        <v>3047</v>
      </c>
      <c r="AI1387" s="145" t="s">
        <v>3047</v>
      </c>
      <c r="AJ1387" s="142">
        <f>B1387*IBGE_2!AJ$1387/100</f>
        <v>30.8</v>
      </c>
      <c r="AK1387" s="142">
        <f>B1387*IBGE_2!AK$1387/100</f>
        <v>169.333</v>
      </c>
      <c r="AL1387" s="142">
        <f>B1387*IBGE_2!AL$1387/100</f>
        <v>1.22</v>
      </c>
      <c r="AM1387" s="142" t="s">
        <v>3047</v>
      </c>
      <c r="AN1387" s="161"/>
    </row>
    <row r="1388" spans="1:40">
      <c r="A1388" s="143" t="s">
        <v>2448</v>
      </c>
      <c r="B1388" s="141">
        <v>100</v>
      </c>
      <c r="C1388" s="142">
        <f>B1388*IBGE_2!C$1388/100</f>
        <v>247</v>
      </c>
      <c r="D1388" s="142">
        <f>B1388*IBGE_2!D$1388/100</f>
        <v>32.4</v>
      </c>
      <c r="E1388" s="142">
        <f>B1388*IBGE_2!E$1388/100</f>
        <v>12.1</v>
      </c>
      <c r="F1388" s="142">
        <f>B1388*IBGE_2!F$1388/100</f>
        <v>3.5169999999999999</v>
      </c>
      <c r="G1388" s="142">
        <f>B1388*IBGE_2!G$1388/100</f>
        <v>5.6269999999999989</v>
      </c>
      <c r="H1388" s="142">
        <f>B1388*IBGE_2!H$1388/100</f>
        <v>1.5369999999999999</v>
      </c>
      <c r="I1388" s="142">
        <f>B1388*IBGE_2!I$1388/100</f>
        <v>1.0549999999999999</v>
      </c>
      <c r="J1388" s="142">
        <f>B1388*IBGE_2!J$1388/100</f>
        <v>0.13</v>
      </c>
      <c r="K1388" s="142">
        <f>B1388*IBGE_2!K$1388/100</f>
        <v>89</v>
      </c>
      <c r="L1388" s="142" t="s">
        <v>3047</v>
      </c>
      <c r="M1388" s="142" t="s">
        <v>3047</v>
      </c>
      <c r="N1388" s="142">
        <f>B1388*IBGE_2!N$1388/100</f>
        <v>16</v>
      </c>
      <c r="O1388" s="142">
        <f>B1388*IBGE_2!O$1388/100</f>
        <v>22</v>
      </c>
      <c r="P1388" s="142">
        <f>B1388*IBGE_2!P$1388/100</f>
        <v>2.6000000000000002E-2</v>
      </c>
      <c r="Q1388" s="142">
        <f>B1388*IBGE_2!Q$1388/100</f>
        <v>242</v>
      </c>
      <c r="R1388" s="142">
        <f>B1388*IBGE_2!R$1388/100</f>
        <v>1.43</v>
      </c>
      <c r="S1388" s="142">
        <f>B1388*IBGE_2!S$1388/100</f>
        <v>43</v>
      </c>
      <c r="T1388" s="142">
        <f>B1388*IBGE_2!T$1388/100</f>
        <v>271</v>
      </c>
      <c r="U1388" s="142">
        <f>B1388*IBGE_2!U$1388/100</f>
        <v>8.4000000000000005E-2</v>
      </c>
      <c r="V1388" s="142">
        <f>B1388*IBGE_2!V$1388/100</f>
        <v>1.37</v>
      </c>
      <c r="W1388" s="142">
        <f>B1388*IBGE_2!W$1388/100</f>
        <v>57</v>
      </c>
      <c r="X1388" s="142">
        <f>B1388*IBGE_2!X$1388/100</f>
        <v>7.0000000000000007E-2</v>
      </c>
      <c r="Y1388" s="142">
        <f>B1388*IBGE_2!Y$1388/100</f>
        <v>0.18</v>
      </c>
      <c r="Z1388" s="142">
        <f>B1388*IBGE_2!Z$1388/100</f>
        <v>0.75</v>
      </c>
      <c r="AA1388" s="142">
        <f>B1388*IBGE_2!AA$1388/100</f>
        <v>7.53</v>
      </c>
      <c r="AB1388" s="142">
        <f>B1388*IBGE_2!AB$1388/100</f>
        <v>2.2999999999999998</v>
      </c>
      <c r="AC1388" s="142">
        <f>B1388*IBGE_2!AC$1388/100</f>
        <v>15.047000000000001</v>
      </c>
      <c r="AD1388" s="142">
        <f>B1388*IBGE_2!AD$1388/100</f>
        <v>0.72</v>
      </c>
      <c r="AE1388" s="142">
        <f>B1388*IBGE_2!AE$1388/100</f>
        <v>5</v>
      </c>
      <c r="AF1388" s="142">
        <f>B1388*IBGE_2!AF$1388/100</f>
        <v>0.23899999999999999</v>
      </c>
      <c r="AG1388" s="142">
        <f>B1388*IBGE_2!AG$1388/100</f>
        <v>0.27</v>
      </c>
      <c r="AH1388" s="142">
        <f>B1388*IBGE_2!AH$1388/100</f>
        <v>0.26300000000000001</v>
      </c>
      <c r="AI1388" s="142">
        <f>B1388*IBGE_2!AI$1388/100</f>
        <v>333</v>
      </c>
      <c r="AJ1388" s="142">
        <f>B1388*IBGE_2!AJ$1388/100</f>
        <v>20.7</v>
      </c>
      <c r="AK1388" s="142">
        <f>B1388*IBGE_2!AK$1388/100</f>
        <v>57</v>
      </c>
      <c r="AL1388" s="142" t="s">
        <v>3047</v>
      </c>
      <c r="AM1388" s="142" t="s">
        <v>3047</v>
      </c>
      <c r="AN1388" s="161"/>
    </row>
    <row r="1389" spans="1:40">
      <c r="A1389" s="143" t="s">
        <v>2449</v>
      </c>
      <c r="B1389" s="141">
        <v>100</v>
      </c>
      <c r="C1389" s="142">
        <f>B1389*IBGE_2!C$1389/100</f>
        <v>247</v>
      </c>
      <c r="D1389" s="142">
        <f>B1389*IBGE_2!D$1389/100</f>
        <v>32.4</v>
      </c>
      <c r="E1389" s="142">
        <f>B1389*IBGE_2!E$1389/100</f>
        <v>12.1</v>
      </c>
      <c r="F1389" s="142">
        <f>B1389*IBGE_2!F$1389/100</f>
        <v>3.5169999999999999</v>
      </c>
      <c r="G1389" s="142">
        <f>B1389*IBGE_2!G$1389/100</f>
        <v>5.6269999999999989</v>
      </c>
      <c r="H1389" s="142">
        <f>B1389*IBGE_2!H$1389/100</f>
        <v>1.5369999999999999</v>
      </c>
      <c r="I1389" s="142">
        <f>B1389*IBGE_2!I$1389/100</f>
        <v>1.0549999999999999</v>
      </c>
      <c r="J1389" s="142">
        <f>B1389*IBGE_2!J$1389/100</f>
        <v>0.13</v>
      </c>
      <c r="K1389" s="142">
        <f>B1389*IBGE_2!K$1389/100</f>
        <v>89</v>
      </c>
      <c r="L1389" s="142" t="s">
        <v>3047</v>
      </c>
      <c r="M1389" s="142" t="s">
        <v>3047</v>
      </c>
      <c r="N1389" s="142">
        <f>B1389*IBGE_2!N$1389/100</f>
        <v>16</v>
      </c>
      <c r="O1389" s="142">
        <f>B1389*IBGE_2!O$1389/100</f>
        <v>22</v>
      </c>
      <c r="P1389" s="142">
        <f>B1389*IBGE_2!P$1389/100</f>
        <v>2.6000000000000002E-2</v>
      </c>
      <c r="Q1389" s="142">
        <f>B1389*IBGE_2!Q$1389/100</f>
        <v>242</v>
      </c>
      <c r="R1389" s="142">
        <f>B1389*IBGE_2!R$1389/100</f>
        <v>1.43</v>
      </c>
      <c r="S1389" s="142">
        <f>B1389*IBGE_2!S$1389/100</f>
        <v>43</v>
      </c>
      <c r="T1389" s="142">
        <f>B1389*IBGE_2!T$1389/100</f>
        <v>271</v>
      </c>
      <c r="U1389" s="142">
        <f>B1389*IBGE_2!U$1389/100</f>
        <v>8.4000000000000005E-2</v>
      </c>
      <c r="V1389" s="142">
        <f>B1389*IBGE_2!V$1389/100</f>
        <v>1.37</v>
      </c>
      <c r="W1389" s="142">
        <f>B1389*IBGE_2!W$1389/100</f>
        <v>57</v>
      </c>
      <c r="X1389" s="142">
        <f>B1389*IBGE_2!X$1389/100</f>
        <v>7.0000000000000007E-2</v>
      </c>
      <c r="Y1389" s="142">
        <f>B1389*IBGE_2!Y$1389/100</f>
        <v>0.18</v>
      </c>
      <c r="Z1389" s="142">
        <f>B1389*IBGE_2!Z$1389/100</f>
        <v>0.75</v>
      </c>
      <c r="AA1389" s="142">
        <f>B1389*IBGE_2!AA$1389/100</f>
        <v>7.53</v>
      </c>
      <c r="AB1389" s="142">
        <f>B1389*IBGE_2!AB$1389/100</f>
        <v>2.2999999999999998</v>
      </c>
      <c r="AC1389" s="142">
        <f>B1389*IBGE_2!AC$1389/100</f>
        <v>15.047000000000001</v>
      </c>
      <c r="AD1389" s="142">
        <f>B1389*IBGE_2!AD$1389/100</f>
        <v>0.72</v>
      </c>
      <c r="AE1389" s="142">
        <f>B1389*IBGE_2!AE$1389/100</f>
        <v>5</v>
      </c>
      <c r="AF1389" s="142">
        <f>B1389*IBGE_2!AF$1389/100</f>
        <v>0.23899999999999999</v>
      </c>
      <c r="AG1389" s="142">
        <f>B1389*IBGE_2!AG$1389/100</f>
        <v>0.27</v>
      </c>
      <c r="AH1389" s="142">
        <f>B1389*IBGE_2!AH$1389/100</f>
        <v>0.26300000000000001</v>
      </c>
      <c r="AI1389" s="142">
        <f>B1389*IBGE_2!AI$1389/100</f>
        <v>333</v>
      </c>
      <c r="AJ1389" s="142">
        <f>B1389*IBGE_2!AJ$1389/100</f>
        <v>20.7</v>
      </c>
      <c r="AK1389" s="142">
        <f>B1389*IBGE_2!AK$1389/100</f>
        <v>57</v>
      </c>
      <c r="AL1389" s="142" t="s">
        <v>3047</v>
      </c>
      <c r="AM1389" s="142" t="s">
        <v>3047</v>
      </c>
      <c r="AN1389" s="161"/>
    </row>
    <row r="1390" spans="1:40">
      <c r="A1390" s="143" t="s">
        <v>2450</v>
      </c>
      <c r="B1390" s="141">
        <v>100</v>
      </c>
      <c r="C1390" s="142">
        <f>B1390*IBGE_2!C$1390/100</f>
        <v>247</v>
      </c>
      <c r="D1390" s="142">
        <f>B1390*IBGE_2!D$1390/100</f>
        <v>32.4</v>
      </c>
      <c r="E1390" s="142">
        <f>B1390*IBGE_2!E$1390/100</f>
        <v>12.1</v>
      </c>
      <c r="F1390" s="142">
        <f>B1390*IBGE_2!F$1390/100</f>
        <v>3.5169999999999999</v>
      </c>
      <c r="G1390" s="142">
        <f>B1390*IBGE_2!G$1390/100</f>
        <v>5.6269999999999989</v>
      </c>
      <c r="H1390" s="142">
        <f>B1390*IBGE_2!H$1390/100</f>
        <v>1.5369999999999999</v>
      </c>
      <c r="I1390" s="142">
        <f>B1390*IBGE_2!I$1390/100</f>
        <v>1.0549999999999999</v>
      </c>
      <c r="J1390" s="142">
        <f>B1390*IBGE_2!J$1390/100</f>
        <v>0.13</v>
      </c>
      <c r="K1390" s="142">
        <f>B1390*IBGE_2!K$1390/100</f>
        <v>89</v>
      </c>
      <c r="L1390" s="142" t="s">
        <v>3047</v>
      </c>
      <c r="M1390" s="142" t="s">
        <v>3047</v>
      </c>
      <c r="N1390" s="142">
        <f>B1390*IBGE_2!N$1390/100</f>
        <v>16</v>
      </c>
      <c r="O1390" s="142">
        <f>B1390*IBGE_2!O$1390/100</f>
        <v>22</v>
      </c>
      <c r="P1390" s="142">
        <f>B1390*IBGE_2!P$1390/100</f>
        <v>2.6000000000000002E-2</v>
      </c>
      <c r="Q1390" s="142">
        <f>B1390*IBGE_2!Q$1390/100</f>
        <v>242</v>
      </c>
      <c r="R1390" s="142">
        <f>B1390*IBGE_2!R$1390/100</f>
        <v>1.43</v>
      </c>
      <c r="S1390" s="142">
        <f>B1390*IBGE_2!S$1390/100</f>
        <v>43</v>
      </c>
      <c r="T1390" s="142">
        <f>B1390*IBGE_2!T$1390/100</f>
        <v>271</v>
      </c>
      <c r="U1390" s="142">
        <f>B1390*IBGE_2!U$1390/100</f>
        <v>8.4000000000000005E-2</v>
      </c>
      <c r="V1390" s="142">
        <f>B1390*IBGE_2!V$1390/100</f>
        <v>1.37</v>
      </c>
      <c r="W1390" s="142">
        <f>B1390*IBGE_2!W$1390/100</f>
        <v>57</v>
      </c>
      <c r="X1390" s="142">
        <f>B1390*IBGE_2!X$1390/100</f>
        <v>7.0000000000000007E-2</v>
      </c>
      <c r="Y1390" s="142">
        <f>B1390*IBGE_2!Y$1390/100</f>
        <v>0.18</v>
      </c>
      <c r="Z1390" s="142">
        <f>B1390*IBGE_2!Z$1390/100</f>
        <v>0.75</v>
      </c>
      <c r="AA1390" s="142">
        <f>B1390*IBGE_2!AA$1390/100</f>
        <v>7.53</v>
      </c>
      <c r="AB1390" s="142">
        <f>B1390*IBGE_2!AB$1390/100</f>
        <v>2.2999999999999998</v>
      </c>
      <c r="AC1390" s="142">
        <f>B1390*IBGE_2!AC$1390/100</f>
        <v>15.047000000000001</v>
      </c>
      <c r="AD1390" s="142">
        <f>B1390*IBGE_2!AD$1390/100</f>
        <v>0.72</v>
      </c>
      <c r="AE1390" s="142">
        <f>B1390*IBGE_2!AE$1390/100</f>
        <v>5</v>
      </c>
      <c r="AF1390" s="142">
        <f>B1390*IBGE_2!AF$1390/100</f>
        <v>0.23899999999999999</v>
      </c>
      <c r="AG1390" s="142">
        <f>B1390*IBGE_2!AG$1390/100</f>
        <v>0.27</v>
      </c>
      <c r="AH1390" s="142">
        <f>B1390*IBGE_2!AH$1390/100</f>
        <v>0.26300000000000001</v>
      </c>
      <c r="AI1390" s="142">
        <f>B1390*IBGE_2!AI$1390/100</f>
        <v>333</v>
      </c>
      <c r="AJ1390" s="142">
        <f>B1390*IBGE_2!AJ$1390/100</f>
        <v>20.7</v>
      </c>
      <c r="AK1390" s="142">
        <f>B1390*IBGE_2!AK$1390/100</f>
        <v>57</v>
      </c>
      <c r="AL1390" s="142" t="s">
        <v>3047</v>
      </c>
      <c r="AM1390" s="142" t="s">
        <v>3047</v>
      </c>
      <c r="AN1390" s="161"/>
    </row>
    <row r="1391" spans="1:40">
      <c r="A1391" s="143" t="s">
        <v>2451</v>
      </c>
      <c r="B1391" s="141">
        <v>100</v>
      </c>
      <c r="C1391" s="142">
        <f>B1391*IBGE_2!C$1391/100</f>
        <v>247</v>
      </c>
      <c r="D1391" s="142">
        <f>B1391*IBGE_2!D$1391/100</f>
        <v>32.4</v>
      </c>
      <c r="E1391" s="142">
        <f>B1391*IBGE_2!E$1391/100</f>
        <v>12.1</v>
      </c>
      <c r="F1391" s="142">
        <f>B1391*IBGE_2!F$1391/100</f>
        <v>3.5169999999999999</v>
      </c>
      <c r="G1391" s="142">
        <f>B1391*IBGE_2!G$1391/100</f>
        <v>5.6269999999999989</v>
      </c>
      <c r="H1391" s="142">
        <f>B1391*IBGE_2!H$1391/100</f>
        <v>1.5369999999999999</v>
      </c>
      <c r="I1391" s="142">
        <f>B1391*IBGE_2!I$1391/100</f>
        <v>1.0549999999999999</v>
      </c>
      <c r="J1391" s="142">
        <f>B1391*IBGE_2!J$1391/100</f>
        <v>0.13</v>
      </c>
      <c r="K1391" s="142">
        <f>B1391*IBGE_2!K$1391/100</f>
        <v>89</v>
      </c>
      <c r="L1391" s="142" t="s">
        <v>3047</v>
      </c>
      <c r="M1391" s="142" t="s">
        <v>3047</v>
      </c>
      <c r="N1391" s="142">
        <f>B1391*IBGE_2!N$1391/100</f>
        <v>16</v>
      </c>
      <c r="O1391" s="142">
        <f>B1391*IBGE_2!O$1391/100</f>
        <v>22</v>
      </c>
      <c r="P1391" s="142">
        <f>B1391*IBGE_2!P$1391/100</f>
        <v>2.6000000000000002E-2</v>
      </c>
      <c r="Q1391" s="142">
        <f>B1391*IBGE_2!Q$1391/100</f>
        <v>242</v>
      </c>
      <c r="R1391" s="142">
        <f>B1391*IBGE_2!R$1391/100</f>
        <v>1.43</v>
      </c>
      <c r="S1391" s="142">
        <f>B1391*IBGE_2!S$1391/100</f>
        <v>43</v>
      </c>
      <c r="T1391" s="142">
        <f>B1391*IBGE_2!T$1391/100</f>
        <v>271</v>
      </c>
      <c r="U1391" s="142">
        <f>B1391*IBGE_2!U$1391/100</f>
        <v>8.4000000000000005E-2</v>
      </c>
      <c r="V1391" s="142">
        <f>B1391*IBGE_2!V$1391/100</f>
        <v>1.37</v>
      </c>
      <c r="W1391" s="142">
        <f>B1391*IBGE_2!W$1391/100</f>
        <v>57</v>
      </c>
      <c r="X1391" s="142">
        <f>B1391*IBGE_2!X$1391/100</f>
        <v>7.0000000000000007E-2</v>
      </c>
      <c r="Y1391" s="142">
        <f>B1391*IBGE_2!Y$1391/100</f>
        <v>0.18</v>
      </c>
      <c r="Z1391" s="142">
        <f>B1391*IBGE_2!Z$1391/100</f>
        <v>0.75</v>
      </c>
      <c r="AA1391" s="142">
        <f>B1391*IBGE_2!AA$1391/100</f>
        <v>7.53</v>
      </c>
      <c r="AB1391" s="142">
        <f>B1391*IBGE_2!AB$1391/100</f>
        <v>2.2999999999999998</v>
      </c>
      <c r="AC1391" s="142">
        <f>B1391*IBGE_2!AC$1391/100</f>
        <v>15.047000000000001</v>
      </c>
      <c r="AD1391" s="142">
        <f>B1391*IBGE_2!AD$1391/100</f>
        <v>0.72</v>
      </c>
      <c r="AE1391" s="142">
        <f>B1391*IBGE_2!AE$1391/100</f>
        <v>5</v>
      </c>
      <c r="AF1391" s="142">
        <f>B1391*IBGE_2!AF$1391/100</f>
        <v>0.23899999999999999</v>
      </c>
      <c r="AG1391" s="142">
        <f>B1391*IBGE_2!AG$1391/100</f>
        <v>0.27</v>
      </c>
      <c r="AH1391" s="142">
        <f>B1391*IBGE_2!AH$1391/100</f>
        <v>0.26300000000000001</v>
      </c>
      <c r="AI1391" s="142">
        <f>B1391*IBGE_2!AI$1391/100</f>
        <v>333</v>
      </c>
      <c r="AJ1391" s="142">
        <f>B1391*IBGE_2!AJ$1391/100</f>
        <v>20.7</v>
      </c>
      <c r="AK1391" s="142">
        <f>B1391*IBGE_2!AK$1391/100</f>
        <v>57</v>
      </c>
      <c r="AL1391" s="142" t="s">
        <v>3047</v>
      </c>
      <c r="AM1391" s="142" t="s">
        <v>3047</v>
      </c>
      <c r="AN1391" s="161"/>
    </row>
    <row r="1392" spans="1:40">
      <c r="A1392" s="143" t="s">
        <v>2452</v>
      </c>
      <c r="B1392" s="141">
        <v>100</v>
      </c>
      <c r="C1392" s="142">
        <f>B1392*IBGE_2!C$1392/100</f>
        <v>269.65899999999999</v>
      </c>
      <c r="D1392" s="142">
        <f>B1392*IBGE_2!D$1392/100</f>
        <v>32.4</v>
      </c>
      <c r="E1392" s="142">
        <f>B1392*IBGE_2!E$1392/100</f>
        <v>14.663</v>
      </c>
      <c r="F1392" s="142">
        <f>B1392*IBGE_2!F$1392/100</f>
        <v>3.9180000000000001</v>
      </c>
      <c r="G1392" s="142">
        <f>B1392*IBGE_2!G$1392/100</f>
        <v>6.2110000000000003</v>
      </c>
      <c r="H1392" s="142">
        <f>B1392*IBGE_2!H$1392/100</f>
        <v>3.0169999999999999</v>
      </c>
      <c r="I1392" s="142">
        <f>B1392*IBGE_2!I$1392/100</f>
        <v>2.3610000000000002</v>
      </c>
      <c r="J1392" s="142">
        <f>B1392*IBGE_2!J$1392/100</f>
        <v>0.30399999999999999</v>
      </c>
      <c r="K1392" s="142">
        <f>B1392*IBGE_2!K$1392/100</f>
        <v>89</v>
      </c>
      <c r="L1392" s="142" t="s">
        <v>3047</v>
      </c>
      <c r="M1392" s="142" t="s">
        <v>3047</v>
      </c>
      <c r="N1392" s="142">
        <f>B1392*IBGE_2!N$1392/100</f>
        <v>16</v>
      </c>
      <c r="O1392" s="142">
        <f>B1392*IBGE_2!O$1392/100</f>
        <v>22</v>
      </c>
      <c r="P1392" s="142">
        <f>B1392*IBGE_2!P$1392/100</f>
        <v>2.6000000000000002E-2</v>
      </c>
      <c r="Q1392" s="142">
        <f>B1392*IBGE_2!Q$1392/100</f>
        <v>242</v>
      </c>
      <c r="R1392" s="142">
        <f>B1392*IBGE_2!R$1392/100</f>
        <v>1.431</v>
      </c>
      <c r="S1392" s="142">
        <f>B1392*IBGE_2!S$1392/100</f>
        <v>43</v>
      </c>
      <c r="T1392" s="142">
        <f>B1392*IBGE_2!T$1392/100</f>
        <v>271</v>
      </c>
      <c r="U1392" s="142">
        <f>B1392*IBGE_2!U$1392/100</f>
        <v>8.4000000000000005E-2</v>
      </c>
      <c r="V1392" s="142">
        <f>B1392*IBGE_2!V$1392/100</f>
        <v>1.37</v>
      </c>
      <c r="W1392" s="142">
        <f>B1392*IBGE_2!W$1392/100</f>
        <v>57</v>
      </c>
      <c r="X1392" s="142">
        <f>B1392*IBGE_2!X$1392/100</f>
        <v>7.0000000000000007E-2</v>
      </c>
      <c r="Y1392" s="142">
        <f>B1392*IBGE_2!Y$1392/100</f>
        <v>0.18</v>
      </c>
      <c r="Z1392" s="142">
        <f>B1392*IBGE_2!Z$1392/100</f>
        <v>0.75</v>
      </c>
      <c r="AA1392" s="142">
        <f>B1392*IBGE_2!AA$1392/100</f>
        <v>7.53</v>
      </c>
      <c r="AB1392" s="142">
        <f>B1392*IBGE_2!AB$1392/100</f>
        <v>2.2999999999999998</v>
      </c>
      <c r="AC1392" s="142">
        <f>B1392*IBGE_2!AC$1392/100</f>
        <v>15.047000000000001</v>
      </c>
      <c r="AD1392" s="142">
        <f>B1392*IBGE_2!AD$1392/100</f>
        <v>0.72</v>
      </c>
      <c r="AE1392" s="142">
        <f>B1392*IBGE_2!AE$1392/100</f>
        <v>5</v>
      </c>
      <c r="AF1392" s="142">
        <f>B1392*IBGE_2!AF$1392/100</f>
        <v>0.23899999999999999</v>
      </c>
      <c r="AG1392" s="142">
        <f>B1392*IBGE_2!AG$1392/100</f>
        <v>0.48</v>
      </c>
      <c r="AH1392" s="142">
        <f>B1392*IBGE_2!AH$1392/100</f>
        <v>0.27700000000000002</v>
      </c>
      <c r="AI1392" s="142">
        <f>B1392*IBGE_2!AI$1392/100</f>
        <v>333</v>
      </c>
      <c r="AJ1392" s="142">
        <f>B1392*IBGE_2!AJ$1392/100</f>
        <v>21.875</v>
      </c>
      <c r="AK1392" s="142">
        <f>B1392*IBGE_2!AK$1392/100</f>
        <v>57</v>
      </c>
      <c r="AL1392" s="142" t="s">
        <v>3047</v>
      </c>
      <c r="AM1392" s="142" t="s">
        <v>3047</v>
      </c>
      <c r="AN1392" s="161"/>
    </row>
    <row r="1393" spans="1:40">
      <c r="A1393" s="143" t="s">
        <v>2453</v>
      </c>
      <c r="B1393" s="141">
        <v>100</v>
      </c>
      <c r="C1393" s="142">
        <f>B1393*IBGE_2!C$1393/100</f>
        <v>239</v>
      </c>
      <c r="D1393" s="142">
        <f>B1393*IBGE_2!D$1393/100</f>
        <v>27.3</v>
      </c>
      <c r="E1393" s="142">
        <f>B1393*IBGE_2!E$1393/100</f>
        <v>13.6</v>
      </c>
      <c r="F1393" s="142">
        <f>B1393*IBGE_2!F$1393/100</f>
        <v>3.79</v>
      </c>
      <c r="G1393" s="142">
        <f>B1393*IBGE_2!G$1393/100</f>
        <v>5.34</v>
      </c>
      <c r="H1393" s="142">
        <f>B1393*IBGE_2!H$1393/100</f>
        <v>2.97</v>
      </c>
      <c r="I1393" s="142">
        <f>B1393*IBGE_2!I$1393/100</f>
        <v>2.57</v>
      </c>
      <c r="J1393" s="142">
        <f>B1393*IBGE_2!J$1393/100</f>
        <v>0.11</v>
      </c>
      <c r="K1393" s="142">
        <f>B1393*IBGE_2!K$1393/100</f>
        <v>88</v>
      </c>
      <c r="L1393" s="142" t="s">
        <v>3047</v>
      </c>
      <c r="M1393" s="142" t="s">
        <v>3047</v>
      </c>
      <c r="N1393" s="142">
        <f>B1393*IBGE_2!N$1393/100</f>
        <v>15</v>
      </c>
      <c r="O1393" s="142">
        <f>B1393*IBGE_2!O$1393/100</f>
        <v>23</v>
      </c>
      <c r="P1393" s="142">
        <f>B1393*IBGE_2!P$1393/100</f>
        <v>0.02</v>
      </c>
      <c r="Q1393" s="142">
        <f>B1393*IBGE_2!Q$1393/100</f>
        <v>182</v>
      </c>
      <c r="R1393" s="142">
        <f>B1393*IBGE_2!R$1393/100</f>
        <v>1.26</v>
      </c>
      <c r="S1393" s="142">
        <f>B1393*IBGE_2!S$1393/100</f>
        <v>82</v>
      </c>
      <c r="T1393" s="142">
        <f>B1393*IBGE_2!T$1393/100</f>
        <v>223</v>
      </c>
      <c r="U1393" s="142">
        <f>B1393*IBGE_2!U$1393/100</f>
        <v>6.6000000000000003E-2</v>
      </c>
      <c r="V1393" s="142">
        <f>B1393*IBGE_2!V$1393/100</f>
        <v>1.94</v>
      </c>
      <c r="W1393" s="142">
        <f>B1393*IBGE_2!W$1393/100</f>
        <v>48</v>
      </c>
      <c r="X1393" s="142">
        <f>B1393*IBGE_2!X$1393/100</f>
        <v>6.3E-2</v>
      </c>
      <c r="Y1393" s="142">
        <f>B1393*IBGE_2!Y$1393/100</f>
        <v>0.16800000000000001</v>
      </c>
      <c r="Z1393" s="142">
        <f>B1393*IBGE_2!Z$1393/100</f>
        <v>0.4</v>
      </c>
      <c r="AA1393" s="142">
        <f>B1393*IBGE_2!AA$1393/100</f>
        <v>8.4870000000000001</v>
      </c>
      <c r="AB1393" s="142" t="s">
        <v>3047</v>
      </c>
      <c r="AC1393" s="142">
        <f>B1393*IBGE_2!AC$1393/100</f>
        <v>13.57</v>
      </c>
      <c r="AD1393" s="142">
        <f>B1393*IBGE_2!AD$1393/100</f>
        <v>0.3</v>
      </c>
      <c r="AE1393" s="142">
        <f>B1393*IBGE_2!AE$1393/100</f>
        <v>5</v>
      </c>
      <c r="AF1393" s="142">
        <f>B1393*IBGE_2!AF$1393/100</f>
        <v>0.3</v>
      </c>
      <c r="AG1393" s="142">
        <f>B1393*IBGE_2!AG$1393/100</f>
        <v>0.27</v>
      </c>
      <c r="AH1393" s="142">
        <f>B1393*IBGE_2!AH$1393/100</f>
        <v>0.45</v>
      </c>
      <c r="AI1393" s="142">
        <f>B1393*IBGE_2!AI$1393/100</f>
        <v>333</v>
      </c>
      <c r="AJ1393" s="142">
        <f>B1393*IBGE_2!AJ$1393/100</f>
        <v>23.9</v>
      </c>
      <c r="AK1393" s="142">
        <f>B1393*IBGE_2!AK$1393/100</f>
        <v>48</v>
      </c>
      <c r="AL1393" s="142" t="s">
        <v>3047</v>
      </c>
      <c r="AM1393" s="142" t="s">
        <v>3047</v>
      </c>
      <c r="AN1393" s="161"/>
    </row>
    <row r="1394" spans="1:40">
      <c r="A1394" s="143" t="s">
        <v>2454</v>
      </c>
      <c r="B1394" s="141">
        <v>100</v>
      </c>
      <c r="C1394" s="142">
        <f>B1394*IBGE_2!C$1394/100</f>
        <v>201</v>
      </c>
      <c r="D1394" s="142">
        <f>B1394*IBGE_2!D$1394/100</f>
        <v>26.14</v>
      </c>
      <c r="E1394" s="142">
        <f>B1394*IBGE_2!E$1394/100</f>
        <v>9.9700000000000006</v>
      </c>
      <c r="F1394" s="142">
        <f>B1394*IBGE_2!F$1394/100</f>
        <v>2.8</v>
      </c>
      <c r="G1394" s="142">
        <f>B1394*IBGE_2!G$1394/100</f>
        <v>3.92</v>
      </c>
      <c r="H1394" s="142">
        <f>B1394*IBGE_2!H$1394/100</f>
        <v>2.12</v>
      </c>
      <c r="I1394" s="142">
        <f>B1394*IBGE_2!I$1394/100</f>
        <v>1.83</v>
      </c>
      <c r="J1394" s="142">
        <f>B1394*IBGE_2!J$1394/100</f>
        <v>0.08</v>
      </c>
      <c r="K1394" s="142">
        <f>B1394*IBGE_2!K$1394/100</f>
        <v>74</v>
      </c>
      <c r="L1394" s="142" t="s">
        <v>3047</v>
      </c>
      <c r="M1394" s="142" t="s">
        <v>3047</v>
      </c>
      <c r="N1394" s="142">
        <f>B1394*IBGE_2!N$1394/100</f>
        <v>13</v>
      </c>
      <c r="O1394" s="142">
        <f>B1394*IBGE_2!O$1394/100</f>
        <v>20</v>
      </c>
      <c r="P1394" s="142">
        <f>B1394*IBGE_2!P$1394/100</f>
        <v>1.7999999999999999E-2</v>
      </c>
      <c r="Q1394" s="142">
        <f>B1394*IBGE_2!Q$1394/100</f>
        <v>146</v>
      </c>
      <c r="R1394" s="142">
        <f>B1394*IBGE_2!R$1394/100</f>
        <v>0.98</v>
      </c>
      <c r="S1394" s="142">
        <f>B1394*IBGE_2!S$1394/100</f>
        <v>63</v>
      </c>
      <c r="T1394" s="142">
        <f>B1394*IBGE_2!T$1394/100</f>
        <v>167</v>
      </c>
      <c r="U1394" s="142">
        <f>B1394*IBGE_2!U$1394/100</f>
        <v>4.3999999999999997E-2</v>
      </c>
      <c r="V1394" s="142">
        <f>B1394*IBGE_2!V$1394/100</f>
        <v>1.1399999999999999</v>
      </c>
      <c r="W1394" s="142">
        <f>B1394*IBGE_2!W$1394/100</f>
        <v>29</v>
      </c>
      <c r="X1394" s="142">
        <f>B1394*IBGE_2!X$1394/100</f>
        <v>4.1000000000000009E-2</v>
      </c>
      <c r="Y1394" s="142">
        <f>B1394*IBGE_2!Y$1394/100</f>
        <v>0.11200000000000002</v>
      </c>
      <c r="Z1394" s="142">
        <f>B1394*IBGE_2!Z$1394/100</f>
        <v>0.27</v>
      </c>
      <c r="AA1394" s="142">
        <f>B1394*IBGE_2!AA$1394/100</f>
        <v>6.9349999999999996</v>
      </c>
      <c r="AB1394" s="142" t="s">
        <v>3047</v>
      </c>
      <c r="AC1394" s="142">
        <f>B1394*IBGE_2!AC$1394/100</f>
        <v>11.835000000000001</v>
      </c>
      <c r="AD1394" s="142">
        <f>B1394*IBGE_2!AD$1394/100</f>
        <v>0.2</v>
      </c>
      <c r="AE1394" s="142">
        <f>B1394*IBGE_2!AE$1394/100</f>
        <v>3</v>
      </c>
      <c r="AF1394" s="142">
        <f>B1394*IBGE_2!AF$1394/100</f>
        <v>0.2</v>
      </c>
      <c r="AG1394" s="142">
        <f>B1394*IBGE_2!AG$1394/100</f>
        <v>0.21</v>
      </c>
      <c r="AH1394" s="142">
        <f>B1394*IBGE_2!AH$1394/100</f>
        <v>0.2</v>
      </c>
      <c r="AI1394" s="142">
        <f>B1394*IBGE_2!AI$1394/100</f>
        <v>333</v>
      </c>
      <c r="AJ1394" s="142">
        <f>B1394*IBGE_2!AJ$1394/100</f>
        <v>21.2</v>
      </c>
      <c r="AK1394" s="142">
        <f>B1394*IBGE_2!AK$1394/100</f>
        <v>29</v>
      </c>
      <c r="AL1394" s="142" t="s">
        <v>3047</v>
      </c>
      <c r="AM1394" s="142" t="s">
        <v>3047</v>
      </c>
      <c r="AN1394" s="161"/>
    </row>
    <row r="1395" spans="1:40">
      <c r="A1395" s="143" t="s">
        <v>2455</v>
      </c>
      <c r="B1395" s="141">
        <v>100</v>
      </c>
      <c r="C1395" s="142">
        <f>B1395*IBGE_2!C$1395/100</f>
        <v>201</v>
      </c>
      <c r="D1395" s="142">
        <f>B1395*IBGE_2!D$1395/100</f>
        <v>26.14</v>
      </c>
      <c r="E1395" s="142">
        <f>B1395*IBGE_2!E$1395/100</f>
        <v>9.9700000000000006</v>
      </c>
      <c r="F1395" s="142">
        <f>B1395*IBGE_2!F$1395/100</f>
        <v>2.8</v>
      </c>
      <c r="G1395" s="142">
        <f>B1395*IBGE_2!G$1395/100</f>
        <v>3.92</v>
      </c>
      <c r="H1395" s="142">
        <f>B1395*IBGE_2!H$1395/100</f>
        <v>2.12</v>
      </c>
      <c r="I1395" s="142">
        <f>B1395*IBGE_2!I$1395/100</f>
        <v>1.83</v>
      </c>
      <c r="J1395" s="142">
        <f>B1395*IBGE_2!J$1395/100</f>
        <v>0.08</v>
      </c>
      <c r="K1395" s="142">
        <f>B1395*IBGE_2!K$1395/100</f>
        <v>74</v>
      </c>
      <c r="L1395" s="142" t="s">
        <v>3047</v>
      </c>
      <c r="M1395" s="142" t="s">
        <v>3047</v>
      </c>
      <c r="N1395" s="142">
        <f>B1395*IBGE_2!N$1395/100</f>
        <v>13</v>
      </c>
      <c r="O1395" s="142">
        <f>B1395*IBGE_2!O$1395/100</f>
        <v>20</v>
      </c>
      <c r="P1395" s="142">
        <f>B1395*IBGE_2!P$1395/100</f>
        <v>1.7999999999999999E-2</v>
      </c>
      <c r="Q1395" s="142">
        <f>B1395*IBGE_2!Q$1395/100</f>
        <v>146</v>
      </c>
      <c r="R1395" s="142">
        <f>B1395*IBGE_2!R$1395/100</f>
        <v>0.98</v>
      </c>
      <c r="S1395" s="142">
        <f>B1395*IBGE_2!S$1395/100</f>
        <v>63</v>
      </c>
      <c r="T1395" s="142">
        <f>B1395*IBGE_2!T$1395/100</f>
        <v>167</v>
      </c>
      <c r="U1395" s="142">
        <f>B1395*IBGE_2!U$1395/100</f>
        <v>4.3999999999999997E-2</v>
      </c>
      <c r="V1395" s="142">
        <f>B1395*IBGE_2!V$1395/100</f>
        <v>1.1399999999999999</v>
      </c>
      <c r="W1395" s="142">
        <f>B1395*IBGE_2!W$1395/100</f>
        <v>29</v>
      </c>
      <c r="X1395" s="142">
        <f>B1395*IBGE_2!X$1395/100</f>
        <v>4.1000000000000009E-2</v>
      </c>
      <c r="Y1395" s="142">
        <f>B1395*IBGE_2!Y1395/100</f>
        <v>0.11200000000000002</v>
      </c>
      <c r="Z1395" s="142">
        <f>B1395*IBGE_2!Z$1395/100</f>
        <v>0.27</v>
      </c>
      <c r="AA1395" s="142">
        <f>B1395*IBGE_2!AA$1395/100</f>
        <v>6.9349999999999996</v>
      </c>
      <c r="AB1395" s="142" t="s">
        <v>3047</v>
      </c>
      <c r="AC1395" s="142">
        <f>B1395*IBGE_2!AC$1395/100</f>
        <v>11.835000000000001</v>
      </c>
      <c r="AD1395" s="142">
        <f>B1395*IBGE_2!AD$1395/100</f>
        <v>0.2</v>
      </c>
      <c r="AE1395" s="142">
        <f>B1395*IBGE_2!AE$1395/100</f>
        <v>3</v>
      </c>
      <c r="AF1395" s="142">
        <f>B1395*IBGE_2!AF$1395/100</f>
        <v>0.2</v>
      </c>
      <c r="AG1395" s="142">
        <f>B1395*IBGE_2!AG$1395/100</f>
        <v>0.21</v>
      </c>
      <c r="AH1395" s="142">
        <f>B1395*IBGE_2!AH$1395/100</f>
        <v>0.2</v>
      </c>
      <c r="AI1395" s="142">
        <f>B1395*IBGE_2!AI$1395/100</f>
        <v>333</v>
      </c>
      <c r="AJ1395" s="142">
        <f>B1395*IBGE_2!AJ$1395/100</f>
        <v>21.2</v>
      </c>
      <c r="AK1395" s="142">
        <f>B1395*IBGE_2!AK$1395/100</f>
        <v>29</v>
      </c>
      <c r="AL1395" s="142" t="s">
        <v>3047</v>
      </c>
      <c r="AM1395" s="142" t="s">
        <v>3047</v>
      </c>
      <c r="AN1395" s="161"/>
    </row>
    <row r="1396" spans="1:40">
      <c r="A1396" s="143" t="s">
        <v>2456</v>
      </c>
      <c r="B1396" s="141">
        <v>100</v>
      </c>
      <c r="C1396" s="142">
        <f>B1396*IBGE_2!C$1396/100</f>
        <v>223.65899999999999</v>
      </c>
      <c r="D1396" s="142">
        <f>B1396*IBGE_2!D$1396/100</f>
        <v>26.14</v>
      </c>
      <c r="E1396" s="142">
        <f>B1396*IBGE_2!E$1396/100</f>
        <v>12.532999999999999</v>
      </c>
      <c r="F1396" s="142">
        <f>B1396*IBGE_2!F$1396/100</f>
        <v>3.2010000000000001</v>
      </c>
      <c r="G1396" s="142">
        <f>B1396*IBGE_2!G$1396/100</f>
        <v>4.5039999999999996</v>
      </c>
      <c r="H1396" s="142">
        <f>B1396*IBGE_2!H$1396/100</f>
        <v>3.6</v>
      </c>
      <c r="I1396" s="142">
        <f>B1396*IBGE_2!I$1396/100</f>
        <v>3.1360000000000001</v>
      </c>
      <c r="J1396" s="142">
        <f>B1396*IBGE_2!J$1396/100</f>
        <v>0.254</v>
      </c>
      <c r="K1396" s="142">
        <f>B1396*IBGE_2!K$1396/100</f>
        <v>74</v>
      </c>
      <c r="L1396" s="142" t="s">
        <v>3047</v>
      </c>
      <c r="M1396" s="142" t="s">
        <v>3047</v>
      </c>
      <c r="N1396" s="142">
        <f>B1396*IBGE_2!N$1396/100</f>
        <v>13</v>
      </c>
      <c r="O1396" s="142">
        <f>B1396*IBGE_2!O$1396/100</f>
        <v>20</v>
      </c>
      <c r="P1396" s="142">
        <f>B1396*IBGE_2!P$1396/100</f>
        <v>1.7999999999999999E-2</v>
      </c>
      <c r="Q1396" s="142">
        <f>B1396*IBGE_2!Q$1396/100</f>
        <v>146</v>
      </c>
      <c r="R1396" s="142">
        <f>B1396*IBGE_2!R$1396/100</f>
        <v>0.98099999999999998</v>
      </c>
      <c r="S1396" s="142">
        <f>B1396*IBGE_2!S$1396/100</f>
        <v>63</v>
      </c>
      <c r="T1396" s="142">
        <f>B1396*IBGE_2!T$1396/100</f>
        <v>167</v>
      </c>
      <c r="U1396" s="142">
        <f>B1396*IBGE_2!U$1396/100</f>
        <v>4.3999999999999997E-2</v>
      </c>
      <c r="V1396" s="142">
        <f>B1396*IBGE_2!V$1396/100</f>
        <v>1.1399999999999999</v>
      </c>
      <c r="W1396" s="142">
        <f>B1396*IBGE_2!W$1396/100</f>
        <v>29</v>
      </c>
      <c r="X1396" s="142">
        <f>B1396*IBGE_2!X$1396/100</f>
        <v>4.1000000000000009E-2</v>
      </c>
      <c r="Y1396" s="142">
        <f>B1396*IBGE_2!Y$1396/100</f>
        <v>0.11200000000000002</v>
      </c>
      <c r="Z1396" s="142">
        <f>B1396*IBGE_2!Z$1396/100</f>
        <v>0.27</v>
      </c>
      <c r="AA1396" s="142">
        <f>B1396*IBGE_2!AA$1396/100</f>
        <v>6.9349999999999996</v>
      </c>
      <c r="AB1396" s="142" t="s">
        <v>3047</v>
      </c>
      <c r="AC1396" s="142">
        <f>B1396*IBGE_2!AC$1396/100</f>
        <v>11.835000000000001</v>
      </c>
      <c r="AD1396" s="142">
        <f>B1396*IBGE_2!AD$1396/100</f>
        <v>0.2</v>
      </c>
      <c r="AE1396" s="142">
        <f>B1396*IBGE_2!AE$1396/100</f>
        <v>3</v>
      </c>
      <c r="AF1396" s="142">
        <f>B1396*IBGE_2!AF$1396/100</f>
        <v>0.2</v>
      </c>
      <c r="AG1396" s="142">
        <f>B1396*IBGE_2!AG$1396/100</f>
        <v>0.42</v>
      </c>
      <c r="AH1396" s="142">
        <f>B1396*IBGE_2!AH$1396/100</f>
        <v>0.214</v>
      </c>
      <c r="AI1396" s="142">
        <f>B1396*IBGE_2!AI$1396/100</f>
        <v>333</v>
      </c>
      <c r="AJ1396" s="142">
        <f>B1396*IBGE_2!AJ$1396/100</f>
        <v>22.375</v>
      </c>
      <c r="AK1396" s="142">
        <f>B1396*IBGE_2!AK$1396/100</f>
        <v>29</v>
      </c>
      <c r="AL1396" s="142" t="s">
        <v>3047</v>
      </c>
      <c r="AM1396" s="142" t="s">
        <v>3047</v>
      </c>
      <c r="AN1396" s="161"/>
    </row>
    <row r="1397" spans="1:40">
      <c r="A1397" s="143" t="s">
        <v>2457</v>
      </c>
      <c r="B1397" s="141">
        <v>100</v>
      </c>
      <c r="C1397" s="142">
        <f>B1397*IBGE_2!C$1397/100</f>
        <v>201</v>
      </c>
      <c r="D1397" s="142">
        <f>B1397*IBGE_2!D$1397/100</f>
        <v>26.14</v>
      </c>
      <c r="E1397" s="142">
        <f>B1397*IBGE_2!E$1397/100</f>
        <v>9.9700000000000006</v>
      </c>
      <c r="F1397" s="142">
        <f>B1397*IBGE_2!F$1397/100</f>
        <v>2.8</v>
      </c>
      <c r="G1397" s="142">
        <f>B1397*IBGE_2!G$1397/100</f>
        <v>3.92</v>
      </c>
      <c r="H1397" s="142">
        <f>B1397*IBGE_2!H$1397/100</f>
        <v>2.12</v>
      </c>
      <c r="I1397" s="142">
        <f>B1397*IBGE_2!I$1397/100</f>
        <v>1.83</v>
      </c>
      <c r="J1397" s="142">
        <f>B1397*IBGE_2!J$1397/100</f>
        <v>0.08</v>
      </c>
      <c r="K1397" s="142">
        <f>B1397*IBGE_2!K$1397/100</f>
        <v>74</v>
      </c>
      <c r="L1397" s="142" t="s">
        <v>3047</v>
      </c>
      <c r="M1397" s="142" t="s">
        <v>3047</v>
      </c>
      <c r="N1397" s="142">
        <f>B1397*IBGE_2!N$1397/100</f>
        <v>13</v>
      </c>
      <c r="O1397" s="142">
        <f>B1397*IBGE_2!O$1397/100</f>
        <v>20</v>
      </c>
      <c r="P1397" s="142">
        <f>B1397*IBGE_2!P$1397/100</f>
        <v>1.7999999999999999E-2</v>
      </c>
      <c r="Q1397" s="142">
        <f>B1397*IBGE_2!Q$1397/100</f>
        <v>146</v>
      </c>
      <c r="R1397" s="142">
        <f>B1397*IBGE_2!R$1397/100</f>
        <v>0.98</v>
      </c>
      <c r="S1397" s="142">
        <f>B1397*IBGE_2!S$1397/100</f>
        <v>63</v>
      </c>
      <c r="T1397" s="142">
        <f>B1397*IBGE_2!T$1397/100</f>
        <v>167</v>
      </c>
      <c r="U1397" s="142">
        <f>B1397*IBGE_2!U$1397/100</f>
        <v>4.3999999999999997E-2</v>
      </c>
      <c r="V1397" s="142">
        <f>B1397*IBGE_2!V$1397/100</f>
        <v>1.1399999999999999</v>
      </c>
      <c r="W1397" s="142">
        <f>B1397*IBGE_2!W$1397/100</f>
        <v>29</v>
      </c>
      <c r="X1397" s="142">
        <f>B1397*IBGE_2!X$1397/100</f>
        <v>4.1000000000000009E-2</v>
      </c>
      <c r="Y1397" s="142">
        <f>B1397*IBGE_2!Y$1397/100</f>
        <v>0.11200000000000002</v>
      </c>
      <c r="Z1397" s="142">
        <f>B1397*IBGE_2!Z$1397/100</f>
        <v>0.27</v>
      </c>
      <c r="AA1397" s="142">
        <f>B1397*IBGE_2!AA$1397/100</f>
        <v>6.9349999999999996</v>
      </c>
      <c r="AB1397" s="142" t="s">
        <v>3047</v>
      </c>
      <c r="AC1397" s="142">
        <f>B1397*IBGE_2!AC$1397/100</f>
        <v>11.835000000000001</v>
      </c>
      <c r="AD1397" s="142">
        <f>B1397*IBGE_2!AD$1397/100</f>
        <v>0.2</v>
      </c>
      <c r="AE1397" s="142">
        <f>B1397*IBGE_2!AE$1397/100</f>
        <v>3</v>
      </c>
      <c r="AF1397" s="142">
        <f>B1397*IBGE_2!AF$1397/100</f>
        <v>0.2</v>
      </c>
      <c r="AG1397" s="142">
        <f>B1397*IBGE_2!AG$1397/100</f>
        <v>0.21</v>
      </c>
      <c r="AH1397" s="142">
        <f>B1397*IBGE_2!AH$1397/100</f>
        <v>0.2</v>
      </c>
      <c r="AI1397" s="142">
        <f>B1397*IBGE_2!AI$1397/100</f>
        <v>333</v>
      </c>
      <c r="AJ1397" s="142">
        <f>B1397*IBGE_2!AJ$1397/100</f>
        <v>21.2</v>
      </c>
      <c r="AK1397" s="142">
        <f>B1397*IBGE_2!AK$1397/100</f>
        <v>29</v>
      </c>
      <c r="AL1397" s="142" t="s">
        <v>3047</v>
      </c>
      <c r="AM1397" s="142" t="s">
        <v>3047</v>
      </c>
      <c r="AN1397" s="161"/>
    </row>
    <row r="1398" spans="1:40">
      <c r="A1398" s="143" t="s">
        <v>2458</v>
      </c>
      <c r="B1398" s="141">
        <v>100</v>
      </c>
      <c r="C1398" s="142">
        <f>B1398*IBGE_2!C$1398/100</f>
        <v>201</v>
      </c>
      <c r="D1398" s="142">
        <f>B1398*IBGE_2!D$1398/100</f>
        <v>26.14</v>
      </c>
      <c r="E1398" s="142">
        <f>B1398*IBGE_2!E$1398/100</f>
        <v>9.9700000000000006</v>
      </c>
      <c r="F1398" s="142">
        <f>B1398*IBGE_2!F$1398/100</f>
        <v>2.8</v>
      </c>
      <c r="G1398" s="142">
        <f>B1398*IBGE_2!G$1398/100</f>
        <v>3.92</v>
      </c>
      <c r="H1398" s="142">
        <f>B1398*IBGE_2!H$1398/100</f>
        <v>2.12</v>
      </c>
      <c r="I1398" s="142">
        <f>B1398*IBGE_2!I$1398/100</f>
        <v>1.83</v>
      </c>
      <c r="J1398" s="142">
        <f>B1398*IBGE_2!J$1398/100</f>
        <v>0.08</v>
      </c>
      <c r="K1398" s="142">
        <f>B1398*IBGE_2!K$1398/100</f>
        <v>74</v>
      </c>
      <c r="L1398" s="142" t="s">
        <v>3047</v>
      </c>
      <c r="M1398" s="142" t="s">
        <v>3047</v>
      </c>
      <c r="N1398" s="142">
        <f>B1398*IBGE_2!N$1398/100</f>
        <v>13</v>
      </c>
      <c r="O1398" s="142">
        <f>B1398*IBGE_2!O$1398/100</f>
        <v>20</v>
      </c>
      <c r="P1398" s="142">
        <f>B1398*IBGE_2!P$1398/100</f>
        <v>1.7999999999999999E-2</v>
      </c>
      <c r="Q1398" s="142">
        <f>B1398*IBGE_2!Q$1398/100</f>
        <v>146</v>
      </c>
      <c r="R1398" s="142">
        <f>B1398*IBGE_2!R$1398/100</f>
        <v>0.98</v>
      </c>
      <c r="S1398" s="142">
        <f>B1398*IBGE_2!S$1398/100</f>
        <v>63</v>
      </c>
      <c r="T1398" s="142">
        <f>B1398*IBGE_2!T$1398/100</f>
        <v>167</v>
      </c>
      <c r="U1398" s="142">
        <f>B1398*IBGE_2!U$1398/100</f>
        <v>4.3999999999999997E-2</v>
      </c>
      <c r="V1398" s="142">
        <f>B1398*IBGE_2!V$1398/100</f>
        <v>1.1399999999999999</v>
      </c>
      <c r="W1398" s="142">
        <f>B1398*IBGE_2!W$1398/100</f>
        <v>29</v>
      </c>
      <c r="X1398" s="142">
        <f>B1398*IBGE_2!X$1398/100</f>
        <v>4.1000000000000009E-2</v>
      </c>
      <c r="Y1398" s="142">
        <f>B1398*IBGE_2!Y$1398/100</f>
        <v>0.11200000000000002</v>
      </c>
      <c r="Z1398" s="142">
        <f>B1398*IBGE_2!Z$1398/100</f>
        <v>0.27</v>
      </c>
      <c r="AA1398" s="142">
        <f>B1398*IBGE_2!AA$1398/100</f>
        <v>6.9349999999999996</v>
      </c>
      <c r="AB1398" s="142" t="s">
        <v>3047</v>
      </c>
      <c r="AC1398" s="142">
        <f>B1398*IBGE_2!AC$1398/100</f>
        <v>11.835000000000001</v>
      </c>
      <c r="AD1398" s="142">
        <f>B1398*IBGE_2!AD$1398/100</f>
        <v>0.2</v>
      </c>
      <c r="AE1398" s="142">
        <f>B1398*IBGE_2!AE$1398/100</f>
        <v>3</v>
      </c>
      <c r="AF1398" s="142">
        <f>B1398*IBGE_2!AF$1398/100</f>
        <v>0.2</v>
      </c>
      <c r="AG1398" s="142">
        <f>B1398*IBGE_2!AG$1398/100</f>
        <v>0.21</v>
      </c>
      <c r="AH1398" s="142">
        <f>B1398*IBGE_2!AH$1398/100</f>
        <v>0.2</v>
      </c>
      <c r="AI1398" s="142">
        <f>B1398*IBGE_2!AI$1398/100</f>
        <v>333</v>
      </c>
      <c r="AJ1398" s="142">
        <f>B1398*IBGE_2!AJ$1398/100</f>
        <v>21.2</v>
      </c>
      <c r="AK1398" s="142">
        <f>B1398*IBGE_2!AK$1398/100</f>
        <v>29</v>
      </c>
      <c r="AL1398" s="142" t="s">
        <v>3047</v>
      </c>
      <c r="AM1398" s="142" t="s">
        <v>3047</v>
      </c>
      <c r="AN1398" s="161"/>
    </row>
    <row r="1399" spans="1:40">
      <c r="A1399" s="143" t="s">
        <v>2459</v>
      </c>
      <c r="B1399" s="141">
        <v>100</v>
      </c>
      <c r="C1399" s="142">
        <f>B1399*IBGE_2!C$1399/100</f>
        <v>223.65899999999999</v>
      </c>
      <c r="D1399" s="142">
        <f>B1399*IBGE_2!D$1399/100</f>
        <v>26.14</v>
      </c>
      <c r="E1399" s="142">
        <f>B1399*IBGE_2!E$1399/100</f>
        <v>12.532999999999999</v>
      </c>
      <c r="F1399" s="142">
        <f>B1399*IBGE_2!F$1399/100</f>
        <v>3.2010000000000001</v>
      </c>
      <c r="G1399" s="142">
        <f>B1399*IBGE_2!G$1399/100</f>
        <v>4.5039999999999996</v>
      </c>
      <c r="H1399" s="142">
        <f>B1399*IBGE_2!H$1399/100</f>
        <v>3.6</v>
      </c>
      <c r="I1399" s="142">
        <f>B1399*IBGE_2!I$1399/100</f>
        <v>3.1360000000000001</v>
      </c>
      <c r="J1399" s="142">
        <f>B1399*IBGE_2!J$1399/100</f>
        <v>0.254</v>
      </c>
      <c r="K1399" s="142">
        <f>B1399*IBGE_2!K$1399/100</f>
        <v>74</v>
      </c>
      <c r="L1399" s="142" t="s">
        <v>3047</v>
      </c>
      <c r="M1399" s="142" t="s">
        <v>3047</v>
      </c>
      <c r="N1399" s="142">
        <f>B1399*IBGE_2!N$1399/100</f>
        <v>13</v>
      </c>
      <c r="O1399" s="142">
        <f>B1399*IBGE_2!O$1399/100</f>
        <v>20</v>
      </c>
      <c r="P1399" s="142">
        <f>B1399*IBGE_2!P$1399/100</f>
        <v>1.7999999999999999E-2</v>
      </c>
      <c r="Q1399" s="142">
        <f>B1399*IBGE_2!Q$1399/100</f>
        <v>146</v>
      </c>
      <c r="R1399" s="142">
        <f>B1399*IBGE_2!R$1399/100</f>
        <v>0.98099999999999998</v>
      </c>
      <c r="S1399" s="142">
        <f>B1399*IBGE_2!S$1399/100</f>
        <v>63</v>
      </c>
      <c r="T1399" s="142">
        <f>B1399*IBGE_2!T$1399/100</f>
        <v>167</v>
      </c>
      <c r="U1399" s="142">
        <f>B1399*IBGE_2!U$1399/100</f>
        <v>4.3999999999999997E-2</v>
      </c>
      <c r="V1399" s="142">
        <f>B1399*IBGE_2!V$1399/100</f>
        <v>1.1399999999999999</v>
      </c>
      <c r="W1399" s="142">
        <f>B1399*IBGE_2!W$1399/100</f>
        <v>29</v>
      </c>
      <c r="X1399" s="142">
        <f>B1399*IBGE_2!X$1399/100</f>
        <v>4.1000000000000009E-2</v>
      </c>
      <c r="Y1399" s="142">
        <f>B1399*IBGE_2!Y$1399/100</f>
        <v>0.11200000000000002</v>
      </c>
      <c r="Z1399" s="142">
        <f>B1399*IBGE_2!Z$1399/100</f>
        <v>0.27</v>
      </c>
      <c r="AA1399" s="142">
        <f>B1399*IBGE_2!AA$1399/100</f>
        <v>6.9349999999999996</v>
      </c>
      <c r="AB1399" s="142" t="s">
        <v>3047</v>
      </c>
      <c r="AC1399" s="142">
        <f>B1399*IBGE_2!AC$1399/100</f>
        <v>11.835000000000001</v>
      </c>
      <c r="AD1399" s="142">
        <f>B1399*IBGE_2!AD$1399/100</f>
        <v>0.2</v>
      </c>
      <c r="AE1399" s="142">
        <f>B1399*IBGE_2!AE$1399/100</f>
        <v>3</v>
      </c>
      <c r="AF1399" s="142">
        <f>B1399*IBGE_2!AF$1399/100</f>
        <v>0.2</v>
      </c>
      <c r="AG1399" s="142">
        <f>B1399*IBGE_2!AG$1399/100</f>
        <v>0.42</v>
      </c>
      <c r="AH1399" s="142">
        <f>B1399*IBGE_2!AH$1399/100</f>
        <v>0.214</v>
      </c>
      <c r="AI1399" s="142">
        <f>B1399*IBGE_2!AI$1399/100</f>
        <v>333</v>
      </c>
      <c r="AJ1399" s="142">
        <f>B1399*IBGE_2!AJ$1399/100</f>
        <v>22.375</v>
      </c>
      <c r="AK1399" s="142">
        <f>B1399*IBGE_2!AK$1399/100</f>
        <v>29</v>
      </c>
      <c r="AL1399" s="142" t="s">
        <v>3047</v>
      </c>
      <c r="AM1399" s="142" t="s">
        <v>3047</v>
      </c>
      <c r="AN1399" s="161"/>
    </row>
    <row r="1400" spans="1:40">
      <c r="A1400" s="143" t="s">
        <v>2460</v>
      </c>
      <c r="B1400" s="141">
        <v>100</v>
      </c>
      <c r="C1400" s="142">
        <f>B1400*IBGE_2!C$1400/100</f>
        <v>140</v>
      </c>
      <c r="D1400" s="142">
        <f>B1400*IBGE_2!D$1400/100</f>
        <v>30.19</v>
      </c>
      <c r="E1400" s="142">
        <f>B1400*IBGE_2!E$1400/100</f>
        <v>1.18</v>
      </c>
      <c r="F1400" s="142">
        <f>B1400*IBGE_2!F$1400/100</f>
        <v>0.38</v>
      </c>
      <c r="G1400" s="142">
        <f>B1400*IBGE_2!G$1400/100</f>
        <v>0.21</v>
      </c>
      <c r="H1400" s="142">
        <f>B1400*IBGE_2!H$1400/100</f>
        <v>0.31</v>
      </c>
      <c r="I1400" s="142">
        <f>B1400*IBGE_2!I$1400/100</f>
        <v>0.21</v>
      </c>
      <c r="J1400" s="142">
        <f>B1400*IBGE_2!J$1400/100</f>
        <v>0.01</v>
      </c>
      <c r="K1400" s="142">
        <f>B1400*IBGE_2!K$1400/100</f>
        <v>86</v>
      </c>
      <c r="L1400" s="142" t="s">
        <v>3047</v>
      </c>
      <c r="M1400" s="142" t="s">
        <v>3047</v>
      </c>
      <c r="N1400" s="142">
        <f>B1400*IBGE_2!N$1400/100</f>
        <v>15</v>
      </c>
      <c r="O1400" s="142">
        <f>B1400*IBGE_2!O$1400/100</f>
        <v>28</v>
      </c>
      <c r="P1400" s="142">
        <f>B1400*IBGE_2!P$1400/100</f>
        <v>2.5000000000000001E-2</v>
      </c>
      <c r="Q1400" s="142">
        <f>B1400*IBGE_2!Q$1400/100</f>
        <v>216</v>
      </c>
      <c r="R1400" s="142">
        <f>B1400*IBGE_2!R$1400/100</f>
        <v>1.57</v>
      </c>
      <c r="S1400" s="142">
        <f>B1400*IBGE_2!S$1400/100</f>
        <v>56</v>
      </c>
      <c r="T1400" s="142">
        <f>B1400*IBGE_2!T$1400/100</f>
        <v>277</v>
      </c>
      <c r="U1400" s="142">
        <f>B1400*IBGE_2!U$1400/100</f>
        <v>8.5999999999999993E-2</v>
      </c>
      <c r="V1400" s="142">
        <f>B1400*IBGE_2!V$1400/100</f>
        <v>2.08</v>
      </c>
      <c r="W1400" s="142" t="s">
        <v>3047</v>
      </c>
      <c r="X1400" s="142">
        <f>B1400*IBGE_2!X$1400/100</f>
        <v>4.1000000000000009E-2</v>
      </c>
      <c r="Y1400" s="142">
        <f>B1400*IBGE_2!Y$1400/100</f>
        <v>0.13600000000000001</v>
      </c>
      <c r="Z1400" s="142">
        <f>B1400*IBGE_2!Z$1400/100</f>
        <v>0.56999999999999995</v>
      </c>
      <c r="AA1400" s="142">
        <f>B1400*IBGE_2!AA$1400/100</f>
        <v>6.9359999999999999</v>
      </c>
      <c r="AB1400" s="142" t="s">
        <v>3047</v>
      </c>
      <c r="AC1400" s="142">
        <f>B1400*IBGE_2!AC$1400/100</f>
        <v>12.652999999999999</v>
      </c>
      <c r="AD1400" s="142">
        <f>B1400*IBGE_2!AD$1400/100</f>
        <v>0.39</v>
      </c>
      <c r="AE1400" s="142">
        <f>B1400*IBGE_2!AE$1400/100</f>
        <v>6</v>
      </c>
      <c r="AF1400" s="142">
        <f>B1400*IBGE_2!AF$1400/100</f>
        <v>0.4</v>
      </c>
      <c r="AG1400" s="142">
        <f>B1400*IBGE_2!AG$1400/100</f>
        <v>0.21</v>
      </c>
      <c r="AH1400" s="142">
        <f>B1400*IBGE_2!AH$1400/100</f>
        <v>0.02</v>
      </c>
      <c r="AI1400" s="142">
        <f>B1400*IBGE_2!AI$1400/100</f>
        <v>333</v>
      </c>
      <c r="AJ1400" s="142">
        <f>B1400*IBGE_2!AJ$1400/100</f>
        <v>32.1</v>
      </c>
      <c r="AK1400" s="145" t="s">
        <v>3047</v>
      </c>
      <c r="AL1400" s="142" t="s">
        <v>3047</v>
      </c>
      <c r="AM1400" s="142" t="s">
        <v>3047</v>
      </c>
      <c r="AN1400" s="161"/>
    </row>
    <row r="1401" spans="1:40">
      <c r="A1401" s="143" t="s">
        <v>2461</v>
      </c>
      <c r="B1401" s="141">
        <v>100</v>
      </c>
      <c r="C1401" s="142">
        <f>B1401*IBGE_2!C$1401/100</f>
        <v>140</v>
      </c>
      <c r="D1401" s="142">
        <f>B1401*IBGE_2!D$1401/100</f>
        <v>30.19</v>
      </c>
      <c r="E1401" s="142">
        <f>B1401*IBGE_2!E$1401/100</f>
        <v>1.18</v>
      </c>
      <c r="F1401" s="142">
        <f>B1401*IBGE_2!F$1401/100</f>
        <v>0.38</v>
      </c>
      <c r="G1401" s="142">
        <f>B1401*IBGE_2!G$1401/100</f>
        <v>0.21</v>
      </c>
      <c r="H1401" s="142">
        <f>B1401*IBGE_2!H$1401/100</f>
        <v>0.31</v>
      </c>
      <c r="I1401" s="142">
        <f>B1401*IBGE_2!I$1401/100</f>
        <v>0.21</v>
      </c>
      <c r="J1401" s="142">
        <f>B1401*IBGE_2!J$1401/100</f>
        <v>0.01</v>
      </c>
      <c r="K1401" s="142">
        <f>B1401*IBGE_2!K$1401/100</f>
        <v>86</v>
      </c>
      <c r="L1401" s="142" t="s">
        <v>3047</v>
      </c>
      <c r="M1401" s="142" t="s">
        <v>3047</v>
      </c>
      <c r="N1401" s="142">
        <f>B1401*IBGE_2!N$1401/100</f>
        <v>15</v>
      </c>
      <c r="O1401" s="142">
        <f>B1401*IBGE_2!O$1401/100</f>
        <v>28</v>
      </c>
      <c r="P1401" s="142">
        <f>B1401*IBGE_2!P$1401/100</f>
        <v>2.5000000000000001E-2</v>
      </c>
      <c r="Q1401" s="142">
        <f>B1401*IBGE_2!Q$1401/100</f>
        <v>216</v>
      </c>
      <c r="R1401" s="142">
        <f>B1401*IBGE_2!R$1401/100</f>
        <v>1.57</v>
      </c>
      <c r="S1401" s="142">
        <f>B1401*IBGE_2!S$1401/100</f>
        <v>56</v>
      </c>
      <c r="T1401" s="142">
        <f>B1401*IBGE_2!T$1401/100</f>
        <v>277</v>
      </c>
      <c r="U1401" s="142">
        <f>B1401*IBGE_2!U$1401/100</f>
        <v>8.5999999999999993E-2</v>
      </c>
      <c r="V1401" s="142">
        <f>B1401*IBGE_2!V$1401/100</f>
        <v>2.08</v>
      </c>
      <c r="W1401" s="142" t="s">
        <v>3047</v>
      </c>
      <c r="X1401" s="142">
        <f>B1401*IBGE_2!X$1401/100</f>
        <v>4.1000000000000009E-2</v>
      </c>
      <c r="Y1401" s="142">
        <f>B1401*IBGE_2!Y$1401/100</f>
        <v>0.13600000000000001</v>
      </c>
      <c r="Z1401" s="142">
        <f>B1401*IBGE_2!Z$1401/100</f>
        <v>0.56999999999999995</v>
      </c>
      <c r="AA1401" s="142">
        <f>B1401*IBGE_2!AA$1401/100</f>
        <v>6.9359999999999999</v>
      </c>
      <c r="AB1401" s="142" t="s">
        <v>3047</v>
      </c>
      <c r="AC1401" s="142">
        <f>B1401*IBGE_2!AC$1401/100</f>
        <v>12.652999999999999</v>
      </c>
      <c r="AD1401" s="142">
        <f>B1401*IBGE_2!AD$1401/100</f>
        <v>0.39</v>
      </c>
      <c r="AE1401" s="142">
        <f>B1401*IBGE_2!AE$1401/100</f>
        <v>6</v>
      </c>
      <c r="AF1401" s="142">
        <f>B1401*IBGE_2!AF$1401/100</f>
        <v>0.4</v>
      </c>
      <c r="AG1401" s="142">
        <f>B1401*IBGE_2!AG$1401/100</f>
        <v>0.21</v>
      </c>
      <c r="AH1401" s="142">
        <f>B1401*IBGE_2!AH$1401/100</f>
        <v>0.02</v>
      </c>
      <c r="AI1401" s="142">
        <f>B1401*IBGE_2!AI$1401/100</f>
        <v>333</v>
      </c>
      <c r="AJ1401" s="142">
        <f>B1401*IBGE_2!AJ$1401/100</f>
        <v>32.1</v>
      </c>
      <c r="AK1401" s="145" t="s">
        <v>3047</v>
      </c>
      <c r="AL1401" s="142" t="s">
        <v>3047</v>
      </c>
      <c r="AM1401" s="142" t="s">
        <v>3047</v>
      </c>
      <c r="AN1401" s="161"/>
    </row>
    <row r="1402" spans="1:40">
      <c r="A1402" s="143" t="s">
        <v>2462</v>
      </c>
      <c r="B1402" s="141">
        <v>100</v>
      </c>
      <c r="C1402" s="142">
        <f>B1402*IBGE_2!C$1402/100</f>
        <v>140</v>
      </c>
      <c r="D1402" s="142">
        <f>B1402*IBGE_2!D$1402/100</f>
        <v>30.19</v>
      </c>
      <c r="E1402" s="142">
        <f>B1402*IBGE_2!E$1402/100</f>
        <v>1.18</v>
      </c>
      <c r="F1402" s="142">
        <f>B1402*IBGE_2!F$1402/100</f>
        <v>0.38</v>
      </c>
      <c r="G1402" s="142">
        <f>B1402*IBGE_2!G$1402/100</f>
        <v>0.21</v>
      </c>
      <c r="H1402" s="142">
        <f>B1402*IBGE_2!H$1402/100</f>
        <v>0.31</v>
      </c>
      <c r="I1402" s="142">
        <f>B1402*IBGE_2!I$1402/100</f>
        <v>0.21</v>
      </c>
      <c r="J1402" s="142">
        <f>B1402*IBGE_2!J$1402/100</f>
        <v>0.01</v>
      </c>
      <c r="K1402" s="142">
        <f>B1402*IBGE_2!K$1402/100</f>
        <v>86</v>
      </c>
      <c r="L1402" s="142" t="s">
        <v>3047</v>
      </c>
      <c r="M1402" s="142" t="s">
        <v>3047</v>
      </c>
      <c r="N1402" s="142">
        <f>B1402*IBGE_2!N$1402/100</f>
        <v>15</v>
      </c>
      <c r="O1402" s="142">
        <f>B1402*IBGE_2!O$1402/100</f>
        <v>28</v>
      </c>
      <c r="P1402" s="142">
        <f>B1402*IBGE_2!P$1402/100</f>
        <v>2.5000000000000001E-2</v>
      </c>
      <c r="Q1402" s="142">
        <f>B1402*IBGE_2!Q$1402/100</f>
        <v>216</v>
      </c>
      <c r="R1402" s="142">
        <f>B1402*IBGE_2!R$1402/100</f>
        <v>1.57</v>
      </c>
      <c r="S1402" s="142">
        <f>B1402*IBGE_2!S$1402/100</f>
        <v>56</v>
      </c>
      <c r="T1402" s="142">
        <f>B1402*IBGE_2!T$1402/100</f>
        <v>277</v>
      </c>
      <c r="U1402" s="142">
        <f>B1402*IBGE_2!U$1402/100</f>
        <v>8.5999999999999993E-2</v>
      </c>
      <c r="V1402" s="142">
        <f>B1402*IBGE_2!V$1402/100</f>
        <v>2.08</v>
      </c>
      <c r="W1402" s="142" t="s">
        <v>3047</v>
      </c>
      <c r="X1402" s="142">
        <f>B1402*IBGE_2!X$1402/100</f>
        <v>4.1000000000000009E-2</v>
      </c>
      <c r="Y1402" s="142">
        <f>B1402*IBGE_2!Y$1402/100</f>
        <v>0.13600000000000001</v>
      </c>
      <c r="Z1402" s="142">
        <f>B1402*IBGE_2!Z$1402/100</f>
        <v>0.56999999999999995</v>
      </c>
      <c r="AA1402" s="142">
        <f>B1402*IBGE_2!AA$1402/100</f>
        <v>6.9359999999999999</v>
      </c>
      <c r="AB1402" s="142" t="s">
        <v>3047</v>
      </c>
      <c r="AC1402" s="142">
        <f>B1402*IBGE_2!AC$1402/100</f>
        <v>12.652999999999999</v>
      </c>
      <c r="AD1402" s="142">
        <f>B1402*IBGE_2!AD$1402/100</f>
        <v>0.39</v>
      </c>
      <c r="AE1402" s="142">
        <f>B1402*IBGE_2!AE$1402/100</f>
        <v>6</v>
      </c>
      <c r="AF1402" s="142">
        <f>B1402*IBGE_2!AF$1402/100</f>
        <v>0.4</v>
      </c>
      <c r="AG1402" s="142">
        <f>B1402*IBGE_2!AG$1402/100</f>
        <v>0.21</v>
      </c>
      <c r="AH1402" s="142">
        <f>B1402*IBGE_2!AH$1402/100</f>
        <v>0.02</v>
      </c>
      <c r="AI1402" s="142">
        <f>B1402*IBGE_2!AI$1402/100</f>
        <v>333</v>
      </c>
      <c r="AJ1402" s="142">
        <f>B1402*IBGE_2!AJ$1402/100</f>
        <v>32.1</v>
      </c>
      <c r="AK1402" s="145" t="s">
        <v>3047</v>
      </c>
      <c r="AL1402" s="142" t="s">
        <v>3047</v>
      </c>
      <c r="AM1402" s="142" t="s">
        <v>3047</v>
      </c>
      <c r="AN1402" s="161"/>
    </row>
    <row r="1403" spans="1:40">
      <c r="A1403" s="143" t="s">
        <v>2463</v>
      </c>
      <c r="B1403" s="141">
        <v>100</v>
      </c>
      <c r="C1403" s="142">
        <f>B1403*IBGE_2!C$1403/100</f>
        <v>239</v>
      </c>
      <c r="D1403" s="142">
        <f>B1403*IBGE_2!D$1403/100</f>
        <v>27.3</v>
      </c>
      <c r="E1403" s="142">
        <f>B1403*IBGE_2!E$1403/100</f>
        <v>13.6</v>
      </c>
      <c r="F1403" s="142">
        <f>B1403*IBGE_2!F$1403/100</f>
        <v>3.79</v>
      </c>
      <c r="G1403" s="142">
        <f>B1403*IBGE_2!G$1403/100</f>
        <v>5.34</v>
      </c>
      <c r="H1403" s="142">
        <f>B1403*IBGE_2!H$1403/100</f>
        <v>2.97</v>
      </c>
      <c r="I1403" s="142">
        <f>B1403*IBGE_2!I$1403/100</f>
        <v>2.57</v>
      </c>
      <c r="J1403" s="142">
        <f>B1403*IBGE_2!J$1403/100</f>
        <v>0.11</v>
      </c>
      <c r="K1403" s="142">
        <f>B1403*IBGE_2!K$1403/100</f>
        <v>88</v>
      </c>
      <c r="L1403" s="142" t="s">
        <v>3047</v>
      </c>
      <c r="M1403" s="142" t="s">
        <v>3047</v>
      </c>
      <c r="N1403" s="142">
        <f>B1403*IBGE_2!N$1403/100</f>
        <v>15</v>
      </c>
      <c r="O1403" s="142">
        <f>B1403*IBGE_2!O$1403/100</f>
        <v>23</v>
      </c>
      <c r="P1403" s="142">
        <f>B1403*IBGE_2!P$1403/100</f>
        <v>0.02</v>
      </c>
      <c r="Q1403" s="142">
        <f>B1403*IBGE_2!Q$1403/100</f>
        <v>182</v>
      </c>
      <c r="R1403" s="142">
        <f>B1403*IBGE_2!R$1403/100</f>
        <v>1.26</v>
      </c>
      <c r="S1403" s="142">
        <f>B1403*IBGE_2!S$1403/100</f>
        <v>82</v>
      </c>
      <c r="T1403" s="142">
        <f>B1403*IBGE_2!T$1403/100</f>
        <v>223</v>
      </c>
      <c r="U1403" s="142">
        <f>B1403*IBGE_2!U$1403/100</f>
        <v>6.6000000000000003E-2</v>
      </c>
      <c r="V1403" s="142">
        <f>B1403*IBGE_2!V$1403/100</f>
        <v>1.94</v>
      </c>
      <c r="W1403" s="142">
        <f>B1403*IBGE_2!W$1403/100</f>
        <v>48</v>
      </c>
      <c r="X1403" s="142">
        <f>B1403*IBGE_2!X$1403/100</f>
        <v>6.3E-2</v>
      </c>
      <c r="Y1403" s="142">
        <f>B1403*IBGE_2!Y$1403/100</f>
        <v>0.16800000000000001</v>
      </c>
      <c r="Z1403" s="142">
        <f>B1403*IBGE_2!Z$1403/100</f>
        <v>0.4</v>
      </c>
      <c r="AA1403" s="142">
        <f>B1403*IBGE_2!AA$1403/100</f>
        <v>8.4870000000000001</v>
      </c>
      <c r="AB1403" s="142" t="s">
        <v>3047</v>
      </c>
      <c r="AC1403" s="142">
        <f>B1403*IBGE_2!AC$1403/100</f>
        <v>13.57</v>
      </c>
      <c r="AD1403" s="142">
        <f>B1403*IBGE_2!AD$1403/100</f>
        <v>0.3</v>
      </c>
      <c r="AE1403" s="142">
        <f>B1403*IBGE_2!AE$1403/100</f>
        <v>5</v>
      </c>
      <c r="AF1403" s="142">
        <f>B1403*IBGE_2!AF$1403/100</f>
        <v>0.3</v>
      </c>
      <c r="AG1403" s="142">
        <f>B1403*IBGE_2!AG$1403/100</f>
        <v>0.27</v>
      </c>
      <c r="AH1403" s="142">
        <f>B1403*IBGE_2!AH$1403/100</f>
        <v>0.45</v>
      </c>
      <c r="AI1403" s="142">
        <f>B1403*IBGE_2!AI$1403/100</f>
        <v>333</v>
      </c>
      <c r="AJ1403" s="142">
        <f>B1403*IBGE_2!AJ$1403/100</f>
        <v>23.9</v>
      </c>
      <c r="AK1403" s="142">
        <f>B1403*IBGE_2!AK$1403/100</f>
        <v>48</v>
      </c>
      <c r="AL1403" s="142" t="s">
        <v>3047</v>
      </c>
      <c r="AM1403" s="142" t="s">
        <v>3047</v>
      </c>
      <c r="AN1403" s="161"/>
    </row>
    <row r="1404" spans="1:40">
      <c r="A1404" s="143" t="s">
        <v>2464</v>
      </c>
      <c r="B1404" s="141">
        <v>100</v>
      </c>
      <c r="C1404" s="142">
        <f>B1404*IBGE_2!C$1404/100</f>
        <v>239</v>
      </c>
      <c r="D1404" s="142">
        <f>B1404*IBGE_2!D$1404/100</f>
        <v>27.3</v>
      </c>
      <c r="E1404" s="142">
        <f>B1404*IBGE_2!E$1404/100</f>
        <v>13.6</v>
      </c>
      <c r="F1404" s="142">
        <f>B1404*IBGE_2!F$1404/100</f>
        <v>3.79</v>
      </c>
      <c r="G1404" s="142">
        <f>B1404*IBGE_2!G$1404/100</f>
        <v>5.34</v>
      </c>
      <c r="H1404" s="142">
        <f>B1404*IBGE_2!H$1404/100</f>
        <v>2.97</v>
      </c>
      <c r="I1404" s="142">
        <f>B1404*IBGE_2!I$1404/100</f>
        <v>2.57</v>
      </c>
      <c r="J1404" s="142">
        <f>B1404*IBGE_2!J$1404/100</f>
        <v>0.11</v>
      </c>
      <c r="K1404" s="142">
        <f>B1404*IBGE_2!K$1404/100</f>
        <v>88</v>
      </c>
      <c r="L1404" s="142" t="s">
        <v>3047</v>
      </c>
      <c r="M1404" s="142" t="s">
        <v>3047</v>
      </c>
      <c r="N1404" s="142">
        <f>B1404*IBGE_2!N$1404/100</f>
        <v>15</v>
      </c>
      <c r="O1404" s="142">
        <f>B1404*IBGE_2!O$1404/100</f>
        <v>23</v>
      </c>
      <c r="P1404" s="142">
        <f>B1404*IBGE_2!P$1404/100</f>
        <v>0.02</v>
      </c>
      <c r="Q1404" s="142">
        <f>B1404*IBGE_2!Q$1404/100</f>
        <v>182</v>
      </c>
      <c r="R1404" s="142">
        <f>B1404*IBGE_2!R$1404/100</f>
        <v>1.26</v>
      </c>
      <c r="S1404" s="142">
        <f>B1404*IBGE_2!S$1404/100</f>
        <v>82</v>
      </c>
      <c r="T1404" s="142">
        <f>B1404*IBGE_2!T$1404/100</f>
        <v>223</v>
      </c>
      <c r="U1404" s="142">
        <f>B1404*IBGE_2!U$1404/100</f>
        <v>6.6000000000000003E-2</v>
      </c>
      <c r="V1404" s="142">
        <f>B1404*IBGE_2!V$1404/100</f>
        <v>1.94</v>
      </c>
      <c r="W1404" s="142">
        <f>B1404*IBGE_2!W$1404/100</f>
        <v>48</v>
      </c>
      <c r="X1404" s="142">
        <f>B1404*IBGE_2!X$1404/100</f>
        <v>6.3E-2</v>
      </c>
      <c r="Y1404" s="142">
        <f>B1404*IBGE_2!Y$1404/100</f>
        <v>0.16800000000000001</v>
      </c>
      <c r="Z1404" s="142">
        <f>B1404*IBGE_2!Z$1404/100</f>
        <v>0.4</v>
      </c>
      <c r="AA1404" s="142">
        <f>B1404*IBGE_2!AA$1404/100</f>
        <v>8.4870000000000001</v>
      </c>
      <c r="AB1404" s="142" t="s">
        <v>3047</v>
      </c>
      <c r="AC1404" s="142">
        <f>B1404*IBGE_2!AC$1404/100</f>
        <v>13.57</v>
      </c>
      <c r="AD1404" s="142">
        <f>B1404*IBGE_2!AD$1404/100</f>
        <v>0.3</v>
      </c>
      <c r="AE1404" s="142">
        <f>B1404*IBGE_2!AE$1404/100</f>
        <v>5</v>
      </c>
      <c r="AF1404" s="142">
        <f>B1404*IBGE_2!AF$1404/100</f>
        <v>0.3</v>
      </c>
      <c r="AG1404" s="142">
        <f>B1404*IBGE_2!AG$1404/100</f>
        <v>0.27</v>
      </c>
      <c r="AH1404" s="142">
        <f>B1404*IBGE_2!AH$1404/100</f>
        <v>0.45</v>
      </c>
      <c r="AI1404" s="142">
        <f>B1404*IBGE_2!AI$1404/100</f>
        <v>333</v>
      </c>
      <c r="AJ1404" s="142">
        <f>B1404*IBGE_2!AJ$1404/100</f>
        <v>23.9</v>
      </c>
      <c r="AK1404" s="142">
        <f>B1404*IBGE_2!AK$1404/100</f>
        <v>48</v>
      </c>
      <c r="AL1404" s="142" t="s">
        <v>3047</v>
      </c>
      <c r="AM1404" s="142" t="s">
        <v>3047</v>
      </c>
      <c r="AN1404" s="161"/>
    </row>
    <row r="1405" spans="1:40">
      <c r="A1405" s="143" t="s">
        <v>2465</v>
      </c>
      <c r="B1405" s="141">
        <v>100</v>
      </c>
      <c r="C1405" s="142">
        <f>B1405*IBGE_2!C$1405/100</f>
        <v>173</v>
      </c>
      <c r="D1405" s="142">
        <f>B1405*IBGE_2!D$1405/100</f>
        <v>30.91</v>
      </c>
      <c r="E1405" s="142">
        <f>B1405*IBGE_2!E$1405/100</f>
        <v>4.51</v>
      </c>
      <c r="F1405" s="142">
        <f>B1405*IBGE_2!F$1405/100</f>
        <v>1.27</v>
      </c>
      <c r="G1405" s="142">
        <f>B1405*IBGE_2!G$1405/100</f>
        <v>1.54</v>
      </c>
      <c r="H1405" s="142">
        <f>B1405*IBGE_2!H$1405/100</f>
        <v>0.98</v>
      </c>
      <c r="I1405" s="142">
        <f>B1405*IBGE_2!I$1405/100</f>
        <v>0.74</v>
      </c>
      <c r="J1405" s="142">
        <f>B1405*IBGE_2!J$1405/100</f>
        <v>0.04</v>
      </c>
      <c r="K1405" s="142">
        <f>B1405*IBGE_2!K$1405/100</f>
        <v>85</v>
      </c>
      <c r="L1405" s="142" t="s">
        <v>3047</v>
      </c>
      <c r="M1405" s="142" t="s">
        <v>3047</v>
      </c>
      <c r="N1405" s="142">
        <f>B1405*IBGE_2!N$1405/100</f>
        <v>15</v>
      </c>
      <c r="O1405" s="142">
        <f>B1405*IBGE_2!O$1405/100</f>
        <v>27</v>
      </c>
      <c r="P1405" s="142">
        <f>B1405*IBGE_2!P$1405/100</f>
        <v>1.7000000000000001E-2</v>
      </c>
      <c r="Q1405" s="142">
        <f>B1405*IBGE_2!Q$1405/100</f>
        <v>216</v>
      </c>
      <c r="R1405" s="142">
        <f>B1405*IBGE_2!R$1405/100</f>
        <v>1.06</v>
      </c>
      <c r="S1405" s="142">
        <f>B1405*IBGE_2!S$1405/100</f>
        <v>77</v>
      </c>
      <c r="T1405" s="142">
        <f>B1405*IBGE_2!T$1405/100</f>
        <v>247</v>
      </c>
      <c r="U1405" s="142">
        <f>B1405*IBGE_2!U$1405/100</f>
        <v>0.05</v>
      </c>
      <c r="V1405" s="142">
        <f>B1405*IBGE_2!V$1405/100</f>
        <v>1.23</v>
      </c>
      <c r="W1405" s="142">
        <f>B1405*IBGE_2!W$1405/100</f>
        <v>9</v>
      </c>
      <c r="X1405" s="142">
        <f>B1405*IBGE_2!X$1405/100</f>
        <v>6.5000000000000002E-2</v>
      </c>
      <c r="Y1405" s="142">
        <f>B1405*IBGE_2!Y$1405/100</f>
        <v>0.11600000000000002</v>
      </c>
      <c r="Z1405" s="142">
        <f>B1405*IBGE_2!Z$1405/100</f>
        <v>0.6</v>
      </c>
      <c r="AA1405" s="142">
        <f>B1405*IBGE_2!AA$1405/100</f>
        <v>12.420999999999999</v>
      </c>
      <c r="AB1405" s="142" t="s">
        <v>3047</v>
      </c>
      <c r="AC1405" s="142">
        <f>B1405*IBGE_2!AC$1405/100</f>
        <v>18.437999999999999</v>
      </c>
      <c r="AD1405" s="142">
        <f>B1405*IBGE_2!AD$1405/100</f>
        <v>0.34</v>
      </c>
      <c r="AE1405" s="142">
        <f>B1405*IBGE_2!AE$1405/100</f>
        <v>4</v>
      </c>
      <c r="AF1405" s="142">
        <f>B1405*IBGE_2!AF$1405/100</f>
        <v>0.2</v>
      </c>
      <c r="AG1405" s="142">
        <f>B1405*IBGE_2!AG$1405/100</f>
        <v>0.27</v>
      </c>
      <c r="AH1405" s="142">
        <f>B1405*IBGE_2!AH$1405/100</f>
        <v>0.09</v>
      </c>
      <c r="AI1405" s="142">
        <f>B1405*IBGE_2!AI$1405/100</f>
        <v>333</v>
      </c>
      <c r="AJ1405" s="142">
        <f>B1405*IBGE_2!AJ$1405/100</f>
        <v>24.4</v>
      </c>
      <c r="AK1405" s="142">
        <f>B1405*IBGE_2!AK$1405/100</f>
        <v>9</v>
      </c>
      <c r="AL1405" s="142" t="s">
        <v>3047</v>
      </c>
      <c r="AM1405" s="142" t="s">
        <v>3047</v>
      </c>
      <c r="AN1405" s="161"/>
    </row>
    <row r="1406" spans="1:40">
      <c r="A1406" s="143" t="s">
        <v>2466</v>
      </c>
      <c r="B1406" s="141">
        <v>100</v>
      </c>
      <c r="C1406" s="142">
        <f>B1406*IBGE_2!C$1406/100</f>
        <v>173</v>
      </c>
      <c r="D1406" s="142">
        <f>B1406*IBGE_2!D$1406/100</f>
        <v>30.91</v>
      </c>
      <c r="E1406" s="142">
        <f>B1406*IBGE_2!E$1406/100</f>
        <v>4.51</v>
      </c>
      <c r="F1406" s="142">
        <f>B1406*IBGE_2!F$1406/100</f>
        <v>1.27</v>
      </c>
      <c r="G1406" s="142">
        <f>B1406*IBGE_2!G$1406/100</f>
        <v>1.54</v>
      </c>
      <c r="H1406" s="142">
        <f>B1406*IBGE_2!H$1406/100</f>
        <v>0.98</v>
      </c>
      <c r="I1406" s="142">
        <f>B1406*IBGE_2!I$1406/100</f>
        <v>0.74</v>
      </c>
      <c r="J1406" s="142">
        <f>B1406*IBGE_2!J$1406/100</f>
        <v>0.04</v>
      </c>
      <c r="K1406" s="142">
        <f>B1406*IBGE_2!K$1406/100</f>
        <v>85</v>
      </c>
      <c r="L1406" s="142" t="s">
        <v>3047</v>
      </c>
      <c r="M1406" s="142" t="s">
        <v>3047</v>
      </c>
      <c r="N1406" s="142">
        <f>B1406*IBGE_2!N$1406/100</f>
        <v>15</v>
      </c>
      <c r="O1406" s="142">
        <f>B1406*IBGE_2!O$1406/100</f>
        <v>27</v>
      </c>
      <c r="P1406" s="142">
        <f>B1406*IBGE_2!P$1406/100</f>
        <v>1.7000000000000001E-2</v>
      </c>
      <c r="Q1406" s="142">
        <f>B1406*IBGE_2!Q$1406/100</f>
        <v>216</v>
      </c>
      <c r="R1406" s="142">
        <f>B1406*IBGE_2!R$1406/100</f>
        <v>1.06</v>
      </c>
      <c r="S1406" s="142">
        <f>B1406*IBGE_2!S$1406/100</f>
        <v>77</v>
      </c>
      <c r="T1406" s="142">
        <f>B1406*IBGE_2!T$1406/100</f>
        <v>247</v>
      </c>
      <c r="U1406" s="142">
        <f>B1406*IBGE_2!U$1406/100</f>
        <v>0.05</v>
      </c>
      <c r="V1406" s="142">
        <f>B1406*IBGE_2!V$1406/100</f>
        <v>1.23</v>
      </c>
      <c r="W1406" s="142">
        <f>B1406*IBGE_2!W$1406/100</f>
        <v>9</v>
      </c>
      <c r="X1406" s="142">
        <f>B1406*IBGE_2!X$1406/100</f>
        <v>6.5000000000000002E-2</v>
      </c>
      <c r="Y1406" s="142">
        <f>B1406*IBGE_2!Y$1406/100</f>
        <v>0.11600000000000002</v>
      </c>
      <c r="Z1406" s="142">
        <f>B1406*IBGE_2!Z$1406/100</f>
        <v>0.6</v>
      </c>
      <c r="AA1406" s="142">
        <f>B1406*IBGE_2!AA$1406/100</f>
        <v>12.420999999999999</v>
      </c>
      <c r="AB1406" s="142" t="s">
        <v>3047</v>
      </c>
      <c r="AC1406" s="142">
        <f>B1406*IBGE_2!AC$1406/100</f>
        <v>18.437999999999999</v>
      </c>
      <c r="AD1406" s="142">
        <f>B1406*IBGE_2!AD$1406/100</f>
        <v>0.34</v>
      </c>
      <c r="AE1406" s="142">
        <f>B1406*IBGE_2!AE$1406/100</f>
        <v>4</v>
      </c>
      <c r="AF1406" s="142">
        <f>B1406*IBGE_2!AF$1406/100</f>
        <v>0.2</v>
      </c>
      <c r="AG1406" s="142">
        <f>B1406*IBGE_2!AG$1406/100</f>
        <v>0.27</v>
      </c>
      <c r="AH1406" s="142">
        <f>B1406*IBGE_2!AH$1406/100</f>
        <v>0.09</v>
      </c>
      <c r="AI1406" s="142">
        <f>B1406*IBGE_2!AI$1406/100</f>
        <v>333</v>
      </c>
      <c r="AJ1406" s="142">
        <f>B1406*IBGE_2!AJ$1406/100</f>
        <v>24.4</v>
      </c>
      <c r="AK1406" s="142">
        <f>B1406*IBGE_2!AK$1406/100</f>
        <v>9</v>
      </c>
      <c r="AL1406" s="142" t="s">
        <v>3047</v>
      </c>
      <c r="AM1406" s="142" t="s">
        <v>3047</v>
      </c>
      <c r="AN1406" s="161"/>
    </row>
    <row r="1407" spans="1:40">
      <c r="A1407" s="143" t="s">
        <v>2467</v>
      </c>
      <c r="B1407" s="141">
        <v>100</v>
      </c>
      <c r="C1407" s="142">
        <f>B1407*IBGE_2!C$1407/100</f>
        <v>195.65899999999999</v>
      </c>
      <c r="D1407" s="142">
        <f>B1407*IBGE_2!D$1407/100</f>
        <v>30.91</v>
      </c>
      <c r="E1407" s="142">
        <f>B1407*IBGE_2!E$1407/100</f>
        <v>7.0730000000000004</v>
      </c>
      <c r="F1407" s="142">
        <f>B1407*IBGE_2!F$1407/100</f>
        <v>1.671</v>
      </c>
      <c r="G1407" s="142">
        <f>B1407*IBGE_2!G$1407/100</f>
        <v>2.1240000000000001</v>
      </c>
      <c r="H1407" s="142">
        <f>B1407*IBGE_2!H$1407/100</f>
        <v>2.46</v>
      </c>
      <c r="I1407" s="142">
        <f>B1407*IBGE_2!I$1407/100</f>
        <v>2.0459999999999998</v>
      </c>
      <c r="J1407" s="142">
        <f>B1407*IBGE_2!J$1407/100</f>
        <v>0.214</v>
      </c>
      <c r="K1407" s="142">
        <f>B1407*IBGE_2!K$1407/100</f>
        <v>85</v>
      </c>
      <c r="L1407" s="142" t="s">
        <v>3047</v>
      </c>
      <c r="M1407" s="142" t="s">
        <v>3047</v>
      </c>
      <c r="N1407" s="142">
        <f>B1407*IBGE_2!N$1407/100</f>
        <v>15</v>
      </c>
      <c r="O1407" s="142">
        <f>B1407*IBGE_2!O$1407/100</f>
        <v>27</v>
      </c>
      <c r="P1407" s="142">
        <f>B1407*IBGE_2!P$1407/100</f>
        <v>1.7000000000000001E-2</v>
      </c>
      <c r="Q1407" s="142">
        <f>B1407*IBGE_2!Q$1407/100</f>
        <v>216</v>
      </c>
      <c r="R1407" s="142">
        <f>B1407*IBGE_2!R$1407/100</f>
        <v>1.0609999999999999</v>
      </c>
      <c r="S1407" s="142">
        <f>B1407*IBGE_2!S$1407/100</f>
        <v>77</v>
      </c>
      <c r="T1407" s="142">
        <f>B1407*IBGE_2!T$1407/100</f>
        <v>247</v>
      </c>
      <c r="U1407" s="142">
        <f>B1407*IBGE_2!U$1407/100</f>
        <v>0.05</v>
      </c>
      <c r="V1407" s="142">
        <f>B1407*IBGE_2!V$1407/100</f>
        <v>1.23</v>
      </c>
      <c r="W1407" s="142">
        <f>B1407*IBGE_2!W$1407/100</f>
        <v>9</v>
      </c>
      <c r="X1407" s="142">
        <f>B1407*IBGE_2!X$1407/100</f>
        <v>6.5000000000000002E-2</v>
      </c>
      <c r="Y1407" s="142">
        <f>B1407*IBGE_2!Y$1407/100</f>
        <v>0.11600000000000002</v>
      </c>
      <c r="Z1407" s="142">
        <f>B1407*IBGE_2!Z$1407/100</f>
        <v>0.6</v>
      </c>
      <c r="AA1407" s="142">
        <f>B1407*IBGE_2!AA$1407/100</f>
        <v>12.420999999999999</v>
      </c>
      <c r="AB1407" s="142" t="s">
        <v>3047</v>
      </c>
      <c r="AC1407" s="142">
        <f>B1407*IBGE_2!AC$1407/100</f>
        <v>18.437999999999999</v>
      </c>
      <c r="AD1407" s="142">
        <f>B1407*IBGE_2!AD$1407/100</f>
        <v>0.34</v>
      </c>
      <c r="AE1407" s="142">
        <f>B1407*IBGE_2!AE$1407/100</f>
        <v>4</v>
      </c>
      <c r="AF1407" s="142">
        <f>B1407*IBGE_2!AF$1407/100</f>
        <v>0.2</v>
      </c>
      <c r="AG1407" s="142">
        <f>B1407*IBGE_2!AG$1407/100</f>
        <v>0.48</v>
      </c>
      <c r="AH1407" s="142">
        <f>B1407*IBGE_2!AH$1407/100</f>
        <v>0.10400000000000001</v>
      </c>
      <c r="AI1407" s="142">
        <f>B1407*IBGE_2!AI$1407/100</f>
        <v>333</v>
      </c>
      <c r="AJ1407" s="142">
        <f>B1407*IBGE_2!AJ$1407/100</f>
        <v>25.574999999999999</v>
      </c>
      <c r="AK1407" s="142">
        <f>B1407*IBGE_2!AK$1407/100</f>
        <v>9</v>
      </c>
      <c r="AL1407" s="145" t="s">
        <v>3047</v>
      </c>
      <c r="AM1407" s="142" t="s">
        <v>3047</v>
      </c>
      <c r="AN1407" s="161"/>
    </row>
    <row r="1408" spans="1:40">
      <c r="A1408" s="143" t="s">
        <v>2468</v>
      </c>
      <c r="B1408" s="141">
        <v>100</v>
      </c>
      <c r="C1408" s="142">
        <f>B1408*IBGE_2!C$1408/100</f>
        <v>211.83699999999996</v>
      </c>
      <c r="D1408" s="142">
        <f>B1408*IBGE_2!D$1408/100</f>
        <v>31.369</v>
      </c>
      <c r="E1408" s="142">
        <f>B1408*IBGE_2!E$1408/100</f>
        <v>7.1170000000000009</v>
      </c>
      <c r="F1408" s="142">
        <f>B1408*IBGE_2!F$1408/100</f>
        <v>1.6779999999999999</v>
      </c>
      <c r="G1408" s="142">
        <f>B1408*IBGE_2!G$1408/100</f>
        <v>2.1280000000000001</v>
      </c>
      <c r="H1408" s="142">
        <f>B1408*IBGE_2!H$1408/100</f>
        <v>2.4780000000000002</v>
      </c>
      <c r="I1408" s="142">
        <f>B1408*IBGE_2!I$1408/100</f>
        <v>2.0630000000000002</v>
      </c>
      <c r="J1408" s="142">
        <f>B1408*IBGE_2!J$1408/100</f>
        <v>0.215</v>
      </c>
      <c r="K1408" s="142">
        <f>B1408*IBGE_2!K$1408/100</f>
        <v>85</v>
      </c>
      <c r="L1408" s="142">
        <f>B1408*IBGE_2!L$1408/100</f>
        <v>3.3919999999999999</v>
      </c>
      <c r="M1408" s="142">
        <f>B1408*IBGE_2!M$1408/100</f>
        <v>0.13500000000000001</v>
      </c>
      <c r="N1408" s="142">
        <f>B1408*IBGE_2!N$1408/100</f>
        <v>15.667</v>
      </c>
      <c r="O1408" s="142">
        <f>B1408*IBGE_2!O$1408/100</f>
        <v>27.978000000000002</v>
      </c>
      <c r="P1408" s="142">
        <f>B1408*IBGE_2!P$1408/100</f>
        <v>4.7E-2</v>
      </c>
      <c r="Q1408" s="142">
        <f>B1408*IBGE_2!Q$1408/100</f>
        <v>220.8</v>
      </c>
      <c r="R1408" s="142">
        <f>B1408*IBGE_2!R$1408/100</f>
        <v>1.268</v>
      </c>
      <c r="S1408" s="142">
        <f>B1408*IBGE_2!S$1408/100</f>
        <v>77.088999999999999</v>
      </c>
      <c r="T1408" s="142">
        <f>B1408*IBGE_2!T$1408/100</f>
        <v>251.75599999999997</v>
      </c>
      <c r="U1408" s="142">
        <f>B1408*IBGE_2!U$1408/100</f>
        <v>5.6000000000000008E-2</v>
      </c>
      <c r="V1408" s="142">
        <f>B1408*IBGE_2!V$1408/100</f>
        <v>1.2609999999999999</v>
      </c>
      <c r="W1408" s="142">
        <f>B1408*IBGE_2!W$1408/100</f>
        <v>9</v>
      </c>
      <c r="X1408" s="142">
        <f>B1408*IBGE_2!X$1408/100</f>
        <v>0.1</v>
      </c>
      <c r="Y1408" s="142">
        <f>B1408*IBGE_2!Y$1408/100</f>
        <v>0.13800000000000001</v>
      </c>
      <c r="Z1408" s="142">
        <f>B1408*IBGE_2!Z$1408/100</f>
        <v>0.60199999999999998</v>
      </c>
      <c r="AA1408" s="142">
        <f>B1408*IBGE_2!AA$1408/100</f>
        <v>12.683</v>
      </c>
      <c r="AB1408" s="142" t="s">
        <v>3047</v>
      </c>
      <c r="AC1408" s="142">
        <f>B1408*IBGE_2!AC$1408/100</f>
        <v>18.794</v>
      </c>
      <c r="AD1408" s="142">
        <f>B1408*IBGE_2!AD$1408/100</f>
        <v>0.34</v>
      </c>
      <c r="AE1408" s="142">
        <f>B1408*IBGE_2!AE$1408/100</f>
        <v>13.067</v>
      </c>
      <c r="AF1408" s="142">
        <f>B1408*IBGE_2!AF$1408/100</f>
        <v>0.2</v>
      </c>
      <c r="AG1408" s="142">
        <f>B1408*IBGE_2!AG$1408/100</f>
        <v>0.48199999999999998</v>
      </c>
      <c r="AH1408" s="142">
        <f>B1408*IBGE_2!AH$1408/100</f>
        <v>0.10400000000000001</v>
      </c>
      <c r="AI1408" s="142">
        <f>B1408*IBGE_2!AI$1408/100</f>
        <v>333</v>
      </c>
      <c r="AJ1408" s="142">
        <f>B1408*IBGE_2!AJ$1408/100</f>
        <v>27.081</v>
      </c>
      <c r="AK1408" s="142">
        <f>B1408*IBGE_2!AK$1408/100</f>
        <v>9</v>
      </c>
      <c r="AL1408" s="142">
        <f>B1408*IBGE_2!AL$1408/100</f>
        <v>1.4000000000000002E-2</v>
      </c>
      <c r="AM1408" s="142" t="s">
        <v>3047</v>
      </c>
      <c r="AN1408" s="161"/>
    </row>
    <row r="1409" spans="1:40">
      <c r="A1409" s="143" t="s">
        <v>2469</v>
      </c>
      <c r="B1409" s="141">
        <v>100</v>
      </c>
      <c r="C1409" s="142">
        <f>B1409*IBGE_2!C$1409/100</f>
        <v>60.024999999999999</v>
      </c>
      <c r="D1409" s="142">
        <f>B1409*IBGE_2!D$1409/100</f>
        <v>3.2210000000000001</v>
      </c>
      <c r="E1409" s="142">
        <f>B1409*IBGE_2!E$1409/100</f>
        <v>3.2509999999999994</v>
      </c>
      <c r="F1409" s="142">
        <f>B1409*IBGE_2!F$1409/100</f>
        <v>1.8660000000000003</v>
      </c>
      <c r="G1409" s="142">
        <f>B1409*IBGE_2!G$1409/100</f>
        <v>0.81200000000000006</v>
      </c>
      <c r="H1409" s="142">
        <f>B1409*IBGE_2!H$1409/100</f>
        <v>0.19500000000000001</v>
      </c>
      <c r="I1409" s="142">
        <f>B1409*IBGE_2!I$1409/100</f>
        <v>0.12</v>
      </c>
      <c r="J1409" s="142">
        <f>B1409*IBGE_2!J$1409/100</f>
        <v>7.4999999999999997E-2</v>
      </c>
      <c r="K1409" s="142">
        <f>B1409*IBGE_2!K$1409/100</f>
        <v>10.004</v>
      </c>
      <c r="L1409" s="142">
        <f>B1409*IBGE_2!L$1409/100</f>
        <v>4.5220000000000002</v>
      </c>
      <c r="M1409" s="142" t="s">
        <v>3047</v>
      </c>
      <c r="N1409" s="142">
        <f>B1409*IBGE_2!N$1409/100</f>
        <v>113.04699999999998</v>
      </c>
      <c r="O1409" s="142">
        <f>B1409*IBGE_2!O$1409/100</f>
        <v>10.004</v>
      </c>
      <c r="P1409" s="142">
        <f>B1409*IBGE_2!P$1409/100</f>
        <v>3.0000000000000001E-3</v>
      </c>
      <c r="Q1409" s="142">
        <f>B1409*IBGE_2!Q$1409/100</f>
        <v>91.037999999999997</v>
      </c>
      <c r="R1409" s="142">
        <f>B1409*IBGE_2!R$1409/100</f>
        <v>0.03</v>
      </c>
      <c r="S1409" s="142">
        <f>B1409*IBGE_2!S$1409/100</f>
        <v>40.017000000000003</v>
      </c>
      <c r="T1409" s="142">
        <f>B1409*IBGE_2!T$1409/100</f>
        <v>143.059</v>
      </c>
      <c r="U1409" s="142">
        <f>B1409*IBGE_2!U$1409/100</f>
        <v>1.0999999999999999E-2</v>
      </c>
      <c r="V1409" s="142">
        <f>B1409*IBGE_2!V$1409/100</f>
        <v>0.4</v>
      </c>
      <c r="W1409" s="142">
        <f>B1409*IBGE_2!W$1409/100</f>
        <v>28.011999999999997</v>
      </c>
      <c r="X1409" s="142">
        <f>B1409*IBGE_2!X$1409/100</f>
        <v>4.3999999999999997E-2</v>
      </c>
      <c r="Y1409" s="142">
        <f>B1409*IBGE_2!Y$1409/100</f>
        <v>0.183</v>
      </c>
      <c r="Z1409" s="142">
        <f>B1409*IBGE_2!Z$1409/100</f>
        <v>3.5999999999999997E-2</v>
      </c>
      <c r="AA1409" s="142">
        <f>B1409*IBGE_2!AA$1409/100</f>
        <v>0.107</v>
      </c>
      <c r="AB1409" s="142" t="s">
        <v>3047</v>
      </c>
      <c r="AC1409" s="142">
        <f>B1409*IBGE_2!AC$1409/100</f>
        <v>1.3580000000000001</v>
      </c>
      <c r="AD1409" s="142">
        <f>B1409*IBGE_2!AD$1409/100</f>
        <v>0.44</v>
      </c>
      <c r="AE1409" s="142">
        <f>B1409*IBGE_2!AE$1409/100</f>
        <v>5.0019999999999998</v>
      </c>
      <c r="AF1409" s="142">
        <f>B1409*IBGE_2!AF$1409/100</f>
        <v>1</v>
      </c>
      <c r="AG1409" s="142">
        <f>B1409*IBGE_2!AG$1409/100</f>
        <v>0.06</v>
      </c>
      <c r="AH1409" s="142">
        <f>B1409*IBGE_2!AH$1409/100</f>
        <v>0.11600000000000002</v>
      </c>
      <c r="AI1409" s="142" t="s">
        <v>3047</v>
      </c>
      <c r="AJ1409" s="142">
        <f>B1409*IBGE_2!AJ$1409/100</f>
        <v>3.702</v>
      </c>
      <c r="AK1409" s="142">
        <f>B1409*IBGE_2!AK$1409/100</f>
        <v>28.428000000000001</v>
      </c>
      <c r="AL1409" s="142">
        <f>B1409*IBGE_2!AL$1409/100</f>
        <v>5.2619999999999996</v>
      </c>
      <c r="AM1409" s="142" t="s">
        <v>3047</v>
      </c>
      <c r="AN1409" s="161"/>
    </row>
    <row r="1410" spans="1:40">
      <c r="A1410" s="143" t="s">
        <v>2470</v>
      </c>
      <c r="B1410" s="141">
        <v>100</v>
      </c>
      <c r="C1410" s="142">
        <f>B1410*IBGE_2!C$1410/100</f>
        <v>60.024999999999999</v>
      </c>
      <c r="D1410" s="142">
        <f>B1410*IBGE_2!D$1410/100</f>
        <v>3.2210000000000001</v>
      </c>
      <c r="E1410" s="142">
        <f>B1410*IBGE_2!E$1410/100</f>
        <v>3.2509999999999994</v>
      </c>
      <c r="F1410" s="142">
        <f>B1410*IBGE_2!F$1410/100</f>
        <v>1.8660000000000003</v>
      </c>
      <c r="G1410" s="142">
        <f>B1410*IBGE_2!G$1410/100</f>
        <v>0.81200000000000006</v>
      </c>
      <c r="H1410" s="142">
        <f>B1410*IBGE_2!H$1410/100</f>
        <v>0.19500000000000001</v>
      </c>
      <c r="I1410" s="142">
        <f>B1410*IBGE_2!I$1410/100</f>
        <v>0.12</v>
      </c>
      <c r="J1410" s="142">
        <f>B1410*IBGE_2!J$1410/100</f>
        <v>7.4999999999999997E-2</v>
      </c>
      <c r="K1410" s="142">
        <f>B1410*IBGE_2!K$1410/100</f>
        <v>10.004</v>
      </c>
      <c r="L1410" s="142">
        <f>B1410*IBGE_2!L$1410/100</f>
        <v>4.5220000000000002</v>
      </c>
      <c r="M1410" s="142" t="s">
        <v>3047</v>
      </c>
      <c r="N1410" s="142">
        <f>B1410*IBGE_2!N$1410/100</f>
        <v>113.04699999999998</v>
      </c>
      <c r="O1410" s="142">
        <f>B1410*IBGE_2!O$1410/100</f>
        <v>10.004</v>
      </c>
      <c r="P1410" s="142">
        <f>B1410*IBGE_2!P$1410/100</f>
        <v>3.0000000000000001E-3</v>
      </c>
      <c r="Q1410" s="142">
        <f>B1410*IBGE_2!Q$1410/100</f>
        <v>91.037999999999997</v>
      </c>
      <c r="R1410" s="142">
        <f>B1410*IBGE_2!R$1410/100</f>
        <v>0.03</v>
      </c>
      <c r="S1410" s="142">
        <f>B1410*IBGE_2!S$1410/100</f>
        <v>40.017000000000003</v>
      </c>
      <c r="T1410" s="142">
        <f>B1410*IBGE_2!T$1410/100</f>
        <v>143.059</v>
      </c>
      <c r="U1410" s="142">
        <f>B1410*IBGE_2!U$1410/100</f>
        <v>1.0999999999999999E-2</v>
      </c>
      <c r="V1410" s="142">
        <f>B1410*IBGE_2!V$1410/100</f>
        <v>0.4</v>
      </c>
      <c r="W1410" s="142">
        <f>B1410*IBGE_2!W$1410/100</f>
        <v>28.011999999999997</v>
      </c>
      <c r="X1410" s="142">
        <f>B1410*IBGE_2!X$1410/100</f>
        <v>4.3999999999999997E-2</v>
      </c>
      <c r="Y1410" s="142">
        <f>B1410*IBGE_2!Y$1410/100</f>
        <v>0.183</v>
      </c>
      <c r="Z1410" s="142">
        <f>B1410*IBGE_2!Z$1410/100</f>
        <v>3.5999999999999997E-2</v>
      </c>
      <c r="AA1410" s="142">
        <f>B1410*IBGE_2!AA$1410/100</f>
        <v>0.107</v>
      </c>
      <c r="AB1410" s="142" t="s">
        <v>3047</v>
      </c>
      <c r="AC1410" s="142">
        <f>B1410*IBGE_2!AC$1410/100</f>
        <v>1.3580000000000001</v>
      </c>
      <c r="AD1410" s="142">
        <f>B1410*IBGE_2!AD$1410/100</f>
        <v>0.44</v>
      </c>
      <c r="AE1410" s="142">
        <f>B1410*IBGE_2!AE$1410/100</f>
        <v>5.0019999999999998</v>
      </c>
      <c r="AF1410" s="142" t="s">
        <v>3047</v>
      </c>
      <c r="AG1410" s="142">
        <f>B1410*IBGE_2!AG$1410/100</f>
        <v>0.06</v>
      </c>
      <c r="AH1410" s="142">
        <f>B1410*IBGE_2!AH$1410/100</f>
        <v>0.11600000000000002</v>
      </c>
      <c r="AI1410" s="142" t="s">
        <v>3047</v>
      </c>
      <c r="AJ1410" s="142">
        <f>B1410*IBGE_2!AJ$1410/100</f>
        <v>3.702</v>
      </c>
      <c r="AK1410" s="142">
        <f>B1410*IBGE_2!AK$1410/100</f>
        <v>28.428000000000001</v>
      </c>
      <c r="AL1410" s="142">
        <f>B1410*IBGE_2!AL$1410/100</f>
        <v>5.2619999999999996</v>
      </c>
      <c r="AM1410" s="142" t="s">
        <v>3047</v>
      </c>
      <c r="AN1410" s="161"/>
    </row>
    <row r="1411" spans="1:40">
      <c r="A1411" s="143" t="s">
        <v>2471</v>
      </c>
      <c r="B1411" s="141">
        <v>100</v>
      </c>
      <c r="C1411" s="142">
        <f>B1411*IBGE_2!C$1411/100</f>
        <v>69.028999999999996</v>
      </c>
      <c r="D1411" s="142">
        <f>B1411*IBGE_2!D$1411/100</f>
        <v>3.5610000000000004</v>
      </c>
      <c r="E1411" s="142">
        <f>B1411*IBGE_2!E$1411/100</f>
        <v>4.1420000000000003</v>
      </c>
      <c r="F1411" s="142">
        <f>B1411*IBGE_2!F$1411/100</f>
        <v>2.6680000000000001</v>
      </c>
      <c r="G1411" s="142">
        <f>B1411*IBGE_2!G$1411/100</f>
        <v>1.109</v>
      </c>
      <c r="H1411" s="142">
        <f>B1411*IBGE_2!H$1411/100</f>
        <v>0.14899999999999999</v>
      </c>
      <c r="I1411" s="142">
        <f>B1411*IBGE_2!I$1411/100</f>
        <v>0.109</v>
      </c>
      <c r="J1411" s="142">
        <f>B1411*IBGE_2!J$1411/100</f>
        <v>0.04</v>
      </c>
      <c r="K1411" s="142">
        <f>B1411*IBGE_2!K$1411/100</f>
        <v>11.005000000000001</v>
      </c>
      <c r="L1411" s="142">
        <f>B1411*IBGE_2!L$1411/100</f>
        <v>4.452</v>
      </c>
      <c r="M1411" s="142" t="s">
        <v>3047</v>
      </c>
      <c r="N1411" s="142">
        <f>B1411*IBGE_2!N$1411/100</f>
        <v>134.05600000000001</v>
      </c>
      <c r="O1411" s="142">
        <f>B1411*IBGE_2!O$1411/100</f>
        <v>14.005999999999998</v>
      </c>
      <c r="P1411" s="142">
        <f>B1411*IBGE_2!P$1411/100</f>
        <v>1.7999999999999999E-2</v>
      </c>
      <c r="Q1411" s="142">
        <f>B1411*IBGE_2!Q$1411/100</f>
        <v>111.04600000000001</v>
      </c>
      <c r="R1411" s="142">
        <f>B1411*IBGE_2!R$1411/100</f>
        <v>0.05</v>
      </c>
      <c r="S1411" s="142">
        <f>B1411*IBGE_2!S$1411/100</f>
        <v>50.021000000000001</v>
      </c>
      <c r="T1411" s="142">
        <f>B1411*IBGE_2!T$1411/100</f>
        <v>204.08500000000001</v>
      </c>
      <c r="U1411" s="142">
        <f>B1411*IBGE_2!U$1411/100</f>
        <v>4.5999999999999999E-2</v>
      </c>
      <c r="V1411" s="142">
        <f>B1411*IBGE_2!V$1411/100</f>
        <v>0.3</v>
      </c>
      <c r="W1411" s="142">
        <f>B1411*IBGE_2!W$1411/100</f>
        <v>56.023000000000003</v>
      </c>
      <c r="X1411" s="142">
        <f>B1411*IBGE_2!X$1411/100</f>
        <v>4.8000000000000001E-2</v>
      </c>
      <c r="Y1411" s="142">
        <f>B1411*IBGE_2!Y$1411/100</f>
        <v>0.13800000000000001</v>
      </c>
      <c r="Z1411" s="142">
        <f>B1411*IBGE_2!Z$1411/100</f>
        <v>4.5999999999999999E-2</v>
      </c>
      <c r="AA1411" s="142">
        <f>B1411*IBGE_2!AA$1411/100</f>
        <v>0.27700000000000002</v>
      </c>
      <c r="AB1411" s="142">
        <f>B1411*IBGE_2!AB$1411/100</f>
        <v>1.3009999999999999</v>
      </c>
      <c r="AC1411" s="142">
        <f>B1411*IBGE_2!AC$1411/100</f>
        <v>1.0109999999999999</v>
      </c>
      <c r="AD1411" s="142">
        <f>B1411*IBGE_2!AD$1411/100</f>
        <v>7.0000000000000007E-2</v>
      </c>
      <c r="AE1411" s="142">
        <f>B1411*IBGE_2!AE$1411/100</f>
        <v>1</v>
      </c>
      <c r="AF1411" s="142">
        <f>B1411*IBGE_2!AF$1411/100</f>
        <v>0.3</v>
      </c>
      <c r="AG1411" s="142">
        <f>B1411*IBGE_2!AG$1411/100</f>
        <v>7.0000000000000007E-2</v>
      </c>
      <c r="AH1411" s="142">
        <f>B1411*IBGE_2!AH$1411/100</f>
        <v>8.900000000000001E-2</v>
      </c>
      <c r="AI1411" s="142" t="s">
        <v>3047</v>
      </c>
      <c r="AJ1411" s="142">
        <f>B1411*IBGE_2!AJ$1411/100</f>
        <v>1.401</v>
      </c>
      <c r="AK1411" s="142">
        <f>B1411*IBGE_2!AK$1411/100</f>
        <v>56.606999999999999</v>
      </c>
      <c r="AL1411" s="142">
        <f>B1411*IBGE_2!AL$1411/100</f>
        <v>4.452</v>
      </c>
      <c r="AM1411" s="142" t="s">
        <v>3047</v>
      </c>
      <c r="AN1411" s="161"/>
    </row>
    <row r="1412" spans="1:40">
      <c r="A1412" s="143" t="s">
        <v>2472</v>
      </c>
      <c r="B1412" s="141">
        <v>100</v>
      </c>
      <c r="C1412" s="142">
        <f>B1412*IBGE_2!C$1412/100</f>
        <v>480</v>
      </c>
      <c r="D1412" s="142">
        <f>B1412*IBGE_2!D$1412/100</f>
        <v>25.76</v>
      </c>
      <c r="E1412" s="142">
        <f>B1412*IBGE_2!E$1412/100</f>
        <v>26</v>
      </c>
      <c r="F1412" s="142">
        <f>B1412*IBGE_2!F$1412/100</f>
        <v>14.92</v>
      </c>
      <c r="G1412" s="142">
        <f>B1412*IBGE_2!G$1412/100</f>
        <v>6.4960000000000004</v>
      </c>
      <c r="H1412" s="142">
        <f>B1412*IBGE_2!H$1412/100</f>
        <v>1.56</v>
      </c>
      <c r="I1412" s="142">
        <f>B1412*IBGE_2!I$1412/100</f>
        <v>0.96</v>
      </c>
      <c r="J1412" s="142">
        <f>B1412*IBGE_2!J$1412/100</f>
        <v>0.6</v>
      </c>
      <c r="K1412" s="142">
        <f>B1412*IBGE_2!K$1412/100</f>
        <v>80</v>
      </c>
      <c r="L1412" s="142">
        <f>B1412*IBGE_2!L$1412/100</f>
        <v>36.159999999999997</v>
      </c>
      <c r="M1412" s="142" t="s">
        <v>3047</v>
      </c>
      <c r="N1412" s="142">
        <f>B1412*IBGE_2!N$1412/100</f>
        <v>904</v>
      </c>
      <c r="O1412" s="142">
        <f>B1412*IBGE_2!O$1412/100</f>
        <v>80</v>
      </c>
      <c r="P1412" s="142">
        <f>B1412*IBGE_2!P$1412/100</f>
        <v>2.4E-2</v>
      </c>
      <c r="Q1412" s="142">
        <f>B1412*IBGE_2!Q$1412/100</f>
        <v>728</v>
      </c>
      <c r="R1412" s="142">
        <f>B1412*IBGE_2!R$1412/100</f>
        <v>0.24</v>
      </c>
      <c r="S1412" s="142">
        <f>B1412*IBGE_2!S$1412/100</f>
        <v>320</v>
      </c>
      <c r="T1412" s="142">
        <f>B1412*IBGE_2!T$1412/100</f>
        <v>1144</v>
      </c>
      <c r="U1412" s="142">
        <f>B1412*IBGE_2!U$1412/100</f>
        <v>8.7999999999999995E-2</v>
      </c>
      <c r="V1412" s="142">
        <f>B1412*IBGE_2!V$1412/100</f>
        <v>3.2</v>
      </c>
      <c r="W1412" s="142">
        <f>B1412*IBGE_2!W$1412/100</f>
        <v>224</v>
      </c>
      <c r="X1412" s="142">
        <f>B1412*IBGE_2!X$1412/100</f>
        <v>0.35199999999999998</v>
      </c>
      <c r="Y1412" s="142">
        <f>B1412*IBGE_2!Y$1412/100</f>
        <v>1.464</v>
      </c>
      <c r="Z1412" s="142">
        <f>B1412*IBGE_2!Z$1412/100</f>
        <v>0.28799999999999998</v>
      </c>
      <c r="AA1412" s="142">
        <f>B1412*IBGE_2!AA$1412/100</f>
        <v>0.85599999999999998</v>
      </c>
      <c r="AB1412" s="142" t="s">
        <v>3047</v>
      </c>
      <c r="AC1412" s="142">
        <f>B1412*IBGE_2!AC$1412/100</f>
        <v>10.856</v>
      </c>
      <c r="AD1412" s="142">
        <f>B1412*IBGE_2!AD$1412/100</f>
        <v>3.52</v>
      </c>
      <c r="AE1412" s="142">
        <f>B1412*IBGE_2!AE$1412/100</f>
        <v>40</v>
      </c>
      <c r="AF1412" s="142">
        <f>B1412*IBGE_2!AF$1412/100</f>
        <v>8</v>
      </c>
      <c r="AG1412" s="142">
        <f>B1412*IBGE_2!AG$1412/100</f>
        <v>0.48</v>
      </c>
      <c r="AH1412" s="142">
        <f>B1412*IBGE_2!AH$1412/100</f>
        <v>0.92800000000000016</v>
      </c>
      <c r="AI1412" s="142" t="s">
        <v>3047</v>
      </c>
      <c r="AJ1412" s="142">
        <f>B1412*IBGE_2!AJ$1412/100</f>
        <v>29.6</v>
      </c>
      <c r="AK1412" s="142">
        <f>B1412*IBGE_2!AK$1412/100</f>
        <v>227.333</v>
      </c>
      <c r="AL1412" s="142">
        <f>B1412*IBGE_2!AL$1412/100</f>
        <v>42.08</v>
      </c>
      <c r="AM1412" s="142" t="s">
        <v>3047</v>
      </c>
      <c r="AN1412" s="161"/>
    </row>
    <row r="1413" spans="1:40">
      <c r="A1413" s="143" t="s">
        <v>2473</v>
      </c>
      <c r="B1413" s="141">
        <v>100</v>
      </c>
      <c r="C1413" s="142">
        <f>B1413*IBGE_2!C$1413/100</f>
        <v>358</v>
      </c>
      <c r="D1413" s="142">
        <f>B1413*IBGE_2!D$1413/100</f>
        <v>35.1</v>
      </c>
      <c r="E1413" s="142">
        <f>B1413*IBGE_2!E$1413/100</f>
        <v>0.72</v>
      </c>
      <c r="F1413" s="142">
        <f>B1413*IBGE_2!F$1413/100</f>
        <v>0.46700000000000003</v>
      </c>
      <c r="G1413" s="142">
        <f>B1413*IBGE_2!G$1413/100</f>
        <v>0.187</v>
      </c>
      <c r="H1413" s="142">
        <f>B1413*IBGE_2!H$1413/100</f>
        <v>2.8000000000000004E-2</v>
      </c>
      <c r="I1413" s="142">
        <f>B1413*IBGE_2!I$1413/100</f>
        <v>1.7999999999999999E-2</v>
      </c>
      <c r="J1413" s="142">
        <f>B1413*IBGE_2!J$1413/100</f>
        <v>1.0999999999999999E-2</v>
      </c>
      <c r="K1413" s="142">
        <f>B1413*IBGE_2!K$1413/100</f>
        <v>18</v>
      </c>
      <c r="L1413" s="142">
        <f>B1413*IBGE_2!L$1413/100</f>
        <v>52.19</v>
      </c>
      <c r="M1413" s="142" t="s">
        <v>3047</v>
      </c>
      <c r="N1413" s="142">
        <f>B1413*IBGE_2!N$1413/100</f>
        <v>1231</v>
      </c>
      <c r="O1413" s="142">
        <f>B1413*IBGE_2!O$1413/100</f>
        <v>117</v>
      </c>
      <c r="P1413" s="142">
        <f>B1413*IBGE_2!P$1413/100</f>
        <v>0.02</v>
      </c>
      <c r="Q1413" s="142">
        <f>B1413*IBGE_2!Q$1413/100</f>
        <v>985</v>
      </c>
      <c r="R1413" s="142">
        <f>B1413*IBGE_2!R$1413/100</f>
        <v>0.31</v>
      </c>
      <c r="S1413" s="142">
        <f>B1413*IBGE_2!S$1413/100</f>
        <v>549</v>
      </c>
      <c r="T1413" s="142">
        <f>B1413*IBGE_2!T$1413/100</f>
        <v>1705</v>
      </c>
      <c r="U1413" s="142">
        <f>B1413*IBGE_2!U$1413/100</f>
        <v>4.1000000000000009E-2</v>
      </c>
      <c r="V1413" s="142">
        <f>B1413*IBGE_2!V$1413/100</f>
        <v>4.41</v>
      </c>
      <c r="W1413" s="142">
        <f>B1413*IBGE_2!W$1413/100</f>
        <v>709</v>
      </c>
      <c r="X1413" s="142">
        <f>B1413*IBGE_2!X$1413/100</f>
        <v>0.41299999999999998</v>
      </c>
      <c r="Y1413" s="142">
        <f>B1413*IBGE_2!Y$1413/100</f>
        <v>1.744</v>
      </c>
      <c r="Z1413" s="142">
        <f>B1413*IBGE_2!Z$1413/100</f>
        <v>0.34499999999999997</v>
      </c>
      <c r="AA1413" s="142">
        <f>B1413*IBGE_2!AA$1413/100</f>
        <v>0.8909999999999999</v>
      </c>
      <c r="AB1413" s="142">
        <f>B1413*IBGE_2!AB$1413/100</f>
        <v>5.6</v>
      </c>
      <c r="AC1413" s="142">
        <f>B1413*IBGE_2!AC$1413/100</f>
        <v>9.141</v>
      </c>
      <c r="AD1413" s="142">
        <f>B1413*IBGE_2!AD$1413/100</f>
        <v>3.99</v>
      </c>
      <c r="AE1413" s="142">
        <f>B1413*IBGE_2!AE$1413/100</f>
        <v>50</v>
      </c>
      <c r="AF1413" s="142">
        <f>B1413*IBGE_2!AF$1413/100</f>
        <v>11</v>
      </c>
      <c r="AG1413" s="142">
        <f>B1413*IBGE_2!AG$1413/100</f>
        <v>0.01</v>
      </c>
      <c r="AH1413" s="142">
        <f>B1413*IBGE_2!AH$1413/100</f>
        <v>2.6000000000000002E-2</v>
      </c>
      <c r="AI1413" s="142" t="s">
        <v>3047</v>
      </c>
      <c r="AJ1413" s="142">
        <f>B1413*IBGE_2!AJ$1413/100</f>
        <v>27.3</v>
      </c>
      <c r="AK1413" s="142">
        <f>B1413*IBGE_2!AK$1413/100</f>
        <v>709.08300000000008</v>
      </c>
      <c r="AL1413" s="142">
        <f>B1413*IBGE_2!AL$1413/100</f>
        <v>50.51</v>
      </c>
      <c r="AM1413" s="142" t="s">
        <v>3047</v>
      </c>
      <c r="AN1413" s="161"/>
    </row>
    <row r="1414" spans="1:40">
      <c r="A1414" s="143" t="s">
        <v>2474</v>
      </c>
      <c r="B1414" s="141">
        <v>100</v>
      </c>
      <c r="C1414" s="142">
        <f>B1414*IBGE_2!C$1414/100</f>
        <v>480</v>
      </c>
      <c r="D1414" s="142">
        <f>B1414*IBGE_2!D$1414/100</f>
        <v>25.76</v>
      </c>
      <c r="E1414" s="142">
        <f>B1414*IBGE_2!E$1414/100</f>
        <v>26</v>
      </c>
      <c r="F1414" s="142">
        <f>B1414*IBGE_2!F$1414/100</f>
        <v>14.92</v>
      </c>
      <c r="G1414" s="142">
        <f>B1414*IBGE_2!G$1414/100</f>
        <v>6.4960000000000004</v>
      </c>
      <c r="H1414" s="142">
        <f>B1414*IBGE_2!H$1414/100</f>
        <v>1.56</v>
      </c>
      <c r="I1414" s="142">
        <f>B1414*IBGE_2!I$1414/100</f>
        <v>0.96</v>
      </c>
      <c r="J1414" s="142">
        <f>B1414*IBGE_2!J$1414/100</f>
        <v>0.6</v>
      </c>
      <c r="K1414" s="142">
        <f>B1414*IBGE_2!K$1414/100</f>
        <v>80</v>
      </c>
      <c r="L1414" s="142">
        <f>B1414*IBGE_2!L$1414/100</f>
        <v>36.159999999999997</v>
      </c>
      <c r="M1414" s="142" t="s">
        <v>3047</v>
      </c>
      <c r="N1414" s="142">
        <f>B1414*IBGE_2!N$1414/100</f>
        <v>904</v>
      </c>
      <c r="O1414" s="142">
        <f>B1414*IBGE_2!O$1414/100</f>
        <v>80</v>
      </c>
      <c r="P1414" s="142">
        <f>B1414*IBGE_2!P$1414/100</f>
        <v>2.4E-2</v>
      </c>
      <c r="Q1414" s="142">
        <f>B1414*IBGE_2!Q$1414/100</f>
        <v>728</v>
      </c>
      <c r="R1414" s="142">
        <f>B1414*IBGE_2!R$1414/100</f>
        <v>0.24</v>
      </c>
      <c r="S1414" s="142">
        <f>B1414*IBGE_2!S$1414/100</f>
        <v>320</v>
      </c>
      <c r="T1414" s="142">
        <f>B1414*IBGE_2!T$1414/100</f>
        <v>1144</v>
      </c>
      <c r="U1414" s="142">
        <f>B1414*IBGE_2!U$1414/100</f>
        <v>8.7999999999999995E-2</v>
      </c>
      <c r="V1414" s="142">
        <f>B1414*IBGE_2!V$1414/100</f>
        <v>3.2</v>
      </c>
      <c r="W1414" s="142">
        <f>B1414*IBGE_2!W$1414/100</f>
        <v>224</v>
      </c>
      <c r="X1414" s="142">
        <f>B1414*IBGE_2!X$1414/100</f>
        <v>0.35199999999999998</v>
      </c>
      <c r="Y1414" s="142">
        <f>B1414*IBGE_2!Y$1414/100</f>
        <v>1.464</v>
      </c>
      <c r="Z1414" s="142">
        <f>B1414*IBGE_2!Z$1414/100</f>
        <v>0.28799999999999998</v>
      </c>
      <c r="AA1414" s="142">
        <f>B1414*IBGE_2!AA$1414/100</f>
        <v>0.85599999999999998</v>
      </c>
      <c r="AB1414" s="142" t="s">
        <v>3047</v>
      </c>
      <c r="AC1414" s="142">
        <f>B1414*IBGE_2!AC$1414/100</f>
        <v>10.856</v>
      </c>
      <c r="AD1414" s="142">
        <f>B1414*IBGE_2!AD$1414/100</f>
        <v>3.52</v>
      </c>
      <c r="AE1414" s="142">
        <f>B1414*IBGE_2!AE$1414/100</f>
        <v>40</v>
      </c>
      <c r="AF1414" s="142">
        <f>B1414*IBGE_2!AF$1414/100</f>
        <v>8</v>
      </c>
      <c r="AG1414" s="142">
        <f>B1414*IBGE_2!AG$1414/100</f>
        <v>0.48</v>
      </c>
      <c r="AH1414" s="142">
        <f>B1414*IBGE_2!AH$1414/100</f>
        <v>0.92800000000000016</v>
      </c>
      <c r="AI1414" s="142" t="s">
        <v>3047</v>
      </c>
      <c r="AJ1414" s="142">
        <f>B1414*IBGE_2!AJ$1414/100</f>
        <v>29.6</v>
      </c>
      <c r="AK1414" s="142">
        <f>B1414*IBGE_2!AK$1414/100</f>
        <v>227.333</v>
      </c>
      <c r="AL1414" s="142">
        <f>B1414*IBGE_2!AL$1414/100</f>
        <v>42.08</v>
      </c>
      <c r="AM1414" s="142" t="s">
        <v>3047</v>
      </c>
      <c r="AN1414" s="161"/>
    </row>
    <row r="1415" spans="1:40">
      <c r="A1415" s="143" t="s">
        <v>2475</v>
      </c>
      <c r="B1415" s="141">
        <v>100</v>
      </c>
      <c r="C1415" s="142">
        <f>B1415*IBGE_2!C$1415/100</f>
        <v>319.69499999999999</v>
      </c>
      <c r="D1415" s="142">
        <f>B1415*IBGE_2!D$1415/100</f>
        <v>7.8779999999999992</v>
      </c>
      <c r="E1415" s="142">
        <f>B1415*IBGE_2!E$1415/100</f>
        <v>8.6649999999999991</v>
      </c>
      <c r="F1415" s="142">
        <f>B1415*IBGE_2!F$1415/100</f>
        <v>5.4640000000000013</v>
      </c>
      <c r="G1415" s="142">
        <f>B1415*IBGE_2!G$1415/100</f>
        <v>2.4169999999999998</v>
      </c>
      <c r="H1415" s="142">
        <f>B1415*IBGE_2!H$1415/100</f>
        <v>0.33600000000000002</v>
      </c>
      <c r="I1415" s="142">
        <f>B1415*IBGE_2!I$1415/100</f>
        <v>0.215</v>
      </c>
      <c r="J1415" s="142">
        <f>B1415*IBGE_2!J$1415/100</f>
        <v>0.121</v>
      </c>
      <c r="K1415" s="142">
        <f>B1415*IBGE_2!K$1415/100</f>
        <v>33.862000000000002</v>
      </c>
      <c r="L1415" s="142">
        <f>B1415*IBGE_2!L$1415/100</f>
        <v>54.179000000000002</v>
      </c>
      <c r="M1415" s="142" t="s">
        <v>3047</v>
      </c>
      <c r="N1415" s="142">
        <f>B1415*IBGE_2!N$1415/100</f>
        <v>282.846</v>
      </c>
      <c r="O1415" s="142">
        <f>B1415*IBGE_2!O$1415/100</f>
        <v>25.893999999999995</v>
      </c>
      <c r="P1415" s="142">
        <f>B1415*IBGE_2!P$1415/100</f>
        <v>6.0000000000000001E-3</v>
      </c>
      <c r="Q1415" s="142">
        <f>B1415*IBGE_2!Q$1415/100</f>
        <v>251.97200000000001</v>
      </c>
      <c r="R1415" s="142">
        <f>B1415*IBGE_2!R$1415/100</f>
        <v>0.18899999999999997</v>
      </c>
      <c r="S1415" s="142">
        <f>B1415*IBGE_2!S$1415/100</f>
        <v>126.48399999999999</v>
      </c>
      <c r="T1415" s="142">
        <f>B1415*IBGE_2!T$1415/100</f>
        <v>369.49200000000002</v>
      </c>
      <c r="U1415" s="142">
        <f>B1415*IBGE_2!U$1415/100</f>
        <v>1.4999999999999999E-2</v>
      </c>
      <c r="V1415" s="142">
        <f>B1415*IBGE_2!V$1415/100</f>
        <v>0.93600000000000005</v>
      </c>
      <c r="W1415" s="142">
        <f>B1415*IBGE_2!W$1415/100</f>
        <v>72.703000000000003</v>
      </c>
      <c r="X1415" s="142">
        <f>B1415*IBGE_2!X$1415/100</f>
        <v>0.09</v>
      </c>
      <c r="Y1415" s="142">
        <f>B1415*IBGE_2!Y$1415/100</f>
        <v>0.41399999999999998</v>
      </c>
      <c r="Z1415" s="142">
        <f>B1415*IBGE_2!Z$1415/100</f>
        <v>5.0999999999999997E-2</v>
      </c>
      <c r="AA1415" s="142">
        <f>B1415*IBGE_2!AA$1415/100</f>
        <v>0.20899999999999999</v>
      </c>
      <c r="AB1415" s="142">
        <f>B1415*IBGE_2!AB$1415/100</f>
        <v>2.589</v>
      </c>
      <c r="AC1415" s="142">
        <f>B1415*IBGE_2!AC$1415/100</f>
        <v>2.0680000000000001</v>
      </c>
      <c r="AD1415" s="142">
        <f>B1415*IBGE_2!AD$1415/100</f>
        <v>0.43799999999999994</v>
      </c>
      <c r="AE1415" s="142">
        <f>B1415*IBGE_2!AE$1415/100</f>
        <v>10.955</v>
      </c>
      <c r="AF1415" s="142">
        <f>B1415*IBGE_2!AF$1415/100</f>
        <v>0.129</v>
      </c>
      <c r="AG1415" s="142">
        <f>B1415*IBGE_2!AG$1415/100</f>
        <v>0.159</v>
      </c>
      <c r="AH1415" s="142">
        <f>B1415*IBGE_2!AH$1415/100</f>
        <v>0.309</v>
      </c>
      <c r="AI1415" s="142" t="s">
        <v>3047</v>
      </c>
      <c r="AJ1415" s="142">
        <f>B1415*IBGE_2!AJ$1415/100</f>
        <v>14.74</v>
      </c>
      <c r="AK1415" s="142">
        <f>B1415*IBGE_2!AK$1415/100</f>
        <v>73.864999999999995</v>
      </c>
      <c r="AL1415" s="142">
        <f>B1415*IBGE_2!AL$1415/100</f>
        <v>52.511000000000003</v>
      </c>
      <c r="AM1415" s="142">
        <f>B1415*IBGE_2!AM$1415/100</f>
        <v>43.015000000000001</v>
      </c>
      <c r="AN1415" s="161"/>
    </row>
    <row r="1416" spans="1:40">
      <c r="A1416" s="143" t="s">
        <v>2476</v>
      </c>
      <c r="B1416" s="141">
        <v>100</v>
      </c>
      <c r="C1416" s="142">
        <f>B1416*IBGE_2!C$1416/100</f>
        <v>319.69499999999999</v>
      </c>
      <c r="D1416" s="142">
        <f>B1416*IBGE_2!D$1416/100</f>
        <v>7.8779999999999992</v>
      </c>
      <c r="E1416" s="142">
        <f>B1416*IBGE_2!E$1416/100</f>
        <v>8.6649999999999991</v>
      </c>
      <c r="F1416" s="142">
        <f>B1416*IBGE_2!F$1416/100</f>
        <v>5.4640000000000013</v>
      </c>
      <c r="G1416" s="142">
        <f>B1416*IBGE_2!G$1416/100</f>
        <v>2.4169999999999998</v>
      </c>
      <c r="H1416" s="142">
        <f>B1416*IBGE_2!H$1416/100</f>
        <v>0.33600000000000002</v>
      </c>
      <c r="I1416" s="142">
        <f>B1416*IBGE_2!I$1416/100</f>
        <v>0.215</v>
      </c>
      <c r="J1416" s="142">
        <f>B1416*IBGE_2!J$1416/100</f>
        <v>0.121</v>
      </c>
      <c r="K1416" s="142">
        <f>B1416*IBGE_2!K$1416/100</f>
        <v>33.862000000000002</v>
      </c>
      <c r="L1416" s="142">
        <f>B1416*IBGE_2!L$1416/100</f>
        <v>54.179000000000002</v>
      </c>
      <c r="M1416" s="142" t="s">
        <v>3047</v>
      </c>
      <c r="N1416" s="142">
        <f>B1416*IBGE_2!N$1416/100</f>
        <v>282.846</v>
      </c>
      <c r="O1416" s="142">
        <f>B1416*IBGE_2!O$1416/100</f>
        <v>25.893999999999995</v>
      </c>
      <c r="P1416" s="142">
        <f>B1416*IBGE_2!P$1416/100</f>
        <v>6.0000000000000001E-3</v>
      </c>
      <c r="Q1416" s="142">
        <f>B1416*IBGE_2!Q$1416/100</f>
        <v>251.97200000000001</v>
      </c>
      <c r="R1416" s="142">
        <f>B1416*IBGE_2!R$1416/100</f>
        <v>0.18899999999999997</v>
      </c>
      <c r="S1416" s="142">
        <f>B1416*IBGE_2!S$1416/100</f>
        <v>126.48399999999999</v>
      </c>
      <c r="T1416" s="142">
        <f>B1416*IBGE_2!T$1416/100</f>
        <v>369.49200000000002</v>
      </c>
      <c r="U1416" s="142">
        <f>B1416*IBGE_2!U$1416/100</f>
        <v>1.4999999999999999E-2</v>
      </c>
      <c r="V1416" s="142">
        <f>B1416*IBGE_2!V$1416/100</f>
        <v>0.93600000000000005</v>
      </c>
      <c r="W1416" s="142">
        <f>B1416*IBGE_2!W$1416/100</f>
        <v>72.703000000000003</v>
      </c>
      <c r="X1416" s="142">
        <f>B1416*IBGE_2!X$1416/100</f>
        <v>0.09</v>
      </c>
      <c r="Y1416" s="142">
        <f>B1416*IBGE_2!Y$1416/100</f>
        <v>0.41399999999999998</v>
      </c>
      <c r="Z1416" s="142">
        <f>B1416*IBGE_2!Z$1416/100</f>
        <v>5.0999999999999997E-2</v>
      </c>
      <c r="AA1416" s="142">
        <f>B1416*IBGE_2!AA$1416/100</f>
        <v>0.20899999999999999</v>
      </c>
      <c r="AB1416" s="142">
        <f>B1416*IBGE_2!AB$1416/100</f>
        <v>2.589</v>
      </c>
      <c r="AC1416" s="142">
        <f>B1416*IBGE_2!AC$1416/100</f>
        <v>2.0680000000000001</v>
      </c>
      <c r="AD1416" s="142">
        <f>B1416*IBGE_2!AD$1416/100</f>
        <v>0.43799999999999994</v>
      </c>
      <c r="AE1416" s="142">
        <f>B1416*IBGE_2!AE$1416/100</f>
        <v>10.955</v>
      </c>
      <c r="AF1416" s="142">
        <f>B1416*IBGE_2!AF$1416/100</f>
        <v>0.129</v>
      </c>
      <c r="AG1416" s="142">
        <f>B1416*IBGE_2!AG$1416/100</f>
        <v>0.159</v>
      </c>
      <c r="AH1416" s="142">
        <f>B1416*IBGE_2!AH$1416/100</f>
        <v>0.309</v>
      </c>
      <c r="AI1416" s="142" t="s">
        <v>3047</v>
      </c>
      <c r="AJ1416" s="142">
        <f>B1416*IBGE_2!AJ$1416/100</f>
        <v>14.74</v>
      </c>
      <c r="AK1416" s="142">
        <f>B1416*IBGE_2!AK$1416/100</f>
        <v>73.864999999999995</v>
      </c>
      <c r="AL1416" s="142">
        <f>B1416*IBGE_2!AL$1416/100</f>
        <v>52.511000000000003</v>
      </c>
      <c r="AM1416" s="142">
        <f>B1416*IBGE_2!AM$1416/100</f>
        <v>43.015000000000001</v>
      </c>
      <c r="AN1416" s="161"/>
    </row>
    <row r="1417" spans="1:40">
      <c r="A1417" s="143" t="s">
        <v>2477</v>
      </c>
      <c r="B1417" s="141">
        <v>100</v>
      </c>
      <c r="C1417" s="142">
        <f>B1417*IBGE_2!C$1417/100</f>
        <v>292</v>
      </c>
      <c r="D1417" s="142">
        <f>B1417*IBGE_2!D$1417/100</f>
        <v>2.17</v>
      </c>
      <c r="E1417" s="142">
        <f>B1417*IBGE_2!E$1417/100</f>
        <v>30.91</v>
      </c>
      <c r="F1417" s="142">
        <f>B1417*IBGE_2!F$1417/100</f>
        <v>19.337</v>
      </c>
      <c r="G1417" s="142">
        <f>B1417*IBGE_2!G$1417/100</f>
        <v>9.093</v>
      </c>
      <c r="H1417" s="142">
        <f>B1417*IBGE_2!H$1417/100</f>
        <v>0.88400000000000001</v>
      </c>
      <c r="I1417" s="142">
        <f>B1417*IBGE_2!I$1417/100</f>
        <v>0.61799999999999999</v>
      </c>
      <c r="J1417" s="142">
        <f>B1417*IBGE_2!J$1417/100</f>
        <v>0.26600000000000001</v>
      </c>
      <c r="K1417" s="142">
        <f>B1417*IBGE_2!K$1417/100</f>
        <v>111</v>
      </c>
      <c r="L1417" s="142">
        <f>B1417*IBGE_2!L$1417/100</f>
        <v>2.96</v>
      </c>
      <c r="M1417" s="142" t="s">
        <v>3047</v>
      </c>
      <c r="N1417" s="142">
        <f>B1417*IBGE_2!N$1417/100</f>
        <v>69</v>
      </c>
      <c r="O1417" s="142">
        <f>B1417*IBGE_2!O$1417/100</f>
        <v>7</v>
      </c>
      <c r="P1417" s="142">
        <f>B1417*IBGE_2!P$1417/100</f>
        <v>1E-3</v>
      </c>
      <c r="Q1417" s="142">
        <f>B1417*IBGE_2!Q$1417/100</f>
        <v>61</v>
      </c>
      <c r="R1417" s="142">
        <f>B1417*IBGE_2!R$1417/100</f>
        <v>0.03</v>
      </c>
      <c r="S1417" s="142">
        <f>B1417*IBGE_2!S$1417/100</f>
        <v>34</v>
      </c>
      <c r="T1417" s="142">
        <f>B1417*IBGE_2!T$1417/100</f>
        <v>97</v>
      </c>
      <c r="U1417" s="142">
        <f>B1417*IBGE_2!U$1417/100</f>
        <v>7.000000000000001E-3</v>
      </c>
      <c r="V1417" s="142">
        <f>B1417*IBGE_2!V$1417/100</f>
        <v>0.25</v>
      </c>
      <c r="W1417" s="142">
        <f>B1417*IBGE_2!W$1417/100</f>
        <v>274</v>
      </c>
      <c r="X1417" s="142">
        <f>B1417*IBGE_2!X$1417/100</f>
        <v>2.4E-2</v>
      </c>
      <c r="Y1417" s="142">
        <f>B1417*IBGE_2!Y$1417/100</f>
        <v>0.125</v>
      </c>
      <c r="Z1417" s="142">
        <f>B1417*IBGE_2!Z$1417/100</f>
        <v>2.8000000000000004E-2</v>
      </c>
      <c r="AA1417" s="142">
        <f>B1417*IBGE_2!AA$1417/100</f>
        <v>4.2000000000000003E-2</v>
      </c>
      <c r="AB1417" s="142">
        <f>B1417*IBGE_2!AB$1417/100</f>
        <v>0.6</v>
      </c>
      <c r="AC1417" s="142">
        <f>B1417*IBGE_2!AC$1417/100</f>
        <v>0.55900000000000005</v>
      </c>
      <c r="AD1417" s="142">
        <f>B1417*IBGE_2!AD$1417/100</f>
        <v>0.2</v>
      </c>
      <c r="AE1417" s="142">
        <f>B1417*IBGE_2!AE$1417/100</f>
        <v>4</v>
      </c>
      <c r="AF1417" s="142">
        <f>B1417*IBGE_2!AF$1417/100</f>
        <v>1.1000000000000001</v>
      </c>
      <c r="AG1417" s="142">
        <f>B1417*IBGE_2!AG$1417/100</f>
        <v>0.88</v>
      </c>
      <c r="AH1417" s="142">
        <f>B1417*IBGE_2!AH$1417/100</f>
        <v>1.1000000000000001</v>
      </c>
      <c r="AI1417" s="142" t="s">
        <v>3047</v>
      </c>
      <c r="AJ1417" s="142">
        <f>B1417*IBGE_2!AJ$1417/100</f>
        <v>0.5</v>
      </c>
      <c r="AK1417" s="142">
        <f>B1417*IBGE_2!AK$1417/100</f>
        <v>279</v>
      </c>
      <c r="AL1417" s="142">
        <f>B1417*IBGE_2!AL$1417/100</f>
        <v>2.8</v>
      </c>
      <c r="AM1417" s="145" t="s">
        <v>3047</v>
      </c>
      <c r="AN1417" s="161"/>
    </row>
    <row r="1418" spans="1:40">
      <c r="A1418" s="143" t="s">
        <v>2478</v>
      </c>
      <c r="B1418" s="141">
        <v>100</v>
      </c>
      <c r="C1418" s="142">
        <f>B1418*IBGE_2!C$1418/100</f>
        <v>276.39</v>
      </c>
      <c r="D1418" s="142">
        <f>B1418*IBGE_2!D$1418/100</f>
        <v>2.93</v>
      </c>
      <c r="E1418" s="142">
        <f>B1418*IBGE_2!E$1418/100</f>
        <v>24.57</v>
      </c>
      <c r="F1418" s="142">
        <f>B1418*IBGE_2!F$1418/100</f>
        <v>15.36</v>
      </c>
      <c r="G1418" s="142">
        <f>B1418*IBGE_2!G$1418/100</f>
        <v>7.22</v>
      </c>
      <c r="H1418" s="142">
        <f>B1418*IBGE_2!H$1418/100</f>
        <v>0.71</v>
      </c>
      <c r="I1418" s="142">
        <f>B1418*IBGE_2!I$1418/100</f>
        <v>0.5</v>
      </c>
      <c r="J1418" s="142">
        <f>B1418*IBGE_2!J$1418/100</f>
        <v>0.21</v>
      </c>
      <c r="K1418" s="142">
        <f>B1418*IBGE_2!K$1418/100</f>
        <v>88.14</v>
      </c>
      <c r="L1418" s="142">
        <f>B1418*IBGE_2!L$1418/100</f>
        <v>12.36</v>
      </c>
      <c r="M1418" s="142" t="s">
        <v>3047</v>
      </c>
      <c r="N1418" s="142">
        <f>B1418*IBGE_2!N$1418/100</f>
        <v>55.66</v>
      </c>
      <c r="O1418" s="142">
        <f>B1418*IBGE_2!O$1418/100</f>
        <v>6.78</v>
      </c>
      <c r="P1418" s="142" t="s">
        <v>3047</v>
      </c>
      <c r="Q1418" s="142">
        <f>B1418*IBGE_2!Q$1418/100</f>
        <v>50.1</v>
      </c>
      <c r="R1418" s="142">
        <f>B1418*IBGE_2!R$1418/100</f>
        <v>0.03</v>
      </c>
      <c r="S1418" s="142">
        <f>B1418*IBGE_2!S$1418/100</f>
        <v>45.52</v>
      </c>
      <c r="T1418" s="142">
        <f>B1418*IBGE_2!T$1418/100</f>
        <v>95.31</v>
      </c>
      <c r="U1418" s="142">
        <f>B1418*IBGE_2!U$1418/100</f>
        <v>0.01</v>
      </c>
      <c r="V1418" s="142">
        <f>B1418*IBGE_2!V$1418/100</f>
        <v>0.2</v>
      </c>
      <c r="W1418" s="142">
        <f>B1418*IBGE_2!W$1418/100</f>
        <v>217.56</v>
      </c>
      <c r="X1418" s="142">
        <f>B1418*IBGE_2!X$1418/100</f>
        <v>0.02</v>
      </c>
      <c r="Y1418" s="142">
        <f>B1418*IBGE_2!Y$1418/100</f>
        <v>0.15</v>
      </c>
      <c r="Z1418" s="142">
        <f>B1418*IBGE_2!Z$1418/100</f>
        <v>0.02</v>
      </c>
      <c r="AA1418" s="142">
        <f>B1418*IBGE_2!AA$1418/100</f>
        <v>0.05</v>
      </c>
      <c r="AB1418" s="142">
        <f>B1418*IBGE_2!AB$1418/100</f>
        <v>0.48</v>
      </c>
      <c r="AC1418" s="142">
        <f>B1418*IBGE_2!AC$1418/100</f>
        <v>0.69</v>
      </c>
      <c r="AD1418" s="142">
        <f>B1418*IBGE_2!AD$1418/100</f>
        <v>0.17</v>
      </c>
      <c r="AE1418" s="142">
        <f>B1418*IBGE_2!AE$1418/100</f>
        <v>3.62</v>
      </c>
      <c r="AF1418" s="142">
        <f>B1418*IBGE_2!AF$1418/100</f>
        <v>0.87</v>
      </c>
      <c r="AG1418" s="142">
        <f>B1418*IBGE_2!AG$1418/100</f>
        <v>0.7</v>
      </c>
      <c r="AH1418" s="142">
        <f>B1418*IBGE_2!AH$1418/100</f>
        <v>0.87</v>
      </c>
      <c r="AI1418" s="142" t="s">
        <v>3047</v>
      </c>
      <c r="AJ1418" s="142">
        <f>B1418*IBGE_2!AJ$1418/100</f>
        <v>2.68</v>
      </c>
      <c r="AK1418" s="142">
        <f>B1418*IBGE_2!AK$1418/100</f>
        <v>221.53</v>
      </c>
      <c r="AL1418" s="142">
        <f>B1418*IBGE_2!AL$1418/100</f>
        <v>11.9</v>
      </c>
      <c r="AM1418" s="142">
        <f>B1418*IBGE_2!AM$1418/100</f>
        <v>9.93</v>
      </c>
      <c r="AN1418" s="161"/>
    </row>
    <row r="1419" spans="1:40">
      <c r="A1419" s="143" t="s">
        <v>2479</v>
      </c>
      <c r="B1419" s="141">
        <v>100</v>
      </c>
      <c r="C1419" s="142">
        <f>B1419*IBGE_2!C$1419/100</f>
        <v>98.694000000000003</v>
      </c>
      <c r="D1419" s="142">
        <f>B1419*IBGE_2!D$1419/100</f>
        <v>3.46</v>
      </c>
      <c r="E1419" s="142">
        <f>B1419*IBGE_2!E$1419/100</f>
        <v>3.4660000000000002</v>
      </c>
      <c r="F1419" s="142">
        <f>B1419*IBGE_2!F$1419/100</f>
        <v>1.976</v>
      </c>
      <c r="G1419" s="142">
        <f>B1419*IBGE_2!G$1419/100</f>
        <v>0.86299999999999999</v>
      </c>
      <c r="H1419" s="142">
        <f>B1419*IBGE_2!H$1419/100</f>
        <v>0.218</v>
      </c>
      <c r="I1419" s="142">
        <f>B1419*IBGE_2!I$1419/100</f>
        <v>0.13400000000000001</v>
      </c>
      <c r="J1419" s="142">
        <f>B1419*IBGE_2!J$1419/100</f>
        <v>8.4000000000000005E-2</v>
      </c>
      <c r="K1419" s="142">
        <f>B1419*IBGE_2!K$1419/100</f>
        <v>10.587999999999999</v>
      </c>
      <c r="L1419" s="142">
        <f>B1419*IBGE_2!L$1419/100</f>
        <v>14.62</v>
      </c>
      <c r="M1419" s="142">
        <f>B1419*IBGE_2!M$1419/100</f>
        <v>2.1320000000000001</v>
      </c>
      <c r="N1419" s="142">
        <f>B1419*IBGE_2!N$1419/100</f>
        <v>120.929</v>
      </c>
      <c r="O1419" s="142">
        <f>B1419*IBGE_2!O$1419/100</f>
        <v>11.518000000000002</v>
      </c>
      <c r="P1419" s="142">
        <f>B1419*IBGE_2!P$1419/100</f>
        <v>3.1E-2</v>
      </c>
      <c r="Q1419" s="142">
        <f>B1419*IBGE_2!Q$1419/100</f>
        <v>98.070999999999998</v>
      </c>
      <c r="R1419" s="142">
        <f>B1419*IBGE_2!R$1419/100</f>
        <v>9.3000000000000013E-2</v>
      </c>
      <c r="S1419" s="142">
        <f>B1419*IBGE_2!S$1419/100</f>
        <v>44.776000000000003</v>
      </c>
      <c r="T1419" s="142">
        <f>B1419*IBGE_2!T$1419/100</f>
        <v>162.435</v>
      </c>
      <c r="U1419" s="142">
        <f>B1419*IBGE_2!U$1419/100</f>
        <v>0.02</v>
      </c>
      <c r="V1419" s="142">
        <f>B1419*IBGE_2!V$1419/100</f>
        <v>0.439</v>
      </c>
      <c r="W1419" s="142">
        <f>B1419*IBGE_2!W$1419/100</f>
        <v>29.646999999999998</v>
      </c>
      <c r="X1419" s="142">
        <f>B1419*IBGE_2!X$1419/100</f>
        <v>4.8000000000000001E-2</v>
      </c>
      <c r="Y1419" s="142">
        <f>B1419*IBGE_2!Y$1419/100</f>
        <v>0.19699999999999998</v>
      </c>
      <c r="Z1419" s="142">
        <f>B1419*IBGE_2!Z$1419/100</f>
        <v>4.2000000000000003E-2</v>
      </c>
      <c r="AA1419" s="142">
        <f>B1419*IBGE_2!AA$1419/100</f>
        <v>0.14099999999999999</v>
      </c>
      <c r="AB1419" s="142">
        <f>B1419*IBGE_2!AB$1419/100</f>
        <v>4.1509999999999998</v>
      </c>
      <c r="AC1419" s="142">
        <f>B1419*IBGE_2!AC$1419/100</f>
        <v>1.474</v>
      </c>
      <c r="AD1419" s="142">
        <f>B1419*IBGE_2!AD$1419/100</f>
        <v>0.46600000000000003</v>
      </c>
      <c r="AE1419" s="142">
        <f>B1419*IBGE_2!AE$1419/100</f>
        <v>7</v>
      </c>
      <c r="AF1419" s="142">
        <f>B1419*IBGE_2!AF$1419/100</f>
        <v>6.4000000000000001E-2</v>
      </c>
      <c r="AG1419" s="142">
        <f>B1419*IBGE_2!AG$1419/100</f>
        <v>8.3000000000000004E-2</v>
      </c>
      <c r="AH1419" s="142">
        <f>B1419*IBGE_2!AH$1419/100</f>
        <v>0.12300000000000001</v>
      </c>
      <c r="AI1419" s="142" t="s">
        <v>3047</v>
      </c>
      <c r="AJ1419" s="142">
        <f>B1419*IBGE_2!AJ$1419/100</f>
        <v>3.988</v>
      </c>
      <c r="AK1419" s="142">
        <f>B1419*IBGE_2!AK$1419/100</f>
        <v>30.131</v>
      </c>
      <c r="AL1419" s="142">
        <f>B1419*IBGE_2!AL$1419/100</f>
        <v>13.055999999999999</v>
      </c>
      <c r="AM1419" s="142">
        <f>B1419*IBGE_2!AM$1419/100</f>
        <v>7.0570000000000004</v>
      </c>
      <c r="AN1419" s="161"/>
    </row>
    <row r="1420" spans="1:40">
      <c r="A1420" s="143" t="s">
        <v>2480</v>
      </c>
      <c r="B1420" s="141">
        <v>100</v>
      </c>
      <c r="C1420" s="142">
        <f>B1420*IBGE_2!C$1420/100</f>
        <v>56</v>
      </c>
      <c r="D1420" s="142">
        <f>B1420*IBGE_2!D$1420/100</f>
        <v>5.73</v>
      </c>
      <c r="E1420" s="142">
        <f>B1420*IBGE_2!E$1420/100</f>
        <v>0.18</v>
      </c>
      <c r="F1420" s="142">
        <f>B1420*IBGE_2!F$1420/100</f>
        <v>0.11600000000000002</v>
      </c>
      <c r="G1420" s="142">
        <f>B1420*IBGE_2!G$1420/100</f>
        <v>4.9000000000000002E-2</v>
      </c>
      <c r="H1420" s="142">
        <f>B1420*IBGE_2!H$1420/100</f>
        <v>5.0000000000000001E-3</v>
      </c>
      <c r="I1420" s="142">
        <f>B1420*IBGE_2!I$1420/100</f>
        <v>4.0000000000000001E-3</v>
      </c>
      <c r="J1420" s="142">
        <f>B1420*IBGE_2!J$1420/100</f>
        <v>1E-3</v>
      </c>
      <c r="K1420" s="142">
        <f>B1420*IBGE_2!K$1420/100</f>
        <v>2</v>
      </c>
      <c r="L1420" s="142">
        <f>B1420*IBGE_2!L$1420/100</f>
        <v>7.68</v>
      </c>
      <c r="M1420" s="142" t="s">
        <v>3047</v>
      </c>
      <c r="N1420" s="142">
        <f>B1420*IBGE_2!N$1420/100</f>
        <v>199</v>
      </c>
      <c r="O1420" s="142">
        <f>B1420*IBGE_2!O$1420/100</f>
        <v>19</v>
      </c>
      <c r="P1420" s="142">
        <f>B1420*IBGE_2!P$1420/100</f>
        <v>5.0000000000000001E-3</v>
      </c>
      <c r="Q1420" s="142">
        <f>B1420*IBGE_2!Q$1420/100</f>
        <v>157</v>
      </c>
      <c r="R1420" s="142">
        <f>B1420*IBGE_2!R$1420/100</f>
        <v>0.09</v>
      </c>
      <c r="S1420" s="142">
        <f>B1420*IBGE_2!S$1420/100</f>
        <v>77</v>
      </c>
      <c r="T1420" s="142">
        <f>B1420*IBGE_2!T$1420/100</f>
        <v>255</v>
      </c>
      <c r="U1420" s="142">
        <f>B1420*IBGE_2!U$1420/100</f>
        <v>1.4999999999999999E-2</v>
      </c>
      <c r="V1420" s="142">
        <f>B1420*IBGE_2!V$1420/100</f>
        <v>0.97</v>
      </c>
      <c r="W1420" s="142">
        <f>B1420*IBGE_2!W$1420/100</f>
        <v>2</v>
      </c>
      <c r="X1420" s="142">
        <f>B1420*IBGE_2!X$1420/100</f>
        <v>4.8000000000000001E-2</v>
      </c>
      <c r="Y1420" s="142">
        <f>B1420*IBGE_2!Y$1420/100</f>
        <v>0.23400000000000001</v>
      </c>
      <c r="Z1420" s="142">
        <f>B1420*IBGE_2!Z$1420/100</f>
        <v>5.2999999999999999E-2</v>
      </c>
      <c r="AA1420" s="142">
        <f>B1420*IBGE_2!AA$1420/100</f>
        <v>0.124</v>
      </c>
      <c r="AB1420" s="142">
        <f>B1420*IBGE_2!AB$1420/100</f>
        <v>0.9</v>
      </c>
      <c r="AC1420" s="142">
        <f>B1420*IBGE_2!AC$1420/100</f>
        <v>0.65700000000000003</v>
      </c>
      <c r="AD1420" s="142">
        <f>B1420*IBGE_2!AD$1420/100</f>
        <v>0.61</v>
      </c>
      <c r="AE1420" s="142">
        <f>B1420*IBGE_2!AE$1420/100</f>
        <v>12</v>
      </c>
      <c r="AF1420" s="145" t="s">
        <v>3047</v>
      </c>
      <c r="AG1420" s="145" t="s">
        <v>3047</v>
      </c>
      <c r="AH1420" s="145" t="s">
        <v>3047</v>
      </c>
      <c r="AI1420" s="142" t="s">
        <v>3047</v>
      </c>
      <c r="AJ1420" s="142">
        <f>B1420*IBGE_2!AJ$1420/100</f>
        <v>3.6</v>
      </c>
      <c r="AK1420" s="142">
        <f>B1420*IBGE_2!AK$1420/100</f>
        <v>2</v>
      </c>
      <c r="AL1420" s="142">
        <f>B1420*IBGE_2!AL$1420/100</f>
        <v>5.61</v>
      </c>
      <c r="AM1420" s="145" t="s">
        <v>3047</v>
      </c>
      <c r="AN1420" s="161"/>
    </row>
    <row r="1421" spans="1:40">
      <c r="A1421" s="143" t="s">
        <v>2481</v>
      </c>
      <c r="B1421" s="141">
        <v>100</v>
      </c>
      <c r="C1421" s="142">
        <f>B1421*IBGE_2!C$1421/100</f>
        <v>61</v>
      </c>
      <c r="D1421" s="142">
        <f>B1421*IBGE_2!D$1421/100</f>
        <v>3.47</v>
      </c>
      <c r="E1421" s="142">
        <f>B1421*IBGE_2!E$1421/100</f>
        <v>3.25</v>
      </c>
      <c r="F1421" s="142">
        <f>B1421*IBGE_2!F$1421/100</f>
        <v>2.0960000000000001</v>
      </c>
      <c r="G1421" s="142">
        <f>B1421*IBGE_2!G$1421/100</f>
        <v>0.89300000000000002</v>
      </c>
      <c r="H1421" s="142">
        <f>B1421*IBGE_2!H$1421/100</f>
        <v>9.1999999999999998E-2</v>
      </c>
      <c r="I1421" s="142">
        <f>B1421*IBGE_2!I$1421/100</f>
        <v>6.5000000000000002E-2</v>
      </c>
      <c r="J1421" s="142">
        <f>B1421*IBGE_2!J$1421/100</f>
        <v>2.7000000000000003E-2</v>
      </c>
      <c r="K1421" s="142">
        <f>B1421*IBGE_2!K$1421/100</f>
        <v>13</v>
      </c>
      <c r="L1421" s="142">
        <f>B1421*IBGE_2!L$1421/100</f>
        <v>4.66</v>
      </c>
      <c r="M1421" s="142" t="s">
        <v>3047</v>
      </c>
      <c r="N1421" s="142">
        <f>B1421*IBGE_2!N$1421/100</f>
        <v>121</v>
      </c>
      <c r="O1421" s="142">
        <f>B1421*IBGE_2!O$1421/100</f>
        <v>12</v>
      </c>
      <c r="P1421" s="142">
        <f>B1421*IBGE_2!P$1421/100</f>
        <v>4.0000000000000001E-3</v>
      </c>
      <c r="Q1421" s="142">
        <f>B1421*IBGE_2!Q$1421/100</f>
        <v>95</v>
      </c>
      <c r="R1421" s="142">
        <f>B1421*IBGE_2!R$1421/100</f>
        <v>0.05</v>
      </c>
      <c r="S1421" s="142">
        <f>B1421*IBGE_2!S$1421/100</f>
        <v>46</v>
      </c>
      <c r="T1421" s="142">
        <f>B1421*IBGE_2!T$1421/100</f>
        <v>155</v>
      </c>
      <c r="U1421" s="142">
        <f>B1421*IBGE_2!U$1421/100</f>
        <v>8.9999999999999993E-3</v>
      </c>
      <c r="V1421" s="142">
        <f>B1421*IBGE_2!V$1421/100</f>
        <v>0.59</v>
      </c>
      <c r="W1421" s="142">
        <f>B1421*IBGE_2!W$1421/100</f>
        <v>27</v>
      </c>
      <c r="X1421" s="142">
        <f>B1421*IBGE_2!X$1421/100</f>
        <v>2.9000000000000005E-2</v>
      </c>
      <c r="Y1421" s="142">
        <f>B1421*IBGE_2!Y$1421/100</f>
        <v>0.14199999999999999</v>
      </c>
      <c r="Z1421" s="142">
        <f>B1421*IBGE_2!Z$1421/100</f>
        <v>3.2000000000000001E-2</v>
      </c>
      <c r="AA1421" s="142">
        <f>B1421*IBGE_2!AA$1421/100</f>
        <v>7.4999999999999997E-2</v>
      </c>
      <c r="AB1421" s="142">
        <f>B1421*IBGE_2!AB$1421/100</f>
        <v>0.5</v>
      </c>
      <c r="AC1421" s="142">
        <f>B1421*IBGE_2!AC$1421/100</f>
        <v>0.40799999999999997</v>
      </c>
      <c r="AD1421" s="142">
        <f>B1421*IBGE_2!AD$1421/100</f>
        <v>0.37</v>
      </c>
      <c r="AE1421" s="142">
        <f>B1421*IBGE_2!AE$1421/100</f>
        <v>7</v>
      </c>
      <c r="AF1421" s="142">
        <f>B1421*IBGE_2!AF$1421/100</f>
        <v>0.04</v>
      </c>
      <c r="AG1421" s="142">
        <f>B1421*IBGE_2!AG$1421/100</f>
        <v>8.6999999999999994E-2</v>
      </c>
      <c r="AH1421" s="142">
        <f>B1421*IBGE_2!AH$1421/100</f>
        <v>7.0000000000000007E-2</v>
      </c>
      <c r="AI1421" s="142" t="s">
        <v>3047</v>
      </c>
      <c r="AJ1421" s="142">
        <f>B1421*IBGE_2!AJ$1421/100</f>
        <v>2.2000000000000002</v>
      </c>
      <c r="AK1421" s="142">
        <f>B1421*IBGE_2!AK$1421/100</f>
        <v>27.417000000000002</v>
      </c>
      <c r="AL1421" s="142">
        <f>B1421*IBGE_2!AL$1421/100</f>
        <v>3.39</v>
      </c>
      <c r="AM1421" s="145" t="s">
        <v>3047</v>
      </c>
      <c r="AN1421" s="161"/>
    </row>
    <row r="1422" spans="1:40">
      <c r="A1422" s="143" t="s">
        <v>2482</v>
      </c>
      <c r="B1422" s="141">
        <v>100</v>
      </c>
      <c r="C1422" s="142">
        <f>B1422*IBGE_2!C$1422/100</f>
        <v>69.3</v>
      </c>
      <c r="D1422" s="142">
        <f>B1422*IBGE_2!D$1422/100</f>
        <v>3.0329999999999999</v>
      </c>
      <c r="E1422" s="142">
        <f>B1422*IBGE_2!E$1422/100</f>
        <v>7.1999999999999995E-2</v>
      </c>
      <c r="F1422" s="142">
        <f>B1422*IBGE_2!F$1422/100</f>
        <v>4.5999999999999999E-2</v>
      </c>
      <c r="G1422" s="142">
        <f>B1422*IBGE_2!G$1422/100</f>
        <v>1.9E-2</v>
      </c>
      <c r="H1422" s="142">
        <f>B1422*IBGE_2!H$1422/100</f>
        <v>3.0000000000000001E-3</v>
      </c>
      <c r="I1422" s="142">
        <f>B1422*IBGE_2!I$1422/100</f>
        <v>2E-3</v>
      </c>
      <c r="J1422" s="142">
        <f>B1422*IBGE_2!J$1422/100</f>
        <v>1E-3</v>
      </c>
      <c r="K1422" s="142">
        <f>B1422*IBGE_2!K$1422/100</f>
        <v>1.8</v>
      </c>
      <c r="L1422" s="142">
        <f>B1422*IBGE_2!L$1422/100</f>
        <v>14.462</v>
      </c>
      <c r="M1422" s="142" t="s">
        <v>3047</v>
      </c>
      <c r="N1422" s="142">
        <f>B1422*IBGE_2!N$1422/100</f>
        <v>112.6</v>
      </c>
      <c r="O1422" s="142">
        <f>B1422*IBGE_2!O$1422/100</f>
        <v>9.9</v>
      </c>
      <c r="P1422" s="142">
        <f>B1422*IBGE_2!P$1422/100</f>
        <v>3.0000000000000001E-3</v>
      </c>
      <c r="Q1422" s="142">
        <f>B1422*IBGE_2!Q$1422/100</f>
        <v>90.9</v>
      </c>
      <c r="R1422" s="142">
        <f>B1422*IBGE_2!R$1422/100</f>
        <v>2.8000000000000004E-2</v>
      </c>
      <c r="S1422" s="142">
        <f>B1422*IBGE_2!S$1422/100</f>
        <v>37.799999999999997</v>
      </c>
      <c r="T1422" s="142">
        <f>B1422*IBGE_2!T$1422/100</f>
        <v>140.6</v>
      </c>
      <c r="U1422" s="142">
        <f>B1422*IBGE_2!U$1422/100</f>
        <v>1.2E-2</v>
      </c>
      <c r="V1422" s="142">
        <f>B1422*IBGE_2!V$1422/100</f>
        <v>0.37799999999999995</v>
      </c>
      <c r="W1422" s="142">
        <f>B1422*IBGE_2!W$1422/100</f>
        <v>54.9</v>
      </c>
      <c r="X1422" s="142">
        <f>B1422*IBGE_2!X$1422/100</f>
        <v>4.1000000000000009E-2</v>
      </c>
      <c r="Y1422" s="142">
        <f>B1422*IBGE_2!Y$1422/100</f>
        <v>0.16600000000000001</v>
      </c>
      <c r="Z1422" s="142">
        <f>B1422*IBGE_2!Z$1422/100</f>
        <v>3.3000000000000002E-2</v>
      </c>
      <c r="AA1422" s="142">
        <f>B1422*IBGE_2!AA$1422/100</f>
        <v>8.5000000000000006E-2</v>
      </c>
      <c r="AB1422" s="142" t="s">
        <v>3047</v>
      </c>
      <c r="AC1422" s="142">
        <f>B1422*IBGE_2!AC$1422/100</f>
        <v>0.68500000000000005</v>
      </c>
      <c r="AD1422" s="142">
        <f>B1422*IBGE_2!AD$1422/100</f>
        <v>0.47699999999999998</v>
      </c>
      <c r="AE1422" s="142">
        <f>B1422*IBGE_2!AE$1422/100</f>
        <v>4.5</v>
      </c>
      <c r="AF1422" s="142">
        <f>B1422*IBGE_2!AF$1422/100</f>
        <v>0.92300000000000015</v>
      </c>
      <c r="AG1422" s="142">
        <f>B1422*IBGE_2!AG$1422/100</f>
        <v>8.9999999999999993E-3</v>
      </c>
      <c r="AH1422" s="142">
        <f>B1422*IBGE_2!AH$1422/100</f>
        <v>3.0000000000000001E-3</v>
      </c>
      <c r="AI1422" s="142" t="s">
        <v>3047</v>
      </c>
      <c r="AJ1422" s="142">
        <f>B1422*IBGE_2!AJ$1422/100</f>
        <v>2.85</v>
      </c>
      <c r="AK1422" s="142">
        <f>B1422*IBGE_2!AK$1422/100</f>
        <v>54.9</v>
      </c>
      <c r="AL1422" s="142">
        <f>B1422*IBGE_2!AL$1422/100</f>
        <v>14.571999999999997</v>
      </c>
      <c r="AM1422" s="142">
        <f>B1422*IBGE_2!AM$1422/100</f>
        <v>9.9979999999999993</v>
      </c>
      <c r="AN1422" s="161"/>
    </row>
    <row r="1423" spans="1:40">
      <c r="A1423" s="143" t="s">
        <v>2483</v>
      </c>
      <c r="B1423" s="141">
        <v>100</v>
      </c>
      <c r="C1423" s="142">
        <f>B1423*IBGE_2!C$1423/100</f>
        <v>91.13</v>
      </c>
      <c r="D1423" s="142">
        <f>B1423*IBGE_2!D$1423/100</f>
        <v>2.78</v>
      </c>
      <c r="E1423" s="142">
        <f>B1423*IBGE_2!E$1423/100</f>
        <v>1.1499999999999999</v>
      </c>
      <c r="F1423" s="142">
        <f>B1423*IBGE_2!F$1423/100</f>
        <v>0.7</v>
      </c>
      <c r="G1423" s="142">
        <f>B1423*IBGE_2!G$1423/100</f>
        <v>0.3</v>
      </c>
      <c r="H1423" s="142">
        <f>B1423*IBGE_2!H$1423/100</f>
        <v>0.05</v>
      </c>
      <c r="I1423" s="142">
        <f>B1423*IBGE_2!I$1423/100</f>
        <v>0.04</v>
      </c>
      <c r="J1423" s="142">
        <f>B1423*IBGE_2!J$1423/100</f>
        <v>0.02</v>
      </c>
      <c r="K1423" s="142">
        <f>B1423*IBGE_2!K$1423/100</f>
        <v>4.04</v>
      </c>
      <c r="L1423" s="142">
        <f>B1423*IBGE_2!L$1423/100</f>
        <v>18.03</v>
      </c>
      <c r="M1423" s="142">
        <f>B1423*IBGE_2!M$1423/100</f>
        <v>0.14000000000000001</v>
      </c>
      <c r="N1423" s="142">
        <f>B1423*IBGE_2!N$1423/100</f>
        <v>97.17</v>
      </c>
      <c r="O1423" s="142">
        <f>B1423*IBGE_2!O$1423/100</f>
        <v>9.5399999999999991</v>
      </c>
      <c r="P1423" s="142">
        <f>B1423*IBGE_2!P$1423/100</f>
        <v>0.02</v>
      </c>
      <c r="Q1423" s="142">
        <f>B1423*IBGE_2!Q$1423/100</f>
        <v>76.47</v>
      </c>
      <c r="R1423" s="142">
        <f>B1423*IBGE_2!R$1423/100</f>
        <v>0.06</v>
      </c>
      <c r="S1423" s="142">
        <f>B1423*IBGE_2!S$1423/100</f>
        <v>36.450000000000003</v>
      </c>
      <c r="T1423" s="142">
        <f>B1423*IBGE_2!T$1423/100</f>
        <v>128.47</v>
      </c>
      <c r="U1423" s="142">
        <f>B1423*IBGE_2!U$1423/100</f>
        <v>0.01</v>
      </c>
      <c r="V1423" s="142">
        <f>B1423*IBGE_2!V$1423/100</f>
        <v>0.45</v>
      </c>
      <c r="W1423" s="142">
        <f>B1423*IBGE_2!W$1423/100</f>
        <v>10.1</v>
      </c>
      <c r="X1423" s="142">
        <f>B1423*IBGE_2!X$1423/100</f>
        <v>0.03</v>
      </c>
      <c r="Y1423" s="142">
        <f>B1423*IBGE_2!Y$1423/100</f>
        <v>0.12</v>
      </c>
      <c r="Z1423" s="142">
        <f>B1423*IBGE_2!Z$1423/100</f>
        <v>0.03</v>
      </c>
      <c r="AA1423" s="142">
        <f>B1423*IBGE_2!AA$1423/100</f>
        <v>0.08</v>
      </c>
      <c r="AB1423" s="142">
        <f>B1423*IBGE_2!AB$1423/100</f>
        <v>0.89</v>
      </c>
      <c r="AC1423" s="142">
        <f>B1423*IBGE_2!AC$1423/100</f>
        <v>0.48</v>
      </c>
      <c r="AD1423" s="142">
        <f>B1423*IBGE_2!AD$1423/100</f>
        <v>0.31</v>
      </c>
      <c r="AE1423" s="142">
        <f>B1423*IBGE_2!AE$1423/100</f>
        <v>5.9</v>
      </c>
      <c r="AF1423" s="142">
        <f>B1423*IBGE_2!AF$1423/100</f>
        <v>0.01</v>
      </c>
      <c r="AG1423" s="142">
        <f>B1423*IBGE_2!AG$1423/100</f>
        <v>0.04</v>
      </c>
      <c r="AH1423" s="142">
        <f>B1423*IBGE_2!AH$1423/100</f>
        <v>0.03</v>
      </c>
      <c r="AI1423" s="142" t="s">
        <v>3047</v>
      </c>
      <c r="AJ1423" s="142">
        <f>B1423*IBGE_2!AJ$1423/100</f>
        <v>2.0499999999999998</v>
      </c>
      <c r="AK1423" s="142">
        <f>B1423*IBGE_2!AK$1423/100</f>
        <v>10.31</v>
      </c>
      <c r="AL1423" s="142">
        <f>B1423*IBGE_2!AL$1423/100</f>
        <v>16.75</v>
      </c>
      <c r="AM1423" s="142">
        <f>B1423*IBGE_2!AM$1423/100</f>
        <v>13.57</v>
      </c>
      <c r="AN1423" s="161"/>
    </row>
    <row r="1424" spans="1:40">
      <c r="A1424" s="143" t="s">
        <v>2484</v>
      </c>
      <c r="B1424" s="141">
        <v>100</v>
      </c>
      <c r="C1424" s="142">
        <f>B1424*IBGE_2!C$1424/100</f>
        <v>50.226000000000006</v>
      </c>
      <c r="D1424" s="142">
        <f>B1424*IBGE_2!D$1424/100</f>
        <v>3.3149999999999999</v>
      </c>
      <c r="E1424" s="142">
        <f>B1424*IBGE_2!E$1424/100</f>
        <v>1.9790000000000001</v>
      </c>
      <c r="F1424" s="142">
        <f>B1424*IBGE_2!F$1424/100</f>
        <v>1.2629999999999999</v>
      </c>
      <c r="G1424" s="142">
        <f>B1424*IBGE_2!G$1424/100</f>
        <v>0.56299999999999994</v>
      </c>
      <c r="H1424" s="142">
        <f>B1424*IBGE_2!H$1424/100</f>
        <v>7.2999999999999995E-2</v>
      </c>
      <c r="I1424" s="142">
        <f>B1424*IBGE_2!I$1424/100</f>
        <v>6.2E-2</v>
      </c>
      <c r="J1424" s="142">
        <f>B1424*IBGE_2!J$1424/100</f>
        <v>8.0000000000000002E-3</v>
      </c>
      <c r="K1424" s="142">
        <f>B1424*IBGE_2!K$1424/100</f>
        <v>8.0359999999999996</v>
      </c>
      <c r="L1424" s="142">
        <f>B1424*IBGE_2!L$1424/100</f>
        <v>4.7009999999999996</v>
      </c>
      <c r="M1424" s="142" t="s">
        <v>3047</v>
      </c>
      <c r="N1424" s="142">
        <f>B1424*IBGE_2!N$1424/100</f>
        <v>117.52800000000001</v>
      </c>
      <c r="O1424" s="142">
        <f>B1424*IBGE_2!O$1424/100</f>
        <v>11.05</v>
      </c>
      <c r="P1424" s="142">
        <f>B1424*IBGE_2!P$1424/100</f>
        <v>3.0000000000000001E-3</v>
      </c>
      <c r="Q1424" s="142">
        <f>B1424*IBGE_2!Q$1424/100</f>
        <v>94.424000000000021</v>
      </c>
      <c r="R1424" s="142">
        <f>B1424*IBGE_2!R$1424/100</f>
        <v>0.03</v>
      </c>
      <c r="S1424" s="142">
        <f>B1424*IBGE_2!S$1424/100</f>
        <v>41.185000000000002</v>
      </c>
      <c r="T1424" s="142">
        <f>B1424*IBGE_2!T$1424/100</f>
        <v>150.67699999999999</v>
      </c>
      <c r="U1424" s="142">
        <f>B1424*IBGE_2!U$1424/100</f>
        <v>1.2E-2</v>
      </c>
      <c r="V1424" s="142">
        <f>B1424*IBGE_2!V$1424/100</f>
        <v>0.43200000000000005</v>
      </c>
      <c r="W1424" s="142">
        <f>B1424*IBGE_2!W$1424/100</f>
        <v>55.248000000000005</v>
      </c>
      <c r="X1424" s="142">
        <f>B1424*IBGE_2!X$1424/100</f>
        <v>3.9E-2</v>
      </c>
      <c r="Y1424" s="142">
        <f>B1424*IBGE_2!Y$1424/100</f>
        <v>0.18600000000000003</v>
      </c>
      <c r="Z1424" s="142">
        <f>B1424*IBGE_2!Z$1424/100</f>
        <v>3.7999999999999999E-2</v>
      </c>
      <c r="AA1424" s="142">
        <f>B1424*IBGE_2!AA$1424/100</f>
        <v>9.1999999999999998E-2</v>
      </c>
      <c r="AB1424" s="142">
        <f>B1424*IBGE_2!AB$1424/100</f>
        <v>0.20100000000000001</v>
      </c>
      <c r="AC1424" s="142">
        <f>B1424*IBGE_2!AC$1424/100</f>
        <v>0.76200000000000001</v>
      </c>
      <c r="AD1424" s="142">
        <f>B1424*IBGE_2!AD$1424/100</f>
        <v>0.46200000000000002</v>
      </c>
      <c r="AE1424" s="142">
        <f>B1424*IBGE_2!AE$1424/100</f>
        <v>5.0229999999999997</v>
      </c>
      <c r="AF1424" s="142">
        <f>B1424*IBGE_2!AF$1424/100</f>
        <v>1.08</v>
      </c>
      <c r="AG1424" s="142">
        <f>B1424*IBGE_2!AG$1424/100</f>
        <v>0.03</v>
      </c>
      <c r="AH1424" s="142">
        <f>B1424*IBGE_2!AH$1424/100</f>
        <v>8.5000000000000006E-2</v>
      </c>
      <c r="AI1424" s="142" t="s">
        <v>3047</v>
      </c>
      <c r="AJ1424" s="142">
        <f>B1424*IBGE_2!AJ$1424/100</f>
        <v>2.5110000000000001</v>
      </c>
      <c r="AK1424" s="142">
        <f>B1424*IBGE_2!AK$1424/100</f>
        <v>55.5</v>
      </c>
      <c r="AL1424" s="142">
        <f>B1424*IBGE_2!AL$1424/100</f>
        <v>5.093</v>
      </c>
      <c r="AM1424" s="142" t="s">
        <v>3047</v>
      </c>
      <c r="AN1424" s="161"/>
    </row>
    <row r="1425" spans="1:40">
      <c r="A1425" s="143" t="s">
        <v>2485</v>
      </c>
      <c r="B1425" s="141">
        <v>100</v>
      </c>
      <c r="C1425" s="142">
        <f>B1425*IBGE_2!C$1425/100</f>
        <v>61</v>
      </c>
      <c r="D1425" s="142">
        <f>B1425*IBGE_2!D$1425/100</f>
        <v>3.47</v>
      </c>
      <c r="E1425" s="142">
        <f>B1425*IBGE_2!E$1425/100</f>
        <v>3.25</v>
      </c>
      <c r="F1425" s="142">
        <f>B1425*IBGE_2!F$1425/100</f>
        <v>2.0960000000000001</v>
      </c>
      <c r="G1425" s="142">
        <f>B1425*IBGE_2!G$1425/100</f>
        <v>0.89300000000000002</v>
      </c>
      <c r="H1425" s="142">
        <f>B1425*IBGE_2!H$1425/100</f>
        <v>9.1999999999999998E-2</v>
      </c>
      <c r="I1425" s="142">
        <f>B1425*IBGE_2!I$1425/100</f>
        <v>6.5000000000000002E-2</v>
      </c>
      <c r="J1425" s="142">
        <f>B1425*IBGE_2!J$1425/100</f>
        <v>2.7000000000000003E-2</v>
      </c>
      <c r="K1425" s="142">
        <f>B1425*IBGE_2!K$1425/100</f>
        <v>13</v>
      </c>
      <c r="L1425" s="142">
        <f>B1425*IBGE_2!L$1425/100</f>
        <v>4.66</v>
      </c>
      <c r="M1425" s="142" t="s">
        <v>3047</v>
      </c>
      <c r="N1425" s="142">
        <f>B1425*IBGE_2!N$1425/100</f>
        <v>121</v>
      </c>
      <c r="O1425" s="142">
        <f>B1425*IBGE_2!O$1425/100</f>
        <v>12</v>
      </c>
      <c r="P1425" s="142">
        <f>B1425*IBGE_2!P$1425/100</f>
        <v>4.0000000000000001E-3</v>
      </c>
      <c r="Q1425" s="142">
        <f>B1425*IBGE_2!Q$1425/100</f>
        <v>95</v>
      </c>
      <c r="R1425" s="142">
        <f>B1425*IBGE_2!R$1425/100</f>
        <v>0.05</v>
      </c>
      <c r="S1425" s="142">
        <f>B1425*IBGE_2!S$1425/100</f>
        <v>46</v>
      </c>
      <c r="T1425" s="142">
        <f>B1425*IBGE_2!T$1425/100</f>
        <v>155</v>
      </c>
      <c r="U1425" s="142">
        <f>B1425*IBGE_2!U$1425/100</f>
        <v>8.9999999999999993E-3</v>
      </c>
      <c r="V1425" s="142">
        <f>B1425*IBGE_2!V$1425/100</f>
        <v>0.59</v>
      </c>
      <c r="W1425" s="142">
        <f>B1425*IBGE_2!W$1425/100</f>
        <v>27</v>
      </c>
      <c r="X1425" s="142">
        <f>B1425*IBGE_2!X$1425/100</f>
        <v>2.9000000000000005E-2</v>
      </c>
      <c r="Y1425" s="142">
        <f>B1425*IBGE_2!Y$1425/100</f>
        <v>0.14199999999999999</v>
      </c>
      <c r="Z1425" s="142">
        <f>B1425*IBGE_2!Z$1425/100</f>
        <v>3.2000000000000001E-2</v>
      </c>
      <c r="AA1425" s="142">
        <f>B1425*IBGE_2!AA$1425/100</f>
        <v>7.4999999999999997E-2</v>
      </c>
      <c r="AB1425" s="142">
        <f>B1425*IBGE_2!AB$1425/100</f>
        <v>0.5</v>
      </c>
      <c r="AC1425" s="142">
        <f>B1425*IBGE_2!AC$1425/100</f>
        <v>0.40799999999999997</v>
      </c>
      <c r="AD1425" s="142">
        <f>B1425*IBGE_2!AD$1425/100</f>
        <v>0.37</v>
      </c>
      <c r="AE1425" s="142">
        <f>B1425*IBGE_2!AE$1425/100</f>
        <v>7</v>
      </c>
      <c r="AF1425" s="142">
        <f>B1425*IBGE_2!AF$1425/100</f>
        <v>0.04</v>
      </c>
      <c r="AG1425" s="142">
        <f>B1425*IBGE_2!AG$1425/100</f>
        <v>8.6999999999999994E-2</v>
      </c>
      <c r="AH1425" s="142">
        <f>B1425*IBGE_2!AH$1425/100</f>
        <v>7.0000000000000007E-2</v>
      </c>
      <c r="AI1425" s="142" t="s">
        <v>3047</v>
      </c>
      <c r="AJ1425" s="142">
        <f>B1425*IBGE_2!AJ$1425/100</f>
        <v>2.2000000000000002</v>
      </c>
      <c r="AK1425" s="142">
        <f>B1425*IBGE_2!AK$1425/100</f>
        <v>27.417000000000002</v>
      </c>
      <c r="AL1425" s="142">
        <f>B1425*IBGE_2!AL$1425/100</f>
        <v>3.39</v>
      </c>
      <c r="AM1425" s="142" t="s">
        <v>3047</v>
      </c>
      <c r="AN1425" s="161"/>
    </row>
    <row r="1426" spans="1:40">
      <c r="A1426" s="143" t="s">
        <v>2486</v>
      </c>
      <c r="B1426" s="141">
        <v>100</v>
      </c>
      <c r="C1426" s="142">
        <f>B1426*IBGE_2!C$1426/100</f>
        <v>717</v>
      </c>
      <c r="D1426" s="142">
        <f>B1426*IBGE_2!D$1426/100</f>
        <v>0.85</v>
      </c>
      <c r="E1426" s="142">
        <f>B1426*IBGE_2!E$1426/100</f>
        <v>81.11</v>
      </c>
      <c r="F1426" s="142">
        <f>B1426*IBGE_2!F$1426/100</f>
        <v>51.37</v>
      </c>
      <c r="G1426" s="142">
        <f>B1426*IBGE_2!G$1426/100</f>
        <v>21.02</v>
      </c>
      <c r="H1426" s="142">
        <f>B1426*IBGE_2!H$1426/100</f>
        <v>3.04</v>
      </c>
      <c r="I1426" s="142">
        <f>B1426*IBGE_2!I$1426/100</f>
        <v>2.73</v>
      </c>
      <c r="J1426" s="142">
        <f>B1426*IBGE_2!J$1426/100</f>
        <v>0.32</v>
      </c>
      <c r="K1426" s="142">
        <f>B1426*IBGE_2!K$1426/100</f>
        <v>215</v>
      </c>
      <c r="L1426" s="142">
        <f>B1426*IBGE_2!L$1426/100</f>
        <v>0.06</v>
      </c>
      <c r="M1426" s="142" t="s">
        <v>3047</v>
      </c>
      <c r="N1426" s="142">
        <f>B1426*IBGE_2!N$1426/100</f>
        <v>24</v>
      </c>
      <c r="O1426" s="142">
        <f>B1426*IBGE_2!O$1426/100</f>
        <v>2</v>
      </c>
      <c r="P1426" s="142" t="s">
        <v>3047</v>
      </c>
      <c r="Q1426" s="142">
        <f>B1426*IBGE_2!Q$1426/100</f>
        <v>24</v>
      </c>
      <c r="R1426" s="142">
        <f>B1426*IBGE_2!R$1426/100</f>
        <v>0.02</v>
      </c>
      <c r="S1426" s="142">
        <f>B1426*IBGE_2!S$1426/100</f>
        <v>576</v>
      </c>
      <c r="T1426" s="142">
        <f>B1426*IBGE_2!T$1426/100</f>
        <v>24</v>
      </c>
      <c r="U1426" s="142" t="s">
        <v>3047</v>
      </c>
      <c r="V1426" s="142">
        <f>B1426*IBGE_2!V$1426/100</f>
        <v>0.09</v>
      </c>
      <c r="W1426" s="142">
        <f>B1426*IBGE_2!W$1426/100</f>
        <v>671</v>
      </c>
      <c r="X1426" s="142">
        <f>B1426*IBGE_2!X$1426/100</f>
        <v>0.01</v>
      </c>
      <c r="Y1426" s="142">
        <f>B1426*IBGE_2!Y$1426/100</f>
        <v>0.03</v>
      </c>
      <c r="Z1426" s="142" t="s">
        <v>3047</v>
      </c>
      <c r="AA1426" s="142">
        <f>B1426*IBGE_2!AA$1426/100</f>
        <v>0.04</v>
      </c>
      <c r="AB1426" s="142" t="s">
        <v>3047</v>
      </c>
      <c r="AC1426" s="142">
        <f>B1426*IBGE_2!AC$1426/100</f>
        <v>0.24</v>
      </c>
      <c r="AD1426" s="142">
        <f>B1426*IBGE_2!AD$1426/100</f>
        <v>0.17</v>
      </c>
      <c r="AE1426" s="142">
        <f>B1426*IBGE_2!AE$1426/100</f>
        <v>3</v>
      </c>
      <c r="AF1426" s="142">
        <f>B1426*IBGE_2!AF$1426/100</f>
        <v>1.4</v>
      </c>
      <c r="AG1426" s="142">
        <f>B1426*IBGE_2!AG$1426/100</f>
        <v>2.3199999999999998</v>
      </c>
      <c r="AH1426" s="142">
        <f>B1426*IBGE_2!AH$1426/100</f>
        <v>3.28</v>
      </c>
      <c r="AI1426" s="142" t="s">
        <v>3047</v>
      </c>
      <c r="AJ1426" s="142">
        <f>B1426*IBGE_2!AJ$1426/100</f>
        <v>1</v>
      </c>
      <c r="AK1426" s="142">
        <f>B1426*IBGE_2!AK$1426/100</f>
        <v>684.17</v>
      </c>
      <c r="AL1426" s="142">
        <f>B1426*IBGE_2!AL$1426/100</f>
        <v>0.1</v>
      </c>
      <c r="AM1426" s="142" t="s">
        <v>3047</v>
      </c>
      <c r="AN1426" s="161"/>
    </row>
    <row r="1427" spans="1:40">
      <c r="A1427" s="143" t="s">
        <v>2487</v>
      </c>
      <c r="B1427" s="141">
        <v>100</v>
      </c>
      <c r="C1427" s="142">
        <f>B1427*IBGE_2!C$1427/100</f>
        <v>717</v>
      </c>
      <c r="D1427" s="142">
        <f>B1427*IBGE_2!D$1427/100</f>
        <v>0.85</v>
      </c>
      <c r="E1427" s="142">
        <f>B1427*IBGE_2!E$1427/100</f>
        <v>81.11</v>
      </c>
      <c r="F1427" s="142">
        <f>B1427*IBGE_2!F$1427/100</f>
        <v>51.37</v>
      </c>
      <c r="G1427" s="142">
        <f>B1427*IBGE_2!G$1427/100</f>
        <v>21.02</v>
      </c>
      <c r="H1427" s="142">
        <f>B1427*IBGE_2!H$1427/100</f>
        <v>3.04</v>
      </c>
      <c r="I1427" s="142">
        <f>B1427*IBGE_2!I$1427/100</f>
        <v>2.73</v>
      </c>
      <c r="J1427" s="142">
        <f>B1427*IBGE_2!J$1427/100</f>
        <v>0.32</v>
      </c>
      <c r="K1427" s="142">
        <f>B1427*IBGE_2!K$1427/100</f>
        <v>215</v>
      </c>
      <c r="L1427" s="142">
        <f>B1427*IBGE_2!L$1427/100</f>
        <v>0.06</v>
      </c>
      <c r="M1427" s="142" t="s">
        <v>3047</v>
      </c>
      <c r="N1427" s="142">
        <f>B1427*IBGE_2!N$1427/100</f>
        <v>24</v>
      </c>
      <c r="O1427" s="142">
        <f>B1427*IBGE_2!O$1427/100</f>
        <v>2</v>
      </c>
      <c r="P1427" s="142" t="s">
        <v>3047</v>
      </c>
      <c r="Q1427" s="142">
        <f>B1427*IBGE_2!Q$1427/100</f>
        <v>24</v>
      </c>
      <c r="R1427" s="142">
        <f>B1427*IBGE_2!R$1427/100</f>
        <v>0.02</v>
      </c>
      <c r="S1427" s="142">
        <f>B1427*IBGE_2!S$1427/100</f>
        <v>576</v>
      </c>
      <c r="T1427" s="142">
        <f>B1427*IBGE_2!T$1427/100</f>
        <v>24</v>
      </c>
      <c r="U1427" s="142" t="s">
        <v>3047</v>
      </c>
      <c r="V1427" s="142">
        <f>B1427*IBGE_2!V$1427/100</f>
        <v>0.09</v>
      </c>
      <c r="W1427" s="142">
        <f>B1427*IBGE_2!W$1427/100</f>
        <v>671</v>
      </c>
      <c r="X1427" s="142">
        <f>B1427*IBGE_2!X$1427/100</f>
        <v>0.01</v>
      </c>
      <c r="Y1427" s="142">
        <f>B1427*IBGE_2!Y$1427/100</f>
        <v>0.03</v>
      </c>
      <c r="Z1427" s="142" t="s">
        <v>3047</v>
      </c>
      <c r="AA1427" s="142">
        <f>B1427*IBGE_2!AA$1427/100</f>
        <v>0.04</v>
      </c>
      <c r="AB1427" s="142" t="s">
        <v>3047</v>
      </c>
      <c r="AC1427" s="142">
        <f>B1427*IBGE_2!AC$1427/100</f>
        <v>0.24</v>
      </c>
      <c r="AD1427" s="142">
        <f>B1427*IBGE_2!AD$1427/100</f>
        <v>0.17</v>
      </c>
      <c r="AE1427" s="142">
        <f>B1427*IBGE_2!AE$1427/100</f>
        <v>3</v>
      </c>
      <c r="AF1427" s="142">
        <f>B1427*IBGE_2!AF$1427/100</f>
        <v>1.4</v>
      </c>
      <c r="AG1427" s="142">
        <f>B1427*IBGE_2!AG$1427/100</f>
        <v>2.3199999999999998</v>
      </c>
      <c r="AH1427" s="142">
        <f>B1427*IBGE_2!AH$1427/100</f>
        <v>3.28</v>
      </c>
      <c r="AI1427" s="142" t="s">
        <v>3047</v>
      </c>
      <c r="AJ1427" s="142">
        <f>B1427*IBGE_2!AJ$1427/100</f>
        <v>1</v>
      </c>
      <c r="AK1427" s="142">
        <f>B1427*IBGE_2!AK$1427/100</f>
        <v>684.17</v>
      </c>
      <c r="AL1427" s="142">
        <f>B1427*IBGE_2!AL$1427/100</f>
        <v>0.1</v>
      </c>
      <c r="AM1427" s="142" t="s">
        <v>3047</v>
      </c>
      <c r="AN1427" s="161"/>
    </row>
    <row r="1428" spans="1:40">
      <c r="A1428" s="143" t="s">
        <v>2488</v>
      </c>
      <c r="B1428" s="141">
        <v>100</v>
      </c>
      <c r="C1428" s="142">
        <f>B1428*IBGE_2!C$1428/100</f>
        <v>719</v>
      </c>
      <c r="D1428" s="142">
        <f>B1428*IBGE_2!D$1428/100</f>
        <v>0.9</v>
      </c>
      <c r="E1428" s="142">
        <f>B1428*IBGE_2!E$1428/100</f>
        <v>80.5</v>
      </c>
      <c r="F1428" s="142">
        <f>B1428*IBGE_2!F$1428/100</f>
        <v>16.7</v>
      </c>
      <c r="G1428" s="142">
        <f>B1428*IBGE_2!G$1428/100</f>
        <v>39.299999999999997</v>
      </c>
      <c r="H1428" s="142">
        <f>B1428*IBGE_2!H$1428/100</f>
        <v>20.9</v>
      </c>
      <c r="I1428" s="142">
        <f>B1428*IBGE_2!I$1428/100</f>
        <v>19.399999999999999</v>
      </c>
      <c r="J1428" s="142">
        <f>B1428*IBGE_2!J$1428/100</f>
        <v>1.5</v>
      </c>
      <c r="K1428" s="142" t="s">
        <v>3047</v>
      </c>
      <c r="L1428" s="142">
        <f>B1428*IBGE_2!L$1428/100</f>
        <v>0.9</v>
      </c>
      <c r="M1428" s="142" t="s">
        <v>3047</v>
      </c>
      <c r="N1428" s="142">
        <f>B1428*IBGE_2!N$1428/100</f>
        <v>30</v>
      </c>
      <c r="O1428" s="142">
        <f>B1428*IBGE_2!O$1428/100</f>
        <v>3</v>
      </c>
      <c r="P1428" s="142" t="s">
        <v>3047</v>
      </c>
      <c r="Q1428" s="142">
        <f>B1428*IBGE_2!Q$1428/100</f>
        <v>23</v>
      </c>
      <c r="R1428" s="142" t="s">
        <v>3047</v>
      </c>
      <c r="S1428" s="142">
        <f>B1428*IBGE_2!S$1428/100</f>
        <v>943</v>
      </c>
      <c r="T1428" s="142">
        <f>B1428*IBGE_2!T$1428/100</f>
        <v>42</v>
      </c>
      <c r="U1428" s="142">
        <f>B1428*IBGE_2!U$1428/100</f>
        <v>0.04</v>
      </c>
      <c r="V1428" s="142">
        <f>B1428*IBGE_2!V$1428/100</f>
        <v>0.2</v>
      </c>
      <c r="W1428" s="142">
        <f>B1428*IBGE_2!W$1428/100</f>
        <v>820</v>
      </c>
      <c r="X1428" s="142">
        <f>B1428*IBGE_2!X$1428/100</f>
        <v>0.01</v>
      </c>
      <c r="Y1428" s="142">
        <f>B1428*IBGE_2!Y$1428/100</f>
        <v>0.04</v>
      </c>
      <c r="Z1428" s="142">
        <f>B1428*IBGE_2!Z$1428/100</f>
        <v>0.01</v>
      </c>
      <c r="AA1428" s="142">
        <f>B1428*IBGE_2!AA$1428/100</f>
        <v>0.02</v>
      </c>
      <c r="AB1428" s="142">
        <f>B1428*IBGE_2!AB$1428/100</f>
        <v>0.2</v>
      </c>
      <c r="AC1428" s="142">
        <f>B1428*IBGE_2!AC$1428/100</f>
        <v>0.22</v>
      </c>
      <c r="AD1428" s="142">
        <f>B1428*IBGE_2!AD$1428/100</f>
        <v>0.1</v>
      </c>
      <c r="AE1428" s="142">
        <f>B1428*IBGE_2!AE$1428/100</f>
        <v>1</v>
      </c>
      <c r="AF1428" s="145" t="s">
        <v>3047</v>
      </c>
      <c r="AG1428" s="142">
        <f>B1428*IBGE_2!AG$1428/100</f>
        <v>3.1</v>
      </c>
      <c r="AH1428" s="142">
        <f>B1428*IBGE_2!AH$1428/100</f>
        <v>25.84</v>
      </c>
      <c r="AI1428" s="142" t="s">
        <v>3047</v>
      </c>
      <c r="AJ1428" s="145" t="s">
        <v>3047</v>
      </c>
      <c r="AK1428" s="142">
        <f>B1428*IBGE_2!AK$1428/100</f>
        <v>860.42</v>
      </c>
      <c r="AL1428" s="142">
        <f>B1428*IBGE_2!AL$1428/100</f>
        <v>0.9</v>
      </c>
      <c r="AM1428" s="142" t="s">
        <v>3047</v>
      </c>
      <c r="AN1428" s="161"/>
    </row>
    <row r="1429" spans="1:40">
      <c r="A1429" s="143" t="s">
        <v>2489</v>
      </c>
      <c r="B1429" s="141">
        <v>100</v>
      </c>
      <c r="C1429" s="142">
        <f>B1429*IBGE_2!C$1429/100</f>
        <v>302</v>
      </c>
      <c r="D1429" s="142">
        <f>B1429*IBGE_2!D$1429/100</f>
        <v>25.96</v>
      </c>
      <c r="E1429" s="142">
        <f>B1429*IBGE_2!E$1429/100</f>
        <v>20.03</v>
      </c>
      <c r="F1429" s="142">
        <f>B1429*IBGE_2!F$1429/100</f>
        <v>12.67</v>
      </c>
      <c r="G1429" s="142">
        <f>B1429*IBGE_2!G$1429/100</f>
        <v>5.73</v>
      </c>
      <c r="H1429" s="142">
        <f>B1429*IBGE_2!H$1429/100</f>
        <v>0.63</v>
      </c>
      <c r="I1429" s="142">
        <f>B1429*IBGE_2!I$1429/100</f>
        <v>0.45</v>
      </c>
      <c r="J1429" s="142">
        <f>B1429*IBGE_2!J$1429/100</f>
        <v>0.18</v>
      </c>
      <c r="K1429" s="142">
        <f>B1429*IBGE_2!K$1429/100</f>
        <v>54</v>
      </c>
      <c r="L1429" s="142">
        <f>B1429*IBGE_2!L$1429/100</f>
        <v>3.83</v>
      </c>
      <c r="M1429" s="142" t="s">
        <v>3047</v>
      </c>
      <c r="N1429" s="142">
        <f>B1429*IBGE_2!N$1429/100</f>
        <v>731</v>
      </c>
      <c r="O1429" s="142">
        <f>B1429*IBGE_2!O$1429/100</f>
        <v>26</v>
      </c>
      <c r="P1429" s="142">
        <f>B1429*IBGE_2!P$1429/100</f>
        <v>0.01</v>
      </c>
      <c r="Q1429" s="142">
        <f>B1429*IBGE_2!Q$1429/100</f>
        <v>524</v>
      </c>
      <c r="R1429" s="142">
        <f>B1429*IBGE_2!R$1429/100</f>
        <v>0.25</v>
      </c>
      <c r="S1429" s="142">
        <f>B1429*IBGE_2!S$1429/100</f>
        <v>528</v>
      </c>
      <c r="T1429" s="142">
        <f>B1429*IBGE_2!T$1429/100</f>
        <v>95</v>
      </c>
      <c r="U1429" s="142">
        <f>B1429*IBGE_2!U$1429/100</f>
        <v>0.03</v>
      </c>
      <c r="V1429" s="142">
        <f>B1429*IBGE_2!V$1429/100</f>
        <v>3.13</v>
      </c>
      <c r="W1429" s="142">
        <f>B1429*IBGE_2!W$1429/100</f>
        <v>133</v>
      </c>
      <c r="X1429" s="142">
        <f>B1429*IBGE_2!X$1429/100</f>
        <v>0.1</v>
      </c>
      <c r="Y1429" s="142">
        <f>B1429*IBGE_2!Y$1429/100</f>
        <v>0.33</v>
      </c>
      <c r="Z1429" s="142">
        <f>B1429*IBGE_2!Z$1429/100</f>
        <v>0.08</v>
      </c>
      <c r="AA1429" s="142">
        <f>B1429*IBGE_2!AA$1429/100</f>
        <v>0.12</v>
      </c>
      <c r="AB1429" s="142" t="s">
        <v>3047</v>
      </c>
      <c r="AC1429" s="142">
        <f>B1429*IBGE_2!AC$1429/100</f>
        <v>10.17</v>
      </c>
      <c r="AD1429" s="142">
        <f>B1429*IBGE_2!AD$1429/100</f>
        <v>2.31</v>
      </c>
      <c r="AE1429" s="142">
        <f>B1429*IBGE_2!AE$1429/100</f>
        <v>10</v>
      </c>
      <c r="AF1429" s="142">
        <f>B1429*IBGE_2!AF$1429/100</f>
        <v>0.16</v>
      </c>
      <c r="AG1429" s="142">
        <f>B1429*IBGE_2!AG$1429/100</f>
        <v>0.37</v>
      </c>
      <c r="AH1429" s="142">
        <f>B1429*IBGE_2!AH$1429/100</f>
        <v>0.41</v>
      </c>
      <c r="AI1429" s="142" t="s">
        <v>3047</v>
      </c>
      <c r="AJ1429" s="142">
        <f>B1429*IBGE_2!AJ$1429/100</f>
        <v>16.3</v>
      </c>
      <c r="AK1429" s="142">
        <f>B1429*IBGE_2!AK$1429/100</f>
        <v>136.66999999999999</v>
      </c>
      <c r="AL1429" s="142">
        <f>B1429*IBGE_2!AL$1429/100</f>
        <v>0.78</v>
      </c>
      <c r="AM1429" s="142" t="s">
        <v>3047</v>
      </c>
      <c r="AN1429" s="161"/>
    </row>
    <row r="1430" spans="1:40">
      <c r="A1430" s="143" t="s">
        <v>2490</v>
      </c>
      <c r="B1430" s="141">
        <v>100</v>
      </c>
      <c r="C1430" s="142">
        <f>B1430*IBGE_2!C$1430/100</f>
        <v>302</v>
      </c>
      <c r="D1430" s="142">
        <f>B1430*IBGE_2!D$1430/100</f>
        <v>25.96</v>
      </c>
      <c r="E1430" s="142">
        <f>B1430*IBGE_2!E$1430/100</f>
        <v>20.03</v>
      </c>
      <c r="F1430" s="142">
        <f>B1430*IBGE_2!F$1430/100</f>
        <v>12.67</v>
      </c>
      <c r="G1430" s="142">
        <f>B1430*IBGE_2!G$1430/100</f>
        <v>5.73</v>
      </c>
      <c r="H1430" s="142">
        <f>B1430*IBGE_2!H$1430/100</f>
        <v>0.63</v>
      </c>
      <c r="I1430" s="142">
        <f>B1430*IBGE_2!I$1430/100</f>
        <v>0.45</v>
      </c>
      <c r="J1430" s="142">
        <f>B1430*IBGE_2!J$1430/100</f>
        <v>0.18</v>
      </c>
      <c r="K1430" s="142">
        <f>B1430*IBGE_2!K$1430/100</f>
        <v>54</v>
      </c>
      <c r="L1430" s="142">
        <f>B1430*IBGE_2!L$1430/100</f>
        <v>3.83</v>
      </c>
      <c r="M1430" s="142" t="s">
        <v>3047</v>
      </c>
      <c r="N1430" s="142">
        <f>B1430*IBGE_2!N$1430/100</f>
        <v>731</v>
      </c>
      <c r="O1430" s="142">
        <f>B1430*IBGE_2!O$1430/100</f>
        <v>26</v>
      </c>
      <c r="P1430" s="142">
        <f>B1430*IBGE_2!P$1430/100</f>
        <v>0.01</v>
      </c>
      <c r="Q1430" s="142">
        <f>B1430*IBGE_2!Q$1430/100</f>
        <v>524</v>
      </c>
      <c r="R1430" s="142">
        <f>B1430*IBGE_2!R$1430/100</f>
        <v>0.25</v>
      </c>
      <c r="S1430" s="142">
        <f>B1430*IBGE_2!S$1430/100</f>
        <v>528</v>
      </c>
      <c r="T1430" s="142">
        <f>B1430*IBGE_2!T$1430/100</f>
        <v>95</v>
      </c>
      <c r="U1430" s="142">
        <f>B1430*IBGE_2!U$1430/100</f>
        <v>0.03</v>
      </c>
      <c r="V1430" s="142">
        <f>B1430*IBGE_2!V$1430/100</f>
        <v>3.13</v>
      </c>
      <c r="W1430" s="142">
        <f>B1430*IBGE_2!W$1430/100</f>
        <v>133</v>
      </c>
      <c r="X1430" s="142">
        <f>B1430*IBGE_2!X$1430/100</f>
        <v>0.1</v>
      </c>
      <c r="Y1430" s="142">
        <f>B1430*IBGE_2!Y$1430/100</f>
        <v>0.33</v>
      </c>
      <c r="Z1430" s="142">
        <f>B1430*IBGE_2!Z$1430/100</f>
        <v>0.08</v>
      </c>
      <c r="AA1430" s="142">
        <f>B1430*IBGE_2!AA$1430/100</f>
        <v>0.12</v>
      </c>
      <c r="AB1430" s="142" t="s">
        <v>3047</v>
      </c>
      <c r="AC1430" s="142">
        <f>B1430*IBGE_2!AC$1430/100</f>
        <v>10.17</v>
      </c>
      <c r="AD1430" s="142">
        <f>B1430*IBGE_2!AD$1430/100</f>
        <v>2.31</v>
      </c>
      <c r="AE1430" s="142">
        <f>B1430*IBGE_2!AE$1430/100</f>
        <v>10</v>
      </c>
      <c r="AF1430" s="142">
        <f>B1430*IBGE_2!AF$1430/100</f>
        <v>0.16</v>
      </c>
      <c r="AG1430" s="142">
        <f>B1430*IBGE_2!AG$1430/100</f>
        <v>0.37</v>
      </c>
      <c r="AH1430" s="142">
        <f>B1430*IBGE_2!AH$1430/100</f>
        <v>0.41</v>
      </c>
      <c r="AI1430" s="142" t="s">
        <v>3047</v>
      </c>
      <c r="AJ1430" s="142">
        <f>B1430*IBGE_2!AJ$1430/100</f>
        <v>16.3</v>
      </c>
      <c r="AK1430" s="142">
        <f>B1430*IBGE_2!AK$1430/100</f>
        <v>136.66999999999999</v>
      </c>
      <c r="AL1430" s="142">
        <f>B1430*IBGE_2!AL$1430/100</f>
        <v>0.78</v>
      </c>
      <c r="AM1430" s="142" t="s">
        <v>3047</v>
      </c>
      <c r="AN1430" s="161"/>
    </row>
    <row r="1431" spans="1:40">
      <c r="A1431" s="143" t="s">
        <v>2491</v>
      </c>
      <c r="B1431" s="141">
        <v>100</v>
      </c>
      <c r="C1431" s="142">
        <f>B1431*IBGE_2!C$1431/100</f>
        <v>302</v>
      </c>
      <c r="D1431" s="142">
        <f>B1431*IBGE_2!D$1431/100</f>
        <v>25.96</v>
      </c>
      <c r="E1431" s="142">
        <f>B1431*IBGE_2!E$1431/100</f>
        <v>20.03</v>
      </c>
      <c r="F1431" s="142">
        <f>B1431*IBGE_2!F$1431/100</f>
        <v>12.67</v>
      </c>
      <c r="G1431" s="142">
        <f>B1431*IBGE_2!G$1431/100</f>
        <v>5.73</v>
      </c>
      <c r="H1431" s="142">
        <f>B1431*IBGE_2!H$1431/100</f>
        <v>0.63</v>
      </c>
      <c r="I1431" s="142">
        <f>B1431*IBGE_2!I$1431/100</f>
        <v>0.45</v>
      </c>
      <c r="J1431" s="142">
        <f>B1431*IBGE_2!J$1431/100</f>
        <v>0.18</v>
      </c>
      <c r="K1431" s="142">
        <f>B1431*IBGE_2!K$1431/100</f>
        <v>54</v>
      </c>
      <c r="L1431" s="142">
        <f>B1431*IBGE_2!L$1431/100</f>
        <v>3.83</v>
      </c>
      <c r="M1431" s="142" t="s">
        <v>3047</v>
      </c>
      <c r="N1431" s="142">
        <f>B1431*IBGE_2!N$1431/100</f>
        <v>731</v>
      </c>
      <c r="O1431" s="142">
        <f>B1431*IBGE_2!O$1431/100</f>
        <v>26</v>
      </c>
      <c r="P1431" s="142">
        <f>B1431*IBGE_2!P$1431/100</f>
        <v>0.01</v>
      </c>
      <c r="Q1431" s="142">
        <f>B1431*IBGE_2!Q$1431/100</f>
        <v>524</v>
      </c>
      <c r="R1431" s="142">
        <f>B1431*IBGE_2!R$1431/100</f>
        <v>0.25</v>
      </c>
      <c r="S1431" s="142">
        <f>B1431*IBGE_2!S$1431/100</f>
        <v>528</v>
      </c>
      <c r="T1431" s="142">
        <f>B1431*IBGE_2!T$1431/100</f>
        <v>95</v>
      </c>
      <c r="U1431" s="142">
        <f>B1431*IBGE_2!U$1431/100</f>
        <v>0.03</v>
      </c>
      <c r="V1431" s="142">
        <f>B1431*IBGE_2!V$1431/100</f>
        <v>3.13</v>
      </c>
      <c r="W1431" s="142">
        <f>B1431*IBGE_2!W$1431/100</f>
        <v>133</v>
      </c>
      <c r="X1431" s="142">
        <f>B1431*IBGE_2!X$1431/100</f>
        <v>0.1</v>
      </c>
      <c r="Y1431" s="142">
        <f>B1431*IBGE_2!Y$1431/100</f>
        <v>0.33</v>
      </c>
      <c r="Z1431" s="142">
        <f>B1431*IBGE_2!Z$1431/100</f>
        <v>0.08</v>
      </c>
      <c r="AA1431" s="142">
        <f>B1431*IBGE_2!AA$1431/100</f>
        <v>0.12</v>
      </c>
      <c r="AB1431" s="142" t="s">
        <v>3047</v>
      </c>
      <c r="AC1431" s="142">
        <f>B1431*IBGE_2!AC$1431/100</f>
        <v>10.17</v>
      </c>
      <c r="AD1431" s="142">
        <f>B1431*IBGE_2!AD$1431/100</f>
        <v>2.31</v>
      </c>
      <c r="AE1431" s="142">
        <f>B1431*IBGE_2!AE$1431/100</f>
        <v>10</v>
      </c>
      <c r="AF1431" s="142">
        <f>B1431*IBGE_2!AF$1431/100</f>
        <v>0.16</v>
      </c>
      <c r="AG1431" s="142">
        <f>B1431*IBGE_2!AG$1431/100</f>
        <v>0.37</v>
      </c>
      <c r="AH1431" s="142">
        <f>B1431*IBGE_2!AH$1431/100</f>
        <v>0.41</v>
      </c>
      <c r="AI1431" s="142" t="s">
        <v>3047</v>
      </c>
      <c r="AJ1431" s="142">
        <f>B1431*IBGE_2!AJ$1431/100</f>
        <v>16.3</v>
      </c>
      <c r="AK1431" s="142">
        <f>B1431*IBGE_2!AK$1431/100</f>
        <v>136.66999999999999</v>
      </c>
      <c r="AL1431" s="142">
        <f>B1431*IBGE_2!AL$1431/100</f>
        <v>0.78</v>
      </c>
      <c r="AM1431" s="142" t="s">
        <v>3047</v>
      </c>
      <c r="AN1431" s="161"/>
    </row>
    <row r="1432" spans="1:40">
      <c r="A1432" s="143" t="s">
        <v>2492</v>
      </c>
      <c r="B1432" s="141">
        <v>100</v>
      </c>
      <c r="C1432" s="142">
        <f>B1432*IBGE_2!C$1432/100</f>
        <v>318</v>
      </c>
      <c r="D1432" s="142">
        <f>B1432*IBGE_2!D$1432/100</f>
        <v>21.6</v>
      </c>
      <c r="E1432" s="142">
        <f>B1432*IBGE_2!E$1432/100</f>
        <v>24.64</v>
      </c>
      <c r="F1432" s="142">
        <f>B1432*IBGE_2!F$1432/100</f>
        <v>15.561</v>
      </c>
      <c r="G1432" s="142">
        <f>B1432*IBGE_2!G$1432/100</f>
        <v>7.0270000000000001</v>
      </c>
      <c r="H1432" s="142">
        <f>B1432*IBGE_2!H$1432/100</f>
        <v>0.77800000000000002</v>
      </c>
      <c r="I1432" s="142">
        <f>B1432*IBGE_2!I$1432/100</f>
        <v>0.56599999999999995</v>
      </c>
      <c r="J1432" s="142">
        <f>B1432*IBGE_2!J$1432/100</f>
        <v>0.21199999999999999</v>
      </c>
      <c r="K1432" s="142">
        <f>B1432*IBGE_2!K$1432/100</f>
        <v>89</v>
      </c>
      <c r="L1432" s="142">
        <f>B1432*IBGE_2!L$1432/100</f>
        <v>2.4700000000000002</v>
      </c>
      <c r="M1432" s="142" t="s">
        <v>3047</v>
      </c>
      <c r="N1432" s="142">
        <f>B1432*IBGE_2!N$1432/100</f>
        <v>575</v>
      </c>
      <c r="O1432" s="142">
        <f>B1432*IBGE_2!O$1432/100</f>
        <v>21</v>
      </c>
      <c r="P1432" s="142">
        <f>B1432*IBGE_2!P$1432/100</f>
        <v>8.9999999999999993E-3</v>
      </c>
      <c r="Q1432" s="142">
        <f>B1432*IBGE_2!Q$1432/100</f>
        <v>412</v>
      </c>
      <c r="R1432" s="142">
        <f>B1432*IBGE_2!R$1432/100</f>
        <v>0.2</v>
      </c>
      <c r="S1432" s="142">
        <f>B1432*IBGE_2!S$1432/100</f>
        <v>415</v>
      </c>
      <c r="T1432" s="142">
        <f>B1432*IBGE_2!T$1432/100</f>
        <v>75</v>
      </c>
      <c r="U1432" s="142">
        <f>B1432*IBGE_2!U$1432/100</f>
        <v>2.1999999999999999E-2</v>
      </c>
      <c r="V1432" s="142">
        <f>B1432*IBGE_2!V$1432/100</f>
        <v>2.46</v>
      </c>
      <c r="W1432" s="142">
        <f>B1432*IBGE_2!W$1432/100</f>
        <v>192</v>
      </c>
      <c r="X1432" s="142">
        <f>B1432*IBGE_2!X$1432/100</f>
        <v>1.6E-2</v>
      </c>
      <c r="Y1432" s="142">
        <f>B1432*IBGE_2!Y$1432/100</f>
        <v>0.27</v>
      </c>
      <c r="Z1432" s="142">
        <f>B1432*IBGE_2!Z$1432/100</f>
        <v>6.2E-2</v>
      </c>
      <c r="AA1432" s="142">
        <f>B1432*IBGE_2!AA$1432/100</f>
        <v>9.4E-2</v>
      </c>
      <c r="AB1432" s="142" t="s">
        <v>3047</v>
      </c>
      <c r="AC1432" s="142">
        <f>B1432*IBGE_2!AC$1432/100</f>
        <v>5.1269999999999989</v>
      </c>
      <c r="AD1432" s="142">
        <f>B1432*IBGE_2!AD$1432/100</f>
        <v>0.73</v>
      </c>
      <c r="AE1432" s="142">
        <f>B1432*IBGE_2!AE$1432/100</f>
        <v>8</v>
      </c>
      <c r="AF1432" s="142">
        <f>B1432*IBGE_2!AF$1432/100</f>
        <v>0.16</v>
      </c>
      <c r="AG1432" s="142">
        <f>B1432*IBGE_2!AG$1432/100</f>
        <v>0.21</v>
      </c>
      <c r="AH1432" s="142">
        <f>B1432*IBGE_2!AH$1432/100</f>
        <v>0.59</v>
      </c>
      <c r="AI1432" s="142" t="s">
        <v>3047</v>
      </c>
      <c r="AJ1432" s="142">
        <f>B1432*IBGE_2!AJ$1432/100</f>
        <v>16.100000000000001</v>
      </c>
      <c r="AK1432" s="142">
        <f>B1432*IBGE_2!AK$1432/100</f>
        <v>197.25</v>
      </c>
      <c r="AL1432" s="142">
        <f>B1432*IBGE_2!AL$1432/100</f>
        <v>2.4700000000000002</v>
      </c>
      <c r="AM1432" s="142" t="s">
        <v>3047</v>
      </c>
      <c r="AN1432" s="161"/>
    </row>
    <row r="1433" spans="1:40">
      <c r="A1433" s="143" t="s">
        <v>2493</v>
      </c>
      <c r="B1433" s="141">
        <v>100</v>
      </c>
      <c r="C1433" s="142">
        <f>B1433*IBGE_2!C$1433/100</f>
        <v>318</v>
      </c>
      <c r="D1433" s="142">
        <f>B1433*IBGE_2!D$1433/100</f>
        <v>21.6</v>
      </c>
      <c r="E1433" s="142">
        <f>B1433*IBGE_2!E$1433/100</f>
        <v>24.64</v>
      </c>
      <c r="F1433" s="142">
        <f>B1433*IBGE_2!F$1433/100</f>
        <v>15.561</v>
      </c>
      <c r="G1433" s="142">
        <f>B1433*IBGE_2!G$1433/100</f>
        <v>7.0270000000000001</v>
      </c>
      <c r="H1433" s="142">
        <f>B1433*IBGE_2!H$1433/100</f>
        <v>0.77800000000000002</v>
      </c>
      <c r="I1433" s="142">
        <f>B1433*IBGE_2!I$1433/100</f>
        <v>0.56599999999999995</v>
      </c>
      <c r="J1433" s="142">
        <f>B1433*IBGE_2!J$1433/100</f>
        <v>0.21199999999999999</v>
      </c>
      <c r="K1433" s="142">
        <f>B1433*IBGE_2!K$1433/100</f>
        <v>89</v>
      </c>
      <c r="L1433" s="142">
        <f>B1433*IBGE_2!L$1433/100</f>
        <v>2.4700000000000002</v>
      </c>
      <c r="M1433" s="142" t="s">
        <v>3047</v>
      </c>
      <c r="N1433" s="142">
        <f>B1433*IBGE_2!N$1433/100</f>
        <v>575</v>
      </c>
      <c r="O1433" s="142">
        <f>B1433*IBGE_2!O$1433/100</f>
        <v>21</v>
      </c>
      <c r="P1433" s="142">
        <f>B1433*IBGE_2!P$1433/100</f>
        <v>8.9999999999999993E-3</v>
      </c>
      <c r="Q1433" s="142">
        <f>B1433*IBGE_2!Q$1433/100</f>
        <v>412</v>
      </c>
      <c r="R1433" s="142">
        <f>B1433*IBGE_2!R$1433/100</f>
        <v>0.2</v>
      </c>
      <c r="S1433" s="142">
        <f>B1433*IBGE_2!S$1433/100</f>
        <v>415</v>
      </c>
      <c r="T1433" s="142">
        <f>B1433*IBGE_2!T$1433/100</f>
        <v>75</v>
      </c>
      <c r="U1433" s="142">
        <f>B1433*IBGE_2!U$1433/100</f>
        <v>2.1999999999999999E-2</v>
      </c>
      <c r="V1433" s="142">
        <f>B1433*IBGE_2!V$1433/100</f>
        <v>2.46</v>
      </c>
      <c r="W1433" s="142">
        <f>B1433*IBGE_2!W$1433/100</f>
        <v>192</v>
      </c>
      <c r="X1433" s="142">
        <f>B1433*IBGE_2!X$1433/100</f>
        <v>1.6E-2</v>
      </c>
      <c r="Y1433" s="142">
        <f>B1433*IBGE_2!Y$1433/100</f>
        <v>0.27</v>
      </c>
      <c r="Z1433" s="142">
        <f>B1433*IBGE_2!Z$1433/100</f>
        <v>6.2E-2</v>
      </c>
      <c r="AA1433" s="142">
        <f>B1433*IBGE_2!AA$1433/100</f>
        <v>9.4E-2</v>
      </c>
      <c r="AB1433" s="142" t="s">
        <v>3047</v>
      </c>
      <c r="AC1433" s="142">
        <f>B1433*IBGE_2!AC$1433/100</f>
        <v>5.1269999999999989</v>
      </c>
      <c r="AD1433" s="142">
        <f>B1433*IBGE_2!AD$1433/100</f>
        <v>0.73</v>
      </c>
      <c r="AE1433" s="142">
        <f>B1433*IBGE_2!AE$1433/100</f>
        <v>8</v>
      </c>
      <c r="AF1433" s="142">
        <f>B1433*IBGE_2!AF$1433/100</f>
        <v>0.16</v>
      </c>
      <c r="AG1433" s="142">
        <f>B1433*IBGE_2!AG$1433/100</f>
        <v>0.21</v>
      </c>
      <c r="AH1433" s="142">
        <f>B1433*IBGE_2!AH$1433/100</f>
        <v>0.59</v>
      </c>
      <c r="AI1433" s="142" t="s">
        <v>3047</v>
      </c>
      <c r="AJ1433" s="142">
        <f>B1433*IBGE_2!AJ$1433/100</f>
        <v>16.100000000000001</v>
      </c>
      <c r="AK1433" s="142">
        <f>B1433*IBGE_2!AK$1433/100</f>
        <v>197.25</v>
      </c>
      <c r="AL1433" s="142">
        <f>B1433*IBGE_2!AL$1433/100</f>
        <v>2.4700000000000002</v>
      </c>
      <c r="AM1433" s="142" t="s">
        <v>3047</v>
      </c>
      <c r="AN1433" s="161"/>
    </row>
    <row r="1434" spans="1:40">
      <c r="A1434" s="143" t="s">
        <v>2494</v>
      </c>
      <c r="B1434" s="141">
        <v>100</v>
      </c>
      <c r="C1434" s="142">
        <f>B1434*IBGE_2!C$1434/100</f>
        <v>318</v>
      </c>
      <c r="D1434" s="142">
        <f>B1434*IBGE_2!D$1434/100</f>
        <v>21.6</v>
      </c>
      <c r="E1434" s="142">
        <f>B1434*IBGE_2!E$1434/100</f>
        <v>24.64</v>
      </c>
      <c r="F1434" s="142">
        <f>B1434*IBGE_2!F$1434/100</f>
        <v>15.561</v>
      </c>
      <c r="G1434" s="142">
        <f>B1434*IBGE_2!G$1434/100</f>
        <v>7.0270000000000001</v>
      </c>
      <c r="H1434" s="142">
        <f>B1434*IBGE_2!H$1434/100</f>
        <v>0.77800000000000002</v>
      </c>
      <c r="I1434" s="142">
        <f>B1434*IBGE_2!I$1434/100</f>
        <v>0.56599999999999995</v>
      </c>
      <c r="J1434" s="142">
        <f>B1434*IBGE_2!J$1434/100</f>
        <v>0.21199999999999999</v>
      </c>
      <c r="K1434" s="142">
        <f>B1434*IBGE_2!K$1434/100</f>
        <v>89</v>
      </c>
      <c r="L1434" s="142">
        <f>B1434*IBGE_2!L$1434/100</f>
        <v>2.4700000000000002</v>
      </c>
      <c r="M1434" s="142" t="s">
        <v>3047</v>
      </c>
      <c r="N1434" s="142">
        <f>B1434*IBGE_2!N$1434/100</f>
        <v>575</v>
      </c>
      <c r="O1434" s="142">
        <f>B1434*IBGE_2!O$1434/100</f>
        <v>21</v>
      </c>
      <c r="P1434" s="142">
        <f>B1434*IBGE_2!P$1434/100</f>
        <v>8.9999999999999993E-3</v>
      </c>
      <c r="Q1434" s="142">
        <f>B1434*IBGE_2!Q$1434/100</f>
        <v>412</v>
      </c>
      <c r="R1434" s="142">
        <f>B1434*IBGE_2!R$1434/100</f>
        <v>0.2</v>
      </c>
      <c r="S1434" s="142">
        <f>B1434*IBGE_2!S$1434/100</f>
        <v>415</v>
      </c>
      <c r="T1434" s="142">
        <f>B1434*IBGE_2!T$1434/100</f>
        <v>75</v>
      </c>
      <c r="U1434" s="142">
        <f>B1434*IBGE_2!U$1434/100</f>
        <v>2.1999999999999999E-2</v>
      </c>
      <c r="V1434" s="142">
        <f>B1434*IBGE_2!V$1434/100</f>
        <v>2.46</v>
      </c>
      <c r="W1434" s="142">
        <f>B1434*IBGE_2!W$1434/100</f>
        <v>192</v>
      </c>
      <c r="X1434" s="142">
        <f>B1434*IBGE_2!X$1434/100</f>
        <v>1.6E-2</v>
      </c>
      <c r="Y1434" s="142">
        <f>B1434*IBGE_2!Y$1434/100</f>
        <v>0.27</v>
      </c>
      <c r="Z1434" s="142">
        <f>B1434*IBGE_2!Z$1434/100</f>
        <v>6.2E-2</v>
      </c>
      <c r="AA1434" s="142">
        <f>B1434*IBGE_2!AA$1434/100</f>
        <v>9.4E-2</v>
      </c>
      <c r="AB1434" s="142" t="s">
        <v>3047</v>
      </c>
      <c r="AC1434" s="142">
        <f>B1434*IBGE_2!AC$1434/100</f>
        <v>5.1269999999999989</v>
      </c>
      <c r="AD1434" s="142">
        <f>B1434*IBGE_2!AD$1434/100</f>
        <v>0.73</v>
      </c>
      <c r="AE1434" s="142">
        <f>B1434*IBGE_2!AE$1434/100</f>
        <v>8</v>
      </c>
      <c r="AF1434" s="142">
        <f>B1434*IBGE_2!AF$1434/100</f>
        <v>0.16</v>
      </c>
      <c r="AG1434" s="142">
        <f>B1434*IBGE_2!AG$1434/100</f>
        <v>0.21</v>
      </c>
      <c r="AH1434" s="142">
        <f>B1434*IBGE_2!AH$1434/100</f>
        <v>0.59</v>
      </c>
      <c r="AI1434" s="142" t="s">
        <v>3047</v>
      </c>
      <c r="AJ1434" s="142">
        <f>B1434*IBGE_2!AJ$1434/100</f>
        <v>16.100000000000001</v>
      </c>
      <c r="AK1434" s="142">
        <f>B1434*IBGE_2!AK$1434/100</f>
        <v>197.25</v>
      </c>
      <c r="AL1434" s="142">
        <f>B1434*IBGE_2!AL$1434/100</f>
        <v>2.4700000000000002</v>
      </c>
      <c r="AM1434" s="142" t="s">
        <v>3047</v>
      </c>
      <c r="AN1434" s="161"/>
    </row>
    <row r="1435" spans="1:40">
      <c r="A1435" s="143" t="s">
        <v>2495</v>
      </c>
      <c r="B1435" s="141">
        <v>100</v>
      </c>
      <c r="C1435" s="142">
        <f>B1435*IBGE_2!C$1435/100</f>
        <v>318</v>
      </c>
      <c r="D1435" s="142">
        <f>B1435*IBGE_2!D$1435/100</f>
        <v>21.6</v>
      </c>
      <c r="E1435" s="142">
        <f>B1435*IBGE_2!E$1435/100</f>
        <v>24.64</v>
      </c>
      <c r="F1435" s="142">
        <f>B1435*IBGE_2!F$1435/100</f>
        <v>15.561</v>
      </c>
      <c r="G1435" s="142">
        <f>B1435*IBGE_2!G$1435/100</f>
        <v>7.0270000000000001</v>
      </c>
      <c r="H1435" s="142">
        <f>B1435*IBGE_2!H$1435/100</f>
        <v>0.77800000000000002</v>
      </c>
      <c r="I1435" s="142">
        <f>B1435*IBGE_2!I$1435/100</f>
        <v>0.56599999999999995</v>
      </c>
      <c r="J1435" s="142">
        <f>B1435*IBGE_2!J$1435/100</f>
        <v>0.21199999999999999</v>
      </c>
      <c r="K1435" s="142">
        <f>B1435*IBGE_2!K$1435/100</f>
        <v>89</v>
      </c>
      <c r="L1435" s="142">
        <f>B1435*IBGE_2!L$1435/100</f>
        <v>2.4700000000000002</v>
      </c>
      <c r="M1435" s="142" t="s">
        <v>3047</v>
      </c>
      <c r="N1435" s="142">
        <f>B1435*IBGE_2!N$1435/100</f>
        <v>575</v>
      </c>
      <c r="O1435" s="142">
        <f>B1435*IBGE_2!O$1435/100</f>
        <v>21</v>
      </c>
      <c r="P1435" s="142">
        <f>B1435*IBGE_2!P$1435/100</f>
        <v>8.9999999999999993E-3</v>
      </c>
      <c r="Q1435" s="142">
        <f>B1435*IBGE_2!Q$1435/100</f>
        <v>412</v>
      </c>
      <c r="R1435" s="142">
        <f>B1435*IBGE_2!R$1435/100</f>
        <v>0.2</v>
      </c>
      <c r="S1435" s="142">
        <f>B1435*IBGE_2!S$1435/100</f>
        <v>415</v>
      </c>
      <c r="T1435" s="142">
        <f>B1435*IBGE_2!T$1435/100</f>
        <v>75</v>
      </c>
      <c r="U1435" s="142">
        <f>B1435*IBGE_2!U$1435/100</f>
        <v>2.1999999999999999E-2</v>
      </c>
      <c r="V1435" s="142">
        <f>B1435*IBGE_2!V$1435/100</f>
        <v>2.46</v>
      </c>
      <c r="W1435" s="142">
        <f>B1435*IBGE_2!W$1435/100</f>
        <v>192</v>
      </c>
      <c r="X1435" s="142">
        <f>B1435*IBGE_2!X$1435/100</f>
        <v>1.6E-2</v>
      </c>
      <c r="Y1435" s="142">
        <f>B1435*IBGE_2!Y$1435/100</f>
        <v>0.27</v>
      </c>
      <c r="Z1435" s="142">
        <f>B1435*IBGE_2!Z$1435/100</f>
        <v>6.2E-2</v>
      </c>
      <c r="AA1435" s="142">
        <f>B1435*IBGE_2!AA$1435/100</f>
        <v>9.4E-2</v>
      </c>
      <c r="AB1435" s="142" t="s">
        <v>3047</v>
      </c>
      <c r="AC1435" s="142">
        <f>B1435*IBGE_2!AC$1435/100</f>
        <v>5.1269999999999989</v>
      </c>
      <c r="AD1435" s="142">
        <f>B1435*IBGE_2!AD$1435/100</f>
        <v>0.73</v>
      </c>
      <c r="AE1435" s="142">
        <f>B1435*IBGE_2!AE$1435/100</f>
        <v>8</v>
      </c>
      <c r="AF1435" s="142">
        <f>B1435*IBGE_2!AF$1435/100</f>
        <v>0.16</v>
      </c>
      <c r="AG1435" s="142">
        <f>B1435*IBGE_2!AG$1435/100</f>
        <v>0.21</v>
      </c>
      <c r="AH1435" s="142">
        <f>B1435*IBGE_2!AH$1435/100</f>
        <v>0.59</v>
      </c>
      <c r="AI1435" s="142" t="s">
        <v>3047</v>
      </c>
      <c r="AJ1435" s="142">
        <f>B1435*IBGE_2!AJ$1435/100</f>
        <v>16.100000000000001</v>
      </c>
      <c r="AK1435" s="142">
        <f>B1435*IBGE_2!AK$1435/100</f>
        <v>197.25</v>
      </c>
      <c r="AL1435" s="142">
        <f>B1435*IBGE_2!AL$1435/100</f>
        <v>2.4700000000000002</v>
      </c>
      <c r="AM1435" s="142" t="s">
        <v>3047</v>
      </c>
      <c r="AN1435" s="161"/>
    </row>
    <row r="1436" spans="1:40">
      <c r="A1436" s="143" t="s">
        <v>2496</v>
      </c>
      <c r="B1436" s="141">
        <v>100</v>
      </c>
      <c r="C1436" s="142">
        <f>B1436*IBGE_2!C$1436/100</f>
        <v>356</v>
      </c>
      <c r="D1436" s="142">
        <f>B1436*IBGE_2!D$1436/100</f>
        <v>24.94</v>
      </c>
      <c r="E1436" s="142">
        <f>B1436*IBGE_2!E$1436/100</f>
        <v>27.44</v>
      </c>
      <c r="F1436" s="142">
        <f>B1436*IBGE_2!F$1436/100</f>
        <v>17.614000000000001</v>
      </c>
      <c r="G1436" s="142">
        <f>B1436*IBGE_2!G$1436/100</f>
        <v>7.7470000000000008</v>
      </c>
      <c r="H1436" s="142">
        <f>B1436*IBGE_2!H$1436/100</f>
        <v>0.65700000000000003</v>
      </c>
      <c r="I1436" s="142">
        <f>B1436*IBGE_2!I$1436/100</f>
        <v>0.26300000000000001</v>
      </c>
      <c r="J1436" s="142">
        <f>B1436*IBGE_2!J$1436/100</f>
        <v>0.39399999999999996</v>
      </c>
      <c r="K1436" s="142">
        <f>B1436*IBGE_2!K$1436/100</f>
        <v>114</v>
      </c>
      <c r="L1436" s="142">
        <f>B1436*IBGE_2!L$1436/100</f>
        <v>2.2200000000000002</v>
      </c>
      <c r="M1436" s="142" t="s">
        <v>3047</v>
      </c>
      <c r="N1436" s="142">
        <f>B1436*IBGE_2!N$1436/100</f>
        <v>700</v>
      </c>
      <c r="O1436" s="142">
        <f>B1436*IBGE_2!O$1436/100</f>
        <v>29</v>
      </c>
      <c r="P1436" s="142">
        <f>B1436*IBGE_2!P$1436/100</f>
        <v>1.0999999999999999E-2</v>
      </c>
      <c r="Q1436" s="142">
        <f>B1436*IBGE_2!Q$1436/100</f>
        <v>546</v>
      </c>
      <c r="R1436" s="142">
        <f>B1436*IBGE_2!R$1436/100</f>
        <v>0.24</v>
      </c>
      <c r="S1436" s="142">
        <f>B1436*IBGE_2!S$1436/100</f>
        <v>819</v>
      </c>
      <c r="T1436" s="142">
        <f>B1436*IBGE_2!T$1436/100</f>
        <v>121</v>
      </c>
      <c r="U1436" s="142">
        <f>B1436*IBGE_2!U$1436/100</f>
        <v>3.5999999999999997E-2</v>
      </c>
      <c r="V1436" s="142">
        <f>B1436*IBGE_2!V$1436/100</f>
        <v>3.9</v>
      </c>
      <c r="W1436" s="142">
        <f>B1436*IBGE_2!W$1436/100</f>
        <v>164</v>
      </c>
      <c r="X1436" s="142">
        <f>B1436*IBGE_2!X$1436/100</f>
        <v>0.03</v>
      </c>
      <c r="Y1436" s="142">
        <f>B1436*IBGE_2!Y$1436/100</f>
        <v>0.33399999999999996</v>
      </c>
      <c r="Z1436" s="142">
        <f>B1436*IBGE_2!Z$1436/100</f>
        <v>0.08</v>
      </c>
      <c r="AA1436" s="142">
        <f>B1436*IBGE_2!AA$1436/100</f>
        <v>6.3E-2</v>
      </c>
      <c r="AB1436" s="142" t="s">
        <v>3047</v>
      </c>
      <c r="AC1436" s="142">
        <f>B1436*IBGE_2!AC$1436/100</f>
        <v>5.93</v>
      </c>
      <c r="AD1436" s="142">
        <f>B1436*IBGE_2!AD$1436/100</f>
        <v>1.54</v>
      </c>
      <c r="AE1436" s="142">
        <f>B1436*IBGE_2!AE$1436/100</f>
        <v>21</v>
      </c>
      <c r="AF1436" s="142">
        <f>B1436*IBGE_2!AF$1436/100</f>
        <v>0.24</v>
      </c>
      <c r="AG1436" s="142">
        <f>B1436*IBGE_2!AG$1436/100</f>
        <v>0.24</v>
      </c>
      <c r="AH1436" s="142">
        <f>B1436*IBGE_2!AH$1436/100</f>
        <v>0.65700000000000003</v>
      </c>
      <c r="AI1436" s="142" t="s">
        <v>3047</v>
      </c>
      <c r="AJ1436" s="142">
        <f>B1436*IBGE_2!AJ$1436/100</f>
        <v>14.5</v>
      </c>
      <c r="AK1436" s="142">
        <f>B1436*IBGE_2!AK$1436/100</f>
        <v>164.833</v>
      </c>
      <c r="AL1436" s="142">
        <f>B1436*IBGE_2!AL$1436/100</f>
        <v>2.2200000000000002</v>
      </c>
      <c r="AM1436" s="142" t="s">
        <v>3047</v>
      </c>
      <c r="AN1436" s="161"/>
    </row>
    <row r="1437" spans="1:40">
      <c r="A1437" s="143" t="s">
        <v>2497</v>
      </c>
      <c r="B1437" s="141">
        <v>100</v>
      </c>
      <c r="C1437" s="142">
        <f>B1437*IBGE_2!C$1437/100</f>
        <v>240</v>
      </c>
      <c r="D1437" s="142">
        <f>B1437*IBGE_2!D$1437/100</f>
        <v>17.600000000000001</v>
      </c>
      <c r="E1437" s="142">
        <f>B1437*IBGE_2!E$1437/100</f>
        <v>14.1</v>
      </c>
      <c r="F1437" s="142">
        <f>B1437*IBGE_2!F$1437/100</f>
        <v>8.85</v>
      </c>
      <c r="G1437" s="142">
        <f>B1437*IBGE_2!G$1437/100</f>
        <v>4.13</v>
      </c>
      <c r="H1437" s="142">
        <f>B1437*IBGE_2!H$1437/100</f>
        <v>0.41</v>
      </c>
      <c r="I1437" s="142">
        <f>B1437*IBGE_2!I$1437/100</f>
        <v>0.27</v>
      </c>
      <c r="J1437" s="142">
        <f>B1437*IBGE_2!J$1437/100</f>
        <v>0.15</v>
      </c>
      <c r="K1437" s="142">
        <f>B1437*IBGE_2!K$1437/100</f>
        <v>53</v>
      </c>
      <c r="L1437" s="142">
        <f>B1437*IBGE_2!L$1437/100</f>
        <v>10.6</v>
      </c>
      <c r="M1437" s="142" t="s">
        <v>3047</v>
      </c>
      <c r="N1437" s="142">
        <f>B1437*IBGE_2!N$1437/100</f>
        <v>529</v>
      </c>
      <c r="O1437" s="142">
        <f>B1437*IBGE_2!O$1437/100</f>
        <v>33</v>
      </c>
      <c r="P1437" s="142">
        <f>B1437*IBGE_2!P$1437/100</f>
        <v>0.01</v>
      </c>
      <c r="Q1437" s="142">
        <f>B1437*IBGE_2!Q$1437/100</f>
        <v>829</v>
      </c>
      <c r="R1437" s="142">
        <f>B1437*IBGE_2!R$1437/100</f>
        <v>0.2</v>
      </c>
      <c r="S1437" s="142">
        <f>B1437*IBGE_2!S$1437/100</f>
        <v>1587</v>
      </c>
      <c r="T1437" s="142">
        <f>B1437*IBGE_2!T$1437/100</f>
        <v>330</v>
      </c>
      <c r="U1437" s="142">
        <f>B1437*IBGE_2!U$1437/100</f>
        <v>0.03</v>
      </c>
      <c r="V1437" s="142">
        <f>B1437*IBGE_2!V$1437/100</f>
        <v>2.36</v>
      </c>
      <c r="W1437" s="142">
        <f>B1437*IBGE_2!W$1437/100</f>
        <v>247</v>
      </c>
      <c r="X1437" s="142">
        <f>B1437*IBGE_2!X$1437/100</f>
        <v>7.0000000000000007E-2</v>
      </c>
      <c r="Y1437" s="142">
        <f>B1437*IBGE_2!Y$1437/100</f>
        <v>0.48</v>
      </c>
      <c r="Z1437" s="142">
        <f>B1437*IBGE_2!Z$1437/100</f>
        <v>0.08</v>
      </c>
      <c r="AA1437" s="142">
        <f>B1437*IBGE_2!AA$1437/100</f>
        <v>0.18</v>
      </c>
      <c r="AB1437" s="142" t="s">
        <v>3047</v>
      </c>
      <c r="AC1437" s="142">
        <f>B1437*IBGE_2!AC$1437/100</f>
        <v>4.43</v>
      </c>
      <c r="AD1437" s="142">
        <f>B1437*IBGE_2!AD$1437/100</f>
        <v>1.1100000000000001</v>
      </c>
      <c r="AE1437" s="142">
        <f>B1437*IBGE_2!AE$1437/100</f>
        <v>18</v>
      </c>
      <c r="AF1437" s="142">
        <f>B1437*IBGE_2!AF$1437/100</f>
        <v>0.11</v>
      </c>
      <c r="AG1437" s="142">
        <f>B1437*IBGE_2!AG$1437/100</f>
        <v>0.27</v>
      </c>
      <c r="AH1437" s="142">
        <f>B1437*IBGE_2!AH$1437/100</f>
        <v>0.78</v>
      </c>
      <c r="AI1437" s="142" t="s">
        <v>3047</v>
      </c>
      <c r="AJ1437" s="142">
        <f>B1437*IBGE_2!AJ$1437/100</f>
        <v>12.4</v>
      </c>
      <c r="AK1437" s="142">
        <f>B1437*IBGE_2!AK$1437/100</f>
        <v>253.83</v>
      </c>
      <c r="AL1437" s="142">
        <f>B1437*IBGE_2!AL$1437/100</f>
        <v>10.6</v>
      </c>
      <c r="AM1437" s="142" t="s">
        <v>3047</v>
      </c>
      <c r="AN1437" s="161"/>
    </row>
    <row r="1438" spans="1:40">
      <c r="A1438" s="143" t="s">
        <v>2498</v>
      </c>
      <c r="B1438" s="141">
        <v>100</v>
      </c>
      <c r="C1438" s="142">
        <f>B1438*IBGE_2!C$1438/100</f>
        <v>318</v>
      </c>
      <c r="D1438" s="142">
        <f>B1438*IBGE_2!D$1438/100</f>
        <v>21.6</v>
      </c>
      <c r="E1438" s="142">
        <f>B1438*IBGE_2!E$1438/100</f>
        <v>24.64</v>
      </c>
      <c r="F1438" s="142">
        <f>B1438*IBGE_2!F$1438/100</f>
        <v>15.561</v>
      </c>
      <c r="G1438" s="142">
        <f>B1438*IBGE_2!G$1438/100</f>
        <v>7.0270000000000001</v>
      </c>
      <c r="H1438" s="142">
        <f>B1438*IBGE_2!H$1438/100</f>
        <v>0.77800000000000002</v>
      </c>
      <c r="I1438" s="142">
        <f>B1438*IBGE_2!I$1438/100</f>
        <v>0.56599999999999995</v>
      </c>
      <c r="J1438" s="142">
        <f>B1438*IBGE_2!J$1438/100</f>
        <v>0.21199999999999999</v>
      </c>
      <c r="K1438" s="142">
        <f>B1438*IBGE_2!K$1438/100</f>
        <v>89</v>
      </c>
      <c r="L1438" s="142">
        <f>B1438*IBGE_2!L$1438/100</f>
        <v>2.4700000000000002</v>
      </c>
      <c r="M1438" s="142" t="s">
        <v>3047</v>
      </c>
      <c r="N1438" s="142">
        <f>B1438*IBGE_2!N$1438/100</f>
        <v>575</v>
      </c>
      <c r="O1438" s="142">
        <f>B1438*IBGE_2!O$1438/100</f>
        <v>21</v>
      </c>
      <c r="P1438" s="142">
        <f>B1438*IBGE_2!P$1438/100</f>
        <v>8.9999999999999993E-3</v>
      </c>
      <c r="Q1438" s="142">
        <f>B1438*IBGE_2!Q$1438/100</f>
        <v>412</v>
      </c>
      <c r="R1438" s="142">
        <f>B1438*IBGE_2!R$1438/100</f>
        <v>0.2</v>
      </c>
      <c r="S1438" s="142">
        <f>B1438*IBGE_2!S$1438/100</f>
        <v>415</v>
      </c>
      <c r="T1438" s="142">
        <f>B1438*IBGE_2!T$1438/100</f>
        <v>75</v>
      </c>
      <c r="U1438" s="142">
        <f>B1438*IBGE_2!U$1438/100</f>
        <v>2.1999999999999999E-2</v>
      </c>
      <c r="V1438" s="142">
        <f>B1438*IBGE_2!V$1438/100</f>
        <v>2.46</v>
      </c>
      <c r="W1438" s="142">
        <f>B1438*IBGE_2!W$1438/100</f>
        <v>192</v>
      </c>
      <c r="X1438" s="142">
        <f>B1438*IBGE_2!X$1438/100</f>
        <v>1.6E-2</v>
      </c>
      <c r="Y1438" s="142">
        <f>B1438*IBGE_2!Y$1438/100</f>
        <v>0.27</v>
      </c>
      <c r="Z1438" s="142">
        <f>B1438*IBGE_2!Z$1438/100</f>
        <v>6.2E-2</v>
      </c>
      <c r="AA1438" s="142">
        <f>B1438*IBGE_2!AA$1438/100</f>
        <v>9.4E-2</v>
      </c>
      <c r="AB1438" s="142" t="s">
        <v>3047</v>
      </c>
      <c r="AC1438" s="142">
        <f>B1438*IBGE_2!AC$1438/100</f>
        <v>5.1269999999999989</v>
      </c>
      <c r="AD1438" s="142">
        <f>B1438*IBGE_2!AD$1438/100</f>
        <v>0.73</v>
      </c>
      <c r="AE1438" s="142">
        <f>B1438*IBGE_2!AE$1438/100</f>
        <v>8</v>
      </c>
      <c r="AF1438" s="142">
        <f>B1438*IBGE_2!AF$1438/100</f>
        <v>0.16</v>
      </c>
      <c r="AG1438" s="142">
        <f>B1438*IBGE_2!AG$1438/100</f>
        <v>0.21</v>
      </c>
      <c r="AH1438" s="142">
        <f>B1438*IBGE_2!AH$1438/100</f>
        <v>0.59</v>
      </c>
      <c r="AI1438" s="142" t="s">
        <v>3047</v>
      </c>
      <c r="AJ1438" s="142">
        <f>B1438*IBGE_2!AJ$1438/100</f>
        <v>16.100000000000001</v>
      </c>
      <c r="AK1438" s="142">
        <f>B1438*IBGE_2!AK$1438/100</f>
        <v>197.25</v>
      </c>
      <c r="AL1438" s="142">
        <f>B1438*IBGE_2!AL$1438/100</f>
        <v>2.4700000000000002</v>
      </c>
      <c r="AM1438" s="142" t="s">
        <v>3047</v>
      </c>
      <c r="AN1438" s="161"/>
    </row>
    <row r="1439" spans="1:40">
      <c r="A1439" s="143" t="s">
        <v>2499</v>
      </c>
      <c r="B1439" s="141">
        <v>100</v>
      </c>
      <c r="C1439" s="142">
        <f>B1439*IBGE_2!C$1439/100</f>
        <v>240</v>
      </c>
      <c r="D1439" s="142">
        <f>B1439*IBGE_2!D$1439/100</f>
        <v>17.600000000000001</v>
      </c>
      <c r="E1439" s="142">
        <f>B1439*IBGE_2!E$1439/100</f>
        <v>14.1</v>
      </c>
      <c r="F1439" s="142">
        <f>B1439*IBGE_2!F$1439/100</f>
        <v>8.85</v>
      </c>
      <c r="G1439" s="142">
        <f>B1439*IBGE_2!G$1439/100</f>
        <v>4.13</v>
      </c>
      <c r="H1439" s="142">
        <f>B1439*IBGE_2!H$1439/100</f>
        <v>0.41</v>
      </c>
      <c r="I1439" s="142">
        <f>B1439*IBGE_2!I$1439/100</f>
        <v>0.27</v>
      </c>
      <c r="J1439" s="142">
        <f>B1439*IBGE_2!J$1439/100</f>
        <v>0.15</v>
      </c>
      <c r="K1439" s="142">
        <f>B1439*IBGE_2!K$1439/100</f>
        <v>53</v>
      </c>
      <c r="L1439" s="142">
        <f>B1439*IBGE_2!L$1439/100</f>
        <v>10.6</v>
      </c>
      <c r="M1439" s="142" t="s">
        <v>3047</v>
      </c>
      <c r="N1439" s="142">
        <f>B1439*IBGE_2!N$1439/100</f>
        <v>529</v>
      </c>
      <c r="O1439" s="142">
        <f>B1439*IBGE_2!O$1439/100</f>
        <v>33</v>
      </c>
      <c r="P1439" s="142">
        <f>B1439*IBGE_2!P$1439/100</f>
        <v>0.01</v>
      </c>
      <c r="Q1439" s="142">
        <f>B1439*IBGE_2!Q$1439/100</f>
        <v>829</v>
      </c>
      <c r="R1439" s="142">
        <f>B1439*IBGE_2!R$1439/100</f>
        <v>0.2</v>
      </c>
      <c r="S1439" s="142">
        <f>B1439*IBGE_2!S$1439/100</f>
        <v>1587</v>
      </c>
      <c r="T1439" s="142">
        <f>B1439*IBGE_2!T$1439/100</f>
        <v>330</v>
      </c>
      <c r="U1439" s="142">
        <f>B1439*IBGE_2!U$1439/100</f>
        <v>0.03</v>
      </c>
      <c r="V1439" s="142">
        <f>B1439*IBGE_2!V$1439/100</f>
        <v>2.36</v>
      </c>
      <c r="W1439" s="142">
        <f>B1439*IBGE_2!W$1439/100</f>
        <v>247</v>
      </c>
      <c r="X1439" s="142">
        <f>B1439*IBGE_2!X$1439/100</f>
        <v>7.0000000000000007E-2</v>
      </c>
      <c r="Y1439" s="142">
        <f>B1439*IBGE_2!Y$1439/100</f>
        <v>0.48</v>
      </c>
      <c r="Z1439" s="142">
        <f>B1439*IBGE_2!Z$1439/100</f>
        <v>0.08</v>
      </c>
      <c r="AA1439" s="142">
        <f>B1439*IBGE_2!AA$1439/100</f>
        <v>0.18</v>
      </c>
      <c r="AB1439" s="142" t="s">
        <v>3047</v>
      </c>
      <c r="AC1439" s="142">
        <f>B1439*IBGE_2!AC$1439/100</f>
        <v>4.43</v>
      </c>
      <c r="AD1439" s="142">
        <f>B1439*IBGE_2!AD$1439/100</f>
        <v>1.1100000000000001</v>
      </c>
      <c r="AE1439" s="142">
        <f>B1439*IBGE_2!AE$1439/100</f>
        <v>18</v>
      </c>
      <c r="AF1439" s="142">
        <f>B1439*IBGE_2!AF$1439/100</f>
        <v>0.11</v>
      </c>
      <c r="AG1439" s="142">
        <f>B1439*IBGE_2!AG$1439/100</f>
        <v>0.27</v>
      </c>
      <c r="AH1439" s="142">
        <f>B1439*IBGE_2!AH$1439/100</f>
        <v>0.78</v>
      </c>
      <c r="AI1439" s="142" t="s">
        <v>3047</v>
      </c>
      <c r="AJ1439" s="142">
        <f>B1439*IBGE_2!AJ$1439/100</f>
        <v>12.4</v>
      </c>
      <c r="AK1439" s="142">
        <f>B1439*IBGE_2!AK$1439/100</f>
        <v>253.83</v>
      </c>
      <c r="AL1439" s="142">
        <f>B1439*IBGE_2!AL$1439/100</f>
        <v>10.6</v>
      </c>
      <c r="AM1439" s="142" t="s">
        <v>3047</v>
      </c>
      <c r="AN1439" s="161"/>
    </row>
    <row r="1440" spans="1:40">
      <c r="A1440" s="143" t="s">
        <v>2500</v>
      </c>
      <c r="B1440" s="141">
        <v>100</v>
      </c>
      <c r="C1440" s="142">
        <f>B1440*IBGE_2!C$1440/100</f>
        <v>373</v>
      </c>
      <c r="D1440" s="142">
        <f>B1440*IBGE_2!D$1440/100</f>
        <v>24.48</v>
      </c>
      <c r="E1440" s="142">
        <f>B1440*IBGE_2!E$1440/100</f>
        <v>30.28</v>
      </c>
      <c r="F1440" s="142">
        <f>B1440*IBGE_2!F$1440/100</f>
        <v>19.065999999999999</v>
      </c>
      <c r="G1440" s="142">
        <f>B1440*IBGE_2!G$1440/100</f>
        <v>8.7509999999999994</v>
      </c>
      <c r="H1440" s="142">
        <f>B1440*IBGE_2!H$1440/100</f>
        <v>0.89900000000000002</v>
      </c>
      <c r="I1440" s="142">
        <f>B1440*IBGE_2!I$1440/100</f>
        <v>0.63700000000000001</v>
      </c>
      <c r="J1440" s="142">
        <f>B1440*IBGE_2!J$1440/100</f>
        <v>0.26100000000000001</v>
      </c>
      <c r="K1440" s="142">
        <f>B1440*IBGE_2!K$1440/100</f>
        <v>89</v>
      </c>
      <c r="L1440" s="142">
        <f>B1440*IBGE_2!L$1440/100</f>
        <v>0.68</v>
      </c>
      <c r="M1440" s="142" t="s">
        <v>3047</v>
      </c>
      <c r="N1440" s="142">
        <f>B1440*IBGE_2!N$1440/100</f>
        <v>746</v>
      </c>
      <c r="O1440" s="142">
        <f>B1440*IBGE_2!O$1440/100</f>
        <v>27</v>
      </c>
      <c r="P1440" s="142">
        <f>B1440*IBGE_2!P$1440/100</f>
        <v>1.0999999999999999E-2</v>
      </c>
      <c r="Q1440" s="142">
        <f>B1440*IBGE_2!Q$1440/100</f>
        <v>444</v>
      </c>
      <c r="R1440" s="142">
        <f>B1440*IBGE_2!R$1440/100</f>
        <v>0.72</v>
      </c>
      <c r="S1440" s="142">
        <f>B1440*IBGE_2!S$1440/100</f>
        <v>536</v>
      </c>
      <c r="T1440" s="142">
        <f>B1440*IBGE_2!T$1440/100</f>
        <v>81</v>
      </c>
      <c r="U1440" s="142">
        <f>B1440*IBGE_2!U$1440/100</f>
        <v>3.2000000000000001E-2</v>
      </c>
      <c r="V1440" s="142">
        <f>B1440*IBGE_2!V$1440/100</f>
        <v>3</v>
      </c>
      <c r="W1440" s="142">
        <f>B1440*IBGE_2!W$1440/100</f>
        <v>192</v>
      </c>
      <c r="X1440" s="142">
        <f>B1440*IBGE_2!X$1440/100</f>
        <v>1.4999999999999999E-2</v>
      </c>
      <c r="Y1440" s="142">
        <f>B1440*IBGE_2!Y$1440/100</f>
        <v>0.39</v>
      </c>
      <c r="Z1440" s="142">
        <f>B1440*IBGE_2!Z$1440/100</f>
        <v>7.9000000000000001E-2</v>
      </c>
      <c r="AA1440" s="142">
        <f>B1440*IBGE_2!AA$1440/100</f>
        <v>9.3000000000000013E-2</v>
      </c>
      <c r="AB1440" s="142" t="s">
        <v>3047</v>
      </c>
      <c r="AC1440" s="142">
        <f>B1440*IBGE_2!AC$1440/100</f>
        <v>5.343</v>
      </c>
      <c r="AD1440" s="142">
        <f>B1440*IBGE_2!AD$1440/100</f>
        <v>0.83</v>
      </c>
      <c r="AE1440" s="142">
        <f>B1440*IBGE_2!AE$1440/100</f>
        <v>18</v>
      </c>
      <c r="AF1440" s="142">
        <f>B1440*IBGE_2!AF$1440/100</f>
        <v>0.24</v>
      </c>
      <c r="AG1440" s="142">
        <f>B1440*IBGE_2!AG$1440/100</f>
        <v>0.26</v>
      </c>
      <c r="AH1440" s="142">
        <f>B1440*IBGE_2!AH$1440/100</f>
        <v>0.72499999999999998</v>
      </c>
      <c r="AI1440" s="142" t="s">
        <v>3047</v>
      </c>
      <c r="AJ1440" s="142">
        <f>B1440*IBGE_2!AJ$1440/100</f>
        <v>14.5</v>
      </c>
      <c r="AK1440" s="142">
        <f>B1440*IBGE_2!AK$1440/100</f>
        <v>198.5</v>
      </c>
      <c r="AL1440" s="142">
        <f>B1440*IBGE_2!AL$1440/100</f>
        <v>0.68</v>
      </c>
      <c r="AM1440" s="142" t="s">
        <v>3047</v>
      </c>
      <c r="AN1440" s="161"/>
    </row>
    <row r="1441" spans="1:40">
      <c r="A1441" s="143" t="s">
        <v>2501</v>
      </c>
      <c r="B1441" s="141">
        <v>100</v>
      </c>
      <c r="C1441" s="142">
        <f>B1441*IBGE_2!C$1441/100</f>
        <v>240</v>
      </c>
      <c r="D1441" s="142">
        <f>B1441*IBGE_2!D$1441/100</f>
        <v>17.600000000000001</v>
      </c>
      <c r="E1441" s="142">
        <f>B1441*IBGE_2!E$1441/100</f>
        <v>14.1</v>
      </c>
      <c r="F1441" s="142">
        <f>B1441*IBGE_2!F$1441/100</f>
        <v>8.85</v>
      </c>
      <c r="G1441" s="142">
        <f>B1441*IBGE_2!G$1441/100</f>
        <v>4.13</v>
      </c>
      <c r="H1441" s="142">
        <f>B1441*IBGE_2!H$1441/100</f>
        <v>0.41</v>
      </c>
      <c r="I1441" s="142">
        <f>B1441*IBGE_2!I$1441/100</f>
        <v>0.27</v>
      </c>
      <c r="J1441" s="142">
        <f>B1441*IBGE_2!J$1441/100</f>
        <v>0.15</v>
      </c>
      <c r="K1441" s="142">
        <f>B1441*IBGE_2!K$1441/100</f>
        <v>53</v>
      </c>
      <c r="L1441" s="142">
        <f>B1441*IBGE_2!L$1441/100</f>
        <v>10.6</v>
      </c>
      <c r="M1441" s="142" t="s">
        <v>3047</v>
      </c>
      <c r="N1441" s="142">
        <f>B1441*IBGE_2!N$1441/100</f>
        <v>529</v>
      </c>
      <c r="O1441" s="142">
        <f>B1441*IBGE_2!O$1441/100</f>
        <v>33</v>
      </c>
      <c r="P1441" s="142">
        <f>B1441*IBGE_2!P$1441/100</f>
        <v>0.01</v>
      </c>
      <c r="Q1441" s="142">
        <f>B1441*IBGE_2!Q$1441/100</f>
        <v>829</v>
      </c>
      <c r="R1441" s="142">
        <f>B1441*IBGE_2!R$1441/100</f>
        <v>0.2</v>
      </c>
      <c r="S1441" s="142">
        <f>B1441*IBGE_2!S$1441/100</f>
        <v>1587</v>
      </c>
      <c r="T1441" s="142">
        <f>B1441*IBGE_2!T$1441/100</f>
        <v>330</v>
      </c>
      <c r="U1441" s="142">
        <f>B1441*IBGE_2!U$1441/100</f>
        <v>0.03</v>
      </c>
      <c r="V1441" s="142">
        <f>B1441*IBGE_2!V$1441/100</f>
        <v>2.36</v>
      </c>
      <c r="W1441" s="142">
        <f>B1441*IBGE_2!W$1441/100</f>
        <v>247</v>
      </c>
      <c r="X1441" s="142">
        <f>B1441*IBGE_2!X$1441/100</f>
        <v>7.0000000000000007E-2</v>
      </c>
      <c r="Y1441" s="142">
        <f>B1441*IBGE_2!Y$1441/100</f>
        <v>0.48</v>
      </c>
      <c r="Z1441" s="142">
        <f>B1441*IBGE_2!Z$1441/100</f>
        <v>0.08</v>
      </c>
      <c r="AA1441" s="142">
        <f>B1441*IBGE_2!AA$1441/100</f>
        <v>0.18</v>
      </c>
      <c r="AB1441" s="142" t="s">
        <v>3047</v>
      </c>
      <c r="AC1441" s="142">
        <f>B1441*IBGE_2!AC$1441/100</f>
        <v>4.43</v>
      </c>
      <c r="AD1441" s="142">
        <f>B1441*IBGE_2!AD$1441/100</f>
        <v>1.1100000000000001</v>
      </c>
      <c r="AE1441" s="142">
        <f>B1441*IBGE_2!AE$1441/100</f>
        <v>18</v>
      </c>
      <c r="AF1441" s="142">
        <f>B1441*IBGE_2!AF$1441/100</f>
        <v>0.11</v>
      </c>
      <c r="AG1441" s="142">
        <f>B1441*IBGE_2!AG$1441/100</f>
        <v>0.27</v>
      </c>
      <c r="AH1441" s="142">
        <f>B1441*IBGE_2!AH$1441/100</f>
        <v>0.78</v>
      </c>
      <c r="AI1441" s="142" t="s">
        <v>3047</v>
      </c>
      <c r="AJ1441" s="142">
        <f>B1441*IBGE_2!AJ$1441/100</f>
        <v>12.4</v>
      </c>
      <c r="AK1441" s="142">
        <f>B1441*IBGE_2!AK$1441/100</f>
        <v>253.83</v>
      </c>
      <c r="AL1441" s="142">
        <f>B1441*IBGE_2!AL$1441/100</f>
        <v>10.6</v>
      </c>
      <c r="AM1441" s="142" t="s">
        <v>3047</v>
      </c>
      <c r="AN1441" s="161"/>
    </row>
    <row r="1442" spans="1:40">
      <c r="A1442" s="143" t="s">
        <v>2502</v>
      </c>
      <c r="B1442" s="141">
        <v>100</v>
      </c>
      <c r="C1442" s="142">
        <f>B1442*IBGE_2!C$1442/100</f>
        <v>174</v>
      </c>
      <c r="D1442" s="142">
        <f>B1442*IBGE_2!D$1442/100</f>
        <v>11.26</v>
      </c>
      <c r="E1442" s="142">
        <f>B1442*IBGE_2!E$1442/100</f>
        <v>12.98</v>
      </c>
      <c r="F1442" s="142">
        <f>B1442*IBGE_2!F$1442/100</f>
        <v>8.3000000000000007</v>
      </c>
      <c r="G1442" s="142">
        <f>B1442*IBGE_2!G$1442/100</f>
        <v>3.63</v>
      </c>
      <c r="H1442" s="142">
        <f>B1442*IBGE_2!H$1442/100</f>
        <v>0.39</v>
      </c>
      <c r="I1442" s="142">
        <f>B1442*IBGE_2!I$1442/100</f>
        <v>0.27</v>
      </c>
      <c r="J1442" s="142">
        <f>B1442*IBGE_2!J$1442/100</f>
        <v>0.11</v>
      </c>
      <c r="K1442" s="142">
        <f>B1442*IBGE_2!K$1442/100</f>
        <v>51</v>
      </c>
      <c r="L1442" s="142">
        <f>B1442*IBGE_2!L$1442/100</f>
        <v>3.04</v>
      </c>
      <c r="M1442" s="142" t="s">
        <v>3047</v>
      </c>
      <c r="N1442" s="142">
        <f>B1442*IBGE_2!N$1442/100</f>
        <v>207</v>
      </c>
      <c r="O1442" s="142">
        <f>B1442*IBGE_2!O$1442/100</f>
        <v>11</v>
      </c>
      <c r="P1442" s="142">
        <f>B1442*IBGE_2!P$1442/100</f>
        <v>0.01</v>
      </c>
      <c r="Q1442" s="142">
        <f>B1442*IBGE_2!Q$1442/100</f>
        <v>158</v>
      </c>
      <c r="R1442" s="142">
        <f>B1442*IBGE_2!R$1442/100</f>
        <v>0.38</v>
      </c>
      <c r="S1442" s="142">
        <f>B1442*IBGE_2!S$1442/100</f>
        <v>84</v>
      </c>
      <c r="T1442" s="142">
        <f>B1442*IBGE_2!T$1442/100</f>
        <v>105</v>
      </c>
      <c r="U1442" s="142">
        <f>B1442*IBGE_2!U$1442/100</f>
        <v>0.02</v>
      </c>
      <c r="V1442" s="142">
        <f>B1442*IBGE_2!V$1442/100</f>
        <v>1.1599999999999999</v>
      </c>
      <c r="W1442" s="142">
        <f>B1442*IBGE_2!W$1442/100</f>
        <v>117</v>
      </c>
      <c r="X1442" s="142">
        <f>B1442*IBGE_2!X$1442/100</f>
        <v>0.01</v>
      </c>
      <c r="Y1442" s="142">
        <f>B1442*IBGE_2!Y$1442/100</f>
        <v>0.2</v>
      </c>
      <c r="Z1442" s="142">
        <f>B1442*IBGE_2!Z$1442/100</f>
        <v>0.04</v>
      </c>
      <c r="AA1442" s="142">
        <f>B1442*IBGE_2!AA$1442/100</f>
        <v>0.1</v>
      </c>
      <c r="AB1442" s="142" t="s">
        <v>3047</v>
      </c>
      <c r="AC1442" s="142">
        <f>B1442*IBGE_2!AC$1442/100</f>
        <v>2.19</v>
      </c>
      <c r="AD1442" s="142">
        <f>B1442*IBGE_2!AD$1442/100</f>
        <v>0.34</v>
      </c>
      <c r="AE1442" s="142">
        <f>B1442*IBGE_2!AE$1442/100</f>
        <v>12</v>
      </c>
      <c r="AF1442" s="142">
        <f>B1442*IBGE_2!AF$1442/100</f>
        <v>0.11</v>
      </c>
      <c r="AG1442" s="142">
        <f>B1442*IBGE_2!AG$1442/100</f>
        <v>0.11</v>
      </c>
      <c r="AH1442" s="142">
        <f>B1442*IBGE_2!AH$1442/100</f>
        <v>0.39</v>
      </c>
      <c r="AI1442" s="142" t="s">
        <v>3047</v>
      </c>
      <c r="AJ1442" s="142">
        <f>B1442*IBGE_2!AJ$1442/100</f>
        <v>14.5</v>
      </c>
      <c r="AK1442" s="142">
        <f>B1442*IBGE_2!AK$1442/100</f>
        <v>119.75</v>
      </c>
      <c r="AL1442" s="142">
        <f>B1442*IBGE_2!AL$1442/100</f>
        <v>2.08</v>
      </c>
      <c r="AM1442" s="142" t="s">
        <v>3047</v>
      </c>
      <c r="AN1442" s="161"/>
    </row>
    <row r="1443" spans="1:40">
      <c r="A1443" s="143" t="s">
        <v>2503</v>
      </c>
      <c r="B1443" s="141">
        <v>100</v>
      </c>
      <c r="C1443" s="142">
        <f>B1443*IBGE_2!C$1443/100</f>
        <v>64.051000000000002</v>
      </c>
      <c r="D1443" s="142">
        <f>B1443*IBGE_2!D$1443/100</f>
        <v>3.6829999999999994</v>
      </c>
      <c r="E1443" s="142">
        <f>B1443*IBGE_2!E$1443/100</f>
        <v>1.6459999999999999</v>
      </c>
      <c r="F1443" s="142">
        <f>B1443*IBGE_2!F$1443/100</f>
        <v>0.23799999999999996</v>
      </c>
      <c r="G1443" s="142">
        <f>B1443*IBGE_2!G$1443/100</f>
        <v>0.36399999999999999</v>
      </c>
      <c r="H1443" s="142">
        <f>B1443*IBGE_2!H$1443/100</f>
        <v>0.92900000000000005</v>
      </c>
      <c r="I1443" s="142">
        <f>B1443*IBGE_2!I$1443/100</f>
        <v>0.81899999999999995</v>
      </c>
      <c r="J1443" s="142">
        <f>B1443*IBGE_2!J$1443/100</f>
        <v>0.11</v>
      </c>
      <c r="K1443" s="142" t="s">
        <v>3047</v>
      </c>
      <c r="L1443" s="142">
        <f>B1443*IBGE_2!L$1443/100</f>
        <v>9.0649999999999995</v>
      </c>
      <c r="M1443" s="142">
        <f>B1443*IBGE_2!M$1443/100</f>
        <v>1.101</v>
      </c>
      <c r="N1443" s="142">
        <f>B1443*IBGE_2!N$1443/100</f>
        <v>26.346</v>
      </c>
      <c r="O1443" s="142">
        <f>B1443*IBGE_2!O$1443/100</f>
        <v>23.425999999999998</v>
      </c>
      <c r="P1443" s="142">
        <f>B1443*IBGE_2!P$1443/100</f>
        <v>0.16200000000000001</v>
      </c>
      <c r="Q1443" s="142">
        <f>B1443*IBGE_2!Q$1443/100</f>
        <v>68.933999999999997</v>
      </c>
      <c r="R1443" s="142">
        <f>B1443*IBGE_2!R$1443/100</f>
        <v>1.0409999999999999</v>
      </c>
      <c r="S1443" s="142">
        <f>B1443*IBGE_2!S$1443/100</f>
        <v>57.598999999999997</v>
      </c>
      <c r="T1443" s="142">
        <f>B1443*IBGE_2!T$1443/100</f>
        <v>127.02600000000001</v>
      </c>
      <c r="U1443" s="142">
        <f>B1443*IBGE_2!U$1443/100</f>
        <v>9.5000000000000001E-2</v>
      </c>
      <c r="V1443" s="142">
        <f>B1443*IBGE_2!V$1443/100</f>
        <v>0.22500000000000001</v>
      </c>
      <c r="W1443" s="142" t="s">
        <v>3047</v>
      </c>
      <c r="X1443" s="142">
        <f>B1443*IBGE_2!X$1443/100</f>
        <v>0.03</v>
      </c>
      <c r="Y1443" s="142">
        <f>B1443*IBGE_2!Y$1443/100</f>
        <v>9.1999999999999998E-2</v>
      </c>
      <c r="Z1443" s="142">
        <f>B1443*IBGE_2!Z$1443/100</f>
        <v>9.4E-2</v>
      </c>
      <c r="AA1443" s="142">
        <f>B1443*IBGE_2!AA$1443/100</f>
        <v>0.89800000000000002</v>
      </c>
      <c r="AB1443" s="142">
        <f>B1443*IBGE_2!AB$1443/100</f>
        <v>0.312</v>
      </c>
      <c r="AC1443" s="142">
        <f>B1443*IBGE_2!AC$1443/100</f>
        <v>1.7649999999999999</v>
      </c>
      <c r="AD1443" s="145" t="s">
        <v>3047</v>
      </c>
      <c r="AE1443" s="142">
        <f>B1443*IBGE_2!AE$1443/100</f>
        <v>11.128999999999998</v>
      </c>
      <c r="AF1443" s="145" t="s">
        <v>3047</v>
      </c>
      <c r="AG1443" s="142">
        <f>B1443*IBGE_2!AG$1443/100</f>
        <v>6.4000000000000001E-2</v>
      </c>
      <c r="AH1443" s="145" t="s">
        <v>3047</v>
      </c>
      <c r="AI1443" s="142" t="s">
        <v>3047</v>
      </c>
      <c r="AJ1443" s="142">
        <f>B1443*IBGE_2!AJ$1443/100</f>
        <v>2.589</v>
      </c>
      <c r="AK1443" s="142">
        <f>B1443*IBGE_2!AK$1443/100</f>
        <v>7.5999999999999998E-2</v>
      </c>
      <c r="AL1443" s="142">
        <f>B1443*IBGE_2!AL$1443/100</f>
        <v>3.7909999999999995</v>
      </c>
      <c r="AM1443" s="142">
        <f>B1443*IBGE_2!AM$1443/100</f>
        <v>7.2430000000000003</v>
      </c>
      <c r="AN1443" s="161"/>
    </row>
    <row r="1444" spans="1:40">
      <c r="A1444" s="143" t="s">
        <v>2504</v>
      </c>
      <c r="B1444" s="141">
        <v>100</v>
      </c>
      <c r="C1444" s="142">
        <f>B1444*IBGE_2!C$1444/100</f>
        <v>54</v>
      </c>
      <c r="D1444" s="142">
        <f>B1444*IBGE_2!D$1444/100</f>
        <v>3.27</v>
      </c>
      <c r="E1444" s="142">
        <f>B1444*IBGE_2!E$1444/100</f>
        <v>1.75</v>
      </c>
      <c r="F1444" s="142">
        <f>B1444*IBGE_2!F$1444/100</f>
        <v>0.20499999999999999</v>
      </c>
      <c r="G1444" s="142">
        <f>B1444*IBGE_2!G$1444/100</f>
        <v>0.40100000000000002</v>
      </c>
      <c r="H1444" s="142">
        <f>B1444*IBGE_2!H$1444/100</f>
        <v>0.96099999999999997</v>
      </c>
      <c r="I1444" s="142">
        <f>B1444*IBGE_2!I$1444/100</f>
        <v>0.58399999999999996</v>
      </c>
      <c r="J1444" s="142">
        <f>B1444*IBGE_2!J$1444/100</f>
        <v>7.4999999999999997E-2</v>
      </c>
      <c r="K1444" s="142" t="s">
        <v>3047</v>
      </c>
      <c r="L1444" s="142">
        <f>B1444*IBGE_2!L$1444/100</f>
        <v>6.28</v>
      </c>
      <c r="M1444" s="142">
        <f>B1444*IBGE_2!M$1444/100</f>
        <v>0.6</v>
      </c>
      <c r="N1444" s="142">
        <f>B1444*IBGE_2!N$1444/100</f>
        <v>25</v>
      </c>
      <c r="O1444" s="142">
        <f>B1444*IBGE_2!O$1444/100</f>
        <v>25</v>
      </c>
      <c r="P1444" s="142">
        <f>B1444*IBGE_2!P$1444/100</f>
        <v>0.223</v>
      </c>
      <c r="Q1444" s="142">
        <f>B1444*IBGE_2!Q$1444/100</f>
        <v>52</v>
      </c>
      <c r="R1444" s="142">
        <f>B1444*IBGE_2!R$1444/100</f>
        <v>0.64</v>
      </c>
      <c r="S1444" s="142">
        <f>B1444*IBGE_2!S$1444/100</f>
        <v>51</v>
      </c>
      <c r="T1444" s="142">
        <f>B1444*IBGE_2!T$1444/100</f>
        <v>118</v>
      </c>
      <c r="U1444" s="142">
        <f>B1444*IBGE_2!U$1444/100</f>
        <v>0.128</v>
      </c>
      <c r="V1444" s="142">
        <f>B1444*IBGE_2!V$1444/100</f>
        <v>0.12</v>
      </c>
      <c r="W1444" s="142" t="s">
        <v>3047</v>
      </c>
      <c r="X1444" s="142">
        <f>B1444*IBGE_2!X$1444/100</f>
        <v>0.06</v>
      </c>
      <c r="Y1444" s="142">
        <f>B1444*IBGE_2!Y$1444/100</f>
        <v>6.9000000000000006E-2</v>
      </c>
      <c r="Z1444" s="142">
        <f>B1444*IBGE_2!Z$1444/100</f>
        <v>7.6999999999999999E-2</v>
      </c>
      <c r="AA1444" s="142">
        <f>B1444*IBGE_2!AA$1444/100</f>
        <v>0.51300000000000001</v>
      </c>
      <c r="AB1444" s="142" t="s">
        <v>3047</v>
      </c>
      <c r="AC1444" s="142">
        <f>B1444*IBGE_2!AC$1444/100</f>
        <v>1.1459999999999999</v>
      </c>
      <c r="AD1444" s="145" t="s">
        <v>3047</v>
      </c>
      <c r="AE1444" s="142">
        <f>B1444*IBGE_2!AE$1444/100</f>
        <v>18</v>
      </c>
      <c r="AF1444" s="145" t="s">
        <v>3047</v>
      </c>
      <c r="AG1444" s="142">
        <f>B1444*IBGE_2!AG$1444/100</f>
        <v>0.11</v>
      </c>
      <c r="AH1444" s="145" t="s">
        <v>3047</v>
      </c>
      <c r="AI1444" s="142" t="s">
        <v>3047</v>
      </c>
      <c r="AJ1444" s="142">
        <f>B1444*IBGE_2!AJ$1444/100</f>
        <v>4.8</v>
      </c>
      <c r="AK1444" s="142">
        <f>B1444*IBGE_2!AK$1444/100</f>
        <v>0.16699999999999998</v>
      </c>
      <c r="AL1444" s="142">
        <f>B1444*IBGE_2!AL$1444/100</f>
        <v>3.1960000000000002</v>
      </c>
      <c r="AM1444" s="142">
        <f>B1444*IBGE_2!AM$1444/100</f>
        <v>4.0910000000000002</v>
      </c>
      <c r="AN1444" s="161"/>
    </row>
    <row r="1445" spans="1:40">
      <c r="A1445" s="143" t="s">
        <v>2505</v>
      </c>
      <c r="B1445" s="141">
        <v>100</v>
      </c>
      <c r="C1445" s="142">
        <f>B1445*IBGE_2!C$1445/100</f>
        <v>431</v>
      </c>
      <c r="D1445" s="142">
        <f>B1445*IBGE_2!D$1445/100</f>
        <v>38.46</v>
      </c>
      <c r="E1445" s="142">
        <f>B1445*IBGE_2!E$1445/100</f>
        <v>28.61</v>
      </c>
      <c r="F1445" s="142">
        <f>B1445*IBGE_2!F$1445/100</f>
        <v>17.3</v>
      </c>
      <c r="G1445" s="142">
        <f>B1445*IBGE_2!G$1445/100</f>
        <v>8.3800000000000008</v>
      </c>
      <c r="H1445" s="142">
        <f>B1445*IBGE_2!H$1445/100</f>
        <v>1.17</v>
      </c>
      <c r="I1445" s="142">
        <f>B1445*IBGE_2!I$1445/100</f>
        <v>0.94</v>
      </c>
      <c r="J1445" s="142">
        <f>B1445*IBGE_2!J$1445/100</f>
        <v>0.19</v>
      </c>
      <c r="K1445" s="142">
        <f>B1445*IBGE_2!K$1445/100</f>
        <v>88</v>
      </c>
      <c r="L1445" s="142">
        <f>B1445*IBGE_2!L$1445/100</f>
        <v>4.0599999999999996</v>
      </c>
      <c r="M1445" s="142" t="s">
        <v>3047</v>
      </c>
      <c r="N1445" s="142">
        <f>B1445*IBGE_2!N$1445/100</f>
        <v>1109</v>
      </c>
      <c r="O1445" s="142">
        <f>B1445*IBGE_2!O$1445/100</f>
        <v>38</v>
      </c>
      <c r="P1445" s="142">
        <f>B1445*IBGE_2!P$1445/100</f>
        <v>0.09</v>
      </c>
      <c r="Q1445" s="142">
        <f>B1445*IBGE_2!Q$1445/100</f>
        <v>729</v>
      </c>
      <c r="R1445" s="142">
        <f>B1445*IBGE_2!R$1445/100</f>
        <v>0.9</v>
      </c>
      <c r="S1445" s="142">
        <f>B1445*IBGE_2!S$1445/100</f>
        <v>1529</v>
      </c>
      <c r="T1445" s="142">
        <f>B1445*IBGE_2!T$1445/100</f>
        <v>125</v>
      </c>
      <c r="U1445" s="142">
        <f>B1445*IBGE_2!U$1445/100</f>
        <v>0.24</v>
      </c>
      <c r="V1445" s="142">
        <f>B1445*IBGE_2!V$1445/100</f>
        <v>3.87</v>
      </c>
      <c r="W1445" s="142">
        <f>B1445*IBGE_2!W$1445/100</f>
        <v>117</v>
      </c>
      <c r="X1445" s="142">
        <f>B1445*IBGE_2!X$1445/100</f>
        <v>0.03</v>
      </c>
      <c r="Y1445" s="142">
        <f>B1445*IBGE_2!Y$1445/100</f>
        <v>0.49</v>
      </c>
      <c r="Z1445" s="142">
        <f>B1445*IBGE_2!Z$1445/100</f>
        <v>0.05</v>
      </c>
      <c r="AA1445" s="142">
        <f>B1445*IBGE_2!AA$1445/100</f>
        <v>0.11</v>
      </c>
      <c r="AB1445" s="142" t="s">
        <v>3047</v>
      </c>
      <c r="AC1445" s="142">
        <f>B1445*IBGE_2!AC$1445/100</f>
        <v>8.75</v>
      </c>
      <c r="AD1445" s="142">
        <f>B1445*IBGE_2!AD$1445/100</f>
        <v>2.2599999999999998</v>
      </c>
      <c r="AE1445" s="142">
        <f>B1445*IBGE_2!AE$1445/100</f>
        <v>10</v>
      </c>
      <c r="AF1445" s="142">
        <f>B1445*IBGE_2!AF$1445/100</f>
        <v>0.81</v>
      </c>
      <c r="AG1445" s="142">
        <f>B1445*IBGE_2!AG$1445/100</f>
        <v>0.26</v>
      </c>
      <c r="AH1445" s="142">
        <f>B1445*IBGE_2!AH$1445/100</f>
        <v>0.72</v>
      </c>
      <c r="AI1445" s="142" t="s">
        <v>3047</v>
      </c>
      <c r="AJ1445" s="142">
        <f>B1445*IBGE_2!AJ$1445/100</f>
        <v>17.7</v>
      </c>
      <c r="AK1445" s="142">
        <f>B1445*IBGE_2!AK$1445/100</f>
        <v>119.58</v>
      </c>
      <c r="AL1445" s="142">
        <f>B1445*IBGE_2!AL$1445/100</f>
        <v>0.9</v>
      </c>
      <c r="AM1445" s="145" t="s">
        <v>3047</v>
      </c>
      <c r="AN1445" s="161"/>
    </row>
    <row r="1446" spans="1:40">
      <c r="A1446" s="143" t="s">
        <v>2506</v>
      </c>
      <c r="B1446" s="141">
        <v>100</v>
      </c>
      <c r="C1446" s="142">
        <f>B1446*IBGE_2!C$1446/100</f>
        <v>351</v>
      </c>
      <c r="D1446" s="142">
        <f>B1446*IBGE_2!D$1446/100</f>
        <v>25.58</v>
      </c>
      <c r="E1446" s="142">
        <f>B1446*IBGE_2!E$1446/100</f>
        <v>26.62</v>
      </c>
      <c r="F1446" s="142">
        <f>B1446*IBGE_2!F$1446/100</f>
        <v>17.077999999999999</v>
      </c>
      <c r="G1446" s="142">
        <f>B1446*IBGE_2!G$1446/100</f>
        <v>7.3929999999999998</v>
      </c>
      <c r="H1446" s="142">
        <f>B1446*IBGE_2!H$1446/100</f>
        <v>0.76900000000000002</v>
      </c>
      <c r="I1446" s="142">
        <f>B1446*IBGE_2!I$1446/100</f>
        <v>0.49399999999999999</v>
      </c>
      <c r="J1446" s="142">
        <f>B1446*IBGE_2!J$1446/100</f>
        <v>0.27500000000000002</v>
      </c>
      <c r="K1446" s="142">
        <f>B1446*IBGE_2!K$1446/100</f>
        <v>69</v>
      </c>
      <c r="L1446" s="142">
        <f>B1446*IBGE_2!L$1446/100</f>
        <v>2.14</v>
      </c>
      <c r="M1446" s="142" t="s">
        <v>3047</v>
      </c>
      <c r="N1446" s="142">
        <f>B1446*IBGE_2!N$1446/100</f>
        <v>756</v>
      </c>
      <c r="O1446" s="142">
        <f>B1446*IBGE_2!O$1446/100</f>
        <v>28</v>
      </c>
      <c r="P1446" s="142">
        <f>B1446*IBGE_2!P$1446/100</f>
        <v>0.01</v>
      </c>
      <c r="Q1446" s="142">
        <f>B1446*IBGE_2!Q$1446/100</f>
        <v>496</v>
      </c>
      <c r="R1446" s="142">
        <f>B1446*IBGE_2!R$1446/100</f>
        <v>0.52</v>
      </c>
      <c r="S1446" s="142">
        <f>B1446*IBGE_2!S$1446/100</f>
        <v>876</v>
      </c>
      <c r="T1446" s="142">
        <f>B1446*IBGE_2!T$1446/100</f>
        <v>138</v>
      </c>
      <c r="U1446" s="142">
        <f>B1446*IBGE_2!U$1446/100</f>
        <v>2.6000000000000002E-2</v>
      </c>
      <c r="V1446" s="142">
        <f>B1446*IBGE_2!V$1446/100</f>
        <v>3.23</v>
      </c>
      <c r="W1446" s="142">
        <f>B1446*IBGE_2!W$1446/100</f>
        <v>230</v>
      </c>
      <c r="X1446" s="142">
        <f>B1446*IBGE_2!X$1446/100</f>
        <v>1.9E-2</v>
      </c>
      <c r="Y1446" s="142">
        <f>B1446*IBGE_2!Y$1446/100</f>
        <v>0.32100000000000001</v>
      </c>
      <c r="Z1446" s="142">
        <f>B1446*IBGE_2!Z$1446/100</f>
        <v>7.2999999999999995E-2</v>
      </c>
      <c r="AA1446" s="142">
        <f>B1446*IBGE_2!AA$1446/100</f>
        <v>0.156</v>
      </c>
      <c r="AB1446" s="142" t="s">
        <v>3047</v>
      </c>
      <c r="AC1446" s="142">
        <f>B1446*IBGE_2!AC$1446/100</f>
        <v>5.9060000000000006</v>
      </c>
      <c r="AD1446" s="142">
        <f>B1446*IBGE_2!AD$1446/100</f>
        <v>1.46</v>
      </c>
      <c r="AE1446" s="142">
        <f>B1446*IBGE_2!AE$1446/100</f>
        <v>10</v>
      </c>
      <c r="AF1446" s="142">
        <f>B1446*IBGE_2!AF$1446/100</f>
        <v>0.9</v>
      </c>
      <c r="AG1446" s="142">
        <f>B1446*IBGE_2!AG$1446/100</f>
        <v>0.23</v>
      </c>
      <c r="AH1446" s="142">
        <f>B1446*IBGE_2!AH$1446/100</f>
        <v>0.63700000000000001</v>
      </c>
      <c r="AI1446" s="142" t="s">
        <v>3047</v>
      </c>
      <c r="AJ1446" s="142">
        <f>B1446*IBGE_2!AJ$1446/100</f>
        <v>14.5</v>
      </c>
      <c r="AK1446" s="142">
        <f>B1446*IBGE_2!AK$1446/100</f>
        <v>235.667</v>
      </c>
      <c r="AL1446" s="142">
        <f>B1446*IBGE_2!AL$1446/100</f>
        <v>2.14</v>
      </c>
      <c r="AM1446" s="145" t="s">
        <v>3047</v>
      </c>
      <c r="AN1446" s="161"/>
    </row>
    <row r="1447" spans="1:40">
      <c r="A1447" s="143" t="s">
        <v>2507</v>
      </c>
      <c r="B1447" s="141">
        <v>100</v>
      </c>
      <c r="C1447" s="142">
        <f>B1447*IBGE_2!C$1447/100</f>
        <v>349</v>
      </c>
      <c r="D1447" s="142">
        <f>B1447*IBGE_2!D$1447/100</f>
        <v>7.55</v>
      </c>
      <c r="E1447" s="142">
        <f>B1447*IBGE_2!E$1447/100</f>
        <v>34.869999999999997</v>
      </c>
      <c r="F1447" s="142">
        <f>B1447*IBGE_2!F$1447/100</f>
        <v>21.965999999999998</v>
      </c>
      <c r="G1447" s="142">
        <f>B1447*IBGE_2!G$1447/100</f>
        <v>9.8379999999999992</v>
      </c>
      <c r="H1447" s="142">
        <f>B1447*IBGE_2!H$1447/100</f>
        <v>1.2649999999999999</v>
      </c>
      <c r="I1447" s="142">
        <f>B1447*IBGE_2!I$1447/100</f>
        <v>0.77400000000000002</v>
      </c>
      <c r="J1447" s="142">
        <f>B1447*IBGE_2!J$1447/100</f>
        <v>0.49099999999999999</v>
      </c>
      <c r="K1447" s="142">
        <f>B1447*IBGE_2!K$1447/100</f>
        <v>110</v>
      </c>
      <c r="L1447" s="142">
        <f>B1447*IBGE_2!L$1447/100</f>
        <v>2.66</v>
      </c>
      <c r="M1447" s="142" t="s">
        <v>3047</v>
      </c>
      <c r="N1447" s="142">
        <f>B1447*IBGE_2!N$1447/100</f>
        <v>80</v>
      </c>
      <c r="O1447" s="142">
        <f>B1447*IBGE_2!O$1447/100</f>
        <v>6</v>
      </c>
      <c r="P1447" s="142">
        <f>B1447*IBGE_2!P$1447/100</f>
        <v>4.0000000000000001E-3</v>
      </c>
      <c r="Q1447" s="142">
        <f>B1447*IBGE_2!Q$1447/100</f>
        <v>104</v>
      </c>
      <c r="R1447" s="142">
        <f>B1447*IBGE_2!R$1447/100</f>
        <v>1.2</v>
      </c>
      <c r="S1447" s="142">
        <f>B1447*IBGE_2!S$1447/100</f>
        <v>296</v>
      </c>
      <c r="T1447" s="142">
        <f>B1447*IBGE_2!T$1447/100</f>
        <v>119</v>
      </c>
      <c r="U1447" s="142">
        <f>B1447*IBGE_2!U$1447/100</f>
        <v>1.6E-2</v>
      </c>
      <c r="V1447" s="142">
        <f>B1447*IBGE_2!V$1447/100</f>
        <v>0.54</v>
      </c>
      <c r="W1447" s="142">
        <f>B1447*IBGE_2!W$1447/100</f>
        <v>359</v>
      </c>
      <c r="X1447" s="142">
        <f>B1447*IBGE_2!X$1447/100</f>
        <v>1.7000000000000001E-2</v>
      </c>
      <c r="Y1447" s="142">
        <f>B1447*IBGE_2!Y$1447/100</f>
        <v>0.19699999999999998</v>
      </c>
      <c r="Z1447" s="142">
        <f>B1447*IBGE_2!Z$1447/100</f>
        <v>4.7E-2</v>
      </c>
      <c r="AA1447" s="142">
        <f>B1447*IBGE_2!AA$1447/100</f>
        <v>0.10100000000000002</v>
      </c>
      <c r="AB1447" s="142" t="s">
        <v>3047</v>
      </c>
      <c r="AC1447" s="142">
        <f>B1447*IBGE_2!AC$1447/100</f>
        <v>1.218</v>
      </c>
      <c r="AD1447" s="142">
        <f>B1447*IBGE_2!AD$1447/100</f>
        <v>0.42</v>
      </c>
      <c r="AE1447" s="142">
        <f>B1447*IBGE_2!AE$1447/100</f>
        <v>13</v>
      </c>
      <c r="AF1447" s="142">
        <f>B1447*IBGE_2!AF$1447/100</f>
        <v>0.27</v>
      </c>
      <c r="AG1447" s="142">
        <f>B1447*IBGE_2!AG$1447/100</f>
        <v>0.3</v>
      </c>
      <c r="AH1447" s="142">
        <f>B1447*IBGE_2!AH$1447/100</f>
        <v>1.04</v>
      </c>
      <c r="AI1447" s="142" t="s">
        <v>3047</v>
      </c>
      <c r="AJ1447" s="142">
        <f>B1447*IBGE_2!AJ$1447/100</f>
        <v>2.4</v>
      </c>
      <c r="AK1447" s="142">
        <f>B1447*IBGE_2!AK$1447/100</f>
        <v>366.41699999999997</v>
      </c>
      <c r="AL1447" s="142">
        <f>B1447*IBGE_2!AL$1447/100</f>
        <v>1.7</v>
      </c>
      <c r="AM1447" s="145" t="s">
        <v>3047</v>
      </c>
      <c r="AN1447" s="161"/>
    </row>
    <row r="1448" spans="1:40">
      <c r="A1448" s="143" t="s">
        <v>2508</v>
      </c>
      <c r="B1448" s="141">
        <v>100</v>
      </c>
      <c r="C1448" s="142">
        <f>B1448*IBGE_2!C$1448/100</f>
        <v>231</v>
      </c>
      <c r="D1448" s="142">
        <f>B1448*IBGE_2!D$1448/100</f>
        <v>10.6</v>
      </c>
      <c r="E1448" s="142">
        <f>B1448*IBGE_2!E$1448/100</f>
        <v>17.600000000000001</v>
      </c>
      <c r="F1448" s="142">
        <f>B1448*IBGE_2!F$1448/100</f>
        <v>11.09</v>
      </c>
      <c r="G1448" s="142">
        <f>B1448*IBGE_2!G$1448/100</f>
        <v>4.97</v>
      </c>
      <c r="H1448" s="142">
        <f>B1448*IBGE_2!H$1448/100</f>
        <v>0.64</v>
      </c>
      <c r="I1448" s="142">
        <f>B1448*IBGE_2!I$1448/100</f>
        <v>0.39</v>
      </c>
      <c r="J1448" s="142">
        <f>B1448*IBGE_2!J$1448/100</f>
        <v>0.25</v>
      </c>
      <c r="K1448" s="142">
        <f>B1448*IBGE_2!K$1448/100</f>
        <v>56</v>
      </c>
      <c r="L1448" s="142">
        <f>B1448*IBGE_2!L$1448/100</f>
        <v>7</v>
      </c>
      <c r="M1448" s="142" t="s">
        <v>3047</v>
      </c>
      <c r="N1448" s="142">
        <f>B1448*IBGE_2!N$1448/100</f>
        <v>112</v>
      </c>
      <c r="O1448" s="142">
        <f>B1448*IBGE_2!O$1448/100</f>
        <v>8</v>
      </c>
      <c r="P1448" s="142">
        <f>B1448*IBGE_2!P$1448/100</f>
        <v>0.01</v>
      </c>
      <c r="Q1448" s="142">
        <f>B1448*IBGE_2!Q$1448/100</f>
        <v>146</v>
      </c>
      <c r="R1448" s="142">
        <f>B1448*IBGE_2!R$1448/100</f>
        <v>1.68</v>
      </c>
      <c r="S1448" s="142">
        <f>B1448*IBGE_2!S$1448/100</f>
        <v>296</v>
      </c>
      <c r="T1448" s="142">
        <f>B1448*IBGE_2!T$1448/100</f>
        <v>167</v>
      </c>
      <c r="U1448" s="142">
        <f>B1448*IBGE_2!U$1448/100</f>
        <v>0.02</v>
      </c>
      <c r="V1448" s="142">
        <f>B1448*IBGE_2!V$1448/100</f>
        <v>0.76</v>
      </c>
      <c r="W1448" s="142">
        <f>B1448*IBGE_2!W$1448/100</f>
        <v>352</v>
      </c>
      <c r="X1448" s="142">
        <f>B1448*IBGE_2!X$1448/100</f>
        <v>0.02</v>
      </c>
      <c r="Y1448" s="142">
        <f>B1448*IBGE_2!Y$1448/100</f>
        <v>0.28000000000000003</v>
      </c>
      <c r="Z1448" s="142">
        <f>B1448*IBGE_2!Z$1448/100</f>
        <v>7.0000000000000007E-2</v>
      </c>
      <c r="AA1448" s="142">
        <f>B1448*IBGE_2!AA$1448/100</f>
        <v>0.14000000000000001</v>
      </c>
      <c r="AB1448" s="142" t="s">
        <v>3047</v>
      </c>
      <c r="AC1448" s="142">
        <f>B1448*IBGE_2!AC$1448/100</f>
        <v>3.51</v>
      </c>
      <c r="AD1448" s="142">
        <f>B1448*IBGE_2!AD$1448/100</f>
        <v>0.6</v>
      </c>
      <c r="AE1448" s="142">
        <f>B1448*IBGE_2!AE$1448/100</f>
        <v>18</v>
      </c>
      <c r="AF1448" s="142">
        <f>B1448*IBGE_2!AF$1448/100</f>
        <v>0.57999999999999996</v>
      </c>
      <c r="AG1448" s="142">
        <f>B1448*IBGE_2!AG$1448/100</f>
        <v>0.15</v>
      </c>
      <c r="AH1448" s="142">
        <f>B1448*IBGE_2!AH$1448/100</f>
        <v>0.5</v>
      </c>
      <c r="AI1448" s="142" t="s">
        <v>3047</v>
      </c>
      <c r="AJ1448" s="142">
        <f>B1448*IBGE_2!AJ$1448/100</f>
        <v>4</v>
      </c>
      <c r="AK1448" s="142">
        <f>B1448*IBGE_2!AK$1448/100</f>
        <v>355.75</v>
      </c>
      <c r="AL1448" s="142">
        <f>B1448*IBGE_2!AL$1448/100</f>
        <v>7</v>
      </c>
      <c r="AM1448" s="145" t="s">
        <v>3047</v>
      </c>
      <c r="AN1448" s="161"/>
    </row>
    <row r="1449" spans="1:40">
      <c r="A1449" s="143" t="s">
        <v>2509</v>
      </c>
      <c r="B1449" s="141">
        <v>100</v>
      </c>
      <c r="C1449" s="142">
        <f>B1449*IBGE_2!C$1449/100</f>
        <v>231</v>
      </c>
      <c r="D1449" s="142">
        <f>B1449*IBGE_2!D$1449/100</f>
        <v>10.6</v>
      </c>
      <c r="E1449" s="142">
        <f>B1449*IBGE_2!E$1449/100</f>
        <v>17.600000000000001</v>
      </c>
      <c r="F1449" s="142">
        <f>B1449*IBGE_2!F$1449/100</f>
        <v>11.09</v>
      </c>
      <c r="G1449" s="142">
        <f>B1449*IBGE_2!G$1449/100</f>
        <v>4.97</v>
      </c>
      <c r="H1449" s="142">
        <f>B1449*IBGE_2!H$1449/100</f>
        <v>0.64</v>
      </c>
      <c r="I1449" s="142">
        <f>B1449*IBGE_2!I$1449/100</f>
        <v>0.39</v>
      </c>
      <c r="J1449" s="142">
        <f>B1449*IBGE_2!J$1449/100</f>
        <v>0.25</v>
      </c>
      <c r="K1449" s="142">
        <f>B1449*IBGE_2!K$1449/100</f>
        <v>56</v>
      </c>
      <c r="L1449" s="142">
        <f>B1449*IBGE_2!L$1449/100</f>
        <v>7</v>
      </c>
      <c r="M1449" s="142" t="s">
        <v>3047</v>
      </c>
      <c r="N1449" s="142">
        <f>B1449*IBGE_2!N$1449/100</f>
        <v>112</v>
      </c>
      <c r="O1449" s="142">
        <f>B1449*IBGE_2!O$1449/100</f>
        <v>8</v>
      </c>
      <c r="P1449" s="142">
        <f>B1449*IBGE_2!P$1449/100</f>
        <v>0.01</v>
      </c>
      <c r="Q1449" s="142">
        <f>B1449*IBGE_2!Q$1449/100</f>
        <v>146</v>
      </c>
      <c r="R1449" s="142">
        <f>B1449*IBGE_2!R$1449/100</f>
        <v>1.68</v>
      </c>
      <c r="S1449" s="142">
        <f>B1449*IBGE_2!S$1449/100</f>
        <v>296</v>
      </c>
      <c r="T1449" s="142">
        <f>B1449*IBGE_2!T$1449/100</f>
        <v>167</v>
      </c>
      <c r="U1449" s="142">
        <f>B1449*IBGE_2!U$1449/100</f>
        <v>0.02</v>
      </c>
      <c r="V1449" s="142">
        <f>B1449*IBGE_2!V$1449/100</f>
        <v>0.76</v>
      </c>
      <c r="W1449" s="142">
        <f>B1449*IBGE_2!W$1449/100</f>
        <v>352</v>
      </c>
      <c r="X1449" s="142">
        <f>B1449*IBGE_2!X$1449/100</f>
        <v>0.02</v>
      </c>
      <c r="Y1449" s="142">
        <f>B1449*IBGE_2!Y$1449/100</f>
        <v>0.28000000000000003</v>
      </c>
      <c r="Z1449" s="142">
        <f>B1449*IBGE_2!Z$1449/100</f>
        <v>7.0000000000000007E-2</v>
      </c>
      <c r="AA1449" s="142">
        <f>B1449*IBGE_2!AA$1449/100</f>
        <v>0.14000000000000001</v>
      </c>
      <c r="AB1449" s="142" t="s">
        <v>3047</v>
      </c>
      <c r="AC1449" s="142">
        <f>B1449*IBGE_2!AC$1449/100</f>
        <v>3.51</v>
      </c>
      <c r="AD1449" s="142">
        <f>B1449*IBGE_2!AD$1449/100</f>
        <v>0.6</v>
      </c>
      <c r="AE1449" s="142">
        <f>B1449*IBGE_2!AE$1449/100</f>
        <v>18</v>
      </c>
      <c r="AF1449" s="142">
        <f>B1449*IBGE_2!AF$1449/100</f>
        <v>0.57999999999999996</v>
      </c>
      <c r="AG1449" s="142">
        <f>B1449*IBGE_2!AG$1449/100</f>
        <v>0.15</v>
      </c>
      <c r="AH1449" s="142">
        <f>B1449*IBGE_2!AH$1449/100</f>
        <v>0.5</v>
      </c>
      <c r="AI1449" s="142" t="s">
        <v>3047</v>
      </c>
      <c r="AJ1449" s="142">
        <f>B1449*IBGE_2!AJ$1449/100</f>
        <v>4</v>
      </c>
      <c r="AK1449" s="142">
        <f>B1449*IBGE_2!AK$1449/100</f>
        <v>355.75</v>
      </c>
      <c r="AL1449" s="142">
        <f>B1449*IBGE_2!AL$1449/100</f>
        <v>7</v>
      </c>
      <c r="AM1449" s="145" t="s">
        <v>3047</v>
      </c>
      <c r="AN1449" s="161"/>
    </row>
    <row r="1450" spans="1:40">
      <c r="A1450" s="143" t="s">
        <v>2510</v>
      </c>
      <c r="B1450" s="141">
        <v>100</v>
      </c>
      <c r="C1450" s="142">
        <f>B1450*IBGE_2!C$1450/100</f>
        <v>375</v>
      </c>
      <c r="D1450" s="142">
        <f>B1450*IBGE_2!D$1450/100</f>
        <v>22.15</v>
      </c>
      <c r="E1450" s="142">
        <f>B1450*IBGE_2!E$1450/100</f>
        <v>31.25</v>
      </c>
      <c r="F1450" s="142">
        <f>B1450*IBGE_2!F$1450/100</f>
        <v>19.690000000000001</v>
      </c>
      <c r="G1450" s="142">
        <f>B1450*IBGE_2!G$1450/100</f>
        <v>8.9499999999999993</v>
      </c>
      <c r="H1450" s="142">
        <f>B1450*IBGE_2!H$1450/100</f>
        <v>0.99</v>
      </c>
      <c r="I1450" s="142">
        <f>B1450*IBGE_2!I$1450/100</f>
        <v>0.61</v>
      </c>
      <c r="J1450" s="142">
        <f>B1450*IBGE_2!J$1450/100</f>
        <v>0.38</v>
      </c>
      <c r="K1450" s="142">
        <f>B1450*IBGE_2!K$1450/100</f>
        <v>94</v>
      </c>
      <c r="L1450" s="142">
        <f>B1450*IBGE_2!L$1450/100</f>
        <v>1.6</v>
      </c>
      <c r="M1450" s="142" t="s">
        <v>3047</v>
      </c>
      <c r="N1450" s="142">
        <f>B1450*IBGE_2!N$1450/100</f>
        <v>552</v>
      </c>
      <c r="O1450" s="142">
        <f>B1450*IBGE_2!O$1450/100</f>
        <v>27</v>
      </c>
      <c r="P1450" s="142">
        <f>B1450*IBGE_2!P$1450/100</f>
        <v>0.01</v>
      </c>
      <c r="Q1450" s="142">
        <f>B1450*IBGE_2!Q$1450/100</f>
        <v>513</v>
      </c>
      <c r="R1450" s="142">
        <f>B1450*IBGE_2!R$1450/100</f>
        <v>0.19</v>
      </c>
      <c r="S1450" s="142">
        <f>B1450*IBGE_2!S$1450/100</f>
        <v>1489</v>
      </c>
      <c r="T1450" s="142">
        <f>B1450*IBGE_2!T$1450/100</f>
        <v>169</v>
      </c>
      <c r="U1450" s="142">
        <f>B1450*IBGE_2!U$1450/100</f>
        <v>0.02</v>
      </c>
      <c r="V1450" s="142">
        <f>B1450*IBGE_2!V$1450/100</f>
        <v>2.84</v>
      </c>
      <c r="W1450" s="142">
        <f>B1450*IBGE_2!W$1450/100</f>
        <v>247</v>
      </c>
      <c r="X1450" s="142">
        <f>B1450*IBGE_2!X$1450/100</f>
        <v>0.03</v>
      </c>
      <c r="Y1450" s="142">
        <f>B1450*IBGE_2!Y$1450/100</f>
        <v>0.35</v>
      </c>
      <c r="Z1450" s="142">
        <f>B1450*IBGE_2!Z$1450/100</f>
        <v>7.0000000000000007E-2</v>
      </c>
      <c r="AA1450" s="142">
        <f>B1450*IBGE_2!AA$1450/100</f>
        <v>7.0000000000000007E-2</v>
      </c>
      <c r="AB1450" s="142" t="s">
        <v>3047</v>
      </c>
      <c r="AC1450" s="142">
        <f>B1450*IBGE_2!AC$1450/100</f>
        <v>5.45</v>
      </c>
      <c r="AD1450" s="142">
        <f>B1450*IBGE_2!AD$1450/100</f>
        <v>0.7</v>
      </c>
      <c r="AE1450" s="142">
        <f>B1450*IBGE_2!AE$1450/100</f>
        <v>8</v>
      </c>
      <c r="AF1450" s="142">
        <f>B1450*IBGE_2!AF$1450/100</f>
        <v>0.21</v>
      </c>
      <c r="AG1450" s="142">
        <f>B1450*IBGE_2!AG$1450/100</f>
        <v>0.27</v>
      </c>
      <c r="AH1450" s="142">
        <f>B1450*IBGE_2!AH$1450/100</f>
        <v>0.76</v>
      </c>
      <c r="AI1450" s="142" t="s">
        <v>3047</v>
      </c>
      <c r="AJ1450" s="142">
        <f>B1450*IBGE_2!AJ$1450/100</f>
        <v>14.4</v>
      </c>
      <c r="AK1450" s="142">
        <f>B1450*IBGE_2!AK$1450/100</f>
        <v>253.83</v>
      </c>
      <c r="AL1450" s="142">
        <f>B1450*IBGE_2!AL$1450/100</f>
        <v>1.29</v>
      </c>
      <c r="AM1450" s="145" t="s">
        <v>3047</v>
      </c>
      <c r="AN1450" s="161"/>
    </row>
    <row r="1451" spans="1:40">
      <c r="A1451" s="143" t="s">
        <v>2511</v>
      </c>
      <c r="B1451" s="141">
        <v>100</v>
      </c>
      <c r="C1451" s="142">
        <f>B1451*IBGE_2!C$1451/100</f>
        <v>83.322000000000003</v>
      </c>
      <c r="D1451" s="142">
        <f>B1451*IBGE_2!D$1451/100</f>
        <v>3.1819999999999999</v>
      </c>
      <c r="E1451" s="142">
        <f>B1451*IBGE_2!E$1451/100</f>
        <v>3.403</v>
      </c>
      <c r="F1451" s="142">
        <f>B1451*IBGE_2!F$1451/100</f>
        <v>2.1120000000000001</v>
      </c>
      <c r="G1451" s="142">
        <f>B1451*IBGE_2!G$1451/100</f>
        <v>0.99400000000000011</v>
      </c>
      <c r="H1451" s="142">
        <f>B1451*IBGE_2!H$1451/100</f>
        <v>0.124</v>
      </c>
      <c r="I1451" s="142">
        <f>B1451*IBGE_2!I$1451/100</f>
        <v>7.8E-2</v>
      </c>
      <c r="J1451" s="142">
        <f>B1451*IBGE_2!J$1451/100</f>
        <v>4.5999999999999999E-2</v>
      </c>
      <c r="K1451" s="142">
        <f>B1451*IBGE_2!K$1451/100</f>
        <v>12.047000000000001</v>
      </c>
      <c r="L1451" s="142">
        <f>B1451*IBGE_2!L$1451/100</f>
        <v>10.38</v>
      </c>
      <c r="M1451" s="142">
        <f>B1451*IBGE_2!M$1451/100</f>
        <v>0.80300000000000016</v>
      </c>
      <c r="N1451" s="142">
        <f>B1451*IBGE_2!N$1451/100</f>
        <v>112.435</v>
      </c>
      <c r="O1451" s="142">
        <f>B1451*IBGE_2!O$1451/100</f>
        <v>13.05</v>
      </c>
      <c r="P1451" s="142">
        <f>B1451*IBGE_2!P$1451/100</f>
        <v>7.6999999999999999E-2</v>
      </c>
      <c r="Q1451" s="142">
        <f>B1451*IBGE_2!Q$1451/100</f>
        <v>101.392</v>
      </c>
      <c r="R1451" s="142">
        <f>B1451*IBGE_2!R$1451/100</f>
        <v>0.24099999999999999</v>
      </c>
      <c r="S1451" s="142">
        <f>B1451*IBGE_2!S$1451/100</f>
        <v>60.23299999999999</v>
      </c>
      <c r="T1451" s="142">
        <f>B1451*IBGE_2!T$1451/100</f>
        <v>167.648</v>
      </c>
      <c r="U1451" s="142">
        <f>B1451*IBGE_2!U$1451/100</f>
        <v>6.5000000000000002E-2</v>
      </c>
      <c r="V1451" s="142">
        <f>B1451*IBGE_2!V$1451/100</f>
        <v>0.41199999999999998</v>
      </c>
      <c r="W1451" s="142">
        <f>B1451*IBGE_2!W$1451/100</f>
        <v>26.100999999999999</v>
      </c>
      <c r="X1451" s="142">
        <f>B1451*IBGE_2!X$1451/100</f>
        <v>3.6999999999999998E-2</v>
      </c>
      <c r="Y1451" s="142">
        <f>B1451*IBGE_2!Y$1451/100</f>
        <v>0.16300000000000001</v>
      </c>
      <c r="Z1451" s="142">
        <f>B1451*IBGE_2!Z$1451/100</f>
        <v>0.04</v>
      </c>
      <c r="AA1451" s="142">
        <f>B1451*IBGE_2!AA$1451/100</f>
        <v>0.125</v>
      </c>
      <c r="AB1451" s="142">
        <f>B1451*IBGE_2!AB$1451/100</f>
        <v>0.90300000000000002</v>
      </c>
      <c r="AC1451" s="142">
        <f>B1451*IBGE_2!AC$1451/100</f>
        <v>0.878</v>
      </c>
      <c r="AD1451" s="142">
        <f>B1451*IBGE_2!AD$1451/100</f>
        <v>0.33100000000000002</v>
      </c>
      <c r="AE1451" s="142">
        <f>B1451*IBGE_2!AE$1451/100</f>
        <v>5.0190000000000001</v>
      </c>
      <c r="AF1451" s="142">
        <f>B1451*IBGE_2!AF$1451/100</f>
        <v>1.004</v>
      </c>
      <c r="AG1451" s="142">
        <f>B1451*IBGE_2!AG$1451/100</f>
        <v>0.06</v>
      </c>
      <c r="AH1451" s="142">
        <f>B1451*IBGE_2!AH$1451/100</f>
        <v>0.121</v>
      </c>
      <c r="AI1451" s="142" t="s">
        <v>3047</v>
      </c>
      <c r="AJ1451" s="142">
        <f>B1451*IBGE_2!AJ$1451/100</f>
        <v>1.9069999999999998</v>
      </c>
      <c r="AK1451" s="142">
        <f>B1451*IBGE_2!AK$1451/100</f>
        <v>26.518999999999995</v>
      </c>
      <c r="AL1451" s="142">
        <f>B1451*IBGE_2!AL$1451/100</f>
        <v>10.135999999999999</v>
      </c>
      <c r="AM1451" s="142">
        <f>B1451*IBGE_2!AM$1451/100</f>
        <v>5.0890000000000004</v>
      </c>
      <c r="AN1451" s="161"/>
    </row>
    <row r="1452" spans="1:40">
      <c r="A1452" s="143" t="s">
        <v>2512</v>
      </c>
      <c r="B1452" s="141">
        <v>100</v>
      </c>
      <c r="C1452" s="142">
        <f>B1452*IBGE_2!C$1452/100</f>
        <v>83.322000000000003</v>
      </c>
      <c r="D1452" s="142">
        <f>B1452*IBGE_2!D$1452/100</f>
        <v>3.1819999999999999</v>
      </c>
      <c r="E1452" s="142">
        <f>B1452*IBGE_2!E$1452/100</f>
        <v>3.403</v>
      </c>
      <c r="F1452" s="142">
        <f>B1452*IBGE_2!F$1452/100</f>
        <v>2.1120000000000001</v>
      </c>
      <c r="G1452" s="142">
        <f>B1452*IBGE_2!G$1452/100</f>
        <v>0.99400000000000011</v>
      </c>
      <c r="H1452" s="142">
        <f>B1452*IBGE_2!H$1452/100</f>
        <v>0.124</v>
      </c>
      <c r="I1452" s="142">
        <f>B1452*IBGE_2!I$1452/100</f>
        <v>7.8E-2</v>
      </c>
      <c r="J1452" s="142">
        <f>B1452*IBGE_2!J$1452/100</f>
        <v>4.5999999999999999E-2</v>
      </c>
      <c r="K1452" s="142">
        <f>B1452*IBGE_2!K$1452/100</f>
        <v>12.047000000000001</v>
      </c>
      <c r="L1452" s="142">
        <f>B1452*IBGE_2!L$1452/100</f>
        <v>10.38</v>
      </c>
      <c r="M1452" s="142">
        <f>B1452*IBGE_2!M$1452/100</f>
        <v>0.80300000000000016</v>
      </c>
      <c r="N1452" s="142">
        <f>B1452*IBGE_2!N$1452/100</f>
        <v>112.435</v>
      </c>
      <c r="O1452" s="142">
        <f>B1452*IBGE_2!O$1452/100</f>
        <v>13.05</v>
      </c>
      <c r="P1452" s="142">
        <f>B1452*IBGE_2!P$1452/100</f>
        <v>7.6999999999999999E-2</v>
      </c>
      <c r="Q1452" s="142">
        <f>B1452*IBGE_2!Q$1452/100</f>
        <v>101.392</v>
      </c>
      <c r="R1452" s="142">
        <f>B1452*IBGE_2!R$1452/100</f>
        <v>0.24099999999999999</v>
      </c>
      <c r="S1452" s="142">
        <f>B1452*IBGE_2!S$1452/100</f>
        <v>60.23299999999999</v>
      </c>
      <c r="T1452" s="142">
        <f>B1452*IBGE_2!T$1452/100</f>
        <v>167.648</v>
      </c>
      <c r="U1452" s="142">
        <f>B1452*IBGE_2!U$1452/100</f>
        <v>6.5000000000000002E-2</v>
      </c>
      <c r="V1452" s="142">
        <f>B1452*IBGE_2!V$1452/100</f>
        <v>0.41199999999999998</v>
      </c>
      <c r="W1452" s="142">
        <f>B1452*IBGE_2!W$1452/100</f>
        <v>26.100999999999999</v>
      </c>
      <c r="X1452" s="142">
        <f>B1452*IBGE_2!X$1452/100</f>
        <v>3.6999999999999998E-2</v>
      </c>
      <c r="Y1452" s="142">
        <f>B1452*IBGE_2!Y$1452/100</f>
        <v>0.16300000000000001</v>
      </c>
      <c r="Z1452" s="142">
        <f>B1452*IBGE_2!Z$1452/100</f>
        <v>0.04</v>
      </c>
      <c r="AA1452" s="142">
        <f>B1452*IBGE_2!AA$1452/100</f>
        <v>0.125</v>
      </c>
      <c r="AB1452" s="142">
        <f>B1452*IBGE_2!AB$1452/100</f>
        <v>0.90300000000000002</v>
      </c>
      <c r="AC1452" s="142">
        <f>B1452*IBGE_2!AC$1452/100</f>
        <v>0.878</v>
      </c>
      <c r="AD1452" s="142">
        <f>B1452*IBGE_2!AD$1452/100</f>
        <v>0.33100000000000002</v>
      </c>
      <c r="AE1452" s="142">
        <f>B1452*IBGE_2!AE$1452/100</f>
        <v>5.0190000000000001</v>
      </c>
      <c r="AF1452" s="142">
        <f>B1452*IBGE_2!AF$1452/100</f>
        <v>1.004</v>
      </c>
      <c r="AG1452" s="142">
        <f>B1452*IBGE_2!AG$1452/100</f>
        <v>0.06</v>
      </c>
      <c r="AH1452" s="142">
        <f>B1452*IBGE_2!AH$1452/100</f>
        <v>0.121</v>
      </c>
      <c r="AI1452" s="142" t="s">
        <v>3047</v>
      </c>
      <c r="AJ1452" s="142">
        <f>B1452*IBGE_2!AJ$1452/100</f>
        <v>1.9069999999999998</v>
      </c>
      <c r="AK1452" s="142">
        <f>B1452*IBGE_2!AK$1452/100</f>
        <v>26.518999999999995</v>
      </c>
      <c r="AL1452" s="142">
        <f>B1452*IBGE_2!AL$1452/100</f>
        <v>10.135999999999999</v>
      </c>
      <c r="AM1452" s="142">
        <f>B1452*IBGE_2!AM$1452/100</f>
        <v>5.0890000000000004</v>
      </c>
      <c r="AN1452" s="161"/>
    </row>
    <row r="1453" spans="1:40">
      <c r="A1453" s="143" t="s">
        <v>2513</v>
      </c>
      <c r="B1453" s="141">
        <v>100</v>
      </c>
      <c r="C1453" s="142">
        <f>B1453*IBGE_2!C$1453/100</f>
        <v>83.322000000000003</v>
      </c>
      <c r="D1453" s="142">
        <f>B1453*IBGE_2!D$1453/100</f>
        <v>3.1819999999999999</v>
      </c>
      <c r="E1453" s="142">
        <f>B1453*IBGE_2!E$1453/100</f>
        <v>3.403</v>
      </c>
      <c r="F1453" s="142">
        <f>B1453*IBGE_2!F$1453/100</f>
        <v>2.1120000000000001</v>
      </c>
      <c r="G1453" s="142">
        <f>B1453*IBGE_2!G$1453/100</f>
        <v>0.99400000000000011</v>
      </c>
      <c r="H1453" s="142">
        <f>B1453*IBGE_2!H$1453/100</f>
        <v>0.124</v>
      </c>
      <c r="I1453" s="142">
        <f>B1453*IBGE_2!I$1453/100</f>
        <v>7.8E-2</v>
      </c>
      <c r="J1453" s="142">
        <f>B1453*IBGE_2!J$1453/100</f>
        <v>4.5999999999999999E-2</v>
      </c>
      <c r="K1453" s="142">
        <f>B1453*IBGE_2!K$1453/100</f>
        <v>12.047000000000001</v>
      </c>
      <c r="L1453" s="142">
        <f>B1453*IBGE_2!L$1453/100</f>
        <v>10.38</v>
      </c>
      <c r="M1453" s="142">
        <f>B1453*IBGE_2!M$1453/100</f>
        <v>0.80300000000000016</v>
      </c>
      <c r="N1453" s="142">
        <f>B1453*IBGE_2!N$1453/100</f>
        <v>112.435</v>
      </c>
      <c r="O1453" s="142">
        <f>B1453*IBGE_2!O$1453/100</f>
        <v>13.05</v>
      </c>
      <c r="P1453" s="142">
        <f>B1453*IBGE_2!P$1453/100</f>
        <v>7.6999999999999999E-2</v>
      </c>
      <c r="Q1453" s="142">
        <f>B1453*IBGE_2!Q$1453/100</f>
        <v>101.392</v>
      </c>
      <c r="R1453" s="142">
        <f>B1453*IBGE_2!R$1453/100</f>
        <v>0.24099999999999999</v>
      </c>
      <c r="S1453" s="142">
        <f>B1453*IBGE_2!S$1453/100</f>
        <v>60.23299999999999</v>
      </c>
      <c r="T1453" s="142">
        <f>B1453*IBGE_2!T$1453/100</f>
        <v>167.648</v>
      </c>
      <c r="U1453" s="142">
        <f>B1453*IBGE_2!U$1453/100</f>
        <v>6.5000000000000002E-2</v>
      </c>
      <c r="V1453" s="142">
        <f>B1453*IBGE_2!V$1453/100</f>
        <v>0.41199999999999998</v>
      </c>
      <c r="W1453" s="142">
        <f>B1453*IBGE_2!W$1453/100</f>
        <v>26.100999999999999</v>
      </c>
      <c r="X1453" s="142">
        <f>B1453*IBGE_2!X$1453/100</f>
        <v>3.6999999999999998E-2</v>
      </c>
      <c r="Y1453" s="142">
        <f>B1453*IBGE_2!Y$1453/100</f>
        <v>0.16300000000000001</v>
      </c>
      <c r="Z1453" s="142">
        <f>B1453*IBGE_2!Z$1453/100</f>
        <v>0.04</v>
      </c>
      <c r="AA1453" s="142">
        <f>B1453*IBGE_2!AA$1453/100</f>
        <v>0.125</v>
      </c>
      <c r="AB1453" s="142">
        <f>B1453*IBGE_2!AB$1453/100</f>
        <v>0.90300000000000002</v>
      </c>
      <c r="AC1453" s="142">
        <f>B1453*IBGE_2!AC$1453/100</f>
        <v>0.878</v>
      </c>
      <c r="AD1453" s="142">
        <f>B1453*IBGE_2!AD$1453/100</f>
        <v>0.33100000000000002</v>
      </c>
      <c r="AE1453" s="142">
        <f>B1453*IBGE_2!AE$1453/100</f>
        <v>5.0190000000000001</v>
      </c>
      <c r="AF1453" s="142">
        <f>B1453*IBGE_2!AF$1453/100</f>
        <v>1.004</v>
      </c>
      <c r="AG1453" s="142">
        <f>B1453*IBGE_2!AG$1453/100</f>
        <v>0.06</v>
      </c>
      <c r="AH1453" s="142">
        <f>B1453*IBGE_2!AH$1453/100</f>
        <v>0.121</v>
      </c>
      <c r="AI1453" s="142" t="s">
        <v>3047</v>
      </c>
      <c r="AJ1453" s="142">
        <f>B1453*IBGE_2!AJ$1453/100</f>
        <v>1.9069999999999998</v>
      </c>
      <c r="AK1453" s="142">
        <f>B1453*IBGE_2!AK$1453/100</f>
        <v>26.518999999999995</v>
      </c>
      <c r="AL1453" s="142">
        <f>B1453*IBGE_2!AL$1453/100</f>
        <v>10.135999999999999</v>
      </c>
      <c r="AM1453" s="142">
        <f>B1453*IBGE_2!AM$1453/100</f>
        <v>5.0890000000000004</v>
      </c>
      <c r="AN1453" s="161"/>
    </row>
    <row r="1454" spans="1:40">
      <c r="A1454" s="143" t="s">
        <v>2514</v>
      </c>
      <c r="B1454" s="141">
        <v>100</v>
      </c>
      <c r="C1454" s="142">
        <f>B1454*IBGE_2!C$1454/100</f>
        <v>83.322000000000003</v>
      </c>
      <c r="D1454" s="142">
        <f>B1454*IBGE_2!D$1454/100</f>
        <v>3.1819999999999999</v>
      </c>
      <c r="E1454" s="142">
        <f>B1454*IBGE_2!E$1454/100</f>
        <v>3.403</v>
      </c>
      <c r="F1454" s="142">
        <f>B1454*IBGE_2!F$1454/100</f>
        <v>2.1120000000000001</v>
      </c>
      <c r="G1454" s="142">
        <f>B1454*IBGE_2!G$1454/100</f>
        <v>0.99400000000000011</v>
      </c>
      <c r="H1454" s="142">
        <f>B1454*IBGE_2!H$1454/100</f>
        <v>0.124</v>
      </c>
      <c r="I1454" s="142">
        <f>B1454*IBGE_2!I$1454/100</f>
        <v>7.8E-2</v>
      </c>
      <c r="J1454" s="142">
        <f>B1454*IBGE_2!J$1454/100</f>
        <v>4.5999999999999999E-2</v>
      </c>
      <c r="K1454" s="142">
        <f>B1454*IBGE_2!K$1454/100</f>
        <v>12.047000000000001</v>
      </c>
      <c r="L1454" s="142">
        <f>B1454*IBGE_2!L$1454/100</f>
        <v>10.38</v>
      </c>
      <c r="M1454" s="142">
        <f>B1454*IBGE_2!M$1454/100</f>
        <v>0.80300000000000016</v>
      </c>
      <c r="N1454" s="142">
        <f>B1454*IBGE_2!N$1454/100</f>
        <v>112.435</v>
      </c>
      <c r="O1454" s="142">
        <f>B1454*IBGE_2!O$1454/100</f>
        <v>13.05</v>
      </c>
      <c r="P1454" s="142">
        <f>B1454*IBGE_2!P$1454/100</f>
        <v>7.6999999999999999E-2</v>
      </c>
      <c r="Q1454" s="142">
        <f>B1454*IBGE_2!Q$1454/100</f>
        <v>101.392</v>
      </c>
      <c r="R1454" s="142">
        <f>B1454*IBGE_2!R$1454/100</f>
        <v>0.24099999999999999</v>
      </c>
      <c r="S1454" s="142">
        <f>B1454*IBGE_2!S$1454/100</f>
        <v>60.23299999999999</v>
      </c>
      <c r="T1454" s="142">
        <f>B1454*IBGE_2!T$1454/100</f>
        <v>167.648</v>
      </c>
      <c r="U1454" s="142">
        <f>B1454*IBGE_2!U$1454/100</f>
        <v>6.5000000000000002E-2</v>
      </c>
      <c r="V1454" s="142">
        <f>B1454*IBGE_2!V$1454/100</f>
        <v>0.41199999999999998</v>
      </c>
      <c r="W1454" s="142">
        <f>B1454*IBGE_2!W$1454/100</f>
        <v>26.100999999999999</v>
      </c>
      <c r="X1454" s="142">
        <f>B1454*IBGE_2!X$1454/100</f>
        <v>3.6999999999999998E-2</v>
      </c>
      <c r="Y1454" s="142">
        <f>B1454*IBGE_2!Y$1454/100</f>
        <v>0.16300000000000001</v>
      </c>
      <c r="Z1454" s="142">
        <f>B1454*IBGE_2!Z$1454/100</f>
        <v>0.04</v>
      </c>
      <c r="AA1454" s="142">
        <f>B1454*IBGE_2!AA$1454/100</f>
        <v>0.125</v>
      </c>
      <c r="AB1454" s="142">
        <f>B1454*IBGE_2!AB$1454/100</f>
        <v>0.90300000000000002</v>
      </c>
      <c r="AC1454" s="142">
        <f>B1454*IBGE_2!AC$1454/100</f>
        <v>0.878</v>
      </c>
      <c r="AD1454" s="142">
        <f>B1454*IBGE_2!AD$1454/100</f>
        <v>0.33100000000000002</v>
      </c>
      <c r="AE1454" s="142">
        <f>B1454*IBGE_2!AE$1454/100</f>
        <v>5.0190000000000001</v>
      </c>
      <c r="AF1454" s="142">
        <f>B1454*IBGE_2!AF$1454/100</f>
        <v>1.004</v>
      </c>
      <c r="AG1454" s="142">
        <f>B1454*IBGE_2!AG$1454/100</f>
        <v>0.06</v>
      </c>
      <c r="AH1454" s="142">
        <f>B1454*IBGE_2!AH$1454/100</f>
        <v>0.121</v>
      </c>
      <c r="AI1454" s="142" t="s">
        <v>3047</v>
      </c>
      <c r="AJ1454" s="142">
        <f>B1454*IBGE_2!AJ$1454/100</f>
        <v>1.9069999999999998</v>
      </c>
      <c r="AK1454" s="142">
        <f>B1454*IBGE_2!AK$1454/100</f>
        <v>26.518999999999995</v>
      </c>
      <c r="AL1454" s="142">
        <f>B1454*IBGE_2!AL$1454/100</f>
        <v>10.135999999999999</v>
      </c>
      <c r="AM1454" s="142">
        <f>B1454*IBGE_2!AM$1454/100</f>
        <v>5.0890000000000004</v>
      </c>
      <c r="AN1454" s="161"/>
    </row>
    <row r="1455" spans="1:40">
      <c r="A1455" s="143" t="s">
        <v>2515</v>
      </c>
      <c r="B1455" s="141">
        <v>100</v>
      </c>
      <c r="C1455" s="142">
        <f>B1455*IBGE_2!C$1455/100</f>
        <v>195</v>
      </c>
      <c r="D1455" s="142">
        <f>B1455*IBGE_2!D$1455/100</f>
        <v>2.7</v>
      </c>
      <c r="E1455" s="142">
        <f>B1455*IBGE_2!E$1455/100</f>
        <v>19.309999999999999</v>
      </c>
      <c r="F1455" s="142">
        <f>B1455*IBGE_2!F$1455/100</f>
        <v>12.02</v>
      </c>
      <c r="G1455" s="142">
        <f>B1455*IBGE_2!G$1455/100</f>
        <v>5.5770000000000008</v>
      </c>
      <c r="H1455" s="142">
        <f>B1455*IBGE_2!H$1455/100</f>
        <v>0.71700000000000008</v>
      </c>
      <c r="I1455" s="142">
        <f>B1455*IBGE_2!I$1455/100</f>
        <v>0.436</v>
      </c>
      <c r="J1455" s="142">
        <f>B1455*IBGE_2!J$1455/100</f>
        <v>0.28100000000000003</v>
      </c>
      <c r="K1455" s="142">
        <f>B1455*IBGE_2!K$1455/100</f>
        <v>66</v>
      </c>
      <c r="L1455" s="142">
        <f>B1455*IBGE_2!L$1455/100</f>
        <v>3.66</v>
      </c>
      <c r="M1455" s="142" t="s">
        <v>3047</v>
      </c>
      <c r="N1455" s="142">
        <f>B1455*IBGE_2!N$1455/100</f>
        <v>96</v>
      </c>
      <c r="O1455" s="142">
        <f>B1455*IBGE_2!O$1455/100</f>
        <v>9</v>
      </c>
      <c r="P1455" s="142">
        <f>B1455*IBGE_2!P$1455/100</f>
        <v>1E-3</v>
      </c>
      <c r="Q1455" s="142">
        <f>B1455*IBGE_2!Q$1455/100</f>
        <v>80</v>
      </c>
      <c r="R1455" s="142">
        <f>B1455*IBGE_2!R$1455/100</f>
        <v>0.04</v>
      </c>
      <c r="S1455" s="142">
        <f>B1455*IBGE_2!S$1455/100</f>
        <v>40</v>
      </c>
      <c r="T1455" s="142">
        <f>B1455*IBGE_2!T$1455/100</f>
        <v>122</v>
      </c>
      <c r="U1455" s="142">
        <f>B1455*IBGE_2!U$1455/100</f>
        <v>8.0000000000000002E-3</v>
      </c>
      <c r="V1455" s="142">
        <f>B1455*IBGE_2!V$1455/100</f>
        <v>0.27</v>
      </c>
      <c r="W1455" s="142">
        <f>B1455*IBGE_2!W$1455/100</f>
        <v>178</v>
      </c>
      <c r="X1455" s="142">
        <f>B1455*IBGE_2!X$1455/100</f>
        <v>3.2000000000000001E-2</v>
      </c>
      <c r="Y1455" s="142">
        <f>B1455*IBGE_2!Y$1455/100</f>
        <v>0.14799999999999999</v>
      </c>
      <c r="Z1455" s="142">
        <f>B1455*IBGE_2!Z$1455/100</f>
        <v>3.2000000000000001E-2</v>
      </c>
      <c r="AA1455" s="142">
        <f>B1455*IBGE_2!AA$1455/100</f>
        <v>5.7000000000000002E-2</v>
      </c>
      <c r="AB1455" s="142">
        <f>B1455*IBGE_2!AB$1455/100</f>
        <v>0.8</v>
      </c>
      <c r="AC1455" s="142">
        <f>B1455*IBGE_2!AC$1455/100</f>
        <v>0.69</v>
      </c>
      <c r="AD1455" s="142">
        <f>B1455*IBGE_2!AD$1455/100</f>
        <v>0.22</v>
      </c>
      <c r="AE1455" s="142">
        <f>B1455*IBGE_2!AE$1455/100</f>
        <v>2</v>
      </c>
      <c r="AF1455" s="142">
        <f>B1455*IBGE_2!AF$1455/100</f>
        <v>0.67800000000000016</v>
      </c>
      <c r="AG1455" s="142">
        <f>B1455*IBGE_2!AG$1455/100</f>
        <v>0.55000000000000004</v>
      </c>
      <c r="AH1455" s="142">
        <f>B1455*IBGE_2!AH$1455/100</f>
        <v>0.68700000000000006</v>
      </c>
      <c r="AI1455" s="142" t="s">
        <v>3047</v>
      </c>
      <c r="AJ1455" s="142">
        <f>B1455*IBGE_2!AJ$1455/100</f>
        <v>0.6</v>
      </c>
      <c r="AK1455" s="142">
        <f>B1455*IBGE_2!AK$1455/100</f>
        <v>181.083</v>
      </c>
      <c r="AL1455" s="142">
        <f>B1455*IBGE_2!AL$1455/100</f>
        <v>3.7</v>
      </c>
      <c r="AM1455" s="145" t="s">
        <v>3047</v>
      </c>
      <c r="AN1455" s="161"/>
    </row>
    <row r="1456" spans="1:40">
      <c r="A1456" s="143" t="s">
        <v>2516</v>
      </c>
      <c r="B1456" s="141">
        <v>100</v>
      </c>
      <c r="C1456" s="142">
        <f>B1456*IBGE_2!C$1456/100</f>
        <v>353</v>
      </c>
      <c r="D1456" s="142">
        <f>B1456*IBGE_2!D$1456/100</f>
        <v>21.4</v>
      </c>
      <c r="E1456" s="142">
        <f>B1456*IBGE_2!E$1456/100</f>
        <v>28.74</v>
      </c>
      <c r="F1456" s="142">
        <f>B1456*IBGE_2!F$1456/100</f>
        <v>18.669</v>
      </c>
      <c r="G1456" s="142">
        <f>B1456*IBGE_2!G$1456/100</f>
        <v>7.7779999999999996</v>
      </c>
      <c r="H1456" s="142">
        <f>B1456*IBGE_2!H$1456/100</f>
        <v>0.8</v>
      </c>
      <c r="I1456" s="142">
        <f>B1456*IBGE_2!I$1456/100</f>
        <v>0.53600000000000003</v>
      </c>
      <c r="J1456" s="142">
        <f>B1456*IBGE_2!J$1456/100</f>
        <v>0.26400000000000001</v>
      </c>
      <c r="K1456" s="142">
        <f>B1456*IBGE_2!K$1456/100</f>
        <v>75</v>
      </c>
      <c r="L1456" s="142">
        <f>B1456*IBGE_2!L$1456/100</f>
        <v>2.34</v>
      </c>
      <c r="M1456" s="142" t="s">
        <v>3047</v>
      </c>
      <c r="N1456" s="142">
        <f>B1456*IBGE_2!N$1456/100</f>
        <v>528</v>
      </c>
      <c r="O1456" s="142">
        <f>B1456*IBGE_2!O$1456/100</f>
        <v>23</v>
      </c>
      <c r="P1456" s="142">
        <f>B1456*IBGE_2!P$1456/100</f>
        <v>8.9999999999999993E-3</v>
      </c>
      <c r="Q1456" s="142">
        <f>B1456*IBGE_2!Q$1456/100</f>
        <v>387</v>
      </c>
      <c r="R1456" s="142">
        <f>B1456*IBGE_2!R$1456/100</f>
        <v>0.31</v>
      </c>
      <c r="S1456" s="142">
        <f>B1456*IBGE_2!S$1456/100</f>
        <v>1395</v>
      </c>
      <c r="T1456" s="142">
        <f>B1456*IBGE_2!T$1456/100</f>
        <v>256</v>
      </c>
      <c r="U1456" s="142">
        <f>B1456*IBGE_2!U$1456/100</f>
        <v>0.04</v>
      </c>
      <c r="V1456" s="142">
        <f>B1456*IBGE_2!V$1456/100</f>
        <v>2.66</v>
      </c>
      <c r="W1456" s="142">
        <f>B1456*IBGE_2!W$1456/100</f>
        <v>192</v>
      </c>
      <c r="X1456" s="142">
        <f>B1456*IBGE_2!X$1456/100</f>
        <v>2.9000000000000005E-2</v>
      </c>
      <c r="Y1456" s="142">
        <f>B1456*IBGE_2!Y$1456/100</f>
        <v>0.38200000000000001</v>
      </c>
      <c r="Z1456" s="142">
        <f>B1456*IBGE_2!Z$1456/100</f>
        <v>0.16600000000000001</v>
      </c>
      <c r="AA1456" s="142">
        <f>B1456*IBGE_2!AA$1456/100</f>
        <v>1.016</v>
      </c>
      <c r="AB1456" s="142" t="s">
        <v>3047</v>
      </c>
      <c r="AC1456" s="142">
        <f>B1456*IBGE_2!AC$1456/100</f>
        <v>6.2160000000000002</v>
      </c>
      <c r="AD1456" s="142">
        <f>B1456*IBGE_2!AD$1456/100</f>
        <v>1.22</v>
      </c>
      <c r="AE1456" s="142">
        <f>B1456*IBGE_2!AE$1456/100</f>
        <v>36</v>
      </c>
      <c r="AF1456" s="142">
        <f>B1456*IBGE_2!AF$1456/100</f>
        <v>0.23</v>
      </c>
      <c r="AG1456" s="142">
        <f>B1456*IBGE_2!AG$1456/100</f>
        <v>0.25</v>
      </c>
      <c r="AH1456" s="142">
        <f>B1456*IBGE_2!AH$1456/100</f>
        <v>0.69</v>
      </c>
      <c r="AI1456" s="142" t="s">
        <v>3047</v>
      </c>
      <c r="AJ1456" s="142">
        <f>B1456*IBGE_2!AJ$1456/100</f>
        <v>14.5</v>
      </c>
      <c r="AK1456" s="142">
        <f>B1456*IBGE_2!AK$1456/100</f>
        <v>198.167</v>
      </c>
      <c r="AL1456" s="142">
        <f>B1456*IBGE_2!AL$1456/100</f>
        <v>2.34</v>
      </c>
      <c r="AM1456" s="145" t="s">
        <v>3047</v>
      </c>
      <c r="AN1456" s="161"/>
    </row>
    <row r="1457" spans="1:40">
      <c r="A1457" s="143" t="s">
        <v>2517</v>
      </c>
      <c r="B1457" s="141">
        <v>100</v>
      </c>
      <c r="C1457" s="142">
        <f>B1457*IBGE_2!C$1457/100</f>
        <v>61</v>
      </c>
      <c r="D1457" s="142">
        <f>B1457*IBGE_2!D$1457/100</f>
        <v>6.55</v>
      </c>
      <c r="E1457" s="142">
        <f>B1457*IBGE_2!E$1457/100</f>
        <v>3.69</v>
      </c>
      <c r="F1457" s="142">
        <f>B1457*IBGE_2!F$1457/100</f>
        <v>0.53</v>
      </c>
      <c r="G1457" s="142">
        <f>B1457*IBGE_2!G$1457/100</f>
        <v>0.81</v>
      </c>
      <c r="H1457" s="142">
        <f>B1457*IBGE_2!H$1457/100</f>
        <v>2.08</v>
      </c>
      <c r="I1457" s="142">
        <f>B1457*IBGE_2!I$1457/100</f>
        <v>1.84</v>
      </c>
      <c r="J1457" s="142">
        <f>B1457*IBGE_2!J$1457/100</f>
        <v>0.25</v>
      </c>
      <c r="K1457" s="142" t="s">
        <v>3047</v>
      </c>
      <c r="L1457" s="142">
        <f>B1457*IBGE_2!L$1457/100</f>
        <v>1.8</v>
      </c>
      <c r="M1457" s="142">
        <f>B1457*IBGE_2!M$1457/100</f>
        <v>0.2</v>
      </c>
      <c r="N1457" s="142">
        <f>B1457*IBGE_2!N$1457/100</f>
        <v>111</v>
      </c>
      <c r="O1457" s="142">
        <f>B1457*IBGE_2!O$1457/100</f>
        <v>27</v>
      </c>
      <c r="P1457" s="142">
        <f>B1457*IBGE_2!P$1457/100</f>
        <v>0.39</v>
      </c>
      <c r="Q1457" s="142">
        <f>B1457*IBGE_2!Q$1457/100</f>
        <v>92</v>
      </c>
      <c r="R1457" s="142">
        <f>B1457*IBGE_2!R$1457/100</f>
        <v>1.1100000000000001</v>
      </c>
      <c r="S1457" s="142">
        <f>B1457*IBGE_2!S$1457/100</f>
        <v>8</v>
      </c>
      <c r="T1457" s="142">
        <f>B1457*IBGE_2!T$1457/100</f>
        <v>120</v>
      </c>
      <c r="U1457" s="142">
        <f>B1457*IBGE_2!U$1457/100</f>
        <v>0.16</v>
      </c>
      <c r="V1457" s="142">
        <f>B1457*IBGE_2!V$1457/100</f>
        <v>0.64</v>
      </c>
      <c r="W1457" s="142" t="s">
        <v>3047</v>
      </c>
      <c r="X1457" s="142">
        <f>B1457*IBGE_2!X$1457/100</f>
        <v>0.05</v>
      </c>
      <c r="Y1457" s="142">
        <f>B1457*IBGE_2!Y$1457/100</f>
        <v>0.04</v>
      </c>
      <c r="Z1457" s="142">
        <f>B1457*IBGE_2!Z$1457/100</f>
        <v>0.05</v>
      </c>
      <c r="AA1457" s="142">
        <f>B1457*IBGE_2!AA$1457/100</f>
        <v>0.54</v>
      </c>
      <c r="AB1457" s="142">
        <f>B1457*IBGE_2!AB$1457/100</f>
        <v>0.2</v>
      </c>
      <c r="AC1457" s="142">
        <f>B1457*IBGE_2!AC$1457/100</f>
        <v>2.2400000000000002</v>
      </c>
      <c r="AD1457" s="145" t="s">
        <v>3047</v>
      </c>
      <c r="AE1457" s="142">
        <f>B1457*IBGE_2!AE$1457/100</f>
        <v>44</v>
      </c>
      <c r="AF1457" s="145" t="s">
        <v>3047</v>
      </c>
      <c r="AG1457" s="142">
        <f>B1457*IBGE_2!AG$1457/100</f>
        <v>0.01</v>
      </c>
      <c r="AH1457" s="145" t="s">
        <v>3047</v>
      </c>
      <c r="AI1457" s="142" t="s">
        <v>3047</v>
      </c>
      <c r="AJ1457" s="142">
        <f>B1457*IBGE_2!AJ$1457/100</f>
        <v>8.9</v>
      </c>
      <c r="AK1457" s="142">
        <f>B1457*IBGE_2!AK$1457/100</f>
        <v>0.33</v>
      </c>
      <c r="AL1457" s="142">
        <f>B1457*IBGE_2!AL$1457/100</f>
        <v>0.2</v>
      </c>
      <c r="AM1457" s="145" t="s">
        <v>3047</v>
      </c>
      <c r="AN1457" s="161"/>
    </row>
    <row r="1458" spans="1:40">
      <c r="A1458" s="143" t="s">
        <v>2518</v>
      </c>
      <c r="B1458" s="141">
        <v>100</v>
      </c>
      <c r="C1458" s="142">
        <f>B1458*IBGE_2!C$1458/100</f>
        <v>408.33099999999996</v>
      </c>
      <c r="D1458" s="142">
        <f>B1458*IBGE_2!D$1458/100</f>
        <v>32.847999999999999</v>
      </c>
      <c r="E1458" s="142">
        <f>B1458*IBGE_2!E$1458/100</f>
        <v>13.215999999999999</v>
      </c>
      <c r="F1458" s="142">
        <f>B1458*IBGE_2!F$1458/100</f>
        <v>1.9119999999999999</v>
      </c>
      <c r="G1458" s="142">
        <f>B1458*IBGE_2!G$1458/100</f>
        <v>2.915</v>
      </c>
      <c r="H1458" s="142">
        <f>B1458*IBGE_2!H$1458/100</f>
        <v>7.4550000000000001</v>
      </c>
      <c r="I1458" s="142">
        <f>B1458*IBGE_2!I$1458/100</f>
        <v>6.5720000000000001</v>
      </c>
      <c r="J1458" s="142">
        <f>B1458*IBGE_2!J$1458/100</f>
        <v>0.88099999999999989</v>
      </c>
      <c r="K1458" s="142" t="s">
        <v>3047</v>
      </c>
      <c r="L1458" s="142">
        <f>B1458*IBGE_2!L$1458/100</f>
        <v>42.128</v>
      </c>
      <c r="M1458" s="142">
        <f>B1458*IBGE_2!M$1458/100</f>
        <v>9.1839999999999993</v>
      </c>
      <c r="N1458" s="142">
        <f>B1458*IBGE_2!N$1458/100</f>
        <v>182.41</v>
      </c>
      <c r="O1458" s="142">
        <f>B1458*IBGE_2!O$1458/100</f>
        <v>150.63999999999999</v>
      </c>
      <c r="P1458" s="142">
        <f>B1458*IBGE_2!P$1458/100</f>
        <v>1.3730000000000002</v>
      </c>
      <c r="Q1458" s="142">
        <f>B1458*IBGE_2!Q$1458/100</f>
        <v>484.31299999999993</v>
      </c>
      <c r="R1458" s="142">
        <f>B1458*IBGE_2!R$1458/100</f>
        <v>8.9380000000000006</v>
      </c>
      <c r="S1458" s="142">
        <f>B1458*IBGE_2!S$1458/100</f>
        <v>1263.1279999999999</v>
      </c>
      <c r="T1458" s="142">
        <f>B1458*IBGE_2!T$1458/100</f>
        <v>1003.193</v>
      </c>
      <c r="U1458" s="142">
        <f>B1458*IBGE_2!U$1458/100</f>
        <v>0.78</v>
      </c>
      <c r="V1458" s="142">
        <f>B1458*IBGE_2!V$1458/100</f>
        <v>2.0529999999999999</v>
      </c>
      <c r="W1458" s="142" t="s">
        <v>3047</v>
      </c>
      <c r="X1458" s="142">
        <f>B1458*IBGE_2!X$1458/100</f>
        <v>0.253</v>
      </c>
      <c r="Y1458" s="142">
        <f>B1458*IBGE_2!Y$1458/100</f>
        <v>0.53400000000000003</v>
      </c>
      <c r="Z1458" s="142">
        <f>B1458*IBGE_2!Z$1458/100</f>
        <v>0.51</v>
      </c>
      <c r="AA1458" s="142">
        <f>B1458*IBGE_2!AA$1458/100</f>
        <v>2.9209999999999998</v>
      </c>
      <c r="AB1458" s="142">
        <f>B1458*IBGE_2!AB$1458/100</f>
        <v>2.6440000000000001</v>
      </c>
      <c r="AC1458" s="142">
        <f>B1458*IBGE_2!AC$1458/100</f>
        <v>10.619000000000002</v>
      </c>
      <c r="AD1458" s="145" t="s">
        <v>3047</v>
      </c>
      <c r="AE1458" s="142">
        <f>B1458*IBGE_2!AE$1458/100</f>
        <v>96.381</v>
      </c>
      <c r="AF1458" s="145" t="s">
        <v>3047</v>
      </c>
      <c r="AG1458" s="142">
        <f>B1458*IBGE_2!AG$1458/100</f>
        <v>0.52300000000000002</v>
      </c>
      <c r="AH1458" s="145" t="s">
        <v>3047</v>
      </c>
      <c r="AI1458" s="142" t="s">
        <v>3047</v>
      </c>
      <c r="AJ1458" s="142">
        <f>B1458*IBGE_2!AJ$1458/100</f>
        <v>14.92</v>
      </c>
      <c r="AK1458" s="142">
        <f>B1458*IBGE_2!AK$1458/100</f>
        <v>0.61099999999999999</v>
      </c>
      <c r="AL1458" s="142">
        <f>B1458*IBGE_2!AL$1458/100</f>
        <v>15.986000000000001</v>
      </c>
      <c r="AM1458" s="142">
        <f>B1458*IBGE_2!AM$1458/100</f>
        <v>23.420999999999999</v>
      </c>
      <c r="AN1458" s="161"/>
    </row>
    <row r="1459" spans="1:40">
      <c r="A1459" s="143" t="s">
        <v>2519</v>
      </c>
      <c r="B1459" s="141">
        <v>100</v>
      </c>
      <c r="C1459" s="142">
        <f>B1459*IBGE_2!C$1459/100</f>
        <v>34.154000000000003</v>
      </c>
      <c r="D1459" s="142">
        <f>B1459*IBGE_2!D$1459/100</f>
        <v>3.3849999999999998</v>
      </c>
      <c r="E1459" s="142">
        <f>B1459*IBGE_2!E$1459/100</f>
        <v>0.08</v>
      </c>
      <c r="F1459" s="142">
        <f>B1459*IBGE_2!F$1459/100</f>
        <v>5.0999999999999997E-2</v>
      </c>
      <c r="G1459" s="142">
        <f>B1459*IBGE_2!G$1459/100</f>
        <v>2.1000000000000001E-2</v>
      </c>
      <c r="H1459" s="142">
        <f>B1459*IBGE_2!H$1459/100</f>
        <v>3.0000000000000001E-3</v>
      </c>
      <c r="I1459" s="142">
        <f>B1459*IBGE_2!I$1459/100</f>
        <v>2E-3</v>
      </c>
      <c r="J1459" s="142">
        <f>B1459*IBGE_2!J$1459/100</f>
        <v>1E-3</v>
      </c>
      <c r="K1459" s="142">
        <f>B1459*IBGE_2!K$1459/100</f>
        <v>2.0089999999999999</v>
      </c>
      <c r="L1459" s="142">
        <f>B1459*IBGE_2!L$1459/100</f>
        <v>4.9820000000000002</v>
      </c>
      <c r="M1459" s="142" t="s">
        <v>3047</v>
      </c>
      <c r="N1459" s="142">
        <f>B1459*IBGE_2!N$1459/100</f>
        <v>125.56399999999999</v>
      </c>
      <c r="O1459" s="142">
        <f>B1459*IBGE_2!O$1459/100</f>
        <v>11.05</v>
      </c>
      <c r="P1459" s="142">
        <f>B1459*IBGE_2!P$1459/100</f>
        <v>3.0000000000000001E-3</v>
      </c>
      <c r="Q1459" s="142">
        <f>B1459*IBGE_2!Q$1459/100</f>
        <v>101.456</v>
      </c>
      <c r="R1459" s="142">
        <f>B1459*IBGE_2!R$1459/100</f>
        <v>0.03</v>
      </c>
      <c r="S1459" s="142">
        <f>B1459*IBGE_2!S$1459/100</f>
        <v>42.19</v>
      </c>
      <c r="T1459" s="142">
        <f>B1459*IBGE_2!T$1459/100</f>
        <v>156.70400000000001</v>
      </c>
      <c r="U1459" s="142">
        <f>B1459*IBGE_2!U$1459/100</f>
        <v>1.3000000000000001E-2</v>
      </c>
      <c r="V1459" s="142">
        <f>B1459*IBGE_2!V$1459/100</f>
        <v>0.42199999999999993</v>
      </c>
      <c r="W1459" s="142">
        <f>B1459*IBGE_2!W$1459/100</f>
        <v>61.274999999999999</v>
      </c>
      <c r="X1459" s="142">
        <f>B1459*IBGE_2!X$1459/100</f>
        <v>4.4999999999999998E-2</v>
      </c>
      <c r="Y1459" s="142">
        <f>B1459*IBGE_2!Y$1459/100</f>
        <v>0.183</v>
      </c>
      <c r="Z1459" s="142">
        <f>B1459*IBGE_2!Z$1459/100</f>
        <v>3.6999999999999998E-2</v>
      </c>
      <c r="AA1459" s="142">
        <f>B1459*IBGE_2!AA$1459/100</f>
        <v>9.4E-2</v>
      </c>
      <c r="AB1459" s="142" t="s">
        <v>3047</v>
      </c>
      <c r="AC1459" s="142">
        <f>B1459*IBGE_2!AC$1459/100</f>
        <v>0.76400000000000001</v>
      </c>
      <c r="AD1459" s="142">
        <f>B1459*IBGE_2!AD$1459/100</f>
        <v>0.53200000000000003</v>
      </c>
      <c r="AE1459" s="142">
        <f>B1459*IBGE_2!AE$1459/100</f>
        <v>5.0229999999999997</v>
      </c>
      <c r="AF1459" s="142">
        <f>B1459*IBGE_2!AF$1459/100</f>
        <v>1.03</v>
      </c>
      <c r="AG1459" s="142">
        <f>B1459*IBGE_2!AG$1459/100</f>
        <v>0.01</v>
      </c>
      <c r="AH1459" s="142">
        <f>B1459*IBGE_2!AH$1459/100</f>
        <v>3.0000000000000001E-3</v>
      </c>
      <c r="AI1459" s="142" t="s">
        <v>3047</v>
      </c>
      <c r="AJ1459" s="142">
        <f>B1459*IBGE_2!AJ$1459/100</f>
        <v>3.1139999999999999</v>
      </c>
      <c r="AK1459" s="142">
        <f>B1459*IBGE_2!AK$1459/100</f>
        <v>61.274999999999999</v>
      </c>
      <c r="AL1459" s="142">
        <f>B1459*IBGE_2!AL$1459/100</f>
        <v>5.1130000000000004</v>
      </c>
      <c r="AM1459" s="145" t="s">
        <v>3047</v>
      </c>
      <c r="AN1459" s="161"/>
    </row>
    <row r="1460" spans="1:40">
      <c r="A1460" s="143" t="s">
        <v>2520</v>
      </c>
      <c r="B1460" s="141">
        <v>100</v>
      </c>
      <c r="C1460" s="142">
        <f>B1460*IBGE_2!C$1460/100</f>
        <v>42</v>
      </c>
      <c r="D1460" s="142">
        <f>B1460*IBGE_2!D$1460/100</f>
        <v>3.37</v>
      </c>
      <c r="E1460" s="142">
        <f>B1460*IBGE_2!E$1460/100</f>
        <v>0.97</v>
      </c>
      <c r="F1460" s="142">
        <f>B1460*IBGE_2!F$1460/100</f>
        <v>0.63300000000000001</v>
      </c>
      <c r="G1460" s="142">
        <f>B1460*IBGE_2!G$1460/100</f>
        <v>0.27700000000000002</v>
      </c>
      <c r="H1460" s="142">
        <f>B1460*IBGE_2!H$1460/100</f>
        <v>3.5000000000000003E-2</v>
      </c>
      <c r="I1460" s="142">
        <f>B1460*IBGE_2!I$1460/100</f>
        <v>0.03</v>
      </c>
      <c r="J1460" s="142">
        <f>B1460*IBGE_2!J$1460/100</f>
        <v>4.0000000000000001E-3</v>
      </c>
      <c r="K1460" s="142">
        <f>B1460*IBGE_2!K$1460/100</f>
        <v>5</v>
      </c>
      <c r="L1460" s="142">
        <f>B1460*IBGE_2!L$1460/100</f>
        <v>4.99</v>
      </c>
      <c r="M1460" s="142" t="s">
        <v>3047</v>
      </c>
      <c r="N1460" s="142">
        <f>B1460*IBGE_2!N$1460/100</f>
        <v>119</v>
      </c>
      <c r="O1460" s="142">
        <f>B1460*IBGE_2!O$1460/100</f>
        <v>11</v>
      </c>
      <c r="P1460" s="142">
        <f>B1460*IBGE_2!P$1460/100</f>
        <v>3.0000000000000001E-3</v>
      </c>
      <c r="Q1460" s="142">
        <f>B1460*IBGE_2!Q$1460/100</f>
        <v>95</v>
      </c>
      <c r="R1460" s="142">
        <f>B1460*IBGE_2!R$1460/100</f>
        <v>0.03</v>
      </c>
      <c r="S1460" s="142">
        <f>B1460*IBGE_2!S$1460/100</f>
        <v>44</v>
      </c>
      <c r="T1460" s="142">
        <f>B1460*IBGE_2!T$1460/100</f>
        <v>150</v>
      </c>
      <c r="U1460" s="142">
        <f>B1460*IBGE_2!U$1460/100</f>
        <v>0.01</v>
      </c>
      <c r="V1460" s="142">
        <f>B1460*IBGE_2!V$1460/100</f>
        <v>0.42</v>
      </c>
      <c r="W1460" s="142">
        <f>B1460*IBGE_2!W$1460/100</f>
        <v>58</v>
      </c>
      <c r="X1460" s="142">
        <f>B1460*IBGE_2!X$1460/100</f>
        <v>0.02</v>
      </c>
      <c r="Y1460" s="142">
        <f>B1460*IBGE_2!Y$1460/100</f>
        <v>0.185</v>
      </c>
      <c r="Z1460" s="142">
        <f>B1460*IBGE_2!Z$1460/100</f>
        <v>3.6999999999999998E-2</v>
      </c>
      <c r="AA1460" s="142">
        <f>B1460*IBGE_2!AA$1460/100</f>
        <v>9.3000000000000013E-2</v>
      </c>
      <c r="AB1460" s="142" t="s">
        <v>3047</v>
      </c>
      <c r="AC1460" s="142">
        <f>B1460*IBGE_2!AC$1460/100</f>
        <v>0.76</v>
      </c>
      <c r="AD1460" s="142">
        <f>B1460*IBGE_2!AD$1460/100</f>
        <v>0.44</v>
      </c>
      <c r="AE1460" s="142">
        <f>B1460*IBGE_2!AE$1460/100</f>
        <v>5</v>
      </c>
      <c r="AF1460" s="142">
        <f>B1460*IBGE_2!AF$1460/100</f>
        <v>1.3</v>
      </c>
      <c r="AG1460" s="142">
        <f>B1460*IBGE_2!AG$1460/100</f>
        <v>0.01</v>
      </c>
      <c r="AH1460" s="142">
        <f>B1460*IBGE_2!AH$1460/100</f>
        <v>0.04</v>
      </c>
      <c r="AI1460" s="142" t="s">
        <v>3047</v>
      </c>
      <c r="AJ1460" s="142">
        <f>B1460*IBGE_2!AJ$1460/100</f>
        <v>3.3</v>
      </c>
      <c r="AK1460" s="142">
        <f>B1460*IBGE_2!AK$1460/100</f>
        <v>58.167000000000002</v>
      </c>
      <c r="AL1460" s="142">
        <f>B1460*IBGE_2!AL$1460/100</f>
        <v>5.2</v>
      </c>
      <c r="AM1460" s="145" t="s">
        <v>3047</v>
      </c>
      <c r="AN1460" s="161"/>
    </row>
    <row r="1461" spans="1:40">
      <c r="A1461" s="143" t="s">
        <v>2521</v>
      </c>
      <c r="B1461" s="141">
        <v>100</v>
      </c>
      <c r="C1461" s="142">
        <f>B1461*IBGE_2!C$1461/100</f>
        <v>60.024999999999999</v>
      </c>
      <c r="D1461" s="142">
        <f>B1461*IBGE_2!D$1461/100</f>
        <v>3.2210000000000001</v>
      </c>
      <c r="E1461" s="142">
        <f>B1461*IBGE_2!E$1461/100</f>
        <v>3.2509999999999994</v>
      </c>
      <c r="F1461" s="142">
        <f>B1461*IBGE_2!F$1461/100</f>
        <v>1.8660000000000003</v>
      </c>
      <c r="G1461" s="142">
        <f>B1461*IBGE_2!G$1461/100</f>
        <v>0.81200000000000006</v>
      </c>
      <c r="H1461" s="142">
        <f>B1461*IBGE_2!H$1461/100</f>
        <v>0.19500000000000001</v>
      </c>
      <c r="I1461" s="142">
        <f>B1461*IBGE_2!I$1461/100</f>
        <v>0.12</v>
      </c>
      <c r="J1461" s="142">
        <f>B1461*IBGE_2!J$1461/100</f>
        <v>7.4999999999999997E-2</v>
      </c>
      <c r="K1461" s="142">
        <f>B1461*IBGE_2!K$1461/100</f>
        <v>10.004</v>
      </c>
      <c r="L1461" s="142">
        <f>B1461*IBGE_2!L$1461/100</f>
        <v>4.5220000000000002</v>
      </c>
      <c r="M1461" s="142" t="s">
        <v>3047</v>
      </c>
      <c r="N1461" s="142">
        <f>B1461*IBGE_2!N$1461/100</f>
        <v>113.04699999999998</v>
      </c>
      <c r="O1461" s="142">
        <f>B1461*IBGE_2!O$1461/100</f>
        <v>10.004</v>
      </c>
      <c r="P1461" s="142">
        <f>B1461*IBGE_2!P$1461/100</f>
        <v>3.0000000000000001E-3</v>
      </c>
      <c r="Q1461" s="142">
        <f>B1461*IBGE_2!Q$1461/100</f>
        <v>91.037999999999997</v>
      </c>
      <c r="R1461" s="142">
        <f>B1461*IBGE_2!R$1461/100</f>
        <v>0.03</v>
      </c>
      <c r="S1461" s="142">
        <f>B1461*IBGE_2!S$1461/100</f>
        <v>40.017000000000003</v>
      </c>
      <c r="T1461" s="142">
        <f>B1461*IBGE_2!T$1461/100</f>
        <v>143.059</v>
      </c>
      <c r="U1461" s="142">
        <f>B1461*IBGE_2!U$1461/100</f>
        <v>1.0999999999999999E-2</v>
      </c>
      <c r="V1461" s="142">
        <f>B1461*IBGE_2!V$1461/100</f>
        <v>0.4</v>
      </c>
      <c r="W1461" s="142">
        <f>B1461*IBGE_2!W$1461/100</f>
        <v>28.011999999999997</v>
      </c>
      <c r="X1461" s="142">
        <f>B1461*IBGE_2!X$1461/100</f>
        <v>4.3999999999999997E-2</v>
      </c>
      <c r="Y1461" s="142">
        <f>B1461*IBGE_2!Y$1461/100</f>
        <v>0.183</v>
      </c>
      <c r="Z1461" s="142">
        <f>B1461*IBGE_2!Z$1461/100</f>
        <v>3.5999999999999997E-2</v>
      </c>
      <c r="AA1461" s="142">
        <f>B1461*IBGE_2!AA$1461/100</f>
        <v>0.107</v>
      </c>
      <c r="AB1461" s="142" t="s">
        <v>3047</v>
      </c>
      <c r="AC1461" s="142">
        <f>B1461*IBGE_2!AC$1461/100</f>
        <v>1.3580000000000001</v>
      </c>
      <c r="AD1461" s="142">
        <f>B1461*IBGE_2!AD$1461/100</f>
        <v>0.44</v>
      </c>
      <c r="AE1461" s="142">
        <f>B1461*IBGE_2!AE$1461/100</f>
        <v>5.0019999999999998</v>
      </c>
      <c r="AF1461" s="142">
        <f>B1461*IBGE_2!AF$1461/100</f>
        <v>1</v>
      </c>
      <c r="AG1461" s="142">
        <f>B1461*IBGE_2!AG$1461/100</f>
        <v>0.06</v>
      </c>
      <c r="AH1461" s="142">
        <f>B1461*IBGE_2!AH$1461/100</f>
        <v>0.11600000000000002</v>
      </c>
      <c r="AI1461" s="142" t="s">
        <v>3047</v>
      </c>
      <c r="AJ1461" s="142">
        <f>B1461*IBGE_2!AJ$1461/100</f>
        <v>3.702</v>
      </c>
      <c r="AK1461" s="142">
        <f>B1461*IBGE_2!AK$1461/100</f>
        <v>28.428000000000001</v>
      </c>
      <c r="AL1461" s="142">
        <f>B1461*IBGE_2!AL$1461/100</f>
        <v>5.2619999999999996</v>
      </c>
      <c r="AM1461" s="145" t="s">
        <v>3047</v>
      </c>
      <c r="AN1461" s="161"/>
    </row>
    <row r="1462" spans="1:40">
      <c r="A1462" s="143" t="s">
        <v>2522</v>
      </c>
      <c r="B1462" s="141">
        <v>100</v>
      </c>
      <c r="C1462" s="142">
        <f>B1462*IBGE_2!C$1462/100</f>
        <v>102</v>
      </c>
      <c r="D1462" s="142">
        <f>B1462*IBGE_2!D$1462/100</f>
        <v>4.37</v>
      </c>
      <c r="E1462" s="142">
        <f>B1462*IBGE_2!E$1462/100</f>
        <v>1.08</v>
      </c>
      <c r="F1462" s="142">
        <f>B1462*IBGE_2!F$1462/100</f>
        <v>0.69699999999999984</v>
      </c>
      <c r="G1462" s="142">
        <f>B1462*IBGE_2!G$1462/100</f>
        <v>0.29699999999999999</v>
      </c>
      <c r="H1462" s="142">
        <f>B1462*IBGE_2!H$1462/100</f>
        <v>3.1E-2</v>
      </c>
      <c r="I1462" s="142">
        <f>B1462*IBGE_2!I$1462/100</f>
        <v>2.1999999999999999E-2</v>
      </c>
      <c r="J1462" s="142">
        <f>B1462*IBGE_2!J$1462/100</f>
        <v>8.9999999999999993E-3</v>
      </c>
      <c r="K1462" s="142">
        <f>B1462*IBGE_2!K$1462/100</f>
        <v>4</v>
      </c>
      <c r="L1462" s="142">
        <f>B1462*IBGE_2!L$1462/100</f>
        <v>19.05</v>
      </c>
      <c r="M1462" s="142">
        <f>B1462*IBGE_2!M$1462/100</f>
        <v>0.29499999999999998</v>
      </c>
      <c r="N1462" s="142">
        <f>B1462*IBGE_2!N$1462/100</f>
        <v>152</v>
      </c>
      <c r="O1462" s="142">
        <f>B1462*IBGE_2!O$1462/100</f>
        <v>15</v>
      </c>
      <c r="P1462" s="142">
        <f>B1462*IBGE_2!P$1462/100</f>
        <v>6.5000000000000002E-2</v>
      </c>
      <c r="Q1462" s="142">
        <f>B1462*IBGE_2!Q$1462/100</f>
        <v>119</v>
      </c>
      <c r="R1462" s="142">
        <f>B1462*IBGE_2!R$1462/100</f>
        <v>7.0000000000000007E-2</v>
      </c>
      <c r="S1462" s="142">
        <f>B1462*IBGE_2!S$1462/100</f>
        <v>58</v>
      </c>
      <c r="T1462" s="142">
        <f>B1462*IBGE_2!T$1462/100</f>
        <v>195</v>
      </c>
      <c r="U1462" s="142">
        <f>B1462*IBGE_2!U$1462/100</f>
        <v>0.08</v>
      </c>
      <c r="V1462" s="142">
        <f>B1462*IBGE_2!V$1462/100</f>
        <v>0.74</v>
      </c>
      <c r="W1462" s="142">
        <f>B1462*IBGE_2!W$1462/100</f>
        <v>10</v>
      </c>
      <c r="X1462" s="142">
        <f>B1462*IBGE_2!X$1462/100</f>
        <v>3.6999999999999998E-2</v>
      </c>
      <c r="Y1462" s="142">
        <f>B1462*IBGE_2!Y$1462/100</f>
        <v>0.17800000000000002</v>
      </c>
      <c r="Z1462" s="142">
        <f>B1462*IBGE_2!Z$1462/100</f>
        <v>0.04</v>
      </c>
      <c r="AA1462" s="142">
        <f>B1462*IBGE_2!AA$1462/100</f>
        <v>9.5000000000000001E-2</v>
      </c>
      <c r="AB1462" s="142">
        <f>B1462*IBGE_2!AB$1462/100</f>
        <v>0.7</v>
      </c>
      <c r="AC1462" s="142">
        <f>B1462*IBGE_2!AC$1462/100</f>
        <v>0.51200000000000001</v>
      </c>
      <c r="AD1462" s="142">
        <f>B1462*IBGE_2!AD$1462/100</f>
        <v>0.47</v>
      </c>
      <c r="AE1462" s="142">
        <f>B1462*IBGE_2!AE$1462/100</f>
        <v>9</v>
      </c>
      <c r="AF1462" s="142">
        <f>B1462*IBGE_2!AF$1462/100</f>
        <v>0.01</v>
      </c>
      <c r="AG1462" s="142">
        <f>B1462*IBGE_2!AG$1462/100</f>
        <v>0.02</v>
      </c>
      <c r="AH1462" s="142">
        <f>B1462*IBGE_2!AH$1462/100</f>
        <v>0.03</v>
      </c>
      <c r="AI1462" s="142" t="s">
        <v>3047</v>
      </c>
      <c r="AJ1462" s="142">
        <f>B1462*IBGE_2!AJ$1462/100</f>
        <v>3.1</v>
      </c>
      <c r="AK1462" s="142">
        <f>B1462*IBGE_2!AK$1462/100</f>
        <v>10.167</v>
      </c>
      <c r="AL1462" s="142">
        <f>B1462*IBGE_2!AL$1462/100</f>
        <v>16.41</v>
      </c>
      <c r="AM1462" s="142">
        <f>B1462*IBGE_2!AM$1462/100</f>
        <v>13.003</v>
      </c>
      <c r="AN1462" s="161"/>
    </row>
    <row r="1463" spans="1:40">
      <c r="A1463" s="143" t="s">
        <v>2523</v>
      </c>
      <c r="B1463" s="141">
        <v>100</v>
      </c>
      <c r="C1463" s="142">
        <f>B1463*IBGE_2!C$1463/100</f>
        <v>51.353999999999999</v>
      </c>
      <c r="D1463" s="142">
        <f>B1463*IBGE_2!D$1463/100</f>
        <v>3.1120000000000001</v>
      </c>
      <c r="E1463" s="142">
        <f>B1463*IBGE_2!E$1463/100</f>
        <v>2.6539999999999999</v>
      </c>
      <c r="F1463" s="142">
        <f>B1463*IBGE_2!F$1463/100</f>
        <v>1.6539999999999997</v>
      </c>
      <c r="G1463" s="142">
        <f>B1463*IBGE_2!G$1463/100</f>
        <v>0.77800000000000002</v>
      </c>
      <c r="H1463" s="142">
        <f>B1463*IBGE_2!H$1463/100</f>
        <v>8.2000000000000017E-2</v>
      </c>
      <c r="I1463" s="142">
        <f>B1463*IBGE_2!I$1463/100</f>
        <v>5.7000000000000002E-2</v>
      </c>
      <c r="J1463" s="142">
        <f>B1463*IBGE_2!J$1463/100</f>
        <v>2.5000000000000001E-2</v>
      </c>
      <c r="K1463" s="142">
        <f>B1463*IBGE_2!K$1463/100</f>
        <v>10.288999999999998</v>
      </c>
      <c r="L1463" s="142">
        <f>B1463*IBGE_2!L$1463/100</f>
        <v>3.88</v>
      </c>
      <c r="M1463" s="142">
        <f>B1463*IBGE_2!M$1463/100</f>
        <v>8.2000000000000017E-2</v>
      </c>
      <c r="N1463" s="142">
        <f>B1463*IBGE_2!N$1463/100</f>
        <v>66.706999999999994</v>
      </c>
      <c r="O1463" s="142">
        <f>B1463*IBGE_2!O$1463/100</f>
        <v>6.6859999999999999</v>
      </c>
      <c r="P1463" s="142">
        <f>B1463*IBGE_2!P$1463/100</f>
        <v>1.7000000000000001E-2</v>
      </c>
      <c r="Q1463" s="142">
        <f>B1463*IBGE_2!Q$1463/100</f>
        <v>59.001999999999995</v>
      </c>
      <c r="R1463" s="142">
        <f>B1463*IBGE_2!R$1463/100</f>
        <v>5.800000000000001E-2</v>
      </c>
      <c r="S1463" s="142">
        <f>B1463*IBGE_2!S$1463/100</f>
        <v>33.450000000000003</v>
      </c>
      <c r="T1463" s="142">
        <f>B1463*IBGE_2!T$1463/100</f>
        <v>85.59099999999998</v>
      </c>
      <c r="U1463" s="142">
        <f>B1463*IBGE_2!U$1463/100</f>
        <v>3.1E-2</v>
      </c>
      <c r="V1463" s="142">
        <f>B1463*IBGE_2!V$1463/100</f>
        <v>0.27500000000000002</v>
      </c>
      <c r="W1463" s="142">
        <f>B1463*IBGE_2!W$1463/100</f>
        <v>50.436999999999998</v>
      </c>
      <c r="X1463" s="142">
        <f>B1463*IBGE_2!X$1463/100</f>
        <v>2.9000000000000005E-2</v>
      </c>
      <c r="Y1463" s="142">
        <f>B1463*IBGE_2!Y$1463/100</f>
        <v>0.114</v>
      </c>
      <c r="Z1463" s="142">
        <f>B1463*IBGE_2!Z$1463/100</f>
        <v>2.6000000000000002E-2</v>
      </c>
      <c r="AA1463" s="142">
        <f>B1463*IBGE_2!AA$1463/100</f>
        <v>7.0999999999999994E-2</v>
      </c>
      <c r="AB1463" s="142">
        <f>B1463*IBGE_2!AB$1463/100</f>
        <v>2.14</v>
      </c>
      <c r="AC1463" s="142">
        <f>B1463*IBGE_2!AC$1463/100</f>
        <v>0.60599999999999998</v>
      </c>
      <c r="AD1463" s="142">
        <f>B1463*IBGE_2!AD$1463/100</f>
        <v>0.27400000000000002</v>
      </c>
      <c r="AE1463" s="142">
        <f>B1463*IBGE_2!AE$1463/100</f>
        <v>4.0060000000000002</v>
      </c>
      <c r="AF1463" s="142">
        <f>B1463*IBGE_2!AF$1463/100</f>
        <v>0.54100000000000004</v>
      </c>
      <c r="AG1463" s="142">
        <f>B1463*IBGE_2!AG$1463/100</f>
        <v>8.7999999999999995E-2</v>
      </c>
      <c r="AH1463" s="142">
        <f>B1463*IBGE_2!AH$1463/100</f>
        <v>9.3000000000000013E-2</v>
      </c>
      <c r="AI1463" s="142" t="s">
        <v>3047</v>
      </c>
      <c r="AJ1463" s="142">
        <f>B1463*IBGE_2!AJ$1463/100</f>
        <v>2.11</v>
      </c>
      <c r="AK1463" s="142">
        <f>B1463*IBGE_2!AK$1463/100</f>
        <v>50.878999999999998</v>
      </c>
      <c r="AL1463" s="142">
        <f>B1463*IBGE_2!AL$1463/100</f>
        <v>2.9119999999999999</v>
      </c>
      <c r="AM1463" s="145" t="s">
        <v>3047</v>
      </c>
      <c r="AN1463" s="161"/>
    </row>
    <row r="1464" spans="1:40">
      <c r="A1464" s="143" t="s">
        <v>2524</v>
      </c>
      <c r="B1464" s="141">
        <v>100</v>
      </c>
      <c r="C1464" s="142">
        <f>B1464*IBGE_2!C$1464/100</f>
        <v>253.685</v>
      </c>
      <c r="D1464" s="142">
        <f>B1464*IBGE_2!D$1464/100</f>
        <v>7.8E-2</v>
      </c>
      <c r="E1464" s="142">
        <f>B1464*IBGE_2!E$1464/100</f>
        <v>28.524000000000001</v>
      </c>
      <c r="F1464" s="142">
        <f>B1464*IBGE_2!F$1464/100</f>
        <v>7.6349999999999998</v>
      </c>
      <c r="G1464" s="142">
        <f>B1464*IBGE_2!G$1464/100</f>
        <v>17.477</v>
      </c>
      <c r="H1464" s="142">
        <f>B1464*IBGE_2!H$1464/100</f>
        <v>2.1739999999999999</v>
      </c>
      <c r="I1464" s="142">
        <f>B1464*IBGE_2!I$1464/100</f>
        <v>2.117</v>
      </c>
      <c r="J1464" s="142">
        <f>B1464*IBGE_2!J$1464/100</f>
        <v>5.7000000000000002E-2</v>
      </c>
      <c r="K1464" s="142" t="s">
        <v>3047</v>
      </c>
      <c r="L1464" s="142">
        <f>B1464*IBGE_2!L$1464/100</f>
        <v>0.26700000000000002</v>
      </c>
      <c r="M1464" s="142" t="s">
        <v>3047</v>
      </c>
      <c r="N1464" s="142">
        <f>B1464*IBGE_2!N$1464/100</f>
        <v>2.3959999999999999</v>
      </c>
      <c r="O1464" s="142">
        <f>B1464*IBGE_2!O$1464/100</f>
        <v>0.65400000000000003</v>
      </c>
      <c r="P1464" s="142">
        <f>B1464*IBGE_2!P$1464/100</f>
        <v>1E-3</v>
      </c>
      <c r="Q1464" s="142">
        <f>B1464*IBGE_2!Q$1464/100</f>
        <v>1.7789999999999997</v>
      </c>
      <c r="R1464" s="142">
        <f>B1464*IBGE_2!R$1464/100</f>
        <v>1E-3</v>
      </c>
      <c r="S1464" s="142">
        <f>B1464*IBGE_2!S$1464/100</f>
        <v>500.56699999999995</v>
      </c>
      <c r="T1464" s="142">
        <f>B1464*IBGE_2!T$1464/100</f>
        <v>6.0730000000000004</v>
      </c>
      <c r="U1464" s="142">
        <f>B1464*IBGE_2!U$1464/100</f>
        <v>1.4000000000000002E-2</v>
      </c>
      <c r="V1464" s="142">
        <f>B1464*IBGE_2!V$1464/100</f>
        <v>7.0999999999999994E-2</v>
      </c>
      <c r="W1464" s="142">
        <f>B1464*IBGE_2!W$1464/100</f>
        <v>804</v>
      </c>
      <c r="X1464" s="142" t="s">
        <v>3047</v>
      </c>
      <c r="Y1464" s="142" t="s">
        <v>3047</v>
      </c>
      <c r="Z1464" s="142" t="s">
        <v>3047</v>
      </c>
      <c r="AA1464" s="142" t="s">
        <v>3047</v>
      </c>
      <c r="AB1464" s="142">
        <f>B1464*IBGE_2!AB$1464/100</f>
        <v>3.5999999999999997E-2</v>
      </c>
      <c r="AC1464" s="142">
        <f>B1464*IBGE_2!AC$1464/100</f>
        <v>1.7999999999999999E-2</v>
      </c>
      <c r="AD1464" s="142">
        <f>B1464*IBGE_2!AD$1464/100</f>
        <v>2.8000000000000004E-2</v>
      </c>
      <c r="AE1464" s="142">
        <f>B1464*IBGE_2!AE$1464/100</f>
        <v>0.35600000000000004</v>
      </c>
      <c r="AF1464" s="145" t="s">
        <v>3047</v>
      </c>
      <c r="AG1464" s="142">
        <f>B1464*IBGE_2!AG$1464/100</f>
        <v>1.6369999999999998</v>
      </c>
      <c r="AH1464" s="142">
        <f>B1464*IBGE_2!AH$1464/100</f>
        <v>3.5369999999999999</v>
      </c>
      <c r="AI1464" s="142" t="s">
        <v>3047</v>
      </c>
      <c r="AJ1464" s="145" t="s">
        <v>3047</v>
      </c>
      <c r="AK1464" s="142">
        <f>B1464*IBGE_2!AK$1464/100</f>
        <v>848.66699999999992</v>
      </c>
      <c r="AL1464" s="142">
        <f>B1464*IBGE_2!AL$1464/100</f>
        <v>0.32</v>
      </c>
      <c r="AM1464" s="145" t="s">
        <v>3047</v>
      </c>
      <c r="AN1464" s="161"/>
    </row>
    <row r="1465" spans="1:40">
      <c r="A1465" s="143" t="s">
        <v>2525</v>
      </c>
      <c r="B1465" s="141">
        <v>100</v>
      </c>
      <c r="C1465" s="142">
        <f>B1465*IBGE_2!C$1465/100</f>
        <v>60.024999999999999</v>
      </c>
      <c r="D1465" s="142">
        <f>B1465*IBGE_2!D$1465/100</f>
        <v>3.2210000000000001</v>
      </c>
      <c r="E1465" s="142">
        <f>B1465*IBGE_2!E$1465/100</f>
        <v>3.2509999999999994</v>
      </c>
      <c r="F1465" s="142">
        <f>B1465*IBGE_2!F$1465/100</f>
        <v>1.8660000000000003</v>
      </c>
      <c r="G1465" s="142">
        <f>B1465*IBGE_2!G$1465/100</f>
        <v>0.81200000000000006</v>
      </c>
      <c r="H1465" s="142">
        <f>B1465*IBGE_2!H$1465/100</f>
        <v>0.19500000000000001</v>
      </c>
      <c r="I1465" s="142">
        <f>B1465*IBGE_2!I$1465/100</f>
        <v>0.12</v>
      </c>
      <c r="J1465" s="142">
        <f>B1465*IBGE_2!J$1465/100</f>
        <v>7.4999999999999997E-2</v>
      </c>
      <c r="K1465" s="142">
        <f>B1465*IBGE_2!K$1465/100</f>
        <v>10.004</v>
      </c>
      <c r="L1465" s="142">
        <f>B1465*IBGE_2!L$1465/100</f>
        <v>4.5220000000000002</v>
      </c>
      <c r="M1465" s="142" t="s">
        <v>3047</v>
      </c>
      <c r="N1465" s="142">
        <f>B1465*IBGE_2!N$1465/100</f>
        <v>113.04699999999998</v>
      </c>
      <c r="O1465" s="142">
        <f>B1465*IBGE_2!O$1465/100</f>
        <v>10.004</v>
      </c>
      <c r="P1465" s="142">
        <f>B1465*IBGE_2!P$1465/100</f>
        <v>3.0000000000000001E-3</v>
      </c>
      <c r="Q1465" s="142">
        <f>B1465*IBGE_2!Q$1465/100</f>
        <v>91.037999999999997</v>
      </c>
      <c r="R1465" s="142">
        <f>B1465*IBGE_2!R$1465/100</f>
        <v>0.03</v>
      </c>
      <c r="S1465" s="142">
        <f>B1465*IBGE_2!S$1465/100</f>
        <v>40.017000000000003</v>
      </c>
      <c r="T1465" s="142">
        <f>B1465*IBGE_2!T$1465/100</f>
        <v>143.059</v>
      </c>
      <c r="U1465" s="142">
        <f>B1465*IBGE_2!U$1465/100</f>
        <v>1.0999999999999999E-2</v>
      </c>
      <c r="V1465" s="142">
        <f>B1465*IBGE_2!V$1465/100</f>
        <v>0.4</v>
      </c>
      <c r="W1465" s="142">
        <f>B1465*IBGE_2!W$1465/100</f>
        <v>28.011999999999997</v>
      </c>
      <c r="X1465" s="142">
        <f>B1465*IBGE_2!X$1465/100</f>
        <v>4.3999999999999997E-2</v>
      </c>
      <c r="Y1465" s="142">
        <f>B1465*IBGE_2!Y$1465/100</f>
        <v>0.183</v>
      </c>
      <c r="Z1465" s="142">
        <f>B1465*IBGE_2!Z$1465/100</f>
        <v>3.5999999999999997E-2</v>
      </c>
      <c r="AA1465" s="142">
        <f>B1465*IBGE_2!AA$1465/100</f>
        <v>0.107</v>
      </c>
      <c r="AB1465" s="142" t="s">
        <v>3047</v>
      </c>
      <c r="AC1465" s="142">
        <f>B1465*IBGE_2!AC$1465/100</f>
        <v>1.3580000000000001</v>
      </c>
      <c r="AD1465" s="142">
        <f>B1465*IBGE_2!AD$1465/100</f>
        <v>0.44</v>
      </c>
      <c r="AE1465" s="142">
        <f>B1465*IBGE_2!AE$1465/100</f>
        <v>5.0019999999999998</v>
      </c>
      <c r="AF1465" s="142">
        <f>B1465*IBGE_2!AF$1465/100</f>
        <v>1</v>
      </c>
      <c r="AG1465" s="142">
        <f>B1465*IBGE_2!AG$1465/100</f>
        <v>0.06</v>
      </c>
      <c r="AH1465" s="142">
        <f>B1465*IBGE_2!AH$1465/100</f>
        <v>0.11600000000000002</v>
      </c>
      <c r="AI1465" s="142" t="s">
        <v>3047</v>
      </c>
      <c r="AJ1465" s="142">
        <f>B1465*IBGE_2!AJ$1465/100</f>
        <v>3.702</v>
      </c>
      <c r="AK1465" s="142">
        <f>B1465*IBGE_2!AK$1465/100</f>
        <v>28.428000000000001</v>
      </c>
      <c r="AL1465" s="142">
        <f>B1465*IBGE_2!AL$1465/100</f>
        <v>5.2619999999999996</v>
      </c>
      <c r="AM1465" s="145" t="s">
        <v>3047</v>
      </c>
      <c r="AN1465" s="161"/>
    </row>
    <row r="1466" spans="1:40">
      <c r="A1466" s="143" t="s">
        <v>2526</v>
      </c>
      <c r="B1466" s="141">
        <v>100</v>
      </c>
      <c r="C1466" s="142">
        <f>B1466*IBGE_2!C$1466/100</f>
        <v>60.024999999999999</v>
      </c>
      <c r="D1466" s="142">
        <f>B1466*IBGE_2!D$1466/100</f>
        <v>3.2210000000000001</v>
      </c>
      <c r="E1466" s="142">
        <f>B1466*IBGE_2!E$1466/100</f>
        <v>3.2509999999999994</v>
      </c>
      <c r="F1466" s="142">
        <f>B1466*IBGE_2!F$1466/100</f>
        <v>1.8660000000000003</v>
      </c>
      <c r="G1466" s="142">
        <f>B1466*IBGE_2!G$1466/100</f>
        <v>0.81200000000000006</v>
      </c>
      <c r="H1466" s="142">
        <f>B1466*IBGE_2!H$1466/100</f>
        <v>0.19500000000000001</v>
      </c>
      <c r="I1466" s="142">
        <f>B1466*IBGE_2!I$1466/100</f>
        <v>0.12</v>
      </c>
      <c r="J1466" s="142">
        <f>B1466*IBGE_2!J$1466/100</f>
        <v>7.4999999999999997E-2</v>
      </c>
      <c r="K1466" s="142">
        <f>B1466*IBGE_2!K$1466/100</f>
        <v>10.004</v>
      </c>
      <c r="L1466" s="142">
        <f>B1466*IBGE_2!L$1466/100</f>
        <v>4.5220000000000002</v>
      </c>
      <c r="M1466" s="142" t="s">
        <v>3047</v>
      </c>
      <c r="N1466" s="142">
        <f>B1466*IBGE_2!N$1466/100</f>
        <v>113.04699999999998</v>
      </c>
      <c r="O1466" s="142">
        <f>B1466*IBGE_2!O$1466/100</f>
        <v>10.004</v>
      </c>
      <c r="P1466" s="142">
        <f>B1466*IBGE_2!P$1466/100</f>
        <v>3.0000000000000001E-3</v>
      </c>
      <c r="Q1466" s="142">
        <f>B1466*IBGE_2!Q$1466/100</f>
        <v>91.037999999999997</v>
      </c>
      <c r="R1466" s="142">
        <f>B1466*IBGE_2!R$1466/100</f>
        <v>0.03</v>
      </c>
      <c r="S1466" s="142">
        <f>B1466*IBGE_2!S$1466/100</f>
        <v>40.017000000000003</v>
      </c>
      <c r="T1466" s="142">
        <f>B1466*IBGE_2!T$1466/100</f>
        <v>143.059</v>
      </c>
      <c r="U1466" s="142">
        <f>B1466*IBGE_2!U$1466/100</f>
        <v>1.0999999999999999E-2</v>
      </c>
      <c r="V1466" s="142">
        <f>B1466*IBGE_2!V$1466/100</f>
        <v>0.4</v>
      </c>
      <c r="W1466" s="142">
        <f>B1466*IBGE_2!W$1466/100</f>
        <v>28.011999999999997</v>
      </c>
      <c r="X1466" s="142">
        <f>B1466*IBGE_2!X$1466/100</f>
        <v>4.3999999999999997E-2</v>
      </c>
      <c r="Y1466" s="142">
        <f>B1466*IBGE_2!Y$1466/100</f>
        <v>0.183</v>
      </c>
      <c r="Z1466" s="142">
        <f>B1466*IBGE_2!Z$1466/100</f>
        <v>3.5999999999999997E-2</v>
      </c>
      <c r="AA1466" s="142">
        <f>B1466*IBGE_2!AA$1466/100</f>
        <v>0.107</v>
      </c>
      <c r="AB1466" s="142" t="s">
        <v>3047</v>
      </c>
      <c r="AC1466" s="142">
        <f>B1466*IBGE_2!AC$1466/100</f>
        <v>1.3580000000000001</v>
      </c>
      <c r="AD1466" s="142">
        <f>B1466*IBGE_2!AD$1466/100</f>
        <v>0.44</v>
      </c>
      <c r="AE1466" s="142">
        <f>B1466*IBGE_2!AE$1466/100</f>
        <v>5.0019999999999998</v>
      </c>
      <c r="AF1466" s="145" t="s">
        <v>3047</v>
      </c>
      <c r="AG1466" s="142">
        <f>B1466*IBGE_2!AG$1466/100</f>
        <v>0.06</v>
      </c>
      <c r="AH1466" s="142">
        <f>B1466*IBGE_2!AH$1466/100</f>
        <v>0.11600000000000002</v>
      </c>
      <c r="AI1466" s="142" t="s">
        <v>3047</v>
      </c>
      <c r="AJ1466" s="142">
        <f>B1466*IBGE_2!AJ$1466/100</f>
        <v>3.702</v>
      </c>
      <c r="AK1466" s="142">
        <f>B1466*IBGE_2!AK$1466/100</f>
        <v>28.428000000000001</v>
      </c>
      <c r="AL1466" s="142">
        <f>B1466*IBGE_2!AL$1466/100</f>
        <v>5.2619999999999996</v>
      </c>
      <c r="AM1466" s="145" t="s">
        <v>3047</v>
      </c>
      <c r="AN1466" s="161"/>
    </row>
    <row r="1467" spans="1:40">
      <c r="A1467" s="143" t="s">
        <v>2527</v>
      </c>
      <c r="B1467" s="141">
        <v>100</v>
      </c>
      <c r="C1467" s="142">
        <f>B1467*IBGE_2!C$1467/100</f>
        <v>42</v>
      </c>
      <c r="D1467" s="142">
        <f>B1467*IBGE_2!D$1467/100</f>
        <v>3.37</v>
      </c>
      <c r="E1467" s="142">
        <f>B1467*IBGE_2!E$1467/100</f>
        <v>0.97</v>
      </c>
      <c r="F1467" s="142">
        <f>B1467*IBGE_2!F$1467/100</f>
        <v>0.63300000000000001</v>
      </c>
      <c r="G1467" s="142">
        <f>B1467*IBGE_2!G$1467/100</f>
        <v>0.27700000000000002</v>
      </c>
      <c r="H1467" s="142">
        <f>B1467*IBGE_2!H$1467/100</f>
        <v>3.5000000000000003E-2</v>
      </c>
      <c r="I1467" s="142">
        <f>B1467*IBGE_2!I$1467/100</f>
        <v>0.03</v>
      </c>
      <c r="J1467" s="142">
        <f>B1467*IBGE_2!J$1467/100</f>
        <v>4.0000000000000001E-3</v>
      </c>
      <c r="K1467" s="142">
        <f>B1467*IBGE_2!K$1467/100</f>
        <v>5</v>
      </c>
      <c r="L1467" s="142">
        <f>B1467*IBGE_2!L$1467/100</f>
        <v>4.99</v>
      </c>
      <c r="M1467" s="142" t="s">
        <v>3047</v>
      </c>
      <c r="N1467" s="142">
        <f>B1467*IBGE_2!N$1467/100</f>
        <v>119</v>
      </c>
      <c r="O1467" s="142">
        <f>B1467*IBGE_2!O$1467/100</f>
        <v>11</v>
      </c>
      <c r="P1467" s="142">
        <f>B1467*IBGE_2!P$1467/100</f>
        <v>3.0000000000000001E-3</v>
      </c>
      <c r="Q1467" s="142">
        <f>B1467*IBGE_2!Q$1467/100</f>
        <v>95</v>
      </c>
      <c r="R1467" s="142">
        <f>B1467*IBGE_2!R$1467/100</f>
        <v>0.03</v>
      </c>
      <c r="S1467" s="142">
        <f>B1467*IBGE_2!S$1467/100</f>
        <v>44</v>
      </c>
      <c r="T1467" s="142">
        <f>B1467*IBGE_2!T$1467/100</f>
        <v>150</v>
      </c>
      <c r="U1467" s="142">
        <f>B1467*IBGE_2!U$1467/100</f>
        <v>0.01</v>
      </c>
      <c r="V1467" s="142">
        <f>B1467*IBGE_2!V$1467/100</f>
        <v>0.42</v>
      </c>
      <c r="W1467" s="142">
        <f>B1467*IBGE_2!W$1467/100</f>
        <v>58</v>
      </c>
      <c r="X1467" s="142">
        <f>B1467*IBGE_2!X$1467/100</f>
        <v>0.02</v>
      </c>
      <c r="Y1467" s="142">
        <f>B1467*IBGE_2!Y$1467/100</f>
        <v>0.185</v>
      </c>
      <c r="Z1467" s="142">
        <f>B1467*IBGE_2!Z$1467/100</f>
        <v>3.6999999999999998E-2</v>
      </c>
      <c r="AA1467" s="142">
        <f>B1467*IBGE_2!AA$1467/100</f>
        <v>9.3000000000000013E-2</v>
      </c>
      <c r="AB1467" s="142" t="s">
        <v>3047</v>
      </c>
      <c r="AC1467" s="142">
        <f>B1467*IBGE_2!AC$1467/100</f>
        <v>0.76</v>
      </c>
      <c r="AD1467" s="142">
        <f>B1467*IBGE_2!AD$1467/100</f>
        <v>0.44</v>
      </c>
      <c r="AE1467" s="142">
        <f>B1467*IBGE_2!AE$1467/100</f>
        <v>5</v>
      </c>
      <c r="AF1467" s="142">
        <f>B1467*IBGE_2!AF$1467/100</f>
        <v>1.3</v>
      </c>
      <c r="AG1467" s="142">
        <f>B1467*IBGE_2!AG$1467/100</f>
        <v>0.01</v>
      </c>
      <c r="AH1467" s="142">
        <f>B1467*IBGE_2!AH$1467/100</f>
        <v>0.04</v>
      </c>
      <c r="AI1467" s="142" t="s">
        <v>3047</v>
      </c>
      <c r="AJ1467" s="142">
        <f>B1467*IBGE_2!AJ$1467/100</f>
        <v>3.3</v>
      </c>
      <c r="AK1467" s="142">
        <f>B1467*IBGE_2!AK$1467/100</f>
        <v>58.167000000000002</v>
      </c>
      <c r="AL1467" s="142">
        <f>B1467*IBGE_2!AL$1467/100</f>
        <v>5.2</v>
      </c>
      <c r="AM1467" s="145" t="s">
        <v>3047</v>
      </c>
      <c r="AN1467" s="161"/>
    </row>
    <row r="1468" spans="1:40">
      <c r="A1468" s="143" t="s">
        <v>2528</v>
      </c>
      <c r="B1468" s="141">
        <v>100</v>
      </c>
      <c r="C1468" s="142">
        <f>B1468*IBGE_2!C$1468/100</f>
        <v>292</v>
      </c>
      <c r="D1468" s="142">
        <f>B1468*IBGE_2!D$1468/100</f>
        <v>2.17</v>
      </c>
      <c r="E1468" s="142">
        <f>B1468*IBGE_2!E$1468/100</f>
        <v>30.91</v>
      </c>
      <c r="F1468" s="142">
        <f>B1468*IBGE_2!F$1468/100</f>
        <v>19.337</v>
      </c>
      <c r="G1468" s="142">
        <f>B1468*IBGE_2!G$1468/100</f>
        <v>9.093</v>
      </c>
      <c r="H1468" s="142">
        <f>B1468*IBGE_2!H$1468/100</f>
        <v>0.88400000000000001</v>
      </c>
      <c r="I1468" s="142">
        <f>B1468*IBGE_2!I$1468/100</f>
        <v>0.61799999999999999</v>
      </c>
      <c r="J1468" s="142">
        <f>B1468*IBGE_2!J$1468/100</f>
        <v>0.26600000000000001</v>
      </c>
      <c r="K1468" s="142">
        <f>B1468*IBGE_2!K$1468/100</f>
        <v>111</v>
      </c>
      <c r="L1468" s="142">
        <f>B1468*IBGE_2!L$1468/100</f>
        <v>2.96</v>
      </c>
      <c r="M1468" s="142" t="s">
        <v>3047</v>
      </c>
      <c r="N1468" s="142">
        <f>B1468*IBGE_2!N$1468/100</f>
        <v>69</v>
      </c>
      <c r="O1468" s="142">
        <f>B1468*IBGE_2!O$1468/100</f>
        <v>7</v>
      </c>
      <c r="P1468" s="142">
        <f>B1468*IBGE_2!P$1468/100</f>
        <v>1E-3</v>
      </c>
      <c r="Q1468" s="142">
        <f>B1468*IBGE_2!Q$1468/100</f>
        <v>61</v>
      </c>
      <c r="R1468" s="142">
        <f>B1468*IBGE_2!R$1468/100</f>
        <v>0.03</v>
      </c>
      <c r="S1468" s="142">
        <f>B1468*IBGE_2!S$1468/100</f>
        <v>34</v>
      </c>
      <c r="T1468" s="142">
        <f>B1468*IBGE_2!T$1468/100</f>
        <v>97</v>
      </c>
      <c r="U1468" s="142">
        <f>B1468*IBGE_2!U$1468/100</f>
        <v>7.000000000000001E-3</v>
      </c>
      <c r="V1468" s="142">
        <f>B1468*IBGE_2!V$1468/100</f>
        <v>0.25</v>
      </c>
      <c r="W1468" s="142">
        <f>B1468*IBGE_2!W$1468/100</f>
        <v>274</v>
      </c>
      <c r="X1468" s="142">
        <f>B1468*IBGE_2!X$1468/100</f>
        <v>2.4E-2</v>
      </c>
      <c r="Y1468" s="142">
        <f>B1468*IBGE_2!Y$1468/100</f>
        <v>0.125</v>
      </c>
      <c r="Z1468" s="142">
        <f>B1468*IBGE_2!Z$1468/100</f>
        <v>2.8000000000000004E-2</v>
      </c>
      <c r="AA1468" s="142">
        <f>B1468*IBGE_2!AA$1468/100</f>
        <v>4.2000000000000003E-2</v>
      </c>
      <c r="AB1468" s="142">
        <f>B1468*IBGE_2!AB$1468/100</f>
        <v>0.6</v>
      </c>
      <c r="AC1468" s="142">
        <f>B1468*IBGE_2!AC$1468/100</f>
        <v>0.55900000000000005</v>
      </c>
      <c r="AD1468" s="142">
        <f>B1468*IBGE_2!AD$1468/100</f>
        <v>0.2</v>
      </c>
      <c r="AE1468" s="142">
        <f>B1468*IBGE_2!AE$1468/100</f>
        <v>4</v>
      </c>
      <c r="AF1468" s="142">
        <f>B1468*IBGE_2!AF$1468/100</f>
        <v>1.1000000000000001</v>
      </c>
      <c r="AG1468" s="142">
        <f>B1468*IBGE_2!AG$1468/100</f>
        <v>0.88</v>
      </c>
      <c r="AH1468" s="142">
        <f>B1468*IBGE_2!AH$1468/100</f>
        <v>1.1000000000000001</v>
      </c>
      <c r="AI1468" s="142" t="s">
        <v>3047</v>
      </c>
      <c r="AJ1468" s="142">
        <f>B1468*IBGE_2!AJ$1468/100</f>
        <v>0.5</v>
      </c>
      <c r="AK1468" s="142">
        <f>B1468*IBGE_2!AK$1468/100</f>
        <v>279</v>
      </c>
      <c r="AL1468" s="142">
        <f>B1468*IBGE_2!AL$1468/100</f>
        <v>2.8</v>
      </c>
      <c r="AM1468" s="145" t="s">
        <v>3047</v>
      </c>
      <c r="AN1468" s="161"/>
    </row>
    <row r="1469" spans="1:40">
      <c r="A1469" s="143" t="s">
        <v>2529</v>
      </c>
      <c r="B1469" s="141">
        <v>100</v>
      </c>
      <c r="C1469" s="142">
        <f>B1469*IBGE_2!C$1469/100</f>
        <v>98.694000000000003</v>
      </c>
      <c r="D1469" s="142">
        <f>B1469*IBGE_2!D$1469/100</f>
        <v>3.46</v>
      </c>
      <c r="E1469" s="142">
        <f>B1469*IBGE_2!E$1469/100</f>
        <v>3.4660000000000002</v>
      </c>
      <c r="F1469" s="142">
        <f>B1469*IBGE_2!F$1469/100</f>
        <v>1.976</v>
      </c>
      <c r="G1469" s="142">
        <f>B1469*IBGE_2!G$1469/100</f>
        <v>0.86299999999999999</v>
      </c>
      <c r="H1469" s="142">
        <f>B1469*IBGE_2!H$1469/100</f>
        <v>0.218</v>
      </c>
      <c r="I1469" s="142">
        <f>B1469*IBGE_2!I$1469/100</f>
        <v>0.13400000000000001</v>
      </c>
      <c r="J1469" s="142">
        <f>B1469*IBGE_2!J$1469/100</f>
        <v>8.4000000000000005E-2</v>
      </c>
      <c r="K1469" s="142">
        <f>B1469*IBGE_2!K$1469/100</f>
        <v>10.587999999999999</v>
      </c>
      <c r="L1469" s="142">
        <f>B1469*IBGE_2!L$1469/100</f>
        <v>14.62</v>
      </c>
      <c r="M1469" s="142">
        <f>B1469*IBGE_2!M$1469/100</f>
        <v>2.1320000000000001</v>
      </c>
      <c r="N1469" s="142">
        <f>B1469*IBGE_2!N$1469/100</f>
        <v>120.929</v>
      </c>
      <c r="O1469" s="142">
        <f>B1469*IBGE_2!O$1469/100</f>
        <v>11.518000000000002</v>
      </c>
      <c r="P1469" s="142">
        <f>B1469*IBGE_2!P$1469/100</f>
        <v>3.1E-2</v>
      </c>
      <c r="Q1469" s="142">
        <f>B1469*IBGE_2!Q$1469/100</f>
        <v>98.070999999999998</v>
      </c>
      <c r="R1469" s="142">
        <f>B1469*IBGE_2!R$1469/100</f>
        <v>9.3000000000000013E-2</v>
      </c>
      <c r="S1469" s="142">
        <f>B1469*IBGE_2!S$1469/100</f>
        <v>44.776000000000003</v>
      </c>
      <c r="T1469" s="142">
        <f>B1469*IBGE_2!T$1469/100</f>
        <v>162.435</v>
      </c>
      <c r="U1469" s="142">
        <f>B1469*IBGE_2!U$1469/100</f>
        <v>0.02</v>
      </c>
      <c r="V1469" s="142">
        <f>B1469*IBGE_2!V$1469/100</f>
        <v>0.439</v>
      </c>
      <c r="W1469" s="142">
        <f>B1469*IBGE_2!W$1469/100</f>
        <v>29.646999999999998</v>
      </c>
      <c r="X1469" s="142">
        <f>B1469*IBGE_2!X$1469/100</f>
        <v>4.8000000000000001E-2</v>
      </c>
      <c r="Y1469" s="142">
        <f>B1469*IBGE_2!Y$1469/100</f>
        <v>0.19699999999999998</v>
      </c>
      <c r="Z1469" s="142">
        <f>B1469*IBGE_2!Z$1469/100</f>
        <v>4.2000000000000003E-2</v>
      </c>
      <c r="AA1469" s="142">
        <f>B1469*IBGE_2!AA$1469/100</f>
        <v>0.14099999999999999</v>
      </c>
      <c r="AB1469" s="142">
        <f>B1469*IBGE_2!AB$1469/100</f>
        <v>4.1509999999999998</v>
      </c>
      <c r="AC1469" s="142">
        <f>B1469*IBGE_2!AC$1469/100</f>
        <v>1.474</v>
      </c>
      <c r="AD1469" s="142">
        <f>B1469*IBGE_2!AD$1469/100</f>
        <v>0.46600000000000003</v>
      </c>
      <c r="AE1469" s="142">
        <f>B1469*IBGE_2!AE$1469/100</f>
        <v>7</v>
      </c>
      <c r="AF1469" s="142">
        <f>B1469*IBGE_2!AF$1469/100</f>
        <v>6.4000000000000001E-2</v>
      </c>
      <c r="AG1469" s="142">
        <f>B1469*IBGE_2!AG$1469/100</f>
        <v>8.3000000000000004E-2</v>
      </c>
      <c r="AH1469" s="142">
        <f>B1469*IBGE_2!AH$1469/100</f>
        <v>0.12300000000000001</v>
      </c>
      <c r="AI1469" s="142" t="s">
        <v>3047</v>
      </c>
      <c r="AJ1469" s="142">
        <f>B1469*IBGE_2!AJ$1469/100</f>
        <v>3.988</v>
      </c>
      <c r="AK1469" s="142">
        <f>B1469*IBGE_2!AK$1469/100</f>
        <v>30.131</v>
      </c>
      <c r="AL1469" s="142">
        <f>B1469*IBGE_2!AL$1469/100</f>
        <v>13.055999999999999</v>
      </c>
      <c r="AM1469" s="142">
        <f>B1469*IBGE_2!AM$1469/100</f>
        <v>7.0570000000000004</v>
      </c>
      <c r="AN1469" s="161"/>
    </row>
    <row r="1470" spans="1:40">
      <c r="A1470" s="143" t="s">
        <v>2530</v>
      </c>
      <c r="B1470" s="141">
        <v>100</v>
      </c>
      <c r="C1470" s="142">
        <f>B1470*IBGE_2!C$1470/100</f>
        <v>95</v>
      </c>
      <c r="D1470" s="142">
        <f>B1470*IBGE_2!D$1470/100</f>
        <v>4.4000000000000004</v>
      </c>
      <c r="E1470" s="142">
        <f>B1470*IBGE_2!E$1470/100</f>
        <v>0.2</v>
      </c>
      <c r="F1470" s="142">
        <f>B1470*IBGE_2!F$1470/100</f>
        <v>0.11899999999999998</v>
      </c>
      <c r="G1470" s="142">
        <f>B1470*IBGE_2!G$1470/100</f>
        <v>0.05</v>
      </c>
      <c r="H1470" s="142">
        <f>B1470*IBGE_2!H$1470/100</f>
        <v>1.6E-2</v>
      </c>
      <c r="I1470" s="142">
        <f>B1470*IBGE_2!I$1470/100</f>
        <v>0.01</v>
      </c>
      <c r="J1470" s="142">
        <f>B1470*IBGE_2!J$1470/100</f>
        <v>6.0000000000000001E-3</v>
      </c>
      <c r="K1470" s="142">
        <f>B1470*IBGE_2!K$1470/100</f>
        <v>2</v>
      </c>
      <c r="L1470" s="142">
        <f>B1470*IBGE_2!L$1470/100</f>
        <v>19</v>
      </c>
      <c r="M1470" s="142" t="s">
        <v>3047</v>
      </c>
      <c r="N1470" s="142">
        <f>B1470*IBGE_2!N$1470/100</f>
        <v>152</v>
      </c>
      <c r="O1470" s="142">
        <f>B1470*IBGE_2!O$1470/100</f>
        <v>15</v>
      </c>
      <c r="P1470" s="142">
        <f>B1470*IBGE_2!P$1470/100</f>
        <v>3.5000000000000003E-2</v>
      </c>
      <c r="Q1470" s="142">
        <f>B1470*IBGE_2!Q$1470/100</f>
        <v>119</v>
      </c>
      <c r="R1470" s="142">
        <f>B1470*IBGE_2!R$1470/100</f>
        <v>7.0000000000000007E-2</v>
      </c>
      <c r="S1470" s="142">
        <f>B1470*IBGE_2!S$1470/100</f>
        <v>58</v>
      </c>
      <c r="T1470" s="142">
        <f>B1470*IBGE_2!T$1470/100</f>
        <v>194</v>
      </c>
      <c r="U1470" s="142">
        <f>B1470*IBGE_2!U$1470/100</f>
        <v>1.0999999999999999E-2</v>
      </c>
      <c r="V1470" s="142">
        <f>B1470*IBGE_2!V$1470/100</f>
        <v>0.74</v>
      </c>
      <c r="W1470" s="142">
        <f>B1470*IBGE_2!W$1470/100</f>
        <v>2</v>
      </c>
      <c r="X1470" s="142">
        <f>B1470*IBGE_2!X$1470/100</f>
        <v>0.04</v>
      </c>
      <c r="Y1470" s="142">
        <f>B1470*IBGE_2!Y$1470/100</f>
        <v>0.18</v>
      </c>
      <c r="Z1470" s="142">
        <f>B1470*IBGE_2!Z$1470/100</f>
        <v>0.04</v>
      </c>
      <c r="AA1470" s="142">
        <f>B1470*IBGE_2!AA$1470/100</f>
        <v>0.1</v>
      </c>
      <c r="AB1470" s="142">
        <f>B1470*IBGE_2!AB$1470/100</f>
        <v>0.7</v>
      </c>
      <c r="AC1470" s="142">
        <f>B1470*IBGE_2!AC$1470/100</f>
        <v>0.56699999999999995</v>
      </c>
      <c r="AD1470" s="142">
        <f>B1470*IBGE_2!AD$1470/100</f>
        <v>0.47</v>
      </c>
      <c r="AE1470" s="142">
        <f>B1470*IBGE_2!AE$1470/100</f>
        <v>9</v>
      </c>
      <c r="AF1470" s="145" t="s">
        <v>3047</v>
      </c>
      <c r="AG1470" s="142">
        <f>B1470*IBGE_2!AG$1470/100</f>
        <v>0.06</v>
      </c>
      <c r="AH1470" s="142">
        <f>B1470*IBGE_2!AH$1470/100</f>
        <v>5.0000000000000001E-3</v>
      </c>
      <c r="AI1470" s="142" t="s">
        <v>3047</v>
      </c>
      <c r="AJ1470" s="142">
        <f>B1470*IBGE_2!AJ$1470/100</f>
        <v>6</v>
      </c>
      <c r="AK1470" s="142">
        <f>B1470*IBGE_2!AK$1470/100</f>
        <v>2.3330000000000002</v>
      </c>
      <c r="AL1470" s="142">
        <f>B1470*IBGE_2!AL$1470/100</f>
        <v>18.542000000000002</v>
      </c>
      <c r="AM1470" s="142">
        <f>B1470*IBGE_2!AM$1470/100</f>
        <v>11.782</v>
      </c>
      <c r="AN1470" s="161"/>
    </row>
    <row r="1471" spans="1:40">
      <c r="A1471" s="143" t="s">
        <v>2531</v>
      </c>
      <c r="B1471" s="141">
        <v>100</v>
      </c>
      <c r="C1471" s="142">
        <f>B1471*IBGE_2!C$1471/100</f>
        <v>61</v>
      </c>
      <c r="D1471" s="142">
        <f>B1471*IBGE_2!D$1471/100</f>
        <v>3.47</v>
      </c>
      <c r="E1471" s="142">
        <f>B1471*IBGE_2!E$1471/100</f>
        <v>3.25</v>
      </c>
      <c r="F1471" s="142">
        <f>B1471*IBGE_2!F$1471/100</f>
        <v>2.0960000000000001</v>
      </c>
      <c r="G1471" s="142">
        <f>B1471*IBGE_2!G$1471/100</f>
        <v>0.89300000000000002</v>
      </c>
      <c r="H1471" s="142">
        <f>B1471*IBGE_2!H$1471/100</f>
        <v>9.1999999999999998E-2</v>
      </c>
      <c r="I1471" s="142">
        <f>B1471*IBGE_2!I$1471/100</f>
        <v>6.5000000000000002E-2</v>
      </c>
      <c r="J1471" s="142">
        <f>B1471*IBGE_2!J$1471/100</f>
        <v>2.7000000000000003E-2</v>
      </c>
      <c r="K1471" s="142">
        <f>B1471*IBGE_2!K$1471/100</f>
        <v>13</v>
      </c>
      <c r="L1471" s="142">
        <f>B1471*IBGE_2!L$1471/100</f>
        <v>4.66</v>
      </c>
      <c r="M1471" s="142" t="s">
        <v>3047</v>
      </c>
      <c r="N1471" s="142">
        <f>B1471*IBGE_2!N$1471/100</f>
        <v>121</v>
      </c>
      <c r="O1471" s="142">
        <f>B1471*IBGE_2!O$1471/100</f>
        <v>12</v>
      </c>
      <c r="P1471" s="142">
        <f>B1471*IBGE_2!P$1471/100</f>
        <v>4.0000000000000001E-3</v>
      </c>
      <c r="Q1471" s="142">
        <f>B1471*IBGE_2!Q$1471/100</f>
        <v>95</v>
      </c>
      <c r="R1471" s="142">
        <f>B1471*IBGE_2!R$1471/100</f>
        <v>0.05</v>
      </c>
      <c r="S1471" s="142">
        <f>B1471*IBGE_2!S$1471/100</f>
        <v>46</v>
      </c>
      <c r="T1471" s="142">
        <f>B1471*IBGE_2!T$1471/100</f>
        <v>155</v>
      </c>
      <c r="U1471" s="142">
        <f>B1471*IBGE_2!U$1471/100</f>
        <v>8.9999999999999993E-3</v>
      </c>
      <c r="V1471" s="142">
        <f>B1471*IBGE_2!V$1471/100</f>
        <v>0.59</v>
      </c>
      <c r="W1471" s="142">
        <f>B1471*IBGE_2!W$1471/100</f>
        <v>27</v>
      </c>
      <c r="X1471" s="142">
        <f>B1471*IBGE_2!X$1471/100</f>
        <v>2.9000000000000005E-2</v>
      </c>
      <c r="Y1471" s="142">
        <f>B1471*IBGE_2!Y$1471/100</f>
        <v>0.14199999999999999</v>
      </c>
      <c r="Z1471" s="142">
        <f>B1471*IBGE_2!Z$1471/100</f>
        <v>3.2000000000000001E-2</v>
      </c>
      <c r="AA1471" s="142">
        <f>B1471*IBGE_2!AA$1471/100</f>
        <v>7.4999999999999997E-2</v>
      </c>
      <c r="AB1471" s="142">
        <f>B1471*IBGE_2!AB$1471/100</f>
        <v>0.5</v>
      </c>
      <c r="AC1471" s="142">
        <f>B1471*IBGE_2!AC$1471/100</f>
        <v>0.40799999999999997</v>
      </c>
      <c r="AD1471" s="142">
        <f>B1471*IBGE_2!AD$1471/100</f>
        <v>0.37</v>
      </c>
      <c r="AE1471" s="142">
        <f>B1471*IBGE_2!AE$1471/100</f>
        <v>7</v>
      </c>
      <c r="AF1471" s="142">
        <f>B1471*IBGE_2!AF$1471/100</f>
        <v>0.04</v>
      </c>
      <c r="AG1471" s="142">
        <f>B1471*IBGE_2!AG$1471/100</f>
        <v>8.6999999999999994E-2</v>
      </c>
      <c r="AH1471" s="142">
        <f>B1471*IBGE_2!AH$1471/100</f>
        <v>7.0000000000000007E-2</v>
      </c>
      <c r="AI1471" s="142" t="s">
        <v>3047</v>
      </c>
      <c r="AJ1471" s="142">
        <f>B1471*IBGE_2!AJ$1471/100</f>
        <v>2.2000000000000002</v>
      </c>
      <c r="AK1471" s="142">
        <f>B1471*IBGE_2!AK$1471/100</f>
        <v>27.417000000000002</v>
      </c>
      <c r="AL1471" s="142">
        <f>B1471*IBGE_2!AL$1471/100</f>
        <v>3.39</v>
      </c>
      <c r="AM1471" s="145" t="s">
        <v>3047</v>
      </c>
      <c r="AN1471" s="161"/>
    </row>
    <row r="1472" spans="1:40">
      <c r="A1472" s="143" t="s">
        <v>2532</v>
      </c>
      <c r="B1472" s="141">
        <v>100</v>
      </c>
      <c r="C1472" s="142">
        <f>B1472*IBGE_2!C$1472/100</f>
        <v>302</v>
      </c>
      <c r="D1472" s="142">
        <f>B1472*IBGE_2!D$1472/100</f>
        <v>25.96</v>
      </c>
      <c r="E1472" s="142">
        <f>B1472*IBGE_2!E$1472/100</f>
        <v>20.03</v>
      </c>
      <c r="F1472" s="142">
        <f>B1472*IBGE_2!F$1472/100</f>
        <v>12.67</v>
      </c>
      <c r="G1472" s="142">
        <f>B1472*IBGE_2!G$1472/100</f>
        <v>5.73</v>
      </c>
      <c r="H1472" s="142">
        <f>B1472*IBGE_2!H$1472/100</f>
        <v>0.626</v>
      </c>
      <c r="I1472" s="142">
        <f>B1472*IBGE_2!I$1472/100</f>
        <v>0.44500000000000001</v>
      </c>
      <c r="J1472" s="142">
        <f>B1472*IBGE_2!J$1472/100</f>
        <v>0.182</v>
      </c>
      <c r="K1472" s="142">
        <f>B1472*IBGE_2!K$1472/100</f>
        <v>54</v>
      </c>
      <c r="L1472" s="142">
        <f>B1472*IBGE_2!L$1472/100</f>
        <v>3.83</v>
      </c>
      <c r="M1472" s="142" t="s">
        <v>3047</v>
      </c>
      <c r="N1472" s="142">
        <f>B1472*IBGE_2!N$1472/100</f>
        <v>731</v>
      </c>
      <c r="O1472" s="142">
        <f>B1472*IBGE_2!O$1472/100</f>
        <v>26</v>
      </c>
      <c r="P1472" s="142">
        <f>B1472*IBGE_2!P$1472/100</f>
        <v>1.0999999999999999E-2</v>
      </c>
      <c r="Q1472" s="142">
        <f>B1472*IBGE_2!Q$1472/100</f>
        <v>524</v>
      </c>
      <c r="R1472" s="142">
        <f>B1472*IBGE_2!R$1472/100</f>
        <v>0.25</v>
      </c>
      <c r="S1472" s="142">
        <f>B1472*IBGE_2!S$1472/100</f>
        <v>16</v>
      </c>
      <c r="T1472" s="142">
        <f>B1472*IBGE_2!T$1472/100</f>
        <v>95</v>
      </c>
      <c r="U1472" s="142">
        <f>B1472*IBGE_2!U$1472/100</f>
        <v>2.7000000000000003E-2</v>
      </c>
      <c r="V1472" s="142">
        <f>B1472*IBGE_2!V$1472/100</f>
        <v>3.13</v>
      </c>
      <c r="W1472" s="142">
        <f>B1472*IBGE_2!W$1472/100</f>
        <v>133</v>
      </c>
      <c r="X1472" s="142">
        <f>B1472*IBGE_2!X$1472/100</f>
        <v>0.10100000000000002</v>
      </c>
      <c r="Y1472" s="142">
        <f>B1472*IBGE_2!Y$1472/100</f>
        <v>0.32899999999999996</v>
      </c>
      <c r="Z1472" s="142">
        <f>B1472*IBGE_2!Z$1472/100</f>
        <v>7.9000000000000001E-2</v>
      </c>
      <c r="AA1472" s="142">
        <f>B1472*IBGE_2!AA$1472/100</f>
        <v>0.11899999999999998</v>
      </c>
      <c r="AB1472" s="142" t="s">
        <v>3047</v>
      </c>
      <c r="AC1472" s="142">
        <f>B1472*IBGE_2!AC$1472/100</f>
        <v>10.169</v>
      </c>
      <c r="AD1472" s="142">
        <f>B1472*IBGE_2!AD$1472/100</f>
        <v>2.31</v>
      </c>
      <c r="AE1472" s="142">
        <f>B1472*IBGE_2!AE$1472/100</f>
        <v>10</v>
      </c>
      <c r="AF1472" s="142">
        <f>B1472*IBGE_2!AF$1472/100</f>
        <v>0.16</v>
      </c>
      <c r="AG1472" s="142">
        <f>B1472*IBGE_2!AG$1472/100</f>
        <v>0.37</v>
      </c>
      <c r="AH1472" s="142">
        <f>B1472*IBGE_2!AH$1472/100</f>
        <v>0.41</v>
      </c>
      <c r="AI1472" s="142" t="s">
        <v>3047</v>
      </c>
      <c r="AJ1472" s="142">
        <f>B1472*IBGE_2!AJ$1472/100</f>
        <v>16.3</v>
      </c>
      <c r="AK1472" s="142">
        <f>B1472*IBGE_2!AK$1472/100</f>
        <v>136.667</v>
      </c>
      <c r="AL1472" s="142">
        <f>B1472*IBGE_2!AL$1472/100</f>
        <v>0.78</v>
      </c>
      <c r="AM1472" s="145" t="s">
        <v>3047</v>
      </c>
      <c r="AN1472" s="161"/>
    </row>
    <row r="1473" spans="1:40">
      <c r="A1473" s="143" t="s">
        <v>2533</v>
      </c>
      <c r="B1473" s="141">
        <v>100</v>
      </c>
      <c r="C1473" s="142">
        <f>B1473*IBGE_2!C$1473/100</f>
        <v>302</v>
      </c>
      <c r="D1473" s="142">
        <f>B1473*IBGE_2!D$1473/100</f>
        <v>25.96</v>
      </c>
      <c r="E1473" s="142">
        <f>B1473*IBGE_2!E$1473/100</f>
        <v>20.03</v>
      </c>
      <c r="F1473" s="142">
        <f>B1473*IBGE_2!F$1473/100</f>
        <v>12.67</v>
      </c>
      <c r="G1473" s="142">
        <f>B1473*IBGE_2!G$1473/100</f>
        <v>5.73</v>
      </c>
      <c r="H1473" s="142">
        <f>B1473*IBGE_2!H$1473/100</f>
        <v>0.626</v>
      </c>
      <c r="I1473" s="142">
        <f>B1473*IBGE_2!I$1473/100</f>
        <v>0.44500000000000001</v>
      </c>
      <c r="J1473" s="142">
        <f>B1473*IBGE_2!J$1473/100</f>
        <v>0.182</v>
      </c>
      <c r="K1473" s="142">
        <f>B1473*IBGE_2!K$1473/100</f>
        <v>54</v>
      </c>
      <c r="L1473" s="142">
        <f>B1473*IBGE_2!L$1473/100</f>
        <v>3.83</v>
      </c>
      <c r="M1473" s="142" t="s">
        <v>3047</v>
      </c>
      <c r="N1473" s="142">
        <f>B1473*IBGE_2!N$1473/100</f>
        <v>731</v>
      </c>
      <c r="O1473" s="142">
        <f>B1473*IBGE_2!O$1473/100</f>
        <v>26</v>
      </c>
      <c r="P1473" s="142">
        <f>B1473*IBGE_2!P$1473/100</f>
        <v>1.0999999999999999E-2</v>
      </c>
      <c r="Q1473" s="142">
        <f>B1473*IBGE_2!Q$1473/100</f>
        <v>524</v>
      </c>
      <c r="R1473" s="142">
        <f>B1473*IBGE_2!R$1473/100</f>
        <v>0.25</v>
      </c>
      <c r="S1473" s="142">
        <f>B1473*IBGE_2!S$1473/100</f>
        <v>16</v>
      </c>
      <c r="T1473" s="142">
        <f>B1473*IBGE_2!T$1473/100</f>
        <v>95</v>
      </c>
      <c r="U1473" s="142">
        <f>B1473*IBGE_2!U$1473/100</f>
        <v>2.7000000000000003E-2</v>
      </c>
      <c r="V1473" s="142">
        <f>B1473*IBGE_2!V$1473/100</f>
        <v>3.13</v>
      </c>
      <c r="W1473" s="142">
        <f>B1473*IBGE_2!W$1473/100</f>
        <v>133</v>
      </c>
      <c r="X1473" s="142">
        <f>B1473*IBGE_2!X$1473/100</f>
        <v>0.10100000000000002</v>
      </c>
      <c r="Y1473" s="142">
        <f>B1473*IBGE_2!Y$1473/100</f>
        <v>0.32899999999999996</v>
      </c>
      <c r="Z1473" s="142">
        <f>B1473*IBGE_2!Z$1473/100</f>
        <v>7.9000000000000001E-2</v>
      </c>
      <c r="AA1473" s="142">
        <f>B1473*IBGE_2!AA$1473/100</f>
        <v>0.11899999999999998</v>
      </c>
      <c r="AB1473" s="142" t="s">
        <v>3047</v>
      </c>
      <c r="AC1473" s="142">
        <f>B1473*IBGE_2!AC$1473/100</f>
        <v>10.169</v>
      </c>
      <c r="AD1473" s="142">
        <f>B1473*IBGE_2!AD$1473/100</f>
        <v>2.31</v>
      </c>
      <c r="AE1473" s="142">
        <f>B1473*IBGE_2!AE$1473/100</f>
        <v>10</v>
      </c>
      <c r="AF1473" s="142">
        <f>B1473*IBGE_2!AF$1473/100</f>
        <v>0.16</v>
      </c>
      <c r="AG1473" s="142">
        <f>B1473*IBGE_2!AG$1473/100</f>
        <v>0.37</v>
      </c>
      <c r="AH1473" s="142">
        <f>B1473*IBGE_2!AH$1473/100</f>
        <v>0.41</v>
      </c>
      <c r="AI1473" s="142" t="s">
        <v>3047</v>
      </c>
      <c r="AJ1473" s="142">
        <f>B1473*IBGE_2!AJ$1473/100</f>
        <v>16.3</v>
      </c>
      <c r="AK1473" s="142">
        <f>B1473*IBGE_2!AK$1473/100</f>
        <v>136.667</v>
      </c>
      <c r="AL1473" s="142">
        <f>B1473*IBGE_2!AL$1473/100</f>
        <v>0.78</v>
      </c>
      <c r="AM1473" s="145" t="s">
        <v>3047</v>
      </c>
      <c r="AN1473" s="161"/>
    </row>
    <row r="1474" spans="1:40">
      <c r="A1474" s="143" t="s">
        <v>2534</v>
      </c>
      <c r="B1474" s="141">
        <v>100</v>
      </c>
      <c r="C1474" s="142">
        <f>B1474*IBGE_2!C$1474/100</f>
        <v>53.204999999999998</v>
      </c>
      <c r="D1474" s="142">
        <f>B1474*IBGE_2!D$1474/100</f>
        <v>2.5579999999999998</v>
      </c>
      <c r="E1474" s="142">
        <f>B1474*IBGE_2!E$1474/100</f>
        <v>1.028</v>
      </c>
      <c r="F1474" s="142">
        <f>B1474*IBGE_2!F$1474/100</f>
        <v>0.14899999999999999</v>
      </c>
      <c r="G1474" s="142">
        <f>B1474*IBGE_2!G$1474/100</f>
        <v>0.22699999999999998</v>
      </c>
      <c r="H1474" s="142">
        <f>B1474*IBGE_2!H$1474/100</f>
        <v>0.58099999999999996</v>
      </c>
      <c r="I1474" s="142">
        <f>B1474*IBGE_2!I$1474/100</f>
        <v>0.51200000000000001</v>
      </c>
      <c r="J1474" s="142">
        <f>B1474*IBGE_2!J$1474/100</f>
        <v>6.9000000000000006E-2</v>
      </c>
      <c r="K1474" s="142" t="s">
        <v>3047</v>
      </c>
      <c r="L1474" s="142">
        <f>B1474*IBGE_2!L$1474/100</f>
        <v>8.6210000000000004</v>
      </c>
      <c r="M1474" s="142">
        <f>B1474*IBGE_2!M$1474/100</f>
        <v>0.68799999999999994</v>
      </c>
      <c r="N1474" s="142">
        <f>B1474*IBGE_2!N$1474/100</f>
        <v>19.652000000000001</v>
      </c>
      <c r="O1474" s="142">
        <f>B1474*IBGE_2!O$1474/100</f>
        <v>17.774999999999999</v>
      </c>
      <c r="P1474" s="142">
        <f>B1474*IBGE_2!P$1474/100</f>
        <v>0.105</v>
      </c>
      <c r="Q1474" s="142">
        <f>B1474*IBGE_2!Q$1474/100</f>
        <v>52.854999999999997</v>
      </c>
      <c r="R1474" s="142">
        <f>B1474*IBGE_2!R$1474/100</f>
        <v>0.69</v>
      </c>
      <c r="S1474" s="142">
        <f>B1474*IBGE_2!S$1474/100</f>
        <v>49.55299999999999</v>
      </c>
      <c r="T1474" s="142">
        <f>B1474*IBGE_2!T$1474/100</f>
        <v>92.634</v>
      </c>
      <c r="U1474" s="142">
        <f>B1474*IBGE_2!U$1474/100</f>
        <v>6.8000000000000005E-2</v>
      </c>
      <c r="V1474" s="142">
        <f>B1474*IBGE_2!V$1474/100</f>
        <v>0.14699999999999999</v>
      </c>
      <c r="W1474" s="142" t="s">
        <v>3047</v>
      </c>
      <c r="X1474" s="142">
        <f>B1474*IBGE_2!X$1474/100</f>
        <v>1.9E-2</v>
      </c>
      <c r="Y1474" s="142">
        <f>B1474*IBGE_2!Y$1474/100</f>
        <v>7.3999999999999996E-2</v>
      </c>
      <c r="Z1474" s="142">
        <f>B1474*IBGE_2!Z$1474/100</f>
        <v>7.9000000000000001E-2</v>
      </c>
      <c r="AA1474" s="142">
        <f>B1474*IBGE_2!AA$1474/100</f>
        <v>0.89800000000000002</v>
      </c>
      <c r="AB1474" s="142">
        <f>B1474*IBGE_2!AB$1474/100</f>
        <v>0.19500000000000001</v>
      </c>
      <c r="AC1474" s="142">
        <f>B1474*IBGE_2!AC$1474/100</f>
        <v>1.4910000000000003</v>
      </c>
      <c r="AD1474" s="145" t="s">
        <v>3047</v>
      </c>
      <c r="AE1474" s="142">
        <f>B1474*IBGE_2!AE$1474/100</f>
        <v>7.45</v>
      </c>
      <c r="AF1474" s="145" t="s">
        <v>3047</v>
      </c>
      <c r="AG1474" s="142">
        <f>B1474*IBGE_2!AG$1474/100</f>
        <v>0.04</v>
      </c>
      <c r="AH1474" s="145" t="s">
        <v>3047</v>
      </c>
      <c r="AI1474" s="142" t="s">
        <v>3047</v>
      </c>
      <c r="AJ1474" s="142">
        <f>B1474*IBGE_2!AJ$1474/100</f>
        <v>2.1280000000000001</v>
      </c>
      <c r="AK1474" s="142">
        <f>B1474*IBGE_2!AK$1474/100</f>
        <v>4.8000000000000001E-2</v>
      </c>
      <c r="AL1474" s="142">
        <f>B1474*IBGE_2!AL$1474/100</f>
        <v>3.8559999999999999</v>
      </c>
      <c r="AM1474" s="142">
        <f>B1474*IBGE_2!AM$1474/100</f>
        <v>7.4820000000000002</v>
      </c>
      <c r="AN1474" s="161"/>
    </row>
    <row r="1475" spans="1:40">
      <c r="A1475" s="143" t="s">
        <v>2535</v>
      </c>
      <c r="B1475" s="141">
        <v>100</v>
      </c>
      <c r="C1475" s="142">
        <f>B1475*IBGE_2!C$1475/100</f>
        <v>39.369999999999997</v>
      </c>
      <c r="D1475" s="142">
        <f>B1475*IBGE_2!D$1475/100</f>
        <v>1.9850000000000001</v>
      </c>
      <c r="E1475" s="142">
        <f>B1475*IBGE_2!E$1475/100</f>
        <v>0.82299999999999995</v>
      </c>
      <c r="F1475" s="142">
        <f>B1475*IBGE_2!F$1475/100</f>
        <v>0.11899999999999998</v>
      </c>
      <c r="G1475" s="142">
        <f>B1475*IBGE_2!G$1475/100</f>
        <v>0.182</v>
      </c>
      <c r="H1475" s="142">
        <f>B1475*IBGE_2!H$1475/100</f>
        <v>0.46500000000000002</v>
      </c>
      <c r="I1475" s="142">
        <f>B1475*IBGE_2!I$1475/100</f>
        <v>0.41</v>
      </c>
      <c r="J1475" s="142">
        <f>B1475*IBGE_2!J$1475/100</f>
        <v>5.5E-2</v>
      </c>
      <c r="K1475" s="142" t="s">
        <v>3047</v>
      </c>
      <c r="L1475" s="142">
        <f>B1475*IBGE_2!L$1475/100</f>
        <v>6.1779999999999999</v>
      </c>
      <c r="M1475" s="142">
        <f>B1475*IBGE_2!M$1475/100</f>
        <v>0.55100000000000005</v>
      </c>
      <c r="N1475" s="142">
        <f>B1475*IBGE_2!N$1475/100</f>
        <v>15.53</v>
      </c>
      <c r="O1475" s="142">
        <f>B1475*IBGE_2!O$1475/100</f>
        <v>13.597000000000001</v>
      </c>
      <c r="P1475" s="142">
        <f>B1475*IBGE_2!P$1475/100</f>
        <v>8.3000000000000004E-2</v>
      </c>
      <c r="Q1475" s="142">
        <f>B1475*IBGE_2!Q$1475/100</f>
        <v>39.921999999999997</v>
      </c>
      <c r="R1475" s="142">
        <f>B1475*IBGE_2!R$1475/100</f>
        <v>0.54300000000000004</v>
      </c>
      <c r="S1475" s="142">
        <f>B1475*IBGE_2!S$1475/100</f>
        <v>49.271999999999998</v>
      </c>
      <c r="T1475" s="142">
        <f>B1475*IBGE_2!T$1475/100</f>
        <v>70.918999999999997</v>
      </c>
      <c r="U1475" s="142">
        <f>B1475*IBGE_2!U$1475/100</f>
        <v>5.2000000000000005E-2</v>
      </c>
      <c r="V1475" s="142">
        <f>B1475*IBGE_2!V$1475/100</f>
        <v>0.11600000000000002</v>
      </c>
      <c r="W1475" s="142" t="s">
        <v>3047</v>
      </c>
      <c r="X1475" s="142">
        <f>B1475*IBGE_2!X$1475/100</f>
        <v>1.4999999999999999E-2</v>
      </c>
      <c r="Y1475" s="142">
        <f>B1475*IBGE_2!Y$1475/100</f>
        <v>5.5E-2</v>
      </c>
      <c r="Z1475" s="142">
        <f>B1475*IBGE_2!Z$1475/100</f>
        <v>5.800000000000001E-2</v>
      </c>
      <c r="AA1475" s="142">
        <f>B1475*IBGE_2!AA$1475/100</f>
        <v>0.63600000000000001</v>
      </c>
      <c r="AB1475" s="142">
        <f>B1475*IBGE_2!AB$1475/100</f>
        <v>0.156</v>
      </c>
      <c r="AC1475" s="142">
        <f>B1475*IBGE_2!AC$1475/100</f>
        <v>1.099</v>
      </c>
      <c r="AD1475" s="145" t="s">
        <v>3047</v>
      </c>
      <c r="AE1475" s="142">
        <f>B1475*IBGE_2!AE$1475/100</f>
        <v>5.843</v>
      </c>
      <c r="AF1475" s="145" t="s">
        <v>3047</v>
      </c>
      <c r="AG1475" s="142">
        <f>B1475*IBGE_2!AG$1475/100</f>
        <v>3.2000000000000001E-2</v>
      </c>
      <c r="AH1475" s="145" t="s">
        <v>3047</v>
      </c>
      <c r="AI1475" s="142" t="s">
        <v>3047</v>
      </c>
      <c r="AJ1475" s="142">
        <f>B1475*IBGE_2!AJ$1475/100</f>
        <v>1.579</v>
      </c>
      <c r="AK1475" s="142">
        <f>B1475*IBGE_2!AK$1475/100</f>
        <v>3.7999999999999999E-2</v>
      </c>
      <c r="AL1475" s="142">
        <f>B1475*IBGE_2!AL$1475/100</f>
        <v>2.7230000000000003</v>
      </c>
      <c r="AM1475" s="142">
        <f>B1475*IBGE_2!AM$1475/100</f>
        <v>5.2670000000000003</v>
      </c>
      <c r="AN1475" s="161"/>
    </row>
    <row r="1476" spans="1:40">
      <c r="A1476" s="143" t="s">
        <v>2536</v>
      </c>
      <c r="B1476" s="141">
        <v>100</v>
      </c>
      <c r="C1476" s="142">
        <f>B1476*IBGE_2!C$1476/100</f>
        <v>59</v>
      </c>
      <c r="D1476" s="142">
        <f>B1476*IBGE_2!D$1476/100</f>
        <v>2.6</v>
      </c>
      <c r="E1476" s="142">
        <f>B1476*IBGE_2!E$1476/100</f>
        <v>1.4</v>
      </c>
      <c r="F1476" s="142">
        <f>B1476*IBGE_2!F$1476/100</f>
        <v>0.84099999999999997</v>
      </c>
      <c r="G1476" s="142">
        <f>B1476*IBGE_2!G$1476/100</f>
        <v>0.38400000000000001</v>
      </c>
      <c r="H1476" s="142">
        <f>B1476*IBGE_2!H$1476/100</f>
        <v>5.2000000000000005E-2</v>
      </c>
      <c r="I1476" s="142">
        <f>B1476*IBGE_2!I$1476/100</f>
        <v>3.2000000000000001E-2</v>
      </c>
      <c r="J1476" s="142">
        <f>B1476*IBGE_2!J$1476/100</f>
        <v>0.02</v>
      </c>
      <c r="K1476" s="142">
        <f>B1476*IBGE_2!K$1476/100</f>
        <v>5</v>
      </c>
      <c r="L1476" s="142">
        <f>B1476*IBGE_2!L$1476/100</f>
        <v>9</v>
      </c>
      <c r="M1476" s="142" t="s">
        <v>3047</v>
      </c>
      <c r="N1476" s="142">
        <f>B1476*IBGE_2!N$1476/100</f>
        <v>96</v>
      </c>
      <c r="O1476" s="142">
        <f>B1476*IBGE_2!O$1476/100</f>
        <v>16</v>
      </c>
      <c r="P1476" s="142">
        <f>B1476*IBGE_2!P$1476/100</f>
        <v>2E-3</v>
      </c>
      <c r="Q1476" s="142">
        <f>B1476*IBGE_2!Q$1476/100</f>
        <v>151</v>
      </c>
      <c r="R1476" s="142" t="s">
        <v>3047</v>
      </c>
      <c r="S1476" s="142">
        <f>B1476*IBGE_2!S$1476/100</f>
        <v>144</v>
      </c>
      <c r="T1476" s="142">
        <f>B1476*IBGE_2!T$1476/100</f>
        <v>206</v>
      </c>
      <c r="U1476" s="142">
        <f>B1476*IBGE_2!U$1476/100</f>
        <v>1.6E-2</v>
      </c>
      <c r="V1476" s="142">
        <f>B1476*IBGE_2!V$1476/100</f>
        <v>0.81</v>
      </c>
      <c r="W1476" s="142">
        <f>B1476*IBGE_2!W$1476/100</f>
        <v>12</v>
      </c>
      <c r="X1476" s="142">
        <f>B1476*IBGE_2!X$1476/100</f>
        <v>5.6000000000000008E-2</v>
      </c>
      <c r="Y1476" s="142">
        <f>B1476*IBGE_2!Y$1476/100</f>
        <v>0.23699999999999999</v>
      </c>
      <c r="Z1476" s="142">
        <f>B1476*IBGE_2!Z$1476/100</f>
        <v>6.2E-2</v>
      </c>
      <c r="AA1476" s="142">
        <f>B1476*IBGE_2!AA$1476/100</f>
        <v>0.124</v>
      </c>
      <c r="AB1476" s="142">
        <f>B1476*IBGE_2!AB$1476/100</f>
        <v>0.7</v>
      </c>
      <c r="AC1476" s="142">
        <f>B1476*IBGE_2!AC$1476/100</f>
        <v>0.6409999999999999</v>
      </c>
      <c r="AD1476" s="142">
        <f>B1476*IBGE_2!AD$1476/100</f>
        <v>0.52</v>
      </c>
      <c r="AE1476" s="142">
        <f>B1476*IBGE_2!AE$1476/100</f>
        <v>4</v>
      </c>
      <c r="AF1476" s="142">
        <f>B1476*IBGE_2!AF$1476/100</f>
        <v>4.7E-2</v>
      </c>
      <c r="AG1476" s="142">
        <f>B1476*IBGE_2!AG$1476/100</f>
        <v>0.04</v>
      </c>
      <c r="AH1476" s="142">
        <f>B1476*IBGE_2!AH$1476/100</f>
        <v>5.5E-2</v>
      </c>
      <c r="AI1476" s="142" t="s">
        <v>3047</v>
      </c>
      <c r="AJ1476" s="142">
        <f>B1476*IBGE_2!AJ$1476/100</f>
        <v>2.9</v>
      </c>
      <c r="AK1476" s="142">
        <f>B1476*IBGE_2!AK$1476/100</f>
        <v>12.25</v>
      </c>
      <c r="AL1476" s="142">
        <f>B1476*IBGE_2!AL$1476/100</f>
        <v>5.6539999999999999</v>
      </c>
      <c r="AM1476" s="142">
        <f>B1476*IBGE_2!AM$1476/100</f>
        <v>5.2149999999999999</v>
      </c>
      <c r="AN1476" s="161"/>
    </row>
    <row r="1477" spans="1:40">
      <c r="A1477" s="143" t="s">
        <v>2537</v>
      </c>
      <c r="B1477" s="141">
        <v>100</v>
      </c>
      <c r="C1477" s="142">
        <f>B1477*IBGE_2!C$1477/100</f>
        <v>297.29500000000002</v>
      </c>
      <c r="D1477" s="142">
        <f>B1477*IBGE_2!D$1477/100</f>
        <v>24.486000000000001</v>
      </c>
      <c r="E1477" s="142">
        <f>B1477*IBGE_2!E$1477/100</f>
        <v>21.36</v>
      </c>
      <c r="F1477" s="142">
        <f>B1477*IBGE_2!F$1477/100</f>
        <v>13.593</v>
      </c>
      <c r="G1477" s="142">
        <f>B1477*IBGE_2!G$1477/100</f>
        <v>6.0529999999999999</v>
      </c>
      <c r="H1477" s="142">
        <f>B1477*IBGE_2!H$1477/100</f>
        <v>0.60799999999999998</v>
      </c>
      <c r="I1477" s="142">
        <f>B1477*IBGE_2!I$1477/100</f>
        <v>0.373</v>
      </c>
      <c r="J1477" s="142">
        <f>B1477*IBGE_2!J$1477/100</f>
        <v>0.23599999999999999</v>
      </c>
      <c r="K1477" s="142">
        <f>B1477*IBGE_2!K$1477/100</f>
        <v>67.2</v>
      </c>
      <c r="L1477" s="142">
        <f>B1477*IBGE_2!L$1477/100</f>
        <v>1.2190000000000001</v>
      </c>
      <c r="M1477" s="142" t="s">
        <v>3047</v>
      </c>
      <c r="N1477" s="142">
        <f>B1477*IBGE_2!N$1477/100</f>
        <v>704.83800000000008</v>
      </c>
      <c r="O1477" s="142">
        <f>B1477*IBGE_2!O$1477/100</f>
        <v>18.044</v>
      </c>
      <c r="P1477" s="142">
        <f>B1477*IBGE_2!P$1477/100</f>
        <v>8.0000000000000002E-3</v>
      </c>
      <c r="Q1477" s="142">
        <f>B1477*IBGE_2!Q$1477/100</f>
        <v>276.48</v>
      </c>
      <c r="R1477" s="142">
        <f>B1477*IBGE_2!R$1477/100</f>
        <v>0.439</v>
      </c>
      <c r="S1477" s="142">
        <f>B1477*IBGE_2!S$1477/100</f>
        <v>847.56700000000001</v>
      </c>
      <c r="T1477" s="142">
        <f>B1477*IBGE_2!T$1477/100</f>
        <v>62.813000000000002</v>
      </c>
      <c r="U1477" s="142">
        <f>B1477*IBGE_2!U$1477/100</f>
        <v>0.02</v>
      </c>
      <c r="V1477" s="142">
        <f>B1477*IBGE_2!V$1477/100</f>
        <v>1.992</v>
      </c>
      <c r="W1477" s="142">
        <f>B1477*IBGE_2!W$1477/100</f>
        <v>279.12</v>
      </c>
      <c r="X1477" s="142">
        <f>B1477*IBGE_2!X$1477/100</f>
        <v>1.7000000000000001E-2</v>
      </c>
      <c r="Y1477" s="142">
        <f>B1477*IBGE_2!Y$1477/100</f>
        <v>0.24</v>
      </c>
      <c r="Z1477" s="142">
        <f>B1477*IBGE_2!Z$1477/100</f>
        <v>4.7E-2</v>
      </c>
      <c r="AA1477" s="142">
        <f>B1477*IBGE_2!AA$1477/100</f>
        <v>5.0999999999999997E-2</v>
      </c>
      <c r="AB1477" s="142" t="s">
        <v>3047</v>
      </c>
      <c r="AC1477" s="142">
        <f>B1477*IBGE_2!AC$1477/100</f>
        <v>5.1980000000000004</v>
      </c>
      <c r="AD1477" s="142">
        <f>B1477*IBGE_2!AD$1477/100</f>
        <v>0.53100000000000003</v>
      </c>
      <c r="AE1477" s="142">
        <f>B1477*IBGE_2!AE$1477/100</f>
        <v>11.52</v>
      </c>
      <c r="AF1477" s="142">
        <f>B1477*IBGE_2!AF$1477/100</f>
        <v>0.11200000000000002</v>
      </c>
      <c r="AG1477" s="142">
        <f>B1477*IBGE_2!AG$1477/100</f>
        <v>0.18600000000000003</v>
      </c>
      <c r="AH1477" s="142">
        <f>B1477*IBGE_2!AH$1477/100</f>
        <v>0.50600000000000001</v>
      </c>
      <c r="AI1477" s="142" t="s">
        <v>3047</v>
      </c>
      <c r="AJ1477" s="142">
        <f>B1477*IBGE_2!AJ$1477/100</f>
        <v>8.8970000000000002</v>
      </c>
      <c r="AK1477" s="142">
        <f>B1477*IBGE_2!AK$1477/100</f>
        <v>283.65300000000002</v>
      </c>
      <c r="AL1477" s="142">
        <f>B1477*IBGE_2!AL$1477/100</f>
        <v>1.3730000000000002</v>
      </c>
      <c r="AM1477" s="145" t="s">
        <v>3047</v>
      </c>
      <c r="AN1477" s="161"/>
    </row>
    <row r="1478" spans="1:40">
      <c r="A1478" s="143" t="s">
        <v>2538</v>
      </c>
      <c r="B1478" s="141">
        <v>100</v>
      </c>
      <c r="C1478" s="142">
        <f>B1478*IBGE_2!C$1478/100</f>
        <v>90</v>
      </c>
      <c r="D1478" s="142">
        <f>B1478*IBGE_2!D$1478/100</f>
        <v>13.74</v>
      </c>
      <c r="E1478" s="142">
        <f>B1478*IBGE_2!E$1478/100</f>
        <v>1.93</v>
      </c>
      <c r="F1478" s="142">
        <f>B1478*IBGE_2!F$1478/100</f>
        <v>1.2210000000000001</v>
      </c>
      <c r="G1478" s="142">
        <f>B1478*IBGE_2!G$1478/100</f>
        <v>0.55000000000000004</v>
      </c>
      <c r="H1478" s="142">
        <f>B1478*IBGE_2!H$1478/100</f>
        <v>5.8999999999999997E-2</v>
      </c>
      <c r="I1478" s="142">
        <f>B1478*IBGE_2!I$1478/100</f>
        <v>4.2000000000000003E-2</v>
      </c>
      <c r="J1478" s="142">
        <f>B1478*IBGE_2!J$1478/100</f>
        <v>1.7000000000000001E-2</v>
      </c>
      <c r="K1478" s="142">
        <f>B1478*IBGE_2!K$1478/100</f>
        <v>8</v>
      </c>
      <c r="L1478" s="142">
        <f>B1478*IBGE_2!L$1478/100</f>
        <v>3.63</v>
      </c>
      <c r="M1478" s="142" t="s">
        <v>3047</v>
      </c>
      <c r="N1478" s="142">
        <f>B1478*IBGE_2!N$1478/100</f>
        <v>69</v>
      </c>
      <c r="O1478" s="142">
        <f>B1478*IBGE_2!O$1478/100</f>
        <v>6</v>
      </c>
      <c r="P1478" s="142">
        <f>B1478*IBGE_2!P$1478/100</f>
        <v>3.0000000000000001E-3</v>
      </c>
      <c r="Q1478" s="142">
        <f>B1478*IBGE_2!Q$1478/100</f>
        <v>151</v>
      </c>
      <c r="R1478" s="142">
        <f>B1478*IBGE_2!R$1478/100</f>
        <v>0.16</v>
      </c>
      <c r="S1478" s="142">
        <f>B1478*IBGE_2!S$1478/100</f>
        <v>406</v>
      </c>
      <c r="T1478" s="142">
        <f>B1478*IBGE_2!T$1478/100</f>
        <v>96</v>
      </c>
      <c r="U1478" s="142">
        <f>B1478*IBGE_2!U$1478/100</f>
        <v>2.8000000000000004E-2</v>
      </c>
      <c r="V1478" s="142">
        <f>B1478*IBGE_2!V$1478/100</f>
        <v>0.42</v>
      </c>
      <c r="W1478" s="142">
        <f>B1478*IBGE_2!W$1478/100</f>
        <v>21</v>
      </c>
      <c r="X1478" s="142">
        <f>B1478*IBGE_2!X$1478/100</f>
        <v>2.4E-2</v>
      </c>
      <c r="Y1478" s="142">
        <f>B1478*IBGE_2!Y$1478/100</f>
        <v>0.185</v>
      </c>
      <c r="Z1478" s="142">
        <f>B1478*IBGE_2!Z$1478/100</f>
        <v>7.5999999999999998E-2</v>
      </c>
      <c r="AA1478" s="142">
        <f>B1478*IBGE_2!AA$1478/100</f>
        <v>0.14399999999999999</v>
      </c>
      <c r="AB1478" s="142" t="s">
        <v>3047</v>
      </c>
      <c r="AC1478" s="142">
        <f>B1478*IBGE_2!AC$1478/100</f>
        <v>2.694</v>
      </c>
      <c r="AD1478" s="142">
        <f>B1478*IBGE_2!AD$1478/100</f>
        <v>0.71</v>
      </c>
      <c r="AE1478" s="142">
        <f>B1478*IBGE_2!AE$1478/100</f>
        <v>13</v>
      </c>
      <c r="AF1478" s="142">
        <f>B1478*IBGE_2!AF$1478/100</f>
        <v>0.01</v>
      </c>
      <c r="AG1478" s="142">
        <f>B1478*IBGE_2!AG$1478/100</f>
        <v>0.02</v>
      </c>
      <c r="AH1478" s="142">
        <f>B1478*IBGE_2!AH$1478/100</f>
        <v>0.06</v>
      </c>
      <c r="AI1478" s="142" t="s">
        <v>3047</v>
      </c>
      <c r="AJ1478" s="142">
        <f>B1478*IBGE_2!AJ$1478/100</f>
        <v>10.199999999999999</v>
      </c>
      <c r="AK1478" s="142">
        <f>B1478*IBGE_2!AK$1478/100</f>
        <v>21.417000000000002</v>
      </c>
      <c r="AL1478" s="142">
        <f>B1478*IBGE_2!AL$1478/100</f>
        <v>3.6</v>
      </c>
      <c r="AM1478" s="145" t="s">
        <v>3047</v>
      </c>
      <c r="AN1478" s="161"/>
    </row>
    <row r="1479" spans="1:40">
      <c r="A1479" s="143" t="s">
        <v>2539</v>
      </c>
      <c r="B1479" s="141">
        <v>100</v>
      </c>
      <c r="C1479" s="142">
        <f>B1479*IBGE_2!C$1479/100</f>
        <v>297.29500000000002</v>
      </c>
      <c r="D1479" s="142">
        <f>B1479*IBGE_2!D$1479/100</f>
        <v>24.486000000000001</v>
      </c>
      <c r="E1479" s="142">
        <f>B1479*IBGE_2!E$1479/100</f>
        <v>21.36</v>
      </c>
      <c r="F1479" s="142">
        <f>B1479*IBGE_2!F$1479/100</f>
        <v>13.593</v>
      </c>
      <c r="G1479" s="142">
        <f>B1479*IBGE_2!G$1479/100</f>
        <v>6.0529999999999999</v>
      </c>
      <c r="H1479" s="142">
        <f>B1479*IBGE_2!H$1479/100</f>
        <v>0.60799999999999998</v>
      </c>
      <c r="I1479" s="142">
        <f>B1479*IBGE_2!I$1479/100</f>
        <v>0.373</v>
      </c>
      <c r="J1479" s="142">
        <f>B1479*IBGE_2!J$1479/100</f>
        <v>0.23599999999999999</v>
      </c>
      <c r="K1479" s="142">
        <f>B1479*IBGE_2!K$1479/100</f>
        <v>67.2</v>
      </c>
      <c r="L1479" s="142">
        <f>B1479*IBGE_2!L$1479/100</f>
        <v>1.2190000000000001</v>
      </c>
      <c r="M1479" s="142" t="s">
        <v>3047</v>
      </c>
      <c r="N1479" s="142">
        <f>B1479*IBGE_2!N$1479/100</f>
        <v>704.83800000000008</v>
      </c>
      <c r="O1479" s="142">
        <f>B1479*IBGE_2!O$1479/100</f>
        <v>18.044</v>
      </c>
      <c r="P1479" s="142">
        <f>B1479*IBGE_2!P$1479/100</f>
        <v>8.0000000000000002E-3</v>
      </c>
      <c r="Q1479" s="142">
        <f>B1479*IBGE_2!Q$1479/100</f>
        <v>276.48</v>
      </c>
      <c r="R1479" s="142">
        <f>B1479*IBGE_2!R$1479/100</f>
        <v>0.439</v>
      </c>
      <c r="S1479" s="142">
        <f>B1479*IBGE_2!S$1479/100</f>
        <v>847.56700000000001</v>
      </c>
      <c r="T1479" s="142">
        <f>B1479*IBGE_2!T$1479/100</f>
        <v>62.813000000000002</v>
      </c>
      <c r="U1479" s="142">
        <f>B1479*IBGE_2!U$1479/100</f>
        <v>0.02</v>
      </c>
      <c r="V1479" s="142">
        <f>B1479*IBGE_2!V$1479/100</f>
        <v>1.992</v>
      </c>
      <c r="W1479" s="142">
        <f>B1479*IBGE_2!W$1479/100</f>
        <v>279.12</v>
      </c>
      <c r="X1479" s="142">
        <f>B1479*IBGE_2!X$1479/100</f>
        <v>1.7000000000000001E-2</v>
      </c>
      <c r="Y1479" s="142">
        <f>B1479*IBGE_2!Y$1479/100</f>
        <v>0.24</v>
      </c>
      <c r="Z1479" s="142">
        <f>B1479*IBGE_2!Z$1479/100</f>
        <v>4.7E-2</v>
      </c>
      <c r="AA1479" s="142">
        <f>B1479*IBGE_2!AA$1479/100</f>
        <v>5.0999999999999997E-2</v>
      </c>
      <c r="AB1479" s="142" t="s">
        <v>3047</v>
      </c>
      <c r="AC1479" s="142">
        <f>B1479*IBGE_2!AC$1479/100</f>
        <v>5.1980000000000004</v>
      </c>
      <c r="AD1479" s="142">
        <f>B1479*IBGE_2!AD$1479/100</f>
        <v>0.53100000000000003</v>
      </c>
      <c r="AE1479" s="142">
        <f>B1479*IBGE_2!AE$1479/100</f>
        <v>11.52</v>
      </c>
      <c r="AF1479" s="142">
        <f>B1479*IBGE_2!AF$1479/100</f>
        <v>0.11200000000000002</v>
      </c>
      <c r="AG1479" s="142">
        <f>B1479*IBGE_2!AG$1479/100</f>
        <v>0.18600000000000003</v>
      </c>
      <c r="AH1479" s="142">
        <f>B1479*IBGE_2!AH$1479/100</f>
        <v>0.50600000000000001</v>
      </c>
      <c r="AI1479" s="142" t="s">
        <v>3047</v>
      </c>
      <c r="AJ1479" s="142">
        <f>B1479*IBGE_2!AJ$1479/100</f>
        <v>8.8970000000000002</v>
      </c>
      <c r="AK1479" s="142">
        <f>B1479*IBGE_2!AK$1479/100</f>
        <v>283.65300000000002</v>
      </c>
      <c r="AL1479" s="142">
        <f>B1479*IBGE_2!AL$1479/100</f>
        <v>1.3730000000000002</v>
      </c>
      <c r="AM1479" s="145" t="s">
        <v>3047</v>
      </c>
      <c r="AN1479" s="161"/>
    </row>
    <row r="1480" spans="1:40">
      <c r="A1480" s="143" t="s">
        <v>2540</v>
      </c>
      <c r="B1480" s="141">
        <v>100</v>
      </c>
      <c r="C1480" s="142">
        <f>B1480*IBGE_2!C$1480/100</f>
        <v>92.691999999999993</v>
      </c>
      <c r="D1480" s="142">
        <f>B1480*IBGE_2!D$1480/100</f>
        <v>14.558</v>
      </c>
      <c r="E1480" s="142">
        <f>B1480*IBGE_2!E$1480/100</f>
        <v>0.28499999999999998</v>
      </c>
      <c r="F1480" s="142">
        <f>B1480*IBGE_2!F$1480/100</f>
        <v>0.17899999999999999</v>
      </c>
      <c r="G1480" s="142">
        <f>B1480*IBGE_2!G$1480/100</f>
        <v>8.1000000000000003E-2</v>
      </c>
      <c r="H1480" s="142">
        <f>B1480*IBGE_2!H$1480/100</f>
        <v>0.01</v>
      </c>
      <c r="I1480" s="142">
        <f>B1480*IBGE_2!I$1480/100</f>
        <v>8.0000000000000002E-3</v>
      </c>
      <c r="J1480" s="142">
        <f>B1480*IBGE_2!J$1480/100</f>
        <v>3.0000000000000001E-3</v>
      </c>
      <c r="K1480" s="142">
        <f>B1480*IBGE_2!K$1480/100</f>
        <v>10.395</v>
      </c>
      <c r="L1480" s="142">
        <f>B1480*IBGE_2!L$1480/100</f>
        <v>7.0839999999999996</v>
      </c>
      <c r="M1480" s="142" t="s">
        <v>3047</v>
      </c>
      <c r="N1480" s="142">
        <f>B1480*IBGE_2!N$1480/100</f>
        <v>181.101</v>
      </c>
      <c r="O1480" s="142">
        <f>B1480*IBGE_2!O$1480/100</f>
        <v>17.655999999999999</v>
      </c>
      <c r="P1480" s="142">
        <f>B1480*IBGE_2!P$1480/100</f>
        <v>3.0000000000000001E-3</v>
      </c>
      <c r="Q1480" s="142">
        <f>B1480*IBGE_2!Q$1480/100</f>
        <v>119.48399999999999</v>
      </c>
      <c r="R1480" s="142">
        <f>B1480*IBGE_2!R$1480/100</f>
        <v>0.106</v>
      </c>
      <c r="S1480" s="142">
        <f>B1480*IBGE_2!S$1480/100</f>
        <v>83.873000000000005</v>
      </c>
      <c r="T1480" s="142">
        <f>B1480*IBGE_2!T$1480/100</f>
        <v>201.447</v>
      </c>
      <c r="U1480" s="142">
        <f>B1480*IBGE_2!U$1480/100</f>
        <v>5.0000000000000001E-3</v>
      </c>
      <c r="V1480" s="142">
        <f>B1480*IBGE_2!V$1480/100</f>
        <v>0.55500000000000005</v>
      </c>
      <c r="W1480" s="142">
        <f>B1480*IBGE_2!W$1480/100</f>
        <v>1.484</v>
      </c>
      <c r="X1480" s="142">
        <f>B1480*IBGE_2!X$1480/100</f>
        <v>5.5E-2</v>
      </c>
      <c r="Y1480" s="142">
        <f>B1480*IBGE_2!Y$1480/100</f>
        <v>0.184</v>
      </c>
      <c r="Z1480" s="142">
        <f>B1480*IBGE_2!Z$1480/100</f>
        <v>5.4000000000000006E-2</v>
      </c>
      <c r="AA1480" s="142">
        <f>B1480*IBGE_2!AA$1480/100</f>
        <v>0.10299999999999999</v>
      </c>
      <c r="AB1480" s="142">
        <f>B1480*IBGE_2!AB$1480/100</f>
        <v>7.4999999999999997E-2</v>
      </c>
      <c r="AC1480" s="142">
        <f>B1480*IBGE_2!AC$1480/100</f>
        <v>3.1889999999999996</v>
      </c>
      <c r="AD1480" s="142">
        <f>B1480*IBGE_2!AD$1480/100</f>
        <v>0.24600000000000002</v>
      </c>
      <c r="AE1480" s="142">
        <f>B1480*IBGE_2!AE$1480/100</f>
        <v>3.1040000000000005</v>
      </c>
      <c r="AF1480" s="145" t="s">
        <v>3047</v>
      </c>
      <c r="AG1480" s="142">
        <f>B1480*IBGE_2!AG$1480/100</f>
        <v>1E-3</v>
      </c>
      <c r="AH1480" s="142">
        <f>B1480*IBGE_2!AH$1480/100</f>
        <v>1E-3</v>
      </c>
      <c r="AI1480" s="142" t="s">
        <v>3047</v>
      </c>
      <c r="AJ1480" s="142">
        <f>B1480*IBGE_2!AJ$1480/100</f>
        <v>2.5099999999999998</v>
      </c>
      <c r="AK1480" s="142">
        <f>B1480*IBGE_2!AK$1480/100</f>
        <v>1.4910000000000003</v>
      </c>
      <c r="AL1480" s="142">
        <f>B1480*IBGE_2!AL$1480/100</f>
        <v>7.1139999999999999</v>
      </c>
      <c r="AM1480" s="145" t="s">
        <v>3047</v>
      </c>
      <c r="AN1480" s="161"/>
    </row>
    <row r="1481" spans="1:40">
      <c r="A1481" s="143" t="s">
        <v>2541</v>
      </c>
      <c r="B1481" s="141">
        <v>100</v>
      </c>
      <c r="C1481" s="142">
        <f>B1481*IBGE_2!C$1481/100</f>
        <v>265</v>
      </c>
      <c r="D1481" s="142">
        <f>B1481*IBGE_2!D$1481/100</f>
        <v>20</v>
      </c>
      <c r="E1481" s="142">
        <f>B1481*IBGE_2!E$1481/100</f>
        <v>20</v>
      </c>
      <c r="F1481" s="142">
        <f>B1481*IBGE_2!F$1481/100</f>
        <v>13.317</v>
      </c>
      <c r="G1481" s="142">
        <f>B1481*IBGE_2!G$1481/100</f>
        <v>6.0979999999999999</v>
      </c>
      <c r="H1481" s="142">
        <f>B1481*IBGE_2!H$1481/100</f>
        <v>0.46200000000000002</v>
      </c>
      <c r="I1481" s="142">
        <f>B1481*IBGE_2!I$1481/100</f>
        <v>0.221</v>
      </c>
      <c r="J1481" s="142">
        <f>B1481*IBGE_2!J$1481/100</f>
        <v>0.24099999999999999</v>
      </c>
      <c r="K1481" s="142">
        <f>B1481*IBGE_2!K$1481/100</f>
        <v>88</v>
      </c>
      <c r="L1481" s="142">
        <f>B1481*IBGE_2!L$1481/100</f>
        <v>1.37</v>
      </c>
      <c r="M1481" s="142" t="s">
        <v>3047</v>
      </c>
      <c r="N1481" s="142">
        <f>B1481*IBGE_2!N$1481/100</f>
        <v>1109</v>
      </c>
      <c r="O1481" s="142">
        <f>B1481*IBGE_2!O$1481/100</f>
        <v>38</v>
      </c>
      <c r="P1481" s="142">
        <f>B1481*IBGE_2!P$1481/100</f>
        <v>8.5000000000000006E-2</v>
      </c>
      <c r="Q1481" s="142">
        <f>B1481*IBGE_2!Q$1481/100</f>
        <v>729</v>
      </c>
      <c r="R1481" s="142">
        <f>B1481*IBGE_2!R$1481/100</f>
        <v>0.9</v>
      </c>
      <c r="S1481" s="142">
        <f>B1481*IBGE_2!S$1481/100</f>
        <v>1529</v>
      </c>
      <c r="T1481" s="142">
        <f>B1481*IBGE_2!T$1481/100</f>
        <v>125</v>
      </c>
      <c r="U1481" s="142">
        <f>B1481*IBGE_2!U$1481/100</f>
        <v>0.23799999999999996</v>
      </c>
      <c r="V1481" s="142">
        <f>B1481*IBGE_2!V$1481/100</f>
        <v>3.87</v>
      </c>
      <c r="W1481" s="142">
        <f>B1481*IBGE_2!W$1481/100</f>
        <v>156</v>
      </c>
      <c r="X1481" s="142">
        <f>B1481*IBGE_2!X$1481/100</f>
        <v>2.9000000000000005E-2</v>
      </c>
      <c r="Y1481" s="142">
        <f>B1481*IBGE_2!Y$1481/100</f>
        <v>0.48599999999999999</v>
      </c>
      <c r="Z1481" s="142">
        <f>B1481*IBGE_2!Z$1481/100</f>
        <v>4.9000000000000002E-2</v>
      </c>
      <c r="AA1481" s="142">
        <f>B1481*IBGE_2!AA$1481/100</f>
        <v>0.114</v>
      </c>
      <c r="AB1481" s="142" t="s">
        <v>3047</v>
      </c>
      <c r="AC1481" s="142">
        <f>B1481*IBGE_2!AC$1481/100</f>
        <v>4.2309999999999999</v>
      </c>
      <c r="AD1481" s="142">
        <f>B1481*IBGE_2!AD$1481/100</f>
        <v>2.2599999999999998</v>
      </c>
      <c r="AE1481" s="142">
        <f>B1481*IBGE_2!AE$1481/100</f>
        <v>10</v>
      </c>
      <c r="AF1481" s="142">
        <f>B1481*IBGE_2!AF$1481/100</f>
        <v>0.48699999999999993</v>
      </c>
      <c r="AG1481" s="142">
        <f>B1481*IBGE_2!AG$1481/100</f>
        <v>0.17</v>
      </c>
      <c r="AH1481" s="142">
        <f>B1481*IBGE_2!AH$1481/100</f>
        <v>0.57099999999999995</v>
      </c>
      <c r="AI1481" s="142" t="s">
        <v>3047</v>
      </c>
      <c r="AJ1481" s="142">
        <f>B1481*IBGE_2!AJ$1481/100</f>
        <v>17.7</v>
      </c>
      <c r="AK1481" s="142">
        <f>B1481*IBGE_2!AK$1481/100</f>
        <v>160.25</v>
      </c>
      <c r="AL1481" s="142">
        <f>B1481*IBGE_2!AL$1481/100</f>
        <v>1.37</v>
      </c>
      <c r="AM1481" s="145" t="s">
        <v>3047</v>
      </c>
      <c r="AN1481" s="161"/>
    </row>
    <row r="1482" spans="1:40">
      <c r="A1482" s="143" t="s">
        <v>2542</v>
      </c>
      <c r="B1482" s="141">
        <v>100</v>
      </c>
      <c r="C1482" s="142">
        <f>B1482*IBGE_2!C$1482/100</f>
        <v>231</v>
      </c>
      <c r="D1482" s="142">
        <f>B1482*IBGE_2!D$1482/100</f>
        <v>10.6</v>
      </c>
      <c r="E1482" s="142">
        <f>B1482*IBGE_2!E$1482/100</f>
        <v>17.600000000000001</v>
      </c>
      <c r="F1482" s="142">
        <f>B1482*IBGE_2!F$1482/100</f>
        <v>11.089</v>
      </c>
      <c r="G1482" s="142">
        <f>B1482*IBGE_2!G$1482/100</f>
        <v>4.9669999999999996</v>
      </c>
      <c r="H1482" s="142">
        <f>B1482*IBGE_2!H$1482/100</f>
        <v>0.63600000000000001</v>
      </c>
      <c r="I1482" s="142">
        <f>B1482*IBGE_2!I$1482/100</f>
        <v>0.38900000000000001</v>
      </c>
      <c r="J1482" s="142">
        <f>B1482*IBGE_2!J$1482/100</f>
        <v>0.247</v>
      </c>
      <c r="K1482" s="142">
        <f>B1482*IBGE_2!K$1482/100</f>
        <v>56</v>
      </c>
      <c r="L1482" s="142">
        <f>B1482*IBGE_2!L$1482/100</f>
        <v>7</v>
      </c>
      <c r="M1482" s="142" t="s">
        <v>3047</v>
      </c>
      <c r="N1482" s="142">
        <f>B1482*IBGE_2!N$1482/100</f>
        <v>112</v>
      </c>
      <c r="O1482" s="142">
        <f>B1482*IBGE_2!O$1482/100</f>
        <v>8</v>
      </c>
      <c r="P1482" s="142">
        <f>B1482*IBGE_2!P$1482/100</f>
        <v>5.0000000000000001E-3</v>
      </c>
      <c r="Q1482" s="142">
        <f>B1482*IBGE_2!Q$1482/100</f>
        <v>146</v>
      </c>
      <c r="R1482" s="142">
        <f>B1482*IBGE_2!R$1482/100</f>
        <v>1.68</v>
      </c>
      <c r="S1482" s="142">
        <f>B1482*IBGE_2!S$1482/100</f>
        <v>296</v>
      </c>
      <c r="T1482" s="142">
        <f>B1482*IBGE_2!T$1482/100</f>
        <v>167</v>
      </c>
      <c r="U1482" s="142">
        <f>B1482*IBGE_2!U$1482/100</f>
        <v>2.1999999999999999E-2</v>
      </c>
      <c r="V1482" s="142">
        <f>B1482*IBGE_2!V$1482/100</f>
        <v>0.76</v>
      </c>
      <c r="W1482" s="142">
        <f>B1482*IBGE_2!W$1482/100</f>
        <v>352</v>
      </c>
      <c r="X1482" s="142">
        <f>B1482*IBGE_2!X$1482/100</f>
        <v>0.02</v>
      </c>
      <c r="Y1482" s="142">
        <f>B1482*IBGE_2!Y$1482/100</f>
        <v>0.28000000000000003</v>
      </c>
      <c r="Z1482" s="142">
        <f>B1482*IBGE_2!Z$1482/100</f>
        <v>7.0000000000000007E-2</v>
      </c>
      <c r="AA1482" s="142">
        <f>B1482*IBGE_2!AA$1482/100</f>
        <v>0.14000000000000001</v>
      </c>
      <c r="AB1482" s="142" t="s">
        <v>3047</v>
      </c>
      <c r="AC1482" s="142">
        <f>B1482*IBGE_2!AC$1482/100</f>
        <v>3.5069999999999997</v>
      </c>
      <c r="AD1482" s="142">
        <f>B1482*IBGE_2!AD$1482/100</f>
        <v>0.6</v>
      </c>
      <c r="AE1482" s="142">
        <f>B1482*IBGE_2!AE$1482/100</f>
        <v>18</v>
      </c>
      <c r="AF1482" s="142">
        <f>B1482*IBGE_2!AF$1482/100</f>
        <v>0.57999999999999996</v>
      </c>
      <c r="AG1482" s="142">
        <f>B1482*IBGE_2!AG$1482/100</f>
        <v>0.15</v>
      </c>
      <c r="AH1482" s="142">
        <f>B1482*IBGE_2!AH$1482/100</f>
        <v>0.499</v>
      </c>
      <c r="AI1482" s="142" t="s">
        <v>3047</v>
      </c>
      <c r="AJ1482" s="142">
        <f>B1482*IBGE_2!AJ$1482/100</f>
        <v>4</v>
      </c>
      <c r="AK1482" s="142">
        <f>B1482*IBGE_2!AK$1482/100</f>
        <v>355.75</v>
      </c>
      <c r="AL1482" s="142">
        <f>B1482*IBGE_2!AL$1482/100</f>
        <v>7</v>
      </c>
      <c r="AM1482" s="145" t="s">
        <v>3047</v>
      </c>
      <c r="AN1482" s="161"/>
    </row>
    <row r="1483" spans="1:40">
      <c r="A1483" s="143" t="s">
        <v>2543</v>
      </c>
      <c r="B1483" s="141">
        <v>100</v>
      </c>
      <c r="C1483" s="142">
        <f>B1483*IBGE_2!C$1483/100</f>
        <v>231</v>
      </c>
      <c r="D1483" s="142">
        <f>B1483*IBGE_2!D$1483/100</f>
        <v>10.6</v>
      </c>
      <c r="E1483" s="142">
        <f>B1483*IBGE_2!E$1483/100</f>
        <v>17.600000000000001</v>
      </c>
      <c r="F1483" s="142">
        <f>B1483*IBGE_2!F$1483/100</f>
        <v>11.089</v>
      </c>
      <c r="G1483" s="142">
        <f>B1483*IBGE_2!G$1483/100</f>
        <v>4.9669999999999996</v>
      </c>
      <c r="H1483" s="142">
        <f>B1483*IBGE_2!H$1483/100</f>
        <v>0.63600000000000001</v>
      </c>
      <c r="I1483" s="142">
        <f>B1483*IBGE_2!I$1483/100</f>
        <v>0.38900000000000001</v>
      </c>
      <c r="J1483" s="142">
        <f>B1483*IBGE_2!J$1483/100</f>
        <v>0.247</v>
      </c>
      <c r="K1483" s="142">
        <f>B1483*IBGE_2!K$1483/100</f>
        <v>56</v>
      </c>
      <c r="L1483" s="142">
        <f>B1483*IBGE_2!L$1483/100</f>
        <v>7</v>
      </c>
      <c r="M1483" s="142" t="s">
        <v>3047</v>
      </c>
      <c r="N1483" s="142">
        <f>B1483*IBGE_2!N$1483/100</f>
        <v>112</v>
      </c>
      <c r="O1483" s="142">
        <f>B1483*IBGE_2!O$1483/100</f>
        <v>8</v>
      </c>
      <c r="P1483" s="142">
        <f>B1483*IBGE_2!P$1483/100</f>
        <v>5.0000000000000001E-3</v>
      </c>
      <c r="Q1483" s="142">
        <f>B1483*IBGE_2!Q$1483/100</f>
        <v>146</v>
      </c>
      <c r="R1483" s="142">
        <f>B1483*IBGE_2!R$1483/100</f>
        <v>1.68</v>
      </c>
      <c r="S1483" s="142">
        <f>B1483*IBGE_2!S$1483/100</f>
        <v>296</v>
      </c>
      <c r="T1483" s="142">
        <f>B1483*IBGE_2!T$1483/100</f>
        <v>167</v>
      </c>
      <c r="U1483" s="142">
        <f>B1483*IBGE_2!U$1483/100</f>
        <v>2.1999999999999999E-2</v>
      </c>
      <c r="V1483" s="142">
        <f>B1483*IBGE_2!V$1483/100</f>
        <v>0.76</v>
      </c>
      <c r="W1483" s="142">
        <f>B1483*IBGE_2!W$1483/100</f>
        <v>352</v>
      </c>
      <c r="X1483" s="142">
        <f>B1483*IBGE_2!X$1483/100</f>
        <v>0.02</v>
      </c>
      <c r="Y1483" s="142">
        <f>B1483*IBGE_2!Y$1483/100</f>
        <v>0.28000000000000003</v>
      </c>
      <c r="Z1483" s="142">
        <f>B1483*IBGE_2!Z$1483/100</f>
        <v>7.0000000000000007E-2</v>
      </c>
      <c r="AA1483" s="142">
        <f>B1483*IBGE_2!AA$1483/100</f>
        <v>0.14000000000000001</v>
      </c>
      <c r="AB1483" s="142" t="s">
        <v>3047</v>
      </c>
      <c r="AC1483" s="142">
        <f>B1483*IBGE_2!AC$1483/100</f>
        <v>3.5069999999999997</v>
      </c>
      <c r="AD1483" s="142">
        <f>B1483*IBGE_2!AD$1483/100</f>
        <v>0.6</v>
      </c>
      <c r="AE1483" s="142">
        <f>B1483*IBGE_2!AE$1483/100</f>
        <v>18</v>
      </c>
      <c r="AF1483" s="142">
        <f>B1483*IBGE_2!AF$1483/100</f>
        <v>0.57999999999999996</v>
      </c>
      <c r="AG1483" s="142">
        <f>B1483*IBGE_2!AG$1483/100</f>
        <v>0.15</v>
      </c>
      <c r="AH1483" s="142">
        <f>B1483*IBGE_2!AH$1483/100</f>
        <v>0.499</v>
      </c>
      <c r="AI1483" s="142" t="s">
        <v>3047</v>
      </c>
      <c r="AJ1483" s="142">
        <f>B1483*IBGE_2!AJ$1483/100</f>
        <v>4</v>
      </c>
      <c r="AK1483" s="142">
        <f>B1483*IBGE_2!AK$1483/100</f>
        <v>355.75</v>
      </c>
      <c r="AL1483" s="142">
        <f>B1483*IBGE_2!AL$1483/100</f>
        <v>7</v>
      </c>
      <c r="AM1483" s="145" t="s">
        <v>3047</v>
      </c>
      <c r="AN1483" s="161"/>
    </row>
    <row r="1484" spans="1:40">
      <c r="A1484" s="143" t="s">
        <v>2544</v>
      </c>
      <c r="B1484" s="141">
        <v>100</v>
      </c>
      <c r="C1484" s="142">
        <f>B1484*IBGE_2!C$1484/100</f>
        <v>90</v>
      </c>
      <c r="D1484" s="142">
        <f>B1484*IBGE_2!D$1484/100</f>
        <v>13.74</v>
      </c>
      <c r="E1484" s="142">
        <f>B1484*IBGE_2!E$1484/100</f>
        <v>1.93</v>
      </c>
      <c r="F1484" s="142">
        <f>B1484*IBGE_2!F$1484/100</f>
        <v>1.2210000000000001</v>
      </c>
      <c r="G1484" s="142">
        <f>B1484*IBGE_2!G$1484/100</f>
        <v>0.55000000000000004</v>
      </c>
      <c r="H1484" s="142">
        <f>B1484*IBGE_2!H$1484/100</f>
        <v>5.8999999999999997E-2</v>
      </c>
      <c r="I1484" s="142">
        <f>B1484*IBGE_2!I$1484/100</f>
        <v>4.2000000000000003E-2</v>
      </c>
      <c r="J1484" s="142">
        <f>B1484*IBGE_2!J$1484/100</f>
        <v>1.7000000000000001E-2</v>
      </c>
      <c r="K1484" s="142">
        <f>B1484*IBGE_2!K$1484/100</f>
        <v>8</v>
      </c>
      <c r="L1484" s="142">
        <f>B1484*IBGE_2!L$1484/100</f>
        <v>3.63</v>
      </c>
      <c r="M1484" s="142" t="s">
        <v>3047</v>
      </c>
      <c r="N1484" s="142">
        <f>B1484*IBGE_2!N$1484/100</f>
        <v>69</v>
      </c>
      <c r="O1484" s="142">
        <f>B1484*IBGE_2!O$1484/100</f>
        <v>6</v>
      </c>
      <c r="P1484" s="142">
        <f>B1484*IBGE_2!P$1484/100</f>
        <v>3.0000000000000001E-3</v>
      </c>
      <c r="Q1484" s="142">
        <f>B1484*IBGE_2!Q$1484/100</f>
        <v>151</v>
      </c>
      <c r="R1484" s="142">
        <f>B1484*IBGE_2!R$1484/100</f>
        <v>0.16</v>
      </c>
      <c r="S1484" s="142">
        <f>B1484*IBGE_2!S$1484/100</f>
        <v>406</v>
      </c>
      <c r="T1484" s="142">
        <f>B1484*IBGE_2!T$1484/100</f>
        <v>96</v>
      </c>
      <c r="U1484" s="142">
        <f>B1484*IBGE_2!U$1484/100</f>
        <v>2.8000000000000004E-2</v>
      </c>
      <c r="V1484" s="142">
        <f>B1484*IBGE_2!V$1484/100</f>
        <v>0.42</v>
      </c>
      <c r="W1484" s="142">
        <f>B1484*IBGE_2!W$1484/100</f>
        <v>21</v>
      </c>
      <c r="X1484" s="142">
        <f>B1484*IBGE_2!X$1484/100</f>
        <v>2.4E-2</v>
      </c>
      <c r="Y1484" s="142">
        <f>B1484*IBGE_2!Y$1484/100</f>
        <v>0.185</v>
      </c>
      <c r="Z1484" s="142">
        <f>B1484*IBGE_2!Z$1484/100</f>
        <v>7.5999999999999998E-2</v>
      </c>
      <c r="AA1484" s="142">
        <f>B1484*IBGE_2!AA$1484/100</f>
        <v>0.14399999999999999</v>
      </c>
      <c r="AB1484" s="142" t="s">
        <v>3047</v>
      </c>
      <c r="AC1484" s="142">
        <f>B1484*IBGE_2!AC$1484/100</f>
        <v>2.694</v>
      </c>
      <c r="AD1484" s="142">
        <f>B1484*IBGE_2!AD$1484/100</f>
        <v>0.71</v>
      </c>
      <c r="AE1484" s="142">
        <f>B1484*IBGE_2!AE$1484/100</f>
        <v>13</v>
      </c>
      <c r="AF1484" s="142">
        <f>B1484*IBGE_2!AF$1484/100</f>
        <v>0.01</v>
      </c>
      <c r="AG1484" s="142">
        <f>B1484*IBGE_2!AG$1484/100</f>
        <v>0.02</v>
      </c>
      <c r="AH1484" s="142">
        <f>B1484*IBGE_2!AH$1484/100</f>
        <v>0.06</v>
      </c>
      <c r="AI1484" s="142" t="s">
        <v>3047</v>
      </c>
      <c r="AJ1484" s="142">
        <f>B1484*IBGE_2!AJ$1484/100</f>
        <v>10.199999999999999</v>
      </c>
      <c r="AK1484" s="142">
        <f>B1484*IBGE_2!AK$1484/100</f>
        <v>21.417000000000002</v>
      </c>
      <c r="AL1484" s="142">
        <f>B1484*IBGE_2!AL$1484/100</f>
        <v>3.6</v>
      </c>
      <c r="AM1484" s="145" t="s">
        <v>3047</v>
      </c>
      <c r="AN1484" s="161"/>
    </row>
    <row r="1485" spans="1:40">
      <c r="A1485" s="143" t="s">
        <v>2545</v>
      </c>
      <c r="B1485" s="141">
        <v>100</v>
      </c>
      <c r="C1485" s="142">
        <f>B1485*IBGE_2!C$1485/100</f>
        <v>63</v>
      </c>
      <c r="D1485" s="142">
        <f>B1485*IBGE_2!D$1485/100</f>
        <v>3.24</v>
      </c>
      <c r="E1485" s="142">
        <f>B1485*IBGE_2!E$1485/100</f>
        <v>1</v>
      </c>
      <c r="F1485" s="142">
        <f>B1485*IBGE_2!F$1485/100</f>
        <v>0.61599999999999999</v>
      </c>
      <c r="G1485" s="142">
        <f>B1485*IBGE_2!G$1485/100</f>
        <v>0.3</v>
      </c>
      <c r="H1485" s="142">
        <f>B1485*IBGE_2!H$1485/100</f>
        <v>3.5000000000000003E-2</v>
      </c>
      <c r="I1485" s="142">
        <f>B1485*IBGE_2!I$1485/100</f>
        <v>2.4E-2</v>
      </c>
      <c r="J1485" s="142">
        <f>B1485*IBGE_2!J$1485/100</f>
        <v>1.0999999999999999E-2</v>
      </c>
      <c r="K1485" s="142">
        <f>B1485*IBGE_2!K$1485/100</f>
        <v>3</v>
      </c>
      <c r="L1485" s="142">
        <f>B1485*IBGE_2!L$1485/100</f>
        <v>10.44</v>
      </c>
      <c r="M1485" s="142">
        <f>B1485*IBGE_2!M$1485/100</f>
        <v>0.5</v>
      </c>
      <c r="N1485" s="142">
        <f>B1485*IBGE_2!N$1485/100</f>
        <v>115</v>
      </c>
      <c r="O1485" s="142">
        <f>B1485*IBGE_2!O$1485/100</f>
        <v>13</v>
      </c>
      <c r="P1485" s="142">
        <f>B1485*IBGE_2!P$1485/100</f>
        <v>7.6999999999999999E-2</v>
      </c>
      <c r="Q1485" s="142">
        <f>B1485*IBGE_2!Q$1485/100</f>
        <v>103</v>
      </c>
      <c r="R1485" s="142">
        <f>B1485*IBGE_2!R$1485/100</f>
        <v>0.24</v>
      </c>
      <c r="S1485" s="142">
        <f>B1485*IBGE_2!S$1485/100</f>
        <v>61</v>
      </c>
      <c r="T1485" s="142">
        <f>B1485*IBGE_2!T$1485/100</f>
        <v>170</v>
      </c>
      <c r="U1485" s="142">
        <f>B1485*IBGE_2!U$1485/100</f>
        <v>6.5000000000000002E-2</v>
      </c>
      <c r="V1485" s="142">
        <f>B1485*IBGE_2!V$1485/100</f>
        <v>0.41</v>
      </c>
      <c r="W1485" s="142">
        <f>B1485*IBGE_2!W$1485/100</f>
        <v>58</v>
      </c>
      <c r="X1485" s="142">
        <f>B1485*IBGE_2!X$1485/100</f>
        <v>3.7999999999999999E-2</v>
      </c>
      <c r="Y1485" s="142">
        <f>B1485*IBGE_2!Y$1485/100</f>
        <v>0.16600000000000001</v>
      </c>
      <c r="Z1485" s="142">
        <f>B1485*IBGE_2!Z$1485/100</f>
        <v>4.1000000000000009E-2</v>
      </c>
      <c r="AA1485" s="142">
        <f>B1485*IBGE_2!AA$1485/100</f>
        <v>0.127</v>
      </c>
      <c r="AB1485" s="142">
        <f>B1485*IBGE_2!AB$1485/100</f>
        <v>0.9</v>
      </c>
      <c r="AC1485" s="142">
        <f>B1485*IBGE_2!AC$1485/100</f>
        <v>0.89400000000000002</v>
      </c>
      <c r="AD1485" s="142">
        <f>B1485*IBGE_2!AD$1485/100</f>
        <v>0.34</v>
      </c>
      <c r="AE1485" s="142">
        <f>B1485*IBGE_2!AE$1485/100</f>
        <v>5</v>
      </c>
      <c r="AF1485" s="142">
        <f>B1485*IBGE_2!AF$1485/100</f>
        <v>1</v>
      </c>
      <c r="AG1485" s="142">
        <f>B1485*IBGE_2!AG$1485/100</f>
        <v>0.02</v>
      </c>
      <c r="AH1485" s="142">
        <f>B1485*IBGE_2!AH$1485/100</f>
        <v>3.5999999999999997E-2</v>
      </c>
      <c r="AI1485" s="142" t="s">
        <v>3047</v>
      </c>
      <c r="AJ1485" s="142">
        <f>B1485*IBGE_2!AJ$1485/100</f>
        <v>1.9</v>
      </c>
      <c r="AK1485" s="142">
        <f>B1485*IBGE_2!AK$1485/100</f>
        <v>58.167000000000002</v>
      </c>
      <c r="AL1485" s="142">
        <f>B1485*IBGE_2!AL$1485/100</f>
        <v>10.42</v>
      </c>
      <c r="AM1485" s="142">
        <f>B1485*IBGE_2!AM$1485/100</f>
        <v>5.9989999999999997</v>
      </c>
      <c r="AN1485" s="161"/>
    </row>
    <row r="1486" spans="1:40">
      <c r="A1486" s="143" t="s">
        <v>2546</v>
      </c>
      <c r="B1486" s="141">
        <v>100</v>
      </c>
      <c r="C1486" s="142">
        <f>B1486*IBGE_2!C$1486/100</f>
        <v>63</v>
      </c>
      <c r="D1486" s="142">
        <f>B1486*IBGE_2!D$1486/100</f>
        <v>3.24</v>
      </c>
      <c r="E1486" s="142">
        <f>B1486*IBGE_2!E$1486/100</f>
        <v>1</v>
      </c>
      <c r="F1486" s="142">
        <f>B1486*IBGE_2!F$1486/100</f>
        <v>0.61599999999999999</v>
      </c>
      <c r="G1486" s="142">
        <f>B1486*IBGE_2!G$1486/100</f>
        <v>0.3</v>
      </c>
      <c r="H1486" s="142">
        <f>B1486*IBGE_2!H$1486/100</f>
        <v>3.5000000000000003E-2</v>
      </c>
      <c r="I1486" s="142">
        <f>B1486*IBGE_2!I$1486/100</f>
        <v>2.4E-2</v>
      </c>
      <c r="J1486" s="142">
        <f>B1486*IBGE_2!J$1486/100</f>
        <v>1.0999999999999999E-2</v>
      </c>
      <c r="K1486" s="142">
        <f>B1486*IBGE_2!K$1486/100</f>
        <v>3</v>
      </c>
      <c r="L1486" s="142">
        <f>B1486*IBGE_2!L$1486/100</f>
        <v>10.44</v>
      </c>
      <c r="M1486" s="142">
        <f>B1486*IBGE_2!M$1486/100</f>
        <v>0.5</v>
      </c>
      <c r="N1486" s="142">
        <f>B1486*IBGE_2!N$1486/100</f>
        <v>115</v>
      </c>
      <c r="O1486" s="142">
        <f>B1486*IBGE_2!O$1486/100</f>
        <v>13</v>
      </c>
      <c r="P1486" s="142">
        <f>B1486*IBGE_2!P$1486/100</f>
        <v>7.6999999999999999E-2</v>
      </c>
      <c r="Q1486" s="142">
        <f>B1486*IBGE_2!Q$1486/100</f>
        <v>103</v>
      </c>
      <c r="R1486" s="142">
        <f>B1486*IBGE_2!R$1486/100</f>
        <v>0.24</v>
      </c>
      <c r="S1486" s="142">
        <f>B1486*IBGE_2!S$1486/100</f>
        <v>61</v>
      </c>
      <c r="T1486" s="142">
        <f>B1486*IBGE_2!T$1486/100</f>
        <v>170</v>
      </c>
      <c r="U1486" s="142">
        <f>B1486*IBGE_2!U$1486/100</f>
        <v>6.5000000000000002E-2</v>
      </c>
      <c r="V1486" s="142">
        <f>B1486*IBGE_2!V$1486/100</f>
        <v>0.41</v>
      </c>
      <c r="W1486" s="142">
        <f>B1486*IBGE_2!W$1486/100</f>
        <v>58</v>
      </c>
      <c r="X1486" s="142">
        <f>B1486*IBGE_2!X$1486/100</f>
        <v>3.7999999999999999E-2</v>
      </c>
      <c r="Y1486" s="142">
        <f>B1486*IBGE_2!Y$1486/100</f>
        <v>0.16600000000000001</v>
      </c>
      <c r="Z1486" s="142">
        <f>B1486*IBGE_2!Z$1486/100</f>
        <v>4.1000000000000009E-2</v>
      </c>
      <c r="AA1486" s="142">
        <f>B1486*IBGE_2!AA$1486/100</f>
        <v>0.127</v>
      </c>
      <c r="AB1486" s="142">
        <f>B1486*IBGE_2!AB$1486/100</f>
        <v>0.9</v>
      </c>
      <c r="AC1486" s="142">
        <f>B1486*IBGE_2!AC$1486/100</f>
        <v>0.89400000000000002</v>
      </c>
      <c r="AD1486" s="142">
        <f>B1486*IBGE_2!AD$1486/100</f>
        <v>0.34</v>
      </c>
      <c r="AE1486" s="142">
        <f>B1486*IBGE_2!AE$1486/100</f>
        <v>5</v>
      </c>
      <c r="AF1486" s="142">
        <f>B1486*IBGE_2!AF$1486/100</f>
        <v>1</v>
      </c>
      <c r="AG1486" s="142">
        <f>B1486*IBGE_2!AG$1486/100</f>
        <v>0.02</v>
      </c>
      <c r="AH1486" s="142">
        <f>B1486*IBGE_2!AH$1486/100</f>
        <v>3.5999999999999997E-2</v>
      </c>
      <c r="AI1486" s="142" t="s">
        <v>3047</v>
      </c>
      <c r="AJ1486" s="142">
        <f>B1486*IBGE_2!AJ$1486/100</f>
        <v>1.9</v>
      </c>
      <c r="AK1486" s="142">
        <f>B1486*IBGE_2!AK$1486/100</f>
        <v>58.167000000000002</v>
      </c>
      <c r="AL1486" s="142">
        <f>B1486*IBGE_2!AL$1486/100</f>
        <v>10.42</v>
      </c>
      <c r="AM1486" s="142">
        <f>B1486*IBGE_2!AM$1486/100</f>
        <v>5.9989999999999997</v>
      </c>
      <c r="AN1486" s="161"/>
    </row>
    <row r="1487" spans="1:40">
      <c r="A1487" s="143" t="s">
        <v>2547</v>
      </c>
      <c r="B1487" s="141">
        <v>100</v>
      </c>
      <c r="C1487" s="142">
        <f>B1487*IBGE_2!C$1487/100</f>
        <v>73.289000000000001</v>
      </c>
      <c r="D1487" s="142">
        <f>B1487*IBGE_2!D$1487/100</f>
        <v>3.4820000000000007</v>
      </c>
      <c r="E1487" s="142">
        <f>B1487*IBGE_2!E$1487/100</f>
        <v>3.51</v>
      </c>
      <c r="F1487" s="142">
        <f>B1487*IBGE_2!F$1487/100</f>
        <v>2.0070000000000001</v>
      </c>
      <c r="G1487" s="142">
        <f>B1487*IBGE_2!G$1487/100</f>
        <v>0.90100000000000013</v>
      </c>
      <c r="H1487" s="142">
        <f>B1487*IBGE_2!H$1487/100</f>
        <v>0.214</v>
      </c>
      <c r="I1487" s="142">
        <f>B1487*IBGE_2!I$1487/100</f>
        <v>0.14000000000000001</v>
      </c>
      <c r="J1487" s="142">
        <f>B1487*IBGE_2!J$1487/100</f>
        <v>7.3999999999999996E-2</v>
      </c>
      <c r="K1487" s="142">
        <f>B1487*IBGE_2!K$1487/100</f>
        <v>9.5920000000000005</v>
      </c>
      <c r="L1487" s="142">
        <f>B1487*IBGE_2!L$1487/100</f>
        <v>7.0869999999999997</v>
      </c>
      <c r="M1487" s="142">
        <f>B1487*IBGE_2!M$1487/100</f>
        <v>0.39300000000000002</v>
      </c>
      <c r="N1487" s="142">
        <f>B1487*IBGE_2!N$1487/100</f>
        <v>147.691</v>
      </c>
      <c r="O1487" s="142">
        <f>B1487*IBGE_2!O$1487/100</f>
        <v>17.763999999999999</v>
      </c>
      <c r="P1487" s="142">
        <f>B1487*IBGE_2!P$1487/100</f>
        <v>8.2000000000000017E-2</v>
      </c>
      <c r="Q1487" s="142">
        <f>B1487*IBGE_2!Q$1487/100</f>
        <v>115.693</v>
      </c>
      <c r="R1487" s="142">
        <f>B1487*IBGE_2!R$1487/100</f>
        <v>0.17</v>
      </c>
      <c r="S1487" s="142">
        <f>B1487*IBGE_2!S$1487/100</f>
        <v>71.792000000000002</v>
      </c>
      <c r="T1487" s="142">
        <f>B1487*IBGE_2!T$1487/100</f>
        <v>188.48699999999999</v>
      </c>
      <c r="U1487" s="142">
        <f>B1487*IBGE_2!U$1487/100</f>
        <v>8.900000000000001E-2</v>
      </c>
      <c r="V1487" s="142">
        <f>B1487*IBGE_2!V$1487/100</f>
        <v>0.97299999999999998</v>
      </c>
      <c r="W1487" s="142">
        <f>B1487*IBGE_2!W$1487/100</f>
        <v>26.856999999999999</v>
      </c>
      <c r="X1487" s="142">
        <f>B1487*IBGE_2!X$1487/100</f>
        <v>5.2999999999999999E-2</v>
      </c>
      <c r="Y1487" s="142">
        <f>B1487*IBGE_2!Y$1487/100</f>
        <v>0.21</v>
      </c>
      <c r="Z1487" s="142">
        <f>B1487*IBGE_2!Z$1487/100</f>
        <v>0.113</v>
      </c>
      <c r="AA1487" s="142">
        <f>B1487*IBGE_2!AA$1487/100</f>
        <v>0.14299999999999999</v>
      </c>
      <c r="AB1487" s="142">
        <f>B1487*IBGE_2!AB$1487/100</f>
        <v>2.359</v>
      </c>
      <c r="AC1487" s="142">
        <f>B1487*IBGE_2!AC$1487/100</f>
        <v>1.454</v>
      </c>
      <c r="AD1487" s="142">
        <f>B1487*IBGE_2!AD$1487/100</f>
        <v>0.46100000000000002</v>
      </c>
      <c r="AE1487" s="142">
        <f>B1487*IBGE_2!AE$1487/100</f>
        <v>5.6609999999999987</v>
      </c>
      <c r="AF1487" s="142">
        <f>B1487*IBGE_2!AF$1487/100</f>
        <v>0.95899999999999996</v>
      </c>
      <c r="AG1487" s="142">
        <f>B1487*IBGE_2!AG$1487/100</f>
        <v>6.6000000000000003E-2</v>
      </c>
      <c r="AH1487" s="142">
        <f>B1487*IBGE_2!AH$1487/100</f>
        <v>0.111</v>
      </c>
      <c r="AI1487" s="142" t="s">
        <v>3047</v>
      </c>
      <c r="AJ1487" s="142">
        <f>B1487*IBGE_2!AJ$1487/100</f>
        <v>4.1180000000000003</v>
      </c>
      <c r="AK1487" s="142">
        <f>B1487*IBGE_2!AK$1487/100</f>
        <v>27.256</v>
      </c>
      <c r="AL1487" s="142">
        <f>B1487*IBGE_2!AL$1487/100</f>
        <v>6.2370000000000001</v>
      </c>
      <c r="AM1487" s="145" t="s">
        <v>3047</v>
      </c>
      <c r="AN1487" s="161"/>
    </row>
    <row r="1488" spans="1:40">
      <c r="A1488" s="143" t="s">
        <v>2548</v>
      </c>
      <c r="B1488" s="141">
        <v>100</v>
      </c>
      <c r="C1488" s="142">
        <f>B1488*IBGE_2!C$1488/100</f>
        <v>73.289000000000001</v>
      </c>
      <c r="D1488" s="142">
        <f>B1488*IBGE_2!D$1488/100</f>
        <v>3.4820000000000007</v>
      </c>
      <c r="E1488" s="142">
        <f>B1488*IBGE_2!E$1488/100</f>
        <v>3.51</v>
      </c>
      <c r="F1488" s="142">
        <f>B1488*IBGE_2!F$1488/100</f>
        <v>2.0070000000000001</v>
      </c>
      <c r="G1488" s="142">
        <f>B1488*IBGE_2!G$1488/100</f>
        <v>0.90100000000000013</v>
      </c>
      <c r="H1488" s="142">
        <f>B1488*IBGE_2!H$1488/100</f>
        <v>0.214</v>
      </c>
      <c r="I1488" s="142">
        <f>B1488*IBGE_2!I$1488/100</f>
        <v>0.14000000000000001</v>
      </c>
      <c r="J1488" s="142">
        <f>B1488*IBGE_2!J$1488/100</f>
        <v>7.3999999999999996E-2</v>
      </c>
      <c r="K1488" s="142">
        <f>B1488*IBGE_2!K$1488/100</f>
        <v>9.5920000000000005</v>
      </c>
      <c r="L1488" s="142">
        <f>B1488*IBGE_2!L$1488/100</f>
        <v>7.0869999999999997</v>
      </c>
      <c r="M1488" s="142">
        <f>B1488*IBGE_2!M$1488/100</f>
        <v>0.39300000000000002</v>
      </c>
      <c r="N1488" s="142">
        <f>B1488*IBGE_2!N$1488/100</f>
        <v>147.691</v>
      </c>
      <c r="O1488" s="142">
        <f>B1488*IBGE_2!O$1488/100</f>
        <v>17.763999999999999</v>
      </c>
      <c r="P1488" s="142">
        <f>B1488*IBGE_2!P$1488/100</f>
        <v>8.2000000000000017E-2</v>
      </c>
      <c r="Q1488" s="142">
        <f>B1488*IBGE_2!Q$1488/100</f>
        <v>115.693</v>
      </c>
      <c r="R1488" s="142">
        <f>B1488*IBGE_2!R$1488/100</f>
        <v>0.17</v>
      </c>
      <c r="S1488" s="142">
        <f>B1488*IBGE_2!S$1488/100</f>
        <v>71.792000000000002</v>
      </c>
      <c r="T1488" s="142">
        <f>B1488*IBGE_2!T$1488/100</f>
        <v>188.48699999999999</v>
      </c>
      <c r="U1488" s="142">
        <f>B1488*IBGE_2!U$1488/100</f>
        <v>8.900000000000001E-2</v>
      </c>
      <c r="V1488" s="142">
        <f>B1488*IBGE_2!V$1488/100</f>
        <v>0.97299999999999998</v>
      </c>
      <c r="W1488" s="142">
        <f>B1488*IBGE_2!W$1488/100</f>
        <v>26.856999999999999</v>
      </c>
      <c r="X1488" s="142">
        <f>B1488*IBGE_2!X$1488/100</f>
        <v>5.2999999999999999E-2</v>
      </c>
      <c r="Y1488" s="142">
        <f>B1488*IBGE_2!Y$1488/100</f>
        <v>0.21</v>
      </c>
      <c r="Z1488" s="142">
        <f>B1488*IBGE_2!Z$1488/100</f>
        <v>0.113</v>
      </c>
      <c r="AA1488" s="142">
        <f>B1488*IBGE_2!AA$1488/100</f>
        <v>0.14299999999999999</v>
      </c>
      <c r="AB1488" s="142">
        <f>B1488*IBGE_2!AB$1488/100</f>
        <v>2.359</v>
      </c>
      <c r="AC1488" s="142">
        <f>B1488*IBGE_2!AC$1488/100</f>
        <v>1.454</v>
      </c>
      <c r="AD1488" s="142">
        <f>B1488*IBGE_2!AD$1488/100</f>
        <v>0.46100000000000002</v>
      </c>
      <c r="AE1488" s="142">
        <f>B1488*IBGE_2!AE$1488/100</f>
        <v>5.6609999999999987</v>
      </c>
      <c r="AF1488" s="142">
        <f>B1488*IBGE_2!AF$1488/100</f>
        <v>0.95899999999999996</v>
      </c>
      <c r="AG1488" s="142">
        <f>B1488*IBGE_2!AG$1488/100</f>
        <v>6.6000000000000003E-2</v>
      </c>
      <c r="AH1488" s="142">
        <f>B1488*IBGE_2!AH$1488/100</f>
        <v>0.111</v>
      </c>
      <c r="AI1488" s="142" t="s">
        <v>3047</v>
      </c>
      <c r="AJ1488" s="142">
        <f>B1488*IBGE_2!AJ$1488/100</f>
        <v>4.1180000000000003</v>
      </c>
      <c r="AK1488" s="142">
        <f>B1488*IBGE_2!AK$1488/100</f>
        <v>27.256</v>
      </c>
      <c r="AL1488" s="142">
        <f>B1488*IBGE_2!AL$1488/100</f>
        <v>6.2370000000000001</v>
      </c>
      <c r="AM1488" s="145" t="s">
        <v>3047</v>
      </c>
      <c r="AN1488" s="161"/>
    </row>
    <row r="1489" spans="1:40">
      <c r="A1489" s="143" t="s">
        <v>2549</v>
      </c>
      <c r="B1489" s="141">
        <v>100</v>
      </c>
      <c r="C1489" s="142">
        <f>B1489*IBGE_2!C$1489/100</f>
        <v>73.289000000000001</v>
      </c>
      <c r="D1489" s="142">
        <f>B1489*IBGE_2!D$1489/100</f>
        <v>3.4820000000000007</v>
      </c>
      <c r="E1489" s="142">
        <f>B1489*IBGE_2!E$1489/100</f>
        <v>3.51</v>
      </c>
      <c r="F1489" s="142">
        <f>B1489*IBGE_2!F$1489/100</f>
        <v>2.0070000000000001</v>
      </c>
      <c r="G1489" s="142">
        <f>B1489*IBGE_2!G$1489/100</f>
        <v>0.90100000000000013</v>
      </c>
      <c r="H1489" s="142">
        <f>B1489*IBGE_2!H$1489/100</f>
        <v>0.214</v>
      </c>
      <c r="I1489" s="142">
        <f>B1489*IBGE_2!I$1489/100</f>
        <v>0.14000000000000001</v>
      </c>
      <c r="J1489" s="142">
        <f>B1489*IBGE_2!J$1489/100</f>
        <v>7.3999999999999996E-2</v>
      </c>
      <c r="K1489" s="142">
        <f>B1489*IBGE_2!K$1489/100</f>
        <v>9.5920000000000005</v>
      </c>
      <c r="L1489" s="142">
        <f>B1489*IBGE_2!L$1489/100</f>
        <v>7.0869999999999997</v>
      </c>
      <c r="M1489" s="142">
        <f>B1489*IBGE_2!M$1489/100</f>
        <v>0.39300000000000002</v>
      </c>
      <c r="N1489" s="142">
        <f>B1489*IBGE_2!N$1489/100</f>
        <v>147.691</v>
      </c>
      <c r="O1489" s="142">
        <f>B1489*IBGE_2!O$1489/100</f>
        <v>17.763999999999999</v>
      </c>
      <c r="P1489" s="142">
        <f>B1489*IBGE_2!P$1489/100</f>
        <v>8.2000000000000017E-2</v>
      </c>
      <c r="Q1489" s="142">
        <f>B1489*IBGE_2!Q$1489/100</f>
        <v>115.693</v>
      </c>
      <c r="R1489" s="142">
        <f>B1489*IBGE_2!R$1489/100</f>
        <v>0.17</v>
      </c>
      <c r="S1489" s="142">
        <f>B1489*IBGE_2!S$1489/100</f>
        <v>71.792000000000002</v>
      </c>
      <c r="T1489" s="142">
        <f>B1489*IBGE_2!T$1489/100</f>
        <v>188.48699999999999</v>
      </c>
      <c r="U1489" s="142">
        <f>B1489*IBGE_2!U$1489/100</f>
        <v>8.900000000000001E-2</v>
      </c>
      <c r="V1489" s="142">
        <f>B1489*IBGE_2!V$1489/100</f>
        <v>0.97299999999999998</v>
      </c>
      <c r="W1489" s="142">
        <f>B1489*IBGE_2!W$1489/100</f>
        <v>26.856999999999999</v>
      </c>
      <c r="X1489" s="142">
        <f>B1489*IBGE_2!X$1489/100</f>
        <v>5.2999999999999999E-2</v>
      </c>
      <c r="Y1489" s="142">
        <f>B1489*IBGE_2!Y$1489/100</f>
        <v>0.21</v>
      </c>
      <c r="Z1489" s="142">
        <f>B1489*IBGE_2!Z$1489/100</f>
        <v>0.113</v>
      </c>
      <c r="AA1489" s="142">
        <f>B1489*IBGE_2!AA$1489/100</f>
        <v>0.14299999999999999</v>
      </c>
      <c r="AB1489" s="142">
        <f>B1489*IBGE_2!AB$1489/100</f>
        <v>2.359</v>
      </c>
      <c r="AC1489" s="142">
        <f>B1489*IBGE_2!AC$1489/100</f>
        <v>1.454</v>
      </c>
      <c r="AD1489" s="142">
        <f>B1489*IBGE_2!AD$1489/100</f>
        <v>0.46100000000000002</v>
      </c>
      <c r="AE1489" s="142">
        <f>B1489*IBGE_2!AE$1489/100</f>
        <v>5.6609999999999987</v>
      </c>
      <c r="AF1489" s="142">
        <f>B1489*IBGE_2!AF$1489/100</f>
        <v>0.95899999999999996</v>
      </c>
      <c r="AG1489" s="142">
        <f>B1489*IBGE_2!AG$1489/100</f>
        <v>6.6000000000000003E-2</v>
      </c>
      <c r="AH1489" s="142">
        <f>B1489*IBGE_2!AH$1489/100</f>
        <v>0.111</v>
      </c>
      <c r="AI1489" s="142" t="s">
        <v>3047</v>
      </c>
      <c r="AJ1489" s="142">
        <f>B1489*IBGE_2!AJ$1489/100</f>
        <v>4.1180000000000003</v>
      </c>
      <c r="AK1489" s="142">
        <f>B1489*IBGE_2!AK$1489/100</f>
        <v>27.256</v>
      </c>
      <c r="AL1489" s="142">
        <f>B1489*IBGE_2!AL$1489/100</f>
        <v>6.2370000000000001</v>
      </c>
      <c r="AM1489" s="145" t="s">
        <v>3047</v>
      </c>
      <c r="AN1489" s="161"/>
    </row>
    <row r="1490" spans="1:40">
      <c r="A1490" s="143" t="s">
        <v>2550</v>
      </c>
      <c r="B1490" s="141">
        <v>100</v>
      </c>
      <c r="C1490" s="142">
        <f>B1490*IBGE_2!C$1490/100</f>
        <v>379.57900000000001</v>
      </c>
      <c r="D1490" s="142">
        <f>B1490*IBGE_2!D$1490/100</f>
        <v>32.936</v>
      </c>
      <c r="E1490" s="142">
        <f>B1490*IBGE_2!E$1490/100</f>
        <v>2.8</v>
      </c>
      <c r="F1490" s="142">
        <f>B1490*IBGE_2!F$1490/100</f>
        <v>0.40200000000000002</v>
      </c>
      <c r="G1490" s="142">
        <f>B1490*IBGE_2!G$1490/100</f>
        <v>0.61299999999999999</v>
      </c>
      <c r="H1490" s="142">
        <f>B1490*IBGE_2!H$1490/100</f>
        <v>1.5680000000000001</v>
      </c>
      <c r="I1490" s="142">
        <f>B1490*IBGE_2!I$1490/100</f>
        <v>1.3819999999999999</v>
      </c>
      <c r="J1490" s="142">
        <f>B1490*IBGE_2!J$1490/100</f>
        <v>0.185</v>
      </c>
      <c r="K1490" s="142" t="s">
        <v>3047</v>
      </c>
      <c r="L1490" s="142">
        <f>B1490*IBGE_2!L$1490/100</f>
        <v>59.915999999999997</v>
      </c>
      <c r="M1490" s="142">
        <f>B1490*IBGE_2!M$1490/100</f>
        <v>2.3959999999999999</v>
      </c>
      <c r="N1490" s="142">
        <f>B1490*IBGE_2!N$1490/100</f>
        <v>1576.5530000000001</v>
      </c>
      <c r="O1490" s="142">
        <f>B1490*IBGE_2!O$1490/100</f>
        <v>37.637</v>
      </c>
      <c r="P1490" s="142">
        <f>B1490*IBGE_2!P$1490/100</f>
        <v>0.71799999999999997</v>
      </c>
      <c r="Q1490" s="142">
        <f>B1490*IBGE_2!Q$1490/100</f>
        <v>318.37</v>
      </c>
      <c r="R1490" s="142">
        <f>B1490*IBGE_2!R$1490/100</f>
        <v>6.1210000000000004</v>
      </c>
      <c r="S1490" s="142">
        <f>B1490*IBGE_2!S$1490/100</f>
        <v>622.024</v>
      </c>
      <c r="T1490" s="142">
        <f>B1490*IBGE_2!T$1490/100</f>
        <v>656.745</v>
      </c>
      <c r="U1490" s="142">
        <f>B1490*IBGE_2!U$1490/100</f>
        <v>0.628</v>
      </c>
      <c r="V1490" s="142">
        <f>B1490*IBGE_2!V$1490/100</f>
        <v>1.619</v>
      </c>
      <c r="W1490" s="142">
        <f>B1490*IBGE_2!W$1490/100</f>
        <v>789.47400000000005</v>
      </c>
      <c r="X1490" s="142">
        <f>B1490*IBGE_2!X$1490/100</f>
        <v>0.10100000000000002</v>
      </c>
      <c r="Y1490" s="142">
        <f>B1490*IBGE_2!Y$1490/100</f>
        <v>0.12</v>
      </c>
      <c r="Z1490" s="142">
        <f>B1490*IBGE_2!Z$1490/100</f>
        <v>0.1</v>
      </c>
      <c r="AA1490" s="142">
        <f>B1490*IBGE_2!AA$1490/100</f>
        <v>0.57399999999999995</v>
      </c>
      <c r="AB1490" s="142">
        <f>B1490*IBGE_2!AB$1490/100</f>
        <v>32.078000000000003</v>
      </c>
      <c r="AC1490" s="142">
        <f>B1490*IBGE_2!AC$1490/100</f>
        <v>7.665</v>
      </c>
      <c r="AD1490" s="142">
        <f>B1490*IBGE_2!AD$1490/100</f>
        <v>3.1579999999999999</v>
      </c>
      <c r="AE1490" s="142">
        <f>B1490*IBGE_2!AE$1490/100</f>
        <v>71.748000000000005</v>
      </c>
      <c r="AF1490" s="142">
        <f>B1490*IBGE_2!AF$1490/100</f>
        <v>13.157999999999999</v>
      </c>
      <c r="AG1490" s="142">
        <f>B1490*IBGE_2!AG$1490/100</f>
        <v>10.576000000000001</v>
      </c>
      <c r="AH1490" s="145" t="s">
        <v>3047</v>
      </c>
      <c r="AI1490" s="142" t="s">
        <v>3047</v>
      </c>
      <c r="AJ1490" s="142">
        <f>B1490*IBGE_2!AJ$1490/100</f>
        <v>6.5479999999999992</v>
      </c>
      <c r="AK1490" s="142">
        <f>B1490*IBGE_2!AK$1490/100</f>
        <v>789.596</v>
      </c>
      <c r="AL1490" s="142">
        <f>B1490*IBGE_2!AL$1490/100</f>
        <v>25.198</v>
      </c>
      <c r="AM1490" s="142">
        <f>B1490*IBGE_2!AM$1490/100</f>
        <v>23.678999999999995</v>
      </c>
      <c r="AN1490" s="161"/>
    </row>
    <row r="1491" spans="1:40">
      <c r="A1491" s="143" t="s">
        <v>2551</v>
      </c>
      <c r="B1491" s="141">
        <v>100</v>
      </c>
      <c r="C1491" s="142">
        <f>B1491*IBGE_2!C$1491/100</f>
        <v>405</v>
      </c>
      <c r="D1491" s="142">
        <f>B1491*IBGE_2!D$1491/100</f>
        <v>3.3</v>
      </c>
      <c r="E1491" s="142">
        <f>B1491*IBGE_2!E$1491/100</f>
        <v>3.1</v>
      </c>
      <c r="F1491" s="142">
        <f>B1491*IBGE_2!F$1491/100</f>
        <v>1.8340000000000001</v>
      </c>
      <c r="G1491" s="142">
        <f>B1491*IBGE_2!G$1491/100</f>
        <v>1.0089999999999999</v>
      </c>
      <c r="H1491" s="142">
        <f>B1491*IBGE_2!H$1491/100</f>
        <v>9.0999999999999998E-2</v>
      </c>
      <c r="I1491" s="142">
        <f>B1491*IBGE_2!I$1491/100</f>
        <v>8.1000000000000003E-2</v>
      </c>
      <c r="J1491" s="142">
        <f>B1491*IBGE_2!J$1491/100</f>
        <v>0.01</v>
      </c>
      <c r="K1491" s="142" t="s">
        <v>3047</v>
      </c>
      <c r="L1491" s="142">
        <f>B1491*IBGE_2!L$1491/100</f>
        <v>90.9</v>
      </c>
      <c r="M1491" s="142">
        <f>B1491*IBGE_2!M$1491/100</f>
        <v>4.8</v>
      </c>
      <c r="N1491" s="142">
        <f>B1491*IBGE_2!N$1491/100</f>
        <v>37</v>
      </c>
      <c r="O1491" s="142">
        <f>B1491*IBGE_2!O$1491/100</f>
        <v>98</v>
      </c>
      <c r="P1491" s="142">
        <f>B1491*IBGE_2!P$1491/100</f>
        <v>0.70700000000000007</v>
      </c>
      <c r="Q1491" s="142">
        <f>B1491*IBGE_2!Q$1491/100</f>
        <v>128</v>
      </c>
      <c r="R1491" s="142">
        <f>B1491*IBGE_2!R$1491/100</f>
        <v>3.14</v>
      </c>
      <c r="S1491" s="142">
        <f>B1491*IBGE_2!S$1491/100</f>
        <v>210</v>
      </c>
      <c r="T1491" s="142">
        <f>B1491*IBGE_2!T$1491/100</f>
        <v>591</v>
      </c>
      <c r="U1491" s="142">
        <f>B1491*IBGE_2!U$1491/100</f>
        <v>0.70499999999999996</v>
      </c>
      <c r="V1491" s="142">
        <f>B1491*IBGE_2!V$1491/100</f>
        <v>1.55</v>
      </c>
      <c r="W1491" s="142" t="s">
        <v>3047</v>
      </c>
      <c r="X1491" s="142">
        <f>B1491*IBGE_2!X$1491/100</f>
        <v>3.2000000000000001E-2</v>
      </c>
      <c r="Y1491" s="142">
        <f>B1491*IBGE_2!Y$1491/100</f>
        <v>0.14599999999999999</v>
      </c>
      <c r="Z1491" s="142">
        <f>B1491*IBGE_2!Z$1491/100</f>
        <v>0.01</v>
      </c>
      <c r="AA1491" s="142">
        <f>B1491*IBGE_2!AA$1491/100</f>
        <v>0.51100000000000001</v>
      </c>
      <c r="AB1491" s="142">
        <f>B1491*IBGE_2!AB$1491/100</f>
        <v>0.7</v>
      </c>
      <c r="AC1491" s="142">
        <f>B1491*IBGE_2!AC$1491/100</f>
        <v>1.2609999999999999</v>
      </c>
      <c r="AD1491" s="145" t="s">
        <v>3047</v>
      </c>
      <c r="AE1491" s="142">
        <f>B1491*IBGE_2!AE$1491/100</f>
        <v>5</v>
      </c>
      <c r="AF1491" s="145" t="s">
        <v>3047</v>
      </c>
      <c r="AG1491" s="142">
        <f>B1491*IBGE_2!AG$1491/100</f>
        <v>0.37</v>
      </c>
      <c r="AH1491" s="145" t="s">
        <v>3047</v>
      </c>
      <c r="AI1491" s="142" t="s">
        <v>3047</v>
      </c>
      <c r="AJ1491" s="142">
        <f>B1491*IBGE_2!AJ$1491/100</f>
        <v>2.6</v>
      </c>
      <c r="AK1491" s="145" t="s">
        <v>3047</v>
      </c>
      <c r="AL1491" s="142">
        <f>B1491*IBGE_2!AL$1491/100</f>
        <v>75.790000000000006</v>
      </c>
      <c r="AM1491" s="142">
        <f>B1491*IBGE_2!AM$1491/100</f>
        <v>79.563999999999993</v>
      </c>
      <c r="AN1491" s="161"/>
    </row>
    <row r="1492" spans="1:40">
      <c r="A1492" s="143" t="s">
        <v>2552</v>
      </c>
      <c r="B1492" s="141">
        <v>100</v>
      </c>
      <c r="C1492" s="142">
        <f>B1492*IBGE_2!C$1492/100</f>
        <v>347.315</v>
      </c>
      <c r="D1492" s="142">
        <f>B1492*IBGE_2!D$1492/100</f>
        <v>0.41199999999999998</v>
      </c>
      <c r="E1492" s="142">
        <f>B1492*IBGE_2!E$1492/100</f>
        <v>39.29</v>
      </c>
      <c r="F1492" s="142">
        <f>B1492*IBGE_2!F$1492/100</f>
        <v>24.882999999999996</v>
      </c>
      <c r="G1492" s="142">
        <f>B1492*IBGE_2!G$1492/100</f>
        <v>10.183</v>
      </c>
      <c r="H1492" s="142">
        <f>B1492*IBGE_2!H$1492/100</f>
        <v>1.474</v>
      </c>
      <c r="I1492" s="142">
        <f>B1492*IBGE_2!I$1492/100</f>
        <v>1.321</v>
      </c>
      <c r="J1492" s="142">
        <f>B1492*IBGE_2!J$1492/100</f>
        <v>0.153</v>
      </c>
      <c r="K1492" s="142">
        <f>B1492*IBGE_2!K$1492/100</f>
        <v>104.146</v>
      </c>
      <c r="L1492" s="142">
        <f>B1492*IBGE_2!L$1492/100</f>
        <v>2.9000000000000005E-2</v>
      </c>
      <c r="M1492" s="142" t="s">
        <v>3047</v>
      </c>
      <c r="N1492" s="142">
        <f>B1492*IBGE_2!N$1492/100</f>
        <v>12.654000000000002</v>
      </c>
      <c r="O1492" s="142">
        <f>B1492*IBGE_2!O$1492/100</f>
        <v>1.206</v>
      </c>
      <c r="P1492" s="142">
        <f>B1492*IBGE_2!P$1492/100</f>
        <v>2E-3</v>
      </c>
      <c r="Q1492" s="142">
        <f>B1492*IBGE_2!Q$1492/100</f>
        <v>11.625999999999999</v>
      </c>
      <c r="R1492" s="142">
        <f>B1492*IBGE_2!R$1492/100</f>
        <v>0.01</v>
      </c>
      <c r="S1492" s="142">
        <f>B1492*IBGE_2!S$1492/100</f>
        <v>36.643999999999998</v>
      </c>
      <c r="T1492" s="142">
        <f>B1492*IBGE_2!T$1492/100</f>
        <v>11.632</v>
      </c>
      <c r="U1492" s="142">
        <f>B1492*IBGE_2!U$1492/100</f>
        <v>8.0000000000000002E-3</v>
      </c>
      <c r="V1492" s="142">
        <f>B1492*IBGE_2!V$1492/100</f>
        <v>4.3999999999999997E-2</v>
      </c>
      <c r="W1492" s="142">
        <f>B1492*IBGE_2!W$1492/100</f>
        <v>325.03199999999998</v>
      </c>
      <c r="X1492" s="142">
        <f>B1492*IBGE_2!X$1492/100</f>
        <v>2E-3</v>
      </c>
      <c r="Y1492" s="142">
        <f>B1492*IBGE_2!Y$1492/100</f>
        <v>1.6E-2</v>
      </c>
      <c r="Z1492" s="142">
        <f>B1492*IBGE_2!Z$1492/100</f>
        <v>1E-3</v>
      </c>
      <c r="AA1492" s="142">
        <f>B1492*IBGE_2!AA$1492/100</f>
        <v>0.02</v>
      </c>
      <c r="AB1492" s="142" t="s">
        <v>3047</v>
      </c>
      <c r="AC1492" s="142">
        <f>B1492*IBGE_2!AC$1492/100</f>
        <v>0.11700000000000001</v>
      </c>
      <c r="AD1492" s="142">
        <f>B1492*IBGE_2!AD$1492/100</f>
        <v>8.2000000000000017E-2</v>
      </c>
      <c r="AE1492" s="142">
        <f>B1492*IBGE_2!AE$1492/100</f>
        <v>1.4530000000000001</v>
      </c>
      <c r="AF1492" s="142">
        <f>B1492*IBGE_2!AF$1492/100</f>
        <v>0.67800000000000016</v>
      </c>
      <c r="AG1492" s="142">
        <f>B1492*IBGE_2!AG$1492/100</f>
        <v>1.1240000000000001</v>
      </c>
      <c r="AH1492" s="142">
        <f>B1492*IBGE_2!AH$1492/100</f>
        <v>1.5880000000000001</v>
      </c>
      <c r="AI1492" s="142" t="s">
        <v>3047</v>
      </c>
      <c r="AJ1492" s="142">
        <f>B1492*IBGE_2!AJ$1492/100</f>
        <v>0.48399999999999999</v>
      </c>
      <c r="AK1492" s="142">
        <f>B1492*IBGE_2!AK$1492/100</f>
        <v>449.41</v>
      </c>
      <c r="AL1492" s="142">
        <f>B1492*IBGE_2!AL$1492/100</f>
        <v>4.8000000000000001E-2</v>
      </c>
      <c r="AM1492" s="145" t="s">
        <v>3047</v>
      </c>
      <c r="AN1492" s="161"/>
    </row>
    <row r="1493" spans="1:40">
      <c r="A1493" s="143" t="s">
        <v>2553</v>
      </c>
      <c r="B1493" s="141">
        <v>100</v>
      </c>
      <c r="C1493" s="142">
        <f>B1493*IBGE_2!C$1493/100</f>
        <v>240</v>
      </c>
      <c r="D1493" s="142">
        <f>B1493*IBGE_2!D$1493/100</f>
        <v>17.600000000000001</v>
      </c>
      <c r="E1493" s="142">
        <f>B1493*IBGE_2!E$1493/100</f>
        <v>14.1</v>
      </c>
      <c r="F1493" s="142">
        <f>B1493*IBGE_2!F$1493/100</f>
        <v>8.85</v>
      </c>
      <c r="G1493" s="142">
        <f>B1493*IBGE_2!G$1493/100</f>
        <v>4.13</v>
      </c>
      <c r="H1493" s="142">
        <f>B1493*IBGE_2!H$1493/100</f>
        <v>0.41</v>
      </c>
      <c r="I1493" s="142">
        <f>B1493*IBGE_2!I$1493/100</f>
        <v>0.27</v>
      </c>
      <c r="J1493" s="142">
        <f>B1493*IBGE_2!J$1493/100</f>
        <v>0.15</v>
      </c>
      <c r="K1493" s="142">
        <f>B1493*IBGE_2!K$1493/100</f>
        <v>53</v>
      </c>
      <c r="L1493" s="142">
        <f>B1493*IBGE_2!L$1493/100</f>
        <v>10.6</v>
      </c>
      <c r="M1493" s="142" t="s">
        <v>3047</v>
      </c>
      <c r="N1493" s="142">
        <f>B1493*IBGE_2!N$1493/100</f>
        <v>529</v>
      </c>
      <c r="O1493" s="142">
        <f>B1493*IBGE_2!O$1493/100</f>
        <v>33</v>
      </c>
      <c r="P1493" s="142">
        <f>B1493*IBGE_2!P$1493/100</f>
        <v>0.01</v>
      </c>
      <c r="Q1493" s="142">
        <f>B1493*IBGE_2!Q$1493/100</f>
        <v>829</v>
      </c>
      <c r="R1493" s="142">
        <f>B1493*IBGE_2!R$1493/100</f>
        <v>0.2</v>
      </c>
      <c r="S1493" s="142">
        <f>B1493*IBGE_2!S$1493/100</f>
        <v>1587</v>
      </c>
      <c r="T1493" s="142">
        <f>B1493*IBGE_2!T$1493/100</f>
        <v>330</v>
      </c>
      <c r="U1493" s="142">
        <f>B1493*IBGE_2!U$1493/100</f>
        <v>0.03</v>
      </c>
      <c r="V1493" s="142">
        <f>B1493*IBGE_2!V$1493/100</f>
        <v>2.36</v>
      </c>
      <c r="W1493" s="142">
        <f>B1493*IBGE_2!W$1493/100</f>
        <v>247</v>
      </c>
      <c r="X1493" s="142">
        <f>B1493*IBGE_2!X$1493/100</f>
        <v>7.0000000000000007E-2</v>
      </c>
      <c r="Y1493" s="142">
        <f>B1493*IBGE_2!Y$1493/100</f>
        <v>0.48</v>
      </c>
      <c r="Z1493" s="142">
        <f>B1493*IBGE_2!Z$1493/100</f>
        <v>0.08</v>
      </c>
      <c r="AA1493" s="142">
        <f>B1493*IBGE_2!AA$1493/100</f>
        <v>0.18</v>
      </c>
      <c r="AB1493" s="142" t="s">
        <v>3047</v>
      </c>
      <c r="AC1493" s="142">
        <f>B1493*IBGE_2!AC$1493/100</f>
        <v>4.43</v>
      </c>
      <c r="AD1493" s="142">
        <f>B1493*IBGE_2!AD$1493/100</f>
        <v>1.1100000000000001</v>
      </c>
      <c r="AE1493" s="142">
        <f>B1493*IBGE_2!AE$1493/100</f>
        <v>18</v>
      </c>
      <c r="AF1493" s="142">
        <f>B1493*IBGE_2!AF$1493/100</f>
        <v>0.11</v>
      </c>
      <c r="AG1493" s="142">
        <f>B1493*IBGE_2!AG$1493/100</f>
        <v>0.27</v>
      </c>
      <c r="AH1493" s="142">
        <f>B1493*IBGE_2!AH$1493/100</f>
        <v>0.78</v>
      </c>
      <c r="AI1493" s="142" t="s">
        <v>3047</v>
      </c>
      <c r="AJ1493" s="142">
        <f>B1493*IBGE_2!AJ$1493/100</f>
        <v>12.4</v>
      </c>
      <c r="AK1493" s="142">
        <f>B1493*IBGE_2!AK$1493/100</f>
        <v>253.83</v>
      </c>
      <c r="AL1493" s="142">
        <f>B1493*IBGE_2!AL$1493/100</f>
        <v>10.6</v>
      </c>
      <c r="AM1493" s="145" t="s">
        <v>3047</v>
      </c>
      <c r="AN1493" s="161"/>
    </row>
    <row r="1494" spans="1:40">
      <c r="A1494" s="143" t="s">
        <v>2554</v>
      </c>
      <c r="B1494" s="141">
        <v>100</v>
      </c>
      <c r="C1494" s="142">
        <f>B1494*IBGE_2!C$1494/100</f>
        <v>373</v>
      </c>
      <c r="D1494" s="142">
        <f>B1494*IBGE_2!D$1494/100</f>
        <v>24.48</v>
      </c>
      <c r="E1494" s="142">
        <f>B1494*IBGE_2!E$1494/100</f>
        <v>30.28</v>
      </c>
      <c r="F1494" s="142">
        <f>B1494*IBGE_2!F$1494/100</f>
        <v>19.065999999999999</v>
      </c>
      <c r="G1494" s="142">
        <f>B1494*IBGE_2!G$1494/100</f>
        <v>8.7509999999999994</v>
      </c>
      <c r="H1494" s="142">
        <f>B1494*IBGE_2!H$1494/100</f>
        <v>0.89900000000000002</v>
      </c>
      <c r="I1494" s="142">
        <f>B1494*IBGE_2!I$1494/100</f>
        <v>0.63700000000000001</v>
      </c>
      <c r="J1494" s="142">
        <f>B1494*IBGE_2!J$1494/100</f>
        <v>0.26100000000000001</v>
      </c>
      <c r="K1494" s="142">
        <f>B1494*IBGE_2!K$1494/100</f>
        <v>89</v>
      </c>
      <c r="L1494" s="142">
        <f>B1494*IBGE_2!L$1494/100</f>
        <v>0.68</v>
      </c>
      <c r="M1494" s="142" t="s">
        <v>3047</v>
      </c>
      <c r="N1494" s="142">
        <f>B1494*IBGE_2!N$1494/100</f>
        <v>746</v>
      </c>
      <c r="O1494" s="142">
        <f>B1494*IBGE_2!O$1494/100</f>
        <v>27</v>
      </c>
      <c r="P1494" s="142">
        <f>B1494*IBGE_2!P$1494/100</f>
        <v>1.0999999999999999E-2</v>
      </c>
      <c r="Q1494" s="142">
        <f>B1494*IBGE_2!Q$1494/100</f>
        <v>444</v>
      </c>
      <c r="R1494" s="142">
        <f>B1494*IBGE_2!R$1494/100</f>
        <v>0.72</v>
      </c>
      <c r="S1494" s="142">
        <f>B1494*IBGE_2!S$1494/100</f>
        <v>536</v>
      </c>
      <c r="T1494" s="142">
        <f>B1494*IBGE_2!T$1494/100</f>
        <v>81</v>
      </c>
      <c r="U1494" s="142">
        <f>B1494*IBGE_2!U$1494/100</f>
        <v>3.2000000000000001E-2</v>
      </c>
      <c r="V1494" s="142">
        <f>B1494*IBGE_2!V$1494/100</f>
        <v>3</v>
      </c>
      <c r="W1494" s="142">
        <f>B1494*IBGE_2!W$1494/100</f>
        <v>192</v>
      </c>
      <c r="X1494" s="142">
        <f>B1494*IBGE_2!X$1494/100</f>
        <v>1.4999999999999999E-2</v>
      </c>
      <c r="Y1494" s="142">
        <f>B1494*IBGE_2!Y$1494/100</f>
        <v>0.39</v>
      </c>
      <c r="Z1494" s="142">
        <f>B1494*IBGE_2!Z$1494/100</f>
        <v>7.9000000000000001E-2</v>
      </c>
      <c r="AA1494" s="142">
        <f>B1494*IBGE_2!AA$1494/100</f>
        <v>9.3000000000000013E-2</v>
      </c>
      <c r="AB1494" s="142" t="s">
        <v>3047</v>
      </c>
      <c r="AC1494" s="142">
        <f>B1494*IBGE_2!AC$1494/100</f>
        <v>5.343</v>
      </c>
      <c r="AD1494" s="142">
        <f>B1494*IBGE_2!AD$1494/100</f>
        <v>0.83</v>
      </c>
      <c r="AE1494" s="142">
        <f>B1494*IBGE_2!AE$1494/100</f>
        <v>18</v>
      </c>
      <c r="AF1494" s="142">
        <f>B1494*IBGE_2!AF$1494/100</f>
        <v>0.24</v>
      </c>
      <c r="AG1494" s="142">
        <f>B1494*IBGE_2!AG$1494/100</f>
        <v>0.26</v>
      </c>
      <c r="AH1494" s="142">
        <f>B1494*IBGE_2!AH$1494/100</f>
        <v>0.72499999999999998</v>
      </c>
      <c r="AI1494" s="142" t="s">
        <v>3047</v>
      </c>
      <c r="AJ1494" s="142">
        <f>B1494*IBGE_2!AJ$1494/100</f>
        <v>14.5</v>
      </c>
      <c r="AK1494" s="142">
        <f>B1494*IBGE_2!AK$1494/100</f>
        <v>198.5</v>
      </c>
      <c r="AL1494" s="142">
        <f>B1494*IBGE_2!AL$1494/100</f>
        <v>0.68</v>
      </c>
      <c r="AM1494" s="145" t="s">
        <v>3047</v>
      </c>
      <c r="AN1494" s="161"/>
    </row>
    <row r="1495" spans="1:40">
      <c r="A1495" s="143" t="s">
        <v>2555</v>
      </c>
      <c r="B1495" s="141">
        <v>100</v>
      </c>
      <c r="C1495" s="142">
        <f>B1495*IBGE_2!C$1495/100</f>
        <v>279</v>
      </c>
      <c r="D1495" s="142">
        <f>B1495*IBGE_2!D$1495/100</f>
        <v>9.5</v>
      </c>
      <c r="E1495" s="142">
        <f>B1495*IBGE_2!E$1495/100</f>
        <v>4.33</v>
      </c>
      <c r="F1495" s="142">
        <f>B1495*IBGE_2!F$1495/100</f>
        <v>1.0920000000000001</v>
      </c>
      <c r="G1495" s="142">
        <f>B1495*IBGE_2!G$1495/100</f>
        <v>1.1120000000000001</v>
      </c>
      <c r="H1495" s="142">
        <f>B1495*IBGE_2!H$1495/100</f>
        <v>1.9680000000000002</v>
      </c>
      <c r="I1495" s="142">
        <f>B1495*IBGE_2!I$1495/100</f>
        <v>1.7619999999999998</v>
      </c>
      <c r="J1495" s="142">
        <f>B1495*IBGE_2!J$1495/100</f>
        <v>0.20599999999999999</v>
      </c>
      <c r="K1495" s="142" t="s">
        <v>3047</v>
      </c>
      <c r="L1495" s="142">
        <f>B1495*IBGE_2!L$1495/100</f>
        <v>49.45</v>
      </c>
      <c r="M1495" s="142">
        <f>B1495*IBGE_2!M$1495/100</f>
        <v>2.1</v>
      </c>
      <c r="N1495" s="142">
        <f>B1495*IBGE_2!N$1495/100</f>
        <v>138</v>
      </c>
      <c r="O1495" s="142">
        <f>B1495*IBGE_2!O$1495/100</f>
        <v>21</v>
      </c>
      <c r="P1495" s="142">
        <f>B1495*IBGE_2!P$1495/100</f>
        <v>0.27200000000000002</v>
      </c>
      <c r="Q1495" s="142">
        <f>B1495*IBGE_2!Q$1495/100</f>
        <v>62</v>
      </c>
      <c r="R1495" s="142">
        <f>B1495*IBGE_2!R$1495/100</f>
        <v>3.32</v>
      </c>
      <c r="S1495" s="142">
        <f>B1495*IBGE_2!S$1495/100</f>
        <v>479</v>
      </c>
      <c r="T1495" s="142">
        <f>B1495*IBGE_2!T$1495/100</f>
        <v>94</v>
      </c>
      <c r="U1495" s="142">
        <f>B1495*IBGE_2!U$1495/100</f>
        <v>0.22</v>
      </c>
      <c r="V1495" s="142">
        <f>B1495*IBGE_2!V$1495/100</f>
        <v>0.66</v>
      </c>
      <c r="W1495" s="142" t="s">
        <v>3047</v>
      </c>
      <c r="X1495" s="142">
        <f>B1495*IBGE_2!X$1495/100</f>
        <v>0.4</v>
      </c>
      <c r="Y1495" s="142">
        <f>B1495*IBGE_2!Y$1495/100</f>
        <v>0.318</v>
      </c>
      <c r="Z1495" s="142">
        <f>B1495*IBGE_2!Z$1495/100</f>
        <v>7.0999999999999994E-2</v>
      </c>
      <c r="AA1495" s="142">
        <f>B1495*IBGE_2!AA$1495/100</f>
        <v>4.1539999999999999</v>
      </c>
      <c r="AB1495" s="142" t="s">
        <v>3047</v>
      </c>
      <c r="AC1495" s="142">
        <f>B1495*IBGE_2!AC$1495/100</f>
        <v>5.8710000000000004</v>
      </c>
      <c r="AD1495" s="142">
        <f>B1495*IBGE_2!AD$1495/100</f>
        <v>0.2</v>
      </c>
      <c r="AE1495" s="142">
        <f>B1495*IBGE_2!AE$1495/100</f>
        <v>170</v>
      </c>
      <c r="AF1495" s="145" t="s">
        <v>3047</v>
      </c>
      <c r="AG1495" s="142">
        <f>B1495*IBGE_2!AG$1495/100</f>
        <v>7.0000000000000007E-2</v>
      </c>
      <c r="AH1495" s="142">
        <f>B1495*IBGE_2!AH$1495/100</f>
        <v>0.69</v>
      </c>
      <c r="AI1495" s="142" t="s">
        <v>3047</v>
      </c>
      <c r="AJ1495" s="142">
        <f>B1495*IBGE_2!AJ$1495/100</f>
        <v>19.5</v>
      </c>
      <c r="AK1495" s="145" t="s">
        <v>3047</v>
      </c>
      <c r="AL1495" s="142">
        <f>B1495*IBGE_2!AL$1495/100</f>
        <v>6.28</v>
      </c>
      <c r="AM1495" s="142">
        <f>B1495*IBGE_2!AM$1495/100</f>
        <v>6.3070000000000004</v>
      </c>
      <c r="AN1495" s="161"/>
    </row>
    <row r="1496" spans="1:40">
      <c r="A1496" s="143" t="s">
        <v>2556</v>
      </c>
      <c r="B1496" s="141">
        <v>100</v>
      </c>
      <c r="C1496" s="142">
        <f>B1496*IBGE_2!C$1496/100</f>
        <v>300</v>
      </c>
      <c r="D1496" s="142">
        <f>B1496*IBGE_2!D$1496/100</f>
        <v>8</v>
      </c>
      <c r="E1496" s="142">
        <f>B1496*IBGE_2!E$1496/100</f>
        <v>3.1</v>
      </c>
      <c r="F1496" s="142">
        <f>B1496*IBGE_2!F$1496/100</f>
        <v>1</v>
      </c>
      <c r="G1496" s="142">
        <f>B1496*IBGE_2!G$1496/100</f>
        <v>0.9</v>
      </c>
      <c r="H1496" s="142">
        <f>B1496*IBGE_2!H$1496/100</f>
        <v>0.7</v>
      </c>
      <c r="I1496" s="142">
        <f>B1496*IBGE_2!I$1496/100</f>
        <v>0.7</v>
      </c>
      <c r="J1496" s="142">
        <f>B1496*IBGE_2!J$1496/100</f>
        <v>0.04</v>
      </c>
      <c r="K1496" s="142" t="s">
        <v>3047</v>
      </c>
      <c r="L1496" s="142">
        <f>B1496*IBGE_2!L$1496/100</f>
        <v>58.6</v>
      </c>
      <c r="M1496" s="142">
        <f>B1496*IBGE_2!M$1496/100</f>
        <v>2.2999999999999998</v>
      </c>
      <c r="N1496" s="142">
        <f>B1496*IBGE_2!N$1496/100</f>
        <v>16</v>
      </c>
      <c r="O1496" s="142">
        <f>B1496*IBGE_2!O$1496/100</f>
        <v>25</v>
      </c>
      <c r="P1496" s="142">
        <f>B1496*IBGE_2!P$1496/100</f>
        <v>0.46</v>
      </c>
      <c r="Q1496" s="142">
        <f>B1496*IBGE_2!Q$1496/100</f>
        <v>95</v>
      </c>
      <c r="R1496" s="142">
        <f>B1496*IBGE_2!R$1496/100</f>
        <v>1</v>
      </c>
      <c r="S1496" s="142">
        <f>B1496*IBGE_2!S$1496/100</f>
        <v>648</v>
      </c>
      <c r="T1496" s="142">
        <f>B1496*IBGE_2!T$1496/100</f>
        <v>142</v>
      </c>
      <c r="U1496" s="142">
        <f>B1496*IBGE_2!U$1496/100</f>
        <v>0.13</v>
      </c>
      <c r="V1496" s="142">
        <f>B1496*IBGE_2!V$1496/100</f>
        <v>0.8</v>
      </c>
      <c r="W1496" s="142">
        <f>B1496*IBGE_2!W$1496/100</f>
        <v>3</v>
      </c>
      <c r="X1496" s="142">
        <f>B1496*IBGE_2!X$1496/100</f>
        <v>0.39</v>
      </c>
      <c r="Y1496" s="142">
        <f>B1496*IBGE_2!Y$1496/100</f>
        <v>0.67</v>
      </c>
      <c r="Z1496" s="142">
        <f>B1496*IBGE_2!Z$1496/100</f>
        <v>0.6</v>
      </c>
      <c r="AA1496" s="142">
        <f>B1496*IBGE_2!AA$1496/100</f>
        <v>2.34</v>
      </c>
      <c r="AB1496" s="142" t="s">
        <v>3047</v>
      </c>
      <c r="AC1496" s="145" t="s">
        <v>3047</v>
      </c>
      <c r="AD1496" s="145" t="s">
        <v>3047</v>
      </c>
      <c r="AE1496" s="145" t="s">
        <v>3047</v>
      </c>
      <c r="AF1496" s="145" t="s">
        <v>3047</v>
      </c>
      <c r="AG1496" s="145" t="s">
        <v>3047</v>
      </c>
      <c r="AH1496" s="142">
        <f>B1496*IBGE_2!AH$1496/100</f>
        <v>0.37</v>
      </c>
      <c r="AI1496" s="142" t="s">
        <v>3047</v>
      </c>
      <c r="AJ1496" s="145" t="s">
        <v>3047</v>
      </c>
      <c r="AK1496" s="145" t="s">
        <v>3047</v>
      </c>
      <c r="AL1496" s="145" t="s">
        <v>3047</v>
      </c>
      <c r="AM1496" s="145" t="s">
        <v>3047</v>
      </c>
      <c r="AN1496" s="161"/>
    </row>
    <row r="1497" spans="1:40">
      <c r="A1497" s="143" t="s">
        <v>2557</v>
      </c>
      <c r="B1497" s="141">
        <v>100</v>
      </c>
      <c r="C1497" s="142">
        <f>B1497*IBGE_2!C$1497/100</f>
        <v>355.226</v>
      </c>
      <c r="D1497" s="142">
        <f>B1497*IBGE_2!D$1497/100</f>
        <v>5.1449999999999996</v>
      </c>
      <c r="E1497" s="142">
        <f>B1497*IBGE_2!E$1497/100</f>
        <v>13.08</v>
      </c>
      <c r="F1497" s="142">
        <f>B1497*IBGE_2!F$1497/100</f>
        <v>7.8829999999999991</v>
      </c>
      <c r="G1497" s="142">
        <f>B1497*IBGE_2!G$1497/100</f>
        <v>3.532</v>
      </c>
      <c r="H1497" s="142">
        <f>B1497*IBGE_2!H$1497/100</f>
        <v>0.66</v>
      </c>
      <c r="I1497" s="142">
        <f>B1497*IBGE_2!I$1497/100</f>
        <v>0.59799999999999998</v>
      </c>
      <c r="J1497" s="142">
        <f>B1497*IBGE_2!J$1497/100</f>
        <v>5.4000000000000006E-2</v>
      </c>
      <c r="K1497" s="142">
        <f>B1497*IBGE_2!K$1497/100</f>
        <v>44.088000000000001</v>
      </c>
      <c r="L1497" s="142">
        <f>B1497*IBGE_2!L$1497/100</f>
        <v>55.826999999999998</v>
      </c>
      <c r="M1497" s="142">
        <f>B1497*IBGE_2!M$1497/100</f>
        <v>2.0150000000000001</v>
      </c>
      <c r="N1497" s="142">
        <f>B1497*IBGE_2!N$1497/100</f>
        <v>32.493000000000002</v>
      </c>
      <c r="O1497" s="142">
        <f>B1497*IBGE_2!O$1497/100</f>
        <v>18.079000000000001</v>
      </c>
      <c r="P1497" s="142">
        <f>B1497*IBGE_2!P$1497/100</f>
        <v>0.44299999999999995</v>
      </c>
      <c r="Q1497" s="142">
        <f>B1497*IBGE_2!Q$1497/100</f>
        <v>73.438999999999993</v>
      </c>
      <c r="R1497" s="142">
        <f>B1497*IBGE_2!R$1497/100</f>
        <v>2.09</v>
      </c>
      <c r="S1497" s="142">
        <f>B1497*IBGE_2!S$1497/100</f>
        <v>207.78599999999997</v>
      </c>
      <c r="T1497" s="142">
        <f>B1497*IBGE_2!T$1497/100</f>
        <v>98.677000000000007</v>
      </c>
      <c r="U1497" s="142">
        <f>B1497*IBGE_2!U$1497/100</f>
        <v>0.107</v>
      </c>
      <c r="V1497" s="142">
        <f>B1497*IBGE_2!V$1497/100</f>
        <v>0.499</v>
      </c>
      <c r="W1497" s="142">
        <f>B1497*IBGE_2!W$1497/100</f>
        <v>95.852000000000004</v>
      </c>
      <c r="X1497" s="142">
        <f>B1497*IBGE_2!X$1497/100</f>
        <v>0.307</v>
      </c>
      <c r="Y1497" s="142">
        <f>B1497*IBGE_2!Y$1497/100</f>
        <v>0.26</v>
      </c>
      <c r="Z1497" s="142">
        <f>B1497*IBGE_2!Z$1497/100</f>
        <v>3.5999999999999997E-2</v>
      </c>
      <c r="AA1497" s="142">
        <f>B1497*IBGE_2!AA$1497/100</f>
        <v>2.4039999999999999</v>
      </c>
      <c r="AB1497" s="142">
        <f>B1497*IBGE_2!AB$1497/100</f>
        <v>5.0999999999999997E-2</v>
      </c>
      <c r="AC1497" s="142">
        <f>B1497*IBGE_2!AC$1497/100</f>
        <v>3.4730000000000003</v>
      </c>
      <c r="AD1497" s="142">
        <f>B1497*IBGE_2!AD$1497/100</f>
        <v>0.10800000000000001</v>
      </c>
      <c r="AE1497" s="142">
        <f>B1497*IBGE_2!AE$1497/100</f>
        <v>89.843999999999994</v>
      </c>
      <c r="AF1497" s="142">
        <f>B1497*IBGE_2!AF$1497/100</f>
        <v>0.38200000000000001</v>
      </c>
      <c r="AG1497" s="142">
        <f>B1497*IBGE_2!AG$1497/100</f>
        <v>0.39100000000000001</v>
      </c>
      <c r="AH1497" s="142">
        <f>B1497*IBGE_2!AH$1497/100</f>
        <v>0.41899999999999998</v>
      </c>
      <c r="AI1497" s="142" t="s">
        <v>3047</v>
      </c>
      <c r="AJ1497" s="142">
        <f>B1497*IBGE_2!AJ$1497/100</f>
        <v>14.371000000000002</v>
      </c>
      <c r="AK1497" s="142">
        <f>B1497*IBGE_2!AK$1497/100</f>
        <v>97.697999999999993</v>
      </c>
      <c r="AL1497" s="142">
        <f>B1497*IBGE_2!AL$1497/100</f>
        <v>26.571999999999999</v>
      </c>
      <c r="AM1497" s="142">
        <f>B1497*IBGE_2!AM$1497/100</f>
        <v>26.194000000000003</v>
      </c>
      <c r="AN1497" s="161"/>
    </row>
    <row r="1498" spans="1:40">
      <c r="A1498" s="143" t="s">
        <v>2558</v>
      </c>
      <c r="B1498" s="141">
        <v>100</v>
      </c>
      <c r="C1498" s="142">
        <f>B1498*IBGE_2!C$1498/100</f>
        <v>355.226</v>
      </c>
      <c r="D1498" s="142">
        <f>B1498*IBGE_2!D$1498/100</f>
        <v>5.1449999999999996</v>
      </c>
      <c r="E1498" s="142">
        <f>B1498*IBGE_2!E$1498/100</f>
        <v>13.08</v>
      </c>
      <c r="F1498" s="142">
        <f>B1498*IBGE_2!F$1498/100</f>
        <v>7.8829999999999991</v>
      </c>
      <c r="G1498" s="142">
        <f>B1498*IBGE_2!G$1498/100</f>
        <v>3.532</v>
      </c>
      <c r="H1498" s="142">
        <f>B1498*IBGE_2!H$1498/100</f>
        <v>0.66</v>
      </c>
      <c r="I1498" s="142">
        <f>B1498*IBGE_2!I$1498/100</f>
        <v>0.59799999999999998</v>
      </c>
      <c r="J1498" s="142">
        <f>B1498*IBGE_2!J$1498/100</f>
        <v>5.4000000000000006E-2</v>
      </c>
      <c r="K1498" s="142">
        <f>B1498*IBGE_2!K$1498/100</f>
        <v>44.088000000000001</v>
      </c>
      <c r="L1498" s="142">
        <f>B1498*IBGE_2!L$1498/100</f>
        <v>55.826999999999998</v>
      </c>
      <c r="M1498" s="142">
        <f>B1498*IBGE_2!M$1498/100</f>
        <v>2.0150000000000001</v>
      </c>
      <c r="N1498" s="142">
        <f>B1498*IBGE_2!N$1498/100</f>
        <v>32.493000000000002</v>
      </c>
      <c r="O1498" s="142">
        <f>B1498*IBGE_2!O$1498/100</f>
        <v>18.079000000000001</v>
      </c>
      <c r="P1498" s="142">
        <f>B1498*IBGE_2!P$1498/100</f>
        <v>0.44299999999999995</v>
      </c>
      <c r="Q1498" s="142">
        <f>B1498*IBGE_2!Q$1498/100</f>
        <v>73.438999999999993</v>
      </c>
      <c r="R1498" s="142">
        <f>B1498*IBGE_2!R$1498/100</f>
        <v>2.09</v>
      </c>
      <c r="S1498" s="142">
        <f>B1498*IBGE_2!S$1498/100</f>
        <v>194.291</v>
      </c>
      <c r="T1498" s="142">
        <f>B1498*IBGE_2!T$1498/100</f>
        <v>98.677000000000007</v>
      </c>
      <c r="U1498" s="142">
        <f>B1498*IBGE_2!U$1498/100</f>
        <v>0.107</v>
      </c>
      <c r="V1498" s="142">
        <f>B1498*IBGE_2!V$1498/100</f>
        <v>0.499</v>
      </c>
      <c r="W1498" s="142">
        <f>B1498*IBGE_2!W$1498/100</f>
        <v>95.852000000000004</v>
      </c>
      <c r="X1498" s="142">
        <f>B1498*IBGE_2!X$1498/100</f>
        <v>0.307</v>
      </c>
      <c r="Y1498" s="142">
        <f>B1498*IBGE_2!Y$1498/100</f>
        <v>0.26</v>
      </c>
      <c r="Z1498" s="142">
        <f>B1498*IBGE_2!Z$1498/100</f>
        <v>3.5999999999999997E-2</v>
      </c>
      <c r="AA1498" s="142">
        <f>B1498*IBGE_2!AA$1498/100</f>
        <v>2.4039999999999999</v>
      </c>
      <c r="AB1498" s="142">
        <f>B1498*IBGE_2!AB$1498/100</f>
        <v>5.0999999999999997E-2</v>
      </c>
      <c r="AC1498" s="142">
        <f>B1498*IBGE_2!AC$1498/100</f>
        <v>3.4730000000000003</v>
      </c>
      <c r="AD1498" s="142">
        <f>B1498*IBGE_2!AD$1498/100</f>
        <v>0.10800000000000001</v>
      </c>
      <c r="AE1498" s="142">
        <f>B1498*IBGE_2!AE$1498/100</f>
        <v>89.843999999999994</v>
      </c>
      <c r="AF1498" s="142">
        <f>B1498*IBGE_2!AF$1498/100</f>
        <v>0.38200000000000001</v>
      </c>
      <c r="AG1498" s="142">
        <f>B1498*IBGE_2!AG$1498/100</f>
        <v>0.39100000000000001</v>
      </c>
      <c r="AH1498" s="142">
        <f>B1498*IBGE_2!AH$1498/100</f>
        <v>0.41899999999999998</v>
      </c>
      <c r="AI1498" s="142" t="s">
        <v>3047</v>
      </c>
      <c r="AJ1498" s="142">
        <f>B1498*IBGE_2!AJ$1498/100</f>
        <v>14.371000000000002</v>
      </c>
      <c r="AK1498" s="142">
        <f>B1498*IBGE_2!AK$1498/100</f>
        <v>97.697999999999993</v>
      </c>
      <c r="AL1498" s="142">
        <f>B1498*IBGE_2!AL$1498/100</f>
        <v>26.571999999999999</v>
      </c>
      <c r="AM1498" s="142">
        <f>B1498*IBGE_2!AM$1498/100</f>
        <v>26.194000000000003</v>
      </c>
      <c r="AN1498" s="161"/>
    </row>
    <row r="1499" spans="1:40">
      <c r="A1499" s="143" t="s">
        <v>2559</v>
      </c>
      <c r="B1499" s="141">
        <v>100</v>
      </c>
      <c r="C1499" s="142">
        <f>B1499*IBGE_2!C$1499/100</f>
        <v>355.226</v>
      </c>
      <c r="D1499" s="142">
        <f>B1499*IBGE_2!D$1499/100</f>
        <v>5.1449999999999996</v>
      </c>
      <c r="E1499" s="142">
        <f>B1499*IBGE_2!E$1499/100</f>
        <v>13.08</v>
      </c>
      <c r="F1499" s="142">
        <f>B1499*IBGE_2!F$1499/100</f>
        <v>7.8829999999999991</v>
      </c>
      <c r="G1499" s="142">
        <f>B1499*IBGE_2!G$1499/100</f>
        <v>3.532</v>
      </c>
      <c r="H1499" s="142">
        <f>B1499*IBGE_2!H$1499/100</f>
        <v>0.66</v>
      </c>
      <c r="I1499" s="142">
        <f>B1499*IBGE_2!I$1499/100</f>
        <v>0.59799999999999998</v>
      </c>
      <c r="J1499" s="142">
        <f>B1499*IBGE_2!J$1499/100</f>
        <v>5.4000000000000006E-2</v>
      </c>
      <c r="K1499" s="142">
        <f>B1499*IBGE_2!K$1499/100</f>
        <v>44.088000000000001</v>
      </c>
      <c r="L1499" s="142">
        <f>B1499*IBGE_2!L$1499/100</f>
        <v>55.826999999999998</v>
      </c>
      <c r="M1499" s="142">
        <f>B1499*IBGE_2!M$1499/100</f>
        <v>2.0150000000000001</v>
      </c>
      <c r="N1499" s="142">
        <f>B1499*IBGE_2!N$1499/100</f>
        <v>32.493000000000002</v>
      </c>
      <c r="O1499" s="142">
        <f>B1499*IBGE_2!O$1499/100</f>
        <v>18.079000000000001</v>
      </c>
      <c r="P1499" s="142">
        <f>B1499*IBGE_2!P$1499/100</f>
        <v>0.44299999999999995</v>
      </c>
      <c r="Q1499" s="142">
        <f>B1499*IBGE_2!Q$1499/100</f>
        <v>73.438999999999993</v>
      </c>
      <c r="R1499" s="142">
        <f>B1499*IBGE_2!R$1499/100</f>
        <v>2.09</v>
      </c>
      <c r="S1499" s="142">
        <f>B1499*IBGE_2!S$1499/100</f>
        <v>194.291</v>
      </c>
      <c r="T1499" s="142">
        <f>B1499*IBGE_2!T$1499/100</f>
        <v>98.677000000000007</v>
      </c>
      <c r="U1499" s="142">
        <f>B1499*IBGE_2!U$1499/100</f>
        <v>0.107</v>
      </c>
      <c r="V1499" s="142">
        <f>B1499*IBGE_2!V$1499/100</f>
        <v>0.499</v>
      </c>
      <c r="W1499" s="142">
        <f>B1499*IBGE_2!W$1499/100</f>
        <v>95.852000000000004</v>
      </c>
      <c r="X1499" s="142">
        <f>B1499*IBGE_2!X$1499/100</f>
        <v>0.307</v>
      </c>
      <c r="Y1499" s="142">
        <f>B1499*IBGE_2!Y$1499/100</f>
        <v>0.26</v>
      </c>
      <c r="Z1499" s="142">
        <f>B1499*IBGE_2!Z$1499/100</f>
        <v>3.5999999999999997E-2</v>
      </c>
      <c r="AA1499" s="142">
        <f>B1499*IBGE_2!AA$1499/100</f>
        <v>2.4039999999999999</v>
      </c>
      <c r="AB1499" s="142">
        <f>B1499*IBGE_2!AB$1499/100</f>
        <v>5.0999999999999997E-2</v>
      </c>
      <c r="AC1499" s="142">
        <f>B1499*IBGE_2!AC$1499/100</f>
        <v>3.4730000000000003</v>
      </c>
      <c r="AD1499" s="142">
        <f>B1499*IBGE_2!AD$1499/100</f>
        <v>0.10800000000000001</v>
      </c>
      <c r="AE1499" s="142">
        <f>B1499*IBGE_2!AE$1499/100</f>
        <v>89.843999999999994</v>
      </c>
      <c r="AF1499" s="142">
        <f>B1499*IBGE_2!AF$1499/100</f>
        <v>0.38200000000000001</v>
      </c>
      <c r="AG1499" s="142">
        <f>B1499*IBGE_2!AG$1499/100</f>
        <v>0.39100000000000001</v>
      </c>
      <c r="AH1499" s="142">
        <f>B1499*IBGE_2!AH$1499/100</f>
        <v>0.41899999999999998</v>
      </c>
      <c r="AI1499" s="142" t="s">
        <v>3047</v>
      </c>
      <c r="AJ1499" s="142">
        <f>B1499*IBGE_2!AJ$1499/100</f>
        <v>14.371000000000002</v>
      </c>
      <c r="AK1499" s="142">
        <f>B1499*IBGE_2!AK$1499/100</f>
        <v>97.697999999999993</v>
      </c>
      <c r="AL1499" s="142">
        <f>B1499*IBGE_2!AL$1499/100</f>
        <v>26.571999999999999</v>
      </c>
      <c r="AM1499" s="142">
        <f>B1499*IBGE_2!AM$1499/100</f>
        <v>26.194000000000003</v>
      </c>
      <c r="AN1499" s="161"/>
    </row>
    <row r="1500" spans="1:40">
      <c r="A1500" s="143" t="s">
        <v>2560</v>
      </c>
      <c r="B1500" s="141">
        <v>100</v>
      </c>
      <c r="C1500" s="142">
        <f>B1500*IBGE_2!C$1500/100</f>
        <v>508.36399999999992</v>
      </c>
      <c r="D1500" s="142">
        <f>B1500*IBGE_2!D$1500/100</f>
        <v>4.4550000000000001</v>
      </c>
      <c r="E1500" s="142">
        <f>B1500*IBGE_2!E$1500/100</f>
        <v>18.337</v>
      </c>
      <c r="F1500" s="142">
        <f>B1500*IBGE_2!F$1500/100</f>
        <v>11.103</v>
      </c>
      <c r="G1500" s="142">
        <f>B1500*IBGE_2!G$1500/100</f>
        <v>5.0620000000000003</v>
      </c>
      <c r="H1500" s="142">
        <f>B1500*IBGE_2!H$1500/100</f>
        <v>0.8590000000000001</v>
      </c>
      <c r="I1500" s="142">
        <f>B1500*IBGE_2!I$1500/100</f>
        <v>0.77900000000000003</v>
      </c>
      <c r="J1500" s="142">
        <f>B1500*IBGE_2!J$1500/100</f>
        <v>7.0000000000000007E-2</v>
      </c>
      <c r="K1500" s="142">
        <f>B1500*IBGE_2!K$1500/100</f>
        <v>57.436999999999998</v>
      </c>
      <c r="L1500" s="142">
        <f>B1500*IBGE_2!L$1500/100</f>
        <v>85.040999999999997</v>
      </c>
      <c r="M1500" s="142">
        <f>B1500*IBGE_2!M$1500/100</f>
        <v>1.8530000000000002</v>
      </c>
      <c r="N1500" s="142">
        <f>B1500*IBGE_2!N$1500/100</f>
        <v>89.98099999999998</v>
      </c>
      <c r="O1500" s="142">
        <f>B1500*IBGE_2!O$1500/100</f>
        <v>106.995</v>
      </c>
      <c r="P1500" s="142">
        <f>B1500*IBGE_2!P$1500/100</f>
        <v>0.93600000000000005</v>
      </c>
      <c r="Q1500" s="142">
        <f>B1500*IBGE_2!Q$1500/100</f>
        <v>73.671000000000006</v>
      </c>
      <c r="R1500" s="142">
        <f>B1500*IBGE_2!R$1500/100</f>
        <v>3.5439999999999996</v>
      </c>
      <c r="S1500" s="142">
        <f>B1500*IBGE_2!S$1500/100</f>
        <v>153.34</v>
      </c>
      <c r="T1500" s="142">
        <f>B1500*IBGE_2!T$1500/100</f>
        <v>600.851</v>
      </c>
      <c r="U1500" s="142">
        <f>B1500*IBGE_2!U$1500/100</f>
        <v>0.312</v>
      </c>
      <c r="V1500" s="142">
        <f>B1500*IBGE_2!V$1500/100</f>
        <v>0.60799999999999998</v>
      </c>
      <c r="W1500" s="142">
        <f>B1500*IBGE_2!W$1500/100</f>
        <v>120.01300000000001</v>
      </c>
      <c r="X1500" s="142">
        <f>B1500*IBGE_2!X$1500/100</f>
        <v>0.26</v>
      </c>
      <c r="Y1500" s="142">
        <f>B1500*IBGE_2!Y$1500/100</f>
        <v>0.19800000000000001</v>
      </c>
      <c r="Z1500" s="142">
        <f>B1500*IBGE_2!Z$1500/100</f>
        <v>0.25800000000000001</v>
      </c>
      <c r="AA1500" s="142">
        <f>B1500*IBGE_2!AA$1500/100</f>
        <v>2.165</v>
      </c>
      <c r="AB1500" s="142">
        <f>B1500*IBGE_2!AB$1500/100</f>
        <v>2.3E-2</v>
      </c>
      <c r="AC1500" s="142">
        <f>B1500*IBGE_2!AC$1500/100</f>
        <v>3.1040000000000005</v>
      </c>
      <c r="AD1500" s="142">
        <f>B1500*IBGE_2!AD$1500/100</f>
        <v>8.5000000000000006E-2</v>
      </c>
      <c r="AE1500" s="142">
        <f>B1500*IBGE_2!AE$1500/100</f>
        <v>65.498999999999995</v>
      </c>
      <c r="AF1500" s="142">
        <f>B1500*IBGE_2!AF$1500/100</f>
        <v>0.41399999999999998</v>
      </c>
      <c r="AG1500" s="142">
        <f>B1500*IBGE_2!AG$1500/100</f>
        <v>0.53</v>
      </c>
      <c r="AH1500" s="142">
        <f>B1500*IBGE_2!AH$1500/100</f>
        <v>0.54400000000000004</v>
      </c>
      <c r="AI1500" s="142" t="s">
        <v>3047</v>
      </c>
      <c r="AJ1500" s="142">
        <f>B1500*IBGE_2!AJ$1500/100</f>
        <v>18.826000000000001</v>
      </c>
      <c r="AK1500" s="142">
        <f>B1500*IBGE_2!AK$1500/100</f>
        <v>122.32</v>
      </c>
      <c r="AL1500" s="142">
        <f>B1500*IBGE_2!AL$1500/100</f>
        <v>52.875</v>
      </c>
      <c r="AM1500" s="142">
        <f>B1500*IBGE_2!AM$1500/100</f>
        <v>60.404000000000003</v>
      </c>
      <c r="AN1500" s="161"/>
    </row>
    <row r="1501" spans="1:40">
      <c r="A1501" s="143" t="s">
        <v>2561</v>
      </c>
      <c r="B1501" s="141">
        <v>100</v>
      </c>
      <c r="C1501" s="142">
        <f>B1501*IBGE_2!C$1501/100</f>
        <v>355.95</v>
      </c>
      <c r="D1501" s="142">
        <f>B1501*IBGE_2!D$1501/100</f>
        <v>7.4520000000000008</v>
      </c>
      <c r="E1501" s="142">
        <f>B1501*IBGE_2!E$1501/100</f>
        <v>10.433</v>
      </c>
      <c r="F1501" s="142">
        <f>B1501*IBGE_2!F$1501/100</f>
        <v>1.821</v>
      </c>
      <c r="G1501" s="142">
        <f>B1501*IBGE_2!G$1501/100</f>
        <v>2.516</v>
      </c>
      <c r="H1501" s="142">
        <f>B1501*IBGE_2!H$1501/100</f>
        <v>5.3439999999999994</v>
      </c>
      <c r="I1501" s="142">
        <f>B1501*IBGE_2!I$1501/100</f>
        <v>4.7220000000000004</v>
      </c>
      <c r="J1501" s="142">
        <f>B1501*IBGE_2!J$1501/100</f>
        <v>0.6</v>
      </c>
      <c r="K1501" s="142">
        <f>B1501*IBGE_2!K$1501/100</f>
        <v>50.118000000000002</v>
      </c>
      <c r="L1501" s="142">
        <f>B1501*IBGE_2!L$1501/100</f>
        <v>58.03</v>
      </c>
      <c r="M1501" s="142">
        <f>B1501*IBGE_2!M$1501/100</f>
        <v>2.1389999999999998</v>
      </c>
      <c r="N1501" s="142">
        <f>B1501*IBGE_2!N$1501/100</f>
        <v>19.437999999999999</v>
      </c>
      <c r="O1501" s="142">
        <f>B1501*IBGE_2!O$1501/100</f>
        <v>15.993</v>
      </c>
      <c r="P1501" s="142">
        <f>B1501*IBGE_2!P$1501/100</f>
        <v>0.38800000000000007</v>
      </c>
      <c r="Q1501" s="142">
        <f>B1501*IBGE_2!Q$1501/100</f>
        <v>96.558000000000007</v>
      </c>
      <c r="R1501" s="142">
        <f>B1501*IBGE_2!R$1501/100</f>
        <v>2.85</v>
      </c>
      <c r="S1501" s="142">
        <f>B1501*IBGE_2!S$1501/100</f>
        <v>210.02099999999999</v>
      </c>
      <c r="T1501" s="142">
        <f>B1501*IBGE_2!T$1501/100</f>
        <v>139.78800000000001</v>
      </c>
      <c r="U1501" s="142">
        <f>B1501*IBGE_2!U$1501/100</f>
        <v>0.10400000000000001</v>
      </c>
      <c r="V1501" s="142">
        <f>B1501*IBGE_2!V$1501/100</f>
        <v>0.57699999999999996</v>
      </c>
      <c r="W1501" s="142">
        <f>B1501*IBGE_2!W$1501/100</f>
        <v>19.858000000000001</v>
      </c>
      <c r="X1501" s="142">
        <f>B1501*IBGE_2!X$1501/100</f>
        <v>0.44600000000000001</v>
      </c>
      <c r="Y1501" s="142">
        <f>B1501*IBGE_2!Y$1501/100</f>
        <v>0.38600000000000001</v>
      </c>
      <c r="Z1501" s="142">
        <f>B1501*IBGE_2!Z$1501/100</f>
        <v>6.4000000000000001E-2</v>
      </c>
      <c r="AA1501" s="142">
        <f>B1501*IBGE_2!AA$1501/100</f>
        <v>3.5449999999999999</v>
      </c>
      <c r="AB1501" s="142">
        <f>B1501*IBGE_2!AB$1501/100</f>
        <v>0.33800000000000002</v>
      </c>
      <c r="AC1501" s="142">
        <f>B1501*IBGE_2!AC$1501/100</f>
        <v>5.0819999999999999</v>
      </c>
      <c r="AD1501" s="142">
        <f>B1501*IBGE_2!AD$1501/100</f>
        <v>0.13100000000000001</v>
      </c>
      <c r="AE1501" s="142">
        <f>B1501*IBGE_2!AE$1501/100</f>
        <v>136.81899999999999</v>
      </c>
      <c r="AF1501" s="142">
        <f>B1501*IBGE_2!AF$1501/100</f>
        <v>0.151</v>
      </c>
      <c r="AG1501" s="142">
        <f>B1501*IBGE_2!AG$1501/100</f>
        <v>0.86499999999999999</v>
      </c>
      <c r="AH1501" s="142">
        <f>B1501*IBGE_2!AH$1501/100</f>
        <v>4.5999999999999999E-2</v>
      </c>
      <c r="AI1501" s="142" t="s">
        <v>3047</v>
      </c>
      <c r="AJ1501" s="142">
        <f>B1501*IBGE_2!AJ$1501/100</f>
        <v>25.497</v>
      </c>
      <c r="AK1501" s="142">
        <f>B1501*IBGE_2!AK$1501/100</f>
        <v>20.087</v>
      </c>
      <c r="AL1501" s="142">
        <f>B1501*IBGE_2!AL$1501/100</f>
        <v>15.77</v>
      </c>
      <c r="AM1501" s="142">
        <f>B1501*IBGE_2!AM$1501/100</f>
        <v>13.026</v>
      </c>
      <c r="AN1501" s="161"/>
    </row>
    <row r="1502" spans="1:40">
      <c r="A1502" s="143" t="s">
        <v>2562</v>
      </c>
      <c r="B1502" s="141">
        <v>100</v>
      </c>
      <c r="C1502" s="142">
        <f>B1502*IBGE_2!C$1502/100</f>
        <v>310</v>
      </c>
      <c r="D1502" s="142">
        <f>B1502*IBGE_2!D$1502/100</f>
        <v>10.86</v>
      </c>
      <c r="E1502" s="142">
        <f>B1502*IBGE_2!E$1502/100</f>
        <v>6.47</v>
      </c>
      <c r="F1502" s="142">
        <f>B1502*IBGE_2!F$1502/100</f>
        <v>1.38</v>
      </c>
      <c r="G1502" s="142">
        <f>B1502*IBGE_2!G$1502/100</f>
        <v>1.88</v>
      </c>
      <c r="H1502" s="142">
        <f>B1502*IBGE_2!H$1502/100</f>
        <v>2.5099999999999998</v>
      </c>
      <c r="I1502" s="142">
        <f>B1502*IBGE_2!I$1502/100</f>
        <v>2.29</v>
      </c>
      <c r="J1502" s="142">
        <f>B1502*IBGE_2!J$1502/100</f>
        <v>0.22</v>
      </c>
      <c r="K1502" s="142">
        <f>B1502*IBGE_2!K$1502/100</f>
        <v>4</v>
      </c>
      <c r="L1502" s="142">
        <f>B1502*IBGE_2!L$1502/100</f>
        <v>52.04</v>
      </c>
      <c r="M1502" s="142">
        <f>B1502*IBGE_2!M$1502/100</f>
        <v>2</v>
      </c>
      <c r="N1502" s="142">
        <f>B1502*IBGE_2!N$1502/100</f>
        <v>178</v>
      </c>
      <c r="O1502" s="142">
        <f>B1502*IBGE_2!O$1502/100</f>
        <v>26</v>
      </c>
      <c r="P1502" s="142">
        <f>B1502*IBGE_2!P$1502/100</f>
        <v>0.57999999999999996</v>
      </c>
      <c r="Q1502" s="142">
        <f>B1502*IBGE_2!Q$1502/100</f>
        <v>122</v>
      </c>
      <c r="R1502" s="142">
        <f>B1502*IBGE_2!R$1502/100</f>
        <v>3.72</v>
      </c>
      <c r="S1502" s="142">
        <f>B1502*IBGE_2!S$1502/100</f>
        <v>536</v>
      </c>
      <c r="T1502" s="142">
        <f>B1502*IBGE_2!T$1502/100</f>
        <v>139</v>
      </c>
      <c r="U1502" s="142">
        <f>B1502*IBGE_2!U$1502/100</f>
        <v>0.14000000000000001</v>
      </c>
      <c r="V1502" s="142">
        <f>B1502*IBGE_2!V$1502/100</f>
        <v>0.99</v>
      </c>
      <c r="W1502" s="142">
        <f>B1502*IBGE_2!W$1502/100</f>
        <v>1</v>
      </c>
      <c r="X1502" s="142">
        <f>B1502*IBGE_2!X$1502/100</f>
        <v>0.53</v>
      </c>
      <c r="Y1502" s="142">
        <f>B1502*IBGE_2!Y$1502/100</f>
        <v>0.37</v>
      </c>
      <c r="Z1502" s="142">
        <f>B1502*IBGE_2!Z$1502/100</f>
        <v>0.1</v>
      </c>
      <c r="AA1502" s="142">
        <f>B1502*IBGE_2!AA$1502/100</f>
        <v>5.37</v>
      </c>
      <c r="AB1502" s="142">
        <f>B1502*IBGE_2!AB$1502/100</f>
        <v>0.2</v>
      </c>
      <c r="AC1502" s="142">
        <f>B1502*IBGE_2!AC$1502/100</f>
        <v>6.72</v>
      </c>
      <c r="AD1502" s="142">
        <f>B1502*IBGE_2!AD$1502/100</f>
        <v>0.13</v>
      </c>
      <c r="AE1502" s="142">
        <f>B1502*IBGE_2!AE$1502/100</f>
        <v>150</v>
      </c>
      <c r="AF1502" s="145" t="s">
        <v>3047</v>
      </c>
      <c r="AG1502" s="142">
        <f>B1502*IBGE_2!AG$1502/100</f>
        <v>0.28000000000000003</v>
      </c>
      <c r="AH1502" s="142">
        <f>B1502*IBGE_2!AH$1502/100</f>
        <v>0.41</v>
      </c>
      <c r="AI1502" s="142" t="s">
        <v>3047</v>
      </c>
      <c r="AJ1502" s="142">
        <f>B1502*IBGE_2!AJ$1502/100</f>
        <v>26.8</v>
      </c>
      <c r="AK1502" s="142">
        <f>B1502*IBGE_2!AK$1502/100</f>
        <v>1</v>
      </c>
      <c r="AL1502" s="142">
        <f>B1502*IBGE_2!AL$1502/100</f>
        <v>5.68</v>
      </c>
      <c r="AM1502" s="142">
        <f>B1502*IBGE_2!AM$1502/100</f>
        <v>5.5</v>
      </c>
      <c r="AN1502" s="161"/>
    </row>
    <row r="1503" spans="1:40">
      <c r="A1503" s="143" t="s">
        <v>2563</v>
      </c>
      <c r="B1503" s="141">
        <v>100</v>
      </c>
      <c r="C1503" s="142">
        <f>B1503*IBGE_2!C$1503/100</f>
        <v>455.15699999999998</v>
      </c>
      <c r="D1503" s="142">
        <f>B1503*IBGE_2!D$1503/100</f>
        <v>8.0410000000000004</v>
      </c>
      <c r="E1503" s="142">
        <f>B1503*IBGE_2!E$1503/100</f>
        <v>26.261999999999997</v>
      </c>
      <c r="F1503" s="142">
        <f>B1503*IBGE_2!F$1503/100</f>
        <v>16.068999999999999</v>
      </c>
      <c r="G1503" s="142">
        <f>B1503*IBGE_2!G$1503/100</f>
        <v>6.8559999999999999</v>
      </c>
      <c r="H1503" s="142">
        <f>B1503*IBGE_2!H$1503/100</f>
        <v>1.274</v>
      </c>
      <c r="I1503" s="142">
        <f>B1503*IBGE_2!I$1503/100</f>
        <v>1.1459999999999999</v>
      </c>
      <c r="J1503" s="142">
        <f>B1503*IBGE_2!J$1503/100</f>
        <v>0.111</v>
      </c>
      <c r="K1503" s="142">
        <f>B1503*IBGE_2!K$1503/100</f>
        <v>103.65699999999998</v>
      </c>
      <c r="L1503" s="142">
        <f>B1503*IBGE_2!L$1503/100</f>
        <v>46.841000000000001</v>
      </c>
      <c r="M1503" s="142">
        <f>B1503*IBGE_2!M$1503/100</f>
        <v>1.754</v>
      </c>
      <c r="N1503" s="142">
        <f>B1503*IBGE_2!N$1503/100</f>
        <v>52.941000000000003</v>
      </c>
      <c r="O1503" s="142">
        <f>B1503*IBGE_2!O$1503/100</f>
        <v>16.928999999999998</v>
      </c>
      <c r="P1503" s="142">
        <f>B1503*IBGE_2!P$1503/100</f>
        <v>0.373</v>
      </c>
      <c r="Q1503" s="142">
        <f>B1503*IBGE_2!Q$1503/100</f>
        <v>114.31399999999999</v>
      </c>
      <c r="R1503" s="142">
        <f>B1503*IBGE_2!R$1503/100</f>
        <v>2.702</v>
      </c>
      <c r="S1503" s="142">
        <f>B1503*IBGE_2!S$1503/100</f>
        <v>130.46799999999999</v>
      </c>
      <c r="T1503" s="142">
        <f>B1503*IBGE_2!T$1503/100</f>
        <v>129.94499999999999</v>
      </c>
      <c r="U1503" s="142">
        <f>B1503*IBGE_2!U$1503/100</f>
        <v>8.900000000000001E-2</v>
      </c>
      <c r="V1503" s="142">
        <f>B1503*IBGE_2!V$1503/100</f>
        <v>0.65400000000000003</v>
      </c>
      <c r="W1503" s="142">
        <f>B1503*IBGE_2!W$1503/100</f>
        <v>230.60499999999999</v>
      </c>
      <c r="X1503" s="142">
        <f>B1503*IBGE_2!X$1503/100</f>
        <v>0.45200000000000001</v>
      </c>
      <c r="Y1503" s="142">
        <f>B1503*IBGE_2!Y$1503/100</f>
        <v>0.40600000000000003</v>
      </c>
      <c r="Z1503" s="142">
        <f>B1503*IBGE_2!Z$1503/100</f>
        <v>5.5E-2</v>
      </c>
      <c r="AA1503" s="142">
        <f>B1503*IBGE_2!AA$1503/100</f>
        <v>3.444</v>
      </c>
      <c r="AB1503" s="142">
        <f>B1503*IBGE_2!AB$1503/100</f>
        <v>5.800000000000001E-2</v>
      </c>
      <c r="AC1503" s="142">
        <f>B1503*IBGE_2!AC$1503/100</f>
        <v>5.0960000000000001</v>
      </c>
      <c r="AD1503" s="142">
        <f>B1503*IBGE_2!AD$1503/100</f>
        <v>0.27700000000000002</v>
      </c>
      <c r="AE1503" s="142">
        <f>B1503*IBGE_2!AE$1503/100</f>
        <v>129.57499999999999</v>
      </c>
      <c r="AF1503" s="142">
        <f>B1503*IBGE_2!AF$1503/100</f>
        <v>0.83200000000000007</v>
      </c>
      <c r="AG1503" s="142">
        <f>B1503*IBGE_2!AG$1503/100</f>
        <v>0.82399999999999995</v>
      </c>
      <c r="AH1503" s="142">
        <f>B1503*IBGE_2!AH$1503/100</f>
        <v>1.0029999999999999</v>
      </c>
      <c r="AI1503" s="142" t="s">
        <v>3047</v>
      </c>
      <c r="AJ1503" s="142">
        <f>B1503*IBGE_2!AJ$1503/100</f>
        <v>21.998000000000001</v>
      </c>
      <c r="AK1503" s="142">
        <f>B1503*IBGE_2!AK$1503/100</f>
        <v>234.72399999999999</v>
      </c>
      <c r="AL1503" s="142">
        <f>B1503*IBGE_2!AL$1503/100</f>
        <v>6.109</v>
      </c>
      <c r="AM1503" s="142">
        <f>B1503*IBGE_2!AM$1503/100</f>
        <v>4.3849999999999998</v>
      </c>
      <c r="AN1503" s="161"/>
    </row>
    <row r="1504" spans="1:40">
      <c r="A1504" s="143" t="s">
        <v>2564</v>
      </c>
      <c r="B1504" s="141">
        <v>100</v>
      </c>
      <c r="C1504" s="142">
        <f>B1504*IBGE_2!C$1504/100</f>
        <v>266</v>
      </c>
      <c r="D1504" s="142">
        <f>B1504*IBGE_2!D$1504/100</f>
        <v>7.64</v>
      </c>
      <c r="E1504" s="142">
        <f>B1504*IBGE_2!E$1504/100</f>
        <v>3.29</v>
      </c>
      <c r="F1504" s="142">
        <f>B1504*IBGE_2!F$1504/100</f>
        <v>0.71700000000000008</v>
      </c>
      <c r="G1504" s="142">
        <f>B1504*IBGE_2!G$1504/100</f>
        <v>0.68100000000000005</v>
      </c>
      <c r="H1504" s="142">
        <f>B1504*IBGE_2!H$1504/100</f>
        <v>1.355</v>
      </c>
      <c r="I1504" s="142">
        <f>B1504*IBGE_2!I$1504/100</f>
        <v>1.216</v>
      </c>
      <c r="J1504" s="142">
        <f>B1504*IBGE_2!J$1504/100</f>
        <v>0.13900000000000001</v>
      </c>
      <c r="K1504" s="142" t="s">
        <v>3047</v>
      </c>
      <c r="L1504" s="142">
        <f>B1504*IBGE_2!L$1504/100</f>
        <v>50.61</v>
      </c>
      <c r="M1504" s="142">
        <f>B1504*IBGE_2!M$1504/100</f>
        <v>2.4</v>
      </c>
      <c r="N1504" s="142">
        <f>B1504*IBGE_2!N$1504/100</f>
        <v>151</v>
      </c>
      <c r="O1504" s="142">
        <f>B1504*IBGE_2!O$1504/100</f>
        <v>23</v>
      </c>
      <c r="P1504" s="142">
        <f>B1504*IBGE_2!P$1504/100</f>
        <v>0.47799999999999998</v>
      </c>
      <c r="Q1504" s="142">
        <f>B1504*IBGE_2!Q$1504/100</f>
        <v>99</v>
      </c>
      <c r="R1504" s="142">
        <f>B1504*IBGE_2!R$1504/100</f>
        <v>3.74</v>
      </c>
      <c r="S1504" s="142">
        <f>B1504*IBGE_2!S$1504/100</f>
        <v>681</v>
      </c>
      <c r="T1504" s="142">
        <f>B1504*IBGE_2!T$1504/100</f>
        <v>100</v>
      </c>
      <c r="U1504" s="142">
        <f>B1504*IBGE_2!U$1504/100</f>
        <v>0.253</v>
      </c>
      <c r="V1504" s="142">
        <f>B1504*IBGE_2!V$1504/100</f>
        <v>0.74</v>
      </c>
      <c r="W1504" s="142" t="s">
        <v>3047</v>
      </c>
      <c r="X1504" s="142">
        <f>B1504*IBGE_2!X$1504/100</f>
        <v>0.45500000000000002</v>
      </c>
      <c r="Y1504" s="142">
        <f>B1504*IBGE_2!Y$1504/100</f>
        <v>0.33100000000000002</v>
      </c>
      <c r="Z1504" s="142">
        <f>B1504*IBGE_2!Z$1504/100</f>
        <v>8.4000000000000005E-2</v>
      </c>
      <c r="AA1504" s="142">
        <f>B1504*IBGE_2!AA$1504/100</f>
        <v>4.3849999999999998</v>
      </c>
      <c r="AB1504" s="142" t="s">
        <v>3047</v>
      </c>
      <c r="AC1504" s="142">
        <f>B1504*IBGE_2!AC$1504/100</f>
        <v>5.8680000000000003</v>
      </c>
      <c r="AD1504" s="145" t="s">
        <v>3047</v>
      </c>
      <c r="AE1504" s="142">
        <f>B1504*IBGE_2!AE$1504/100</f>
        <v>171</v>
      </c>
      <c r="AF1504" s="145" t="s">
        <v>3047</v>
      </c>
      <c r="AG1504" s="142">
        <f>B1504*IBGE_2!AG$1504/100</f>
        <v>0.22</v>
      </c>
      <c r="AH1504" s="142">
        <f>B1504*IBGE_2!AH$1504/100</f>
        <v>0.63</v>
      </c>
      <c r="AI1504" s="142" t="s">
        <v>3047</v>
      </c>
      <c r="AJ1504" s="142">
        <f>B1504*IBGE_2!AJ$1504/100</f>
        <v>17.3</v>
      </c>
      <c r="AK1504" s="145" t="s">
        <v>3047</v>
      </c>
      <c r="AL1504" s="142">
        <f>B1504*IBGE_2!AL$1504/100</f>
        <v>4.3099999999999996</v>
      </c>
      <c r="AM1504" s="142">
        <f>B1504*IBGE_2!AM$1504/100</f>
        <v>4.1289999999999996</v>
      </c>
      <c r="AN1504" s="161"/>
    </row>
    <row r="1505" spans="1:40">
      <c r="A1505" s="143" t="s">
        <v>2565</v>
      </c>
      <c r="B1505" s="141">
        <v>100</v>
      </c>
      <c r="C1505" s="142">
        <f>B1505*IBGE_2!C$1505/100</f>
        <v>363</v>
      </c>
      <c r="D1505" s="142">
        <f>B1505*IBGE_2!D$1505/100</f>
        <v>5.0999999999999996</v>
      </c>
      <c r="E1505" s="142">
        <f>B1505*IBGE_2!E$1505/100</f>
        <v>24.6</v>
      </c>
      <c r="F1505" s="142" t="s">
        <v>3047</v>
      </c>
      <c r="G1505" s="142" t="s">
        <v>3047</v>
      </c>
      <c r="H1505" s="142" t="s">
        <v>3047</v>
      </c>
      <c r="I1505" s="142" t="s">
        <v>3047</v>
      </c>
      <c r="J1505" s="142" t="s">
        <v>3047</v>
      </c>
      <c r="K1505" s="142">
        <f>B1505*IBGE_2!K$1505/100</f>
        <v>68</v>
      </c>
      <c r="L1505" s="142">
        <f>B1505*IBGE_2!L$1505/100</f>
        <v>34.200000000000003</v>
      </c>
      <c r="M1505" s="142">
        <f>B1505*IBGE_2!M$1505/100</f>
        <v>0.6</v>
      </c>
      <c r="N1505" s="142">
        <f>B1505*IBGE_2!N$1505/100</f>
        <v>102</v>
      </c>
      <c r="O1505" s="142">
        <f>B1505*IBGE_2!O$1505/100</f>
        <v>8</v>
      </c>
      <c r="P1505" s="142">
        <f>B1505*IBGE_2!P$1505/100</f>
        <v>0.03</v>
      </c>
      <c r="Q1505" s="142">
        <f>B1505*IBGE_2!Q$1505/100</f>
        <v>94</v>
      </c>
      <c r="R1505" s="142">
        <f>B1505*IBGE_2!R$1505/100</f>
        <v>0.3</v>
      </c>
      <c r="S1505" s="142">
        <f>B1505*IBGE_2!S$1505/100</f>
        <v>773</v>
      </c>
      <c r="T1505" s="142">
        <f>B1505*IBGE_2!T$1505/100</f>
        <v>93</v>
      </c>
      <c r="U1505" s="142">
        <f>B1505*IBGE_2!U$1505/100</f>
        <v>0.01</v>
      </c>
      <c r="V1505" s="142">
        <f>B1505*IBGE_2!V$1505/100</f>
        <v>0.6</v>
      </c>
      <c r="W1505" s="142">
        <f>B1505*IBGE_2!W$1505/100</f>
        <v>61</v>
      </c>
      <c r="X1505" s="142">
        <f>B1505*IBGE_2!X$1505/100</f>
        <v>0.04</v>
      </c>
      <c r="Y1505" s="142">
        <f>B1505*IBGE_2!Y$1505/100</f>
        <v>0.1</v>
      </c>
      <c r="Z1505" s="142">
        <f>B1505*IBGE_2!Z$1505/100</f>
        <v>0.04</v>
      </c>
      <c r="AA1505" s="142" t="s">
        <v>3047</v>
      </c>
      <c r="AB1505" s="142" t="s">
        <v>3047</v>
      </c>
      <c r="AC1505" s="145" t="s">
        <v>3047</v>
      </c>
      <c r="AD1505" s="145" t="s">
        <v>3047</v>
      </c>
      <c r="AE1505" s="145" t="s">
        <v>3047</v>
      </c>
      <c r="AF1505" s="145" t="s">
        <v>3047</v>
      </c>
      <c r="AG1505" s="145" t="s">
        <v>3047</v>
      </c>
      <c r="AH1505" s="145" t="s">
        <v>3047</v>
      </c>
      <c r="AI1505" s="142" t="s">
        <v>3047</v>
      </c>
      <c r="AJ1505" s="145" t="s">
        <v>3047</v>
      </c>
      <c r="AK1505" s="145" t="s">
        <v>3047</v>
      </c>
      <c r="AL1505" s="145" t="s">
        <v>3047</v>
      </c>
      <c r="AM1505" s="145" t="s">
        <v>3047</v>
      </c>
      <c r="AN1505" s="161"/>
    </row>
    <row r="1506" spans="1:40">
      <c r="A1506" s="143" t="s">
        <v>2566</v>
      </c>
      <c r="B1506" s="141">
        <v>100</v>
      </c>
      <c r="C1506" s="142">
        <f>B1506*IBGE_2!C$1506/100</f>
        <v>316.62299999999999</v>
      </c>
      <c r="D1506" s="142">
        <f>B1506*IBGE_2!D$1506/100</f>
        <v>7.2</v>
      </c>
      <c r="E1506" s="142">
        <f>B1506*IBGE_2!E$1506/100</f>
        <v>10.430999999999999</v>
      </c>
      <c r="F1506" s="142">
        <f>B1506*IBGE_2!F$1506/100</f>
        <v>2.96</v>
      </c>
      <c r="G1506" s="142">
        <f>B1506*IBGE_2!G$1506/100</f>
        <v>5.2759999999999998</v>
      </c>
      <c r="H1506" s="142">
        <f>B1506*IBGE_2!H$1506/100</f>
        <v>1.3740000000000001</v>
      </c>
      <c r="I1506" s="142">
        <f>B1506*IBGE_2!I$1506/100</f>
        <v>1.2689999999999999</v>
      </c>
      <c r="J1506" s="142">
        <f>B1506*IBGE_2!J$1506/100</f>
        <v>7.8E-2</v>
      </c>
      <c r="K1506" s="142">
        <f>B1506*IBGE_2!K$1506/100</f>
        <v>62.834000000000003</v>
      </c>
      <c r="L1506" s="142">
        <f>B1506*IBGE_2!L$1506/100</f>
        <v>47.963000000000001</v>
      </c>
      <c r="M1506" s="142">
        <f>B1506*IBGE_2!M$1506/100</f>
        <v>4.375</v>
      </c>
      <c r="N1506" s="142">
        <f>B1506*IBGE_2!N$1506/100</f>
        <v>70.997</v>
      </c>
      <c r="O1506" s="142">
        <f>B1506*IBGE_2!O$1506/100</f>
        <v>19.821000000000002</v>
      </c>
      <c r="P1506" s="142">
        <f>B1506*IBGE_2!P$1506/100</f>
        <v>0.21600000000000003</v>
      </c>
      <c r="Q1506" s="142">
        <f>B1506*IBGE_2!Q$1506/100</f>
        <v>373.82299999999998</v>
      </c>
      <c r="R1506" s="142">
        <f>B1506*IBGE_2!R$1506/100</f>
        <v>1.8560000000000003</v>
      </c>
      <c r="S1506" s="142">
        <f>B1506*IBGE_2!S$1506/100</f>
        <v>774.21500000000003</v>
      </c>
      <c r="T1506" s="142">
        <f>B1506*IBGE_2!T$1506/100</f>
        <v>126.11399999999999</v>
      </c>
      <c r="U1506" s="142">
        <f>B1506*IBGE_2!U$1506/100</f>
        <v>6.2E-2</v>
      </c>
      <c r="V1506" s="142">
        <f>B1506*IBGE_2!V$1506/100</f>
        <v>0.621</v>
      </c>
      <c r="W1506" s="142">
        <f>B1506*IBGE_2!W$1506/100</f>
        <v>40.588000000000001</v>
      </c>
      <c r="X1506" s="142">
        <f>B1506*IBGE_2!X$1506/100</f>
        <v>0.307</v>
      </c>
      <c r="Y1506" s="142">
        <f>B1506*IBGE_2!Y$1506/100</f>
        <v>0.29599999999999999</v>
      </c>
      <c r="Z1506" s="142">
        <f>B1506*IBGE_2!Z$1506/100</f>
        <v>0.111</v>
      </c>
      <c r="AA1506" s="142">
        <f>B1506*IBGE_2!AA$1506/100</f>
        <v>2.2829999999999999</v>
      </c>
      <c r="AB1506" s="142">
        <f>B1506*IBGE_2!AB$1506/100</f>
        <v>6.7000000000000004E-2</v>
      </c>
      <c r="AC1506" s="142">
        <f>B1506*IBGE_2!AC$1506/100</f>
        <v>3.7189999999999999</v>
      </c>
      <c r="AD1506" s="142">
        <f>B1506*IBGE_2!AD$1506/100</f>
        <v>0.315</v>
      </c>
      <c r="AE1506" s="142">
        <f>B1506*IBGE_2!AE$1506/100</f>
        <v>108.24600000000001</v>
      </c>
      <c r="AF1506" s="142">
        <f>B1506*IBGE_2!AF$1506/100</f>
        <v>0.40600000000000003</v>
      </c>
      <c r="AG1506" s="142">
        <f>B1506*IBGE_2!AG$1506/100</f>
        <v>0.26500000000000001</v>
      </c>
      <c r="AH1506" s="142">
        <f>B1506*IBGE_2!AH$1506/100</f>
        <v>0.83299999999999996</v>
      </c>
      <c r="AI1506" s="142" t="s">
        <v>3047</v>
      </c>
      <c r="AJ1506" s="142">
        <f>B1506*IBGE_2!AJ$1506/100</f>
        <v>8.9109999999999996</v>
      </c>
      <c r="AK1506" s="142">
        <f>B1506*IBGE_2!AK$1506/100</f>
        <v>42.944000000000003</v>
      </c>
      <c r="AL1506" s="142">
        <f>B1506*IBGE_2!AL$1506/100</f>
        <v>15.476000000000001</v>
      </c>
      <c r="AM1506" s="142">
        <f>B1506*IBGE_2!AM$1506/100</f>
        <v>12.113</v>
      </c>
      <c r="AN1506" s="161"/>
    </row>
    <row r="1507" spans="1:40">
      <c r="A1507" s="143" t="s">
        <v>2567</v>
      </c>
      <c r="B1507" s="141">
        <v>100</v>
      </c>
      <c r="C1507" s="142">
        <f>B1507*IBGE_2!C$1507/100</f>
        <v>247</v>
      </c>
      <c r="D1507" s="142">
        <f>B1507*IBGE_2!D$1507/100</f>
        <v>12.95</v>
      </c>
      <c r="E1507" s="142">
        <f>B1507*IBGE_2!E$1507/100</f>
        <v>3.35</v>
      </c>
      <c r="F1507" s="142">
        <f>B1507*IBGE_2!F$1507/100</f>
        <v>0.75</v>
      </c>
      <c r="G1507" s="142">
        <f>B1507*IBGE_2!G$1507/100</f>
        <v>1.6</v>
      </c>
      <c r="H1507" s="142">
        <f>B1507*IBGE_2!H$1507/100</f>
        <v>0.6</v>
      </c>
      <c r="I1507" s="142">
        <f>B1507*IBGE_2!I$1507/100</f>
        <v>0.56999999999999995</v>
      </c>
      <c r="J1507" s="142">
        <f>B1507*IBGE_2!J$1507/100</f>
        <v>0.03</v>
      </c>
      <c r="K1507" s="142" t="s">
        <v>3047</v>
      </c>
      <c r="L1507" s="142">
        <f>B1507*IBGE_2!L$1507/100</f>
        <v>41.29</v>
      </c>
      <c r="M1507" s="142">
        <f>B1507*IBGE_2!M$1507/100</f>
        <v>6.71</v>
      </c>
      <c r="N1507" s="142">
        <f>B1507*IBGE_2!N$1507/100</f>
        <v>107</v>
      </c>
      <c r="O1507" s="142">
        <f>B1507*IBGE_2!O$1507/100</f>
        <v>82</v>
      </c>
      <c r="P1507" s="142">
        <f>B1507*IBGE_2!P$1507/100</f>
        <v>2.14</v>
      </c>
      <c r="Q1507" s="142">
        <f>B1507*IBGE_2!Q$1507/100</f>
        <v>202</v>
      </c>
      <c r="R1507" s="142">
        <f>B1507*IBGE_2!R$1507/100</f>
        <v>2.4300000000000002</v>
      </c>
      <c r="S1507" s="142">
        <f>B1507*IBGE_2!S$1507/100</f>
        <v>472</v>
      </c>
      <c r="T1507" s="142">
        <f>B1507*IBGE_2!T$1507/100</f>
        <v>248</v>
      </c>
      <c r="U1507" s="142">
        <f>B1507*IBGE_2!U$1507/100</f>
        <v>0.38</v>
      </c>
      <c r="V1507" s="142">
        <f>B1507*IBGE_2!V$1507/100</f>
        <v>1.8</v>
      </c>
      <c r="W1507" s="142" t="s">
        <v>3047</v>
      </c>
      <c r="X1507" s="142">
        <f>B1507*IBGE_2!X$1507/100</f>
        <v>0.35</v>
      </c>
      <c r="Y1507" s="142">
        <f>B1507*IBGE_2!Y$1507/100</f>
        <v>0.22</v>
      </c>
      <c r="Z1507" s="142">
        <f>B1507*IBGE_2!Z$1507/100</f>
        <v>0.21</v>
      </c>
      <c r="AA1507" s="142">
        <f>B1507*IBGE_2!AA$1507/100</f>
        <v>4.71</v>
      </c>
      <c r="AB1507" s="142" t="s">
        <v>3047</v>
      </c>
      <c r="AC1507" s="142">
        <f>B1507*IBGE_2!AC$1507/100</f>
        <v>6.08</v>
      </c>
      <c r="AD1507" s="145" t="s">
        <v>3047</v>
      </c>
      <c r="AE1507" s="142">
        <f>B1507*IBGE_2!AE$1507/100</f>
        <v>50</v>
      </c>
      <c r="AF1507" s="145" t="s">
        <v>3047</v>
      </c>
      <c r="AG1507" s="142">
        <f>B1507*IBGE_2!AG$1507/100</f>
        <v>0.51</v>
      </c>
      <c r="AH1507" s="142">
        <f>B1507*IBGE_2!AH$1507/100</f>
        <v>0.6</v>
      </c>
      <c r="AI1507" s="142" t="s">
        <v>3047</v>
      </c>
      <c r="AJ1507" s="142">
        <f>B1507*IBGE_2!AJ$1507/100</f>
        <v>40.299999999999997</v>
      </c>
      <c r="AK1507" s="142">
        <f>B1507*IBGE_2!AK$1507/100</f>
        <v>0.17</v>
      </c>
      <c r="AL1507" s="142">
        <f>B1507*IBGE_2!AL$1507/100</f>
        <v>10.08</v>
      </c>
      <c r="AM1507" s="142">
        <f>B1507*IBGE_2!AM$1507/100</f>
        <v>6.76</v>
      </c>
      <c r="AN1507" s="161"/>
    </row>
    <row r="1508" spans="1:40">
      <c r="A1508" s="143" t="s">
        <v>2568</v>
      </c>
      <c r="B1508" s="141">
        <v>100</v>
      </c>
      <c r="C1508" s="142">
        <f>B1508*IBGE_2!C$1508/100</f>
        <v>300</v>
      </c>
      <c r="D1508" s="142">
        <f>B1508*IBGE_2!D$1508/100</f>
        <v>8</v>
      </c>
      <c r="E1508" s="142">
        <f>B1508*IBGE_2!E$1508/100</f>
        <v>3.1</v>
      </c>
      <c r="F1508" s="142">
        <f>B1508*IBGE_2!F$1508/100</f>
        <v>1</v>
      </c>
      <c r="G1508" s="142">
        <f>B1508*IBGE_2!G$1508/100</f>
        <v>0.9</v>
      </c>
      <c r="H1508" s="142">
        <f>B1508*IBGE_2!H$1508/100</f>
        <v>0.7</v>
      </c>
      <c r="I1508" s="142">
        <f>B1508*IBGE_2!I$1508/100</f>
        <v>0.7</v>
      </c>
      <c r="J1508" s="142">
        <f>B1508*IBGE_2!J$1508/100</f>
        <v>0.04</v>
      </c>
      <c r="K1508" s="142" t="s">
        <v>3047</v>
      </c>
      <c r="L1508" s="142">
        <f>B1508*IBGE_2!L$1508/100</f>
        <v>58.6</v>
      </c>
      <c r="M1508" s="142">
        <f>B1508*IBGE_2!M$1508/100</f>
        <v>2.2999999999999998</v>
      </c>
      <c r="N1508" s="142">
        <f>B1508*IBGE_2!N$1508/100</f>
        <v>16</v>
      </c>
      <c r="O1508" s="142">
        <f>B1508*IBGE_2!O$1508/100</f>
        <v>25</v>
      </c>
      <c r="P1508" s="142">
        <f>B1508*IBGE_2!P$1508/100</f>
        <v>0.46</v>
      </c>
      <c r="Q1508" s="142">
        <f>B1508*IBGE_2!Q$1508/100</f>
        <v>95</v>
      </c>
      <c r="R1508" s="142">
        <f>B1508*IBGE_2!R$1508/100</f>
        <v>1</v>
      </c>
      <c r="S1508" s="142">
        <f>B1508*IBGE_2!S$1508/100</f>
        <v>648</v>
      </c>
      <c r="T1508" s="142">
        <f>B1508*IBGE_2!T$1508/100</f>
        <v>142</v>
      </c>
      <c r="U1508" s="142">
        <f>B1508*IBGE_2!U$1508/100</f>
        <v>0.13</v>
      </c>
      <c r="V1508" s="142">
        <f>B1508*IBGE_2!V$1508/100</f>
        <v>0.8</v>
      </c>
      <c r="W1508" s="142">
        <f>B1508*IBGE_2!W$1508/100</f>
        <v>3</v>
      </c>
      <c r="X1508" s="142">
        <f>B1508*IBGE_2!X$1508/100</f>
        <v>0.39</v>
      </c>
      <c r="Y1508" s="142">
        <f>B1508*IBGE_2!Y$1508/100</f>
        <v>0.67</v>
      </c>
      <c r="Z1508" s="142">
        <f>B1508*IBGE_2!Z$1508/100</f>
        <v>0.6</v>
      </c>
      <c r="AA1508" s="142">
        <f>B1508*IBGE_2!AA$1508/100</f>
        <v>2.34</v>
      </c>
      <c r="AB1508" s="142" t="s">
        <v>3047</v>
      </c>
      <c r="AC1508" s="145" t="s">
        <v>3047</v>
      </c>
      <c r="AD1508" s="145" t="s">
        <v>3047</v>
      </c>
      <c r="AE1508" s="145" t="s">
        <v>3047</v>
      </c>
      <c r="AF1508" s="145" t="s">
        <v>3047</v>
      </c>
      <c r="AG1508" s="145" t="s">
        <v>3047</v>
      </c>
      <c r="AH1508" s="142">
        <f>B1508*IBGE_2!AH$1508/100</f>
        <v>0.37</v>
      </c>
      <c r="AI1508" s="142" t="s">
        <v>3047</v>
      </c>
      <c r="AJ1508" s="145" t="s">
        <v>3047</v>
      </c>
      <c r="AK1508" s="145" t="s">
        <v>3047</v>
      </c>
      <c r="AL1508" s="145" t="s">
        <v>3047</v>
      </c>
      <c r="AM1508" s="145" t="s">
        <v>3047</v>
      </c>
      <c r="AN1508" s="161"/>
    </row>
    <row r="1509" spans="1:40">
      <c r="A1509" s="143" t="s">
        <v>2569</v>
      </c>
      <c r="B1509" s="141">
        <v>100</v>
      </c>
      <c r="C1509" s="142">
        <f>B1509*IBGE_2!C$1509/100</f>
        <v>377</v>
      </c>
      <c r="D1509" s="142">
        <f>B1509*IBGE_2!D$1509/100</f>
        <v>10.5</v>
      </c>
      <c r="E1509" s="142">
        <f>B1509*IBGE_2!E$1509/100</f>
        <v>3.3</v>
      </c>
      <c r="F1509" s="142">
        <f>B1509*IBGE_2!F$1509/100</f>
        <v>0.9</v>
      </c>
      <c r="G1509" s="142">
        <f>B1509*IBGE_2!G$1509/100</f>
        <v>0.8</v>
      </c>
      <c r="H1509" s="142">
        <f>B1509*IBGE_2!H$1509/100</f>
        <v>1</v>
      </c>
      <c r="I1509" s="142">
        <f>B1509*IBGE_2!I$1509/100</f>
        <v>0.99</v>
      </c>
      <c r="J1509" s="142">
        <f>B1509*IBGE_2!J$1509/100</f>
        <v>0.05</v>
      </c>
      <c r="K1509" s="142" t="s">
        <v>3047</v>
      </c>
      <c r="L1509" s="142">
        <f>B1509*IBGE_2!L$1509/100</f>
        <v>74.599999999999994</v>
      </c>
      <c r="M1509" s="142">
        <f>B1509*IBGE_2!M$1509/100</f>
        <v>3.4</v>
      </c>
      <c r="N1509" s="142">
        <f>B1509*IBGE_2!N$1509/100</f>
        <v>19</v>
      </c>
      <c r="O1509" s="142">
        <f>B1509*IBGE_2!O$1509/100</f>
        <v>32</v>
      </c>
      <c r="P1509" s="142">
        <f>B1509*IBGE_2!P$1509/100</f>
        <v>0.55000000000000004</v>
      </c>
      <c r="Q1509" s="142">
        <f>B1509*IBGE_2!Q$1509/100</f>
        <v>114</v>
      </c>
      <c r="R1509" s="142">
        <f>B1509*IBGE_2!R$1509/100</f>
        <v>1.2</v>
      </c>
      <c r="S1509" s="142">
        <f>B1509*IBGE_2!S$1509/100</f>
        <v>829</v>
      </c>
      <c r="T1509" s="142">
        <f>B1509*IBGE_2!T$1509/100</f>
        <v>189</v>
      </c>
      <c r="U1509" s="142">
        <f>B1509*IBGE_2!U$1509/100</f>
        <v>0.16</v>
      </c>
      <c r="V1509" s="142">
        <f>B1509*IBGE_2!V$1509/100</f>
        <v>0.9</v>
      </c>
      <c r="W1509" s="142" t="s">
        <v>3047</v>
      </c>
      <c r="X1509" s="142">
        <f>B1509*IBGE_2!X$1509/100</f>
        <v>0.38</v>
      </c>
      <c r="Y1509" s="142" t="s">
        <v>3047</v>
      </c>
      <c r="Z1509" s="142" t="s">
        <v>3047</v>
      </c>
      <c r="AA1509" s="142" t="s">
        <v>3047</v>
      </c>
      <c r="AB1509" s="142" t="s">
        <v>3047</v>
      </c>
      <c r="AC1509" s="145" t="s">
        <v>3047</v>
      </c>
      <c r="AD1509" s="145" t="s">
        <v>3047</v>
      </c>
      <c r="AE1509" s="145" t="s">
        <v>3047</v>
      </c>
      <c r="AF1509" s="145" t="s">
        <v>3047</v>
      </c>
      <c r="AG1509" s="145" t="s">
        <v>3047</v>
      </c>
      <c r="AH1509" s="142">
        <f>B1509*IBGE_2!AH$1509/100</f>
        <v>0.45</v>
      </c>
      <c r="AI1509" s="142" t="s">
        <v>3047</v>
      </c>
      <c r="AJ1509" s="145" t="s">
        <v>3047</v>
      </c>
      <c r="AK1509" s="145" t="s">
        <v>3047</v>
      </c>
      <c r="AL1509" s="145" t="s">
        <v>3047</v>
      </c>
      <c r="AM1509" s="145" t="s">
        <v>3047</v>
      </c>
      <c r="AN1509" s="161"/>
    </row>
    <row r="1510" spans="1:40">
      <c r="A1510" s="143" t="s">
        <v>2570</v>
      </c>
      <c r="B1510" s="141">
        <v>100</v>
      </c>
      <c r="C1510" s="142">
        <f>B1510*IBGE_2!C$1510/100</f>
        <v>422.97</v>
      </c>
      <c r="D1510" s="142">
        <f>B1510*IBGE_2!D$1510/100</f>
        <v>4.54</v>
      </c>
      <c r="E1510" s="142">
        <f>B1510*IBGE_2!E$1510/100</f>
        <v>20.61</v>
      </c>
      <c r="F1510" s="142">
        <f>B1510*IBGE_2!F$1510/100</f>
        <v>8.06</v>
      </c>
      <c r="G1510" s="142">
        <f>B1510*IBGE_2!G$1510/100</f>
        <v>7.72</v>
      </c>
      <c r="H1510" s="142">
        <f>B1510*IBGE_2!H$1510/100</f>
        <v>2.84</v>
      </c>
      <c r="I1510" s="142">
        <f>B1510*IBGE_2!I$1510/100</f>
        <v>2.65</v>
      </c>
      <c r="J1510" s="142">
        <f>B1510*IBGE_2!J$1510/100</f>
        <v>0.17</v>
      </c>
      <c r="K1510" s="142">
        <f>B1510*IBGE_2!K$1510/100</f>
        <v>31.95</v>
      </c>
      <c r="L1510" s="142">
        <f>B1510*IBGE_2!L$1510/100</f>
        <v>55.53</v>
      </c>
      <c r="M1510" s="142">
        <f>B1510*IBGE_2!M$1510/100</f>
        <v>1.07</v>
      </c>
      <c r="N1510" s="142">
        <f>B1510*IBGE_2!N$1510/100</f>
        <v>66.53</v>
      </c>
      <c r="O1510" s="142">
        <f>B1510*IBGE_2!O$1510/100</f>
        <v>10.54</v>
      </c>
      <c r="P1510" s="142">
        <f>B1510*IBGE_2!P$1510/100</f>
        <v>0.28000000000000003</v>
      </c>
      <c r="Q1510" s="142">
        <f>B1510*IBGE_2!Q$1510/100</f>
        <v>75.849999999999994</v>
      </c>
      <c r="R1510" s="142">
        <f>B1510*IBGE_2!R$1510/100</f>
        <v>1.62</v>
      </c>
      <c r="S1510" s="142">
        <f>B1510*IBGE_2!S$1510/100</f>
        <v>175.07</v>
      </c>
      <c r="T1510" s="142">
        <f>B1510*IBGE_2!T$1510/100</f>
        <v>74.069999999999993</v>
      </c>
      <c r="U1510" s="142">
        <f>B1510*IBGE_2!U$1510/100</f>
        <v>0.06</v>
      </c>
      <c r="V1510" s="142">
        <f>B1510*IBGE_2!V$1510/100</f>
        <v>0.4</v>
      </c>
      <c r="W1510" s="142">
        <f>B1510*IBGE_2!W$1510/100</f>
        <v>53.61</v>
      </c>
      <c r="X1510" s="142">
        <f>B1510*IBGE_2!X$1510/100</f>
        <v>0.24</v>
      </c>
      <c r="Y1510" s="142">
        <f>B1510*IBGE_2!Y$1510/100</f>
        <v>0.22</v>
      </c>
      <c r="Z1510" s="142">
        <f>B1510*IBGE_2!Z$1510/100</f>
        <v>0.03</v>
      </c>
      <c r="AA1510" s="142">
        <f>B1510*IBGE_2!AA$1510/100</f>
        <v>1.78</v>
      </c>
      <c r="AB1510" s="142">
        <f>B1510*IBGE_2!AB$1510/100</f>
        <v>0.08</v>
      </c>
      <c r="AC1510" s="142">
        <f>B1510*IBGE_2!AC$1510/100</f>
        <v>2.71</v>
      </c>
      <c r="AD1510" s="142">
        <f>B1510*IBGE_2!AD$1510/100</f>
        <v>0.15</v>
      </c>
      <c r="AE1510" s="142">
        <f>B1510*IBGE_2!AE$1510/100</f>
        <v>64.5</v>
      </c>
      <c r="AF1510" s="142">
        <f>B1510*IBGE_2!AF$1510/100</f>
        <v>0.24</v>
      </c>
      <c r="AG1510" s="142">
        <f>B1510*IBGE_2!AG$1510/100</f>
        <v>1.1000000000000001</v>
      </c>
      <c r="AH1510" s="142">
        <f>B1510*IBGE_2!AH$1510/100</f>
        <v>3.55</v>
      </c>
      <c r="AI1510" s="142" t="s">
        <v>3047</v>
      </c>
      <c r="AJ1510" s="142">
        <f>B1510*IBGE_2!AJ$1510/100</f>
        <v>13.22</v>
      </c>
      <c r="AK1510" s="142">
        <f>B1510*IBGE_2!AK$1510/100</f>
        <v>55.42</v>
      </c>
      <c r="AL1510" s="142">
        <f>B1510*IBGE_2!AL$1510/100</f>
        <v>31.83</v>
      </c>
      <c r="AM1510" s="142">
        <f>B1510*IBGE_2!AM$1510/100</f>
        <v>31.54</v>
      </c>
      <c r="AN1510" s="161"/>
    </row>
    <row r="1511" spans="1:40">
      <c r="A1511" s="143" t="s">
        <v>2571</v>
      </c>
      <c r="B1511" s="141">
        <v>100</v>
      </c>
      <c r="C1511" s="142">
        <f>B1511*IBGE_2!C$1511/100</f>
        <v>443</v>
      </c>
      <c r="D1511" s="142">
        <f>B1511*IBGE_2!D$1511/100</f>
        <v>8.1</v>
      </c>
      <c r="E1511" s="142">
        <f>B1511*IBGE_2!E$1511/100</f>
        <v>12</v>
      </c>
      <c r="F1511" s="142">
        <f>B1511*IBGE_2!F$1511/100</f>
        <v>3.9</v>
      </c>
      <c r="G1511" s="142">
        <f>B1511*IBGE_2!G$1511/100</f>
        <v>3.7</v>
      </c>
      <c r="H1511" s="142">
        <f>B1511*IBGE_2!H$1511/100</f>
        <v>2.2000000000000002</v>
      </c>
      <c r="I1511" s="142">
        <f>B1511*IBGE_2!I$1511/100</f>
        <v>2.13</v>
      </c>
      <c r="J1511" s="142">
        <f>B1511*IBGE_2!J$1511/100</f>
        <v>0.1</v>
      </c>
      <c r="K1511" s="142" t="s">
        <v>3047</v>
      </c>
      <c r="L1511" s="142">
        <f>B1511*IBGE_2!L$1511/100</f>
        <v>75.2</v>
      </c>
      <c r="M1511" s="142">
        <f>B1511*IBGE_2!M$1511/100</f>
        <v>2.1</v>
      </c>
      <c r="N1511" s="142">
        <f>B1511*IBGE_2!N$1511/100</f>
        <v>54</v>
      </c>
      <c r="O1511" s="142">
        <f>B1511*IBGE_2!O$1511/100</f>
        <v>37</v>
      </c>
      <c r="P1511" s="142" t="s">
        <v>3047</v>
      </c>
      <c r="Q1511" s="142">
        <f>B1511*IBGE_2!Q$1511/100</f>
        <v>166</v>
      </c>
      <c r="R1511" s="142">
        <f>B1511*IBGE_2!R$1511/100</f>
        <v>1.8</v>
      </c>
      <c r="S1511" s="142">
        <f>B1511*IBGE_2!S$1511/100</f>
        <v>352</v>
      </c>
      <c r="T1511" s="142">
        <f>B1511*IBGE_2!T$1511/100</f>
        <v>142</v>
      </c>
      <c r="U1511" s="142">
        <f>B1511*IBGE_2!U$1511/100</f>
        <v>0.17</v>
      </c>
      <c r="V1511" s="142">
        <f>B1511*IBGE_2!V$1511/100</f>
        <v>1</v>
      </c>
      <c r="W1511" s="142" t="s">
        <v>3047</v>
      </c>
      <c r="X1511" s="142">
        <f>B1511*IBGE_2!X$1511/100</f>
        <v>1.01</v>
      </c>
      <c r="Y1511" s="142">
        <f>B1511*IBGE_2!Y$1511/100</f>
        <v>0.42</v>
      </c>
      <c r="Z1511" s="142" t="s">
        <v>3047</v>
      </c>
      <c r="AA1511" s="142">
        <f>B1511*IBGE_2!AA$1511/100</f>
        <v>3.91</v>
      </c>
      <c r="AB1511" s="142" t="s">
        <v>3047</v>
      </c>
      <c r="AC1511" s="145" t="s">
        <v>3047</v>
      </c>
      <c r="AD1511" s="145" t="s">
        <v>3047</v>
      </c>
      <c r="AE1511" s="145" t="s">
        <v>3047</v>
      </c>
      <c r="AF1511" s="145" t="s">
        <v>3047</v>
      </c>
      <c r="AG1511" s="145" t="s">
        <v>3047</v>
      </c>
      <c r="AH1511" s="142">
        <f>B1511*IBGE_2!AH$1511/100</f>
        <v>1.58</v>
      </c>
      <c r="AI1511" s="142" t="s">
        <v>3047</v>
      </c>
      <c r="AJ1511" s="145" t="s">
        <v>3047</v>
      </c>
      <c r="AK1511" s="145" t="s">
        <v>3047</v>
      </c>
      <c r="AL1511" s="142">
        <f>B1511*IBGE_2!AL$1511/100</f>
        <v>36.520000000000003</v>
      </c>
      <c r="AM1511" s="142">
        <f>B1511*IBGE_2!AM$1511/100</f>
        <v>36.53</v>
      </c>
      <c r="AN1511" s="161"/>
    </row>
    <row r="1512" spans="1:40">
      <c r="A1512" s="143" t="s">
        <v>2572</v>
      </c>
      <c r="B1512" s="141">
        <v>100</v>
      </c>
      <c r="C1512" s="142">
        <f>B1512*IBGE_2!C$1512/100</f>
        <v>245.75</v>
      </c>
      <c r="D1512" s="142">
        <f>B1512*IBGE_2!D$1512/100</f>
        <v>12.829000000000001</v>
      </c>
      <c r="E1512" s="142">
        <f>B1512*IBGE_2!E$1512/100</f>
        <v>9.8450000000000006</v>
      </c>
      <c r="F1512" s="142">
        <f>B1512*IBGE_2!F$1512/100</f>
        <v>5.2409999999999988</v>
      </c>
      <c r="G1512" s="142">
        <f>B1512*IBGE_2!G$1512/100</f>
        <v>3.105</v>
      </c>
      <c r="H1512" s="142">
        <f>B1512*IBGE_2!H$1512/100</f>
        <v>0.70199999999999985</v>
      </c>
      <c r="I1512" s="142">
        <f>B1512*IBGE_2!I$1512/100</f>
        <v>0.59599999999999997</v>
      </c>
      <c r="J1512" s="142">
        <f>B1512*IBGE_2!J$1512/100</f>
        <v>0.08</v>
      </c>
      <c r="K1512" s="142">
        <f>B1512*IBGE_2!K$1512/100</f>
        <v>47.296999999999997</v>
      </c>
      <c r="L1512" s="142">
        <f>B1512*IBGE_2!L$1512/100</f>
        <v>25.802</v>
      </c>
      <c r="M1512" s="142">
        <f>B1512*IBGE_2!M$1512/100</f>
        <v>1.18</v>
      </c>
      <c r="N1512" s="142">
        <f>B1512*IBGE_2!N$1512/100</f>
        <v>213.03200000000001</v>
      </c>
      <c r="O1512" s="142">
        <f>B1512*IBGE_2!O$1512/100</f>
        <v>19.039000000000001</v>
      </c>
      <c r="P1512" s="142">
        <f>B1512*IBGE_2!P$1512/100</f>
        <v>0.24199999999999999</v>
      </c>
      <c r="Q1512" s="142">
        <f>B1512*IBGE_2!Q$1512/100</f>
        <v>208.42099999999999</v>
      </c>
      <c r="R1512" s="142">
        <f>B1512*IBGE_2!R$1512/100</f>
        <v>1.9330000000000001</v>
      </c>
      <c r="S1512" s="142">
        <f>B1512*IBGE_2!S$1512/100</f>
        <v>511</v>
      </c>
      <c r="T1512" s="142">
        <f>B1512*IBGE_2!T$1512/100</f>
        <v>143.54300000000001</v>
      </c>
      <c r="U1512" s="142">
        <f>B1512*IBGE_2!U$1512/100</f>
        <v>8.5000000000000006E-2</v>
      </c>
      <c r="V1512" s="142">
        <f>B1512*IBGE_2!V$1512/100</f>
        <v>1.42</v>
      </c>
      <c r="W1512" s="142">
        <f>B1512*IBGE_2!W$1512/100</f>
        <v>61.99</v>
      </c>
      <c r="X1512" s="142">
        <f>B1512*IBGE_2!X$1512/100</f>
        <v>0.3</v>
      </c>
      <c r="Y1512" s="142">
        <f>B1512*IBGE_2!Y$1512/100</f>
        <v>0.33500000000000002</v>
      </c>
      <c r="Z1512" s="142">
        <f>B1512*IBGE_2!Z$1512/100</f>
        <v>8.2000000000000017E-2</v>
      </c>
      <c r="AA1512" s="142">
        <f>B1512*IBGE_2!AA$1512/100</f>
        <v>2.4750000000000001</v>
      </c>
      <c r="AB1512" s="142">
        <f>B1512*IBGE_2!AB$1512/100</f>
        <v>3.92</v>
      </c>
      <c r="AC1512" s="142">
        <f>B1512*IBGE_2!AC$1512/100</f>
        <v>6.1319999999999997</v>
      </c>
      <c r="AD1512" s="142">
        <f>B1512*IBGE_2!AD$1512/100</f>
        <v>0.752</v>
      </c>
      <c r="AE1512" s="142">
        <f>B1512*IBGE_2!AE$1512/100</f>
        <v>86.006</v>
      </c>
      <c r="AF1512" s="142">
        <f>B1512*IBGE_2!AF$1512/100</f>
        <v>0.17499999999999999</v>
      </c>
      <c r="AG1512" s="142">
        <f>B1512*IBGE_2!AG$1512/100</f>
        <v>0.30299999999999999</v>
      </c>
      <c r="AH1512" s="142">
        <f>B1512*IBGE_2!AH$1512/100</f>
        <v>0.19600000000000001</v>
      </c>
      <c r="AI1512" s="142" t="s">
        <v>3047</v>
      </c>
      <c r="AJ1512" s="142">
        <f>B1512*IBGE_2!AJ$1512/100</f>
        <v>19.315000000000001</v>
      </c>
      <c r="AK1512" s="142">
        <f>B1512*IBGE_2!AK$1512/100</f>
        <v>70.055999999999997</v>
      </c>
      <c r="AL1512" s="142">
        <f>B1512*IBGE_2!AL$1512/100</f>
        <v>1.518</v>
      </c>
      <c r="AM1512" s="142">
        <f>B1512*IBGE_2!AM$1512/100</f>
        <v>0.66299999999999992</v>
      </c>
      <c r="AN1512" s="161"/>
    </row>
    <row r="1513" spans="1:40">
      <c r="A1513" s="143" t="s">
        <v>2573</v>
      </c>
      <c r="B1513" s="141">
        <v>100</v>
      </c>
      <c r="C1513" s="142">
        <f>B1513*IBGE_2!C$1513/100</f>
        <v>432</v>
      </c>
      <c r="D1513" s="142">
        <f>B1513*IBGE_2!D$1513/100</f>
        <v>10.1</v>
      </c>
      <c r="E1513" s="142">
        <f>B1513*IBGE_2!E$1513/100</f>
        <v>14.4</v>
      </c>
      <c r="F1513" s="142">
        <f>B1513*IBGE_2!F$1513/100</f>
        <v>4.4000000000000004</v>
      </c>
      <c r="G1513" s="142">
        <f>B1513*IBGE_2!G$1513/100</f>
        <v>4.5999999999999996</v>
      </c>
      <c r="H1513" s="142">
        <f>B1513*IBGE_2!H$1513/100</f>
        <v>2.9</v>
      </c>
      <c r="I1513" s="142">
        <f>B1513*IBGE_2!I$1513/100</f>
        <v>2.79</v>
      </c>
      <c r="J1513" s="142">
        <f>B1513*IBGE_2!J$1513/100</f>
        <v>0.01</v>
      </c>
      <c r="K1513" s="142" t="s">
        <v>3047</v>
      </c>
      <c r="L1513" s="142">
        <f>B1513*IBGE_2!L$1513/100</f>
        <v>68.7</v>
      </c>
      <c r="M1513" s="142">
        <f>B1513*IBGE_2!M$1513/100</f>
        <v>2.5</v>
      </c>
      <c r="N1513" s="142">
        <f>B1513*IBGE_2!N$1513/100</f>
        <v>20</v>
      </c>
      <c r="O1513" s="142">
        <f>B1513*IBGE_2!O$1513/100</f>
        <v>40</v>
      </c>
      <c r="P1513" s="142" t="s">
        <v>3047</v>
      </c>
      <c r="Q1513" s="142">
        <f>B1513*IBGE_2!Q$1513/100</f>
        <v>148</v>
      </c>
      <c r="R1513" s="142">
        <f>B1513*IBGE_2!R$1513/100</f>
        <v>2.2000000000000002</v>
      </c>
      <c r="S1513" s="142">
        <f>B1513*IBGE_2!S$1513/100</f>
        <v>854</v>
      </c>
      <c r="T1513" s="142">
        <f>B1513*IBGE_2!T$1513/100</f>
        <v>181</v>
      </c>
      <c r="U1513" s="142">
        <f>B1513*IBGE_2!U$1513/100</f>
        <v>0.18</v>
      </c>
      <c r="V1513" s="142">
        <f>B1513*IBGE_2!V$1513/100</f>
        <v>1.1000000000000001</v>
      </c>
      <c r="W1513" s="142" t="s">
        <v>3047</v>
      </c>
      <c r="X1513" s="142">
        <f>B1513*IBGE_2!X$1513/100</f>
        <v>0.71</v>
      </c>
      <c r="Y1513" s="142">
        <f>B1513*IBGE_2!Y$1513/100</f>
        <v>0.13</v>
      </c>
      <c r="Z1513" s="142">
        <f>B1513*IBGE_2!Z$1513/100</f>
        <v>0.17</v>
      </c>
      <c r="AA1513" s="142">
        <f>B1513*IBGE_2!AA$1513/100</f>
        <v>7.14</v>
      </c>
      <c r="AB1513" s="142" t="s">
        <v>3047</v>
      </c>
      <c r="AC1513" s="145" t="s">
        <v>3047</v>
      </c>
      <c r="AD1513" s="145" t="s">
        <v>3047</v>
      </c>
      <c r="AE1513" s="145" t="s">
        <v>3047</v>
      </c>
      <c r="AF1513" s="145" t="s">
        <v>3047</v>
      </c>
      <c r="AG1513" s="145" t="s">
        <v>3047</v>
      </c>
      <c r="AH1513" s="142">
        <f>B1513*IBGE_2!AH$1513/100</f>
        <v>1.8</v>
      </c>
      <c r="AI1513" s="142" t="s">
        <v>3047</v>
      </c>
      <c r="AJ1513" s="145" t="s">
        <v>3047</v>
      </c>
      <c r="AK1513" s="145" t="s">
        <v>3047</v>
      </c>
      <c r="AL1513" s="142">
        <f>B1513*IBGE_2!AL$1513/100</f>
        <v>10.64</v>
      </c>
      <c r="AM1513" s="142">
        <f>B1513*IBGE_2!AM$1513/100</f>
        <v>10.58</v>
      </c>
      <c r="AN1513" s="161"/>
    </row>
    <row r="1514" spans="1:40">
      <c r="A1514" s="143" t="s">
        <v>2574</v>
      </c>
      <c r="B1514" s="141">
        <v>100</v>
      </c>
      <c r="C1514" s="142">
        <f>B1514*IBGE_2!C$1514/100</f>
        <v>432</v>
      </c>
      <c r="D1514" s="142">
        <f>B1514*IBGE_2!D$1514/100</f>
        <v>10.1</v>
      </c>
      <c r="E1514" s="142">
        <f>B1514*IBGE_2!E$1514/100</f>
        <v>14.4</v>
      </c>
      <c r="F1514" s="142">
        <f>B1514*IBGE_2!F$1514/100</f>
        <v>4.4000000000000004</v>
      </c>
      <c r="G1514" s="142">
        <f>B1514*IBGE_2!G$1514/100</f>
        <v>4.5999999999999996</v>
      </c>
      <c r="H1514" s="142">
        <f>B1514*IBGE_2!H$1514/100</f>
        <v>2.9</v>
      </c>
      <c r="I1514" s="142">
        <f>B1514*IBGE_2!I$1514/100</f>
        <v>2.79</v>
      </c>
      <c r="J1514" s="142">
        <f>B1514*IBGE_2!J$1514/100</f>
        <v>0.01</v>
      </c>
      <c r="K1514" s="142" t="s">
        <v>3047</v>
      </c>
      <c r="L1514" s="142">
        <f>B1514*IBGE_2!L$1514/100</f>
        <v>68.7</v>
      </c>
      <c r="M1514" s="142">
        <f>B1514*IBGE_2!M$1514/100</f>
        <v>2.5</v>
      </c>
      <c r="N1514" s="142">
        <f>B1514*IBGE_2!N$1514/100</f>
        <v>20</v>
      </c>
      <c r="O1514" s="142">
        <f>B1514*IBGE_2!O$1514/100</f>
        <v>40</v>
      </c>
      <c r="P1514" s="142" t="s">
        <v>3047</v>
      </c>
      <c r="Q1514" s="142">
        <f>B1514*IBGE_2!Q$1514/100</f>
        <v>148</v>
      </c>
      <c r="R1514" s="142">
        <f>B1514*IBGE_2!R$1514/100</f>
        <v>2.2000000000000002</v>
      </c>
      <c r="S1514" s="142">
        <f>B1514*IBGE_2!S$1514/100</f>
        <v>854</v>
      </c>
      <c r="T1514" s="142">
        <f>B1514*IBGE_2!T$1514/100</f>
        <v>181</v>
      </c>
      <c r="U1514" s="142">
        <f>B1514*IBGE_2!U$1514/100</f>
        <v>0.18</v>
      </c>
      <c r="V1514" s="142">
        <f>B1514*IBGE_2!V$1514/100</f>
        <v>1.1000000000000001</v>
      </c>
      <c r="W1514" s="142" t="s">
        <v>3047</v>
      </c>
      <c r="X1514" s="142">
        <f>B1514*IBGE_2!X$1514/100</f>
        <v>0.71</v>
      </c>
      <c r="Y1514" s="142">
        <f>B1514*IBGE_2!Y$1514/100</f>
        <v>0.13</v>
      </c>
      <c r="Z1514" s="142">
        <f>B1514*IBGE_2!Z$1514/100</f>
        <v>0.17</v>
      </c>
      <c r="AA1514" s="142">
        <f>B1514*IBGE_2!AA$1514/100</f>
        <v>7.14</v>
      </c>
      <c r="AB1514" s="142" t="s">
        <v>3047</v>
      </c>
      <c r="AC1514" s="145" t="s">
        <v>3047</v>
      </c>
      <c r="AD1514" s="145" t="s">
        <v>3047</v>
      </c>
      <c r="AE1514" s="145" t="s">
        <v>3047</v>
      </c>
      <c r="AF1514" s="145" t="s">
        <v>3047</v>
      </c>
      <c r="AG1514" s="145" t="s">
        <v>3047</v>
      </c>
      <c r="AH1514" s="142">
        <f>B1514*IBGE_2!AH$1514/100</f>
        <v>1.8</v>
      </c>
      <c r="AI1514" s="142" t="s">
        <v>3047</v>
      </c>
      <c r="AJ1514" s="145" t="s">
        <v>3047</v>
      </c>
      <c r="AK1514" s="145" t="s">
        <v>3047</v>
      </c>
      <c r="AL1514" s="142">
        <f>B1514*IBGE_2!AL$1514/100</f>
        <v>10.64</v>
      </c>
      <c r="AM1514" s="142">
        <f>B1514*IBGE_2!AM$1514/100</f>
        <v>10.58</v>
      </c>
      <c r="AN1514" s="161"/>
    </row>
    <row r="1515" spans="1:40">
      <c r="A1515" s="143" t="s">
        <v>2575</v>
      </c>
      <c r="B1515" s="141">
        <v>100</v>
      </c>
      <c r="C1515" s="142">
        <f>B1515*IBGE_2!C$1515/100</f>
        <v>508.99</v>
      </c>
      <c r="D1515" s="142">
        <f>B1515*IBGE_2!D$1515/100</f>
        <v>8.8770000000000007</v>
      </c>
      <c r="E1515" s="142">
        <f>B1515*IBGE_2!E$1515/100</f>
        <v>25.396000000000001</v>
      </c>
      <c r="F1515" s="142">
        <f>B1515*IBGE_2!F$1515/100</f>
        <v>5.4</v>
      </c>
      <c r="G1515" s="142">
        <f>B1515*IBGE_2!G$1515/100</f>
        <v>8.8520000000000003</v>
      </c>
      <c r="H1515" s="142">
        <f>B1515*IBGE_2!H$1515/100</f>
        <v>9.8179999999999996</v>
      </c>
      <c r="I1515" s="142">
        <f>B1515*IBGE_2!I$1515/100</f>
        <v>9.1750000000000007</v>
      </c>
      <c r="J1515" s="142">
        <f>B1515*IBGE_2!J$1515/100</f>
        <v>0.628</v>
      </c>
      <c r="K1515" s="142">
        <f>B1515*IBGE_2!K$1515/100</f>
        <v>8.900000000000001E-2</v>
      </c>
      <c r="L1515" s="142">
        <f>B1515*IBGE_2!L$1515/100</f>
        <v>60.738</v>
      </c>
      <c r="M1515" s="142">
        <f>B1515*IBGE_2!M$1515/100</f>
        <v>2.5449999999999999</v>
      </c>
      <c r="N1515" s="142">
        <f>B1515*IBGE_2!N$1515/100</f>
        <v>31.340999999999998</v>
      </c>
      <c r="O1515" s="142">
        <f>B1515*IBGE_2!O$1515/100</f>
        <v>18.247</v>
      </c>
      <c r="P1515" s="142">
        <f>B1515*IBGE_2!P$1515/100</f>
        <v>0.54600000000000004</v>
      </c>
      <c r="Q1515" s="142">
        <f>B1515*IBGE_2!Q$1515/100</f>
        <v>92.967000000000013</v>
      </c>
      <c r="R1515" s="142">
        <f>B1515*IBGE_2!R$1515/100</f>
        <v>3.76</v>
      </c>
      <c r="S1515" s="142">
        <f>B1515*IBGE_2!S$1515/100</f>
        <v>833.40800000000002</v>
      </c>
      <c r="T1515" s="142">
        <f>B1515*IBGE_2!T$1515/100</f>
        <v>96.792000000000002</v>
      </c>
      <c r="U1515" s="142">
        <f>B1515*IBGE_2!U$1515/100</f>
        <v>0.13700000000000001</v>
      </c>
      <c r="V1515" s="142">
        <f>B1515*IBGE_2!V$1515/100</f>
        <v>0.61899999999999999</v>
      </c>
      <c r="W1515" s="142">
        <f>B1515*IBGE_2!W$1515/100</f>
        <v>0.249</v>
      </c>
      <c r="X1515" s="142">
        <f>B1515*IBGE_2!X$1515/100</f>
        <v>0.63300000000000001</v>
      </c>
      <c r="Y1515" s="142">
        <f>B1515*IBGE_2!Y$1515/100</f>
        <v>0.42</v>
      </c>
      <c r="Z1515" s="142">
        <f>B1515*IBGE_2!Z$1515/100</f>
        <v>4.2999999999999997E-2</v>
      </c>
      <c r="AA1515" s="142">
        <f>B1515*IBGE_2!AA$1515/100</f>
        <v>4.867</v>
      </c>
      <c r="AB1515" s="142">
        <f>B1515*IBGE_2!AB$1515/100</f>
        <v>2E-3</v>
      </c>
      <c r="AC1515" s="142">
        <f>B1515*IBGE_2!AC$1515/100</f>
        <v>6.69</v>
      </c>
      <c r="AD1515" s="142">
        <f>B1515*IBGE_2!AD$1515/100</f>
        <v>4.0000000000000001E-3</v>
      </c>
      <c r="AE1515" s="142">
        <f>B1515*IBGE_2!AE$1515/100</f>
        <v>173.245</v>
      </c>
      <c r="AF1515" s="142">
        <f>B1515*IBGE_2!AF$1515/100</f>
        <v>1E-3</v>
      </c>
      <c r="AG1515" s="142">
        <f>B1515*IBGE_2!AG$1515/100</f>
        <v>5.7720000000000002</v>
      </c>
      <c r="AH1515" s="142">
        <f>B1515*IBGE_2!AH$1515/100</f>
        <v>0.755</v>
      </c>
      <c r="AI1515" s="142" t="s">
        <v>3047</v>
      </c>
      <c r="AJ1515" s="142">
        <f>B1515*IBGE_2!AJ$1515/100</f>
        <v>30.215999999999998</v>
      </c>
      <c r="AK1515" s="142">
        <f>B1515*IBGE_2!AK$1515/100</f>
        <v>0.60499999999999998</v>
      </c>
      <c r="AL1515" s="142">
        <f>B1515*IBGE_2!AL$1515/100</f>
        <v>0.32200000000000001</v>
      </c>
      <c r="AM1515" s="145" t="s">
        <v>3047</v>
      </c>
      <c r="AN1515" s="161"/>
    </row>
    <row r="1516" spans="1:40">
      <c r="A1516" s="143" t="s">
        <v>2576</v>
      </c>
      <c r="B1516" s="141">
        <v>100</v>
      </c>
      <c r="C1516" s="142">
        <f>B1516*IBGE_2!C$1516/100</f>
        <v>436.72</v>
      </c>
      <c r="D1516" s="142">
        <f>B1516*IBGE_2!D$1516/100</f>
        <v>4.46</v>
      </c>
      <c r="E1516" s="142">
        <f>B1516*IBGE_2!E$1516/100</f>
        <v>29.08</v>
      </c>
      <c r="F1516" s="142">
        <f>B1516*IBGE_2!F$1516/100</f>
        <v>4.6500000000000004</v>
      </c>
      <c r="G1516" s="142">
        <f>B1516*IBGE_2!G$1516/100</f>
        <v>19.920000000000002</v>
      </c>
      <c r="H1516" s="142">
        <f>B1516*IBGE_2!H$1516/100</f>
        <v>3.17</v>
      </c>
      <c r="I1516" s="142">
        <f>B1516*IBGE_2!I$1516/100</f>
        <v>2.89</v>
      </c>
      <c r="J1516" s="142">
        <f>B1516*IBGE_2!J$1516/100</f>
        <v>0.21</v>
      </c>
      <c r="K1516" s="142">
        <f>B1516*IBGE_2!K$1516/100</f>
        <v>150.27000000000001</v>
      </c>
      <c r="L1516" s="142">
        <f>B1516*IBGE_2!L$1516/100</f>
        <v>38.369999999999997</v>
      </c>
      <c r="M1516" s="142" t="s">
        <v>3047</v>
      </c>
      <c r="N1516" s="142">
        <f>B1516*IBGE_2!N$1516/100</f>
        <v>18.28</v>
      </c>
      <c r="O1516" s="142">
        <f>B1516*IBGE_2!O$1516/100</f>
        <v>3.56</v>
      </c>
      <c r="P1516" s="142">
        <f>B1516*IBGE_2!P$1516/100</f>
        <v>0.01</v>
      </c>
      <c r="Q1516" s="142">
        <f>B1516*IBGE_2!Q$1516/100</f>
        <v>60.96</v>
      </c>
      <c r="R1516" s="142">
        <f>B1516*IBGE_2!R$1516/100</f>
        <v>0.56999999999999995</v>
      </c>
      <c r="S1516" s="142">
        <f>B1516*IBGE_2!S$1516/100</f>
        <v>536.67999999999995</v>
      </c>
      <c r="T1516" s="142">
        <f>B1516*IBGE_2!T$1516/100</f>
        <v>45.01</v>
      </c>
      <c r="U1516" s="142" t="s">
        <v>3047</v>
      </c>
      <c r="V1516" s="142">
        <f>B1516*IBGE_2!V$1516/100</f>
        <v>0.37</v>
      </c>
      <c r="W1516" s="142">
        <f>B1516*IBGE_2!W$1516/100</f>
        <v>59.54</v>
      </c>
      <c r="X1516" s="142">
        <f>B1516*IBGE_2!X$1516/100</f>
        <v>0.02</v>
      </c>
      <c r="Y1516" s="142">
        <f>B1516*IBGE_2!Y$1516/100</f>
        <v>0.18</v>
      </c>
      <c r="Z1516" s="142">
        <f>B1516*IBGE_2!Z$1516/100</f>
        <v>0.04</v>
      </c>
      <c r="AA1516" s="142">
        <f>B1516*IBGE_2!AA$1516/100</f>
        <v>0.02</v>
      </c>
      <c r="AB1516" s="142" t="s">
        <v>3047</v>
      </c>
      <c r="AC1516" s="142">
        <f>B1516*IBGE_2!AC$1516/100</f>
        <v>0.93</v>
      </c>
      <c r="AD1516" s="142">
        <f>B1516*IBGE_2!AD$1516/100</f>
        <v>0.39</v>
      </c>
      <c r="AE1516" s="142">
        <f>B1516*IBGE_2!AE$1516/100</f>
        <v>15.59</v>
      </c>
      <c r="AF1516" s="142">
        <f>B1516*IBGE_2!AF$1516/100</f>
        <v>0.45</v>
      </c>
      <c r="AG1516" s="142">
        <f>B1516*IBGE_2!AG$1516/100</f>
        <v>4</v>
      </c>
      <c r="AH1516" s="142">
        <f>B1516*IBGE_2!AH$1516/100</f>
        <v>0.04</v>
      </c>
      <c r="AI1516" s="142" t="s">
        <v>3047</v>
      </c>
      <c r="AJ1516" s="142">
        <f>B1516*IBGE_2!AJ$1516/100</f>
        <v>10.92</v>
      </c>
      <c r="AK1516" s="142">
        <f>B1516*IBGE_2!AK$1516/100</f>
        <v>60.01</v>
      </c>
      <c r="AL1516" s="142">
        <f>B1516*IBGE_2!AL$1516/100</f>
        <v>0.43</v>
      </c>
      <c r="AM1516" s="145" t="s">
        <v>3047</v>
      </c>
      <c r="AN1516" s="161"/>
    </row>
    <row r="1517" spans="1:40">
      <c r="A1517" s="143" t="s">
        <v>2577</v>
      </c>
      <c r="B1517" s="141">
        <v>100</v>
      </c>
      <c r="C1517" s="142">
        <f>B1517*IBGE_2!C$1517/100</f>
        <v>432</v>
      </c>
      <c r="D1517" s="142">
        <f>B1517*IBGE_2!D$1517/100</f>
        <v>10.1</v>
      </c>
      <c r="E1517" s="142">
        <f>B1517*IBGE_2!E$1517/100</f>
        <v>14.4</v>
      </c>
      <c r="F1517" s="142">
        <f>B1517*IBGE_2!F$1517/100</f>
        <v>4.4000000000000004</v>
      </c>
      <c r="G1517" s="142">
        <f>B1517*IBGE_2!G$1517/100</f>
        <v>4.5999999999999996</v>
      </c>
      <c r="H1517" s="142">
        <f>B1517*IBGE_2!H$1517/100</f>
        <v>2.9</v>
      </c>
      <c r="I1517" s="142">
        <f>B1517*IBGE_2!I$1517/100</f>
        <v>2.79</v>
      </c>
      <c r="J1517" s="142">
        <f>B1517*IBGE_2!J$1517/100</f>
        <v>0.01</v>
      </c>
      <c r="K1517" s="142" t="s">
        <v>3047</v>
      </c>
      <c r="L1517" s="142">
        <f>B1517*IBGE_2!L$1517/100</f>
        <v>68.7</v>
      </c>
      <c r="M1517" s="142">
        <f>B1517*IBGE_2!M$1517/100</f>
        <v>2.5</v>
      </c>
      <c r="N1517" s="142">
        <f>B1517*IBGE_2!N$1517/100</f>
        <v>20</v>
      </c>
      <c r="O1517" s="142">
        <f>B1517*IBGE_2!O$1517/100</f>
        <v>40</v>
      </c>
      <c r="P1517" s="142" t="s">
        <v>3047</v>
      </c>
      <c r="Q1517" s="142">
        <f>B1517*IBGE_2!Q$1517/100</f>
        <v>148</v>
      </c>
      <c r="R1517" s="142">
        <f>B1517*IBGE_2!R$1517/100</f>
        <v>2.2000000000000002</v>
      </c>
      <c r="S1517" s="142">
        <f>B1517*IBGE_2!S$1517/100</f>
        <v>854</v>
      </c>
      <c r="T1517" s="142">
        <f>B1517*IBGE_2!T$1517/100</f>
        <v>181</v>
      </c>
      <c r="U1517" s="142">
        <f>B1517*IBGE_2!U$1517/100</f>
        <v>0.18</v>
      </c>
      <c r="V1517" s="142">
        <f>B1517*IBGE_2!V$1517/100</f>
        <v>1.1000000000000001</v>
      </c>
      <c r="W1517" s="142" t="s">
        <v>3047</v>
      </c>
      <c r="X1517" s="142">
        <f>B1517*IBGE_2!X$1517/100</f>
        <v>0.71</v>
      </c>
      <c r="Y1517" s="142">
        <f>B1517*IBGE_2!Y$1517/100</f>
        <v>0.13</v>
      </c>
      <c r="Z1517" s="142">
        <f>B1517*IBGE_2!Z$1517/100</f>
        <v>0.17</v>
      </c>
      <c r="AA1517" s="142">
        <f>B1517*IBGE_2!AA$1517/100</f>
        <v>7.14</v>
      </c>
      <c r="AB1517" s="142" t="s">
        <v>3047</v>
      </c>
      <c r="AC1517" s="145" t="s">
        <v>3047</v>
      </c>
      <c r="AD1517" s="145" t="s">
        <v>3047</v>
      </c>
      <c r="AE1517" s="145" t="s">
        <v>3047</v>
      </c>
      <c r="AF1517" s="145" t="s">
        <v>3047</v>
      </c>
      <c r="AG1517" s="145" t="s">
        <v>3047</v>
      </c>
      <c r="AH1517" s="142">
        <f>B1517*IBGE_2!AH$1517/100</f>
        <v>1.8</v>
      </c>
      <c r="AI1517" s="142" t="s">
        <v>3047</v>
      </c>
      <c r="AJ1517" s="145" t="s">
        <v>3047</v>
      </c>
      <c r="AK1517" s="145" t="s">
        <v>3047</v>
      </c>
      <c r="AL1517" s="142">
        <f>B1517*IBGE_2!AL$1517/100</f>
        <v>10.64</v>
      </c>
      <c r="AM1517" s="142">
        <f>B1517*IBGE_2!AM$1517/100</f>
        <v>10.58</v>
      </c>
      <c r="AN1517" s="161"/>
    </row>
    <row r="1518" spans="1:40">
      <c r="A1518" s="143" t="s">
        <v>2578</v>
      </c>
      <c r="B1518" s="141">
        <v>100</v>
      </c>
      <c r="C1518" s="142">
        <f>B1518*IBGE_2!C$1518/100</f>
        <v>558.86</v>
      </c>
      <c r="D1518" s="142">
        <f>B1518*IBGE_2!D$1518/100</f>
        <v>5.0750000000000002</v>
      </c>
      <c r="E1518" s="142">
        <f>B1518*IBGE_2!E$1518/100</f>
        <v>35.253</v>
      </c>
      <c r="F1518" s="142">
        <f>B1518*IBGE_2!F$1518/100</f>
        <v>5.456999999999999</v>
      </c>
      <c r="G1518" s="142">
        <f>B1518*IBGE_2!G$1518/100</f>
        <v>7.9889999999999999</v>
      </c>
      <c r="H1518" s="142">
        <f>B1518*IBGE_2!H$1518/100</f>
        <v>20.145</v>
      </c>
      <c r="I1518" s="142">
        <f>B1518*IBGE_2!I$1518/100</f>
        <v>17.824000000000002</v>
      </c>
      <c r="J1518" s="142">
        <f>B1518*IBGE_2!J$1518/100</f>
        <v>2.3220000000000001</v>
      </c>
      <c r="K1518" s="142" t="s">
        <v>3047</v>
      </c>
      <c r="L1518" s="142">
        <f>B1518*IBGE_2!L$1518/100</f>
        <v>55.405000000000001</v>
      </c>
      <c r="M1518" s="142">
        <f>B1518*IBGE_2!M$1518/100</f>
        <v>2.758</v>
      </c>
      <c r="N1518" s="142">
        <f>B1518*IBGE_2!N$1518/100</f>
        <v>2.4700000000000002</v>
      </c>
      <c r="O1518" s="142">
        <f>B1518*IBGE_2!O$1518/100</f>
        <v>24.515000000000001</v>
      </c>
      <c r="P1518" s="142">
        <f>B1518*IBGE_2!P$1518/100</f>
        <v>0.129</v>
      </c>
      <c r="Q1518" s="142">
        <f>B1518*IBGE_2!Q$1518/100</f>
        <v>73.5</v>
      </c>
      <c r="R1518" s="142">
        <f>B1518*IBGE_2!R$1518/100</f>
        <v>3.0459999999999998</v>
      </c>
      <c r="S1518" s="142">
        <f>B1518*IBGE_2!S$1518/100</f>
        <v>601.77300000000002</v>
      </c>
      <c r="T1518" s="142">
        <f>B1518*IBGE_2!T$1518/100</f>
        <v>106.523</v>
      </c>
      <c r="U1518" s="142">
        <f>B1518*IBGE_2!U$1518/100</f>
        <v>5.4000000000000006E-2</v>
      </c>
      <c r="V1518" s="142">
        <f>B1518*IBGE_2!V$1518/100</f>
        <v>0.502</v>
      </c>
      <c r="W1518" s="142" t="s">
        <v>3047</v>
      </c>
      <c r="X1518" s="142">
        <f>B1518*IBGE_2!X$1518/100</f>
        <v>0.43</v>
      </c>
      <c r="Y1518" s="142">
        <f>B1518*IBGE_2!Y$1518/100</f>
        <v>0.29099999999999998</v>
      </c>
      <c r="Z1518" s="142">
        <f>B1518*IBGE_2!Z$1518/100</f>
        <v>0.13900000000000001</v>
      </c>
      <c r="AA1518" s="142">
        <f>B1518*IBGE_2!AA$1518/100</f>
        <v>3.7160000000000002</v>
      </c>
      <c r="AB1518" s="142" t="s">
        <v>3047</v>
      </c>
      <c r="AC1518" s="142">
        <f>B1518*IBGE_2!AC$1518/100</f>
        <v>4.1710000000000003</v>
      </c>
      <c r="AD1518" s="145" t="s">
        <v>3047</v>
      </c>
      <c r="AE1518" s="142">
        <f>B1518*IBGE_2!AE$1518/100</f>
        <v>85.4</v>
      </c>
      <c r="AF1518" s="145" t="s">
        <v>3047</v>
      </c>
      <c r="AG1518" s="142">
        <f>B1518*IBGE_2!AG$1518/100</f>
        <v>2.8929999999999993</v>
      </c>
      <c r="AH1518" s="142">
        <f>B1518*IBGE_2!AH$1518/100</f>
        <v>0.18099999999999997</v>
      </c>
      <c r="AI1518" s="142" t="s">
        <v>3047</v>
      </c>
      <c r="AJ1518" s="142">
        <f>B1518*IBGE_2!AJ$1518/100</f>
        <v>23.704000000000001</v>
      </c>
      <c r="AK1518" s="142">
        <f>B1518*IBGE_2!AK$1518/100</f>
        <v>7.4960000000000004</v>
      </c>
      <c r="AL1518" s="142">
        <f>B1518*IBGE_2!AL$1518/100</f>
        <v>1.169</v>
      </c>
      <c r="AM1518" s="142" t="s">
        <v>3047</v>
      </c>
      <c r="AN1518" s="161"/>
    </row>
    <row r="1519" spans="1:40">
      <c r="A1519" s="143" t="s">
        <v>2579</v>
      </c>
      <c r="B1519" s="141">
        <v>100</v>
      </c>
      <c r="C1519" s="142">
        <f>B1519*IBGE_2!C$1519/100</f>
        <v>508.99</v>
      </c>
      <c r="D1519" s="142">
        <f>B1519*IBGE_2!D$1519/100</f>
        <v>8.8770000000000007</v>
      </c>
      <c r="E1519" s="142">
        <f>B1519*IBGE_2!E$1519/100</f>
        <v>25.396000000000001</v>
      </c>
      <c r="F1519" s="142">
        <f>B1519*IBGE_2!F$1519/100</f>
        <v>5.4</v>
      </c>
      <c r="G1519" s="142">
        <f>B1519*IBGE_2!G$1519/100</f>
        <v>8.8520000000000003</v>
      </c>
      <c r="H1519" s="142">
        <f>B1519*IBGE_2!H$1519/100</f>
        <v>9.8179999999999996</v>
      </c>
      <c r="I1519" s="142">
        <f>B1519*IBGE_2!I$1519/100</f>
        <v>9.1750000000000007</v>
      </c>
      <c r="J1519" s="142">
        <f>B1519*IBGE_2!J$1519/100</f>
        <v>0.628</v>
      </c>
      <c r="K1519" s="142">
        <f>B1519*IBGE_2!K$1519/100</f>
        <v>8.900000000000001E-2</v>
      </c>
      <c r="L1519" s="142">
        <f>B1519*IBGE_2!L$1519/100</f>
        <v>60.738</v>
      </c>
      <c r="M1519" s="142">
        <f>B1519*IBGE_2!M$1519/100</f>
        <v>2.5449999999999999</v>
      </c>
      <c r="N1519" s="142">
        <f>B1519*IBGE_2!N$1519/100</f>
        <v>31.340999999999998</v>
      </c>
      <c r="O1519" s="142">
        <f>B1519*IBGE_2!O$1519/100</f>
        <v>18.247</v>
      </c>
      <c r="P1519" s="142">
        <f>B1519*IBGE_2!P$1519/100</f>
        <v>0.54600000000000004</v>
      </c>
      <c r="Q1519" s="142">
        <f>B1519*IBGE_2!Q$1519/100</f>
        <v>92.967000000000013</v>
      </c>
      <c r="R1519" s="142">
        <f>B1519*IBGE_2!R$1519/100</f>
        <v>3.76</v>
      </c>
      <c r="S1519" s="142">
        <f>B1519*IBGE_2!S$1519/100</f>
        <v>833.40800000000002</v>
      </c>
      <c r="T1519" s="142">
        <f>B1519*IBGE_2!T$1519/100</f>
        <v>96.792000000000002</v>
      </c>
      <c r="U1519" s="142">
        <f>B1519*IBGE_2!U$1519/100</f>
        <v>0.13700000000000001</v>
      </c>
      <c r="V1519" s="142">
        <f>B1519*IBGE_2!V$1519/100</f>
        <v>0.61899999999999999</v>
      </c>
      <c r="W1519" s="142">
        <f>B1519*IBGE_2!W$1519/100</f>
        <v>0.249</v>
      </c>
      <c r="X1519" s="142">
        <f>B1519*IBGE_2!X$1519/100</f>
        <v>0.63300000000000001</v>
      </c>
      <c r="Y1519" s="142">
        <f>B1519*IBGE_2!Y$1519/100</f>
        <v>0.42</v>
      </c>
      <c r="Z1519" s="142">
        <f>B1519*IBGE_2!Z$1519/100</f>
        <v>4.2999999999999997E-2</v>
      </c>
      <c r="AA1519" s="142">
        <f>B1519*IBGE_2!AA$1519/100</f>
        <v>4.867</v>
      </c>
      <c r="AB1519" s="142">
        <f>B1519*IBGE_2!AB$1519/100</f>
        <v>2E-3</v>
      </c>
      <c r="AC1519" s="142">
        <f>B1519*IBGE_2!AC$1519/100</f>
        <v>6.69</v>
      </c>
      <c r="AD1519" s="142">
        <f>B1519*IBGE_2!AD$1519/100</f>
        <v>4.0000000000000001E-3</v>
      </c>
      <c r="AE1519" s="142">
        <f>B1519*IBGE_2!AE$1519/100</f>
        <v>173.245</v>
      </c>
      <c r="AF1519" s="142">
        <f>B1519*IBGE_2!AF$1519/100</f>
        <v>1E-3</v>
      </c>
      <c r="AG1519" s="142">
        <f>B1519*IBGE_2!AG$1519/100</f>
        <v>5.7720000000000002</v>
      </c>
      <c r="AH1519" s="142">
        <f>B1519*IBGE_2!AH$1519/100</f>
        <v>0.755</v>
      </c>
      <c r="AI1519" s="142" t="s">
        <v>3047</v>
      </c>
      <c r="AJ1519" s="142">
        <f>B1519*IBGE_2!AJ$1519/100</f>
        <v>30.215999999999998</v>
      </c>
      <c r="AK1519" s="142">
        <f>B1519*IBGE_2!AK$1519/100</f>
        <v>0.60499999999999998</v>
      </c>
      <c r="AL1519" s="142">
        <f>B1519*IBGE_2!AL$1519/100</f>
        <v>0.32200000000000001</v>
      </c>
      <c r="AM1519" s="142" t="s">
        <v>3047</v>
      </c>
      <c r="AN1519" s="161"/>
    </row>
    <row r="1520" spans="1:40">
      <c r="A1520" s="143" t="s">
        <v>2580</v>
      </c>
      <c r="B1520" s="141">
        <v>100</v>
      </c>
      <c r="C1520" s="142">
        <f>B1520*IBGE_2!C$1520/100</f>
        <v>412.43200000000002</v>
      </c>
      <c r="D1520" s="142">
        <f>B1520*IBGE_2!D$1520/100</f>
        <v>11.487</v>
      </c>
      <c r="E1520" s="142">
        <f>B1520*IBGE_2!E$1520/100</f>
        <v>16.068000000000001</v>
      </c>
      <c r="F1520" s="142">
        <f>B1520*IBGE_2!F$1520/100</f>
        <v>2.5390000000000001</v>
      </c>
      <c r="G1520" s="142">
        <f>B1520*IBGE_2!G$1520/100</f>
        <v>3.4980000000000002</v>
      </c>
      <c r="H1520" s="142">
        <f>B1520*IBGE_2!H$1520/100</f>
        <v>9.0250000000000004</v>
      </c>
      <c r="I1520" s="142">
        <f>B1520*IBGE_2!I$1520/100</f>
        <v>8.0069999999999997</v>
      </c>
      <c r="J1520" s="142">
        <f>B1520*IBGE_2!J$1520/100</f>
        <v>1.016</v>
      </c>
      <c r="K1520" s="142" t="s">
        <v>3047</v>
      </c>
      <c r="L1520" s="142">
        <f>B1520*IBGE_2!L$1520/100</f>
        <v>60.85</v>
      </c>
      <c r="M1520" s="142">
        <f>B1520*IBGE_2!M$1520/100</f>
        <v>10.23</v>
      </c>
      <c r="N1520" s="142">
        <f>B1520*IBGE_2!N$1520/100</f>
        <v>28.905000000000001</v>
      </c>
      <c r="O1520" s="142">
        <f>B1520*IBGE_2!O$1520/100</f>
        <v>115.729</v>
      </c>
      <c r="P1520" s="142">
        <f>B1520*IBGE_2!P$1520/100</f>
        <v>3.1869999999999998</v>
      </c>
      <c r="Q1520" s="142">
        <f>B1520*IBGE_2!Q$1520/100</f>
        <v>290.12099999999998</v>
      </c>
      <c r="R1520" s="142">
        <f>B1520*IBGE_2!R$1520/100</f>
        <v>3.266</v>
      </c>
      <c r="S1520" s="142">
        <f>B1520*IBGE_2!S$1520/100</f>
        <v>643.70000000000005</v>
      </c>
      <c r="T1520" s="142">
        <f>B1520*IBGE_2!T$1520/100</f>
        <v>339.72500000000002</v>
      </c>
      <c r="U1520" s="142">
        <f>B1520*IBGE_2!U$1520/100</f>
        <v>0.32100000000000001</v>
      </c>
      <c r="V1520" s="142">
        <f>B1520*IBGE_2!V$1520/100</f>
        <v>2.46</v>
      </c>
      <c r="W1520" s="142" t="s">
        <v>3047</v>
      </c>
      <c r="X1520" s="142">
        <f>B1520*IBGE_2!X$1520/100</f>
        <v>0.375</v>
      </c>
      <c r="Y1520" s="142">
        <f>B1520*IBGE_2!Y$1520/100</f>
        <v>0.18</v>
      </c>
      <c r="Z1520" s="142">
        <f>B1520*IBGE_2!Z$1520/100</f>
        <v>0.28599999999999998</v>
      </c>
      <c r="AA1520" s="142">
        <f>B1520*IBGE_2!AA$1520/100</f>
        <v>5.3369999999999997</v>
      </c>
      <c r="AB1520" s="142" t="s">
        <v>3047</v>
      </c>
      <c r="AC1520" s="142">
        <f>B1520*IBGE_2!AC$1520/100</f>
        <v>8.3000000000000007</v>
      </c>
      <c r="AD1520" s="145" t="s">
        <v>3047</v>
      </c>
      <c r="AE1520" s="142">
        <f>B1520*IBGE_2!AE$1520/100</f>
        <v>36.893999999999998</v>
      </c>
      <c r="AF1520" s="145" t="s">
        <v>3047</v>
      </c>
      <c r="AG1520" s="142">
        <f>B1520*IBGE_2!AG$1520/100</f>
        <v>1.8740000000000001</v>
      </c>
      <c r="AH1520" s="142">
        <f>B1520*IBGE_2!AH$1520/100</f>
        <v>7.6999999999999999E-2</v>
      </c>
      <c r="AI1520" s="142" t="s">
        <v>3047</v>
      </c>
      <c r="AJ1520" s="142">
        <f>B1520*IBGE_2!AJ$1520/100</f>
        <v>65.929000000000002</v>
      </c>
      <c r="AK1520" s="142">
        <f>B1520*IBGE_2!AK$1520/100</f>
        <v>0.34899999999999998</v>
      </c>
      <c r="AL1520" s="142">
        <f>B1520*IBGE_2!AL$1520/100</f>
        <v>0.503</v>
      </c>
      <c r="AM1520" s="142" t="s">
        <v>3047</v>
      </c>
      <c r="AN1520" s="161"/>
    </row>
    <row r="1521" spans="1:40">
      <c r="A1521" s="143" t="s">
        <v>2581</v>
      </c>
      <c r="B1521" s="141">
        <v>100</v>
      </c>
      <c r="C1521" s="142">
        <f>B1521*IBGE_2!C$1521/100</f>
        <v>443</v>
      </c>
      <c r="D1521" s="142">
        <f>B1521*IBGE_2!D$1521/100</f>
        <v>8.1</v>
      </c>
      <c r="E1521" s="142">
        <f>B1521*IBGE_2!E$1521/100</f>
        <v>12</v>
      </c>
      <c r="F1521" s="142">
        <f>B1521*IBGE_2!F$1521/100</f>
        <v>3.9</v>
      </c>
      <c r="G1521" s="142">
        <f>B1521*IBGE_2!G$1521/100</f>
        <v>3.7</v>
      </c>
      <c r="H1521" s="142">
        <f>B1521*IBGE_2!H$1521/100</f>
        <v>2.2000000000000002</v>
      </c>
      <c r="I1521" s="142">
        <f>B1521*IBGE_2!I$1521/100</f>
        <v>2.13</v>
      </c>
      <c r="J1521" s="142">
        <f>B1521*IBGE_2!J$1521/100</f>
        <v>0.1</v>
      </c>
      <c r="K1521" s="142" t="s">
        <v>3047</v>
      </c>
      <c r="L1521" s="142">
        <f>B1521*IBGE_2!L$1521/100</f>
        <v>75.2</v>
      </c>
      <c r="M1521" s="142">
        <f>B1521*IBGE_2!M$1521/100</f>
        <v>2.1</v>
      </c>
      <c r="N1521" s="142">
        <f>B1521*IBGE_2!N$1521/100</f>
        <v>54</v>
      </c>
      <c r="O1521" s="142">
        <f>B1521*IBGE_2!O$1521/100</f>
        <v>37</v>
      </c>
      <c r="P1521" s="142" t="s">
        <v>3047</v>
      </c>
      <c r="Q1521" s="142">
        <f>B1521*IBGE_2!Q$1521/100</f>
        <v>166</v>
      </c>
      <c r="R1521" s="142">
        <f>B1521*IBGE_2!R$1521/100</f>
        <v>1.8</v>
      </c>
      <c r="S1521" s="142">
        <f>B1521*IBGE_2!S$1521/100</f>
        <v>352</v>
      </c>
      <c r="T1521" s="142">
        <f>B1521*IBGE_2!T$1521/100</f>
        <v>142</v>
      </c>
      <c r="U1521" s="142">
        <f>B1521*IBGE_2!U$1521/100</f>
        <v>0.17</v>
      </c>
      <c r="V1521" s="142">
        <f>B1521*IBGE_2!V$1521/100</f>
        <v>1</v>
      </c>
      <c r="W1521" s="142" t="s">
        <v>3047</v>
      </c>
      <c r="X1521" s="142">
        <f>B1521*IBGE_2!X$1521/100</f>
        <v>1.01</v>
      </c>
      <c r="Y1521" s="142">
        <f>B1521*IBGE_2!Y$1521/100</f>
        <v>0.42</v>
      </c>
      <c r="Z1521" s="142" t="s">
        <v>3047</v>
      </c>
      <c r="AA1521" s="142">
        <f>B1521*IBGE_2!AA$1521/100</f>
        <v>3.91</v>
      </c>
      <c r="AB1521" s="142" t="s">
        <v>3047</v>
      </c>
      <c r="AC1521" s="145" t="s">
        <v>3047</v>
      </c>
      <c r="AD1521" s="145" t="s">
        <v>3047</v>
      </c>
      <c r="AE1521" s="145" t="s">
        <v>3047</v>
      </c>
      <c r="AF1521" s="145" t="s">
        <v>3047</v>
      </c>
      <c r="AG1521" s="145" t="s">
        <v>3047</v>
      </c>
      <c r="AH1521" s="142">
        <f>B1521*IBGE_2!AH$1521/100</f>
        <v>1.58</v>
      </c>
      <c r="AI1521" s="142" t="s">
        <v>3047</v>
      </c>
      <c r="AJ1521" s="142" t="s">
        <v>3047</v>
      </c>
      <c r="AK1521" s="142" t="s">
        <v>3047</v>
      </c>
      <c r="AL1521" s="142">
        <f>B1521*IBGE_2!AL$1521/100</f>
        <v>36.520000000000003</v>
      </c>
      <c r="AM1521" s="142">
        <f>B1521*IBGE_2!AM$1521/100</f>
        <v>36.53</v>
      </c>
      <c r="AN1521" s="161"/>
    </row>
    <row r="1522" spans="1:40">
      <c r="A1522" s="143" t="s">
        <v>2582</v>
      </c>
      <c r="B1522" s="141">
        <v>100</v>
      </c>
      <c r="C1522" s="142">
        <f>B1522*IBGE_2!C$1522/100</f>
        <v>443</v>
      </c>
      <c r="D1522" s="142">
        <f>B1522*IBGE_2!D$1522/100</f>
        <v>8.1</v>
      </c>
      <c r="E1522" s="142">
        <f>B1522*IBGE_2!E$1522/100</f>
        <v>12</v>
      </c>
      <c r="F1522" s="142">
        <f>B1522*IBGE_2!F$1522/100</f>
        <v>3.9</v>
      </c>
      <c r="G1522" s="142">
        <f>B1522*IBGE_2!G$1522/100</f>
        <v>3.7</v>
      </c>
      <c r="H1522" s="142">
        <f>B1522*IBGE_2!H$1522/100</f>
        <v>2.2000000000000002</v>
      </c>
      <c r="I1522" s="142">
        <f>B1522*IBGE_2!I$1522/100</f>
        <v>2.13</v>
      </c>
      <c r="J1522" s="142">
        <f>B1522*IBGE_2!J$1522/100</f>
        <v>0.1</v>
      </c>
      <c r="K1522" s="142" t="s">
        <v>3047</v>
      </c>
      <c r="L1522" s="142">
        <f>B1522*IBGE_2!L$1522/100</f>
        <v>75.2</v>
      </c>
      <c r="M1522" s="142">
        <f>B1522*IBGE_2!M$1522/100</f>
        <v>2.1</v>
      </c>
      <c r="N1522" s="142">
        <f>B1522*IBGE_2!N$1522/100</f>
        <v>54</v>
      </c>
      <c r="O1522" s="142">
        <f>B1522*IBGE_2!O$1522/100</f>
        <v>37</v>
      </c>
      <c r="P1522" s="142" t="s">
        <v>3047</v>
      </c>
      <c r="Q1522" s="142">
        <f>B1522*IBGE_2!Q$1522/100</f>
        <v>166</v>
      </c>
      <c r="R1522" s="142">
        <f>B1522*IBGE_2!R$1522/100</f>
        <v>1.8</v>
      </c>
      <c r="S1522" s="142">
        <f>B1522*IBGE_2!S$1522/100</f>
        <v>352</v>
      </c>
      <c r="T1522" s="142">
        <f>B1522*IBGE_2!T$1522/100</f>
        <v>142</v>
      </c>
      <c r="U1522" s="142">
        <f>B1522*IBGE_2!U$1522/100</f>
        <v>0.17</v>
      </c>
      <c r="V1522" s="142">
        <f>B1522*IBGE_2!V$1522/100</f>
        <v>1</v>
      </c>
      <c r="W1522" s="142" t="s">
        <v>3047</v>
      </c>
      <c r="X1522" s="142">
        <f>B1522*IBGE_2!X$1522/100</f>
        <v>1.01</v>
      </c>
      <c r="Y1522" s="142">
        <f>B1522*IBGE_2!Y$1522/100</f>
        <v>0.42</v>
      </c>
      <c r="Z1522" s="142" t="s">
        <v>3047</v>
      </c>
      <c r="AA1522" s="142">
        <f>B1522*IBGE_2!AA$1522/100</f>
        <v>3.91</v>
      </c>
      <c r="AB1522" s="142" t="s">
        <v>3047</v>
      </c>
      <c r="AC1522" s="145" t="s">
        <v>3047</v>
      </c>
      <c r="AD1522" s="145" t="s">
        <v>3047</v>
      </c>
      <c r="AE1522" s="145" t="s">
        <v>3047</v>
      </c>
      <c r="AF1522" s="145" t="s">
        <v>3047</v>
      </c>
      <c r="AG1522" s="145" t="s">
        <v>3047</v>
      </c>
      <c r="AH1522" s="142">
        <f>B1522*IBGE_2!AH$1522/100</f>
        <v>1.58</v>
      </c>
      <c r="AI1522" s="142" t="s">
        <v>3047</v>
      </c>
      <c r="AJ1522" s="142" t="s">
        <v>3047</v>
      </c>
      <c r="AK1522" s="142" t="s">
        <v>3047</v>
      </c>
      <c r="AL1522" s="142">
        <f>B1522*IBGE_2!AL$1522/100</f>
        <v>36.520000000000003</v>
      </c>
      <c r="AM1522" s="142">
        <f>B1522*IBGE_2!AM$1522/100</f>
        <v>36.53</v>
      </c>
      <c r="AN1522" s="161"/>
    </row>
    <row r="1523" spans="1:40">
      <c r="A1523" s="143" t="s">
        <v>2583</v>
      </c>
      <c r="B1523" s="141">
        <v>100</v>
      </c>
      <c r="C1523" s="142">
        <f>B1523*IBGE_2!C$1523/100</f>
        <v>443</v>
      </c>
      <c r="D1523" s="142">
        <f>B1523*IBGE_2!D$1523/100</f>
        <v>8.1</v>
      </c>
      <c r="E1523" s="142">
        <f>B1523*IBGE_2!E$1523/100</f>
        <v>12</v>
      </c>
      <c r="F1523" s="142">
        <f>B1523*IBGE_2!F$1523/100</f>
        <v>3.9</v>
      </c>
      <c r="G1523" s="142">
        <f>B1523*IBGE_2!G$1523/100</f>
        <v>3.7</v>
      </c>
      <c r="H1523" s="142">
        <f>B1523*IBGE_2!H$1523/100</f>
        <v>2.2000000000000002</v>
      </c>
      <c r="I1523" s="142">
        <f>B1523*IBGE_2!I$1523/100</f>
        <v>2.13</v>
      </c>
      <c r="J1523" s="142">
        <f>B1523*IBGE_2!J$1523/100</f>
        <v>0.1</v>
      </c>
      <c r="K1523" s="142" t="s">
        <v>3047</v>
      </c>
      <c r="L1523" s="142">
        <f>B1523*IBGE_2!L$1523/100</f>
        <v>75.2</v>
      </c>
      <c r="M1523" s="142">
        <f>B1523*IBGE_2!M$1523/100</f>
        <v>2.1</v>
      </c>
      <c r="N1523" s="142">
        <f>B1523*IBGE_2!N$1523/100</f>
        <v>54</v>
      </c>
      <c r="O1523" s="142">
        <f>B1523*IBGE_2!O$1523/100</f>
        <v>37</v>
      </c>
      <c r="P1523" s="142" t="s">
        <v>3047</v>
      </c>
      <c r="Q1523" s="142">
        <f>B1523*IBGE_2!Q$1523/100</f>
        <v>166</v>
      </c>
      <c r="R1523" s="142">
        <f>B1523*IBGE_2!R$1523/100</f>
        <v>1.8</v>
      </c>
      <c r="S1523" s="142">
        <f>B1523*IBGE_2!S$1523/100</f>
        <v>352</v>
      </c>
      <c r="T1523" s="142">
        <f>B1523*IBGE_2!T$1523/100</f>
        <v>142</v>
      </c>
      <c r="U1523" s="142">
        <f>B1523*IBGE_2!U$1523/100</f>
        <v>0.17</v>
      </c>
      <c r="V1523" s="142">
        <f>B1523*IBGE_2!V$1523/100</f>
        <v>1</v>
      </c>
      <c r="W1523" s="142" t="s">
        <v>3047</v>
      </c>
      <c r="X1523" s="142">
        <f>B1523*IBGE_2!X$1523/100</f>
        <v>1.01</v>
      </c>
      <c r="Y1523" s="142">
        <f>B1523*IBGE_2!Y$1523/100</f>
        <v>0.42</v>
      </c>
      <c r="Z1523" s="142" t="s">
        <v>3047</v>
      </c>
      <c r="AA1523" s="142">
        <f>B1523*IBGE_2!AA$1523/100</f>
        <v>3.91</v>
      </c>
      <c r="AB1523" s="142" t="s">
        <v>3047</v>
      </c>
      <c r="AC1523" s="145" t="s">
        <v>3047</v>
      </c>
      <c r="AD1523" s="145" t="s">
        <v>3047</v>
      </c>
      <c r="AE1523" s="145" t="s">
        <v>3047</v>
      </c>
      <c r="AF1523" s="145" t="s">
        <v>3047</v>
      </c>
      <c r="AG1523" s="145" t="s">
        <v>3047</v>
      </c>
      <c r="AH1523" s="142">
        <f>B1523*IBGE_2!AH$1523/100</f>
        <v>1.58</v>
      </c>
      <c r="AI1523" s="142" t="s">
        <v>3047</v>
      </c>
      <c r="AJ1523" s="142" t="s">
        <v>3047</v>
      </c>
      <c r="AK1523" s="142" t="s">
        <v>3047</v>
      </c>
      <c r="AL1523" s="142">
        <f>B1523*IBGE_2!AL$1523/100</f>
        <v>36.520000000000003</v>
      </c>
      <c r="AM1523" s="142">
        <f>B1523*IBGE_2!AM$1523/100</f>
        <v>36.53</v>
      </c>
      <c r="AN1523" s="161"/>
    </row>
    <row r="1524" spans="1:40">
      <c r="A1524" s="143" t="s">
        <v>2584</v>
      </c>
      <c r="B1524" s="141">
        <v>100</v>
      </c>
      <c r="C1524" s="142">
        <f>B1524*IBGE_2!C$1524/100</f>
        <v>443</v>
      </c>
      <c r="D1524" s="142">
        <f>B1524*IBGE_2!D$1524/100</f>
        <v>8.1</v>
      </c>
      <c r="E1524" s="142">
        <f>B1524*IBGE_2!E$1524/100</f>
        <v>12</v>
      </c>
      <c r="F1524" s="142">
        <f>B1524*IBGE_2!F$1524/100</f>
        <v>3.9</v>
      </c>
      <c r="G1524" s="142">
        <f>B1524*IBGE_2!G$1524/100</f>
        <v>3.7</v>
      </c>
      <c r="H1524" s="142">
        <f>B1524*IBGE_2!H$1524/100</f>
        <v>2.2000000000000002</v>
      </c>
      <c r="I1524" s="142">
        <f>B1524*IBGE_2!I$1524/100</f>
        <v>2.13</v>
      </c>
      <c r="J1524" s="142">
        <f>B1524*IBGE_2!J$1524/100</f>
        <v>0.1</v>
      </c>
      <c r="K1524" s="142" t="s">
        <v>3047</v>
      </c>
      <c r="L1524" s="142">
        <f>B1524*IBGE_2!L$1524/100</f>
        <v>75.2</v>
      </c>
      <c r="M1524" s="142">
        <f>B1524*IBGE_2!M$1524/100</f>
        <v>2.1</v>
      </c>
      <c r="N1524" s="142">
        <f>B1524*IBGE_2!N$1524/100</f>
        <v>54</v>
      </c>
      <c r="O1524" s="142">
        <f>B1524*IBGE_2!O$1524/100</f>
        <v>37</v>
      </c>
      <c r="P1524" s="142" t="s">
        <v>3047</v>
      </c>
      <c r="Q1524" s="142">
        <f>B1524*IBGE_2!Q$1524/100</f>
        <v>166</v>
      </c>
      <c r="R1524" s="142">
        <f>B1524*IBGE_2!R$1524/100</f>
        <v>1.8</v>
      </c>
      <c r="S1524" s="142">
        <f>B1524*IBGE_2!S$1524/100</f>
        <v>352</v>
      </c>
      <c r="T1524" s="142">
        <f>B1524*IBGE_2!T$1524/100</f>
        <v>142</v>
      </c>
      <c r="U1524" s="142">
        <f>B1524*IBGE_2!U$1524/100</f>
        <v>0.17</v>
      </c>
      <c r="V1524" s="142">
        <f>B1524*IBGE_2!V$1524/100</f>
        <v>1</v>
      </c>
      <c r="W1524" s="142" t="s">
        <v>3047</v>
      </c>
      <c r="X1524" s="142">
        <f>B1524*IBGE_2!X$1524/100</f>
        <v>1.01</v>
      </c>
      <c r="Y1524" s="142">
        <f>B1524*IBGE_2!Y$1524/100</f>
        <v>0.42</v>
      </c>
      <c r="Z1524" s="142" t="s">
        <v>3047</v>
      </c>
      <c r="AA1524" s="142">
        <f>B1524*IBGE_2!AA$1524/100</f>
        <v>3.91</v>
      </c>
      <c r="AB1524" s="142" t="s">
        <v>3047</v>
      </c>
      <c r="AC1524" s="145" t="s">
        <v>3047</v>
      </c>
      <c r="AD1524" s="145" t="s">
        <v>3047</v>
      </c>
      <c r="AE1524" s="145" t="s">
        <v>3047</v>
      </c>
      <c r="AF1524" s="145" t="s">
        <v>3047</v>
      </c>
      <c r="AG1524" s="145" t="s">
        <v>3047</v>
      </c>
      <c r="AH1524" s="142">
        <f>B1524*IBGE_2!AH$1524/100</f>
        <v>1.58</v>
      </c>
      <c r="AI1524" s="142" t="s">
        <v>3047</v>
      </c>
      <c r="AJ1524" s="142" t="s">
        <v>3047</v>
      </c>
      <c r="AK1524" s="142" t="s">
        <v>3047</v>
      </c>
      <c r="AL1524" s="142">
        <f>B1524*IBGE_2!AL$1524/100</f>
        <v>36.520000000000003</v>
      </c>
      <c r="AM1524" s="142">
        <f>B1524*IBGE_2!AM$1524/100</f>
        <v>36.53</v>
      </c>
      <c r="AN1524" s="161"/>
    </row>
    <row r="1525" spans="1:40">
      <c r="A1525" s="143" t="s">
        <v>2585</v>
      </c>
      <c r="B1525" s="141">
        <v>100</v>
      </c>
      <c r="C1525" s="142">
        <f>B1525*IBGE_2!C$1525/100</f>
        <v>432</v>
      </c>
      <c r="D1525" s="142">
        <f>B1525*IBGE_2!D$1525/100</f>
        <v>10.1</v>
      </c>
      <c r="E1525" s="142">
        <f>B1525*IBGE_2!E$1525/100</f>
        <v>14.4</v>
      </c>
      <c r="F1525" s="142">
        <f>B1525*IBGE_2!F$1525/100</f>
        <v>4.4000000000000004</v>
      </c>
      <c r="G1525" s="142">
        <f>B1525*IBGE_2!G$1525/100</f>
        <v>4.5999999999999996</v>
      </c>
      <c r="H1525" s="142">
        <f>B1525*IBGE_2!H$1525/100</f>
        <v>2.9</v>
      </c>
      <c r="I1525" s="142">
        <f>B1525*IBGE_2!I$1525/100</f>
        <v>2.79</v>
      </c>
      <c r="J1525" s="142">
        <f>B1525*IBGE_2!J$1525/100</f>
        <v>0.01</v>
      </c>
      <c r="K1525" s="142" t="s">
        <v>3047</v>
      </c>
      <c r="L1525" s="142">
        <f>B1525*IBGE_2!L$1525/100</f>
        <v>68.7</v>
      </c>
      <c r="M1525" s="142">
        <f>B1525*IBGE_2!M$1525/100</f>
        <v>2.5</v>
      </c>
      <c r="N1525" s="142">
        <f>B1525*IBGE_2!N$1525/100</f>
        <v>20</v>
      </c>
      <c r="O1525" s="142">
        <f>B1525*IBGE_2!O$1525/100</f>
        <v>40</v>
      </c>
      <c r="P1525" s="142" t="s">
        <v>3047</v>
      </c>
      <c r="Q1525" s="142">
        <f>B1525*IBGE_2!Q$1525/100</f>
        <v>148</v>
      </c>
      <c r="R1525" s="142">
        <f>B1525*IBGE_2!R$1525/100</f>
        <v>2.2000000000000002</v>
      </c>
      <c r="S1525" s="142">
        <f>B1525*IBGE_2!S$1525/100</f>
        <v>854</v>
      </c>
      <c r="T1525" s="142">
        <f>B1525*IBGE_2!T$1525/100</f>
        <v>181</v>
      </c>
      <c r="U1525" s="142">
        <f>B1525*IBGE_2!U$1525/100</f>
        <v>0.18</v>
      </c>
      <c r="V1525" s="142">
        <f>B1525*IBGE_2!V$1525/100</f>
        <v>1.1000000000000001</v>
      </c>
      <c r="W1525" s="142" t="s">
        <v>3047</v>
      </c>
      <c r="X1525" s="142">
        <f>B1525*IBGE_2!X$1525/100</f>
        <v>0.71</v>
      </c>
      <c r="Y1525" s="142">
        <f>B1525*IBGE_2!Y$1525/100</f>
        <v>0.13</v>
      </c>
      <c r="Z1525" s="142">
        <f>B1525*IBGE_2!Z$1525/100</f>
        <v>0.17</v>
      </c>
      <c r="AA1525" s="142">
        <f>B1525*IBGE_2!AA$1525/100</f>
        <v>7.14</v>
      </c>
      <c r="AB1525" s="142" t="s">
        <v>3047</v>
      </c>
      <c r="AC1525" s="145" t="s">
        <v>3047</v>
      </c>
      <c r="AD1525" s="145" t="s">
        <v>3047</v>
      </c>
      <c r="AE1525" s="145" t="s">
        <v>3047</v>
      </c>
      <c r="AF1525" s="145" t="s">
        <v>3047</v>
      </c>
      <c r="AG1525" s="145" t="s">
        <v>3047</v>
      </c>
      <c r="AH1525" s="142">
        <f>B1525*IBGE_2!AH$1525/100</f>
        <v>1.8</v>
      </c>
      <c r="AI1525" s="142" t="s">
        <v>3047</v>
      </c>
      <c r="AJ1525" s="142" t="s">
        <v>3047</v>
      </c>
      <c r="AK1525" s="142" t="s">
        <v>3047</v>
      </c>
      <c r="AL1525" s="142">
        <f>B1525*IBGE_2!AL$1525/100</f>
        <v>10.64</v>
      </c>
      <c r="AM1525" s="142">
        <f>B1525*IBGE_2!AM$1525/100</f>
        <v>10.58</v>
      </c>
      <c r="AN1525" s="161"/>
    </row>
    <row r="1526" spans="1:40">
      <c r="A1526" s="143" t="s">
        <v>2586</v>
      </c>
      <c r="B1526" s="141">
        <v>100</v>
      </c>
      <c r="C1526" s="142">
        <f>B1526*IBGE_2!C$1526/100</f>
        <v>371.2187724479208</v>
      </c>
      <c r="D1526" s="142">
        <f>B1526*IBGE_2!D$1526/100</f>
        <v>3.1846117008540187</v>
      </c>
      <c r="E1526" s="142">
        <f>B1526*IBGE_2!E$1526/100</f>
        <v>14.614095298906534</v>
      </c>
      <c r="F1526" s="142">
        <f>B1526*IBGE_2!F$1526/100</f>
        <v>2.7376486551201213</v>
      </c>
      <c r="G1526" s="142">
        <f>B1526*IBGE_2!G$1526/100</f>
        <v>6.6086678904940523</v>
      </c>
      <c r="H1526" s="142">
        <f>B1526*IBGE_2!H$1526/100</f>
        <v>4.2860563492696944</v>
      </c>
      <c r="I1526" s="142">
        <f>B1526*IBGE_2!I$1526/100</f>
        <v>3.9428525820097375</v>
      </c>
      <c r="J1526" s="142">
        <f>B1526*IBGE_2!J$1526/100</f>
        <v>0.2953148695027536</v>
      </c>
      <c r="K1526" s="142">
        <f>B1526*IBGE_2!K$1526/100</f>
        <v>100.28733338654321</v>
      </c>
      <c r="L1526" s="142">
        <f>B1526*IBGE_2!L$1526/100</f>
        <v>57.714103280389487</v>
      </c>
      <c r="M1526" s="142">
        <f>B1526*IBGE_2!M$1526/100</f>
        <v>1.0615372336180062</v>
      </c>
      <c r="N1526" s="142">
        <f>B1526*IBGE_2!N$1526/100</f>
        <v>29.068560938622394</v>
      </c>
      <c r="O1526" s="142">
        <f>B1526*IBGE_2!O$1526/100</f>
        <v>3.7353340250618565</v>
      </c>
      <c r="P1526" s="142">
        <f>B1526*IBGE_2!P$1526/100</f>
        <v>0.15164817623114374</v>
      </c>
      <c r="Q1526" s="142">
        <f>B1526*IBGE_2!Q$1526/100</f>
        <v>45.398675073828706</v>
      </c>
      <c r="R1526" s="142">
        <f>B1526*IBGE_2!R$1526/100</f>
        <v>0.38311118205762623</v>
      </c>
      <c r="S1526" s="142">
        <f>B1526*IBGE_2!S$1526/100</f>
        <v>162.39923377763589</v>
      </c>
      <c r="T1526" s="142">
        <f>B1526*IBGE_2!T$1526/100</f>
        <v>39.931359246548006</v>
      </c>
      <c r="U1526" s="142">
        <f>B1526*IBGE_2!U$1526/100</f>
        <v>2.3944448878601639E-2</v>
      </c>
      <c r="V1526" s="142">
        <f>B1526*IBGE_2!V$1526/100</f>
        <v>0.2953148695027536</v>
      </c>
      <c r="W1526" s="142">
        <f>B1526*IBGE_2!W$1526/100</f>
        <v>162.63069678346235</v>
      </c>
      <c r="X1526" s="142">
        <f>B1526*IBGE_2!X$1526/100</f>
        <v>1.5962965919067762E-2</v>
      </c>
      <c r="Y1526" s="142">
        <f>B1526*IBGE_2!Y$1526/100</f>
        <v>0.1277037273525421</v>
      </c>
      <c r="Z1526" s="142">
        <f>B1526*IBGE_2!Z$1526/100</f>
        <v>3.1925931838135524E-2</v>
      </c>
      <c r="AA1526" s="142">
        <f>B1526*IBGE_2!AA$1526/100</f>
        <v>1.5962965919067762E-2</v>
      </c>
      <c r="AB1526" s="142">
        <f>B1526*IBGE_2!AB$1526/100</f>
        <v>3.1925931838135524E-2</v>
      </c>
      <c r="AC1526" s="142">
        <f>B1526*IBGE_2!AC$1526/100</f>
        <v>0.67044456860084589</v>
      </c>
      <c r="AD1526" s="142">
        <f>B1526*IBGE_2!AD$1526/100</f>
        <v>0.27935190358368583</v>
      </c>
      <c r="AE1526" s="142">
        <f>B1526*IBGE_2!AE$1526/100</f>
        <v>12.674594939739801</v>
      </c>
      <c r="AF1526" s="142">
        <f>B1526*IBGE_2!AF$1526/100</f>
        <v>0.30329635246228748</v>
      </c>
      <c r="AG1526" s="142">
        <f>B1526*IBGE_2!AG$1526/100</f>
        <v>0.71035198339851546</v>
      </c>
      <c r="AH1526" s="142">
        <f>B1526*IBGE_2!AH$1526/100</f>
        <v>1.9075744273285975</v>
      </c>
      <c r="AI1526" s="142" t="s">
        <v>3047</v>
      </c>
      <c r="AJ1526" s="142">
        <f>B1526*IBGE_2!AJ$1526/100</f>
        <v>7.4068161864474407</v>
      </c>
      <c r="AK1526" s="142">
        <f>B1526*IBGE_2!AK$1526/100</f>
        <v>170.34879080533162</v>
      </c>
      <c r="AL1526" s="142">
        <f>B1526*IBGE_2!AL$1526/100</f>
        <v>30.114135206321329</v>
      </c>
      <c r="AM1526" s="142">
        <f>B1526*IBGE_2!AM$1526/100</f>
        <v>29.715061058344634</v>
      </c>
      <c r="AN1526" s="161"/>
    </row>
    <row r="1527" spans="1:40">
      <c r="A1527" s="143" t="s">
        <v>2587</v>
      </c>
      <c r="B1527" s="141">
        <v>100</v>
      </c>
      <c r="C1527" s="142">
        <f>B1527*IBGE_2!C$1527/100</f>
        <v>443</v>
      </c>
      <c r="D1527" s="142">
        <f>B1527*IBGE_2!D$1527/100</f>
        <v>8.1</v>
      </c>
      <c r="E1527" s="142">
        <f>B1527*IBGE_2!E$1527/100</f>
        <v>12</v>
      </c>
      <c r="F1527" s="142">
        <f>B1527*IBGE_2!F$1527/100</f>
        <v>3.9</v>
      </c>
      <c r="G1527" s="142">
        <f>B1527*IBGE_2!G$1527/100</f>
        <v>3.7</v>
      </c>
      <c r="H1527" s="142">
        <f>B1527*IBGE_2!H$1527/100</f>
        <v>2.2000000000000002</v>
      </c>
      <c r="I1527" s="142">
        <f>B1527*IBGE_2!I$1527/100</f>
        <v>2.13</v>
      </c>
      <c r="J1527" s="142">
        <f>B1527*IBGE_2!J$1527/100</f>
        <v>0.1</v>
      </c>
      <c r="K1527" s="142" t="s">
        <v>3047</v>
      </c>
      <c r="L1527" s="142">
        <f>B1527*IBGE_2!L$1527/100</f>
        <v>75.2</v>
      </c>
      <c r="M1527" s="142">
        <f>B1527*IBGE_2!M$1527/100</f>
        <v>2.1</v>
      </c>
      <c r="N1527" s="142">
        <f>B1527*IBGE_2!N$1527/100</f>
        <v>54</v>
      </c>
      <c r="O1527" s="142">
        <f>B1527*IBGE_2!O$1527/100</f>
        <v>37</v>
      </c>
      <c r="P1527" s="142" t="s">
        <v>3047</v>
      </c>
      <c r="Q1527" s="142">
        <f>B1527*IBGE_2!Q$1527/100</f>
        <v>166</v>
      </c>
      <c r="R1527" s="142">
        <f>B1527*IBGE_2!R$1527/100</f>
        <v>1.8</v>
      </c>
      <c r="S1527" s="142">
        <f>B1527*IBGE_2!S$1527/100</f>
        <v>352</v>
      </c>
      <c r="T1527" s="142">
        <f>B1527*IBGE_2!T$1527/100</f>
        <v>142</v>
      </c>
      <c r="U1527" s="142">
        <f>B1527*IBGE_2!U$1527/100</f>
        <v>0.17</v>
      </c>
      <c r="V1527" s="142">
        <f>B1527*IBGE_2!V$1527/100</f>
        <v>1</v>
      </c>
      <c r="W1527" s="142" t="s">
        <v>3047</v>
      </c>
      <c r="X1527" s="142">
        <f>B1527*IBGE_2!X$1527/100</f>
        <v>1.01</v>
      </c>
      <c r="Y1527" s="142">
        <f>B1527*IBGE_2!Y$1527/100</f>
        <v>0.42</v>
      </c>
      <c r="Z1527" s="142" t="s">
        <v>3047</v>
      </c>
      <c r="AA1527" s="142">
        <f>B1527*IBGE_2!AA$1527/100</f>
        <v>3.91</v>
      </c>
      <c r="AB1527" s="142" t="s">
        <v>3047</v>
      </c>
      <c r="AC1527" s="145" t="s">
        <v>3047</v>
      </c>
      <c r="AD1527" s="145" t="s">
        <v>3047</v>
      </c>
      <c r="AE1527" s="145" t="s">
        <v>3047</v>
      </c>
      <c r="AF1527" s="145" t="s">
        <v>3047</v>
      </c>
      <c r="AG1527" s="145" t="s">
        <v>3047</v>
      </c>
      <c r="AH1527" s="142">
        <f>B1527*IBGE_2!AH$1527/100</f>
        <v>1.58</v>
      </c>
      <c r="AI1527" s="142" t="s">
        <v>3047</v>
      </c>
      <c r="AJ1527" s="142" t="s">
        <v>3047</v>
      </c>
      <c r="AK1527" s="142" t="s">
        <v>3047</v>
      </c>
      <c r="AL1527" s="142">
        <f>B1527*IBGE_2!AL$1527/100</f>
        <v>36.520000000000003</v>
      </c>
      <c r="AM1527" s="142">
        <f>B1527*IBGE_2!AM$1527/100</f>
        <v>36.53</v>
      </c>
      <c r="AN1527" s="161"/>
    </row>
    <row r="1528" spans="1:40">
      <c r="A1528" s="143" t="s">
        <v>2588</v>
      </c>
      <c r="B1528" s="141">
        <v>100</v>
      </c>
      <c r="C1528" s="142">
        <f>B1528*IBGE_2!C$1528/100</f>
        <v>443</v>
      </c>
      <c r="D1528" s="142">
        <f>B1528*IBGE_2!D$1528/100</f>
        <v>8.1</v>
      </c>
      <c r="E1528" s="142">
        <f>B1528*IBGE_2!E$1528/100</f>
        <v>12</v>
      </c>
      <c r="F1528" s="142">
        <f>B1528*IBGE_2!F$1528/100</f>
        <v>3.9</v>
      </c>
      <c r="G1528" s="142">
        <f>B1528*IBGE_2!G$1528/100</f>
        <v>3.7</v>
      </c>
      <c r="H1528" s="142">
        <f>B1528*IBGE_2!H$1528/100</f>
        <v>2.2000000000000002</v>
      </c>
      <c r="I1528" s="142">
        <f>B1528*IBGE_2!I$1528/100</f>
        <v>2.13</v>
      </c>
      <c r="J1528" s="142">
        <f>B1528*IBGE_2!J$1528/100</f>
        <v>0.1</v>
      </c>
      <c r="K1528" s="142" t="s">
        <v>3047</v>
      </c>
      <c r="L1528" s="142">
        <f>B1528*IBGE_2!L$1528/100</f>
        <v>75.2</v>
      </c>
      <c r="M1528" s="142">
        <f>B1528*IBGE_2!M$1528/100</f>
        <v>2.1</v>
      </c>
      <c r="N1528" s="142">
        <f>B1528*IBGE_2!N$1528/100</f>
        <v>54</v>
      </c>
      <c r="O1528" s="142">
        <f>B1528*IBGE_2!O$1528/100</f>
        <v>37</v>
      </c>
      <c r="P1528" s="142" t="s">
        <v>3047</v>
      </c>
      <c r="Q1528" s="142">
        <f>B1528*IBGE_2!Q$1528/100</f>
        <v>166</v>
      </c>
      <c r="R1528" s="142">
        <f>B1528*IBGE_2!R$1528/100</f>
        <v>1.8</v>
      </c>
      <c r="S1528" s="142">
        <f>B1528*IBGE_2!S$1528/100</f>
        <v>352</v>
      </c>
      <c r="T1528" s="142">
        <f>B1528*IBGE_2!T$1528/100</f>
        <v>142</v>
      </c>
      <c r="U1528" s="142">
        <f>B1528*IBGE_2!U$1528/100</f>
        <v>0.17</v>
      </c>
      <c r="V1528" s="142">
        <f>B1528*IBGE_2!V$1528/100</f>
        <v>1</v>
      </c>
      <c r="W1528" s="142" t="s">
        <v>3047</v>
      </c>
      <c r="X1528" s="142">
        <f>B1528*IBGE_2!X$1528/100</f>
        <v>1.01</v>
      </c>
      <c r="Y1528" s="142">
        <f>B1528*IBGE_2!Y$1528/100</f>
        <v>0.42</v>
      </c>
      <c r="Z1528" s="142" t="s">
        <v>3047</v>
      </c>
      <c r="AA1528" s="142">
        <f>B1528*IBGE_2!AA$1528/100</f>
        <v>3.91</v>
      </c>
      <c r="AB1528" s="142" t="s">
        <v>3047</v>
      </c>
      <c r="AC1528" s="145" t="s">
        <v>3047</v>
      </c>
      <c r="AD1528" s="145" t="s">
        <v>3047</v>
      </c>
      <c r="AE1528" s="145" t="s">
        <v>3047</v>
      </c>
      <c r="AF1528" s="145" t="s">
        <v>3047</v>
      </c>
      <c r="AG1528" s="145" t="s">
        <v>3047</v>
      </c>
      <c r="AH1528" s="142">
        <f>B1528*IBGE_2!AH$1528/100</f>
        <v>1.58</v>
      </c>
      <c r="AI1528" s="142" t="s">
        <v>3047</v>
      </c>
      <c r="AJ1528" s="142" t="s">
        <v>3047</v>
      </c>
      <c r="AK1528" s="142" t="s">
        <v>3047</v>
      </c>
      <c r="AL1528" s="142">
        <f>B1528*IBGE_2!AL$1528/100</f>
        <v>36.520000000000003</v>
      </c>
      <c r="AM1528" s="142">
        <f>B1528*IBGE_2!AM$1528/100</f>
        <v>36.53</v>
      </c>
      <c r="AN1528" s="161"/>
    </row>
    <row r="1529" spans="1:40">
      <c r="A1529" s="143" t="s">
        <v>2589</v>
      </c>
      <c r="B1529" s="141">
        <v>100</v>
      </c>
      <c r="C1529" s="142">
        <f>B1529*IBGE_2!C$1529/100</f>
        <v>443</v>
      </c>
      <c r="D1529" s="142">
        <f>B1529*IBGE_2!D$1529/100</f>
        <v>8.1</v>
      </c>
      <c r="E1529" s="142">
        <f>B1529*IBGE_2!E$1529/100</f>
        <v>12</v>
      </c>
      <c r="F1529" s="142">
        <f>B1529*IBGE_2!F$1529/100</f>
        <v>3.9</v>
      </c>
      <c r="G1529" s="142">
        <f>B1529*IBGE_2!G$1529/100</f>
        <v>3.7</v>
      </c>
      <c r="H1529" s="142">
        <f>B1529*IBGE_2!H$1529/100</f>
        <v>2.2000000000000002</v>
      </c>
      <c r="I1529" s="142">
        <f>B1529*IBGE_2!I$1529/100</f>
        <v>2.13</v>
      </c>
      <c r="J1529" s="142">
        <f>B1529*IBGE_2!J$1529/100</f>
        <v>0.1</v>
      </c>
      <c r="K1529" s="142" t="s">
        <v>3047</v>
      </c>
      <c r="L1529" s="142">
        <f>B1529*IBGE_2!L$1529/100</f>
        <v>75.2</v>
      </c>
      <c r="M1529" s="142">
        <f>B1529*IBGE_2!M$1529/100</f>
        <v>2.1</v>
      </c>
      <c r="N1529" s="142">
        <f>B1529*IBGE_2!N$1529/100</f>
        <v>54</v>
      </c>
      <c r="O1529" s="142">
        <f>B1529*IBGE_2!O$1529/100</f>
        <v>37</v>
      </c>
      <c r="P1529" s="142" t="s">
        <v>3047</v>
      </c>
      <c r="Q1529" s="142">
        <f>B1529*IBGE_2!Q$1529/100</f>
        <v>166</v>
      </c>
      <c r="R1529" s="142">
        <f>B1529*IBGE_2!R$1529/100</f>
        <v>1.8</v>
      </c>
      <c r="S1529" s="142">
        <f>B1529*IBGE_2!S$1529/100</f>
        <v>352</v>
      </c>
      <c r="T1529" s="142">
        <f>B1529*IBGE_2!T$1529/100</f>
        <v>142</v>
      </c>
      <c r="U1529" s="142">
        <f>B1529*IBGE_2!U$1529/100</f>
        <v>0.17</v>
      </c>
      <c r="V1529" s="142">
        <f>B1529*IBGE_2!V$1529/100</f>
        <v>1</v>
      </c>
      <c r="W1529" s="142" t="s">
        <v>3047</v>
      </c>
      <c r="X1529" s="142">
        <f>B1529*IBGE_2!X$1529/100</f>
        <v>1.01</v>
      </c>
      <c r="Y1529" s="142">
        <f>B1529*IBGE_2!Y$1529/100</f>
        <v>0.42</v>
      </c>
      <c r="Z1529" s="142" t="s">
        <v>3047</v>
      </c>
      <c r="AA1529" s="142">
        <f>B1529*IBGE_2!AA$1529/100</f>
        <v>3.91</v>
      </c>
      <c r="AB1529" s="142" t="s">
        <v>3047</v>
      </c>
      <c r="AC1529" s="145" t="s">
        <v>3047</v>
      </c>
      <c r="AD1529" s="145" t="s">
        <v>3047</v>
      </c>
      <c r="AE1529" s="145" t="s">
        <v>3047</v>
      </c>
      <c r="AF1529" s="145" t="s">
        <v>3047</v>
      </c>
      <c r="AG1529" s="145" t="s">
        <v>3047</v>
      </c>
      <c r="AH1529" s="142">
        <f>B1529*IBGE_2!AH$1529/100</f>
        <v>1.58</v>
      </c>
      <c r="AI1529" s="142" t="s">
        <v>3047</v>
      </c>
      <c r="AJ1529" s="142" t="s">
        <v>3047</v>
      </c>
      <c r="AK1529" s="142" t="s">
        <v>3047</v>
      </c>
      <c r="AL1529" s="142">
        <f>B1529*IBGE_2!AL$1529/100</f>
        <v>36.520000000000003</v>
      </c>
      <c r="AM1529" s="142">
        <f>B1529*IBGE_2!AM$1529/100</f>
        <v>36.53</v>
      </c>
      <c r="AN1529" s="161"/>
    </row>
    <row r="1530" spans="1:40">
      <c r="A1530" s="143" t="s">
        <v>2590</v>
      </c>
      <c r="B1530" s="141">
        <v>100</v>
      </c>
      <c r="C1530" s="142">
        <f>B1530*IBGE_2!C$1530/100</f>
        <v>339.255</v>
      </c>
      <c r="D1530" s="142">
        <f>B1530*IBGE_2!D$1530/100</f>
        <v>6.3210000000000006</v>
      </c>
      <c r="E1530" s="142">
        <f>B1530*IBGE_2!E$1530/100</f>
        <v>26.927</v>
      </c>
      <c r="F1530" s="142">
        <f>B1530*IBGE_2!F$1530/100</f>
        <v>15.901</v>
      </c>
      <c r="G1530" s="142">
        <f>B1530*IBGE_2!G$1530/100</f>
        <v>7.6980000000000004</v>
      </c>
      <c r="H1530" s="142">
        <f>B1530*IBGE_2!H$1530/100</f>
        <v>1.274</v>
      </c>
      <c r="I1530" s="142">
        <f>B1530*IBGE_2!I$1530/100</f>
        <v>1.0629999999999999</v>
      </c>
      <c r="J1530" s="142">
        <f>B1530*IBGE_2!J$1530/100</f>
        <v>0.156</v>
      </c>
      <c r="K1530" s="142">
        <f>B1530*IBGE_2!K$1530/100</f>
        <v>194.01300000000001</v>
      </c>
      <c r="L1530" s="142">
        <f>B1530*IBGE_2!L$1530/100</f>
        <v>18.547999999999998</v>
      </c>
      <c r="M1530" s="142">
        <f>B1530*IBGE_2!M$1530/100</f>
        <v>0.54300000000000004</v>
      </c>
      <c r="N1530" s="142">
        <f>B1530*IBGE_2!N$1530/100</f>
        <v>45.491999999999997</v>
      </c>
      <c r="O1530" s="142">
        <f>B1530*IBGE_2!O$1530/100</f>
        <v>9.8439999999999994</v>
      </c>
      <c r="P1530" s="142">
        <f>B1530*IBGE_2!P$1530/100</f>
        <v>0.13</v>
      </c>
      <c r="Q1530" s="142">
        <f>B1530*IBGE_2!Q$1530/100</f>
        <v>93.2</v>
      </c>
      <c r="R1530" s="142">
        <f>B1530*IBGE_2!R$1530/100</f>
        <v>1.1830000000000001</v>
      </c>
      <c r="S1530" s="142">
        <f>B1530*IBGE_2!S$1530/100</f>
        <v>50.561000000000007</v>
      </c>
      <c r="T1530" s="142">
        <f>B1530*IBGE_2!T$1530/100</f>
        <v>92.241</v>
      </c>
      <c r="U1530" s="142">
        <f>B1530*IBGE_2!U$1530/100</f>
        <v>3.7999999999999999E-2</v>
      </c>
      <c r="V1530" s="142">
        <f>B1530*IBGE_2!V$1530/100</f>
        <v>0.52900000000000003</v>
      </c>
      <c r="W1530" s="142">
        <f>B1530*IBGE_2!W$1530/100</f>
        <v>250.49200000000002</v>
      </c>
      <c r="X1530" s="142">
        <f>B1530*IBGE_2!X$1530/100</f>
        <v>0.16800000000000001</v>
      </c>
      <c r="Y1530" s="142">
        <f>B1530*IBGE_2!Y$1530/100</f>
        <v>0.28399999999999997</v>
      </c>
      <c r="Z1530" s="142">
        <f>B1530*IBGE_2!Z$1530/100</f>
        <v>5.2999999999999999E-2</v>
      </c>
      <c r="AA1530" s="142">
        <f>B1530*IBGE_2!AA$1530/100</f>
        <v>1.0940000000000001</v>
      </c>
      <c r="AB1530" s="142">
        <f>B1530*IBGE_2!AB$1530/100</f>
        <v>0.20499999999999999</v>
      </c>
      <c r="AC1530" s="142">
        <f>B1530*IBGE_2!AC$1530/100</f>
        <v>2.41</v>
      </c>
      <c r="AD1530" s="142">
        <f>B1530*IBGE_2!AD$1530/100</f>
        <v>0.41299999999999998</v>
      </c>
      <c r="AE1530" s="142">
        <f>B1530*IBGE_2!AE$1530/100</f>
        <v>50.881</v>
      </c>
      <c r="AF1530" s="142">
        <f>B1530*IBGE_2!AF$1530/100</f>
        <v>0.96899999999999986</v>
      </c>
      <c r="AG1530" s="142">
        <f>B1530*IBGE_2!AG$1530/100</f>
        <v>0.98199999999999998</v>
      </c>
      <c r="AH1530" s="142">
        <f>B1530*IBGE_2!AH$1530/100</f>
        <v>0.90799999999999992</v>
      </c>
      <c r="AI1530" s="142" t="s">
        <v>3047</v>
      </c>
      <c r="AJ1530" s="142">
        <f>B1530*IBGE_2!AJ$1530/100</f>
        <v>15.217000000000001</v>
      </c>
      <c r="AK1530" s="142">
        <f>B1530*IBGE_2!AK$1530/100</f>
        <v>254.71799999999999</v>
      </c>
      <c r="AL1530" s="142">
        <f>B1530*IBGE_2!AL$1530/100</f>
        <v>4.9470000000000001</v>
      </c>
      <c r="AM1530" s="142">
        <f>B1530*IBGE_2!AM$1530/100</f>
        <v>3.573</v>
      </c>
      <c r="AN1530" s="161"/>
    </row>
    <row r="1531" spans="1:40">
      <c r="A1531" s="143" t="s">
        <v>2591</v>
      </c>
      <c r="B1531" s="141">
        <v>100</v>
      </c>
      <c r="C1531" s="142">
        <f>B1531*IBGE_2!C$1531/100</f>
        <v>355.226</v>
      </c>
      <c r="D1531" s="142">
        <f>B1531*IBGE_2!D$1531/100</f>
        <v>5.1449999999999996</v>
      </c>
      <c r="E1531" s="142">
        <f>B1531*IBGE_2!E$1531/100</f>
        <v>13.08</v>
      </c>
      <c r="F1531" s="142">
        <f>B1531*IBGE_2!F$1531/100</f>
        <v>7.8829999999999991</v>
      </c>
      <c r="G1531" s="142">
        <f>B1531*IBGE_2!G$1531/100</f>
        <v>3.532</v>
      </c>
      <c r="H1531" s="142">
        <f>B1531*IBGE_2!H$1531/100</f>
        <v>0.66</v>
      </c>
      <c r="I1531" s="142">
        <f>B1531*IBGE_2!I$1531/100</f>
        <v>0.59799999999999998</v>
      </c>
      <c r="J1531" s="142">
        <f>B1531*IBGE_2!J$1531/100</f>
        <v>5.4000000000000006E-2</v>
      </c>
      <c r="K1531" s="142">
        <f>B1531*IBGE_2!K$1531/100</f>
        <v>44.088000000000001</v>
      </c>
      <c r="L1531" s="142">
        <f>B1531*IBGE_2!L$1531/100</f>
        <v>55.826999999999998</v>
      </c>
      <c r="M1531" s="142">
        <f>B1531*IBGE_2!M$1531/100</f>
        <v>2.0150000000000001</v>
      </c>
      <c r="N1531" s="142">
        <f>B1531*IBGE_2!N$1531/100</f>
        <v>32.493000000000002</v>
      </c>
      <c r="O1531" s="142">
        <f>B1531*IBGE_2!O$1531/100</f>
        <v>18.079000000000001</v>
      </c>
      <c r="P1531" s="142">
        <f>B1531*IBGE_2!P$1531/100</f>
        <v>0.44299999999999995</v>
      </c>
      <c r="Q1531" s="142">
        <f>B1531*IBGE_2!Q$1531/100</f>
        <v>73.438999999999993</v>
      </c>
      <c r="R1531" s="142">
        <f>B1531*IBGE_2!R$1531/100</f>
        <v>2.09</v>
      </c>
      <c r="S1531" s="142">
        <f>B1531*IBGE_2!S$1531/100</f>
        <v>194.291</v>
      </c>
      <c r="T1531" s="142">
        <f>B1531*IBGE_2!T$1531/100</f>
        <v>98.677000000000007</v>
      </c>
      <c r="U1531" s="142">
        <f>B1531*IBGE_2!U$1531/100</f>
        <v>0.107</v>
      </c>
      <c r="V1531" s="142">
        <f>B1531*IBGE_2!V$1531/100</f>
        <v>0.499</v>
      </c>
      <c r="W1531" s="142">
        <f>B1531*IBGE_2!W$1531/100</f>
        <v>95.852000000000004</v>
      </c>
      <c r="X1531" s="142">
        <f>B1531*IBGE_2!X$1531/100</f>
        <v>0.307</v>
      </c>
      <c r="Y1531" s="142">
        <f>B1531*IBGE_2!Y$1531/100</f>
        <v>0.26</v>
      </c>
      <c r="Z1531" s="142">
        <f>B1531*IBGE_2!Z$1531/100</f>
        <v>3.5999999999999997E-2</v>
      </c>
      <c r="AA1531" s="142">
        <f>B1531*IBGE_2!AA$1531/100</f>
        <v>2.4039999999999999</v>
      </c>
      <c r="AB1531" s="142">
        <f>B1531*IBGE_2!AB$1531/100</f>
        <v>5.0999999999999997E-2</v>
      </c>
      <c r="AC1531" s="142">
        <f>B1531*IBGE_2!AC$1531/100</f>
        <v>3.4730000000000003</v>
      </c>
      <c r="AD1531" s="142">
        <f>B1531*IBGE_2!AD$1531/100</f>
        <v>0.10800000000000001</v>
      </c>
      <c r="AE1531" s="142">
        <f>B1531*IBGE_2!AE$1531/100</f>
        <v>89.843999999999994</v>
      </c>
      <c r="AF1531" s="142">
        <f>B1531*IBGE_2!AF$1531/100</f>
        <v>0.38200000000000001</v>
      </c>
      <c r="AG1531" s="142">
        <f>B1531*IBGE_2!AG$1531/100</f>
        <v>0.39100000000000001</v>
      </c>
      <c r="AH1531" s="142">
        <f>B1531*IBGE_2!AH$1531/100</f>
        <v>0.41899999999999998</v>
      </c>
      <c r="AI1531" s="142" t="s">
        <v>3047</v>
      </c>
      <c r="AJ1531" s="142">
        <f>B1531*IBGE_2!AJ$1531/100</f>
        <v>14.371000000000002</v>
      </c>
      <c r="AK1531" s="142">
        <f>B1531*IBGE_2!AK$1531/100</f>
        <v>97.697999999999993</v>
      </c>
      <c r="AL1531" s="142">
        <f>B1531*IBGE_2!AL$1531/100</f>
        <v>26.571999999999999</v>
      </c>
      <c r="AM1531" s="142">
        <f>B1531*IBGE_2!AM$1531/100</f>
        <v>26.194000000000003</v>
      </c>
      <c r="AN1531" s="161"/>
    </row>
    <row r="1532" spans="1:40">
      <c r="A1532" s="143" t="s">
        <v>2592</v>
      </c>
      <c r="B1532" s="141">
        <v>100</v>
      </c>
      <c r="C1532" s="142">
        <f>B1532*IBGE_2!C$1532/100</f>
        <v>311</v>
      </c>
      <c r="D1532" s="142">
        <f>B1532*IBGE_2!D$1532/100</f>
        <v>4.8</v>
      </c>
      <c r="E1532" s="142">
        <f>B1532*IBGE_2!E$1532/100</f>
        <v>12.4</v>
      </c>
      <c r="F1532" s="142">
        <f>B1532*IBGE_2!F$1532/100</f>
        <v>4.5</v>
      </c>
      <c r="G1532" s="142">
        <f>B1532*IBGE_2!G$1532/100</f>
        <v>3.9</v>
      </c>
      <c r="H1532" s="142">
        <f>B1532*IBGE_2!H$1532/100</f>
        <v>1.5</v>
      </c>
      <c r="I1532" s="142">
        <f>B1532*IBGE_2!I$1532/100</f>
        <v>1.34</v>
      </c>
      <c r="J1532" s="142">
        <f>B1532*IBGE_2!J$1532/100</f>
        <v>0.08</v>
      </c>
      <c r="K1532" s="142">
        <f>B1532*IBGE_2!K$1532/100</f>
        <v>82</v>
      </c>
      <c r="L1532" s="142">
        <f>B1532*IBGE_2!L$1532/100</f>
        <v>45.1</v>
      </c>
      <c r="M1532" s="142">
        <f>B1532*IBGE_2!M$1532/100</f>
        <v>0.7</v>
      </c>
      <c r="N1532" s="142">
        <f>B1532*IBGE_2!N$1532/100</f>
        <v>83</v>
      </c>
      <c r="O1532" s="142">
        <f>B1532*IBGE_2!O$1532/100</f>
        <v>10</v>
      </c>
      <c r="P1532" s="142">
        <f>B1532*IBGE_2!P$1532/100</f>
        <v>0.11</v>
      </c>
      <c r="Q1532" s="142">
        <f>B1532*IBGE_2!Q$1532/100</f>
        <v>128</v>
      </c>
      <c r="R1532" s="142">
        <f>B1532*IBGE_2!R$1532/100</f>
        <v>0.7</v>
      </c>
      <c r="S1532" s="142">
        <f>B1532*IBGE_2!S$1532/100</f>
        <v>134</v>
      </c>
      <c r="T1532" s="142">
        <f>B1532*IBGE_2!T$1532/100</f>
        <v>118</v>
      </c>
      <c r="U1532" s="142">
        <f>B1532*IBGE_2!U$1532/100</f>
        <v>0.04</v>
      </c>
      <c r="V1532" s="142">
        <f>B1532*IBGE_2!V$1532/100</f>
        <v>0.4</v>
      </c>
      <c r="W1532" s="142">
        <f>B1532*IBGE_2!W$1532/100</f>
        <v>57</v>
      </c>
      <c r="X1532" s="142">
        <f>B1532*IBGE_2!X$1532/100</f>
        <v>0.11</v>
      </c>
      <c r="Y1532" s="142">
        <f>B1532*IBGE_2!Y$1532/100</f>
        <v>0.05</v>
      </c>
      <c r="Z1532" s="142" t="s">
        <v>3047</v>
      </c>
      <c r="AA1532" s="142" t="s">
        <v>3047</v>
      </c>
      <c r="AB1532" s="142" t="s">
        <v>3047</v>
      </c>
      <c r="AC1532" s="142" t="s">
        <v>3047</v>
      </c>
      <c r="AD1532" s="142" t="s">
        <v>3047</v>
      </c>
      <c r="AE1532" s="142" t="s">
        <v>3047</v>
      </c>
      <c r="AF1532" s="142" t="s">
        <v>3047</v>
      </c>
      <c r="AG1532" s="142" t="s">
        <v>3047</v>
      </c>
      <c r="AH1532" s="142">
        <f>B1532*IBGE_2!AH$1532/100</f>
        <v>1.99</v>
      </c>
      <c r="AI1532" s="142" t="s">
        <v>3047</v>
      </c>
      <c r="AJ1532" s="142" t="s">
        <v>3047</v>
      </c>
      <c r="AK1532" s="142" t="s">
        <v>3047</v>
      </c>
      <c r="AL1532" s="142">
        <f>B1532*IBGE_2!AL$1532/100</f>
        <v>8.27</v>
      </c>
      <c r="AM1532" s="142">
        <f>B1532*IBGE_2!AM$1532/100</f>
        <v>5.68</v>
      </c>
      <c r="AN1532" s="161"/>
    </row>
    <row r="1533" spans="1:40">
      <c r="A1533" s="143" t="s">
        <v>2593</v>
      </c>
      <c r="B1533" s="141">
        <v>100</v>
      </c>
      <c r="C1533" s="142">
        <f>B1533*IBGE_2!C$1533/100</f>
        <v>311</v>
      </c>
      <c r="D1533" s="142">
        <f>B1533*IBGE_2!D$1533/100</f>
        <v>4.8</v>
      </c>
      <c r="E1533" s="142">
        <f>B1533*IBGE_2!E$1533/100</f>
        <v>12.4</v>
      </c>
      <c r="F1533" s="142">
        <f>B1533*IBGE_2!F$1533/100</f>
        <v>4.5</v>
      </c>
      <c r="G1533" s="142">
        <f>B1533*IBGE_2!G$1533/100</f>
        <v>3.9</v>
      </c>
      <c r="H1533" s="142">
        <f>B1533*IBGE_2!H$1533/100</f>
        <v>1.5</v>
      </c>
      <c r="I1533" s="142">
        <f>B1533*IBGE_2!I$1533/100</f>
        <v>1.34</v>
      </c>
      <c r="J1533" s="142">
        <f>B1533*IBGE_2!J$1533/100</f>
        <v>0.08</v>
      </c>
      <c r="K1533" s="142">
        <f>B1533*IBGE_2!K$1533/100</f>
        <v>82</v>
      </c>
      <c r="L1533" s="142">
        <f>B1533*IBGE_2!L$1533/100</f>
        <v>45.1</v>
      </c>
      <c r="M1533" s="142">
        <f>B1533*IBGE_2!M$1533/100</f>
        <v>0.7</v>
      </c>
      <c r="N1533" s="142">
        <f>B1533*IBGE_2!N$1533/100</f>
        <v>83</v>
      </c>
      <c r="O1533" s="142">
        <f>B1533*IBGE_2!O$1533/100</f>
        <v>10</v>
      </c>
      <c r="P1533" s="142">
        <f>B1533*IBGE_2!P$1533/100</f>
        <v>0.11</v>
      </c>
      <c r="Q1533" s="142">
        <f>B1533*IBGE_2!Q$1533/100</f>
        <v>128</v>
      </c>
      <c r="R1533" s="142">
        <f>B1533*IBGE_2!R$1533/100</f>
        <v>0.7</v>
      </c>
      <c r="S1533" s="142">
        <f>B1533*IBGE_2!S$1533/100</f>
        <v>134</v>
      </c>
      <c r="T1533" s="142">
        <f>B1533*IBGE_2!T$1533/100</f>
        <v>118</v>
      </c>
      <c r="U1533" s="142">
        <f>B1533*IBGE_2!U$1533/100</f>
        <v>0.04</v>
      </c>
      <c r="V1533" s="142">
        <f>B1533*IBGE_2!V$1533/100</f>
        <v>0.4</v>
      </c>
      <c r="W1533" s="142">
        <f>B1533*IBGE_2!W$1533/100</f>
        <v>57</v>
      </c>
      <c r="X1533" s="142">
        <f>B1533*IBGE_2!X$1533/100</f>
        <v>0.11</v>
      </c>
      <c r="Y1533" s="142">
        <f>B1533*IBGE_2!Y$1533/100</f>
        <v>0.05</v>
      </c>
      <c r="Z1533" s="142" t="s">
        <v>3047</v>
      </c>
      <c r="AA1533" s="142" t="s">
        <v>3047</v>
      </c>
      <c r="AB1533" s="142" t="s">
        <v>3047</v>
      </c>
      <c r="AC1533" s="142" t="s">
        <v>3047</v>
      </c>
      <c r="AD1533" s="142" t="s">
        <v>3047</v>
      </c>
      <c r="AE1533" s="142" t="s">
        <v>3047</v>
      </c>
      <c r="AF1533" s="142" t="s">
        <v>3047</v>
      </c>
      <c r="AG1533" s="142" t="s">
        <v>3047</v>
      </c>
      <c r="AH1533" s="142">
        <f>B1533*IBGE_2!AH$1533/100</f>
        <v>1.99</v>
      </c>
      <c r="AI1533" s="142" t="s">
        <v>3047</v>
      </c>
      <c r="AJ1533" s="142" t="s">
        <v>3047</v>
      </c>
      <c r="AK1533" s="142" t="s">
        <v>3047</v>
      </c>
      <c r="AL1533" s="142">
        <f>B1533*IBGE_2!AL$1533/100</f>
        <v>8.27</v>
      </c>
      <c r="AM1533" s="142">
        <f>B1533*IBGE_2!AM$1533/100</f>
        <v>5.68</v>
      </c>
      <c r="AN1533" s="161"/>
    </row>
    <row r="1534" spans="1:40">
      <c r="A1534" s="143" t="s">
        <v>2594</v>
      </c>
      <c r="B1534" s="141">
        <v>100</v>
      </c>
      <c r="C1534" s="142">
        <f>B1534*IBGE_2!C$1534/100</f>
        <v>311</v>
      </c>
      <c r="D1534" s="142">
        <f>B1534*IBGE_2!D$1534/100</f>
        <v>4.8</v>
      </c>
      <c r="E1534" s="142">
        <f>B1534*IBGE_2!E$1534/100</f>
        <v>12.4</v>
      </c>
      <c r="F1534" s="142">
        <f>B1534*IBGE_2!F$1534/100</f>
        <v>4.5</v>
      </c>
      <c r="G1534" s="142">
        <f>B1534*IBGE_2!G$1534/100</f>
        <v>3.9</v>
      </c>
      <c r="H1534" s="142">
        <f>B1534*IBGE_2!H$1534/100</f>
        <v>1.5</v>
      </c>
      <c r="I1534" s="142">
        <f>B1534*IBGE_2!I$1534/100</f>
        <v>1.34</v>
      </c>
      <c r="J1534" s="142">
        <f>B1534*IBGE_2!J$1534/100</f>
        <v>0.08</v>
      </c>
      <c r="K1534" s="142">
        <f>B1534*IBGE_2!K$1534/100</f>
        <v>82</v>
      </c>
      <c r="L1534" s="142">
        <f>B1534*IBGE_2!L$1534/100</f>
        <v>45.1</v>
      </c>
      <c r="M1534" s="142">
        <f>B1534*IBGE_2!M$1534/100</f>
        <v>0.7</v>
      </c>
      <c r="N1534" s="142">
        <f>B1534*IBGE_2!N$1534/100</f>
        <v>83</v>
      </c>
      <c r="O1534" s="142">
        <f>B1534*IBGE_2!O$1534/100</f>
        <v>10</v>
      </c>
      <c r="P1534" s="142">
        <f>B1534*IBGE_2!P$1534/100</f>
        <v>0.11</v>
      </c>
      <c r="Q1534" s="142">
        <f>B1534*IBGE_2!Q$1534/100</f>
        <v>128</v>
      </c>
      <c r="R1534" s="142">
        <f>B1534*IBGE_2!R$1534/100</f>
        <v>0.7</v>
      </c>
      <c r="S1534" s="142">
        <f>B1534*IBGE_2!S$1534/100</f>
        <v>134</v>
      </c>
      <c r="T1534" s="142">
        <f>B1534*IBGE_2!T$1534/100</f>
        <v>118</v>
      </c>
      <c r="U1534" s="142">
        <f>B1534*IBGE_2!U$1534/100</f>
        <v>0.04</v>
      </c>
      <c r="V1534" s="142">
        <f>B1534*IBGE_2!V$1534/100</f>
        <v>0.4</v>
      </c>
      <c r="W1534" s="142">
        <f>B1534*IBGE_2!W$1534/100</f>
        <v>57</v>
      </c>
      <c r="X1534" s="142">
        <f>B1534*IBGE_2!X$1534/100</f>
        <v>0.11</v>
      </c>
      <c r="Y1534" s="142">
        <f>B1534*IBGE_2!Y$1534/100</f>
        <v>0.05</v>
      </c>
      <c r="Z1534" s="142" t="s">
        <v>3047</v>
      </c>
      <c r="AA1534" s="142" t="s">
        <v>3047</v>
      </c>
      <c r="AB1534" s="142" t="s">
        <v>3047</v>
      </c>
      <c r="AC1534" s="142" t="s">
        <v>3047</v>
      </c>
      <c r="AD1534" s="142" t="s">
        <v>3047</v>
      </c>
      <c r="AE1534" s="142" t="s">
        <v>3047</v>
      </c>
      <c r="AF1534" s="142" t="s">
        <v>3047</v>
      </c>
      <c r="AG1534" s="142" t="s">
        <v>3047</v>
      </c>
      <c r="AH1534" s="142">
        <f>B1534*IBGE_2!AH$1534/100</f>
        <v>1.99</v>
      </c>
      <c r="AI1534" s="142" t="s">
        <v>3047</v>
      </c>
      <c r="AJ1534" s="142" t="s">
        <v>3047</v>
      </c>
      <c r="AK1534" s="142" t="s">
        <v>3047</v>
      </c>
      <c r="AL1534" s="142">
        <f>B1534*IBGE_2!AL$1534/100</f>
        <v>8.27</v>
      </c>
      <c r="AM1534" s="142">
        <f>B1534*IBGE_2!AM$1534/100</f>
        <v>5.68</v>
      </c>
      <c r="AN1534" s="161"/>
    </row>
    <row r="1535" spans="1:40">
      <c r="A1535" s="143" t="s">
        <v>2595</v>
      </c>
      <c r="B1535" s="141">
        <v>100</v>
      </c>
      <c r="C1535" s="142">
        <f>B1535*IBGE_2!C$1535/100</f>
        <v>421.36800000000005</v>
      </c>
      <c r="D1535" s="142">
        <f>B1535*IBGE_2!D$1535/100</f>
        <v>5.5539999999999994</v>
      </c>
      <c r="E1535" s="142">
        <f>B1535*IBGE_2!E$1535/100</f>
        <v>19.805</v>
      </c>
      <c r="F1535" s="142">
        <f>B1535*IBGE_2!F$1535/100</f>
        <v>4.5739999999999998</v>
      </c>
      <c r="G1535" s="142">
        <f>B1535*IBGE_2!G$1535/100</f>
        <v>9.5530000000000008</v>
      </c>
      <c r="H1535" s="142">
        <f>B1535*IBGE_2!H$1535/100</f>
        <v>3.5049999999999999</v>
      </c>
      <c r="I1535" s="142">
        <f>B1535*IBGE_2!I$1535/100</f>
        <v>3.2769999999999997</v>
      </c>
      <c r="J1535" s="142">
        <f>B1535*IBGE_2!J$1535/100</f>
        <v>0.21099999999999997</v>
      </c>
      <c r="K1535" s="142">
        <f>B1535*IBGE_2!K$1535/100</f>
        <v>40.098999999999997</v>
      </c>
      <c r="L1535" s="142">
        <f>B1535*IBGE_2!L$1535/100</f>
        <v>55.69700000000001</v>
      </c>
      <c r="M1535" s="142">
        <f>B1535*IBGE_2!M$1535/100</f>
        <v>1.2090000000000001</v>
      </c>
      <c r="N1535" s="142">
        <f>B1535*IBGE_2!N$1535/100</f>
        <v>80.513999999999996</v>
      </c>
      <c r="O1535" s="142">
        <f>B1535*IBGE_2!O$1535/100</f>
        <v>11.369000000000002</v>
      </c>
      <c r="P1535" s="142">
        <f>B1535*IBGE_2!P$1535/100</f>
        <v>0.28100000000000003</v>
      </c>
      <c r="Q1535" s="142">
        <f>B1535*IBGE_2!Q$1535/100</f>
        <v>90.034999999999997</v>
      </c>
      <c r="R1535" s="142">
        <f>B1535*IBGE_2!R$1535/100</f>
        <v>1.9530000000000001</v>
      </c>
      <c r="S1535" s="142">
        <f>B1535*IBGE_2!S$1535/100</f>
        <v>211.107</v>
      </c>
      <c r="T1535" s="142">
        <f>B1535*IBGE_2!T$1535/100</f>
        <v>78.114000000000004</v>
      </c>
      <c r="U1535" s="142">
        <f>B1535*IBGE_2!U$1535/100</f>
        <v>0.06</v>
      </c>
      <c r="V1535" s="142">
        <f>B1535*IBGE_2!V$1535/100</f>
        <v>0.436</v>
      </c>
      <c r="W1535" s="142">
        <f>B1535*IBGE_2!W$1535/100</f>
        <v>66.353999999999999</v>
      </c>
      <c r="X1535" s="142">
        <f>B1535*IBGE_2!X$1535/100</f>
        <v>0.30499999999999999</v>
      </c>
      <c r="Y1535" s="142">
        <f>B1535*IBGE_2!Y$1535/100</f>
        <v>0.26600000000000001</v>
      </c>
      <c r="Z1535" s="142">
        <f>B1535*IBGE_2!Z$1535/100</f>
        <v>3.4000000000000002E-2</v>
      </c>
      <c r="AA1535" s="142">
        <f>B1535*IBGE_2!AA$1535/100</f>
        <v>2.2250000000000001</v>
      </c>
      <c r="AB1535" s="142">
        <f>B1535*IBGE_2!AB$1535/100</f>
        <v>4.7E-2</v>
      </c>
      <c r="AC1535" s="142">
        <f>B1535*IBGE_2!AC$1535/100</f>
        <v>3.36</v>
      </c>
      <c r="AD1535" s="142">
        <f>B1535*IBGE_2!AD$1535/100</f>
        <v>0.17599999999999999</v>
      </c>
      <c r="AE1535" s="142">
        <f>B1535*IBGE_2!AE$1535/100</f>
        <v>80.918999999999997</v>
      </c>
      <c r="AF1535" s="142">
        <f>B1535*IBGE_2!AF$1535/100</f>
        <v>0.27900000000000003</v>
      </c>
      <c r="AG1535" s="142">
        <f>B1535*IBGE_2!AG$1535/100</f>
        <v>1.276</v>
      </c>
      <c r="AH1535" s="142">
        <f>B1535*IBGE_2!AH$1535/100</f>
        <v>4.4720000000000004</v>
      </c>
      <c r="AI1535" s="142" t="s">
        <v>3047</v>
      </c>
      <c r="AJ1535" s="142">
        <f>B1535*IBGE_2!AJ$1535/100</f>
        <v>15.997999999999999</v>
      </c>
      <c r="AK1535" s="142">
        <f>B1535*IBGE_2!AK$1535/100</f>
        <v>68.638999999999996</v>
      </c>
      <c r="AL1535" s="142">
        <f>B1535*IBGE_2!AL$1535/100</f>
        <v>26.606000000000005</v>
      </c>
      <c r="AM1535" s="142">
        <f>B1535*IBGE_2!AM$1535/100</f>
        <v>25.998000000000001</v>
      </c>
      <c r="AN1535" s="161"/>
    </row>
    <row r="1536" spans="1:40">
      <c r="A1536" s="143" t="s">
        <v>2596</v>
      </c>
      <c r="B1536" s="141">
        <v>100</v>
      </c>
      <c r="C1536" s="142">
        <f>B1536*IBGE_2!C$1536/100</f>
        <v>324</v>
      </c>
      <c r="D1536" s="142">
        <f>B1536*IBGE_2!D$1536/100</f>
        <v>4.4000000000000004</v>
      </c>
      <c r="E1536" s="142">
        <f>B1536*IBGE_2!E$1536/100</f>
        <v>12.7</v>
      </c>
      <c r="F1536" s="142">
        <f>B1536*IBGE_2!F$1536/100</f>
        <v>5</v>
      </c>
      <c r="G1536" s="142">
        <f>B1536*IBGE_2!G$1536/100</f>
        <v>3.9</v>
      </c>
      <c r="H1536" s="142">
        <f>B1536*IBGE_2!H$1536/100</f>
        <v>1.1000000000000001</v>
      </c>
      <c r="I1536" s="142">
        <f>B1536*IBGE_2!I$1536/100</f>
        <v>1</v>
      </c>
      <c r="J1536" s="142">
        <f>B1536*IBGE_2!J$1536/100</f>
        <v>0.06</v>
      </c>
      <c r="K1536" s="142">
        <f>B1536*IBGE_2!K$1536/100</f>
        <v>73</v>
      </c>
      <c r="L1536" s="142">
        <f>B1536*IBGE_2!L$1536/100</f>
        <v>47.9</v>
      </c>
      <c r="M1536" s="142">
        <f>B1536*IBGE_2!M$1536/100</f>
        <v>0.7</v>
      </c>
      <c r="N1536" s="142">
        <f>B1536*IBGE_2!N$1536/100</f>
        <v>85</v>
      </c>
      <c r="O1536" s="142">
        <f>B1536*IBGE_2!O$1536/100</f>
        <v>10</v>
      </c>
      <c r="P1536" s="142">
        <f>B1536*IBGE_2!P$1536/100</f>
        <v>0.11</v>
      </c>
      <c r="Q1536" s="142">
        <f>B1536*IBGE_2!Q$1536/100</f>
        <v>122</v>
      </c>
      <c r="R1536" s="142">
        <f>B1536*IBGE_2!R$1536/100</f>
        <v>0.5</v>
      </c>
      <c r="S1536" s="142">
        <f>B1536*IBGE_2!S$1536/100</f>
        <v>111</v>
      </c>
      <c r="T1536" s="142">
        <f>B1536*IBGE_2!T$1536/100</f>
        <v>135</v>
      </c>
      <c r="U1536" s="142">
        <f>B1536*IBGE_2!U$1536/100</f>
        <v>0.05</v>
      </c>
      <c r="V1536" s="142">
        <f>B1536*IBGE_2!V$1536/100</f>
        <v>0.4</v>
      </c>
      <c r="W1536" s="142" t="s">
        <v>3047</v>
      </c>
      <c r="X1536" s="142">
        <f>B1536*IBGE_2!X$1536/100</f>
        <v>0.13</v>
      </c>
      <c r="Y1536" s="142">
        <f>B1536*IBGE_2!Y$1536/100</f>
        <v>7.0000000000000007E-2</v>
      </c>
      <c r="Z1536" s="142" t="s">
        <v>3047</v>
      </c>
      <c r="AA1536" s="142" t="s">
        <v>3047</v>
      </c>
      <c r="AB1536" s="142" t="s">
        <v>3047</v>
      </c>
      <c r="AC1536" s="142" t="s">
        <v>3047</v>
      </c>
      <c r="AD1536" s="142" t="s">
        <v>3047</v>
      </c>
      <c r="AE1536" s="142" t="s">
        <v>3047</v>
      </c>
      <c r="AF1536" s="142" t="s">
        <v>3047</v>
      </c>
      <c r="AG1536" s="142" t="s">
        <v>3047</v>
      </c>
      <c r="AH1536" s="142">
        <f>B1536*IBGE_2!AH$1536/100</f>
        <v>1.99</v>
      </c>
      <c r="AI1536" s="142" t="s">
        <v>3047</v>
      </c>
      <c r="AJ1536" s="142" t="s">
        <v>3047</v>
      </c>
      <c r="AK1536" s="142" t="s">
        <v>3047</v>
      </c>
      <c r="AL1536" s="142">
        <f>B1536*IBGE_2!AL$1536/100</f>
        <v>17.62</v>
      </c>
      <c r="AM1536" s="142">
        <f>B1536*IBGE_2!AM$1536/100</f>
        <v>15.81</v>
      </c>
      <c r="AN1536" s="161"/>
    </row>
    <row r="1537" spans="1:40">
      <c r="A1537" s="143" t="s">
        <v>2597</v>
      </c>
      <c r="B1537" s="141">
        <v>100</v>
      </c>
      <c r="C1537" s="142">
        <f>B1537*IBGE_2!C$1537/100</f>
        <v>324</v>
      </c>
      <c r="D1537" s="142">
        <f>B1537*IBGE_2!D$1537/100</f>
        <v>4.4000000000000004</v>
      </c>
      <c r="E1537" s="142">
        <f>B1537*IBGE_2!E$1537/100</f>
        <v>12.7</v>
      </c>
      <c r="F1537" s="142">
        <f>B1537*IBGE_2!F$1537/100</f>
        <v>5</v>
      </c>
      <c r="G1537" s="142">
        <f>B1537*IBGE_2!G$1537/100</f>
        <v>3.9</v>
      </c>
      <c r="H1537" s="142">
        <f>B1537*IBGE_2!H$1537/100</f>
        <v>1.1000000000000001</v>
      </c>
      <c r="I1537" s="142">
        <f>B1537*IBGE_2!I$1537/100</f>
        <v>1</v>
      </c>
      <c r="J1537" s="142">
        <f>B1537*IBGE_2!J$1537/100</f>
        <v>0.06</v>
      </c>
      <c r="K1537" s="142">
        <f>B1537*IBGE_2!K$1537/100</f>
        <v>73</v>
      </c>
      <c r="L1537" s="142">
        <f>B1537*IBGE_2!L$1537/100</f>
        <v>47.9</v>
      </c>
      <c r="M1537" s="142">
        <f>B1537*IBGE_2!M$1537/100</f>
        <v>0.7</v>
      </c>
      <c r="N1537" s="142">
        <f>B1537*IBGE_2!N$1537/100</f>
        <v>85</v>
      </c>
      <c r="O1537" s="142">
        <f>B1537*IBGE_2!O$1537/100</f>
        <v>10</v>
      </c>
      <c r="P1537" s="142">
        <f>B1537*IBGE_2!P$1537/100</f>
        <v>0.11</v>
      </c>
      <c r="Q1537" s="142">
        <f>B1537*IBGE_2!Q$1537/100</f>
        <v>122</v>
      </c>
      <c r="R1537" s="142">
        <f>B1537*IBGE_2!R$1537/100</f>
        <v>0.5</v>
      </c>
      <c r="S1537" s="142">
        <f>B1537*IBGE_2!S$1537/100</f>
        <v>111</v>
      </c>
      <c r="T1537" s="142">
        <f>B1537*IBGE_2!T$1537/100</f>
        <v>135</v>
      </c>
      <c r="U1537" s="142">
        <f>B1537*IBGE_2!U$1537/100</f>
        <v>0.05</v>
      </c>
      <c r="V1537" s="142">
        <f>B1537*IBGE_2!V$1537/100</f>
        <v>0.4</v>
      </c>
      <c r="W1537" s="142" t="s">
        <v>3047</v>
      </c>
      <c r="X1537" s="142">
        <f>B1537*IBGE_2!X$1537/100</f>
        <v>0.13</v>
      </c>
      <c r="Y1537" s="142">
        <f>B1537*IBGE_2!Y$1537/100</f>
        <v>7.0000000000000007E-2</v>
      </c>
      <c r="Z1537" s="142" t="s">
        <v>3047</v>
      </c>
      <c r="AA1537" s="142" t="s">
        <v>3047</v>
      </c>
      <c r="AB1537" s="142" t="s">
        <v>3047</v>
      </c>
      <c r="AC1537" s="142" t="s">
        <v>3047</v>
      </c>
      <c r="AD1537" s="142" t="s">
        <v>3047</v>
      </c>
      <c r="AE1537" s="142" t="s">
        <v>3047</v>
      </c>
      <c r="AF1537" s="142" t="s">
        <v>3047</v>
      </c>
      <c r="AG1537" s="142" t="s">
        <v>3047</v>
      </c>
      <c r="AH1537" s="142">
        <f>B1537*IBGE_2!AH$1537/100</f>
        <v>1.99</v>
      </c>
      <c r="AI1537" s="142" t="s">
        <v>3047</v>
      </c>
      <c r="AJ1537" s="142" t="s">
        <v>3047</v>
      </c>
      <c r="AK1537" s="142" t="s">
        <v>3047</v>
      </c>
      <c r="AL1537" s="142">
        <f>B1537*IBGE_2!AL$1537/100</f>
        <v>17.62</v>
      </c>
      <c r="AM1537" s="142">
        <f>B1537*IBGE_2!AM$1537/100</f>
        <v>15.81</v>
      </c>
      <c r="AN1537" s="161"/>
    </row>
    <row r="1538" spans="1:40">
      <c r="A1538" s="143" t="s">
        <v>2598</v>
      </c>
      <c r="B1538" s="141">
        <v>100</v>
      </c>
      <c r="C1538" s="142">
        <f>B1538*IBGE_2!C$1538/100</f>
        <v>324</v>
      </c>
      <c r="D1538" s="142">
        <f>B1538*IBGE_2!D$1538/100</f>
        <v>4.4000000000000004</v>
      </c>
      <c r="E1538" s="142">
        <f>B1538*IBGE_2!E$1538/100</f>
        <v>12.7</v>
      </c>
      <c r="F1538" s="142">
        <f>B1538*IBGE_2!F$1538/100</f>
        <v>5</v>
      </c>
      <c r="G1538" s="142">
        <f>B1538*IBGE_2!G$1538/100</f>
        <v>3.9</v>
      </c>
      <c r="H1538" s="142">
        <f>B1538*IBGE_2!H$1538/100</f>
        <v>1.1000000000000001</v>
      </c>
      <c r="I1538" s="142">
        <f>B1538*IBGE_2!I$1538/100</f>
        <v>1</v>
      </c>
      <c r="J1538" s="142">
        <f>B1538*IBGE_2!J$1538/100</f>
        <v>0.06</v>
      </c>
      <c r="K1538" s="142">
        <f>B1538*IBGE_2!K$1538/100</f>
        <v>73</v>
      </c>
      <c r="L1538" s="142">
        <f>B1538*IBGE_2!L$1538/100</f>
        <v>47.9</v>
      </c>
      <c r="M1538" s="142">
        <f>B1538*IBGE_2!M$1538/100</f>
        <v>0.7</v>
      </c>
      <c r="N1538" s="142">
        <f>B1538*IBGE_2!N$1538/100</f>
        <v>85</v>
      </c>
      <c r="O1538" s="142">
        <f>B1538*IBGE_2!O$1538/100</f>
        <v>10</v>
      </c>
      <c r="P1538" s="142">
        <f>B1538*IBGE_2!P$1538/100</f>
        <v>0.11</v>
      </c>
      <c r="Q1538" s="142">
        <f>B1538*IBGE_2!Q$1538/100</f>
        <v>122</v>
      </c>
      <c r="R1538" s="142">
        <f>B1538*IBGE_2!R$1538/100</f>
        <v>0.5</v>
      </c>
      <c r="S1538" s="142">
        <f>B1538*IBGE_2!S$1538/100</f>
        <v>111</v>
      </c>
      <c r="T1538" s="142">
        <f>B1538*IBGE_2!T$1538/100</f>
        <v>135</v>
      </c>
      <c r="U1538" s="142">
        <f>B1538*IBGE_2!U$1538/100</f>
        <v>0.05</v>
      </c>
      <c r="V1538" s="142">
        <f>B1538*IBGE_2!V$1538/100</f>
        <v>0.4</v>
      </c>
      <c r="W1538" s="142" t="s">
        <v>3047</v>
      </c>
      <c r="X1538" s="142">
        <f>B1538*IBGE_2!X$1538/100</f>
        <v>0.13</v>
      </c>
      <c r="Y1538" s="142">
        <f>B1538*IBGE_2!Y$1538/100</f>
        <v>7.0000000000000007E-2</v>
      </c>
      <c r="Z1538" s="142" t="s">
        <v>3047</v>
      </c>
      <c r="AA1538" s="142" t="s">
        <v>3047</v>
      </c>
      <c r="AB1538" s="142" t="s">
        <v>3047</v>
      </c>
      <c r="AC1538" s="142" t="s">
        <v>3047</v>
      </c>
      <c r="AD1538" s="142" t="s">
        <v>3047</v>
      </c>
      <c r="AE1538" s="142" t="s">
        <v>3047</v>
      </c>
      <c r="AF1538" s="142" t="s">
        <v>3047</v>
      </c>
      <c r="AG1538" s="142" t="s">
        <v>3047</v>
      </c>
      <c r="AH1538" s="142">
        <f>B1538*IBGE_2!AH$1538/100</f>
        <v>1.99</v>
      </c>
      <c r="AI1538" s="142" t="s">
        <v>3047</v>
      </c>
      <c r="AJ1538" s="142" t="s">
        <v>3047</v>
      </c>
      <c r="AK1538" s="142" t="s">
        <v>3047</v>
      </c>
      <c r="AL1538" s="142">
        <f>B1538*IBGE_2!AL$1538/100</f>
        <v>17.62</v>
      </c>
      <c r="AM1538" s="142">
        <f>B1538*IBGE_2!AM$1538/100</f>
        <v>15.81</v>
      </c>
      <c r="AN1538" s="161"/>
    </row>
    <row r="1539" spans="1:40">
      <c r="A1539" s="143" t="s">
        <v>2599</v>
      </c>
      <c r="B1539" s="141">
        <v>100</v>
      </c>
      <c r="C1539" s="142">
        <f>B1539*IBGE_2!C$1539/100</f>
        <v>324</v>
      </c>
      <c r="D1539" s="142">
        <f>B1539*IBGE_2!D$1539/100</f>
        <v>4.4000000000000004</v>
      </c>
      <c r="E1539" s="142">
        <f>B1539*IBGE_2!E$1539/100</f>
        <v>12.7</v>
      </c>
      <c r="F1539" s="142">
        <f>B1539*IBGE_2!F$1539/100</f>
        <v>5</v>
      </c>
      <c r="G1539" s="142">
        <f>B1539*IBGE_2!G$1539/100</f>
        <v>3.9</v>
      </c>
      <c r="H1539" s="142">
        <f>B1539*IBGE_2!H$1539/100</f>
        <v>1.1000000000000001</v>
      </c>
      <c r="I1539" s="142">
        <f>B1539*IBGE_2!I$1539/100</f>
        <v>1</v>
      </c>
      <c r="J1539" s="142">
        <f>B1539*IBGE_2!J$1539/100</f>
        <v>0.06</v>
      </c>
      <c r="K1539" s="142">
        <f>B1539*IBGE_2!K$1539/100</f>
        <v>73</v>
      </c>
      <c r="L1539" s="142">
        <f>B1539*IBGE_2!L$1539/100</f>
        <v>47.9</v>
      </c>
      <c r="M1539" s="142">
        <f>B1539*IBGE_2!M$1539/100</f>
        <v>0.7</v>
      </c>
      <c r="N1539" s="142">
        <f>B1539*IBGE_2!N$1539/100</f>
        <v>85</v>
      </c>
      <c r="O1539" s="142">
        <f>B1539*IBGE_2!O$1539/100</f>
        <v>10</v>
      </c>
      <c r="P1539" s="142">
        <f>B1539*IBGE_2!P$1539/100</f>
        <v>0.11</v>
      </c>
      <c r="Q1539" s="142">
        <f>B1539*IBGE_2!Q$1539/100</f>
        <v>122</v>
      </c>
      <c r="R1539" s="142">
        <f>B1539*IBGE_2!R$1539/100</f>
        <v>0.5</v>
      </c>
      <c r="S1539" s="142">
        <f>B1539*IBGE_2!S$1539/100</f>
        <v>111</v>
      </c>
      <c r="T1539" s="142">
        <f>B1539*IBGE_2!T$1539/100</f>
        <v>135</v>
      </c>
      <c r="U1539" s="142">
        <f>B1539*IBGE_2!U$1539/100</f>
        <v>0.05</v>
      </c>
      <c r="V1539" s="142">
        <f>B1539*IBGE_2!V$1539/100</f>
        <v>0.4</v>
      </c>
      <c r="W1539" s="142" t="s">
        <v>3047</v>
      </c>
      <c r="X1539" s="142">
        <f>B1539*IBGE_2!X$1539/100</f>
        <v>0.13</v>
      </c>
      <c r="Y1539" s="142">
        <f>B1539*IBGE_2!Y$1539/100</f>
        <v>7.0000000000000007E-2</v>
      </c>
      <c r="Z1539" s="142" t="s">
        <v>3047</v>
      </c>
      <c r="AA1539" s="142" t="s">
        <v>3047</v>
      </c>
      <c r="AB1539" s="142" t="s">
        <v>3047</v>
      </c>
      <c r="AC1539" s="142" t="s">
        <v>3047</v>
      </c>
      <c r="AD1539" s="142" t="s">
        <v>3047</v>
      </c>
      <c r="AE1539" s="142" t="s">
        <v>3047</v>
      </c>
      <c r="AF1539" s="142" t="s">
        <v>3047</v>
      </c>
      <c r="AG1539" s="142" t="s">
        <v>3047</v>
      </c>
      <c r="AH1539" s="142">
        <f>B1539*IBGE_2!AH$1539/100</f>
        <v>1.99</v>
      </c>
      <c r="AI1539" s="142" t="s">
        <v>3047</v>
      </c>
      <c r="AJ1539" s="142" t="s">
        <v>3047</v>
      </c>
      <c r="AK1539" s="142" t="s">
        <v>3047</v>
      </c>
      <c r="AL1539" s="142">
        <f>B1539*IBGE_2!AL$1539/100</f>
        <v>17.62</v>
      </c>
      <c r="AM1539" s="142">
        <f>B1539*IBGE_2!AM$1539/100</f>
        <v>15.81</v>
      </c>
      <c r="AN1539" s="161"/>
    </row>
    <row r="1540" spans="1:40">
      <c r="A1540" s="143" t="s">
        <v>2600</v>
      </c>
      <c r="B1540" s="141">
        <v>100</v>
      </c>
      <c r="C1540" s="142">
        <f>B1540*IBGE_2!C$1540/100</f>
        <v>324</v>
      </c>
      <c r="D1540" s="142">
        <f>B1540*IBGE_2!D$1540/100</f>
        <v>4.4000000000000004</v>
      </c>
      <c r="E1540" s="142">
        <f>B1540*IBGE_2!E$1540/100</f>
        <v>12.7</v>
      </c>
      <c r="F1540" s="142">
        <f>B1540*IBGE_2!F$1540/100</f>
        <v>5</v>
      </c>
      <c r="G1540" s="142">
        <f>B1540*IBGE_2!G$1540/100</f>
        <v>3.9</v>
      </c>
      <c r="H1540" s="142">
        <f>B1540*IBGE_2!H$1540/100</f>
        <v>1.1000000000000001</v>
      </c>
      <c r="I1540" s="142">
        <f>B1540*IBGE_2!I$1540/100</f>
        <v>1</v>
      </c>
      <c r="J1540" s="142">
        <f>B1540*IBGE_2!J$1540/100</f>
        <v>0.06</v>
      </c>
      <c r="K1540" s="142">
        <f>B1540*IBGE_2!K$1540/100</f>
        <v>73</v>
      </c>
      <c r="L1540" s="142">
        <f>B1540*IBGE_2!L$1540/100</f>
        <v>47.9</v>
      </c>
      <c r="M1540" s="142">
        <f>B1540*IBGE_2!M$1540/100</f>
        <v>0.7</v>
      </c>
      <c r="N1540" s="142">
        <f>B1540*IBGE_2!N$1540/100</f>
        <v>85</v>
      </c>
      <c r="O1540" s="142">
        <f>B1540*IBGE_2!O$1540/100</f>
        <v>10</v>
      </c>
      <c r="P1540" s="142">
        <f>B1540*IBGE_2!P$1540/100</f>
        <v>0.11</v>
      </c>
      <c r="Q1540" s="142">
        <f>B1540*IBGE_2!Q$1540/100</f>
        <v>122</v>
      </c>
      <c r="R1540" s="142">
        <f>B1540*IBGE_2!R$1540/100</f>
        <v>0.5</v>
      </c>
      <c r="S1540" s="142">
        <f>B1540*IBGE_2!S$1540/100</f>
        <v>111</v>
      </c>
      <c r="T1540" s="142">
        <f>B1540*IBGE_2!T$1540/100</f>
        <v>135</v>
      </c>
      <c r="U1540" s="142">
        <f>B1540*IBGE_2!U$1540/100</f>
        <v>0.05</v>
      </c>
      <c r="V1540" s="142">
        <f>B1540*IBGE_2!V$1540/100</f>
        <v>0.4</v>
      </c>
      <c r="W1540" s="142" t="s">
        <v>3047</v>
      </c>
      <c r="X1540" s="142">
        <f>B1540*IBGE_2!X$1540/100</f>
        <v>0.13</v>
      </c>
      <c r="Y1540" s="142">
        <f>B1540*IBGE_2!Y$1540/100</f>
        <v>7.0000000000000007E-2</v>
      </c>
      <c r="Z1540" s="142" t="s">
        <v>3047</v>
      </c>
      <c r="AA1540" s="142" t="s">
        <v>3047</v>
      </c>
      <c r="AB1540" s="142" t="s">
        <v>3047</v>
      </c>
      <c r="AC1540" s="142" t="s">
        <v>3047</v>
      </c>
      <c r="AD1540" s="142" t="s">
        <v>3047</v>
      </c>
      <c r="AE1540" s="142" t="s">
        <v>3047</v>
      </c>
      <c r="AF1540" s="142" t="s">
        <v>3047</v>
      </c>
      <c r="AG1540" s="142" t="s">
        <v>3047</v>
      </c>
      <c r="AH1540" s="142">
        <f>B1540*IBGE_2!AH$1540/100</f>
        <v>1.99</v>
      </c>
      <c r="AI1540" s="142" t="s">
        <v>3047</v>
      </c>
      <c r="AJ1540" s="142" t="s">
        <v>3047</v>
      </c>
      <c r="AK1540" s="142" t="s">
        <v>3047</v>
      </c>
      <c r="AL1540" s="142">
        <f>B1540*IBGE_2!AL$1540/100</f>
        <v>17.62</v>
      </c>
      <c r="AM1540" s="142">
        <f>B1540*IBGE_2!AM$1540/100</f>
        <v>15.81</v>
      </c>
      <c r="AN1540" s="161"/>
    </row>
    <row r="1541" spans="1:40">
      <c r="A1541" s="143" t="s">
        <v>2601</v>
      </c>
      <c r="B1541" s="141">
        <v>100</v>
      </c>
      <c r="C1541" s="142">
        <f>B1541*IBGE_2!C$1541/100</f>
        <v>324</v>
      </c>
      <c r="D1541" s="142">
        <f>B1541*IBGE_2!D$1541/100</f>
        <v>4.4000000000000004</v>
      </c>
      <c r="E1541" s="142">
        <f>B1541*IBGE_2!E$1541/100</f>
        <v>12.7</v>
      </c>
      <c r="F1541" s="142">
        <f>B1541*IBGE_2!F$1541/100</f>
        <v>5</v>
      </c>
      <c r="G1541" s="142">
        <f>B1541*IBGE_2!G$1541/100</f>
        <v>3.9</v>
      </c>
      <c r="H1541" s="142">
        <f>B1541*IBGE_2!H$1541/100</f>
        <v>1.1000000000000001</v>
      </c>
      <c r="I1541" s="142">
        <f>B1541*IBGE_2!I$1541/100</f>
        <v>1</v>
      </c>
      <c r="J1541" s="142">
        <f>B1541*IBGE_2!J$1541/100</f>
        <v>0.06</v>
      </c>
      <c r="K1541" s="142">
        <f>B1541*IBGE_2!K$1541/100</f>
        <v>73</v>
      </c>
      <c r="L1541" s="142">
        <f>B1541*IBGE_2!L$1541/100</f>
        <v>47.9</v>
      </c>
      <c r="M1541" s="142">
        <f>B1541*IBGE_2!M$1541/100</f>
        <v>0.7</v>
      </c>
      <c r="N1541" s="142">
        <f>B1541*IBGE_2!N$1541/100</f>
        <v>85</v>
      </c>
      <c r="O1541" s="142">
        <f>B1541*IBGE_2!O$1541/100</f>
        <v>10</v>
      </c>
      <c r="P1541" s="142">
        <f>B1541*IBGE_2!P$1541/100</f>
        <v>0.11</v>
      </c>
      <c r="Q1541" s="142">
        <f>B1541*IBGE_2!Q$1541/100</f>
        <v>122</v>
      </c>
      <c r="R1541" s="142">
        <f>B1541*IBGE_2!R$1541/100</f>
        <v>0.5</v>
      </c>
      <c r="S1541" s="142">
        <f>B1541*IBGE_2!S$1541/100</f>
        <v>111</v>
      </c>
      <c r="T1541" s="142">
        <f>B1541*IBGE_2!T$1541/100</f>
        <v>135</v>
      </c>
      <c r="U1541" s="142">
        <f>B1541*IBGE_2!U$1541/100</f>
        <v>0.05</v>
      </c>
      <c r="V1541" s="142">
        <f>B1541*IBGE_2!V$1541/100</f>
        <v>0.4</v>
      </c>
      <c r="W1541" s="142" t="s">
        <v>3047</v>
      </c>
      <c r="X1541" s="142">
        <f>B1541*IBGE_2!X$1541/100</f>
        <v>0.13</v>
      </c>
      <c r="Y1541" s="142">
        <f>B1541*IBGE_2!Y$1541/100</f>
        <v>7.0000000000000007E-2</v>
      </c>
      <c r="Z1541" s="142" t="s">
        <v>3047</v>
      </c>
      <c r="AA1541" s="142" t="s">
        <v>3047</v>
      </c>
      <c r="AB1541" s="142" t="s">
        <v>3047</v>
      </c>
      <c r="AC1541" s="142" t="s">
        <v>3047</v>
      </c>
      <c r="AD1541" s="142" t="s">
        <v>3047</v>
      </c>
      <c r="AE1541" s="142" t="s">
        <v>3047</v>
      </c>
      <c r="AF1541" s="142" t="s">
        <v>3047</v>
      </c>
      <c r="AG1541" s="142" t="s">
        <v>3047</v>
      </c>
      <c r="AH1541" s="142">
        <f>B1541*IBGE_2!AH$1541/100</f>
        <v>1.99</v>
      </c>
      <c r="AI1541" s="142" t="s">
        <v>3047</v>
      </c>
      <c r="AJ1541" s="142" t="s">
        <v>3047</v>
      </c>
      <c r="AK1541" s="142" t="s">
        <v>3047</v>
      </c>
      <c r="AL1541" s="142">
        <f>B1541*IBGE_2!AL$1541/100</f>
        <v>17.62</v>
      </c>
      <c r="AM1541" s="142">
        <f>B1541*IBGE_2!AM$1541/100</f>
        <v>15.81</v>
      </c>
      <c r="AN1541" s="161"/>
    </row>
    <row r="1542" spans="1:40">
      <c r="A1542" s="143" t="s">
        <v>2602</v>
      </c>
      <c r="B1542" s="141">
        <v>100</v>
      </c>
      <c r="C1542" s="142">
        <f>B1542*IBGE_2!C$1542/100</f>
        <v>324</v>
      </c>
      <c r="D1542" s="142">
        <f>B1542*IBGE_2!D$1542/100</f>
        <v>4.4000000000000004</v>
      </c>
      <c r="E1542" s="142">
        <f>B1542*IBGE_2!E$1542/100</f>
        <v>12.7</v>
      </c>
      <c r="F1542" s="142">
        <f>B1542*IBGE_2!F$1542/100</f>
        <v>5</v>
      </c>
      <c r="G1542" s="142">
        <f>B1542*IBGE_2!G$1542/100</f>
        <v>3.9</v>
      </c>
      <c r="H1542" s="142">
        <f>B1542*IBGE_2!H$1542/100</f>
        <v>1.1000000000000001</v>
      </c>
      <c r="I1542" s="142">
        <f>B1542*IBGE_2!I$1542/100</f>
        <v>1</v>
      </c>
      <c r="J1542" s="142">
        <f>B1542*IBGE_2!J$1542/100</f>
        <v>0.06</v>
      </c>
      <c r="K1542" s="142">
        <f>B1542*IBGE_2!K$1542/100</f>
        <v>73</v>
      </c>
      <c r="L1542" s="142">
        <f>B1542*IBGE_2!L$1542/100</f>
        <v>47.9</v>
      </c>
      <c r="M1542" s="142">
        <f>B1542*IBGE_2!M$1542/100</f>
        <v>0.7</v>
      </c>
      <c r="N1542" s="142">
        <f>B1542*IBGE_2!N$1542/100</f>
        <v>85</v>
      </c>
      <c r="O1542" s="142">
        <f>B1542*IBGE_2!O$1542/100</f>
        <v>10</v>
      </c>
      <c r="P1542" s="142">
        <f>B1542*IBGE_2!P$1542/100</f>
        <v>0.11</v>
      </c>
      <c r="Q1542" s="142">
        <f>B1542*IBGE_2!Q$1542/100</f>
        <v>122</v>
      </c>
      <c r="R1542" s="142">
        <f>B1542*IBGE_2!R$1542/100</f>
        <v>0.5</v>
      </c>
      <c r="S1542" s="142">
        <f>B1542*IBGE_2!S$1542/100</f>
        <v>111</v>
      </c>
      <c r="T1542" s="142">
        <f>B1542*IBGE_2!T$1542/100</f>
        <v>135</v>
      </c>
      <c r="U1542" s="142">
        <f>B1542*IBGE_2!U$1542/100</f>
        <v>0.05</v>
      </c>
      <c r="V1542" s="142">
        <f>B1542*IBGE_2!V$1542/100</f>
        <v>0.4</v>
      </c>
      <c r="W1542" s="142" t="s">
        <v>3047</v>
      </c>
      <c r="X1542" s="142">
        <f>B1542*IBGE_2!X$1542/100</f>
        <v>0.13</v>
      </c>
      <c r="Y1542" s="142">
        <f>B1542*IBGE_2!Y$1542/100</f>
        <v>7.0000000000000007E-2</v>
      </c>
      <c r="Z1542" s="142" t="s">
        <v>3047</v>
      </c>
      <c r="AA1542" s="142" t="s">
        <v>3047</v>
      </c>
      <c r="AB1542" s="142" t="s">
        <v>3047</v>
      </c>
      <c r="AC1542" s="142" t="s">
        <v>3047</v>
      </c>
      <c r="AD1542" s="142" t="s">
        <v>3047</v>
      </c>
      <c r="AE1542" s="142" t="s">
        <v>3047</v>
      </c>
      <c r="AF1542" s="142" t="s">
        <v>3047</v>
      </c>
      <c r="AG1542" s="142" t="s">
        <v>3047</v>
      </c>
      <c r="AH1542" s="142">
        <f>B1542*IBGE_2!AH$1542/100</f>
        <v>1.99</v>
      </c>
      <c r="AI1542" s="142" t="s">
        <v>3047</v>
      </c>
      <c r="AJ1542" s="142" t="s">
        <v>3047</v>
      </c>
      <c r="AK1542" s="142" t="s">
        <v>3047</v>
      </c>
      <c r="AL1542" s="142">
        <f>B1542*IBGE_2!AL$1542/100</f>
        <v>17.62</v>
      </c>
      <c r="AM1542" s="142">
        <f>B1542*IBGE_2!AM$1542/100</f>
        <v>15.81</v>
      </c>
      <c r="AN1542" s="161"/>
    </row>
    <row r="1543" spans="1:40">
      <c r="A1543" s="143" t="s">
        <v>2603</v>
      </c>
      <c r="B1543" s="141">
        <v>100</v>
      </c>
      <c r="C1543" s="142">
        <f>B1543*IBGE_2!C$1543/100</f>
        <v>119.66500000000001</v>
      </c>
      <c r="D1543" s="142">
        <f>B1543*IBGE_2!D$1543/100</f>
        <v>2.2810000000000001</v>
      </c>
      <c r="E1543" s="142">
        <f>B1543*IBGE_2!E$1543/100</f>
        <v>5.3840000000000012</v>
      </c>
      <c r="F1543" s="142">
        <f>B1543*IBGE_2!F$1543/100</f>
        <v>1.7869999999999999</v>
      </c>
      <c r="G1543" s="142">
        <f>B1543*IBGE_2!G$1543/100</f>
        <v>2.6269999999999998</v>
      </c>
      <c r="H1543" s="142">
        <f>B1543*IBGE_2!H$1543/100</f>
        <v>0.60799999999999998</v>
      </c>
      <c r="I1543" s="142">
        <f>B1543*IBGE_2!I$1543/100</f>
        <v>0.55200000000000005</v>
      </c>
      <c r="J1543" s="142">
        <f>B1543*IBGE_2!J$1543/100</f>
        <v>5.6000000000000008E-2</v>
      </c>
      <c r="K1543" s="142">
        <f>B1543*IBGE_2!K$1543/100</f>
        <v>3.7629999999999999</v>
      </c>
      <c r="L1543" s="142">
        <f>B1543*IBGE_2!L$1543/100</f>
        <v>15.558</v>
      </c>
      <c r="M1543" s="142">
        <f>B1543*IBGE_2!M$1543/100</f>
        <v>0.48299999999999998</v>
      </c>
      <c r="N1543" s="142">
        <f>B1543*IBGE_2!N$1543/100</f>
        <v>51.33</v>
      </c>
      <c r="O1543" s="142">
        <f>B1543*IBGE_2!O$1543/100</f>
        <v>9.3960000000000008</v>
      </c>
      <c r="P1543" s="142">
        <f>B1543*IBGE_2!P$1543/100</f>
        <v>7.0999999999999994E-2</v>
      </c>
      <c r="Q1543" s="142">
        <f>B1543*IBGE_2!Q$1543/100</f>
        <v>51.121000000000002</v>
      </c>
      <c r="R1543" s="142">
        <f>B1543*IBGE_2!R$1543/100</f>
        <v>0.4</v>
      </c>
      <c r="S1543" s="142">
        <f>B1543*IBGE_2!S$1543/100</f>
        <v>148.333</v>
      </c>
      <c r="T1543" s="142">
        <f>B1543*IBGE_2!T$1543/100</f>
        <v>81.319999999999993</v>
      </c>
      <c r="U1543" s="142">
        <f>B1543*IBGE_2!U$1543/100</f>
        <v>4.2999999999999997E-2</v>
      </c>
      <c r="V1543" s="142">
        <f>B1543*IBGE_2!V$1543/100</f>
        <v>0.253</v>
      </c>
      <c r="W1543" s="142">
        <f>B1543*IBGE_2!W$1543/100</f>
        <v>10.537000000000001</v>
      </c>
      <c r="X1543" s="142">
        <f>B1543*IBGE_2!X$1543/100</f>
        <v>6.7000000000000004E-2</v>
      </c>
      <c r="Y1543" s="142">
        <f>B1543*IBGE_2!Y$1543/100</f>
        <v>0.10100000000000002</v>
      </c>
      <c r="Z1543" s="142">
        <f>B1543*IBGE_2!Z$1543/100</f>
        <v>2.3E-2</v>
      </c>
      <c r="AA1543" s="142">
        <f>B1543*IBGE_2!AA$1543/100</f>
        <v>0.40699999999999997</v>
      </c>
      <c r="AB1543" s="142" t="s">
        <v>3047</v>
      </c>
      <c r="AC1543" s="142">
        <f>B1543*IBGE_2!AC$1543/100</f>
        <v>1.0920000000000001</v>
      </c>
      <c r="AD1543" s="142">
        <f>B1543*IBGE_2!AD$1543/100</f>
        <v>0.16600000000000001</v>
      </c>
      <c r="AE1543" s="142">
        <f>B1543*IBGE_2!AE$1543/100</f>
        <v>23.047999999999998</v>
      </c>
      <c r="AF1543" s="142">
        <f>B1543*IBGE_2!AF$1543/100</f>
        <v>0.376</v>
      </c>
      <c r="AG1543" s="142">
        <f>B1543*IBGE_2!AG$1543/100</f>
        <v>6.4000000000000001E-2</v>
      </c>
      <c r="AH1543" s="142">
        <f>B1543*IBGE_2!AH$1543/100</f>
        <v>1.0629999999999999</v>
      </c>
      <c r="AI1543" s="142" t="s">
        <v>3047</v>
      </c>
      <c r="AJ1543" s="142">
        <f>B1543*IBGE_2!AJ$1543/100</f>
        <v>4.5190000000000001</v>
      </c>
      <c r="AK1543" s="142">
        <f>B1543*IBGE_2!AK$1543/100</f>
        <v>10.693</v>
      </c>
      <c r="AL1543" s="142">
        <f>B1543*IBGE_2!AL$1543/100</f>
        <v>7.4649999999999999</v>
      </c>
      <c r="AM1543" s="142">
        <f>B1543*IBGE_2!AM$1543/100</f>
        <v>5.5469999999999997</v>
      </c>
      <c r="AN1543" s="161"/>
    </row>
    <row r="1544" spans="1:40">
      <c r="A1544" s="143" t="s">
        <v>2604</v>
      </c>
      <c r="B1544" s="141">
        <v>100</v>
      </c>
      <c r="C1544" s="142">
        <f>B1544*IBGE_2!C$1544/100</f>
        <v>249.54900000000001</v>
      </c>
      <c r="D1544" s="142">
        <f>B1544*IBGE_2!D$1544/100</f>
        <v>3.8680000000000003</v>
      </c>
      <c r="E1544" s="142">
        <f>B1544*IBGE_2!E$1544/100</f>
        <v>9.8620000000000001</v>
      </c>
      <c r="F1544" s="142">
        <f>B1544*IBGE_2!F$1544/100</f>
        <v>5.1879999999999997</v>
      </c>
      <c r="G1544" s="142">
        <f>B1544*IBGE_2!G$1544/100</f>
        <v>3.2719999999999998</v>
      </c>
      <c r="H1544" s="142">
        <f>B1544*IBGE_2!H$1544/100</f>
        <v>0.42799999999999999</v>
      </c>
      <c r="I1544" s="142">
        <f>B1544*IBGE_2!I$1544/100</f>
        <v>0.34499999999999997</v>
      </c>
      <c r="J1544" s="142">
        <f>B1544*IBGE_2!J$1544/100</f>
        <v>8.1000000000000003E-2</v>
      </c>
      <c r="K1544" s="142">
        <f>B1544*IBGE_2!K$1544/100</f>
        <v>23.27</v>
      </c>
      <c r="L1544" s="142">
        <f>B1544*IBGE_2!L$1544/100</f>
        <v>38.402000000000001</v>
      </c>
      <c r="M1544" s="142">
        <f>B1544*IBGE_2!M$1544/100</f>
        <v>1.4870000000000001</v>
      </c>
      <c r="N1544" s="142">
        <f>B1544*IBGE_2!N$1544/100</f>
        <v>17.946999999999999</v>
      </c>
      <c r="O1544" s="142">
        <f>B1544*IBGE_2!O$1544/100</f>
        <v>12</v>
      </c>
      <c r="P1544" s="142">
        <f>B1544*IBGE_2!P$1544/100</f>
        <v>0.151</v>
      </c>
      <c r="Q1544" s="142">
        <f>B1544*IBGE_2!Q$1544/100</f>
        <v>49.968000000000004</v>
      </c>
      <c r="R1544" s="142">
        <f>B1544*IBGE_2!R$1544/100</f>
        <v>1.1719999999999999</v>
      </c>
      <c r="S1544" s="142">
        <f>B1544*IBGE_2!S$1544/100</f>
        <v>161.34200000000001</v>
      </c>
      <c r="T1544" s="142">
        <f>B1544*IBGE_2!T$1544/100</f>
        <v>205.696</v>
      </c>
      <c r="U1544" s="142">
        <f>B1544*IBGE_2!U$1544/100</f>
        <v>0.10299999999999999</v>
      </c>
      <c r="V1544" s="142">
        <f>B1544*IBGE_2!V$1544/100</f>
        <v>0.52800000000000002</v>
      </c>
      <c r="W1544" s="142">
        <f>B1544*IBGE_2!W$1544/100</f>
        <v>45.792000000000002</v>
      </c>
      <c r="X1544" s="142">
        <f>B1544*IBGE_2!X$1544/100</f>
        <v>0.113</v>
      </c>
      <c r="Y1544" s="142">
        <f>B1544*IBGE_2!Y$1544/100</f>
        <v>0.10100000000000002</v>
      </c>
      <c r="Z1544" s="142">
        <f>B1544*IBGE_2!Z$1544/100</f>
        <v>8.5999999999999993E-2</v>
      </c>
      <c r="AA1544" s="142">
        <f>B1544*IBGE_2!AA$1544/100</f>
        <v>1.1759999999999999</v>
      </c>
      <c r="AB1544" s="142">
        <f>B1544*IBGE_2!AB$1544/100</f>
        <v>3.5209999999999995</v>
      </c>
      <c r="AC1544" s="142">
        <f>B1544*IBGE_2!AC$1544/100</f>
        <v>1.9319999999999999</v>
      </c>
      <c r="AD1544" s="142">
        <f>B1544*IBGE_2!AD$1544/100</f>
        <v>0.20899999999999999</v>
      </c>
      <c r="AE1544" s="142">
        <f>B1544*IBGE_2!AE$1544/100</f>
        <v>22.902999999999999</v>
      </c>
      <c r="AF1544" s="142">
        <f>B1544*IBGE_2!AF$1544/100</f>
        <v>0.14399999999999999</v>
      </c>
      <c r="AG1544" s="142">
        <f>B1544*IBGE_2!AG$1544/100</f>
        <v>0.26600000000000001</v>
      </c>
      <c r="AH1544" s="142">
        <f>B1544*IBGE_2!AH$1544/100</f>
        <v>0.41600000000000004</v>
      </c>
      <c r="AI1544" s="142" t="s">
        <v>3047</v>
      </c>
      <c r="AJ1544" s="142">
        <f>B1544*IBGE_2!AJ$1544/100</f>
        <v>5.3769999999999989</v>
      </c>
      <c r="AK1544" s="142">
        <f>B1544*IBGE_2!AK$1544/100</f>
        <v>47.873000000000005</v>
      </c>
      <c r="AL1544" s="142">
        <f>B1544*IBGE_2!AL$1544/100</f>
        <v>27.117000000000004</v>
      </c>
      <c r="AM1544" s="142">
        <f>B1544*IBGE_2!AM$1544/100</f>
        <v>14.308999999999999</v>
      </c>
      <c r="AN1544" s="161"/>
    </row>
    <row r="1545" spans="1:40">
      <c r="A1545" s="143" t="s">
        <v>2605</v>
      </c>
      <c r="B1545" s="141">
        <v>100</v>
      </c>
      <c r="C1545" s="142">
        <f>B1545*IBGE_2!C$1545/100</f>
        <v>378.78699999999998</v>
      </c>
      <c r="D1545" s="142">
        <f>B1545*IBGE_2!D$1545/100</f>
        <v>6.0220000000000002</v>
      </c>
      <c r="E1545" s="142">
        <f>B1545*IBGE_2!E$1545/100</f>
        <v>18.248999999999999</v>
      </c>
      <c r="F1545" s="142">
        <f>B1545*IBGE_2!F$1545/100</f>
        <v>4.4800000000000004</v>
      </c>
      <c r="G1545" s="142">
        <f>B1545*IBGE_2!G$1545/100</f>
        <v>8.5549999999999997</v>
      </c>
      <c r="H1545" s="142">
        <f>B1545*IBGE_2!H$1545/100</f>
        <v>3.3039999999999998</v>
      </c>
      <c r="I1545" s="142">
        <f>B1545*IBGE_2!I$1545/100</f>
        <v>3.093</v>
      </c>
      <c r="J1545" s="142">
        <f>B1545*IBGE_2!J$1545/100</f>
        <v>0.19</v>
      </c>
      <c r="K1545" s="142">
        <f>B1545*IBGE_2!K$1545/100</f>
        <v>45.626999999999995</v>
      </c>
      <c r="L1545" s="142">
        <f>B1545*IBGE_2!L$1545/100</f>
        <v>48.084000000000003</v>
      </c>
      <c r="M1545" s="142">
        <f>B1545*IBGE_2!M$1545/100</f>
        <v>1.3069999999999999</v>
      </c>
      <c r="N1545" s="142">
        <f>B1545*IBGE_2!N$1545/100</f>
        <v>40.164999999999999</v>
      </c>
      <c r="O1545" s="142">
        <f>B1545*IBGE_2!O$1545/100</f>
        <v>12.422000000000001</v>
      </c>
      <c r="P1545" s="142">
        <f>B1545*IBGE_2!P$1545/100</f>
        <v>0.247</v>
      </c>
      <c r="Q1545" s="142">
        <f>B1545*IBGE_2!Q$1545/100</f>
        <v>93.103999999999999</v>
      </c>
      <c r="R1545" s="142">
        <f>B1545*IBGE_2!R$1545/100</f>
        <v>1.9359999999999999</v>
      </c>
      <c r="S1545" s="142">
        <f>B1545*IBGE_2!S$1545/100</f>
        <v>132.89099999999999</v>
      </c>
      <c r="T1545" s="142">
        <f>B1545*IBGE_2!T$1545/100</f>
        <v>110.057</v>
      </c>
      <c r="U1545" s="142">
        <f>B1545*IBGE_2!U$1545/100</f>
        <v>6.0999999999999999E-2</v>
      </c>
      <c r="V1545" s="142">
        <f>B1545*IBGE_2!V$1545/100</f>
        <v>0.53</v>
      </c>
      <c r="W1545" s="142">
        <f>B1545*IBGE_2!W$1545/100</f>
        <v>34.341000000000001</v>
      </c>
      <c r="X1545" s="142">
        <f>B1545*IBGE_2!X$1545/100</f>
        <v>0.317</v>
      </c>
      <c r="Y1545" s="142">
        <f>B1545*IBGE_2!Y$1545/100</f>
        <v>0.33300000000000002</v>
      </c>
      <c r="Z1545" s="142">
        <f>B1545*IBGE_2!Z$1545/100</f>
        <v>5.6000000000000008E-2</v>
      </c>
      <c r="AA1545" s="142">
        <f>B1545*IBGE_2!AA$1545/100</f>
        <v>2.5489999999999999</v>
      </c>
      <c r="AB1545" s="142">
        <f>B1545*IBGE_2!AB$1545/100</f>
        <v>5.4000000000000006E-2</v>
      </c>
      <c r="AC1545" s="142">
        <f>B1545*IBGE_2!AC$1545/100</f>
        <v>3.7789999999999999</v>
      </c>
      <c r="AD1545" s="142">
        <f>B1545*IBGE_2!AD$1545/100</f>
        <v>0.22</v>
      </c>
      <c r="AE1545" s="142">
        <f>B1545*IBGE_2!AE$1545/100</f>
        <v>104.50299999999999</v>
      </c>
      <c r="AF1545" s="142">
        <f>B1545*IBGE_2!AF$1545/100</f>
        <v>0.38900000000000001</v>
      </c>
      <c r="AG1545" s="142">
        <f>B1545*IBGE_2!AG$1545/100</f>
        <v>1</v>
      </c>
      <c r="AH1545" s="142">
        <f>B1545*IBGE_2!AH$1545/100</f>
        <v>3.4689999999999999</v>
      </c>
      <c r="AI1545" s="142" t="s">
        <v>3047</v>
      </c>
      <c r="AJ1545" s="142">
        <f>B1545*IBGE_2!AJ$1545/100</f>
        <v>15.742000000000001</v>
      </c>
      <c r="AK1545" s="142">
        <f>B1545*IBGE_2!AK$1545/100</f>
        <v>34.787999999999997</v>
      </c>
      <c r="AL1545" s="142">
        <f>B1545*IBGE_2!AL$1545/100</f>
        <v>21.087</v>
      </c>
      <c r="AM1545" s="142">
        <f>B1545*IBGE_2!AM$1545/100</f>
        <v>19.628</v>
      </c>
      <c r="AN1545" s="161"/>
    </row>
    <row r="1546" spans="1:40">
      <c r="A1546" s="143" t="s">
        <v>2606</v>
      </c>
      <c r="B1546" s="141">
        <v>100</v>
      </c>
      <c r="C1546" s="142">
        <f>B1546*IBGE_2!C$1546/100</f>
        <v>421.36800000000005</v>
      </c>
      <c r="D1546" s="142">
        <f>B1546*IBGE_2!D$1546/100</f>
        <v>5.5539999999999994</v>
      </c>
      <c r="E1546" s="142">
        <f>B1546*IBGE_2!E$1546/100</f>
        <v>19.805</v>
      </c>
      <c r="F1546" s="142">
        <f>B1546*IBGE_2!F$1546/100</f>
        <v>4.5739999999999998</v>
      </c>
      <c r="G1546" s="142">
        <f>B1546*IBGE_2!G$1546/100</f>
        <v>9.5530000000000008</v>
      </c>
      <c r="H1546" s="142">
        <f>B1546*IBGE_2!H$1546/100</f>
        <v>3.5049999999999999</v>
      </c>
      <c r="I1546" s="142">
        <f>B1546*IBGE_2!I$1546/100</f>
        <v>3.2769999999999997</v>
      </c>
      <c r="J1546" s="142">
        <f>B1546*IBGE_2!J$1546/100</f>
        <v>0.21099999999999997</v>
      </c>
      <c r="K1546" s="142">
        <f>B1546*IBGE_2!K$1546/100</f>
        <v>40.098999999999997</v>
      </c>
      <c r="L1546" s="142">
        <f>B1546*IBGE_2!L$1546/100</f>
        <v>55.69700000000001</v>
      </c>
      <c r="M1546" s="142">
        <f>B1546*IBGE_2!M$1546/100</f>
        <v>1.2090000000000001</v>
      </c>
      <c r="N1546" s="142">
        <f>B1546*IBGE_2!N$1546/100</f>
        <v>80.513999999999996</v>
      </c>
      <c r="O1546" s="142">
        <f>B1546*IBGE_2!O$1546/100</f>
        <v>11.369000000000002</v>
      </c>
      <c r="P1546" s="142">
        <f>B1546*IBGE_2!P$1546/100</f>
        <v>0.28100000000000003</v>
      </c>
      <c r="Q1546" s="142">
        <f>B1546*IBGE_2!Q$1546/100</f>
        <v>90.034999999999997</v>
      </c>
      <c r="R1546" s="142">
        <f>B1546*IBGE_2!R$1546/100</f>
        <v>1.9530000000000001</v>
      </c>
      <c r="S1546" s="142">
        <f>B1546*IBGE_2!S$1546/100</f>
        <v>211.107</v>
      </c>
      <c r="T1546" s="142">
        <f>B1546*IBGE_2!T$1546/100</f>
        <v>78.114000000000004</v>
      </c>
      <c r="U1546" s="142">
        <f>B1546*IBGE_2!U$1546/100</f>
        <v>0.06</v>
      </c>
      <c r="V1546" s="142">
        <f>B1546*IBGE_2!V$1546/100</f>
        <v>0.436</v>
      </c>
      <c r="W1546" s="142">
        <f>B1546*IBGE_2!W$1546/100</f>
        <v>66.353999999999999</v>
      </c>
      <c r="X1546" s="142">
        <f>B1546*IBGE_2!X$1546/100</f>
        <v>0.30499999999999999</v>
      </c>
      <c r="Y1546" s="142">
        <f>B1546*IBGE_2!Y$1546/100</f>
        <v>0.26600000000000001</v>
      </c>
      <c r="Z1546" s="142">
        <f>B1546*IBGE_2!Z$1546/100</f>
        <v>3.4000000000000002E-2</v>
      </c>
      <c r="AA1546" s="142">
        <f>B1546*IBGE_2!AA$1546/100</f>
        <v>2.2250000000000001</v>
      </c>
      <c r="AB1546" s="142">
        <f>B1546*IBGE_2!AB$1546/100</f>
        <v>4.7E-2</v>
      </c>
      <c r="AC1546" s="142">
        <f>B1546*IBGE_2!AC$1546/100</f>
        <v>3.36</v>
      </c>
      <c r="AD1546" s="142">
        <f>B1546*IBGE_2!AD$1546/100</f>
        <v>0.17599999999999999</v>
      </c>
      <c r="AE1546" s="142">
        <f>B1546*IBGE_2!AE$1546/100</f>
        <v>80.918999999999997</v>
      </c>
      <c r="AF1546" s="142">
        <f>B1546*IBGE_2!AF$1546/100</f>
        <v>0.27900000000000003</v>
      </c>
      <c r="AG1546" s="142">
        <f>B1546*IBGE_2!AG$1546/100</f>
        <v>1.276</v>
      </c>
      <c r="AH1546" s="142">
        <f>B1546*IBGE_2!AH$1546/100</f>
        <v>4.4720000000000004</v>
      </c>
      <c r="AI1546" s="142" t="s">
        <v>3047</v>
      </c>
      <c r="AJ1546" s="142">
        <f>B1546*IBGE_2!AJ$1546/100</f>
        <v>15.997999999999999</v>
      </c>
      <c r="AK1546" s="142">
        <f>B1546*IBGE_2!AK$1546/100</f>
        <v>68.638999999999996</v>
      </c>
      <c r="AL1546" s="142">
        <f>B1546*IBGE_2!AL$1546/100</f>
        <v>26.606000000000005</v>
      </c>
      <c r="AM1546" s="142">
        <f>B1546*IBGE_2!AM$1546/100</f>
        <v>25.998000000000001</v>
      </c>
      <c r="AN1546" s="161"/>
    </row>
    <row r="1547" spans="1:40">
      <c r="A1547" s="143" t="s">
        <v>2607</v>
      </c>
      <c r="B1547" s="141">
        <v>100</v>
      </c>
      <c r="C1547" s="142">
        <f>B1547*IBGE_2!C$1547/100</f>
        <v>312.8</v>
      </c>
      <c r="D1547" s="142">
        <f>B1547*IBGE_2!D$1547/100</f>
        <v>8.7100000000000009</v>
      </c>
      <c r="E1547" s="142">
        <f>B1547*IBGE_2!E$1547/100</f>
        <v>6</v>
      </c>
      <c r="F1547" s="142">
        <f>B1547*IBGE_2!F$1547/100</f>
        <v>1.98</v>
      </c>
      <c r="G1547" s="142">
        <f>B1547*IBGE_2!G$1547/100</f>
        <v>2.2200000000000002</v>
      </c>
      <c r="H1547" s="142">
        <f>B1547*IBGE_2!H$1547/100</f>
        <v>0.8</v>
      </c>
      <c r="I1547" s="142">
        <f>B1547*IBGE_2!I$1547/100</f>
        <v>0.68</v>
      </c>
      <c r="J1547" s="142">
        <f>B1547*IBGE_2!J$1547/100</f>
        <v>0.02</v>
      </c>
      <c r="K1547" s="142">
        <f>B1547*IBGE_2!K$1547/100</f>
        <v>209.07</v>
      </c>
      <c r="L1547" s="142">
        <f>B1547*IBGE_2!L$1547/100</f>
        <v>58.3</v>
      </c>
      <c r="M1547" s="142">
        <f>B1547*IBGE_2!M$1547/100</f>
        <v>1.76</v>
      </c>
      <c r="N1547" s="142">
        <f>B1547*IBGE_2!N$1547/100</f>
        <v>33.65</v>
      </c>
      <c r="O1547" s="142">
        <f>B1547*IBGE_2!O$1547/100</f>
        <v>29.57</v>
      </c>
      <c r="P1547" s="142">
        <f>B1547*IBGE_2!P$1547/100</f>
        <v>0.3</v>
      </c>
      <c r="Q1547" s="142">
        <f>B1547*IBGE_2!Q$1547/100</f>
        <v>133.44</v>
      </c>
      <c r="R1547" s="142">
        <f>B1547*IBGE_2!R$1547/100</f>
        <v>2.67</v>
      </c>
      <c r="S1547" s="142">
        <f>B1547*IBGE_2!S$1547/100</f>
        <v>63.07</v>
      </c>
      <c r="T1547" s="142">
        <f>B1547*IBGE_2!T$1547/100</f>
        <v>151.88999999999999</v>
      </c>
      <c r="U1547" s="142">
        <f>B1547*IBGE_2!U$1547/100</f>
        <v>0.2</v>
      </c>
      <c r="V1547" s="142">
        <f>B1547*IBGE_2!V$1547/100</f>
        <v>0.93</v>
      </c>
      <c r="W1547" s="142">
        <f>B1547*IBGE_2!W$1547/100</f>
        <v>82.84</v>
      </c>
      <c r="X1547" s="142">
        <f>B1547*IBGE_2!X$1547/100</f>
        <v>0.22</v>
      </c>
      <c r="Y1547" s="142">
        <f>B1547*IBGE_2!Y$1547/100</f>
        <v>0.36</v>
      </c>
      <c r="Z1547" s="142">
        <f>B1547*IBGE_2!Z$1547/100</f>
        <v>7.0000000000000007E-2</v>
      </c>
      <c r="AA1547" s="142">
        <f>B1547*IBGE_2!AA$1547/100</f>
        <v>1.51</v>
      </c>
      <c r="AB1547" s="142">
        <f>B1547*IBGE_2!AB$1547/100</f>
        <v>0.75</v>
      </c>
      <c r="AC1547" s="142">
        <f>B1547*IBGE_2!AC$1547/100</f>
        <v>3.37</v>
      </c>
      <c r="AD1547" s="142">
        <f>B1547*IBGE_2!AD$1547/100</f>
        <v>0.55000000000000004</v>
      </c>
      <c r="AE1547" s="142">
        <f>B1547*IBGE_2!AE$1547/100</f>
        <v>63.48</v>
      </c>
      <c r="AF1547" s="142">
        <f>B1547*IBGE_2!AF$1547/100</f>
        <v>0.63</v>
      </c>
      <c r="AG1547" s="142">
        <f>B1547*IBGE_2!AG$1547/100</f>
        <v>0.52</v>
      </c>
      <c r="AH1547" s="145" t="s">
        <v>3047</v>
      </c>
      <c r="AI1547" s="142" t="s">
        <v>3047</v>
      </c>
      <c r="AJ1547" s="142">
        <f>B1547*IBGE_2!AJ$1547/100</f>
        <v>17.03</v>
      </c>
      <c r="AK1547" s="142">
        <f>B1547*IBGE_2!AK$1547/100</f>
        <v>83.52</v>
      </c>
      <c r="AL1547" s="142">
        <f>B1547*IBGE_2!AL$1547/100</f>
        <v>40.39</v>
      </c>
      <c r="AM1547" s="142">
        <f>B1547*IBGE_2!AM$1547/100</f>
        <v>39.44</v>
      </c>
      <c r="AN1547" s="161"/>
    </row>
    <row r="1548" spans="1:40">
      <c r="A1548" s="143" t="s">
        <v>2608</v>
      </c>
      <c r="B1548" s="141">
        <v>100</v>
      </c>
      <c r="C1548" s="142">
        <f>B1548*IBGE_2!C$1548/100</f>
        <v>366.83699999999999</v>
      </c>
      <c r="D1548" s="142">
        <f>B1548*IBGE_2!D$1548/100</f>
        <v>9.0389999999999997</v>
      </c>
      <c r="E1548" s="142">
        <f>B1548*IBGE_2!E$1548/100</f>
        <v>14.215</v>
      </c>
      <c r="F1548" s="142">
        <f>B1548*IBGE_2!F$1548/100</f>
        <v>4.9219999999999997</v>
      </c>
      <c r="G1548" s="142">
        <f>B1548*IBGE_2!G$1548/100</f>
        <v>5.5380000000000003</v>
      </c>
      <c r="H1548" s="142">
        <f>B1548*IBGE_2!H$1548/100</f>
        <v>2.6689999999999996</v>
      </c>
      <c r="I1548" s="142">
        <f>B1548*IBGE_2!I$1548/100</f>
        <v>2.4849999999999999</v>
      </c>
      <c r="J1548" s="142">
        <f>B1548*IBGE_2!J$1548/100</f>
        <v>0.13100000000000001</v>
      </c>
      <c r="K1548" s="142">
        <f>B1548*IBGE_2!K$1548/100</f>
        <v>99.043000000000006</v>
      </c>
      <c r="L1548" s="142">
        <f>B1548*IBGE_2!L$1548/100</f>
        <v>49.584000000000003</v>
      </c>
      <c r="M1548" s="142">
        <f>B1548*IBGE_2!M$1548/100</f>
        <v>1.804</v>
      </c>
      <c r="N1548" s="142">
        <f>B1548*IBGE_2!N$1548/100</f>
        <v>35.302999999999997</v>
      </c>
      <c r="O1548" s="142">
        <f>B1548*IBGE_2!O$1548/100</f>
        <v>16.349</v>
      </c>
      <c r="P1548" s="142">
        <f>B1548*IBGE_2!P$1548/100</f>
        <v>0.38</v>
      </c>
      <c r="Q1548" s="142">
        <f>B1548*IBGE_2!Q$1548/100</f>
        <v>117.855</v>
      </c>
      <c r="R1548" s="142">
        <f>B1548*IBGE_2!R$1548/100</f>
        <v>2.9</v>
      </c>
      <c r="S1548" s="142">
        <f>B1548*IBGE_2!S$1548/100</f>
        <v>225.41300000000004</v>
      </c>
      <c r="T1548" s="142">
        <f>B1548*IBGE_2!T$1548/100</f>
        <v>120.31199999999998</v>
      </c>
      <c r="U1548" s="142">
        <f>B1548*IBGE_2!U$1548/100</f>
        <v>8.6999999999999994E-2</v>
      </c>
      <c r="V1548" s="142">
        <f>B1548*IBGE_2!V$1548/100</f>
        <v>0.71299999999999997</v>
      </c>
      <c r="W1548" s="142">
        <f>B1548*IBGE_2!W$1548/100</f>
        <v>43.625999999999998</v>
      </c>
      <c r="X1548" s="142">
        <f>B1548*IBGE_2!X$1548/100</f>
        <v>0.46200000000000002</v>
      </c>
      <c r="Y1548" s="142">
        <f>B1548*IBGE_2!Y$1548/100</f>
        <v>0.44600000000000001</v>
      </c>
      <c r="Z1548" s="142">
        <f>B1548*IBGE_2!Z$1548/100</f>
        <v>6.7000000000000004E-2</v>
      </c>
      <c r="AA1548" s="142">
        <f>B1548*IBGE_2!AA$1548/100</f>
        <v>3.5219999999999998</v>
      </c>
      <c r="AB1548" s="142">
        <f>B1548*IBGE_2!AB$1548/100</f>
        <v>2.9000000000000005E-2</v>
      </c>
      <c r="AC1548" s="142">
        <f>B1548*IBGE_2!AC$1548/100</f>
        <v>5.3680000000000003</v>
      </c>
      <c r="AD1548" s="142">
        <f>B1548*IBGE_2!AD$1548/100</f>
        <v>0.30099999999999999</v>
      </c>
      <c r="AE1548" s="142">
        <f>B1548*IBGE_2!AE$1548/100</f>
        <v>138.30099999999999</v>
      </c>
      <c r="AF1548" s="142">
        <f>B1548*IBGE_2!AF$1548/100</f>
        <v>0.41899999999999998</v>
      </c>
      <c r="AG1548" s="142">
        <f>B1548*IBGE_2!AG$1548/100</f>
        <v>0.37</v>
      </c>
      <c r="AH1548" s="142">
        <f>B1548*IBGE_2!AH$1548/100</f>
        <v>1.196</v>
      </c>
      <c r="AI1548" s="142" t="s">
        <v>3047</v>
      </c>
      <c r="AJ1548" s="142">
        <f>B1548*IBGE_2!AJ$1548/100</f>
        <v>25.566999999999997</v>
      </c>
      <c r="AK1548" s="142">
        <f>B1548*IBGE_2!AK$1548/100</f>
        <v>43.94700000000001</v>
      </c>
      <c r="AL1548" s="142">
        <f>B1548*IBGE_2!AL$1548/100</f>
        <v>8.2379999999999995</v>
      </c>
      <c r="AM1548" s="142">
        <f>B1548*IBGE_2!AM$1548/100</f>
        <v>7.141</v>
      </c>
      <c r="AN1548" s="161"/>
    </row>
    <row r="1549" spans="1:40">
      <c r="A1549" s="143" t="s">
        <v>2609</v>
      </c>
      <c r="B1549" s="141">
        <v>100</v>
      </c>
      <c r="C1549" s="142">
        <f>B1549*IBGE_2!C$1549/100</f>
        <v>360.83300000000003</v>
      </c>
      <c r="D1549" s="142">
        <f>B1549*IBGE_2!D$1549/100</f>
        <v>4.8019999999999996</v>
      </c>
      <c r="E1549" s="142">
        <f>B1549*IBGE_2!E$1549/100</f>
        <v>13.151999999999997</v>
      </c>
      <c r="F1549" s="142">
        <f>B1549*IBGE_2!F$1549/100</f>
        <v>5.2919999999999989</v>
      </c>
      <c r="G1549" s="142">
        <f>B1549*IBGE_2!G$1549/100</f>
        <v>4.9059999999999997</v>
      </c>
      <c r="H1549" s="142">
        <f>B1549*IBGE_2!H$1549/100</f>
        <v>1.905</v>
      </c>
      <c r="I1549" s="142">
        <f>B1549*IBGE_2!I$1549/100</f>
        <v>1.7769999999999999</v>
      </c>
      <c r="J1549" s="142">
        <f>B1549*IBGE_2!J$1549/100</f>
        <v>0.106</v>
      </c>
      <c r="K1549" s="142">
        <f>B1549*IBGE_2!K$1549/100</f>
        <v>67.715000000000003</v>
      </c>
      <c r="L1549" s="142">
        <f>B1549*IBGE_2!L$1549/100</f>
        <v>58.314999999999998</v>
      </c>
      <c r="M1549" s="142">
        <f>B1549*IBGE_2!M$1549/100</f>
        <v>2.363</v>
      </c>
      <c r="N1549" s="142">
        <f>B1549*IBGE_2!N$1549/100</f>
        <v>68.712000000000003</v>
      </c>
      <c r="O1549" s="142">
        <f>B1549*IBGE_2!O$1549/100</f>
        <v>32.537999999999997</v>
      </c>
      <c r="P1549" s="142">
        <f>B1549*IBGE_2!P$1549/100</f>
        <v>0.63800000000000001</v>
      </c>
      <c r="Q1549" s="142">
        <f>B1549*IBGE_2!Q$1549/100</f>
        <v>82.73</v>
      </c>
      <c r="R1549" s="142">
        <f>B1549*IBGE_2!R$1549/100</f>
        <v>1.9790000000000001</v>
      </c>
      <c r="S1549" s="142">
        <f>B1549*IBGE_2!S$1549/100</f>
        <v>102.02800000000001</v>
      </c>
      <c r="T1549" s="142">
        <f>B1549*IBGE_2!T$1549/100</f>
        <v>255.238</v>
      </c>
      <c r="U1549" s="142">
        <f>B1549*IBGE_2!U$1549/100</f>
        <v>0.19400000000000003</v>
      </c>
      <c r="V1549" s="142">
        <f>B1549*IBGE_2!V$1549/100</f>
        <v>0.65300000000000002</v>
      </c>
      <c r="W1549" s="142">
        <f>B1549*IBGE_2!W$1549/100</f>
        <v>77.620999999999995</v>
      </c>
      <c r="X1549" s="142">
        <f>B1549*IBGE_2!X$1549/100</f>
        <v>0.24</v>
      </c>
      <c r="Y1549" s="142">
        <f>B1549*IBGE_2!Y$1549/100</f>
        <v>0.193</v>
      </c>
      <c r="Z1549" s="142">
        <f>B1549*IBGE_2!Z$1549/100</f>
        <v>0.10400000000000001</v>
      </c>
      <c r="AA1549" s="142">
        <f>B1549*IBGE_2!AA$1549/100</f>
        <v>1.5429999999999999</v>
      </c>
      <c r="AB1549" s="142">
        <f>B1549*IBGE_2!AB$1549/100</f>
        <v>5.3070000000000004</v>
      </c>
      <c r="AC1549" s="142">
        <f>B1549*IBGE_2!AC$1549/100</f>
        <v>2.5019999999999998</v>
      </c>
      <c r="AD1549" s="142">
        <f>B1549*IBGE_2!AD$1549/100</f>
        <v>0.14299999999999999</v>
      </c>
      <c r="AE1549" s="142">
        <f>B1549*IBGE_2!AE$1549/100</f>
        <v>54.301000000000002</v>
      </c>
      <c r="AF1549" s="142">
        <f>B1549*IBGE_2!AF$1549/100</f>
        <v>0.27</v>
      </c>
      <c r="AG1549" s="142">
        <f>B1549*IBGE_2!AG$1549/100</f>
        <v>0.48299999999999998</v>
      </c>
      <c r="AH1549" s="142">
        <f>B1549*IBGE_2!AH$1549/100</f>
        <v>0.28399999999999997</v>
      </c>
      <c r="AI1549" s="142" t="s">
        <v>3047</v>
      </c>
      <c r="AJ1549" s="142">
        <f>B1549*IBGE_2!AJ$1549/100</f>
        <v>12.457000000000001</v>
      </c>
      <c r="AK1549" s="142">
        <f>B1549*IBGE_2!AK$1549/100</f>
        <v>80.796999999999997</v>
      </c>
      <c r="AL1549" s="142">
        <f>B1549*IBGE_2!AL$1549/100</f>
        <v>34.402000000000001</v>
      </c>
      <c r="AM1549" s="142">
        <f>B1549*IBGE_2!AM$1549/100</f>
        <v>30.763999999999999</v>
      </c>
      <c r="AN1549" s="161"/>
    </row>
    <row r="1550" spans="1:40">
      <c r="A1550" s="143" t="s">
        <v>2610</v>
      </c>
      <c r="B1550" s="141">
        <v>100</v>
      </c>
      <c r="C1550" s="142">
        <f>B1550*IBGE_2!C$1550/100</f>
        <v>317.24</v>
      </c>
      <c r="D1550" s="142">
        <f>B1550*IBGE_2!D$1550/100</f>
        <v>6.33</v>
      </c>
      <c r="E1550" s="142">
        <f>B1550*IBGE_2!E$1550/100</f>
        <v>8.6999999999999993</v>
      </c>
      <c r="F1550" s="142">
        <f>B1550*IBGE_2!F$1550/100</f>
        <v>5.59</v>
      </c>
      <c r="G1550" s="142">
        <f>B1550*IBGE_2!G$1550/100</f>
        <v>1.56</v>
      </c>
      <c r="H1550" s="142">
        <f>B1550*IBGE_2!H$1550/100</f>
        <v>0.59</v>
      </c>
      <c r="I1550" s="142">
        <f>B1550*IBGE_2!I$1550/100</f>
        <v>0.51</v>
      </c>
      <c r="J1550" s="142">
        <f>B1550*IBGE_2!J$1550/100</f>
        <v>0.02</v>
      </c>
      <c r="K1550" s="142">
        <f>B1550*IBGE_2!K$1550/100</f>
        <v>137.69</v>
      </c>
      <c r="L1550" s="142">
        <f>B1550*IBGE_2!L$1550/100</f>
        <v>54.19</v>
      </c>
      <c r="M1550" s="142">
        <f>B1550*IBGE_2!M$1550/100</f>
        <v>1.2</v>
      </c>
      <c r="N1550" s="142">
        <f>B1550*IBGE_2!N$1550/100</f>
        <v>22.51</v>
      </c>
      <c r="O1550" s="142">
        <f>B1550*IBGE_2!O$1550/100</f>
        <v>15.82</v>
      </c>
      <c r="P1550" s="142">
        <f>B1550*IBGE_2!P$1550/100</f>
        <v>0.48</v>
      </c>
      <c r="Q1550" s="142">
        <f>B1550*IBGE_2!Q$1550/100</f>
        <v>91.55</v>
      </c>
      <c r="R1550" s="142">
        <f>B1550*IBGE_2!R$1550/100</f>
        <v>1.52</v>
      </c>
      <c r="S1550" s="142">
        <f>B1550*IBGE_2!S$1550/100</f>
        <v>78.47</v>
      </c>
      <c r="T1550" s="142">
        <f>B1550*IBGE_2!T$1550/100</f>
        <v>161.56</v>
      </c>
      <c r="U1550" s="142">
        <f>B1550*IBGE_2!U$1550/100</f>
        <v>0.08</v>
      </c>
      <c r="V1550" s="142">
        <f>B1550*IBGE_2!V$1550/100</f>
        <v>0.73</v>
      </c>
      <c r="W1550" s="142">
        <f>B1550*IBGE_2!W$1550/100</f>
        <v>54.56</v>
      </c>
      <c r="X1550" s="142">
        <f>B1550*IBGE_2!X$1550/100</f>
        <v>0.17</v>
      </c>
      <c r="Y1550" s="142">
        <f>B1550*IBGE_2!Y$1550/100</f>
        <v>0.26</v>
      </c>
      <c r="Z1550" s="142">
        <f>B1550*IBGE_2!Z$1550/100</f>
        <v>0.1</v>
      </c>
      <c r="AA1550" s="142">
        <f>B1550*IBGE_2!AA$1550/100</f>
        <v>1.1399999999999999</v>
      </c>
      <c r="AB1550" s="142">
        <f>B1550*IBGE_2!AB$1550/100</f>
        <v>5.26</v>
      </c>
      <c r="AC1550" s="142">
        <f>B1550*IBGE_2!AC$1550/100</f>
        <v>2.41</v>
      </c>
      <c r="AD1550" s="142">
        <f>B1550*IBGE_2!AD$1550/100</f>
        <v>0.36</v>
      </c>
      <c r="AE1550" s="142">
        <f>B1550*IBGE_2!AE$1550/100</f>
        <v>52.64</v>
      </c>
      <c r="AF1550" s="142">
        <f>B1550*IBGE_2!AF$1550/100</f>
        <v>0.42</v>
      </c>
      <c r="AG1550" s="142">
        <f>B1550*IBGE_2!AG$1550/100</f>
        <v>0.43</v>
      </c>
      <c r="AH1550" s="145" t="s">
        <v>3047</v>
      </c>
      <c r="AI1550" s="142" t="s">
        <v>3047</v>
      </c>
      <c r="AJ1550" s="142">
        <f>B1550*IBGE_2!AJ$1550/100</f>
        <v>18.329999999999998</v>
      </c>
      <c r="AK1550" s="142">
        <f>B1550*IBGE_2!AK$1550/100</f>
        <v>56.31</v>
      </c>
      <c r="AL1550" s="142">
        <f>B1550*IBGE_2!AL$1550/100</f>
        <v>39.36</v>
      </c>
      <c r="AM1550" s="142">
        <f>B1550*IBGE_2!AM$1550/100</f>
        <v>37.56</v>
      </c>
      <c r="AN1550" s="161"/>
    </row>
    <row r="1551" spans="1:40">
      <c r="A1551" s="143" t="s">
        <v>2611</v>
      </c>
      <c r="B1551" s="141">
        <v>100</v>
      </c>
      <c r="C1551" s="142">
        <f>B1551*IBGE_2!C$1551/100</f>
        <v>344.85500000000002</v>
      </c>
      <c r="D1551" s="142">
        <f>B1551*IBGE_2!D$1551/100</f>
        <v>4.17</v>
      </c>
      <c r="E1551" s="142">
        <f>B1551*IBGE_2!E$1551/100</f>
        <v>17.256</v>
      </c>
      <c r="F1551" s="142">
        <f>B1551*IBGE_2!F$1551/100</f>
        <v>10.368</v>
      </c>
      <c r="G1551" s="142">
        <f>B1551*IBGE_2!G$1551/100</f>
        <v>4.5919999999999996</v>
      </c>
      <c r="H1551" s="142">
        <f>B1551*IBGE_2!H$1551/100</f>
        <v>0.877</v>
      </c>
      <c r="I1551" s="142">
        <f>B1551*IBGE_2!I$1551/100</f>
        <v>0.78299999999999992</v>
      </c>
      <c r="J1551" s="142">
        <f>B1551*IBGE_2!J$1551/100</f>
        <v>7.0000000000000007E-2</v>
      </c>
      <c r="K1551" s="142">
        <f>B1551*IBGE_2!K$1551/100</f>
        <v>95.412000000000006</v>
      </c>
      <c r="L1551" s="142">
        <f>B1551*IBGE_2!L$1551/100</f>
        <v>44.26700000000001</v>
      </c>
      <c r="M1551" s="142">
        <f>B1551*IBGE_2!M$1551/100</f>
        <v>1.6060000000000003</v>
      </c>
      <c r="N1551" s="142">
        <f>B1551*IBGE_2!N$1551/100</f>
        <v>25.684999999999999</v>
      </c>
      <c r="O1551" s="142">
        <f>B1551*IBGE_2!O$1551/100</f>
        <v>9.2449999999999992</v>
      </c>
      <c r="P1551" s="142">
        <f>B1551*IBGE_2!P$1551/100</f>
        <v>0.249</v>
      </c>
      <c r="Q1551" s="142">
        <f>B1551*IBGE_2!Q$1551/100</f>
        <v>57.527999999999999</v>
      </c>
      <c r="R1551" s="142">
        <f>B1551*IBGE_2!R$1551/100</f>
        <v>1.2609999999999999</v>
      </c>
      <c r="S1551" s="142">
        <f>B1551*IBGE_2!S$1551/100</f>
        <v>240.27900000000002</v>
      </c>
      <c r="T1551" s="142">
        <f>B1551*IBGE_2!T$1551/100</f>
        <v>106.72799999999999</v>
      </c>
      <c r="U1551" s="142">
        <f>B1551*IBGE_2!U$1551/100</f>
        <v>4.2000000000000003E-2</v>
      </c>
      <c r="V1551" s="142">
        <f>B1551*IBGE_2!V$1551/100</f>
        <v>0.35899999999999999</v>
      </c>
      <c r="W1551" s="142">
        <f>B1551*IBGE_2!W$1551/100</f>
        <v>150.68100000000001</v>
      </c>
      <c r="X1551" s="142">
        <f>B1551*IBGE_2!X$1551/100</f>
        <v>0.193</v>
      </c>
      <c r="Y1551" s="142">
        <f>B1551*IBGE_2!Y$1551/100</f>
        <v>0.193</v>
      </c>
      <c r="Z1551" s="142">
        <f>B1551*IBGE_2!Z$1551/100</f>
        <v>6.6000000000000003E-2</v>
      </c>
      <c r="AA1551" s="142">
        <f>B1551*IBGE_2!AA$1551/100</f>
        <v>1.4419999999999999</v>
      </c>
      <c r="AB1551" s="142">
        <f>B1551*IBGE_2!AB$1551/100</f>
        <v>0.94399999999999995</v>
      </c>
      <c r="AC1551" s="142">
        <f>B1551*IBGE_2!AC$1551/100</f>
        <v>2.2999999999999998</v>
      </c>
      <c r="AD1551" s="142">
        <f>B1551*IBGE_2!AD$1551/100</f>
        <v>0.17399999999999999</v>
      </c>
      <c r="AE1551" s="142">
        <f>B1551*IBGE_2!AE$1551/100</f>
        <v>53.143000000000001</v>
      </c>
      <c r="AF1551" s="142">
        <f>B1551*IBGE_2!AF$1551/100</f>
        <v>0.433</v>
      </c>
      <c r="AG1551" s="142">
        <f>B1551*IBGE_2!AG$1551/100</f>
        <v>0.86499999999999999</v>
      </c>
      <c r="AH1551" s="142">
        <f>B1551*IBGE_2!AH$1551/100</f>
        <v>0.63200000000000001</v>
      </c>
      <c r="AI1551" s="142" t="s">
        <v>3047</v>
      </c>
      <c r="AJ1551" s="142">
        <f>B1551*IBGE_2!AJ$1551/100</f>
        <v>11.654000000000002</v>
      </c>
      <c r="AK1551" s="142">
        <f>B1551*IBGE_2!AK$1551/100</f>
        <v>373.35</v>
      </c>
      <c r="AL1551" s="142">
        <f>B1551*IBGE_2!AL$1551/100</f>
        <v>26.611999999999998</v>
      </c>
      <c r="AM1551" s="142">
        <f>B1551*IBGE_2!AM$1551/100</f>
        <v>25.46</v>
      </c>
      <c r="AN1551" s="161"/>
    </row>
    <row r="1552" spans="1:40">
      <c r="A1552" s="143" t="s">
        <v>2612</v>
      </c>
      <c r="B1552" s="141">
        <v>100</v>
      </c>
      <c r="C1552" s="142">
        <f>B1552*IBGE_2!C$1552/100</f>
        <v>286.60000000000002</v>
      </c>
      <c r="D1552" s="142">
        <f>B1552*IBGE_2!D$1552/100</f>
        <v>6.91</v>
      </c>
      <c r="E1552" s="142">
        <f>B1552*IBGE_2!E$1552/100</f>
        <v>4.24</v>
      </c>
      <c r="F1552" s="142">
        <f>B1552*IBGE_2!F$1552/100</f>
        <v>1.27</v>
      </c>
      <c r="G1552" s="142">
        <f>B1552*IBGE_2!G$1552/100</f>
        <v>1.57</v>
      </c>
      <c r="H1552" s="142">
        <f>B1552*IBGE_2!H$1552/100</f>
        <v>0.62</v>
      </c>
      <c r="I1552" s="142">
        <f>B1552*IBGE_2!I$1552/100</f>
        <v>0.53</v>
      </c>
      <c r="J1552" s="142">
        <f>B1552*IBGE_2!J$1552/100</f>
        <v>0.02</v>
      </c>
      <c r="K1552" s="142">
        <f>B1552*IBGE_2!K$1552/100</f>
        <v>160.65</v>
      </c>
      <c r="L1552" s="142">
        <f>B1552*IBGE_2!L$1552/100</f>
        <v>55.27</v>
      </c>
      <c r="M1552" s="142">
        <f>B1552*IBGE_2!M$1552/100</f>
        <v>0.65</v>
      </c>
      <c r="N1552" s="142">
        <f>B1552*IBGE_2!N$1552/100</f>
        <v>23.76</v>
      </c>
      <c r="O1552" s="142">
        <f>B1552*IBGE_2!O$1552/100</f>
        <v>10.130000000000001</v>
      </c>
      <c r="P1552" s="142">
        <f>B1552*IBGE_2!P$1552/100</f>
        <v>0.15</v>
      </c>
      <c r="Q1552" s="142">
        <f>B1552*IBGE_2!Q$1552/100</f>
        <v>88.97</v>
      </c>
      <c r="R1552" s="142">
        <f>B1552*IBGE_2!R$1552/100</f>
        <v>1.46</v>
      </c>
      <c r="S1552" s="142">
        <f>B1552*IBGE_2!S$1552/100</f>
        <v>47.87</v>
      </c>
      <c r="T1552" s="142">
        <f>B1552*IBGE_2!T$1552/100</f>
        <v>132.31</v>
      </c>
      <c r="U1552" s="142">
        <f>B1552*IBGE_2!U$1552/100</f>
        <v>0.04</v>
      </c>
      <c r="V1552" s="142">
        <f>B1552*IBGE_2!V$1552/100</f>
        <v>0.55000000000000004</v>
      </c>
      <c r="W1552" s="142">
        <f>B1552*IBGE_2!W$1552/100</f>
        <v>63.65</v>
      </c>
      <c r="X1552" s="142">
        <f>B1552*IBGE_2!X$1552/100</f>
        <v>0.19</v>
      </c>
      <c r="Y1552" s="142">
        <f>B1552*IBGE_2!Y$1552/100</f>
        <v>0.3</v>
      </c>
      <c r="Z1552" s="142">
        <f>B1552*IBGE_2!Z$1552/100</f>
        <v>7.0000000000000007E-2</v>
      </c>
      <c r="AA1552" s="142">
        <f>B1552*IBGE_2!AA$1552/100</f>
        <v>1.25</v>
      </c>
      <c r="AB1552" s="142">
        <f>B1552*IBGE_2!AB$1552/100</f>
        <v>6.02</v>
      </c>
      <c r="AC1552" s="142">
        <f>B1552*IBGE_2!AC$1552/100</f>
        <v>2.64</v>
      </c>
      <c r="AD1552" s="142">
        <f>B1552*IBGE_2!AD$1552/100</f>
        <v>0.42</v>
      </c>
      <c r="AE1552" s="142">
        <f>B1552*IBGE_2!AE$1552/100</f>
        <v>60.08</v>
      </c>
      <c r="AF1552" s="142">
        <f>B1552*IBGE_2!AF$1552/100</f>
        <v>0.48</v>
      </c>
      <c r="AG1552" s="142">
        <f>B1552*IBGE_2!AG$1552/100</f>
        <v>0.44</v>
      </c>
      <c r="AH1552" s="145" t="s">
        <v>3047</v>
      </c>
      <c r="AI1552" s="142" t="s">
        <v>3047</v>
      </c>
      <c r="AJ1552" s="142">
        <f>B1552*IBGE_2!AJ$1552/100</f>
        <v>18.600000000000001</v>
      </c>
      <c r="AK1552" s="142">
        <f>B1552*IBGE_2!AK$1552/100</f>
        <v>65.7</v>
      </c>
      <c r="AL1552" s="142">
        <f>B1552*IBGE_2!AL$1552/100</f>
        <v>39.840000000000003</v>
      </c>
      <c r="AM1552" s="142">
        <f>B1552*IBGE_2!AM$1552/100</f>
        <v>37.880000000000003</v>
      </c>
      <c r="AN1552" s="161"/>
    </row>
    <row r="1553" spans="1:40">
      <c r="A1553" s="143" t="s">
        <v>2613</v>
      </c>
      <c r="B1553" s="141">
        <v>100</v>
      </c>
      <c r="C1553" s="142">
        <f>B1553*IBGE_2!C$1553/100</f>
        <v>392</v>
      </c>
      <c r="D1553" s="142">
        <f>B1553*IBGE_2!D$1553/100</f>
        <v>9.8000000000000007</v>
      </c>
      <c r="E1553" s="142">
        <f>B1553*IBGE_2!E$1553/100</f>
        <v>18.3</v>
      </c>
      <c r="F1553" s="142" t="s">
        <v>3047</v>
      </c>
      <c r="G1553" s="142" t="s">
        <v>3047</v>
      </c>
      <c r="H1553" s="142" t="s">
        <v>3047</v>
      </c>
      <c r="I1553" s="142" t="s">
        <v>3047</v>
      </c>
      <c r="J1553" s="142" t="s">
        <v>3047</v>
      </c>
      <c r="K1553" s="142" t="s">
        <v>3047</v>
      </c>
      <c r="L1553" s="142">
        <f>B1553*IBGE_2!L$1553/100</f>
        <v>47.1</v>
      </c>
      <c r="M1553" s="142">
        <f>B1553*IBGE_2!M$1553/100</f>
        <v>1.7</v>
      </c>
      <c r="N1553" s="142" t="s">
        <v>3047</v>
      </c>
      <c r="O1553" s="142" t="s">
        <v>3047</v>
      </c>
      <c r="P1553" s="142" t="s">
        <v>3047</v>
      </c>
      <c r="Q1553" s="142" t="s">
        <v>3047</v>
      </c>
      <c r="R1553" s="142" t="s">
        <v>3047</v>
      </c>
      <c r="S1553" s="142" t="s">
        <v>3047</v>
      </c>
      <c r="T1553" s="142" t="s">
        <v>3047</v>
      </c>
      <c r="U1553" s="142" t="s">
        <v>3047</v>
      </c>
      <c r="V1553" s="142" t="s">
        <v>3047</v>
      </c>
      <c r="W1553" s="142" t="s">
        <v>3047</v>
      </c>
      <c r="X1553" s="142" t="s">
        <v>3047</v>
      </c>
      <c r="Y1553" s="142" t="s">
        <v>3047</v>
      </c>
      <c r="Z1553" s="142" t="s">
        <v>3047</v>
      </c>
      <c r="AA1553" s="142" t="s">
        <v>3047</v>
      </c>
      <c r="AB1553" s="142" t="s">
        <v>3047</v>
      </c>
      <c r="AC1553" s="142" t="s">
        <v>3047</v>
      </c>
      <c r="AD1553" s="142" t="s">
        <v>3047</v>
      </c>
      <c r="AE1553" s="142" t="s">
        <v>3047</v>
      </c>
      <c r="AF1553" s="142" t="s">
        <v>3047</v>
      </c>
      <c r="AG1553" s="142" t="s">
        <v>3047</v>
      </c>
      <c r="AH1553" s="142" t="s">
        <v>3047</v>
      </c>
      <c r="AI1553" s="142" t="s">
        <v>3047</v>
      </c>
      <c r="AJ1553" s="142" t="s">
        <v>3047</v>
      </c>
      <c r="AK1553" s="142" t="s">
        <v>3047</v>
      </c>
      <c r="AL1553" s="142" t="s">
        <v>3047</v>
      </c>
      <c r="AM1553" s="142" t="s">
        <v>3047</v>
      </c>
      <c r="AN1553" s="161"/>
    </row>
    <row r="1554" spans="1:40">
      <c r="A1554" s="143" t="s">
        <v>2614</v>
      </c>
      <c r="B1554" s="141">
        <v>100</v>
      </c>
      <c r="C1554" s="142">
        <f>B1554*IBGE_2!C$1554/100</f>
        <v>472</v>
      </c>
      <c r="D1554" s="142">
        <f>B1554*IBGE_2!D$1554/100</f>
        <v>6.4</v>
      </c>
      <c r="E1554" s="142">
        <f>B1554*IBGE_2!E$1554/100</f>
        <v>19.600000000000001</v>
      </c>
      <c r="F1554" s="142">
        <f>B1554*IBGE_2!F$1554/100</f>
        <v>6.2</v>
      </c>
      <c r="G1554" s="142">
        <f>B1554*IBGE_2!G$1554/100</f>
        <v>6.6</v>
      </c>
      <c r="H1554" s="142">
        <f>B1554*IBGE_2!H$1554/100</f>
        <v>1.7</v>
      </c>
      <c r="I1554" s="142">
        <f>B1554*IBGE_2!I$1554/100</f>
        <v>1.68</v>
      </c>
      <c r="J1554" s="142">
        <f>B1554*IBGE_2!J$1554/100</f>
        <v>0.06</v>
      </c>
      <c r="K1554" s="142" t="s">
        <v>3047</v>
      </c>
      <c r="L1554" s="142">
        <f>B1554*IBGE_2!L$1554/100</f>
        <v>70.5</v>
      </c>
      <c r="M1554" s="142">
        <f>B1554*IBGE_2!M$1554/100</f>
        <v>3</v>
      </c>
      <c r="N1554" s="142">
        <f>B1554*IBGE_2!N$1554/100</f>
        <v>27</v>
      </c>
      <c r="O1554" s="142">
        <f>B1554*IBGE_2!O$1554/100</f>
        <v>48</v>
      </c>
      <c r="P1554" s="142" t="s">
        <v>3047</v>
      </c>
      <c r="Q1554" s="142">
        <f>B1554*IBGE_2!Q$1554/100</f>
        <v>139</v>
      </c>
      <c r="R1554" s="142">
        <f>B1554*IBGE_2!R$1554/100</f>
        <v>2.2999999999999998</v>
      </c>
      <c r="S1554" s="142">
        <f>B1554*IBGE_2!S$1554/100</f>
        <v>239</v>
      </c>
      <c r="T1554" s="142">
        <f>B1554*IBGE_2!T$1554/100</f>
        <v>232</v>
      </c>
      <c r="U1554" s="142">
        <f>B1554*IBGE_2!U$1554/100</f>
        <v>0.27</v>
      </c>
      <c r="V1554" s="142">
        <f>B1554*IBGE_2!V$1554/100</f>
        <v>1</v>
      </c>
      <c r="W1554" s="142" t="s">
        <v>3047</v>
      </c>
      <c r="X1554" s="142">
        <f>B1554*IBGE_2!X$1554/100</f>
        <v>0.32</v>
      </c>
      <c r="Y1554" s="142">
        <f>B1554*IBGE_2!Y$1554/100</f>
        <v>0.39</v>
      </c>
      <c r="Z1554" s="142">
        <f>B1554*IBGE_2!Z$1554/100</f>
        <v>0.46</v>
      </c>
      <c r="AA1554" s="142">
        <f>B1554*IBGE_2!AA$1554/100</f>
        <v>2.52</v>
      </c>
      <c r="AB1554" s="142" t="s">
        <v>3047</v>
      </c>
      <c r="AC1554" s="145" t="s">
        <v>3047</v>
      </c>
      <c r="AD1554" s="145" t="s">
        <v>3047</v>
      </c>
      <c r="AE1554" s="145" t="s">
        <v>3047</v>
      </c>
      <c r="AF1554" s="145" t="s">
        <v>3047</v>
      </c>
      <c r="AG1554" s="145" t="s">
        <v>3047</v>
      </c>
      <c r="AH1554" s="142">
        <f>B1554*IBGE_2!AH$1554/100</f>
        <v>4.21</v>
      </c>
      <c r="AI1554" s="145" t="s">
        <v>3047</v>
      </c>
      <c r="AJ1554" s="145" t="s">
        <v>3047</v>
      </c>
      <c r="AK1554" s="145" t="s">
        <v>3047</v>
      </c>
      <c r="AL1554" s="142">
        <f>B1554*IBGE_2!AL$1554/100</f>
        <v>40.619999999999997</v>
      </c>
      <c r="AM1554" s="142">
        <f>B1554*IBGE_2!AM$1554/100</f>
        <v>40.53</v>
      </c>
      <c r="AN1554" s="161"/>
    </row>
    <row r="1555" spans="1:40">
      <c r="A1555" s="143" t="s">
        <v>2615</v>
      </c>
      <c r="B1555" s="141">
        <v>100</v>
      </c>
      <c r="C1555" s="142">
        <f>B1555*IBGE_2!C$1555/100</f>
        <v>430.32</v>
      </c>
      <c r="D1555" s="142">
        <f>B1555*IBGE_2!D$1555/100</f>
        <v>6.25</v>
      </c>
      <c r="E1555" s="142">
        <f>B1555*IBGE_2!E$1555/100</f>
        <v>12.49</v>
      </c>
      <c r="F1555" s="142">
        <f>B1555*IBGE_2!F$1555/100</f>
        <v>2.76</v>
      </c>
      <c r="G1555" s="142">
        <f>B1555*IBGE_2!G$1555/100</f>
        <v>4.67</v>
      </c>
      <c r="H1555" s="142">
        <f>B1555*IBGE_2!H$1555/100</f>
        <v>4.18</v>
      </c>
      <c r="I1555" s="142">
        <f>B1555*IBGE_2!I$1555/100</f>
        <v>3.87</v>
      </c>
      <c r="J1555" s="142">
        <f>B1555*IBGE_2!J$1555/100</f>
        <v>0.28999999999999998</v>
      </c>
      <c r="K1555" s="142">
        <f>B1555*IBGE_2!K$1555/100</f>
        <v>15.64</v>
      </c>
      <c r="L1555" s="142">
        <f>B1555*IBGE_2!L$1555/100</f>
        <v>74.790000000000006</v>
      </c>
      <c r="M1555" s="142">
        <f>B1555*IBGE_2!M$1555/100</f>
        <v>2.25</v>
      </c>
      <c r="N1555" s="142">
        <f>B1555*IBGE_2!N$1555/100</f>
        <v>34.82</v>
      </c>
      <c r="O1555" s="142">
        <f>B1555*IBGE_2!O$1555/100</f>
        <v>23.45</v>
      </c>
      <c r="P1555" s="142">
        <f>B1555*IBGE_2!P$1555/100</f>
        <v>0.47</v>
      </c>
      <c r="Q1555" s="142">
        <f>B1555*IBGE_2!Q$1555/100</f>
        <v>91.23</v>
      </c>
      <c r="R1555" s="142">
        <f>B1555*IBGE_2!R$1555/100</f>
        <v>2.82</v>
      </c>
      <c r="S1555" s="142">
        <f>B1555*IBGE_2!S$1555/100</f>
        <v>717.78</v>
      </c>
      <c r="T1555" s="142">
        <f>B1555*IBGE_2!T$1555/100</f>
        <v>114.85</v>
      </c>
      <c r="U1555" s="142">
        <f>B1555*IBGE_2!U$1555/100</f>
        <v>0.2</v>
      </c>
      <c r="V1555" s="142">
        <f>B1555*IBGE_2!V$1555/100</f>
        <v>0.7</v>
      </c>
      <c r="W1555" s="142">
        <f>B1555*IBGE_2!W$1555/100</f>
        <v>2.64</v>
      </c>
      <c r="X1555" s="142">
        <f>B1555*IBGE_2!X$1555/100</f>
        <v>0.41</v>
      </c>
      <c r="Y1555" s="142">
        <f>B1555*IBGE_2!Y$1555/100</f>
        <v>0.3</v>
      </c>
      <c r="Z1555" s="142">
        <f>B1555*IBGE_2!Z$1555/100</f>
        <v>0.04</v>
      </c>
      <c r="AA1555" s="142">
        <f>B1555*IBGE_2!AA$1555/100</f>
        <v>3.07</v>
      </c>
      <c r="AB1555" s="142">
        <f>B1555*IBGE_2!AB$1555/100</f>
        <v>0.03</v>
      </c>
      <c r="AC1555" s="142">
        <f>B1555*IBGE_2!AC$1555/100</f>
        <v>4.37</v>
      </c>
      <c r="AD1555" s="142">
        <f>B1555*IBGE_2!AD$1555/100</f>
        <v>0.06</v>
      </c>
      <c r="AE1555" s="142">
        <f>B1555*IBGE_2!AE$1555/100</f>
        <v>107.14</v>
      </c>
      <c r="AF1555" s="142">
        <f>B1555*IBGE_2!AF$1555/100</f>
        <v>0.04</v>
      </c>
      <c r="AG1555" s="142">
        <f>B1555*IBGE_2!AG$1555/100</f>
        <v>0.91</v>
      </c>
      <c r="AH1555" s="142">
        <f>B1555*IBGE_2!AH$1555/100</f>
        <v>1.4</v>
      </c>
      <c r="AI1555" s="145" t="s">
        <v>3047</v>
      </c>
      <c r="AJ1555" s="142">
        <f>B1555*IBGE_2!AJ$1555/100</f>
        <v>23.79</v>
      </c>
      <c r="AK1555" s="142">
        <f>B1555*IBGE_2!AK$1555/100</f>
        <v>2.68</v>
      </c>
      <c r="AL1555" s="142">
        <f>B1555*IBGE_2!AL$1555/100</f>
        <v>34.840000000000003</v>
      </c>
      <c r="AM1555" s="142">
        <f>B1555*IBGE_2!AM$1555/100</f>
        <v>33.85</v>
      </c>
      <c r="AN1555" s="161"/>
    </row>
    <row r="1556" spans="1:40">
      <c r="A1556" s="143" t="s">
        <v>2616</v>
      </c>
      <c r="B1556" s="141">
        <v>100</v>
      </c>
      <c r="C1556" s="142">
        <f>B1556*IBGE_2!C$1556/100</f>
        <v>505.21</v>
      </c>
      <c r="D1556" s="142">
        <f>B1556*IBGE_2!D$1556/100</f>
        <v>6.47</v>
      </c>
      <c r="E1556" s="142">
        <f>B1556*IBGE_2!E$1556/100</f>
        <v>22.55</v>
      </c>
      <c r="F1556" s="142">
        <f>B1556*IBGE_2!F$1556/100</f>
        <v>7.63</v>
      </c>
      <c r="G1556" s="142">
        <f>B1556*IBGE_2!G$1556/100</f>
        <v>10.27</v>
      </c>
      <c r="H1556" s="142">
        <f>B1556*IBGE_2!H$1556/100</f>
        <v>3.41</v>
      </c>
      <c r="I1556" s="142">
        <f>B1556*IBGE_2!I$1556/100</f>
        <v>3.18</v>
      </c>
      <c r="J1556" s="142">
        <f>B1556*IBGE_2!J$1556/100</f>
        <v>0.15</v>
      </c>
      <c r="K1556" s="142">
        <f>B1556*IBGE_2!K$1556/100</f>
        <v>0.02</v>
      </c>
      <c r="L1556" s="142">
        <f>B1556*IBGE_2!L$1556/100</f>
        <v>70.849999999999994</v>
      </c>
      <c r="M1556" s="142">
        <f>B1556*IBGE_2!M$1556/100</f>
        <v>2.4300000000000002</v>
      </c>
      <c r="N1556" s="142">
        <f>B1556*IBGE_2!N$1556/100</f>
        <v>68.59</v>
      </c>
      <c r="O1556" s="142">
        <f>B1556*IBGE_2!O$1556/100</f>
        <v>26.03</v>
      </c>
      <c r="P1556" s="142">
        <f>B1556*IBGE_2!P$1556/100</f>
        <v>0.49</v>
      </c>
      <c r="Q1556" s="142">
        <f>B1556*IBGE_2!Q$1556/100</f>
        <v>102.32</v>
      </c>
      <c r="R1556" s="142">
        <f>B1556*IBGE_2!R$1556/100</f>
        <v>3.09</v>
      </c>
      <c r="S1556" s="142">
        <f>B1556*IBGE_2!S$1556/100</f>
        <v>354.18</v>
      </c>
      <c r="T1556" s="142">
        <f>B1556*IBGE_2!T$1556/100</f>
        <v>119.45</v>
      </c>
      <c r="U1556" s="142">
        <f>B1556*IBGE_2!U$1556/100</f>
        <v>0.17</v>
      </c>
      <c r="V1556" s="142">
        <f>B1556*IBGE_2!V$1556/100</f>
        <v>0.59</v>
      </c>
      <c r="W1556" s="142">
        <f>B1556*IBGE_2!W$1556/100</f>
        <v>0.12</v>
      </c>
      <c r="X1556" s="142">
        <f>B1556*IBGE_2!X$1556/100</f>
        <v>0.46</v>
      </c>
      <c r="Y1556" s="142">
        <f>B1556*IBGE_2!Y$1556/100</f>
        <v>0.31</v>
      </c>
      <c r="Z1556" s="142">
        <f>B1556*IBGE_2!Z$1556/100</f>
        <v>0.04</v>
      </c>
      <c r="AA1556" s="142">
        <f>B1556*IBGE_2!AA$1556/100</f>
        <v>3.48</v>
      </c>
      <c r="AB1556" s="142">
        <f>B1556*IBGE_2!AB$1556/100</f>
        <v>0.01</v>
      </c>
      <c r="AC1556" s="142">
        <f>B1556*IBGE_2!AC$1556/100</f>
        <v>4.84</v>
      </c>
      <c r="AD1556" s="142">
        <f>B1556*IBGE_2!AD$1556/100</f>
        <v>0.02</v>
      </c>
      <c r="AE1556" s="142">
        <f>B1556*IBGE_2!AE$1556/100</f>
        <v>119.19</v>
      </c>
      <c r="AF1556" s="145" t="s">
        <v>3047</v>
      </c>
      <c r="AG1556" s="142">
        <f>B1556*IBGE_2!AG$1556/100</f>
        <v>2.15</v>
      </c>
      <c r="AH1556" s="142">
        <f>B1556*IBGE_2!AH$1556/100</f>
        <v>4.8499999999999996</v>
      </c>
      <c r="AI1556" s="145" t="s">
        <v>3047</v>
      </c>
      <c r="AJ1556" s="142">
        <f>B1556*IBGE_2!AJ$1556/100</f>
        <v>21.11</v>
      </c>
      <c r="AK1556" s="142">
        <f>B1556*IBGE_2!AK$1556/100</f>
        <v>0.12</v>
      </c>
      <c r="AL1556" s="142">
        <f>B1556*IBGE_2!AL$1556/100</f>
        <v>25.21</v>
      </c>
      <c r="AM1556" s="142">
        <f>B1556*IBGE_2!AM$1556/100</f>
        <v>24.8</v>
      </c>
      <c r="AN1556" s="161"/>
    </row>
    <row r="1557" spans="1:40">
      <c r="A1557" s="143" t="s">
        <v>2617</v>
      </c>
      <c r="B1557" s="141">
        <v>100</v>
      </c>
      <c r="C1557" s="142">
        <f>B1557*IBGE_2!C$1557/100</f>
        <v>472</v>
      </c>
      <c r="D1557" s="142">
        <f>B1557*IBGE_2!D$1557/100</f>
        <v>6.4</v>
      </c>
      <c r="E1557" s="142">
        <f>B1557*IBGE_2!E$1557/100</f>
        <v>19.600000000000001</v>
      </c>
      <c r="F1557" s="142">
        <f>B1557*IBGE_2!F$1557/100</f>
        <v>6.2</v>
      </c>
      <c r="G1557" s="142">
        <f>B1557*IBGE_2!G$1557/100</f>
        <v>6.6</v>
      </c>
      <c r="H1557" s="142">
        <f>B1557*IBGE_2!H$1557/100</f>
        <v>1.7</v>
      </c>
      <c r="I1557" s="142">
        <f>B1557*IBGE_2!I$1557/100</f>
        <v>1.68</v>
      </c>
      <c r="J1557" s="142">
        <f>B1557*IBGE_2!J$1557/100</f>
        <v>0.06</v>
      </c>
      <c r="K1557" s="142" t="s">
        <v>3047</v>
      </c>
      <c r="L1557" s="142">
        <f>B1557*IBGE_2!L$1557/100</f>
        <v>70.5</v>
      </c>
      <c r="M1557" s="142">
        <f>B1557*IBGE_2!M$1557/100</f>
        <v>3</v>
      </c>
      <c r="N1557" s="142">
        <f>B1557*IBGE_2!N$1557/100</f>
        <v>27</v>
      </c>
      <c r="O1557" s="142">
        <f>B1557*IBGE_2!O$1557/100</f>
        <v>48</v>
      </c>
      <c r="P1557" s="142" t="s">
        <v>3047</v>
      </c>
      <c r="Q1557" s="142">
        <f>B1557*IBGE_2!Q$1557/100</f>
        <v>139</v>
      </c>
      <c r="R1557" s="142">
        <f>B1557*IBGE_2!R$1557/100</f>
        <v>2.2999999999999998</v>
      </c>
      <c r="S1557" s="142">
        <f>B1557*IBGE_2!S$1557/100</f>
        <v>239</v>
      </c>
      <c r="T1557" s="142">
        <f>B1557*IBGE_2!T$1557/100</f>
        <v>232</v>
      </c>
      <c r="U1557" s="142">
        <f>B1557*IBGE_2!U$1557/100</f>
        <v>0.27</v>
      </c>
      <c r="V1557" s="142">
        <f>B1557*IBGE_2!V$1557/100</f>
        <v>1</v>
      </c>
      <c r="W1557" s="142" t="s">
        <v>3047</v>
      </c>
      <c r="X1557" s="142">
        <f>B1557*IBGE_2!X$1557/100</f>
        <v>0.32</v>
      </c>
      <c r="Y1557" s="142">
        <f>B1557*IBGE_2!Y$1557/100</f>
        <v>0.39</v>
      </c>
      <c r="Z1557" s="142">
        <f>B1557*IBGE_2!Z$1557/100</f>
        <v>0.46</v>
      </c>
      <c r="AA1557" s="142">
        <f>B1557*IBGE_2!AA$1557/100</f>
        <v>2.52</v>
      </c>
      <c r="AB1557" s="142" t="s">
        <v>3047</v>
      </c>
      <c r="AC1557" s="145" t="s">
        <v>3047</v>
      </c>
      <c r="AD1557" s="145" t="s">
        <v>3047</v>
      </c>
      <c r="AE1557" s="145" t="s">
        <v>3047</v>
      </c>
      <c r="AF1557" s="145" t="s">
        <v>3047</v>
      </c>
      <c r="AG1557" s="145" t="s">
        <v>3047</v>
      </c>
      <c r="AH1557" s="142">
        <f>B1557*IBGE_2!AH$1557/100</f>
        <v>4.21</v>
      </c>
      <c r="AI1557" s="145" t="s">
        <v>3047</v>
      </c>
      <c r="AJ1557" s="145" t="s">
        <v>3047</v>
      </c>
      <c r="AK1557" s="145" t="s">
        <v>3047</v>
      </c>
      <c r="AL1557" s="142">
        <f>B1557*IBGE_2!AL$1557/100</f>
        <v>40.619999999999997</v>
      </c>
      <c r="AM1557" s="142">
        <f>B1557*IBGE_2!AM$1557/100</f>
        <v>40.53</v>
      </c>
      <c r="AN1557" s="161"/>
    </row>
    <row r="1558" spans="1:40">
      <c r="A1558" s="143" t="s">
        <v>2618</v>
      </c>
      <c r="B1558" s="141">
        <v>100</v>
      </c>
      <c r="C1558" s="142">
        <f>B1558*IBGE_2!C$1558/100</f>
        <v>620.20000000000005</v>
      </c>
      <c r="D1558" s="142">
        <f>B1558*IBGE_2!D$1558/100</f>
        <v>5.5720000000000001</v>
      </c>
      <c r="E1558" s="142">
        <f>B1558*IBGE_2!E$1558/100</f>
        <v>26.284000000000002</v>
      </c>
      <c r="F1558" s="142">
        <f>B1558*IBGE_2!F$1558/100</f>
        <v>15.888</v>
      </c>
      <c r="G1558" s="142">
        <f>B1558*IBGE_2!G$1558/100</f>
        <v>7.5510000000000002</v>
      </c>
      <c r="H1558" s="142">
        <f>B1558*IBGE_2!H$1558/100</f>
        <v>1.117</v>
      </c>
      <c r="I1558" s="142">
        <f>B1558*IBGE_2!I$1558/100</f>
        <v>1.01</v>
      </c>
      <c r="J1558" s="142">
        <f>B1558*IBGE_2!J$1558/100</f>
        <v>8.900000000000001E-2</v>
      </c>
      <c r="K1558" s="142">
        <f>B1558*IBGE_2!K$1558/100</f>
        <v>78.206999999999994</v>
      </c>
      <c r="L1558" s="142">
        <f>B1558*IBGE_2!L$1558/100</f>
        <v>98.061999999999983</v>
      </c>
      <c r="M1558" s="142">
        <f>B1558*IBGE_2!M$1558/100</f>
        <v>3.2189999999999999</v>
      </c>
      <c r="N1558" s="142">
        <f>B1558*IBGE_2!N$1558/100</f>
        <v>53.667000000000002</v>
      </c>
      <c r="O1558" s="142">
        <f>B1558*IBGE_2!O$1558/100</f>
        <v>56.231000000000002</v>
      </c>
      <c r="P1558" s="142">
        <f>B1558*IBGE_2!P$1558/100</f>
        <v>0.65300000000000002</v>
      </c>
      <c r="Q1558" s="142">
        <f>B1558*IBGE_2!Q$1558/100</f>
        <v>112.988</v>
      </c>
      <c r="R1558" s="142">
        <f>B1558*IBGE_2!R$1558/100</f>
        <v>3.2490000000000006</v>
      </c>
      <c r="S1558" s="142">
        <f>B1558*IBGE_2!S$1558/100</f>
        <v>151.82599999999999</v>
      </c>
      <c r="T1558" s="142">
        <f>B1558*IBGE_2!T$1558/100</f>
        <v>182.92599999999999</v>
      </c>
      <c r="U1558" s="142">
        <f>B1558*IBGE_2!U$1558/100</f>
        <v>0.439</v>
      </c>
      <c r="V1558" s="142">
        <f>B1558*IBGE_2!V$1558/100</f>
        <v>1.3680000000000001</v>
      </c>
      <c r="W1558" s="142">
        <f>B1558*IBGE_2!W$1558/100</f>
        <v>137.602</v>
      </c>
      <c r="X1558" s="142">
        <f>B1558*IBGE_2!X$1558/100</f>
        <v>0.21099999999999997</v>
      </c>
      <c r="Y1558" s="142">
        <f>B1558*IBGE_2!Y$1558/100</f>
        <v>0.20599999999999999</v>
      </c>
      <c r="Z1558" s="142">
        <f>B1558*IBGE_2!Z$1558/100</f>
        <v>3.1E-2</v>
      </c>
      <c r="AA1558" s="142">
        <f>B1558*IBGE_2!AA$1558/100</f>
        <v>1.57</v>
      </c>
      <c r="AB1558" s="142" t="s">
        <v>3047</v>
      </c>
      <c r="AC1558" s="142">
        <f>B1558*IBGE_2!AC$1558/100</f>
        <v>2.7149999999999999</v>
      </c>
      <c r="AD1558" s="142">
        <f>B1558*IBGE_2!AD$1558/100</f>
        <v>0.13300000000000001</v>
      </c>
      <c r="AE1558" s="142">
        <f>B1558*IBGE_2!AE$1558/100</f>
        <v>56.481000000000002</v>
      </c>
      <c r="AF1558" s="142">
        <f>B1558*IBGE_2!AF$1558/100</f>
        <v>0.55400000000000005</v>
      </c>
      <c r="AG1558" s="142">
        <f>B1558*IBGE_2!AG$1558/100</f>
        <v>0.61599999999999999</v>
      </c>
      <c r="AH1558" s="142">
        <f>B1558*IBGE_2!AH$1558/100</f>
        <v>0.59699999999999998</v>
      </c>
      <c r="AI1558" s="145" t="s">
        <v>3047</v>
      </c>
      <c r="AJ1558" s="142">
        <f>B1558*IBGE_2!AJ$1558/100</f>
        <v>12.724</v>
      </c>
      <c r="AK1558" s="142">
        <f>B1558*IBGE_2!AK$1558/100</f>
        <v>140.12100000000001</v>
      </c>
      <c r="AL1558" s="142">
        <f>B1558*IBGE_2!AL$1558/100</f>
        <v>74.972999999999999</v>
      </c>
      <c r="AM1558" s="142">
        <f>B1558*IBGE_2!AM$1558/100</f>
        <v>75.629000000000005</v>
      </c>
      <c r="AN1558" s="161"/>
    </row>
    <row r="1559" spans="1:40">
      <c r="A1559" s="143" t="s">
        <v>2619</v>
      </c>
      <c r="B1559" s="141">
        <v>100</v>
      </c>
      <c r="C1559" s="142">
        <f>B1559*IBGE_2!C$1559/100</f>
        <v>472</v>
      </c>
      <c r="D1559" s="142">
        <f>B1559*IBGE_2!D$1559/100</f>
        <v>6.4</v>
      </c>
      <c r="E1559" s="142">
        <f>B1559*IBGE_2!E$1559/100</f>
        <v>19.600000000000001</v>
      </c>
      <c r="F1559" s="142">
        <f>B1559*IBGE_2!F$1559/100</f>
        <v>6.2</v>
      </c>
      <c r="G1559" s="142">
        <f>B1559*IBGE_2!G$1559/100</f>
        <v>6.6</v>
      </c>
      <c r="H1559" s="142">
        <f>B1559*IBGE_2!H$1559/100</f>
        <v>1.7</v>
      </c>
      <c r="I1559" s="142">
        <f>B1559*IBGE_2!I$1559/100</f>
        <v>1.68</v>
      </c>
      <c r="J1559" s="142">
        <f>B1559*IBGE_2!J$1559/100</f>
        <v>0.06</v>
      </c>
      <c r="K1559" s="142" t="s">
        <v>3047</v>
      </c>
      <c r="L1559" s="142">
        <f>B1559*IBGE_2!L$1559/100</f>
        <v>70.5</v>
      </c>
      <c r="M1559" s="142">
        <f>B1559*IBGE_2!M$1559/100</f>
        <v>3</v>
      </c>
      <c r="N1559" s="142">
        <f>B1559*IBGE_2!N$1559/100</f>
        <v>27</v>
      </c>
      <c r="O1559" s="142">
        <f>B1559*IBGE_2!O$1559/100</f>
        <v>48</v>
      </c>
      <c r="P1559" s="142" t="s">
        <v>3047</v>
      </c>
      <c r="Q1559" s="142">
        <f>B1559*IBGE_2!Q$1559/100</f>
        <v>139</v>
      </c>
      <c r="R1559" s="142">
        <f>B1559*IBGE_2!R$1559/100</f>
        <v>2.2999999999999998</v>
      </c>
      <c r="S1559" s="142">
        <f>B1559*IBGE_2!S$1559/100</f>
        <v>239</v>
      </c>
      <c r="T1559" s="142">
        <f>B1559*IBGE_2!T$1559/100</f>
        <v>232</v>
      </c>
      <c r="U1559" s="142">
        <f>B1559*IBGE_2!U$1559/100</f>
        <v>0.27</v>
      </c>
      <c r="V1559" s="142">
        <f>B1559*IBGE_2!V$1559/100</f>
        <v>1</v>
      </c>
      <c r="W1559" s="142" t="s">
        <v>3047</v>
      </c>
      <c r="X1559" s="142">
        <f>B1559*IBGE_2!X$1559/100</f>
        <v>0.32</v>
      </c>
      <c r="Y1559" s="142">
        <f>B1559*IBGE_2!Y$1559/100</f>
        <v>0.39</v>
      </c>
      <c r="Z1559" s="142">
        <f>B1559*IBGE_2!Z$1559/100</f>
        <v>0.46</v>
      </c>
      <c r="AA1559" s="142">
        <f>B1559*IBGE_2!AA$1559/100</f>
        <v>2.52</v>
      </c>
      <c r="AB1559" s="142" t="s">
        <v>3047</v>
      </c>
      <c r="AC1559" s="145" t="s">
        <v>3047</v>
      </c>
      <c r="AD1559" s="145" t="s">
        <v>3047</v>
      </c>
      <c r="AE1559" s="145" t="s">
        <v>3047</v>
      </c>
      <c r="AF1559" s="145" t="s">
        <v>3047</v>
      </c>
      <c r="AG1559" s="145" t="s">
        <v>3047</v>
      </c>
      <c r="AH1559" s="142">
        <f>B1559*IBGE_2!AH$1559/100</f>
        <v>4.21</v>
      </c>
      <c r="AI1559" s="145" t="s">
        <v>3047</v>
      </c>
      <c r="AJ1559" s="145" t="s">
        <v>3047</v>
      </c>
      <c r="AK1559" s="145" t="s">
        <v>3047</v>
      </c>
      <c r="AL1559" s="142">
        <f>B1559*IBGE_2!AL$1559/100</f>
        <v>40.619999999999997</v>
      </c>
      <c r="AM1559" s="142">
        <f>B1559*IBGE_2!AM$1559/100</f>
        <v>40.53</v>
      </c>
      <c r="AN1559" s="161"/>
    </row>
    <row r="1560" spans="1:40">
      <c r="A1560" s="143" t="s">
        <v>2620</v>
      </c>
      <c r="B1560" s="141">
        <v>100</v>
      </c>
      <c r="C1560" s="142">
        <f>B1560*IBGE_2!C$1560/100</f>
        <v>432</v>
      </c>
      <c r="D1560" s="142">
        <f>B1560*IBGE_2!D$1560/100</f>
        <v>10.1</v>
      </c>
      <c r="E1560" s="142">
        <f>B1560*IBGE_2!E$1560/100</f>
        <v>14.4</v>
      </c>
      <c r="F1560" s="142">
        <f>B1560*IBGE_2!F$1560/100</f>
        <v>4.4000000000000004</v>
      </c>
      <c r="G1560" s="142">
        <f>B1560*IBGE_2!G$1560/100</f>
        <v>4.5999999999999996</v>
      </c>
      <c r="H1560" s="142">
        <f>B1560*IBGE_2!H$1560/100</f>
        <v>2.9</v>
      </c>
      <c r="I1560" s="142">
        <f>B1560*IBGE_2!I$1560/100</f>
        <v>2.79</v>
      </c>
      <c r="J1560" s="142">
        <f>B1560*IBGE_2!J$1560/100</f>
        <v>0.01</v>
      </c>
      <c r="K1560" s="142" t="s">
        <v>3047</v>
      </c>
      <c r="L1560" s="142">
        <f>B1560*IBGE_2!L$1560/100</f>
        <v>68.7</v>
      </c>
      <c r="M1560" s="142">
        <f>B1560*IBGE_2!M$1560/100</f>
        <v>2.5</v>
      </c>
      <c r="N1560" s="142">
        <f>B1560*IBGE_2!N$1560/100</f>
        <v>20</v>
      </c>
      <c r="O1560" s="142">
        <f>B1560*IBGE_2!O$1560/100</f>
        <v>40</v>
      </c>
      <c r="P1560" s="142" t="s">
        <v>3047</v>
      </c>
      <c r="Q1560" s="142">
        <f>B1560*IBGE_2!Q$1560/100</f>
        <v>148</v>
      </c>
      <c r="R1560" s="142">
        <f>B1560*IBGE_2!R$1560/100</f>
        <v>2.2000000000000002</v>
      </c>
      <c r="S1560" s="142">
        <f>B1560*IBGE_2!S$1560/100</f>
        <v>854</v>
      </c>
      <c r="T1560" s="142">
        <f>B1560*IBGE_2!T$1560/100</f>
        <v>181</v>
      </c>
      <c r="U1560" s="142">
        <f>B1560*IBGE_2!U$1560/100</f>
        <v>0.18</v>
      </c>
      <c r="V1560" s="142">
        <f>B1560*IBGE_2!V$1560/100</f>
        <v>1.1000000000000001</v>
      </c>
      <c r="W1560" s="142" t="s">
        <v>3047</v>
      </c>
      <c r="X1560" s="142">
        <f>B1560*IBGE_2!X$1560/100</f>
        <v>0.71</v>
      </c>
      <c r="Y1560" s="142">
        <f>B1560*IBGE_2!Y$1560/100</f>
        <v>0.13</v>
      </c>
      <c r="Z1560" s="142">
        <f>B1560*IBGE_2!Z$1560/100</f>
        <v>0.17</v>
      </c>
      <c r="AA1560" s="142">
        <f>B1560*IBGE_2!AA$1560/100</f>
        <v>7.14</v>
      </c>
      <c r="AB1560" s="142" t="s">
        <v>3047</v>
      </c>
      <c r="AC1560" s="145" t="s">
        <v>3047</v>
      </c>
      <c r="AD1560" s="145" t="s">
        <v>3047</v>
      </c>
      <c r="AE1560" s="145" t="s">
        <v>3047</v>
      </c>
      <c r="AF1560" s="145" t="s">
        <v>3047</v>
      </c>
      <c r="AG1560" s="145" t="s">
        <v>3047</v>
      </c>
      <c r="AH1560" s="142">
        <f>B1560*IBGE_2!AH$1560/100</f>
        <v>1.8</v>
      </c>
      <c r="AI1560" s="145" t="s">
        <v>3047</v>
      </c>
      <c r="AJ1560" s="145" t="s">
        <v>3047</v>
      </c>
      <c r="AK1560" s="145" t="s">
        <v>3047</v>
      </c>
      <c r="AL1560" s="142">
        <f>B1560*IBGE_2!AL$1560/100</f>
        <v>10.64</v>
      </c>
      <c r="AM1560" s="142">
        <f>B1560*IBGE_2!AM$1560/100</f>
        <v>10.58</v>
      </c>
      <c r="AN1560" s="161"/>
    </row>
    <row r="1561" spans="1:40">
      <c r="A1561" s="143" t="s">
        <v>2621</v>
      </c>
      <c r="B1561" s="141">
        <v>100</v>
      </c>
      <c r="C1561" s="142">
        <f>B1561*IBGE_2!C$1561/100</f>
        <v>203.179</v>
      </c>
      <c r="D1561" s="142">
        <f>B1561*IBGE_2!D$1561/100</f>
        <v>13.96</v>
      </c>
      <c r="E1561" s="142">
        <f>B1561*IBGE_2!E$1561/100</f>
        <v>12.457000000000001</v>
      </c>
      <c r="F1561" s="142">
        <f>B1561*IBGE_2!F$1561/100</f>
        <v>4.8029999999999999</v>
      </c>
      <c r="G1561" s="142">
        <f>B1561*IBGE_2!G$1561/100</f>
        <v>5.1420000000000003</v>
      </c>
      <c r="H1561" s="142">
        <f>B1561*IBGE_2!H$1561/100</f>
        <v>1.258</v>
      </c>
      <c r="I1561" s="142">
        <f>B1561*IBGE_2!I$1561/100</f>
        <v>1.129</v>
      </c>
      <c r="J1561" s="142">
        <f>B1561*IBGE_2!J$1561/100</f>
        <v>8.900000000000001E-2</v>
      </c>
      <c r="K1561" s="142">
        <f>B1561*IBGE_2!K$1561/100</f>
        <v>77.230999999999995</v>
      </c>
      <c r="L1561" s="142">
        <f>B1561*IBGE_2!L$1561/100</f>
        <v>8.266</v>
      </c>
      <c r="M1561" s="142">
        <f>B1561*IBGE_2!M$1561/100</f>
        <v>0.65900000000000003</v>
      </c>
      <c r="N1561" s="142">
        <f>B1561*IBGE_2!N$1561/100</f>
        <v>91.912999999999997</v>
      </c>
      <c r="O1561" s="142">
        <f>B1561*IBGE_2!O$1561/100</f>
        <v>21.819000000000003</v>
      </c>
      <c r="P1561" s="142">
        <f>B1561*IBGE_2!P$1561/100</f>
        <v>0.13400000000000001</v>
      </c>
      <c r="Q1561" s="142">
        <f>B1561*IBGE_2!Q$1561/100</f>
        <v>162.99700000000001</v>
      </c>
      <c r="R1561" s="142">
        <f>B1561*IBGE_2!R$1561/100</f>
        <v>1.544</v>
      </c>
      <c r="S1561" s="142">
        <f>B1561*IBGE_2!S$1561/100</f>
        <v>332.45100000000008</v>
      </c>
      <c r="T1561" s="142">
        <f>B1561*IBGE_2!T$1561/100</f>
        <v>198.63900000000001</v>
      </c>
      <c r="U1561" s="142">
        <f>B1561*IBGE_2!U$1561/100</f>
        <v>8.900000000000001E-2</v>
      </c>
      <c r="V1561" s="142">
        <f>B1561*IBGE_2!V$1561/100</f>
        <v>2.698</v>
      </c>
      <c r="W1561" s="142">
        <f>B1561*IBGE_2!W$1561/100</f>
        <v>60.536000000000001</v>
      </c>
      <c r="X1561" s="142">
        <f>B1561*IBGE_2!X$1561/100</f>
        <v>9.3000000000000013E-2</v>
      </c>
      <c r="Y1561" s="142">
        <f>B1561*IBGE_2!Y$1561/100</f>
        <v>0.24199999999999999</v>
      </c>
      <c r="Z1561" s="142">
        <f>B1561*IBGE_2!Z$1561/100</f>
        <v>0.14799999999999999</v>
      </c>
      <c r="AA1561" s="142">
        <f>B1561*IBGE_2!AA$1561/100</f>
        <v>2.4260000000000002</v>
      </c>
      <c r="AB1561" s="142">
        <f>B1561*IBGE_2!AB$1561/100</f>
        <v>0.78200000000000003</v>
      </c>
      <c r="AC1561" s="142">
        <f>B1561*IBGE_2!AC$1561/100</f>
        <v>4.2489999999999997</v>
      </c>
      <c r="AD1561" s="142">
        <f>B1561*IBGE_2!AD$1561/100</f>
        <v>1.093</v>
      </c>
      <c r="AE1561" s="142">
        <f>B1561*IBGE_2!AE$1561/100</f>
        <v>24.126999999999999</v>
      </c>
      <c r="AF1561" s="142">
        <f>B1561*IBGE_2!AF$1561/100</f>
        <v>0.57299999999999995</v>
      </c>
      <c r="AG1561" s="142">
        <f>B1561*IBGE_2!AG$1561/100</f>
        <v>1.0169999999999999</v>
      </c>
      <c r="AH1561" s="142">
        <f>B1561*IBGE_2!AH$1561/100</f>
        <v>0.76400000000000001</v>
      </c>
      <c r="AI1561" s="142">
        <f>B1561*IBGE_2!AI$1561/100</f>
        <v>50</v>
      </c>
      <c r="AJ1561" s="142">
        <f>B1561*IBGE_2!AJ$1561/100</f>
        <v>13.677</v>
      </c>
      <c r="AK1561" s="142">
        <f>B1561*IBGE_2!AK$1561/100</f>
        <v>67.245999999999995</v>
      </c>
      <c r="AL1561" s="142">
        <f>B1561*IBGE_2!AL$1561/100</f>
        <v>1.7509999999999999</v>
      </c>
      <c r="AM1561" s="145" t="s">
        <v>3047</v>
      </c>
      <c r="AN1561" s="161"/>
    </row>
    <row r="1562" spans="1:40">
      <c r="A1562" s="143" t="s">
        <v>2622</v>
      </c>
      <c r="B1562" s="141">
        <v>100</v>
      </c>
      <c r="C1562" s="142">
        <f>B1562*IBGE_2!C$1562/100</f>
        <v>198</v>
      </c>
      <c r="D1562" s="142">
        <f>B1562*IBGE_2!D$1562/100</f>
        <v>9.1</v>
      </c>
      <c r="E1562" s="142">
        <f>B1562*IBGE_2!E$1562/100</f>
        <v>2.2999999999999998</v>
      </c>
      <c r="F1562" s="142">
        <f>B1562*IBGE_2!F$1562/100</f>
        <v>0.34399999999999997</v>
      </c>
      <c r="G1562" s="142">
        <f>B1562*IBGE_2!G$1562/100</f>
        <v>0.252</v>
      </c>
      <c r="H1562" s="142">
        <f>B1562*IBGE_2!H$1562/100</f>
        <v>0.96899999999999986</v>
      </c>
      <c r="I1562" s="142">
        <f>B1562*IBGE_2!I$1562/100</f>
        <v>0.91799999999999993</v>
      </c>
      <c r="J1562" s="142">
        <f>B1562*IBGE_2!J$1562/100</f>
        <v>0.05</v>
      </c>
      <c r="K1562" s="142" t="s">
        <v>3047</v>
      </c>
      <c r="L1562" s="142">
        <f>B1562*IBGE_2!L$1562/100</f>
        <v>43.6</v>
      </c>
      <c r="M1562" s="142">
        <f>B1562*IBGE_2!M$1562/100</f>
        <v>12</v>
      </c>
      <c r="N1562" s="142">
        <f>B1562*IBGE_2!N$1562/100</f>
        <v>80</v>
      </c>
      <c r="O1562" s="142">
        <f>B1562*IBGE_2!O$1562/100</f>
        <v>39</v>
      </c>
      <c r="P1562" s="142">
        <f>B1562*IBGE_2!P$1562/100</f>
        <v>0.85299999999999998</v>
      </c>
      <c r="Q1562" s="142">
        <f>B1562*IBGE_2!Q$1562/100</f>
        <v>102</v>
      </c>
      <c r="R1562" s="142">
        <f>B1562*IBGE_2!R$1562/100</f>
        <v>2.96</v>
      </c>
      <c r="S1562" s="142">
        <f>B1562*IBGE_2!S$1562/100</f>
        <v>511</v>
      </c>
      <c r="T1562" s="142">
        <f>B1562*IBGE_2!T$1562/100</f>
        <v>122</v>
      </c>
      <c r="U1562" s="142">
        <f>B1562*IBGE_2!U$1562/100</f>
        <v>0.13700000000000001</v>
      </c>
      <c r="V1562" s="142">
        <f>B1562*IBGE_2!V$1562/100</f>
        <v>1.1200000000000001</v>
      </c>
      <c r="W1562" s="142" t="s">
        <v>3047</v>
      </c>
      <c r="X1562" s="142">
        <f>B1562*IBGE_2!X$1562/100</f>
        <v>0.42199999999999993</v>
      </c>
      <c r="Y1562" s="142">
        <f>B1562*IBGE_2!Y$1562/100</f>
        <v>0.29499999999999998</v>
      </c>
      <c r="Z1562" s="142">
        <f>B1562*IBGE_2!Z$1562/100</f>
        <v>0.126</v>
      </c>
      <c r="AA1562" s="142">
        <f>B1562*IBGE_2!AA$1562/100</f>
        <v>3.8849999999999998</v>
      </c>
      <c r="AB1562" s="142">
        <f>B1562*IBGE_2!AB$1562/100</f>
        <v>0.1</v>
      </c>
      <c r="AC1562" s="142">
        <f>B1562*IBGE_2!AC$1562/100</f>
        <v>5.6849999999999996</v>
      </c>
      <c r="AD1562" s="145" t="s">
        <v>3047</v>
      </c>
      <c r="AE1562" s="142">
        <f>B1562*IBGE_2!AE$1562/100</f>
        <v>135</v>
      </c>
      <c r="AF1562" s="145" t="s">
        <v>3047</v>
      </c>
      <c r="AG1562" s="142">
        <f>B1562*IBGE_2!AG$1562/100</f>
        <v>0.24</v>
      </c>
      <c r="AH1562" s="145" t="s">
        <v>3047</v>
      </c>
      <c r="AI1562" s="142" t="s">
        <v>3047</v>
      </c>
      <c r="AJ1562" s="142">
        <f>B1562*IBGE_2!AJ$1562/100</f>
        <v>30.4</v>
      </c>
      <c r="AK1562" s="145" t="s">
        <v>3047</v>
      </c>
      <c r="AL1562" s="142">
        <f>B1562*IBGE_2!AL$1562/100</f>
        <v>4.1139999999999999</v>
      </c>
      <c r="AM1562" s="142">
        <f>B1562*IBGE_2!AM$1562/100</f>
        <v>3.823</v>
      </c>
      <c r="AN1562" s="161"/>
    </row>
    <row r="1563" spans="1:40">
      <c r="A1563" s="143" t="s">
        <v>2623</v>
      </c>
      <c r="B1563" s="141">
        <v>100</v>
      </c>
      <c r="C1563" s="142">
        <f>B1563*IBGE_2!C$1563/100</f>
        <v>198</v>
      </c>
      <c r="D1563" s="142">
        <f>B1563*IBGE_2!D$1563/100</f>
        <v>9.1</v>
      </c>
      <c r="E1563" s="142">
        <f>B1563*IBGE_2!E$1563/100</f>
        <v>2.2999999999999998</v>
      </c>
      <c r="F1563" s="142">
        <f>B1563*IBGE_2!F$1563/100</f>
        <v>0.34399999999999997</v>
      </c>
      <c r="G1563" s="142">
        <f>B1563*IBGE_2!G$1563/100</f>
        <v>0.252</v>
      </c>
      <c r="H1563" s="142">
        <f>B1563*IBGE_2!H$1563/100</f>
        <v>0.96899999999999986</v>
      </c>
      <c r="I1563" s="142">
        <f>B1563*IBGE_2!I$1563/100</f>
        <v>0.91799999999999993</v>
      </c>
      <c r="J1563" s="142">
        <f>B1563*IBGE_2!J$1563/100</f>
        <v>0.05</v>
      </c>
      <c r="K1563" s="142" t="s">
        <v>3047</v>
      </c>
      <c r="L1563" s="142">
        <f>B1563*IBGE_2!L$1563/100</f>
        <v>43.6</v>
      </c>
      <c r="M1563" s="142">
        <f>B1563*IBGE_2!M$1563/100</f>
        <v>12</v>
      </c>
      <c r="N1563" s="142">
        <f>B1563*IBGE_2!N$1563/100</f>
        <v>80</v>
      </c>
      <c r="O1563" s="142">
        <f>B1563*IBGE_2!O$1563/100</f>
        <v>39</v>
      </c>
      <c r="P1563" s="142">
        <f>B1563*IBGE_2!P$1563/100</f>
        <v>0.85299999999999998</v>
      </c>
      <c r="Q1563" s="142">
        <f>B1563*IBGE_2!Q$1563/100</f>
        <v>102</v>
      </c>
      <c r="R1563" s="142">
        <f>B1563*IBGE_2!R$1563/100</f>
        <v>2.96</v>
      </c>
      <c r="S1563" s="142">
        <f>B1563*IBGE_2!S$1563/100</f>
        <v>511</v>
      </c>
      <c r="T1563" s="142">
        <f>B1563*IBGE_2!T$1563/100</f>
        <v>122</v>
      </c>
      <c r="U1563" s="142">
        <f>B1563*IBGE_2!U$1563/100</f>
        <v>0.13700000000000001</v>
      </c>
      <c r="V1563" s="142">
        <f>B1563*IBGE_2!V$1563/100</f>
        <v>1.1200000000000001</v>
      </c>
      <c r="W1563" s="142" t="s">
        <v>3047</v>
      </c>
      <c r="X1563" s="142">
        <f>B1563*IBGE_2!X$1563/100</f>
        <v>0.42199999999999993</v>
      </c>
      <c r="Y1563" s="142">
        <f>B1563*IBGE_2!Y$1563/100</f>
        <v>0.29499999999999998</v>
      </c>
      <c r="Z1563" s="142">
        <f>B1563*IBGE_2!Z$1563/100</f>
        <v>0.126</v>
      </c>
      <c r="AA1563" s="142">
        <f>B1563*IBGE_2!AA$1563/100</f>
        <v>3.8849999999999998</v>
      </c>
      <c r="AB1563" s="142">
        <f>B1563*IBGE_2!AB$1563/100</f>
        <v>0.1</v>
      </c>
      <c r="AC1563" s="142">
        <f>B1563*IBGE_2!AC$1563/100</f>
        <v>5.6849999999999996</v>
      </c>
      <c r="AD1563" s="145" t="s">
        <v>3047</v>
      </c>
      <c r="AE1563" s="142">
        <f>B1563*IBGE_2!AE$1563/100</f>
        <v>135</v>
      </c>
      <c r="AF1563" s="145" t="s">
        <v>3047</v>
      </c>
      <c r="AG1563" s="142">
        <f>B1563*IBGE_2!AG$1563/100</f>
        <v>0.24</v>
      </c>
      <c r="AH1563" s="145" t="s">
        <v>3047</v>
      </c>
      <c r="AI1563" s="142" t="s">
        <v>3047</v>
      </c>
      <c r="AJ1563" s="142">
        <f>B1563*IBGE_2!AJ$1563/100</f>
        <v>30.4</v>
      </c>
      <c r="AK1563" s="145" t="s">
        <v>3047</v>
      </c>
      <c r="AL1563" s="142">
        <f>B1563*IBGE_2!AL$1563/100</f>
        <v>4.1139999999999999</v>
      </c>
      <c r="AM1563" s="142">
        <f>B1563*IBGE_2!AM$1563/100</f>
        <v>3.823</v>
      </c>
      <c r="AN1563" s="161"/>
    </row>
    <row r="1564" spans="1:40">
      <c r="A1564" s="143" t="s">
        <v>2624</v>
      </c>
      <c r="B1564" s="141">
        <v>100</v>
      </c>
      <c r="C1564" s="142">
        <f>B1564*IBGE_2!C$1564/100</f>
        <v>363</v>
      </c>
      <c r="D1564" s="142">
        <f>B1564*IBGE_2!D$1564/100</f>
        <v>5.0999999999999996</v>
      </c>
      <c r="E1564" s="142">
        <f>B1564*IBGE_2!E$1564/100</f>
        <v>24.6</v>
      </c>
      <c r="F1564" s="142" t="s">
        <v>3047</v>
      </c>
      <c r="G1564" s="142" t="s">
        <v>3047</v>
      </c>
      <c r="H1564" s="142" t="s">
        <v>3047</v>
      </c>
      <c r="I1564" s="142" t="s">
        <v>3047</v>
      </c>
      <c r="J1564" s="142" t="s">
        <v>3047</v>
      </c>
      <c r="K1564" s="142">
        <f>B1564*IBGE_2!K$1564/100</f>
        <v>68</v>
      </c>
      <c r="L1564" s="142">
        <f>B1564*IBGE_2!L$1564/100</f>
        <v>34.200000000000003</v>
      </c>
      <c r="M1564" s="142">
        <f>B1564*IBGE_2!M$1564/100</f>
        <v>0.6</v>
      </c>
      <c r="N1564" s="142">
        <f>B1564*IBGE_2!N$1564/100</f>
        <v>102</v>
      </c>
      <c r="O1564" s="142">
        <f>B1564*IBGE_2!O$1564/100</f>
        <v>8</v>
      </c>
      <c r="P1564" s="142">
        <f>B1564*IBGE_2!P$1564/100</f>
        <v>0.03</v>
      </c>
      <c r="Q1564" s="142">
        <f>B1564*IBGE_2!Q$1564/100</f>
        <v>94</v>
      </c>
      <c r="R1564" s="142">
        <f>B1564*IBGE_2!R$1564/100</f>
        <v>0.3</v>
      </c>
      <c r="S1564" s="142">
        <f>B1564*IBGE_2!S$1564/100</f>
        <v>773</v>
      </c>
      <c r="T1564" s="142">
        <f>B1564*IBGE_2!T$1564/100</f>
        <v>93</v>
      </c>
      <c r="U1564" s="142">
        <f>B1564*IBGE_2!U$1564/100</f>
        <v>0.01</v>
      </c>
      <c r="V1564" s="142">
        <f>B1564*IBGE_2!V$1564/100</f>
        <v>0.6</v>
      </c>
      <c r="W1564" s="142">
        <f>B1564*IBGE_2!W$1564/100</f>
        <v>61</v>
      </c>
      <c r="X1564" s="142">
        <f>B1564*IBGE_2!X$1564/100</f>
        <v>0.04</v>
      </c>
      <c r="Y1564" s="142">
        <f>B1564*IBGE_2!Y$1564/100</f>
        <v>0.1</v>
      </c>
      <c r="Z1564" s="142">
        <f>B1564*IBGE_2!Z$1564/100</f>
        <v>0.04</v>
      </c>
      <c r="AA1564" s="142" t="s">
        <v>3047</v>
      </c>
      <c r="AB1564" s="142" t="s">
        <v>3047</v>
      </c>
      <c r="AC1564" s="145" t="s">
        <v>3047</v>
      </c>
      <c r="AD1564" s="145" t="s">
        <v>3047</v>
      </c>
      <c r="AE1564" s="145" t="s">
        <v>3047</v>
      </c>
      <c r="AF1564" s="145" t="s">
        <v>3047</v>
      </c>
      <c r="AG1564" s="145" t="s">
        <v>3047</v>
      </c>
      <c r="AH1564" s="145" t="s">
        <v>3047</v>
      </c>
      <c r="AI1564" s="142" t="s">
        <v>3047</v>
      </c>
      <c r="AJ1564" s="145" t="s">
        <v>3047</v>
      </c>
      <c r="AK1564" s="145" t="s">
        <v>3047</v>
      </c>
      <c r="AL1564" s="145" t="s">
        <v>3047</v>
      </c>
      <c r="AM1564" s="145" t="s">
        <v>3047</v>
      </c>
      <c r="AN1564" s="161"/>
    </row>
    <row r="1565" spans="1:40">
      <c r="A1565" s="143" t="s">
        <v>2625</v>
      </c>
      <c r="B1565" s="141">
        <v>100</v>
      </c>
      <c r="C1565" s="142">
        <f>B1565*IBGE_2!C$1565/100</f>
        <v>198</v>
      </c>
      <c r="D1565" s="142">
        <f>B1565*IBGE_2!D$1565/100</f>
        <v>9.1</v>
      </c>
      <c r="E1565" s="142">
        <f>B1565*IBGE_2!E$1565/100</f>
        <v>2.2999999999999998</v>
      </c>
      <c r="F1565" s="142">
        <f>B1565*IBGE_2!F$1565/100</f>
        <v>0.34399999999999997</v>
      </c>
      <c r="G1565" s="142">
        <f>B1565*IBGE_2!G$1565/100</f>
        <v>0.252</v>
      </c>
      <c r="H1565" s="142">
        <f>B1565*IBGE_2!H$1565/100</f>
        <v>0.96899999999999986</v>
      </c>
      <c r="I1565" s="142">
        <f>B1565*IBGE_2!I$1565/100</f>
        <v>0.91799999999999993</v>
      </c>
      <c r="J1565" s="142">
        <f>B1565*IBGE_2!J$1565/100</f>
        <v>0.05</v>
      </c>
      <c r="K1565" s="142" t="s">
        <v>3047</v>
      </c>
      <c r="L1565" s="142">
        <f>B1565*IBGE_2!L$1565/100</f>
        <v>43.6</v>
      </c>
      <c r="M1565" s="142">
        <f>B1565*IBGE_2!M$1565/100</f>
        <v>12</v>
      </c>
      <c r="N1565" s="142">
        <f>B1565*IBGE_2!N$1565/100</f>
        <v>80</v>
      </c>
      <c r="O1565" s="142">
        <f>B1565*IBGE_2!O$1565/100</f>
        <v>39</v>
      </c>
      <c r="P1565" s="142">
        <f>B1565*IBGE_2!P$1565/100</f>
        <v>0.85299999999999998</v>
      </c>
      <c r="Q1565" s="142">
        <f>B1565*IBGE_2!Q$1565/100</f>
        <v>102</v>
      </c>
      <c r="R1565" s="142">
        <f>B1565*IBGE_2!R$1565/100</f>
        <v>2.96</v>
      </c>
      <c r="S1565" s="142">
        <f>B1565*IBGE_2!S$1565/100</f>
        <v>511</v>
      </c>
      <c r="T1565" s="142">
        <f>B1565*IBGE_2!T$1565/100</f>
        <v>122</v>
      </c>
      <c r="U1565" s="142">
        <f>B1565*IBGE_2!U$1565/100</f>
        <v>0.13700000000000001</v>
      </c>
      <c r="V1565" s="142">
        <f>B1565*IBGE_2!V$1565/100</f>
        <v>1.1200000000000001</v>
      </c>
      <c r="W1565" s="142" t="s">
        <v>3047</v>
      </c>
      <c r="X1565" s="142">
        <f>B1565*IBGE_2!X$1565/100</f>
        <v>0.42199999999999993</v>
      </c>
      <c r="Y1565" s="142">
        <f>B1565*IBGE_2!Y$1565/100</f>
        <v>0.29499999999999998</v>
      </c>
      <c r="Z1565" s="142">
        <f>B1565*IBGE_2!Z$1565/100</f>
        <v>0.126</v>
      </c>
      <c r="AA1565" s="142">
        <f>B1565*IBGE_2!AA$1565/100</f>
        <v>3.8849999999999998</v>
      </c>
      <c r="AB1565" s="142">
        <f>B1565*IBGE_2!AB$1565/100</f>
        <v>0.1</v>
      </c>
      <c r="AC1565" s="142">
        <f>B1565*IBGE_2!AC$1565/100</f>
        <v>5.6849999999999996</v>
      </c>
      <c r="AD1565" s="145" t="s">
        <v>3047</v>
      </c>
      <c r="AE1565" s="142">
        <f>B1565*IBGE_2!AE$1565/100</f>
        <v>135</v>
      </c>
      <c r="AF1565" s="145" t="s">
        <v>3047</v>
      </c>
      <c r="AG1565" s="142">
        <f>B1565*IBGE_2!AG$1565/100</f>
        <v>0.24</v>
      </c>
      <c r="AH1565" s="145" t="s">
        <v>3047</v>
      </c>
      <c r="AI1565" s="142" t="s">
        <v>3047</v>
      </c>
      <c r="AJ1565" s="142">
        <f>B1565*IBGE_2!AJ$1565/100</f>
        <v>30.4</v>
      </c>
      <c r="AK1565" s="145" t="s">
        <v>3047</v>
      </c>
      <c r="AL1565" s="142">
        <f>B1565*IBGE_2!AL$1565/100</f>
        <v>4.1139999999999999</v>
      </c>
      <c r="AM1565" s="142">
        <f>B1565*IBGE_2!AM$1565/100</f>
        <v>3.823</v>
      </c>
      <c r="AN1565" s="161"/>
    </row>
    <row r="1566" spans="1:40">
      <c r="A1566" s="143" t="s">
        <v>2626</v>
      </c>
      <c r="B1566" s="141">
        <v>100</v>
      </c>
      <c r="C1566" s="142">
        <f>B1566*IBGE_2!C$1566/100</f>
        <v>121.836</v>
      </c>
      <c r="D1566" s="142">
        <f>B1566*IBGE_2!D$1566/100</f>
        <v>2.294</v>
      </c>
      <c r="E1566" s="142">
        <f>B1566*IBGE_2!E$1566/100</f>
        <v>5.3949999999999996</v>
      </c>
      <c r="F1566" s="142">
        <f>B1566*IBGE_2!F$1566/100</f>
        <v>1.7909999999999999</v>
      </c>
      <c r="G1566" s="142">
        <f>B1566*IBGE_2!G$1566/100</f>
        <v>2.63</v>
      </c>
      <c r="H1566" s="142">
        <f>B1566*IBGE_2!H$1566/100</f>
        <v>0.61</v>
      </c>
      <c r="I1566" s="142">
        <f>B1566*IBGE_2!I$1566/100</f>
        <v>0.55300000000000005</v>
      </c>
      <c r="J1566" s="142">
        <f>B1566*IBGE_2!J$1566/100</f>
        <v>5.7000000000000002E-2</v>
      </c>
      <c r="K1566" s="142">
        <f>B1566*IBGE_2!K$1566/100</f>
        <v>3.7629999999999999</v>
      </c>
      <c r="L1566" s="142">
        <f>B1566*IBGE_2!L$1566/100</f>
        <v>16.062999999999999</v>
      </c>
      <c r="M1566" s="142">
        <f>B1566*IBGE_2!M$1566/100</f>
        <v>0.503</v>
      </c>
      <c r="N1566" s="142">
        <f>B1566*IBGE_2!N$1566/100</f>
        <v>51.448999999999998</v>
      </c>
      <c r="O1566" s="142">
        <f>B1566*IBGE_2!O$1566/100</f>
        <v>9.657</v>
      </c>
      <c r="P1566" s="142">
        <f>B1566*IBGE_2!P$1566/100</f>
        <v>7.3999999999999996E-2</v>
      </c>
      <c r="Q1566" s="142">
        <f>B1566*IBGE_2!Q$1566/100</f>
        <v>51.533999999999999</v>
      </c>
      <c r="R1566" s="142">
        <f>B1566*IBGE_2!R$1566/100</f>
        <v>0.40799999999999997</v>
      </c>
      <c r="S1566" s="142">
        <f>B1566*IBGE_2!S$1566/100</f>
        <v>236.66200000000001</v>
      </c>
      <c r="T1566" s="142">
        <f>B1566*IBGE_2!T$1566/100</f>
        <v>82.691999999999993</v>
      </c>
      <c r="U1566" s="142">
        <f>B1566*IBGE_2!U$1566/100</f>
        <v>4.4999999999999998E-2</v>
      </c>
      <c r="V1566" s="142">
        <f>B1566*IBGE_2!V$1566/100</f>
        <v>0.25600000000000001</v>
      </c>
      <c r="W1566" s="142">
        <f>B1566*IBGE_2!W$1566/100</f>
        <v>10.537000000000001</v>
      </c>
      <c r="X1566" s="142">
        <f>B1566*IBGE_2!X$1566/100</f>
        <v>6.7000000000000004E-2</v>
      </c>
      <c r="Y1566" s="142">
        <f>B1566*IBGE_2!Y$1566/100</f>
        <v>0.10100000000000002</v>
      </c>
      <c r="Z1566" s="142">
        <f>B1566*IBGE_2!Z$1566/100</f>
        <v>2.3E-2</v>
      </c>
      <c r="AA1566" s="142">
        <f>B1566*IBGE_2!AA$1566/100</f>
        <v>0.40899999999999997</v>
      </c>
      <c r="AB1566" s="142" t="s">
        <v>3047</v>
      </c>
      <c r="AC1566" s="142">
        <f>B1566*IBGE_2!AC$1566/100</f>
        <v>1.0960000000000001</v>
      </c>
      <c r="AD1566" s="142">
        <f>B1566*IBGE_2!AD$1566/100</f>
        <v>0.16600000000000001</v>
      </c>
      <c r="AE1566" s="142">
        <f>B1566*IBGE_2!AE$1566/100</f>
        <v>23.065000000000001</v>
      </c>
      <c r="AF1566" s="142">
        <f>B1566*IBGE_2!AF$1566/100</f>
        <v>0.376</v>
      </c>
      <c r="AG1566" s="142">
        <f>B1566*IBGE_2!AG$1566/100</f>
        <v>6.4000000000000001E-2</v>
      </c>
      <c r="AH1566" s="142">
        <f>B1566*IBGE_2!AH$1566/100</f>
        <v>1.0629999999999999</v>
      </c>
      <c r="AI1566" s="142" t="s">
        <v>3047</v>
      </c>
      <c r="AJ1566" s="142">
        <f>B1566*IBGE_2!AJ$1566/100</f>
        <v>4.5330000000000004</v>
      </c>
      <c r="AK1566" s="142">
        <f>B1566*IBGE_2!AK$1566/100</f>
        <v>10.693</v>
      </c>
      <c r="AL1566" s="142">
        <f>B1566*IBGE_2!AL$1566/100</f>
        <v>7.8379999999999992</v>
      </c>
      <c r="AM1566" s="142">
        <f>B1566*IBGE_2!AM$1566/100</f>
        <v>5.9210000000000003</v>
      </c>
      <c r="AN1566" s="161"/>
    </row>
    <row r="1567" spans="1:40">
      <c r="A1567" s="143" t="s">
        <v>2627</v>
      </c>
      <c r="B1567" s="141">
        <v>100</v>
      </c>
      <c r="C1567" s="142">
        <f>B1567*IBGE_2!C$1567/100</f>
        <v>99.17</v>
      </c>
      <c r="D1567" s="142">
        <f>B1567*IBGE_2!D$1567/100</f>
        <v>2.2480000000000002</v>
      </c>
      <c r="E1567" s="142">
        <f>B1567*IBGE_2!E$1567/100</f>
        <v>5.2990000000000013</v>
      </c>
      <c r="F1567" s="142">
        <f>B1567*IBGE_2!F$1567/100</f>
        <v>1.7480000000000002</v>
      </c>
      <c r="G1567" s="142">
        <f>B1567*IBGE_2!G$1567/100</f>
        <v>2.6210000000000004</v>
      </c>
      <c r="H1567" s="142">
        <f>B1567*IBGE_2!H$1567/100</f>
        <v>0.58299999999999996</v>
      </c>
      <c r="I1567" s="142">
        <f>B1567*IBGE_2!I$1567/100</f>
        <v>0.53</v>
      </c>
      <c r="J1567" s="142">
        <f>B1567*IBGE_2!J$1567/100</f>
        <v>5.4000000000000006E-2</v>
      </c>
      <c r="K1567" s="142">
        <f>B1567*IBGE_2!K$1567/100</f>
        <v>3.7629999999999999</v>
      </c>
      <c r="L1567" s="142">
        <f>B1567*IBGE_2!L$1567/100</f>
        <v>10.656000000000001</v>
      </c>
      <c r="M1567" s="142">
        <f>B1567*IBGE_2!M$1567/100</f>
        <v>0.36700000000000005</v>
      </c>
      <c r="N1567" s="142">
        <f>B1567*IBGE_2!N$1567/100</f>
        <v>52.433</v>
      </c>
      <c r="O1567" s="142">
        <f>B1567*IBGE_2!O$1567/100</f>
        <v>8.3350000000000009</v>
      </c>
      <c r="P1567" s="142">
        <f>B1567*IBGE_2!P$1567/100</f>
        <v>6.2E-2</v>
      </c>
      <c r="Q1567" s="142">
        <f>B1567*IBGE_2!Q$1567/100</f>
        <v>49.792000000000002</v>
      </c>
      <c r="R1567" s="142">
        <f>B1567*IBGE_2!R$1567/100</f>
        <v>0.52400000000000002</v>
      </c>
      <c r="S1567" s="142">
        <f>B1567*IBGE_2!S$1567/100</f>
        <v>141.82499999999999</v>
      </c>
      <c r="T1567" s="142">
        <f>B1567*IBGE_2!T$1567/100</f>
        <v>108.16500000000001</v>
      </c>
      <c r="U1567" s="142">
        <f>B1567*IBGE_2!U$1567/100</f>
        <v>3.9E-2</v>
      </c>
      <c r="V1567" s="142">
        <f>B1567*IBGE_2!V$1567/100</f>
        <v>0.214</v>
      </c>
      <c r="W1567" s="142">
        <f>B1567*IBGE_2!W$1567/100</f>
        <v>10.537000000000001</v>
      </c>
      <c r="X1567" s="142">
        <f>B1567*IBGE_2!X$1567/100</f>
        <v>6.7000000000000004E-2</v>
      </c>
      <c r="Y1567" s="142">
        <f>B1567*IBGE_2!Y$1567/100</f>
        <v>9.9000000000000005E-2</v>
      </c>
      <c r="Z1567" s="142">
        <f>B1567*IBGE_2!Z$1567/100</f>
        <v>2.3E-2</v>
      </c>
      <c r="AA1567" s="142">
        <f>B1567*IBGE_2!AA$1567/100</f>
        <v>0.4</v>
      </c>
      <c r="AB1567" s="142" t="s">
        <v>3047</v>
      </c>
      <c r="AC1567" s="142">
        <f>B1567*IBGE_2!AC$1567/100</f>
        <v>1.077</v>
      </c>
      <c r="AD1567" s="142">
        <f>B1567*IBGE_2!AD$1567/100</f>
        <v>0.16600000000000001</v>
      </c>
      <c r="AE1567" s="142">
        <f>B1567*IBGE_2!AE$1567/100</f>
        <v>22.978999999999999</v>
      </c>
      <c r="AF1567" s="142">
        <f>B1567*IBGE_2!AF$1567/100</f>
        <v>0.376</v>
      </c>
      <c r="AG1567" s="142">
        <f>B1567*IBGE_2!AG$1567/100</f>
        <v>5.8999999999999997E-2</v>
      </c>
      <c r="AH1567" s="142">
        <f>B1567*IBGE_2!AH$1567/100</f>
        <v>1.0629999999999999</v>
      </c>
      <c r="AI1567" s="142" t="s">
        <v>3047</v>
      </c>
      <c r="AJ1567" s="142">
        <f>B1567*IBGE_2!AJ$1567/100</f>
        <v>4.4290000000000003</v>
      </c>
      <c r="AK1567" s="142">
        <f>B1567*IBGE_2!AK$1567/100</f>
        <v>10.693</v>
      </c>
      <c r="AL1567" s="142">
        <f>B1567*IBGE_2!AL$1567/100</f>
        <v>2.3050000000000002</v>
      </c>
      <c r="AM1567" s="142">
        <f>B1567*IBGE_2!AM$1567/100</f>
        <v>0.21600000000000003</v>
      </c>
      <c r="AN1567" s="161"/>
    </row>
    <row r="1568" spans="1:40">
      <c r="A1568" s="143" t="s">
        <v>2628</v>
      </c>
      <c r="B1568" s="141">
        <v>100</v>
      </c>
      <c r="C1568" s="142">
        <f>B1568*IBGE_2!C$1568/100</f>
        <v>426.53300000000002</v>
      </c>
      <c r="D1568" s="142">
        <f>B1568*IBGE_2!D$1568/100</f>
        <v>6.44</v>
      </c>
      <c r="E1568" s="142">
        <f>B1568*IBGE_2!E$1568/100</f>
        <v>22.95</v>
      </c>
      <c r="F1568" s="142">
        <f>B1568*IBGE_2!F$1568/100</f>
        <v>5.3010000000000002</v>
      </c>
      <c r="G1568" s="142">
        <f>B1568*IBGE_2!G$1568/100</f>
        <v>11.071999999999997</v>
      </c>
      <c r="H1568" s="142">
        <f>B1568*IBGE_2!H$1568/100</f>
        <v>4.0570000000000004</v>
      </c>
      <c r="I1568" s="142">
        <f>B1568*IBGE_2!I$1568/100</f>
        <v>3.7919999999999998</v>
      </c>
      <c r="J1568" s="142">
        <f>B1568*IBGE_2!J$1568/100</f>
        <v>0.24399999999999999</v>
      </c>
      <c r="K1568" s="142">
        <f>B1568*IBGE_2!K$1568/100</f>
        <v>46.498000000000005</v>
      </c>
      <c r="L1568" s="142">
        <f>B1568*IBGE_2!L$1568/100</f>
        <v>48.691000000000003</v>
      </c>
      <c r="M1568" s="142">
        <f>B1568*IBGE_2!M$1568/100</f>
        <v>1.4019999999999999</v>
      </c>
      <c r="N1568" s="142">
        <f>B1568*IBGE_2!N$1568/100</f>
        <v>93.203000000000017</v>
      </c>
      <c r="O1568" s="142">
        <f>B1568*IBGE_2!O$1568/100</f>
        <v>13.183999999999999</v>
      </c>
      <c r="P1568" s="142">
        <f>B1568*IBGE_2!P$1568/100</f>
        <v>0.32500000000000001</v>
      </c>
      <c r="Q1568" s="142">
        <f>B1568*IBGE_2!Q$1568/100</f>
        <v>104.402</v>
      </c>
      <c r="R1568" s="142">
        <f>B1568*IBGE_2!R$1568/100</f>
        <v>2.2610000000000001</v>
      </c>
      <c r="S1568" s="142">
        <f>B1568*IBGE_2!S$1568/100</f>
        <v>244.63399999999999</v>
      </c>
      <c r="T1568" s="142">
        <f>B1568*IBGE_2!T$1568/100</f>
        <v>90.26</v>
      </c>
      <c r="U1568" s="142">
        <f>B1568*IBGE_2!U$1568/100</f>
        <v>7.0000000000000007E-2</v>
      </c>
      <c r="V1568" s="142">
        <f>B1568*IBGE_2!V$1568/100</f>
        <v>0.50600000000000001</v>
      </c>
      <c r="W1568" s="142">
        <f>B1568*IBGE_2!W$1568/100</f>
        <v>76.942999999999998</v>
      </c>
      <c r="X1568" s="142">
        <f>B1568*IBGE_2!X$1568/100</f>
        <v>0.35399999999999998</v>
      </c>
      <c r="Y1568" s="142">
        <f>B1568*IBGE_2!Y$1568/100</f>
        <v>0.30599999999999999</v>
      </c>
      <c r="Z1568" s="142">
        <f>B1568*IBGE_2!Z$1568/100</f>
        <v>3.9E-2</v>
      </c>
      <c r="AA1568" s="142">
        <f>B1568*IBGE_2!AA$1568/100</f>
        <v>2.58</v>
      </c>
      <c r="AB1568" s="142">
        <f>B1568*IBGE_2!AB$1568/100</f>
        <v>5.4000000000000006E-2</v>
      </c>
      <c r="AC1568" s="142">
        <f>B1568*IBGE_2!AC$1568/100</f>
        <v>3.8959999999999995</v>
      </c>
      <c r="AD1568" s="142">
        <f>B1568*IBGE_2!AD$1568/100</f>
        <v>0.20399999999999999</v>
      </c>
      <c r="AE1568" s="142">
        <f>B1568*IBGE_2!AE$1568/100</f>
        <v>93.831000000000003</v>
      </c>
      <c r="AF1568" s="142">
        <f>B1568*IBGE_2!AF$1568/100</f>
        <v>0.32300000000000006</v>
      </c>
      <c r="AG1568" s="142">
        <f>B1568*IBGE_2!AG$1568/100</f>
        <v>1.4790000000000001</v>
      </c>
      <c r="AH1568" s="142">
        <f>B1568*IBGE_2!AH$1568/100</f>
        <v>5.1859999999999999</v>
      </c>
      <c r="AI1568" s="142" t="s">
        <v>3047</v>
      </c>
      <c r="AJ1568" s="142">
        <f>B1568*IBGE_2!AJ$1568/100</f>
        <v>18.454999999999998</v>
      </c>
      <c r="AK1568" s="142">
        <f>B1568*IBGE_2!AK$1568/100</f>
        <v>79.591999999999999</v>
      </c>
      <c r="AL1568" s="142">
        <f>B1568*IBGE_2!AL$1568/100</f>
        <v>15.481999999999998</v>
      </c>
      <c r="AM1568" s="142">
        <f>B1568*IBGE_2!AM$1568/100</f>
        <v>14.252000000000001</v>
      </c>
      <c r="AN1568" s="161"/>
    </row>
    <row r="1569" spans="1:40">
      <c r="A1569" s="143" t="s">
        <v>2629</v>
      </c>
      <c r="B1569" s="141">
        <v>100</v>
      </c>
      <c r="C1569" s="142">
        <f>B1569*IBGE_2!C$1569/100</f>
        <v>426.53300000000002</v>
      </c>
      <c r="D1569" s="142">
        <f>B1569*IBGE_2!D$1569/100</f>
        <v>6.44</v>
      </c>
      <c r="E1569" s="142">
        <f>B1569*IBGE_2!E$1569/100</f>
        <v>22.95</v>
      </c>
      <c r="F1569" s="142">
        <f>B1569*IBGE_2!F$1569/100</f>
        <v>5.3010000000000002</v>
      </c>
      <c r="G1569" s="142">
        <f>B1569*IBGE_2!G$1569/100</f>
        <v>11.071999999999997</v>
      </c>
      <c r="H1569" s="142">
        <f>B1569*IBGE_2!H$1569/100</f>
        <v>4.0570000000000004</v>
      </c>
      <c r="I1569" s="142">
        <f>B1569*IBGE_2!I$1569/100</f>
        <v>3.7919999999999998</v>
      </c>
      <c r="J1569" s="142">
        <f>B1569*IBGE_2!J$1569/100</f>
        <v>0.24399999999999999</v>
      </c>
      <c r="K1569" s="142">
        <f>B1569*IBGE_2!K$1569/100</f>
        <v>46.498000000000005</v>
      </c>
      <c r="L1569" s="142">
        <f>B1569*IBGE_2!L$1569/100</f>
        <v>48.691000000000003</v>
      </c>
      <c r="M1569" s="142">
        <f>B1569*IBGE_2!M$1569/100</f>
        <v>1.4019999999999999</v>
      </c>
      <c r="N1569" s="142">
        <f>B1569*IBGE_2!N$1569/100</f>
        <v>93.203000000000017</v>
      </c>
      <c r="O1569" s="142">
        <f>B1569*IBGE_2!O$1569/100</f>
        <v>13.183999999999999</v>
      </c>
      <c r="P1569" s="142">
        <f>B1569*IBGE_2!P$1569/100</f>
        <v>0.32500000000000001</v>
      </c>
      <c r="Q1569" s="142">
        <f>B1569*IBGE_2!Q$1569/100</f>
        <v>104.402</v>
      </c>
      <c r="R1569" s="142">
        <f>B1569*IBGE_2!R$1569/100</f>
        <v>2.2610000000000001</v>
      </c>
      <c r="S1569" s="142">
        <f>B1569*IBGE_2!S$1569/100</f>
        <v>244.63399999999999</v>
      </c>
      <c r="T1569" s="142">
        <f>B1569*IBGE_2!T$1569/100</f>
        <v>90.26</v>
      </c>
      <c r="U1569" s="142">
        <f>B1569*IBGE_2!U$1569/100</f>
        <v>7.0000000000000007E-2</v>
      </c>
      <c r="V1569" s="142">
        <f>B1569*IBGE_2!V$1569/100</f>
        <v>0.50600000000000001</v>
      </c>
      <c r="W1569" s="142">
        <f>B1569*IBGE_2!W$1569/100</f>
        <v>76.942999999999998</v>
      </c>
      <c r="X1569" s="142">
        <f>B1569*IBGE_2!X$1569/100</f>
        <v>0.35399999999999998</v>
      </c>
      <c r="Y1569" s="142">
        <f>B1569*IBGE_2!Y$1569/100</f>
        <v>0.30599999999999999</v>
      </c>
      <c r="Z1569" s="142">
        <f>B1569*IBGE_2!Z$1569/100</f>
        <v>3.9E-2</v>
      </c>
      <c r="AA1569" s="142">
        <f>B1569*IBGE_2!AA$1569/100</f>
        <v>2.58</v>
      </c>
      <c r="AB1569" s="142">
        <f>B1569*IBGE_2!AB$1569/100</f>
        <v>5.4000000000000006E-2</v>
      </c>
      <c r="AC1569" s="142">
        <f>B1569*IBGE_2!AC$1569/100</f>
        <v>3.8959999999999995</v>
      </c>
      <c r="AD1569" s="142">
        <f>B1569*IBGE_2!AD$1569/100</f>
        <v>0.20399999999999999</v>
      </c>
      <c r="AE1569" s="142">
        <f>B1569*IBGE_2!AE$1569/100</f>
        <v>93.831000000000003</v>
      </c>
      <c r="AF1569" s="142">
        <f>B1569*IBGE_2!AF$1569/100</f>
        <v>0.32300000000000006</v>
      </c>
      <c r="AG1569" s="142">
        <f>B1569*IBGE_2!AG$1569/100</f>
        <v>1.4790000000000001</v>
      </c>
      <c r="AH1569" s="142">
        <f>B1569*IBGE_2!AH$1569/100</f>
        <v>5.1859999999999999</v>
      </c>
      <c r="AI1569" s="142" t="s">
        <v>3047</v>
      </c>
      <c r="AJ1569" s="142">
        <f>B1569*IBGE_2!AJ$1569/100</f>
        <v>18.454999999999998</v>
      </c>
      <c r="AK1569" s="142">
        <f>B1569*IBGE_2!AK$1569/100</f>
        <v>79.591999999999999</v>
      </c>
      <c r="AL1569" s="142">
        <f>B1569*IBGE_2!AL$1569/100</f>
        <v>15.481999999999998</v>
      </c>
      <c r="AM1569" s="142">
        <f>B1569*IBGE_2!AM$1569/100</f>
        <v>14.252000000000001</v>
      </c>
      <c r="AN1569" s="161"/>
    </row>
    <row r="1570" spans="1:40">
      <c r="A1570" s="143" t="s">
        <v>2630</v>
      </c>
      <c r="B1570" s="141">
        <v>100</v>
      </c>
      <c r="C1570" s="142">
        <f>B1570*IBGE_2!C$1570/100</f>
        <v>299.49299999999999</v>
      </c>
      <c r="D1570" s="142">
        <f>B1570*IBGE_2!D$1570/100</f>
        <v>4.5940000000000003</v>
      </c>
      <c r="E1570" s="142">
        <f>B1570*IBGE_2!E$1570/100</f>
        <v>9.36</v>
      </c>
      <c r="F1570" s="142">
        <f>B1570*IBGE_2!F$1570/100</f>
        <v>5.4409999999999998</v>
      </c>
      <c r="G1570" s="142">
        <f>B1570*IBGE_2!G$1570/100</f>
        <v>2.7109999999999999</v>
      </c>
      <c r="H1570" s="142">
        <f>B1570*IBGE_2!H$1570/100</f>
        <v>0.5</v>
      </c>
      <c r="I1570" s="142">
        <f>B1570*IBGE_2!I$1570/100</f>
        <v>0.44900000000000001</v>
      </c>
      <c r="J1570" s="142">
        <f>B1570*IBGE_2!J$1570/100</f>
        <v>3.3000000000000002E-2</v>
      </c>
      <c r="K1570" s="142">
        <f>B1570*IBGE_2!K$1570/100</f>
        <v>49.828999999999994</v>
      </c>
      <c r="L1570" s="142">
        <f>B1570*IBGE_2!L$1570/100</f>
        <v>52.448</v>
      </c>
      <c r="M1570" s="142">
        <f>B1570*IBGE_2!M$1570/100</f>
        <v>2.0030000000000001</v>
      </c>
      <c r="N1570" s="142">
        <f>B1570*IBGE_2!N$1570/100</f>
        <v>43.438000000000002</v>
      </c>
      <c r="O1570" s="142">
        <f>B1570*IBGE_2!O$1570/100</f>
        <v>32.200000000000003</v>
      </c>
      <c r="P1570" s="142">
        <f>B1570*IBGE_2!P$1570/100</f>
        <v>0.48699999999999993</v>
      </c>
      <c r="Q1570" s="142">
        <f>B1570*IBGE_2!Q$1570/100</f>
        <v>82.605000000000004</v>
      </c>
      <c r="R1570" s="142">
        <f>B1570*IBGE_2!R$1570/100</f>
        <v>2.5939999999999999</v>
      </c>
      <c r="S1570" s="142">
        <f>B1570*IBGE_2!S$1570/100</f>
        <v>150.68899999999999</v>
      </c>
      <c r="T1570" s="142">
        <f>B1570*IBGE_2!T$1570/100</f>
        <v>103.84899999999999</v>
      </c>
      <c r="U1570" s="142">
        <f>B1570*IBGE_2!U$1570/100</f>
        <v>0.29199999999999998</v>
      </c>
      <c r="V1570" s="142">
        <f>B1570*IBGE_2!V$1570/100</f>
        <v>1.0209999999999999</v>
      </c>
      <c r="W1570" s="142">
        <f>B1570*IBGE_2!W$1570/100</f>
        <v>49.036000000000001</v>
      </c>
      <c r="X1570" s="142">
        <f>B1570*IBGE_2!X$1570/100</f>
        <v>0.19900000000000001</v>
      </c>
      <c r="Y1570" s="142">
        <f>B1570*IBGE_2!Y$1570/100</f>
        <v>0.17699999999999999</v>
      </c>
      <c r="Z1570" s="142">
        <f>B1570*IBGE_2!Z$1570/100</f>
        <v>2.4E-2</v>
      </c>
      <c r="AA1570" s="142">
        <f>B1570*IBGE_2!AA$1570/100</f>
        <v>1.476</v>
      </c>
      <c r="AB1570" s="142" t="s">
        <v>3047</v>
      </c>
      <c r="AC1570" s="142">
        <f>B1570*IBGE_2!AC$1570/100</f>
        <v>2.379</v>
      </c>
      <c r="AD1570" s="142">
        <f>B1570*IBGE_2!AD$1570/100</f>
        <v>0.111</v>
      </c>
      <c r="AE1570" s="142">
        <f>B1570*IBGE_2!AE$1570/100</f>
        <v>53.405000000000001</v>
      </c>
      <c r="AF1570" s="142">
        <f>B1570*IBGE_2!AF$1570/100</f>
        <v>0.188</v>
      </c>
      <c r="AG1570" s="142">
        <f>B1570*IBGE_2!AG$1570/100</f>
        <v>0.25600000000000001</v>
      </c>
      <c r="AH1570" s="142">
        <f>B1570*IBGE_2!AH$1570/100</f>
        <v>0.16400000000000003</v>
      </c>
      <c r="AI1570" s="142" t="s">
        <v>3047</v>
      </c>
      <c r="AJ1570" s="142">
        <f>B1570*IBGE_2!AJ$1570/100</f>
        <v>11.53</v>
      </c>
      <c r="AK1570" s="142">
        <f>B1570*IBGE_2!AK$1570/100</f>
        <v>61.998000000000005</v>
      </c>
      <c r="AL1570" s="142">
        <f>B1570*IBGE_2!AL$1570/100</f>
        <v>32.488999999999997</v>
      </c>
      <c r="AM1570" s="142">
        <f>B1570*IBGE_2!AM$1570/100</f>
        <v>32.252000000000002</v>
      </c>
      <c r="AN1570" s="161"/>
    </row>
    <row r="1571" spans="1:40">
      <c r="A1571" s="143" t="s">
        <v>2631</v>
      </c>
      <c r="B1571" s="141">
        <v>100</v>
      </c>
      <c r="C1571" s="142">
        <f>B1571*IBGE_2!C$1571/100</f>
        <v>299.49299999999999</v>
      </c>
      <c r="D1571" s="142">
        <f>B1571*IBGE_2!D$1571/100</f>
        <v>4.5940000000000003</v>
      </c>
      <c r="E1571" s="142">
        <f>B1571*IBGE_2!E$1571/100</f>
        <v>9.36</v>
      </c>
      <c r="F1571" s="142">
        <f>B1571*IBGE_2!F$1571/100</f>
        <v>5.4409999999999998</v>
      </c>
      <c r="G1571" s="142">
        <f>B1571*IBGE_2!G$1571/100</f>
        <v>2.7109999999999999</v>
      </c>
      <c r="H1571" s="142">
        <f>B1571*IBGE_2!H$1571/100</f>
        <v>0.5</v>
      </c>
      <c r="I1571" s="142">
        <f>B1571*IBGE_2!I$1571/100</f>
        <v>0.44900000000000001</v>
      </c>
      <c r="J1571" s="142">
        <f>B1571*IBGE_2!J$1571/100</f>
        <v>3.3000000000000002E-2</v>
      </c>
      <c r="K1571" s="142">
        <f>B1571*IBGE_2!K$1571/100</f>
        <v>49.828999999999994</v>
      </c>
      <c r="L1571" s="142">
        <f>B1571*IBGE_2!L$1571/100</f>
        <v>52.448</v>
      </c>
      <c r="M1571" s="142">
        <f>B1571*IBGE_2!M$1571/100</f>
        <v>2.0030000000000001</v>
      </c>
      <c r="N1571" s="142">
        <f>B1571*IBGE_2!N$1571/100</f>
        <v>43.438000000000002</v>
      </c>
      <c r="O1571" s="142">
        <f>B1571*IBGE_2!O$1571/100</f>
        <v>32.200000000000003</v>
      </c>
      <c r="P1571" s="142">
        <f>B1571*IBGE_2!P$1571/100</f>
        <v>0.48699999999999993</v>
      </c>
      <c r="Q1571" s="142">
        <f>B1571*IBGE_2!Q$1571/100</f>
        <v>82.605000000000004</v>
      </c>
      <c r="R1571" s="142">
        <f>B1571*IBGE_2!R$1571/100</f>
        <v>2.5939999999999999</v>
      </c>
      <c r="S1571" s="142">
        <f>B1571*IBGE_2!S$1571/100</f>
        <v>150.68899999999999</v>
      </c>
      <c r="T1571" s="142">
        <f>B1571*IBGE_2!T$1571/100</f>
        <v>103.84899999999999</v>
      </c>
      <c r="U1571" s="142">
        <f>B1571*IBGE_2!U$1571/100</f>
        <v>0.29199999999999998</v>
      </c>
      <c r="V1571" s="142">
        <f>B1571*IBGE_2!V$1571/100</f>
        <v>1.0209999999999999</v>
      </c>
      <c r="W1571" s="142">
        <f>B1571*IBGE_2!W$1571/100</f>
        <v>49.036000000000001</v>
      </c>
      <c r="X1571" s="142">
        <f>B1571*IBGE_2!X$1571/100</f>
        <v>0.19900000000000001</v>
      </c>
      <c r="Y1571" s="142">
        <f>B1571*IBGE_2!Y$1571/100</f>
        <v>0.17699999999999999</v>
      </c>
      <c r="Z1571" s="142">
        <f>B1571*IBGE_2!Z$1571/100</f>
        <v>2.4E-2</v>
      </c>
      <c r="AA1571" s="142">
        <f>B1571*IBGE_2!AA$1571/100</f>
        <v>1.476</v>
      </c>
      <c r="AB1571" s="142" t="s">
        <v>3047</v>
      </c>
      <c r="AC1571" s="142">
        <f>B1571*IBGE_2!AC$1571/100</f>
        <v>2.379</v>
      </c>
      <c r="AD1571" s="142">
        <f>B1571*IBGE_2!AD$1571/100</f>
        <v>0.111</v>
      </c>
      <c r="AE1571" s="142">
        <f>B1571*IBGE_2!AE$1571/100</f>
        <v>53.405000000000001</v>
      </c>
      <c r="AF1571" s="142">
        <f>B1571*IBGE_2!AF$1571/100</f>
        <v>0.188</v>
      </c>
      <c r="AG1571" s="142">
        <f>B1571*IBGE_2!AG$1571/100</f>
        <v>0.25600000000000001</v>
      </c>
      <c r="AH1571" s="142">
        <f>B1571*IBGE_2!AH$1571/100</f>
        <v>0.16400000000000003</v>
      </c>
      <c r="AI1571" s="142" t="s">
        <v>3047</v>
      </c>
      <c r="AJ1571" s="142">
        <f>B1571*IBGE_2!AJ$1571/100</f>
        <v>11.53</v>
      </c>
      <c r="AK1571" s="142">
        <f>B1571*IBGE_2!AK$1571/100</f>
        <v>61.998000000000005</v>
      </c>
      <c r="AL1571" s="142">
        <f>B1571*IBGE_2!AL$1571/100</f>
        <v>32.488999999999997</v>
      </c>
      <c r="AM1571" s="142">
        <f>B1571*IBGE_2!AM$1571/100</f>
        <v>32.252000000000002</v>
      </c>
      <c r="AN1571" s="161"/>
    </row>
    <row r="1572" spans="1:40">
      <c r="A1572" s="143" t="s">
        <v>2632</v>
      </c>
      <c r="B1572" s="141">
        <v>100</v>
      </c>
      <c r="C1572" s="142">
        <f>B1572*IBGE_2!C$1572/100</f>
        <v>328.38299999999998</v>
      </c>
      <c r="D1572" s="142">
        <f>B1572*IBGE_2!D$1572/100</f>
        <v>4.7629999999999999</v>
      </c>
      <c r="E1572" s="142">
        <f>B1572*IBGE_2!E$1572/100</f>
        <v>9.4819999999999993</v>
      </c>
      <c r="F1572" s="142">
        <f>B1572*IBGE_2!F$1572/100</f>
        <v>2.9670000000000001</v>
      </c>
      <c r="G1572" s="142">
        <f>B1572*IBGE_2!G$1572/100</f>
        <v>3.9550000000000001</v>
      </c>
      <c r="H1572" s="142">
        <f>B1572*IBGE_2!H$1572/100</f>
        <v>1.768</v>
      </c>
      <c r="I1572" s="142">
        <f>B1572*IBGE_2!I$1572/100</f>
        <v>1.653</v>
      </c>
      <c r="J1572" s="142">
        <f>B1572*IBGE_2!J$1572/100</f>
        <v>9.1999999999999998E-2</v>
      </c>
      <c r="K1572" s="142">
        <f>B1572*IBGE_2!K$1572/100</f>
        <v>57.984000000000009</v>
      </c>
      <c r="L1572" s="142">
        <f>B1572*IBGE_2!L$1572/100</f>
        <v>58.313000000000002</v>
      </c>
      <c r="M1572" s="142">
        <f>B1572*IBGE_2!M$1572/100</f>
        <v>2.363</v>
      </c>
      <c r="N1572" s="142">
        <f>B1572*IBGE_2!N$1572/100</f>
        <v>67.713999999999999</v>
      </c>
      <c r="O1572" s="142">
        <f>B1572*IBGE_2!O$1572/100</f>
        <v>32.468000000000004</v>
      </c>
      <c r="P1572" s="142">
        <f>B1572*IBGE_2!P$1572/100</f>
        <v>0.63800000000000001</v>
      </c>
      <c r="Q1572" s="142">
        <f>B1572*IBGE_2!Q$1572/100</f>
        <v>81.644000000000005</v>
      </c>
      <c r="R1572" s="142">
        <f>B1572*IBGE_2!R$1572/100</f>
        <v>1.9780000000000002</v>
      </c>
      <c r="S1572" s="142">
        <f>B1572*IBGE_2!S$1572/100</f>
        <v>104.21</v>
      </c>
      <c r="T1572" s="142">
        <f>B1572*IBGE_2!T$1572/100</f>
        <v>254.15199999999996</v>
      </c>
      <c r="U1572" s="142">
        <f>B1572*IBGE_2!U$1572/100</f>
        <v>0.19400000000000003</v>
      </c>
      <c r="V1572" s="142">
        <f>B1572*IBGE_2!V$1572/100</f>
        <v>0.64900000000000002</v>
      </c>
      <c r="W1572" s="142">
        <f>B1572*IBGE_2!W$1572/100</f>
        <v>47.253</v>
      </c>
      <c r="X1572" s="142">
        <f>B1572*IBGE_2!X$1572/100</f>
        <v>0.24</v>
      </c>
      <c r="Y1572" s="142">
        <f>B1572*IBGE_2!Y$1572/100</f>
        <v>0.191</v>
      </c>
      <c r="Z1572" s="142">
        <f>B1572*IBGE_2!Z$1572/100</f>
        <v>0.10400000000000001</v>
      </c>
      <c r="AA1572" s="142">
        <f>B1572*IBGE_2!AA$1572/100</f>
        <v>1.5409999999999999</v>
      </c>
      <c r="AB1572" s="142">
        <f>B1572*IBGE_2!AB$1572/100</f>
        <v>5.3070000000000004</v>
      </c>
      <c r="AC1572" s="142">
        <f>B1572*IBGE_2!AC$1572/100</f>
        <v>2.4910000000000001</v>
      </c>
      <c r="AD1572" s="142">
        <f>B1572*IBGE_2!AD$1572/100</f>
        <v>0.13600000000000001</v>
      </c>
      <c r="AE1572" s="142">
        <f>B1572*IBGE_2!AE$1572/100</f>
        <v>54.165999999999997</v>
      </c>
      <c r="AF1572" s="142">
        <f>B1572*IBGE_2!AF$1572/100</f>
        <v>0.20599999999999999</v>
      </c>
      <c r="AG1572" s="142">
        <f>B1572*IBGE_2!AG$1572/100</f>
        <v>0.37799999999999995</v>
      </c>
      <c r="AH1572" s="142">
        <f>B1572*IBGE_2!AH$1572/100</f>
        <v>0.13600000000000001</v>
      </c>
      <c r="AI1572" s="142" t="s">
        <v>3047</v>
      </c>
      <c r="AJ1572" s="142">
        <f>B1572*IBGE_2!AJ$1572/100</f>
        <v>12.412000000000001</v>
      </c>
      <c r="AK1572" s="142">
        <f>B1572*IBGE_2!AK$1572/100</f>
        <v>59.929000000000002</v>
      </c>
      <c r="AL1572" s="142">
        <f>B1572*IBGE_2!AL$1572/100</f>
        <v>34.396999999999998</v>
      </c>
      <c r="AM1572" s="142">
        <f>B1572*IBGE_2!AM$1572/100</f>
        <v>30.763999999999999</v>
      </c>
      <c r="AN1572" s="161"/>
    </row>
    <row r="1573" spans="1:40">
      <c r="A1573" s="143" t="s">
        <v>2633</v>
      </c>
      <c r="B1573" s="141">
        <v>100</v>
      </c>
      <c r="C1573" s="142">
        <f>B1573*IBGE_2!C$1573/100</f>
        <v>299.49299999999999</v>
      </c>
      <c r="D1573" s="142">
        <f>B1573*IBGE_2!D$1573/100</f>
        <v>4.5940000000000003</v>
      </c>
      <c r="E1573" s="142">
        <f>B1573*IBGE_2!E$1573/100</f>
        <v>9.36</v>
      </c>
      <c r="F1573" s="142">
        <f>B1573*IBGE_2!F$1573/100</f>
        <v>5.4409999999999998</v>
      </c>
      <c r="G1573" s="142">
        <f>B1573*IBGE_2!G$1573/100</f>
        <v>2.7109999999999999</v>
      </c>
      <c r="H1573" s="142">
        <f>B1573*IBGE_2!H$1573/100</f>
        <v>0.5</v>
      </c>
      <c r="I1573" s="142">
        <f>B1573*IBGE_2!I$1573/100</f>
        <v>0.44900000000000001</v>
      </c>
      <c r="J1573" s="142">
        <f>B1573*IBGE_2!J$1573/100</f>
        <v>3.3000000000000002E-2</v>
      </c>
      <c r="K1573" s="142">
        <f>B1573*IBGE_2!K$1573/100</f>
        <v>49.828999999999994</v>
      </c>
      <c r="L1573" s="142">
        <f>B1573*IBGE_2!L$1573/100</f>
        <v>52.448</v>
      </c>
      <c r="M1573" s="142">
        <f>B1573*IBGE_2!M$1573/100</f>
        <v>2.0030000000000001</v>
      </c>
      <c r="N1573" s="142">
        <f>B1573*IBGE_2!N$1573/100</f>
        <v>43.438000000000002</v>
      </c>
      <c r="O1573" s="142">
        <f>B1573*IBGE_2!O$1573/100</f>
        <v>32.200000000000003</v>
      </c>
      <c r="P1573" s="142">
        <f>B1573*IBGE_2!P$1573/100</f>
        <v>0.48699999999999993</v>
      </c>
      <c r="Q1573" s="142">
        <f>B1573*IBGE_2!Q$1573/100</f>
        <v>82.605000000000004</v>
      </c>
      <c r="R1573" s="142">
        <f>B1573*IBGE_2!R$1573/100</f>
        <v>2.5939999999999999</v>
      </c>
      <c r="S1573" s="142">
        <f>B1573*IBGE_2!S$1573/100</f>
        <v>150.68899999999999</v>
      </c>
      <c r="T1573" s="142">
        <f>B1573*IBGE_2!T$1573/100</f>
        <v>103.84899999999999</v>
      </c>
      <c r="U1573" s="142">
        <f>B1573*IBGE_2!U$1573/100</f>
        <v>0.29199999999999998</v>
      </c>
      <c r="V1573" s="142">
        <f>B1573*IBGE_2!V$1573/100</f>
        <v>1.0209999999999999</v>
      </c>
      <c r="W1573" s="142">
        <f>B1573*IBGE_2!W$1573/100</f>
        <v>49.036000000000001</v>
      </c>
      <c r="X1573" s="142">
        <f>B1573*IBGE_2!X$1573/100</f>
        <v>0.19900000000000001</v>
      </c>
      <c r="Y1573" s="142">
        <f>B1573*IBGE_2!Y$1573/100</f>
        <v>0.17699999999999999</v>
      </c>
      <c r="Z1573" s="142">
        <f>B1573*IBGE_2!Z$1573/100</f>
        <v>2.4E-2</v>
      </c>
      <c r="AA1573" s="142">
        <f>B1573*IBGE_2!AA$1573/100</f>
        <v>1.476</v>
      </c>
      <c r="AB1573" s="142" t="s">
        <v>3047</v>
      </c>
      <c r="AC1573" s="142">
        <f>B1573*IBGE_2!AC$1573/100</f>
        <v>2.379</v>
      </c>
      <c r="AD1573" s="142">
        <f>B1573*IBGE_2!AD$1573/100</f>
        <v>0.111</v>
      </c>
      <c r="AE1573" s="142">
        <f>B1573*IBGE_2!AE$1573/100</f>
        <v>53.405000000000001</v>
      </c>
      <c r="AF1573" s="142">
        <f>B1573*IBGE_2!AF$1573/100</f>
        <v>0.188</v>
      </c>
      <c r="AG1573" s="142">
        <f>B1573*IBGE_2!AG$1573/100</f>
        <v>0.25600000000000001</v>
      </c>
      <c r="AH1573" s="142">
        <f>B1573*IBGE_2!AH$1573/100</f>
        <v>0.16400000000000003</v>
      </c>
      <c r="AI1573" s="142" t="s">
        <v>3047</v>
      </c>
      <c r="AJ1573" s="142">
        <f>B1573*IBGE_2!AJ$1573/100</f>
        <v>11.53</v>
      </c>
      <c r="AK1573" s="142">
        <f>B1573*IBGE_2!AK$1573/100</f>
        <v>61.998000000000005</v>
      </c>
      <c r="AL1573" s="142">
        <f>B1573*IBGE_2!AL$1573/100</f>
        <v>32.488999999999997</v>
      </c>
      <c r="AM1573" s="142">
        <f>B1573*IBGE_2!AM$1573/100</f>
        <v>32.252000000000002</v>
      </c>
      <c r="AN1573" s="161"/>
    </row>
    <row r="1574" spans="1:40">
      <c r="A1574" s="143" t="s">
        <v>2634</v>
      </c>
      <c r="B1574" s="141">
        <v>100</v>
      </c>
      <c r="C1574" s="142">
        <f>B1574*IBGE_2!C$1574/100</f>
        <v>272.738</v>
      </c>
      <c r="D1574" s="142">
        <f>B1574*IBGE_2!D$1574/100</f>
        <v>4.085</v>
      </c>
      <c r="E1574" s="142">
        <f>B1574*IBGE_2!E$1574/100</f>
        <v>9.0980000000000008</v>
      </c>
      <c r="F1574" s="142">
        <f>B1574*IBGE_2!F$1574/100</f>
        <v>5.2020000000000008</v>
      </c>
      <c r="G1574" s="142">
        <f>B1574*IBGE_2!G$1574/100</f>
        <v>2.4780000000000002</v>
      </c>
      <c r="H1574" s="142">
        <f>B1574*IBGE_2!H$1574/100</f>
        <v>0.57099999999999995</v>
      </c>
      <c r="I1574" s="142">
        <f>B1574*IBGE_2!I$1574/100</f>
        <v>0.50800000000000001</v>
      </c>
      <c r="J1574" s="142">
        <f>B1574*IBGE_2!J$1574/100</f>
        <v>3.7999999999999999E-2</v>
      </c>
      <c r="K1574" s="142">
        <f>B1574*IBGE_2!K$1574/100</f>
        <v>73.787000000000006</v>
      </c>
      <c r="L1574" s="142">
        <f>B1574*IBGE_2!L$1574/100</f>
        <v>44.261000000000003</v>
      </c>
      <c r="M1574" s="142">
        <f>B1574*IBGE_2!M$1574/100</f>
        <v>1.6060000000000003</v>
      </c>
      <c r="N1574" s="142">
        <f>B1574*IBGE_2!N$1574/100</f>
        <v>23.466999999999999</v>
      </c>
      <c r="O1574" s="142">
        <f>B1574*IBGE_2!O$1574/100</f>
        <v>9.0890000000000004</v>
      </c>
      <c r="P1574" s="142">
        <f>B1574*IBGE_2!P$1574/100</f>
        <v>0.249</v>
      </c>
      <c r="Q1574" s="142">
        <f>B1574*IBGE_2!Q$1574/100</f>
        <v>55.113999999999997</v>
      </c>
      <c r="R1574" s="142">
        <f>B1574*IBGE_2!R$1574/100</f>
        <v>1.2589999999999999</v>
      </c>
      <c r="S1574" s="142">
        <f>B1574*IBGE_2!S$1574/100</f>
        <v>245.12700000000001</v>
      </c>
      <c r="T1574" s="142">
        <f>B1574*IBGE_2!T$1574/100</f>
        <v>104.315</v>
      </c>
      <c r="U1574" s="142">
        <f>B1574*IBGE_2!U$1574/100</f>
        <v>0.04</v>
      </c>
      <c r="V1574" s="142">
        <f>B1574*IBGE_2!V$1574/100</f>
        <v>0.35</v>
      </c>
      <c r="W1574" s="142">
        <f>B1574*IBGE_2!W$1574/100</f>
        <v>83.191000000000003</v>
      </c>
      <c r="X1574" s="142">
        <f>B1574*IBGE_2!X$1574/100</f>
        <v>0.193</v>
      </c>
      <c r="Y1574" s="142">
        <f>B1574*IBGE_2!Y$1574/100</f>
        <v>0.19</v>
      </c>
      <c r="Z1574" s="142">
        <f>B1574*IBGE_2!Z$1574/100</f>
        <v>6.5000000000000002E-2</v>
      </c>
      <c r="AA1574" s="142">
        <f>B1574*IBGE_2!AA$1574/100</f>
        <v>1.4379999999999997</v>
      </c>
      <c r="AB1574" s="142">
        <f>B1574*IBGE_2!AB$1574/100</f>
        <v>0.94399999999999995</v>
      </c>
      <c r="AC1574" s="142">
        <f>B1574*IBGE_2!AC$1574/100</f>
        <v>2.2759999999999998</v>
      </c>
      <c r="AD1574" s="142">
        <f>B1574*IBGE_2!AD$1574/100</f>
        <v>0.157</v>
      </c>
      <c r="AE1574" s="142">
        <f>B1574*IBGE_2!AE$1574/100</f>
        <v>52.841000000000001</v>
      </c>
      <c r="AF1574" s="142">
        <f>B1574*IBGE_2!AF$1574/100</f>
        <v>0.29199999999999998</v>
      </c>
      <c r="AG1574" s="142">
        <f>B1574*IBGE_2!AG$1574/100</f>
        <v>0.63100000000000001</v>
      </c>
      <c r="AH1574" s="142">
        <f>B1574*IBGE_2!AH$1574/100</f>
        <v>0.30199999999999999</v>
      </c>
      <c r="AI1574" s="142" t="s">
        <v>3047</v>
      </c>
      <c r="AJ1574" s="142">
        <f>B1574*IBGE_2!AJ$1574/100</f>
        <v>11.553000000000003</v>
      </c>
      <c r="AK1574" s="142">
        <f>B1574*IBGE_2!AK$1574/100</f>
        <v>326.97199999999998</v>
      </c>
      <c r="AL1574" s="142">
        <f>B1574*IBGE_2!AL$1574/100</f>
        <v>26.601999999999997</v>
      </c>
      <c r="AM1574" s="142">
        <f>B1574*IBGE_2!AM$1574/100</f>
        <v>25.46</v>
      </c>
      <c r="AN1574" s="161"/>
    </row>
    <row r="1575" spans="1:40">
      <c r="A1575" s="143" t="s">
        <v>2635</v>
      </c>
      <c r="B1575" s="141">
        <v>100</v>
      </c>
      <c r="C1575" s="142">
        <f>B1575*IBGE_2!C$1575/100</f>
        <v>432.96199999999999</v>
      </c>
      <c r="D1575" s="142">
        <f>B1575*IBGE_2!D$1575/100</f>
        <v>5.8789999999999996</v>
      </c>
      <c r="E1575" s="142">
        <f>B1575*IBGE_2!E$1575/100</f>
        <v>13.239000000000001</v>
      </c>
      <c r="F1575" s="142">
        <f>B1575*IBGE_2!F$1575/100</f>
        <v>4.085</v>
      </c>
      <c r="G1575" s="142">
        <f>B1575*IBGE_2!G$1575/100</f>
        <v>6.2679999999999998</v>
      </c>
      <c r="H1575" s="142">
        <f>B1575*IBGE_2!H$1575/100</f>
        <v>2.375</v>
      </c>
      <c r="I1575" s="142">
        <f>B1575*IBGE_2!I$1575/100</f>
        <v>1.825</v>
      </c>
      <c r="J1575" s="142">
        <f>B1575*IBGE_2!J$1575/100</f>
        <v>0.55000000000000004</v>
      </c>
      <c r="K1575" s="142" t="s">
        <v>3047</v>
      </c>
      <c r="L1575" s="142">
        <f>B1575*IBGE_2!L$1575/100</f>
        <v>77.801000000000002</v>
      </c>
      <c r="M1575" s="142">
        <f>B1575*IBGE_2!M$1575/100</f>
        <v>4.2430000000000003</v>
      </c>
      <c r="N1575" s="142">
        <f>B1575*IBGE_2!N$1575/100</f>
        <v>18.236000000000001</v>
      </c>
      <c r="O1575" s="142">
        <f>B1575*IBGE_2!O$1575/100</f>
        <v>54.298000000000002</v>
      </c>
      <c r="P1575" s="142">
        <f>B1575*IBGE_2!P$1575/100</f>
        <v>0.622</v>
      </c>
      <c r="Q1575" s="142">
        <f>B1575*IBGE_2!Q$1575/100</f>
        <v>109.85899999999999</v>
      </c>
      <c r="R1575" s="142">
        <f>B1575*IBGE_2!R$1575/100</f>
        <v>3.113</v>
      </c>
      <c r="S1575" s="142">
        <f>B1575*IBGE_2!S$1575/100</f>
        <v>558.19200000000001</v>
      </c>
      <c r="T1575" s="142">
        <f>B1575*IBGE_2!T$1575/100</f>
        <v>182.36500000000001</v>
      </c>
      <c r="U1575" s="142">
        <f>B1575*IBGE_2!U$1575/100</f>
        <v>0.40400000000000008</v>
      </c>
      <c r="V1575" s="142">
        <f>B1575*IBGE_2!V$1575/100</f>
        <v>0.9</v>
      </c>
      <c r="W1575" s="142" t="s">
        <v>3047</v>
      </c>
      <c r="X1575" s="142">
        <f>B1575*IBGE_2!X$1575/100</f>
        <v>0.318</v>
      </c>
      <c r="Y1575" s="142">
        <f>B1575*IBGE_2!Y$1575/100</f>
        <v>0.22500000000000001</v>
      </c>
      <c r="Z1575" s="142">
        <f>B1575*IBGE_2!Z$1575/100</f>
        <v>2.8000000000000004E-2</v>
      </c>
      <c r="AA1575" s="142">
        <f>B1575*IBGE_2!AA$1575/100</f>
        <v>2.536</v>
      </c>
      <c r="AB1575" s="142" t="s">
        <v>3047</v>
      </c>
      <c r="AC1575" s="142">
        <f>B1575*IBGE_2!AC$1575/100</f>
        <v>3.819</v>
      </c>
      <c r="AD1575" s="145" t="s">
        <v>3047</v>
      </c>
      <c r="AE1575" s="142">
        <f>B1575*IBGE_2!AE$1575/100</f>
        <v>83.64400000000002</v>
      </c>
      <c r="AF1575" s="145" t="s">
        <v>3047</v>
      </c>
      <c r="AG1575" s="142">
        <f>B1575*IBGE_2!AG$1575/100</f>
        <v>1.97</v>
      </c>
      <c r="AH1575" s="142">
        <f>B1575*IBGE_2!AH$1575/100</f>
        <v>5.2000000000000005E-2</v>
      </c>
      <c r="AI1575" s="142" t="s">
        <v>3047</v>
      </c>
      <c r="AJ1575" s="142">
        <f>B1575*IBGE_2!AJ$1575/100</f>
        <v>14.989000000000001</v>
      </c>
      <c r="AK1575" s="145" t="s">
        <v>3047</v>
      </c>
      <c r="AL1575" s="142">
        <f>B1575*IBGE_2!AL$1575/100</f>
        <v>41.179000000000002</v>
      </c>
      <c r="AM1575" s="142">
        <f>B1575*IBGE_2!AM$1575/100</f>
        <v>41.04</v>
      </c>
      <c r="AN1575" s="161"/>
    </row>
    <row r="1576" spans="1:40">
      <c r="A1576" s="143" t="s">
        <v>2636</v>
      </c>
      <c r="B1576" s="141">
        <v>100</v>
      </c>
      <c r="C1576" s="142">
        <f>B1576*IBGE_2!C$1576/100</f>
        <v>398.63199999999995</v>
      </c>
      <c r="D1576" s="142">
        <f>B1576*IBGE_2!D$1576/100</f>
        <v>4.508</v>
      </c>
      <c r="E1576" s="142">
        <f>B1576*IBGE_2!E$1576/100</f>
        <v>6.9240000000000013</v>
      </c>
      <c r="F1576" s="142">
        <f>B1576*IBGE_2!F$1576/100</f>
        <v>1.0369999999999999</v>
      </c>
      <c r="G1576" s="142">
        <f>B1576*IBGE_2!G$1576/100</f>
        <v>2.8330000000000002</v>
      </c>
      <c r="H1576" s="142">
        <f>B1576*IBGE_2!H$1576/100</f>
        <v>2.6219999999999999</v>
      </c>
      <c r="I1576" s="142">
        <f>B1576*IBGE_2!I$1576/100</f>
        <v>2.4369999999999998</v>
      </c>
      <c r="J1576" s="142">
        <f>B1576*IBGE_2!J$1576/100</f>
        <v>0.17800000000000002</v>
      </c>
      <c r="K1576" s="142">
        <f>B1576*IBGE_2!K$1576/100</f>
        <v>1.7000000000000001E-2</v>
      </c>
      <c r="L1576" s="142">
        <f>B1576*IBGE_2!L$1576/100</f>
        <v>80.659000000000006</v>
      </c>
      <c r="M1576" s="142">
        <f>B1576*IBGE_2!M$1576/100</f>
        <v>1.3069999999999999</v>
      </c>
      <c r="N1576" s="142">
        <f>B1576*IBGE_2!N$1576/100</f>
        <v>18.594999999999999</v>
      </c>
      <c r="O1576" s="142">
        <f>B1576*IBGE_2!O$1576/100</f>
        <v>10.587999999999999</v>
      </c>
      <c r="P1576" s="142">
        <f>B1576*IBGE_2!P$1576/100</f>
        <v>0.3</v>
      </c>
      <c r="Q1576" s="142">
        <f>B1576*IBGE_2!Q$1576/100</f>
        <v>54.048000000000002</v>
      </c>
      <c r="R1576" s="142">
        <f>B1576*IBGE_2!R$1576/100</f>
        <v>2.0099999999999998</v>
      </c>
      <c r="S1576" s="142">
        <f>B1576*IBGE_2!S$1576/100</f>
        <v>379.35500000000002</v>
      </c>
      <c r="T1576" s="142">
        <f>B1576*IBGE_2!T$1576/100</f>
        <v>59.814999999999998</v>
      </c>
      <c r="U1576" s="142">
        <f>B1576*IBGE_2!U$1576/100</f>
        <v>0.09</v>
      </c>
      <c r="V1576" s="142">
        <f>B1576*IBGE_2!V$1576/100</f>
        <v>0.35099999999999992</v>
      </c>
      <c r="W1576" s="142">
        <f>B1576*IBGE_2!W$1576/100</f>
        <v>9.6000000000000002E-2</v>
      </c>
      <c r="X1576" s="142">
        <f>B1576*IBGE_2!X$1576/100</f>
        <v>0.34100000000000003</v>
      </c>
      <c r="Y1576" s="142">
        <f>B1576*IBGE_2!Y$1576/100</f>
        <v>0.23300000000000001</v>
      </c>
      <c r="Z1576" s="142">
        <f>B1576*IBGE_2!Z$1576/100</f>
        <v>2.1999999999999999E-2</v>
      </c>
      <c r="AA1576" s="142">
        <f>B1576*IBGE_2!AA$1576/100</f>
        <v>2.5449999999999999</v>
      </c>
      <c r="AB1576" s="142">
        <f>B1576*IBGE_2!AB$1576/100</f>
        <v>5.0000000000000001E-3</v>
      </c>
      <c r="AC1576" s="142">
        <f>B1576*IBGE_2!AC$1576/100</f>
        <v>3.4780000000000002</v>
      </c>
      <c r="AD1576" s="142">
        <f>B1576*IBGE_2!AD$1576/100</f>
        <v>1.4000000000000002E-2</v>
      </c>
      <c r="AE1576" s="142">
        <f>B1576*IBGE_2!AE$1576/100</f>
        <v>87.906000000000006</v>
      </c>
      <c r="AF1576" s="145" t="s">
        <v>3047</v>
      </c>
      <c r="AG1576" s="142">
        <f>B1576*IBGE_2!AG$1576/100</f>
        <v>0.55200000000000005</v>
      </c>
      <c r="AH1576" s="142">
        <f>B1576*IBGE_2!AH$1576/100</f>
        <v>0.93200000000000005</v>
      </c>
      <c r="AI1576" s="142" t="s">
        <v>3047</v>
      </c>
      <c r="AJ1576" s="142">
        <f>B1576*IBGE_2!AJ$1576/100</f>
        <v>18.012</v>
      </c>
      <c r="AK1576" s="142">
        <f>B1576*IBGE_2!AK$1576/100</f>
        <v>9.6000000000000002E-2</v>
      </c>
      <c r="AL1576" s="142">
        <f>B1576*IBGE_2!AL$1576/100</f>
        <v>47.652999999999999</v>
      </c>
      <c r="AM1576" s="142">
        <f>B1576*IBGE_2!AM$1576/100</f>
        <v>47.431999999999995</v>
      </c>
      <c r="AN1576" s="161"/>
    </row>
    <row r="1577" spans="1:40">
      <c r="A1577" s="143" t="s">
        <v>2637</v>
      </c>
      <c r="B1577" s="141">
        <v>100</v>
      </c>
      <c r="C1577" s="142">
        <f>B1577*IBGE_2!C$1577/100</f>
        <v>398.63199999999995</v>
      </c>
      <c r="D1577" s="142">
        <f>B1577*IBGE_2!D$1577/100</f>
        <v>4.508</v>
      </c>
      <c r="E1577" s="142">
        <f>B1577*IBGE_2!E$1577/100</f>
        <v>6.9240000000000013</v>
      </c>
      <c r="F1577" s="142">
        <f>B1577*IBGE_2!F$1577/100</f>
        <v>1.0369999999999999</v>
      </c>
      <c r="G1577" s="142">
        <f>B1577*IBGE_2!G$1577/100</f>
        <v>2.8330000000000002</v>
      </c>
      <c r="H1577" s="142">
        <f>B1577*IBGE_2!H$1577/100</f>
        <v>2.6219999999999999</v>
      </c>
      <c r="I1577" s="142">
        <f>B1577*IBGE_2!I$1577/100</f>
        <v>2.4369999999999998</v>
      </c>
      <c r="J1577" s="142">
        <f>B1577*IBGE_2!J$1577/100</f>
        <v>0.17800000000000002</v>
      </c>
      <c r="K1577" s="142">
        <f>B1577*IBGE_2!K$1577/100</f>
        <v>1.7000000000000001E-2</v>
      </c>
      <c r="L1577" s="142">
        <f>B1577*IBGE_2!L$1577/100</f>
        <v>80.659000000000006</v>
      </c>
      <c r="M1577" s="142">
        <f>B1577*IBGE_2!M$1577/100</f>
        <v>1.3069999999999999</v>
      </c>
      <c r="N1577" s="142">
        <f>B1577*IBGE_2!N$1577/100</f>
        <v>18.594999999999999</v>
      </c>
      <c r="O1577" s="142">
        <f>B1577*IBGE_2!O$1577/100</f>
        <v>10.587999999999999</v>
      </c>
      <c r="P1577" s="142">
        <f>B1577*IBGE_2!P$1577/100</f>
        <v>0.3</v>
      </c>
      <c r="Q1577" s="142">
        <f>B1577*IBGE_2!Q$1577/100</f>
        <v>54.048000000000002</v>
      </c>
      <c r="R1577" s="142">
        <f>B1577*IBGE_2!R$1577/100</f>
        <v>2.0099999999999998</v>
      </c>
      <c r="S1577" s="142">
        <f>B1577*IBGE_2!S$1577/100</f>
        <v>379.35500000000002</v>
      </c>
      <c r="T1577" s="142">
        <f>B1577*IBGE_2!T$1577/100</f>
        <v>59.814999999999998</v>
      </c>
      <c r="U1577" s="142">
        <f>B1577*IBGE_2!U$1577/100</f>
        <v>0.09</v>
      </c>
      <c r="V1577" s="142">
        <f>B1577*IBGE_2!V$1577/100</f>
        <v>0.35099999999999992</v>
      </c>
      <c r="W1577" s="142">
        <f>B1577*IBGE_2!W$1577/100</f>
        <v>9.6000000000000002E-2</v>
      </c>
      <c r="X1577" s="142">
        <f>B1577*IBGE_2!X$1577/100</f>
        <v>0.34100000000000003</v>
      </c>
      <c r="Y1577" s="142">
        <f>B1577*IBGE_2!Y$1577/100</f>
        <v>0.23300000000000001</v>
      </c>
      <c r="Z1577" s="142">
        <f>B1577*IBGE_2!Z$1577/100</f>
        <v>2.1999999999999999E-2</v>
      </c>
      <c r="AA1577" s="142">
        <f>B1577*IBGE_2!AA$1577/100</f>
        <v>2.5449999999999999</v>
      </c>
      <c r="AB1577" s="142">
        <f>B1577*IBGE_2!AB$1577/100</f>
        <v>5.0000000000000001E-3</v>
      </c>
      <c r="AC1577" s="142">
        <f>B1577*IBGE_2!AC$1577/100</f>
        <v>3.4780000000000002</v>
      </c>
      <c r="AD1577" s="142">
        <f>B1577*IBGE_2!AD$1577/100</f>
        <v>1.4000000000000002E-2</v>
      </c>
      <c r="AE1577" s="142">
        <f>B1577*IBGE_2!AE$1577/100</f>
        <v>87.906000000000006</v>
      </c>
      <c r="AF1577" s="145" t="s">
        <v>3047</v>
      </c>
      <c r="AG1577" s="142">
        <f>B1577*IBGE_2!AG$1577/100</f>
        <v>0.55200000000000005</v>
      </c>
      <c r="AH1577" s="142">
        <f>B1577*IBGE_2!AH$1577/100</f>
        <v>0.93200000000000005</v>
      </c>
      <c r="AI1577" s="142" t="s">
        <v>3047</v>
      </c>
      <c r="AJ1577" s="142">
        <f>B1577*IBGE_2!AJ$1577/100</f>
        <v>18.012</v>
      </c>
      <c r="AK1577" s="142">
        <f>B1577*IBGE_2!AK$1577/100</f>
        <v>9.6000000000000002E-2</v>
      </c>
      <c r="AL1577" s="142">
        <f>B1577*IBGE_2!AL$1577/100</f>
        <v>47.652999999999999</v>
      </c>
      <c r="AM1577" s="142">
        <f>B1577*IBGE_2!AM$1577/100</f>
        <v>47.431999999999995</v>
      </c>
      <c r="AN1577" s="161"/>
    </row>
    <row r="1578" spans="1:40">
      <c r="A1578" s="143" t="s">
        <v>2638</v>
      </c>
      <c r="B1578" s="141">
        <v>100</v>
      </c>
      <c r="C1578" s="142">
        <f>B1578*IBGE_2!C$1578/100</f>
        <v>432.96199999999999</v>
      </c>
      <c r="D1578" s="142">
        <f>B1578*IBGE_2!D$1578/100</f>
        <v>5.8789999999999996</v>
      </c>
      <c r="E1578" s="142">
        <f>B1578*IBGE_2!E$1578/100</f>
        <v>13.239000000000001</v>
      </c>
      <c r="F1578" s="142">
        <f>B1578*IBGE_2!F$1578/100</f>
        <v>4.085</v>
      </c>
      <c r="G1578" s="142">
        <f>B1578*IBGE_2!G$1578/100</f>
        <v>6.2679999999999998</v>
      </c>
      <c r="H1578" s="142">
        <f>B1578*IBGE_2!H$1578/100</f>
        <v>2.375</v>
      </c>
      <c r="I1578" s="142">
        <f>B1578*IBGE_2!I$1578/100</f>
        <v>1.825</v>
      </c>
      <c r="J1578" s="142">
        <f>B1578*IBGE_2!J$1578/100</f>
        <v>0.55000000000000004</v>
      </c>
      <c r="K1578" s="142" t="s">
        <v>3047</v>
      </c>
      <c r="L1578" s="142">
        <f>B1578*IBGE_2!L$1578/100</f>
        <v>77.801000000000002</v>
      </c>
      <c r="M1578" s="142">
        <f>B1578*IBGE_2!M$1578/100</f>
        <v>4.2430000000000003</v>
      </c>
      <c r="N1578" s="142">
        <f>B1578*IBGE_2!N$1578/100</f>
        <v>18.236000000000001</v>
      </c>
      <c r="O1578" s="142">
        <f>B1578*IBGE_2!O$1578/100</f>
        <v>54.298000000000002</v>
      </c>
      <c r="P1578" s="142">
        <f>B1578*IBGE_2!P$1578/100</f>
        <v>0.622</v>
      </c>
      <c r="Q1578" s="142">
        <f>B1578*IBGE_2!Q$1578/100</f>
        <v>109.85899999999999</v>
      </c>
      <c r="R1578" s="142">
        <f>B1578*IBGE_2!R$1578/100</f>
        <v>3.113</v>
      </c>
      <c r="S1578" s="142">
        <f>B1578*IBGE_2!S$1578/100</f>
        <v>558.19200000000001</v>
      </c>
      <c r="T1578" s="142">
        <f>B1578*IBGE_2!T$1578/100</f>
        <v>182.36500000000001</v>
      </c>
      <c r="U1578" s="142">
        <f>B1578*IBGE_2!U$1578/100</f>
        <v>0.40400000000000008</v>
      </c>
      <c r="V1578" s="142">
        <f>B1578*IBGE_2!V$1578/100</f>
        <v>0.9</v>
      </c>
      <c r="W1578" s="142" t="s">
        <v>3047</v>
      </c>
      <c r="X1578" s="142">
        <f>B1578*IBGE_2!X$1578/100</f>
        <v>0.318</v>
      </c>
      <c r="Y1578" s="142">
        <f>B1578*IBGE_2!Y$1578/100</f>
        <v>0.22500000000000001</v>
      </c>
      <c r="Z1578" s="142">
        <f>B1578*IBGE_2!Z$1578/100</f>
        <v>2.8000000000000004E-2</v>
      </c>
      <c r="AA1578" s="142">
        <f>B1578*IBGE_2!AA$1578/100</f>
        <v>2.536</v>
      </c>
      <c r="AB1578" s="142" t="s">
        <v>3047</v>
      </c>
      <c r="AC1578" s="142">
        <f>B1578*IBGE_2!AC$1578/100</f>
        <v>3.819</v>
      </c>
      <c r="AD1578" s="145" t="s">
        <v>3047</v>
      </c>
      <c r="AE1578" s="142">
        <f>B1578*IBGE_2!AE$1578/100</f>
        <v>83.64400000000002</v>
      </c>
      <c r="AF1578" s="145" t="s">
        <v>3047</v>
      </c>
      <c r="AG1578" s="142">
        <f>B1578*IBGE_2!AG$1578/100</f>
        <v>1.97</v>
      </c>
      <c r="AH1578" s="142">
        <f>B1578*IBGE_2!AH$1578/100</f>
        <v>5.2000000000000005E-2</v>
      </c>
      <c r="AI1578" s="142" t="s">
        <v>3047</v>
      </c>
      <c r="AJ1578" s="142">
        <f>B1578*IBGE_2!AJ$1578/100</f>
        <v>14.989000000000001</v>
      </c>
      <c r="AK1578" s="145" t="s">
        <v>3047</v>
      </c>
      <c r="AL1578" s="142">
        <f>B1578*IBGE_2!AL$1578/100</f>
        <v>41.179000000000002</v>
      </c>
      <c r="AM1578" s="142">
        <f>B1578*IBGE_2!AM$1578/100</f>
        <v>41.04</v>
      </c>
      <c r="AN1578" s="161"/>
    </row>
    <row r="1579" spans="1:40">
      <c r="A1579" s="143" t="s">
        <v>2639</v>
      </c>
      <c r="B1579" s="141">
        <v>100</v>
      </c>
      <c r="C1579" s="142">
        <f>B1579*IBGE_2!C$1579/100</f>
        <v>432.96199999999999</v>
      </c>
      <c r="D1579" s="142">
        <f>B1579*IBGE_2!D$1579/100</f>
        <v>5.8789999999999996</v>
      </c>
      <c r="E1579" s="142">
        <f>B1579*IBGE_2!E$1579/100</f>
        <v>13.239000000000001</v>
      </c>
      <c r="F1579" s="142">
        <f>B1579*IBGE_2!F$1579/100</f>
        <v>4.085</v>
      </c>
      <c r="G1579" s="142">
        <f>B1579*IBGE_2!G$1579/100</f>
        <v>6.2679999999999998</v>
      </c>
      <c r="H1579" s="142">
        <f>B1579*IBGE_2!H$1579/100</f>
        <v>2.375</v>
      </c>
      <c r="I1579" s="142">
        <f>B1579*IBGE_2!I$1579/100</f>
        <v>1.825</v>
      </c>
      <c r="J1579" s="142">
        <f>B1579*IBGE_2!J$1579/100</f>
        <v>0.55000000000000004</v>
      </c>
      <c r="K1579" s="142" t="s">
        <v>3047</v>
      </c>
      <c r="L1579" s="142">
        <f>B1579*IBGE_2!L$1579/100</f>
        <v>77.801000000000002</v>
      </c>
      <c r="M1579" s="142">
        <f>B1579*IBGE_2!M$1579/100</f>
        <v>4.2430000000000003</v>
      </c>
      <c r="N1579" s="142">
        <f>B1579*IBGE_2!N$1579/100</f>
        <v>18.236000000000001</v>
      </c>
      <c r="O1579" s="142">
        <f>B1579*IBGE_2!O$1579/100</f>
        <v>54.298000000000002</v>
      </c>
      <c r="P1579" s="142">
        <f>B1579*IBGE_2!P$1579/100</f>
        <v>0.622</v>
      </c>
      <c r="Q1579" s="142">
        <f>B1579*IBGE_2!Q$1579/100</f>
        <v>109.85899999999999</v>
      </c>
      <c r="R1579" s="142">
        <f>B1579*IBGE_2!R$1579/100</f>
        <v>3.113</v>
      </c>
      <c r="S1579" s="142">
        <f>B1579*IBGE_2!S$1579/100</f>
        <v>558.19200000000001</v>
      </c>
      <c r="T1579" s="142">
        <f>B1579*IBGE_2!T$1579/100</f>
        <v>182.36500000000001</v>
      </c>
      <c r="U1579" s="142">
        <f>B1579*IBGE_2!U$1579/100</f>
        <v>0.40400000000000008</v>
      </c>
      <c r="V1579" s="142">
        <f>B1579*IBGE_2!V$1579/100</f>
        <v>0.9</v>
      </c>
      <c r="W1579" s="142" t="s">
        <v>3047</v>
      </c>
      <c r="X1579" s="142">
        <f>B1579*IBGE_2!X$1579/100</f>
        <v>0.318</v>
      </c>
      <c r="Y1579" s="142">
        <f>B1579*IBGE_2!Y$1579/100</f>
        <v>0.22500000000000001</v>
      </c>
      <c r="Z1579" s="142">
        <f>B1579*IBGE_2!Z$1579/100</f>
        <v>2.8000000000000004E-2</v>
      </c>
      <c r="AA1579" s="142">
        <f>B1579*IBGE_2!AA$1579/100</f>
        <v>2.536</v>
      </c>
      <c r="AB1579" s="142" t="s">
        <v>3047</v>
      </c>
      <c r="AC1579" s="142">
        <f>B1579*IBGE_2!AC$1579/100</f>
        <v>3.819</v>
      </c>
      <c r="AD1579" s="145" t="s">
        <v>3047</v>
      </c>
      <c r="AE1579" s="142">
        <f>B1579*IBGE_2!AE$1579/100</f>
        <v>83.64400000000002</v>
      </c>
      <c r="AF1579" s="145" t="s">
        <v>3047</v>
      </c>
      <c r="AG1579" s="142">
        <f>B1579*IBGE_2!AG$1579/100</f>
        <v>1.97</v>
      </c>
      <c r="AH1579" s="142">
        <f>B1579*IBGE_2!AH$1579/100</f>
        <v>5.2000000000000005E-2</v>
      </c>
      <c r="AI1579" s="142" t="s">
        <v>3047</v>
      </c>
      <c r="AJ1579" s="142">
        <f>B1579*IBGE_2!AJ$1579/100</f>
        <v>14.989000000000001</v>
      </c>
      <c r="AK1579" s="145" t="s">
        <v>3047</v>
      </c>
      <c r="AL1579" s="142">
        <f>B1579*IBGE_2!AL$1579/100</f>
        <v>41.179000000000002</v>
      </c>
      <c r="AM1579" s="142">
        <f>B1579*IBGE_2!AM$1579/100</f>
        <v>41.04</v>
      </c>
      <c r="AN1579" s="161"/>
    </row>
    <row r="1580" spans="1:40">
      <c r="A1580" s="143" t="s">
        <v>2640</v>
      </c>
      <c r="B1580" s="141">
        <v>100</v>
      </c>
      <c r="C1580" s="142">
        <f>B1580*IBGE_2!C$1580/100</f>
        <v>405.27499999999998</v>
      </c>
      <c r="D1580" s="142">
        <f>B1580*IBGE_2!D$1580/100</f>
        <v>8.1679999999999993</v>
      </c>
      <c r="E1580" s="142">
        <f>B1580*IBGE_2!E$1580/100</f>
        <v>20.827999999999996</v>
      </c>
      <c r="F1580" s="142">
        <f>B1580*IBGE_2!F$1580/100</f>
        <v>2.1739999999999999</v>
      </c>
      <c r="G1580" s="142">
        <f>B1580*IBGE_2!G$1580/100</f>
        <v>12.398</v>
      </c>
      <c r="H1580" s="142">
        <f>B1580*IBGE_2!H$1580/100</f>
        <v>5.726</v>
      </c>
      <c r="I1580" s="142">
        <f>B1580*IBGE_2!I$1580/100</f>
        <v>3.9609999999999999</v>
      </c>
      <c r="J1580" s="142">
        <f>B1580*IBGE_2!J$1580/100</f>
        <v>1.7649999999999999</v>
      </c>
      <c r="K1580" s="142">
        <f>B1580*IBGE_2!K$1580/100</f>
        <v>0.09</v>
      </c>
      <c r="L1580" s="142">
        <f>B1580*IBGE_2!L$1580/100</f>
        <v>66.822000000000003</v>
      </c>
      <c r="M1580" s="142">
        <f>B1580*IBGE_2!M$1580/100</f>
        <v>3.6659999999999995</v>
      </c>
      <c r="N1580" s="142">
        <f>B1580*IBGE_2!N$1580/100</f>
        <v>49.295000000000002</v>
      </c>
      <c r="O1580" s="142">
        <f>B1580*IBGE_2!O$1580/100</f>
        <v>32.857999999999997</v>
      </c>
      <c r="P1580" s="142">
        <f>B1580*IBGE_2!P$1580/100</f>
        <v>0.38400000000000001</v>
      </c>
      <c r="Q1580" s="142">
        <f>B1580*IBGE_2!Q$1580/100</f>
        <v>83.795000000000002</v>
      </c>
      <c r="R1580" s="142">
        <f>B1580*IBGE_2!R$1580/100</f>
        <v>2.0710000000000002</v>
      </c>
      <c r="S1580" s="142">
        <f>B1580*IBGE_2!S$1580/100</f>
        <v>459.74099999999999</v>
      </c>
      <c r="T1580" s="142">
        <f>B1580*IBGE_2!T$1580/100</f>
        <v>110.46800000000002</v>
      </c>
      <c r="U1580" s="142">
        <f>B1580*IBGE_2!U$1580/100</f>
        <v>0.247</v>
      </c>
      <c r="V1580" s="142">
        <f>B1580*IBGE_2!V$1580/100</f>
        <v>0.627</v>
      </c>
      <c r="W1580" s="142">
        <f>B1580*IBGE_2!W$1580/100</f>
        <v>0.51</v>
      </c>
      <c r="X1580" s="142">
        <f>B1580*IBGE_2!X$1580/100</f>
        <v>0.19699999999999998</v>
      </c>
      <c r="Y1580" s="142">
        <f>B1580*IBGE_2!Y$1580/100</f>
        <v>0.14399999999999999</v>
      </c>
      <c r="Z1580" s="142">
        <f>B1580*IBGE_2!Z$1580/100</f>
        <v>2.1000000000000001E-2</v>
      </c>
      <c r="AA1580" s="142">
        <f>B1580*IBGE_2!AA$1580/100</f>
        <v>1.5409999999999999</v>
      </c>
      <c r="AB1580" s="142">
        <f>B1580*IBGE_2!AB$1580/100</f>
        <v>5.0000000000000001E-3</v>
      </c>
      <c r="AC1580" s="142">
        <f>B1580*IBGE_2!AC$1580/100</f>
        <v>3.2909999999999995</v>
      </c>
      <c r="AD1580" s="142">
        <f>B1580*IBGE_2!AD$1580/100</f>
        <v>1.4999999999999999E-2</v>
      </c>
      <c r="AE1580" s="142">
        <f>B1580*IBGE_2!AE$1580/100</f>
        <v>51.286999999999999</v>
      </c>
      <c r="AF1580" s="145" t="s">
        <v>3047</v>
      </c>
      <c r="AG1580" s="142">
        <f>B1580*IBGE_2!AG$1580/100</f>
        <v>3.3710000000000004</v>
      </c>
      <c r="AH1580" s="142">
        <f>B1580*IBGE_2!AH$1580/100</f>
        <v>7.4999999999999997E-2</v>
      </c>
      <c r="AI1580" s="142" t="s">
        <v>3047</v>
      </c>
      <c r="AJ1580" s="142">
        <f>B1580*IBGE_2!AJ$1580/100</f>
        <v>9.2059999999999995</v>
      </c>
      <c r="AK1580" s="142">
        <f>B1580*IBGE_2!AK$1580/100</f>
        <v>0.51300000000000001</v>
      </c>
      <c r="AL1580" s="142">
        <f>B1580*IBGE_2!AL$1580/100</f>
        <v>5.5350000000000001</v>
      </c>
      <c r="AM1580" s="142">
        <f>B1580*IBGE_2!AM$1580/100</f>
        <v>0.55200000000000005</v>
      </c>
      <c r="AN1580" s="161"/>
    </row>
    <row r="1581" spans="1:40">
      <c r="A1581" s="143" t="s">
        <v>2641</v>
      </c>
      <c r="B1581" s="141">
        <v>100</v>
      </c>
      <c r="C1581" s="142">
        <f>B1581*IBGE_2!C$1581/100</f>
        <v>405.27499999999998</v>
      </c>
      <c r="D1581" s="142">
        <f>B1581*IBGE_2!D$1581/100</f>
        <v>8.1679999999999993</v>
      </c>
      <c r="E1581" s="142">
        <f>B1581*IBGE_2!E$1581/100</f>
        <v>20.827999999999996</v>
      </c>
      <c r="F1581" s="142">
        <f>B1581*IBGE_2!F$1581/100</f>
        <v>2.1739999999999999</v>
      </c>
      <c r="G1581" s="142">
        <f>B1581*IBGE_2!G$1581/100</f>
        <v>12.398</v>
      </c>
      <c r="H1581" s="142">
        <f>B1581*IBGE_2!H$1581/100</f>
        <v>5.726</v>
      </c>
      <c r="I1581" s="142">
        <f>B1581*IBGE_2!I$1581/100</f>
        <v>3.9609999999999999</v>
      </c>
      <c r="J1581" s="142">
        <f>B1581*IBGE_2!J$1581/100</f>
        <v>1.7649999999999999</v>
      </c>
      <c r="K1581" s="142">
        <f>B1581*IBGE_2!K$1581/100</f>
        <v>0.09</v>
      </c>
      <c r="L1581" s="142">
        <f>B1581*IBGE_2!L$1581/100</f>
        <v>66.822000000000003</v>
      </c>
      <c r="M1581" s="142">
        <f>B1581*IBGE_2!M$1581/100</f>
        <v>3.6659999999999995</v>
      </c>
      <c r="N1581" s="142">
        <f>B1581*IBGE_2!N$1581/100</f>
        <v>49.295000000000002</v>
      </c>
      <c r="O1581" s="142">
        <f>B1581*IBGE_2!O$1581/100</f>
        <v>32.857999999999997</v>
      </c>
      <c r="P1581" s="142">
        <f>B1581*IBGE_2!P$1581/100</f>
        <v>0.38400000000000001</v>
      </c>
      <c r="Q1581" s="142">
        <f>B1581*IBGE_2!Q$1581/100</f>
        <v>83.795000000000002</v>
      </c>
      <c r="R1581" s="142">
        <f>B1581*IBGE_2!R$1581/100</f>
        <v>2.0710000000000002</v>
      </c>
      <c r="S1581" s="142">
        <f>B1581*IBGE_2!S$1581/100</f>
        <v>459.74099999999999</v>
      </c>
      <c r="T1581" s="142">
        <f>B1581*IBGE_2!T$1581/100</f>
        <v>110.46800000000002</v>
      </c>
      <c r="U1581" s="142">
        <f>B1581*IBGE_2!U$1581/100</f>
        <v>0.247</v>
      </c>
      <c r="V1581" s="142">
        <f>B1581*IBGE_2!V$1581/100</f>
        <v>0.627</v>
      </c>
      <c r="W1581" s="142">
        <f>B1581*IBGE_2!W$1581/100</f>
        <v>0.51</v>
      </c>
      <c r="X1581" s="142">
        <f>B1581*IBGE_2!X$1581/100</f>
        <v>0.19699999999999998</v>
      </c>
      <c r="Y1581" s="142">
        <f>B1581*IBGE_2!Y$1581/100</f>
        <v>0.14399999999999999</v>
      </c>
      <c r="Z1581" s="142">
        <f>B1581*IBGE_2!Z$1581/100</f>
        <v>2.1000000000000001E-2</v>
      </c>
      <c r="AA1581" s="142">
        <f>B1581*IBGE_2!AA$1581/100</f>
        <v>1.5409999999999999</v>
      </c>
      <c r="AB1581" s="142">
        <f>B1581*IBGE_2!AB$1581/100</f>
        <v>5.0000000000000001E-3</v>
      </c>
      <c r="AC1581" s="142">
        <f>B1581*IBGE_2!AC$1581/100</f>
        <v>3.2909999999999995</v>
      </c>
      <c r="AD1581" s="142">
        <f>B1581*IBGE_2!AD$1581/100</f>
        <v>1.4999999999999999E-2</v>
      </c>
      <c r="AE1581" s="142">
        <f>B1581*IBGE_2!AE$1581/100</f>
        <v>51.286999999999999</v>
      </c>
      <c r="AF1581" s="145" t="s">
        <v>3047</v>
      </c>
      <c r="AG1581" s="142">
        <f>B1581*IBGE_2!AG$1581/100</f>
        <v>3.3710000000000004</v>
      </c>
      <c r="AH1581" s="142">
        <f>B1581*IBGE_2!AH$1581/100</f>
        <v>7.4999999999999997E-2</v>
      </c>
      <c r="AI1581" s="142" t="s">
        <v>3047</v>
      </c>
      <c r="AJ1581" s="142">
        <f>B1581*IBGE_2!AJ$1581/100</f>
        <v>9.2059999999999995</v>
      </c>
      <c r="AK1581" s="142">
        <f>B1581*IBGE_2!AK$1581/100</f>
        <v>0.51300000000000001</v>
      </c>
      <c r="AL1581" s="142">
        <f>B1581*IBGE_2!AL$1581/100</f>
        <v>5.5350000000000001</v>
      </c>
      <c r="AM1581" s="142">
        <f>B1581*IBGE_2!AM$1581/100</f>
        <v>0.55200000000000005</v>
      </c>
      <c r="AN1581" s="161"/>
    </row>
    <row r="1582" spans="1:40">
      <c r="A1582" s="143" t="s">
        <v>2642</v>
      </c>
      <c r="B1582" s="141">
        <v>100</v>
      </c>
      <c r="C1582" s="142">
        <f>B1582*IBGE_2!C$1582/100</f>
        <v>405.27499999999998</v>
      </c>
      <c r="D1582" s="142">
        <f>B1582*IBGE_2!D$1582/100</f>
        <v>8.1679999999999993</v>
      </c>
      <c r="E1582" s="142">
        <f>B1582*IBGE_2!E$1582/100</f>
        <v>20.827999999999996</v>
      </c>
      <c r="F1582" s="142">
        <f>B1582*IBGE_2!F$1582/100</f>
        <v>2.1739999999999999</v>
      </c>
      <c r="G1582" s="142">
        <f>B1582*IBGE_2!G$1582/100</f>
        <v>12.398</v>
      </c>
      <c r="H1582" s="142">
        <f>B1582*IBGE_2!H$1582/100</f>
        <v>5.726</v>
      </c>
      <c r="I1582" s="142">
        <f>B1582*IBGE_2!I$1582/100</f>
        <v>3.9609999999999999</v>
      </c>
      <c r="J1582" s="142">
        <f>B1582*IBGE_2!J$1582/100</f>
        <v>1.7649999999999999</v>
      </c>
      <c r="K1582" s="142">
        <f>B1582*IBGE_2!K$1582/100</f>
        <v>0.09</v>
      </c>
      <c r="L1582" s="142">
        <f>B1582*IBGE_2!L$1582/100</f>
        <v>66.822000000000003</v>
      </c>
      <c r="M1582" s="142">
        <f>B1582*IBGE_2!M$1582/100</f>
        <v>3.6659999999999995</v>
      </c>
      <c r="N1582" s="142">
        <f>B1582*IBGE_2!N$1582/100</f>
        <v>49.295000000000002</v>
      </c>
      <c r="O1582" s="142">
        <f>B1582*IBGE_2!O$1582/100</f>
        <v>32.857999999999997</v>
      </c>
      <c r="P1582" s="142">
        <f>B1582*IBGE_2!P$1582/100</f>
        <v>0.38400000000000001</v>
      </c>
      <c r="Q1582" s="142">
        <f>B1582*IBGE_2!Q$1582/100</f>
        <v>83.795000000000002</v>
      </c>
      <c r="R1582" s="142">
        <f>B1582*IBGE_2!R$1582/100</f>
        <v>2.0710000000000002</v>
      </c>
      <c r="S1582" s="142">
        <f>B1582*IBGE_2!S$1582/100</f>
        <v>459.74099999999999</v>
      </c>
      <c r="T1582" s="142">
        <f>B1582*IBGE_2!T$1582/100</f>
        <v>110.46800000000002</v>
      </c>
      <c r="U1582" s="142">
        <f>B1582*IBGE_2!U$1582/100</f>
        <v>0.247</v>
      </c>
      <c r="V1582" s="142">
        <f>B1582*IBGE_2!V$1582/100</f>
        <v>0.627</v>
      </c>
      <c r="W1582" s="142">
        <f>B1582*IBGE_2!W$1582/100</f>
        <v>0.51</v>
      </c>
      <c r="X1582" s="142">
        <f>B1582*IBGE_2!X$1582/100</f>
        <v>0.19699999999999998</v>
      </c>
      <c r="Y1582" s="142">
        <f>B1582*IBGE_2!Y$1582/100</f>
        <v>0.14399999999999999</v>
      </c>
      <c r="Z1582" s="142">
        <f>B1582*IBGE_2!Z$1582/100</f>
        <v>2.1000000000000001E-2</v>
      </c>
      <c r="AA1582" s="142">
        <f>B1582*IBGE_2!AA$1582/100</f>
        <v>1.5409999999999999</v>
      </c>
      <c r="AB1582" s="142">
        <f>B1582*IBGE_2!AB$1582/100</f>
        <v>5.0000000000000001E-3</v>
      </c>
      <c r="AC1582" s="142">
        <f>B1582*IBGE_2!AC$1582/100</f>
        <v>3.2909999999999995</v>
      </c>
      <c r="AD1582" s="142">
        <f>B1582*IBGE_2!AD$1582/100</f>
        <v>1.4999999999999999E-2</v>
      </c>
      <c r="AE1582" s="142">
        <f>B1582*IBGE_2!AE$1582/100</f>
        <v>51.286999999999999</v>
      </c>
      <c r="AF1582" s="145" t="s">
        <v>3047</v>
      </c>
      <c r="AG1582" s="142">
        <f>B1582*IBGE_2!AG$1582/100</f>
        <v>3.3710000000000004</v>
      </c>
      <c r="AH1582" s="142">
        <f>B1582*IBGE_2!AH$1582/100</f>
        <v>7.4999999999999997E-2</v>
      </c>
      <c r="AI1582" s="142" t="s">
        <v>3047</v>
      </c>
      <c r="AJ1582" s="142">
        <f>B1582*IBGE_2!AJ$1582/100</f>
        <v>9.2059999999999995</v>
      </c>
      <c r="AK1582" s="142">
        <f>B1582*IBGE_2!AK$1582/100</f>
        <v>0.51300000000000001</v>
      </c>
      <c r="AL1582" s="142">
        <f>B1582*IBGE_2!AL$1582/100</f>
        <v>5.5350000000000001</v>
      </c>
      <c r="AM1582" s="142">
        <f>B1582*IBGE_2!AM$1582/100</f>
        <v>0.55200000000000005</v>
      </c>
      <c r="AN1582" s="161"/>
    </row>
    <row r="1583" spans="1:40">
      <c r="A1583" s="143" t="s">
        <v>2643</v>
      </c>
      <c r="B1583" s="141">
        <v>100</v>
      </c>
      <c r="C1583" s="142">
        <f>B1583*IBGE_2!C$1583/100</f>
        <v>312.25099999999998</v>
      </c>
      <c r="D1583" s="142">
        <f>B1583*IBGE_2!D$1583/100</f>
        <v>4.8330000000000002</v>
      </c>
      <c r="E1583" s="142">
        <f>B1583*IBGE_2!E$1583/100</f>
        <v>6.9219999999999997</v>
      </c>
      <c r="F1583" s="142">
        <f>B1583*IBGE_2!F$1583/100</f>
        <v>4.0599999999999996</v>
      </c>
      <c r="G1583" s="142">
        <f>B1583*IBGE_2!G$1583/100</f>
        <v>1.7969999999999999</v>
      </c>
      <c r="H1583" s="142">
        <f>B1583*IBGE_2!H$1583/100</f>
        <v>0.442</v>
      </c>
      <c r="I1583" s="142">
        <f>B1583*IBGE_2!I$1583/100</f>
        <v>0.40100000000000002</v>
      </c>
      <c r="J1583" s="142">
        <f>B1583*IBGE_2!J$1583/100</f>
        <v>3.3000000000000002E-2</v>
      </c>
      <c r="K1583" s="142">
        <f>B1583*IBGE_2!K$1583/100</f>
        <v>32.807000000000002</v>
      </c>
      <c r="L1583" s="142">
        <f>B1583*IBGE_2!L$1583/100</f>
        <v>57.973999999999997</v>
      </c>
      <c r="M1583" s="142">
        <f>B1583*IBGE_2!M$1583/100</f>
        <v>1.639</v>
      </c>
      <c r="N1583" s="142">
        <f>B1583*IBGE_2!N$1583/100</f>
        <v>29.478000000000002</v>
      </c>
      <c r="O1583" s="142">
        <f>B1583*IBGE_2!O$1583/100</f>
        <v>10.75</v>
      </c>
      <c r="P1583" s="142">
        <f>B1583*IBGE_2!P$1583/100</f>
        <v>0.39300000000000002</v>
      </c>
      <c r="Q1583" s="142">
        <f>B1583*IBGE_2!Q$1583/100</f>
        <v>63.806999999999995</v>
      </c>
      <c r="R1583" s="142">
        <f>B1583*IBGE_2!R$1583/100</f>
        <v>1.8919999999999999</v>
      </c>
      <c r="S1583" s="142">
        <f>B1583*IBGE_2!S$1583/100</f>
        <v>197.85499999999999</v>
      </c>
      <c r="T1583" s="142">
        <f>B1583*IBGE_2!T$1583/100</f>
        <v>74.965999999999994</v>
      </c>
      <c r="U1583" s="142">
        <f>B1583*IBGE_2!U$1583/100</f>
        <v>6.2E-2</v>
      </c>
      <c r="V1583" s="142">
        <f>B1583*IBGE_2!V$1583/100</f>
        <v>0.39200000000000002</v>
      </c>
      <c r="W1583" s="142">
        <f>B1583*IBGE_2!W$1583/100</f>
        <v>60.643000000000001</v>
      </c>
      <c r="X1583" s="142">
        <f>B1583*IBGE_2!X$1583/100</f>
        <v>0.30299999999999999</v>
      </c>
      <c r="Y1583" s="142">
        <f>B1583*IBGE_2!Y$1583/100</f>
        <v>0.254</v>
      </c>
      <c r="Z1583" s="142">
        <f>B1583*IBGE_2!Z$1583/100</f>
        <v>3.4000000000000002E-2</v>
      </c>
      <c r="AA1583" s="142">
        <f>B1583*IBGE_2!AA$1583/100</f>
        <v>2.3769999999999998</v>
      </c>
      <c r="AB1583" s="142">
        <f>B1583*IBGE_2!AB$1583/100</f>
        <v>5.0999999999999997E-2</v>
      </c>
      <c r="AC1583" s="142">
        <f>B1583*IBGE_2!AC$1583/100</f>
        <v>3.3680000000000003</v>
      </c>
      <c r="AD1583" s="142">
        <f>B1583*IBGE_2!AD$1583/100</f>
        <v>9.9000000000000005E-2</v>
      </c>
      <c r="AE1583" s="142">
        <f>B1583*IBGE_2!AE$1583/100</f>
        <v>88.858999999999995</v>
      </c>
      <c r="AF1583" s="142">
        <f>B1583*IBGE_2!AF$1583/100</f>
        <v>0.253</v>
      </c>
      <c r="AG1583" s="142">
        <f>B1583*IBGE_2!AG$1583/100</f>
        <v>0.252</v>
      </c>
      <c r="AH1583" s="142">
        <f>B1583*IBGE_2!AH$1583/100</f>
        <v>0.247</v>
      </c>
      <c r="AI1583" s="142" t="s">
        <v>3047</v>
      </c>
      <c r="AJ1583" s="142">
        <f>B1583*IBGE_2!AJ$1583/100</f>
        <v>14.087999999999999</v>
      </c>
      <c r="AK1583" s="142">
        <f>B1583*IBGE_2!AK$1583/100</f>
        <v>79.581000000000003</v>
      </c>
      <c r="AL1583" s="142">
        <f>B1583*IBGE_2!AL$1583/100</f>
        <v>29.123000000000001</v>
      </c>
      <c r="AM1583" s="142">
        <f>B1583*IBGE_2!AM$1583/100</f>
        <v>28.976999999999997</v>
      </c>
      <c r="AN1583" s="161"/>
    </row>
    <row r="1584" spans="1:40">
      <c r="A1584" s="143" t="s">
        <v>2644</v>
      </c>
      <c r="B1584" s="141">
        <v>100</v>
      </c>
      <c r="C1584" s="142">
        <f>B1584*IBGE_2!C$1584/100</f>
        <v>446.22800000000001</v>
      </c>
      <c r="D1584" s="142">
        <f>B1584*IBGE_2!D$1584/100</f>
        <v>4.3810000000000002</v>
      </c>
      <c r="E1584" s="142">
        <f>B1584*IBGE_2!E$1584/100</f>
        <v>11.308</v>
      </c>
      <c r="F1584" s="142">
        <f>B1584*IBGE_2!F$1584/100</f>
        <v>6.6509999999999998</v>
      </c>
      <c r="G1584" s="142">
        <f>B1584*IBGE_2!G$1584/100</f>
        <v>3.2410000000000001</v>
      </c>
      <c r="H1584" s="142">
        <f>B1584*IBGE_2!H$1584/100</f>
        <v>0.59499999999999997</v>
      </c>
      <c r="I1584" s="142">
        <f>B1584*IBGE_2!I$1584/100</f>
        <v>0.54300000000000004</v>
      </c>
      <c r="J1584" s="142">
        <f>B1584*IBGE_2!J$1584/100</f>
        <v>4.2999999999999997E-2</v>
      </c>
      <c r="K1584" s="142">
        <f>B1584*IBGE_2!K$1584/100</f>
        <v>38.805</v>
      </c>
      <c r="L1584" s="142">
        <f>B1584*IBGE_2!L$1584/100</f>
        <v>85.034999999999997</v>
      </c>
      <c r="M1584" s="142">
        <f>B1584*IBGE_2!M$1584/100</f>
        <v>1.8530000000000002</v>
      </c>
      <c r="N1584" s="142">
        <f>B1584*IBGE_2!N$1584/100</f>
        <v>88.069000000000003</v>
      </c>
      <c r="O1584" s="142">
        <f>B1584*IBGE_2!O$1584/100</f>
        <v>106.86</v>
      </c>
      <c r="P1584" s="142">
        <f>B1584*IBGE_2!P$1584/100</f>
        <v>0.93600000000000005</v>
      </c>
      <c r="Q1584" s="142">
        <f>B1584*IBGE_2!Q$1584/100</f>
        <v>71.590999999999994</v>
      </c>
      <c r="R1584" s="142">
        <f>B1584*IBGE_2!R$1584/100</f>
        <v>3.5419999999999998</v>
      </c>
      <c r="S1584" s="142">
        <f>B1584*IBGE_2!S$1584/100</f>
        <v>157.517</v>
      </c>
      <c r="T1584" s="142">
        <f>B1584*IBGE_2!T$1584/100</f>
        <v>598.77300000000002</v>
      </c>
      <c r="U1584" s="142">
        <f>B1584*IBGE_2!U$1584/100</f>
        <v>0.31</v>
      </c>
      <c r="V1584" s="142">
        <f>B1584*IBGE_2!V$1584/100</f>
        <v>0.6</v>
      </c>
      <c r="W1584" s="142">
        <f>B1584*IBGE_2!W$1584/100</f>
        <v>61.863</v>
      </c>
      <c r="X1584" s="142">
        <f>B1584*IBGE_2!X$1584/100</f>
        <v>0.26</v>
      </c>
      <c r="Y1584" s="142">
        <f>B1584*IBGE_2!Y$1584/100</f>
        <v>0.19500000000000001</v>
      </c>
      <c r="Z1584" s="142">
        <f>B1584*IBGE_2!Z$1584/100</f>
        <v>0.25800000000000001</v>
      </c>
      <c r="AA1584" s="142">
        <f>B1584*IBGE_2!AA$1584/100</f>
        <v>2.161</v>
      </c>
      <c r="AB1584" s="142">
        <f>B1584*IBGE_2!AB$1584/100</f>
        <v>2.3E-2</v>
      </c>
      <c r="AC1584" s="142">
        <f>B1584*IBGE_2!AC$1584/100</f>
        <v>3.0830000000000002</v>
      </c>
      <c r="AD1584" s="142">
        <f>B1584*IBGE_2!AD$1584/100</f>
        <v>7.0000000000000007E-2</v>
      </c>
      <c r="AE1584" s="142">
        <f>B1584*IBGE_2!AE$1584/100</f>
        <v>65.239000000000004</v>
      </c>
      <c r="AF1584" s="142">
        <f>B1584*IBGE_2!AF$1584/100</f>
        <v>0.29299999999999998</v>
      </c>
      <c r="AG1584" s="142">
        <f>B1584*IBGE_2!AG$1584/100</f>
        <v>0.32899999999999996</v>
      </c>
      <c r="AH1584" s="142">
        <f>B1584*IBGE_2!AH$1584/100</f>
        <v>0.26</v>
      </c>
      <c r="AI1584" s="142" t="s">
        <v>3047</v>
      </c>
      <c r="AJ1584" s="142">
        <f>B1584*IBGE_2!AJ$1584/100</f>
        <v>18.739999999999998</v>
      </c>
      <c r="AK1584" s="142">
        <f>B1584*IBGE_2!AK$1584/100</f>
        <v>82.36</v>
      </c>
      <c r="AL1584" s="142">
        <f>B1584*IBGE_2!AL$1584/100</f>
        <v>52.866000000000007</v>
      </c>
      <c r="AM1584" s="142">
        <f>B1584*IBGE_2!AM$1584/100</f>
        <v>60.404000000000003</v>
      </c>
      <c r="AN1584" s="161"/>
    </row>
    <row r="1585" spans="1:40">
      <c r="A1585" s="143" t="s">
        <v>2645</v>
      </c>
      <c r="B1585" s="141">
        <v>100</v>
      </c>
      <c r="C1585" s="142">
        <f>B1585*IBGE_2!C$1585/100</f>
        <v>355.95</v>
      </c>
      <c r="D1585" s="142">
        <f>B1585*IBGE_2!D$1585/100</f>
        <v>7.4520000000000008</v>
      </c>
      <c r="E1585" s="142">
        <f>B1585*IBGE_2!E$1585/100</f>
        <v>10.433</v>
      </c>
      <c r="F1585" s="142">
        <f>B1585*IBGE_2!F$1585/100</f>
        <v>1.821</v>
      </c>
      <c r="G1585" s="142">
        <f>B1585*IBGE_2!G$1585/100</f>
        <v>2.516</v>
      </c>
      <c r="H1585" s="142">
        <f>B1585*IBGE_2!H$1585/100</f>
        <v>5.3439999999999994</v>
      </c>
      <c r="I1585" s="142">
        <f>B1585*IBGE_2!I$1585/100</f>
        <v>4.7220000000000004</v>
      </c>
      <c r="J1585" s="142">
        <f>B1585*IBGE_2!J$1585/100</f>
        <v>0.6</v>
      </c>
      <c r="K1585" s="142">
        <f>B1585*IBGE_2!K$1585/100</f>
        <v>50.118000000000002</v>
      </c>
      <c r="L1585" s="142">
        <f>B1585*IBGE_2!L$1585/100</f>
        <v>58.03</v>
      </c>
      <c r="M1585" s="142">
        <f>B1585*IBGE_2!M$1585/100</f>
        <v>2.1389999999999998</v>
      </c>
      <c r="N1585" s="142">
        <f>B1585*IBGE_2!N$1585/100</f>
        <v>19.437999999999999</v>
      </c>
      <c r="O1585" s="142">
        <f>B1585*IBGE_2!O$1585/100</f>
        <v>15.993</v>
      </c>
      <c r="P1585" s="142">
        <f>B1585*IBGE_2!P$1585/100</f>
        <v>0.38800000000000007</v>
      </c>
      <c r="Q1585" s="142">
        <f>B1585*IBGE_2!Q$1585/100</f>
        <v>96.558000000000007</v>
      </c>
      <c r="R1585" s="142">
        <f>B1585*IBGE_2!R$1585/100</f>
        <v>2.85</v>
      </c>
      <c r="S1585" s="142">
        <f>B1585*IBGE_2!S$1585/100</f>
        <v>210.02099999999999</v>
      </c>
      <c r="T1585" s="142">
        <f>B1585*IBGE_2!T$1585/100</f>
        <v>139.78800000000001</v>
      </c>
      <c r="U1585" s="142">
        <f>B1585*IBGE_2!U$1585/100</f>
        <v>0.10400000000000001</v>
      </c>
      <c r="V1585" s="142">
        <f>B1585*IBGE_2!V$1585/100</f>
        <v>0.57699999999999996</v>
      </c>
      <c r="W1585" s="142">
        <f>B1585*IBGE_2!W$1585/100</f>
        <v>19.858000000000001</v>
      </c>
      <c r="X1585" s="142">
        <f>B1585*IBGE_2!X$1585/100</f>
        <v>0.44600000000000001</v>
      </c>
      <c r="Y1585" s="142">
        <f>B1585*IBGE_2!Y$1585/100</f>
        <v>0.38600000000000001</v>
      </c>
      <c r="Z1585" s="142">
        <f>B1585*IBGE_2!Z$1585/100</f>
        <v>6.4000000000000001E-2</v>
      </c>
      <c r="AA1585" s="142">
        <f>B1585*IBGE_2!AA$1585/100</f>
        <v>3.5449999999999999</v>
      </c>
      <c r="AB1585" s="142">
        <f>B1585*IBGE_2!AB$1585/100</f>
        <v>0.33800000000000002</v>
      </c>
      <c r="AC1585" s="142">
        <f>B1585*IBGE_2!AC$1585/100</f>
        <v>5.0819999999999999</v>
      </c>
      <c r="AD1585" s="142">
        <f>B1585*IBGE_2!AD$1585/100</f>
        <v>0.13100000000000001</v>
      </c>
      <c r="AE1585" s="142">
        <f>B1585*IBGE_2!AE$1585/100</f>
        <v>136.81899999999999</v>
      </c>
      <c r="AF1585" s="142">
        <f>B1585*IBGE_2!AF$1585/100</f>
        <v>0.151</v>
      </c>
      <c r="AG1585" s="142">
        <f>B1585*IBGE_2!AG$1585/100</f>
        <v>0.86499999999999999</v>
      </c>
      <c r="AH1585" s="142">
        <f>B1585*IBGE_2!AH$1585/100</f>
        <v>4.5999999999999999E-2</v>
      </c>
      <c r="AI1585" s="142" t="s">
        <v>3047</v>
      </c>
      <c r="AJ1585" s="142">
        <f>B1585*IBGE_2!AJ$1585/100</f>
        <v>25.497</v>
      </c>
      <c r="AK1585" s="142">
        <f>B1585*IBGE_2!AK$1585/100</f>
        <v>20.087</v>
      </c>
      <c r="AL1585" s="142">
        <f>B1585*IBGE_2!AL$1585/100</f>
        <v>15.77</v>
      </c>
      <c r="AM1585" s="142">
        <f>B1585*IBGE_2!AM$1585/100</f>
        <v>13.026</v>
      </c>
      <c r="AN1585" s="161"/>
    </row>
    <row r="1586" spans="1:40">
      <c r="A1586" s="143" t="s">
        <v>2646</v>
      </c>
      <c r="B1586" s="141">
        <v>100</v>
      </c>
      <c r="C1586" s="142">
        <f>B1586*IBGE_2!C$1586/100</f>
        <v>452.56400000000002</v>
      </c>
      <c r="D1586" s="142">
        <f>B1586*IBGE_2!D$1586/100</f>
        <v>9.6720000000000006</v>
      </c>
      <c r="E1586" s="142">
        <f>B1586*IBGE_2!E$1586/100</f>
        <v>13.785</v>
      </c>
      <c r="F1586" s="142">
        <f>B1586*IBGE_2!F$1586/100</f>
        <v>2.173</v>
      </c>
      <c r="G1586" s="142">
        <f>B1586*IBGE_2!G$1586/100</f>
        <v>2.9620000000000006</v>
      </c>
      <c r="H1586" s="142">
        <f>B1586*IBGE_2!H$1586/100</f>
        <v>7.89</v>
      </c>
      <c r="I1586" s="142">
        <f>B1586*IBGE_2!I$1586/100</f>
        <v>6.98</v>
      </c>
      <c r="J1586" s="142">
        <f>B1586*IBGE_2!J$1586/100</f>
        <v>0.91100000000000003</v>
      </c>
      <c r="K1586" s="142" t="s">
        <v>3047</v>
      </c>
      <c r="L1586" s="142">
        <f>B1586*IBGE_2!L$1586/100</f>
        <v>72.453000000000003</v>
      </c>
      <c r="M1586" s="142">
        <f>B1586*IBGE_2!M$1586/100</f>
        <v>3.45</v>
      </c>
      <c r="N1586" s="142">
        <f>B1586*IBGE_2!N$1586/100</f>
        <v>46.223999999999997</v>
      </c>
      <c r="O1586" s="142">
        <f>B1586*IBGE_2!O$1586/100</f>
        <v>40.695</v>
      </c>
      <c r="P1586" s="142">
        <f>B1586*IBGE_2!P$1586/100</f>
        <v>1.7809999999999999</v>
      </c>
      <c r="Q1586" s="142">
        <f>B1586*IBGE_2!Q$1586/100</f>
        <v>174.40600000000003</v>
      </c>
      <c r="R1586" s="142">
        <f>B1586*IBGE_2!R$1586/100</f>
        <v>3.9980000000000002</v>
      </c>
      <c r="S1586" s="142">
        <f>B1586*IBGE_2!S$1586/100</f>
        <v>899.26899999999989</v>
      </c>
      <c r="T1586" s="142">
        <f>B1586*IBGE_2!T$1586/100</f>
        <v>170.851</v>
      </c>
      <c r="U1586" s="142">
        <f>B1586*IBGE_2!U$1586/100</f>
        <v>0.187</v>
      </c>
      <c r="V1586" s="142">
        <f>B1586*IBGE_2!V$1586/100</f>
        <v>1.6950000000000001</v>
      </c>
      <c r="W1586" s="142" t="s">
        <v>3047</v>
      </c>
      <c r="X1586" s="142">
        <f>B1586*IBGE_2!X$1586/100</f>
        <v>0.73699999999999999</v>
      </c>
      <c r="Y1586" s="142">
        <f>B1586*IBGE_2!Y$1586/100</f>
        <v>0.40799999999999997</v>
      </c>
      <c r="Z1586" s="142">
        <f>B1586*IBGE_2!Z$1586/100</f>
        <v>0.16800000000000001</v>
      </c>
      <c r="AA1586" s="142">
        <f>B1586*IBGE_2!AA$1586/100</f>
        <v>5.0019999999999998</v>
      </c>
      <c r="AB1586" s="142" t="s">
        <v>3047</v>
      </c>
      <c r="AC1586" s="142">
        <f>B1586*IBGE_2!AC$1586/100</f>
        <v>7.0339999999999998</v>
      </c>
      <c r="AD1586" s="142" t="s">
        <v>3047</v>
      </c>
      <c r="AE1586" s="142">
        <f>B1586*IBGE_2!AE$1586/100</f>
        <v>171.46799999999999</v>
      </c>
      <c r="AF1586" s="142" t="s">
        <v>3047</v>
      </c>
      <c r="AG1586" s="142">
        <f>B1586*IBGE_2!AG$1586/100</f>
        <v>3.1509999999999998</v>
      </c>
      <c r="AH1586" s="142">
        <f>B1586*IBGE_2!AH$1586/100</f>
        <v>6.5000000000000002E-2</v>
      </c>
      <c r="AI1586" s="142" t="s">
        <v>3047</v>
      </c>
      <c r="AJ1586" s="142">
        <f>B1586*IBGE_2!AJ$1586/100</f>
        <v>37.567</v>
      </c>
      <c r="AK1586" s="142">
        <f>B1586*IBGE_2!AK$1586/100</f>
        <v>0.501</v>
      </c>
      <c r="AL1586" s="142">
        <f>B1586*IBGE_2!AL$1586/100</f>
        <v>10.295</v>
      </c>
      <c r="AM1586" s="142">
        <f>B1586*IBGE_2!AM$1586/100</f>
        <v>11.369000000000002</v>
      </c>
      <c r="AN1586" s="161"/>
    </row>
    <row r="1587" spans="1:40">
      <c r="A1587" s="143" t="s">
        <v>2647</v>
      </c>
      <c r="B1587" s="141">
        <v>100</v>
      </c>
      <c r="C1587" s="142">
        <f>B1587*IBGE_2!C$1587/100</f>
        <v>452.56400000000002</v>
      </c>
      <c r="D1587" s="142">
        <f>B1587*IBGE_2!D$1587/100</f>
        <v>9.6720000000000006</v>
      </c>
      <c r="E1587" s="142">
        <f>B1587*IBGE_2!E$1587/100</f>
        <v>13.785</v>
      </c>
      <c r="F1587" s="142">
        <f>B1587*IBGE_2!F$1587/100</f>
        <v>2.173</v>
      </c>
      <c r="G1587" s="142">
        <f>B1587*IBGE_2!G$1587/100</f>
        <v>2.9620000000000006</v>
      </c>
      <c r="H1587" s="142">
        <f>B1587*IBGE_2!H$1587/100</f>
        <v>7.89</v>
      </c>
      <c r="I1587" s="142">
        <f>B1587*IBGE_2!I$1587/100</f>
        <v>6.98</v>
      </c>
      <c r="J1587" s="142">
        <f>B1587*IBGE_2!J$1587/100</f>
        <v>0.91100000000000003</v>
      </c>
      <c r="K1587" s="142" t="s">
        <v>3047</v>
      </c>
      <c r="L1587" s="142">
        <f>B1587*IBGE_2!L$1587/100</f>
        <v>72.453000000000003</v>
      </c>
      <c r="M1587" s="142">
        <f>B1587*IBGE_2!M$1587/100</f>
        <v>3.45</v>
      </c>
      <c r="N1587" s="142">
        <f>B1587*IBGE_2!N$1587/100</f>
        <v>46.223999999999997</v>
      </c>
      <c r="O1587" s="142">
        <f>B1587*IBGE_2!O$1587/100</f>
        <v>40.695</v>
      </c>
      <c r="P1587" s="142">
        <f>B1587*IBGE_2!P$1587/100</f>
        <v>1.7809999999999999</v>
      </c>
      <c r="Q1587" s="142">
        <f>B1587*IBGE_2!Q$1587/100</f>
        <v>174.40600000000003</v>
      </c>
      <c r="R1587" s="142">
        <f>B1587*IBGE_2!R$1587/100</f>
        <v>3.9980000000000002</v>
      </c>
      <c r="S1587" s="142">
        <f>B1587*IBGE_2!S$1587/100</f>
        <v>899.26899999999989</v>
      </c>
      <c r="T1587" s="142">
        <f>B1587*IBGE_2!T$1587/100</f>
        <v>170.851</v>
      </c>
      <c r="U1587" s="142">
        <f>B1587*IBGE_2!U$1587/100</f>
        <v>0.187</v>
      </c>
      <c r="V1587" s="142">
        <f>B1587*IBGE_2!V$1587/100</f>
        <v>1.6950000000000001</v>
      </c>
      <c r="W1587" s="142" t="s">
        <v>3047</v>
      </c>
      <c r="X1587" s="142">
        <f>B1587*IBGE_2!X$1587/100</f>
        <v>0.73699999999999999</v>
      </c>
      <c r="Y1587" s="142">
        <f>B1587*IBGE_2!Y$1587/100</f>
        <v>0.40799999999999997</v>
      </c>
      <c r="Z1587" s="142">
        <f>B1587*IBGE_2!Z$1587/100</f>
        <v>0.16800000000000001</v>
      </c>
      <c r="AA1587" s="142">
        <f>B1587*IBGE_2!AA$1587/100</f>
        <v>5.0019999999999998</v>
      </c>
      <c r="AB1587" s="142" t="s">
        <v>3047</v>
      </c>
      <c r="AC1587" s="142">
        <f>B1587*IBGE_2!AC$1587/100</f>
        <v>7.0339999999999998</v>
      </c>
      <c r="AD1587" s="142" t="s">
        <v>3047</v>
      </c>
      <c r="AE1587" s="142">
        <f>B1587*IBGE_2!AE$1587/100</f>
        <v>171.46799999999999</v>
      </c>
      <c r="AF1587" s="142" t="s">
        <v>3047</v>
      </c>
      <c r="AG1587" s="142">
        <f>B1587*IBGE_2!AG$1587/100</f>
        <v>3.1509999999999998</v>
      </c>
      <c r="AH1587" s="142">
        <f>B1587*IBGE_2!AH$1587/100</f>
        <v>6.5000000000000002E-2</v>
      </c>
      <c r="AI1587" s="142" t="s">
        <v>3047</v>
      </c>
      <c r="AJ1587" s="142">
        <f>B1587*IBGE_2!AJ$1587/100</f>
        <v>37.567</v>
      </c>
      <c r="AK1587" s="142">
        <f>B1587*IBGE_2!AK$1587/100</f>
        <v>0.501</v>
      </c>
      <c r="AL1587" s="142">
        <f>B1587*IBGE_2!AL$1587/100</f>
        <v>10.295</v>
      </c>
      <c r="AM1587" s="142">
        <f>B1587*IBGE_2!AM$1587/100</f>
        <v>11.369000000000002</v>
      </c>
      <c r="AN1587" s="161"/>
    </row>
    <row r="1588" spans="1:40">
      <c r="A1588" s="143" t="s">
        <v>2648</v>
      </c>
      <c r="B1588" s="141">
        <v>100</v>
      </c>
      <c r="C1588" s="142">
        <f>B1588*IBGE_2!C$1588/100</f>
        <v>407.04700000000003</v>
      </c>
      <c r="D1588" s="142">
        <f>B1588*IBGE_2!D$1588/100</f>
        <v>6.5270000000000001</v>
      </c>
      <c r="E1588" s="142">
        <f>B1588*IBGE_2!E$1588/100</f>
        <v>7.0490000000000013</v>
      </c>
      <c r="F1588" s="142">
        <f>B1588*IBGE_2!F$1588/100</f>
        <v>1.1459999999999999</v>
      </c>
      <c r="G1588" s="142">
        <f>B1588*IBGE_2!G$1588/100</f>
        <v>1.5169999999999999</v>
      </c>
      <c r="H1588" s="142">
        <f>B1588*IBGE_2!H$1588/100</f>
        <v>4.0110000000000001</v>
      </c>
      <c r="I1588" s="142">
        <f>B1588*IBGE_2!I$1588/100</f>
        <v>3.516</v>
      </c>
      <c r="J1588" s="142">
        <f>B1588*IBGE_2!J$1588/100</f>
        <v>0.495</v>
      </c>
      <c r="K1588" s="142" t="s">
        <v>3047</v>
      </c>
      <c r="L1588" s="142">
        <f>B1588*IBGE_2!L$1588/100</f>
        <v>81.134</v>
      </c>
      <c r="M1588" s="142">
        <f>B1588*IBGE_2!M$1588/100</f>
        <v>5.6369999999999996</v>
      </c>
      <c r="N1588" s="142">
        <f>B1588*IBGE_2!N$1588/100</f>
        <v>32.979999999999997</v>
      </c>
      <c r="O1588" s="142">
        <f>B1588*IBGE_2!O$1588/100</f>
        <v>77.826999999999998</v>
      </c>
      <c r="P1588" s="142">
        <f>B1588*IBGE_2!P$1588/100</f>
        <v>0.89200000000000002</v>
      </c>
      <c r="Q1588" s="142">
        <f>B1588*IBGE_2!Q$1588/100</f>
        <v>194.53</v>
      </c>
      <c r="R1588" s="142">
        <f>B1588*IBGE_2!R$1588/100</f>
        <v>0.87400000000000011</v>
      </c>
      <c r="S1588" s="142">
        <f>B1588*IBGE_2!S$1588/100</f>
        <v>634.56799999999998</v>
      </c>
      <c r="T1588" s="142">
        <f>B1588*IBGE_2!T$1588/100</f>
        <v>558.43399999999997</v>
      </c>
      <c r="U1588" s="142">
        <f>B1588*IBGE_2!U$1588/100</f>
        <v>8.1000000000000003E-2</v>
      </c>
      <c r="V1588" s="142">
        <f>B1588*IBGE_2!V$1588/100</f>
        <v>0.72499999999999998</v>
      </c>
      <c r="W1588" s="142" t="s">
        <v>3047</v>
      </c>
      <c r="X1588" s="142">
        <f>B1588*IBGE_2!X$1588/100</f>
        <v>0.36</v>
      </c>
      <c r="Y1588" s="142">
        <f>B1588*IBGE_2!Y$1588/100</f>
        <v>0.20200000000000004</v>
      </c>
      <c r="Z1588" s="142">
        <f>B1588*IBGE_2!Z$1588/100</f>
        <v>0.68400000000000005</v>
      </c>
      <c r="AA1588" s="142">
        <f>B1588*IBGE_2!AA$1588/100</f>
        <v>3.7829999999999999</v>
      </c>
      <c r="AB1588" s="142">
        <f>B1588*IBGE_2!AB$1588/100</f>
        <v>29.378</v>
      </c>
      <c r="AC1588" s="142">
        <f>B1588*IBGE_2!AC$1588/100</f>
        <v>4.8949999999999996</v>
      </c>
      <c r="AD1588" s="142" t="s">
        <v>3047</v>
      </c>
      <c r="AE1588" s="142">
        <f>B1588*IBGE_2!AE$1588/100</f>
        <v>31.76</v>
      </c>
      <c r="AF1588" s="142" t="s">
        <v>3047</v>
      </c>
      <c r="AG1588" s="142">
        <f>B1588*IBGE_2!AG$1588/100</f>
        <v>0.75599999999999989</v>
      </c>
      <c r="AH1588" s="142">
        <f>B1588*IBGE_2!AH$1588/100</f>
        <v>3.5000000000000003E-2</v>
      </c>
      <c r="AI1588" s="142" t="s">
        <v>3047</v>
      </c>
      <c r="AJ1588" s="142">
        <f>B1588*IBGE_2!AJ$1588/100</f>
        <v>24.593000000000004</v>
      </c>
      <c r="AK1588" s="142">
        <f>B1588*IBGE_2!AK$1588/100</f>
        <v>0.46300000000000002</v>
      </c>
      <c r="AL1588" s="142">
        <f>B1588*IBGE_2!AL$1588/100</f>
        <v>8.1069999999999993</v>
      </c>
      <c r="AM1588" s="142">
        <f>B1588*IBGE_2!AM$1588/100</f>
        <v>6.6189999999999998</v>
      </c>
      <c r="AN1588" s="161"/>
    </row>
    <row r="1589" spans="1:40">
      <c r="A1589" s="143" t="s">
        <v>2649</v>
      </c>
      <c r="B1589" s="141">
        <v>100</v>
      </c>
      <c r="C1589" s="142">
        <f>B1589*IBGE_2!C$1589/100</f>
        <v>395.25099999999998</v>
      </c>
      <c r="D1589" s="142">
        <f>B1589*IBGE_2!D$1589/100</f>
        <v>6.45</v>
      </c>
      <c r="E1589" s="142">
        <f>B1589*IBGE_2!E$1589/100</f>
        <v>4.8390000000000004</v>
      </c>
      <c r="F1589" s="142">
        <f>B1589*IBGE_2!F$1589/100</f>
        <v>1.137</v>
      </c>
      <c r="G1589" s="142">
        <f>B1589*IBGE_2!G$1589/100</f>
        <v>2.5920000000000001</v>
      </c>
      <c r="H1589" s="142">
        <f>B1589*IBGE_2!H$1589/100</f>
        <v>0.69099999999999995</v>
      </c>
      <c r="I1589" s="142">
        <f>B1589*IBGE_2!I$1589/100</f>
        <v>0.64600000000000013</v>
      </c>
      <c r="J1589" s="142">
        <f>B1589*IBGE_2!J$1589/100</f>
        <v>2.4E-2</v>
      </c>
      <c r="K1589" s="142" t="s">
        <v>3047</v>
      </c>
      <c r="L1589" s="142">
        <f>B1589*IBGE_2!L$1589/100</f>
        <v>83.876000000000005</v>
      </c>
      <c r="M1589" s="142">
        <f>B1589*IBGE_2!M$1589/100</f>
        <v>3.698</v>
      </c>
      <c r="N1589" s="142">
        <f>B1589*IBGE_2!N$1589/100</f>
        <v>19.332000000000001</v>
      </c>
      <c r="O1589" s="142">
        <f>B1589*IBGE_2!O$1589/100</f>
        <v>44.755000000000003</v>
      </c>
      <c r="P1589" s="142">
        <f>B1589*IBGE_2!P$1589/100</f>
        <v>1.1140000000000001</v>
      </c>
      <c r="Q1589" s="142">
        <f>B1589*IBGE_2!Q$1589/100</f>
        <v>113.008</v>
      </c>
      <c r="R1589" s="142">
        <f>B1589*IBGE_2!R$1589/100</f>
        <v>2.5590000000000002</v>
      </c>
      <c r="S1589" s="142">
        <f>B1589*IBGE_2!S$1589/100</f>
        <v>546.404</v>
      </c>
      <c r="T1589" s="142">
        <f>B1589*IBGE_2!T$1589/100</f>
        <v>170.017</v>
      </c>
      <c r="U1589" s="142">
        <f>B1589*IBGE_2!U$1589/100</f>
        <v>0.14899999999999999</v>
      </c>
      <c r="V1589" s="142">
        <f>B1589*IBGE_2!V$1589/100</f>
        <v>0.89500000000000002</v>
      </c>
      <c r="W1589" s="142" t="s">
        <v>3047</v>
      </c>
      <c r="X1589" s="142">
        <f>B1589*IBGE_2!X$1589/100</f>
        <v>0.36</v>
      </c>
      <c r="Y1589" s="142">
        <f>B1589*IBGE_2!Y$1589/100</f>
        <v>0.22</v>
      </c>
      <c r="Z1589" s="142">
        <f>B1589*IBGE_2!Z$1589/100</f>
        <v>0.11</v>
      </c>
      <c r="AA1589" s="142">
        <f>B1589*IBGE_2!AA$1589/100</f>
        <v>3.3889999999999998</v>
      </c>
      <c r="AB1589" s="142">
        <f>B1589*IBGE_2!AB$1589/100</f>
        <v>2.1000000000000001E-2</v>
      </c>
      <c r="AC1589" s="142">
        <f>B1589*IBGE_2!AC$1589/100</f>
        <v>4.8710000000000004</v>
      </c>
      <c r="AD1589" s="142" t="s">
        <v>3047</v>
      </c>
      <c r="AE1589" s="142">
        <f>B1589*IBGE_2!AE$1589/100</f>
        <v>77.45</v>
      </c>
      <c r="AF1589" s="142" t="s">
        <v>3047</v>
      </c>
      <c r="AG1589" s="142">
        <f>B1589*IBGE_2!AG$1589/100</f>
        <v>0.53200000000000003</v>
      </c>
      <c r="AH1589" s="142">
        <f>B1589*IBGE_2!AH$1589/100</f>
        <v>1.401</v>
      </c>
      <c r="AI1589" s="142" t="s">
        <v>3047</v>
      </c>
      <c r="AJ1589" s="142">
        <f>B1589*IBGE_2!AJ$1589/100</f>
        <v>27.565999999999999</v>
      </c>
      <c r="AK1589" s="142">
        <f>B1589*IBGE_2!AK$1589/100</f>
        <v>9.1999999999999998E-2</v>
      </c>
      <c r="AL1589" s="142">
        <f>B1589*IBGE_2!AL$1589/100</f>
        <v>41.488</v>
      </c>
      <c r="AM1589" s="142">
        <f>B1589*IBGE_2!AM$1589/100</f>
        <v>42.613999999999997</v>
      </c>
      <c r="AN1589" s="161"/>
    </row>
    <row r="1590" spans="1:40">
      <c r="A1590" s="143" t="s">
        <v>2650</v>
      </c>
      <c r="B1590" s="141">
        <v>100</v>
      </c>
      <c r="C1590" s="142">
        <f>B1590*IBGE_2!C$1590/100</f>
        <v>395.25099999999998</v>
      </c>
      <c r="D1590" s="142">
        <f>B1590*IBGE_2!D$1590/100</f>
        <v>6.45</v>
      </c>
      <c r="E1590" s="142">
        <f>B1590*IBGE_2!E$1590/100</f>
        <v>4.8390000000000004</v>
      </c>
      <c r="F1590" s="142">
        <f>B1590*IBGE_2!F$1590/100</f>
        <v>1.137</v>
      </c>
      <c r="G1590" s="142">
        <f>B1590*IBGE_2!G$1590/100</f>
        <v>2.5920000000000001</v>
      </c>
      <c r="H1590" s="142">
        <f>B1590*IBGE_2!H$1590/100</f>
        <v>0.69099999999999995</v>
      </c>
      <c r="I1590" s="142">
        <f>B1590*IBGE_2!I$1590/100</f>
        <v>0.64600000000000013</v>
      </c>
      <c r="J1590" s="142">
        <f>B1590*IBGE_2!J$1590/100</f>
        <v>2.4E-2</v>
      </c>
      <c r="K1590" s="142" t="s">
        <v>3047</v>
      </c>
      <c r="L1590" s="142">
        <f>B1590*IBGE_2!L$1590/100</f>
        <v>83.876000000000005</v>
      </c>
      <c r="M1590" s="142">
        <f>B1590*IBGE_2!M$1590/100</f>
        <v>3.698</v>
      </c>
      <c r="N1590" s="142">
        <f>B1590*IBGE_2!N$1590/100</f>
        <v>19.332000000000001</v>
      </c>
      <c r="O1590" s="142">
        <f>B1590*IBGE_2!O$1590/100</f>
        <v>44.755000000000003</v>
      </c>
      <c r="P1590" s="142">
        <f>B1590*IBGE_2!P$1590/100</f>
        <v>1.1140000000000001</v>
      </c>
      <c r="Q1590" s="142">
        <f>B1590*IBGE_2!Q$1590/100</f>
        <v>113.008</v>
      </c>
      <c r="R1590" s="142">
        <f>B1590*IBGE_2!R$1590/100</f>
        <v>2.5590000000000002</v>
      </c>
      <c r="S1590" s="142">
        <f>B1590*IBGE_2!S$1590/100</f>
        <v>546.404</v>
      </c>
      <c r="T1590" s="142">
        <f>B1590*IBGE_2!T$1590/100</f>
        <v>170.017</v>
      </c>
      <c r="U1590" s="142">
        <f>B1590*IBGE_2!U$1590/100</f>
        <v>0.14899999999999999</v>
      </c>
      <c r="V1590" s="142">
        <f>B1590*IBGE_2!V$1590/100</f>
        <v>0.89500000000000002</v>
      </c>
      <c r="W1590" s="142" t="s">
        <v>3047</v>
      </c>
      <c r="X1590" s="142">
        <f>B1590*IBGE_2!X$1590/100</f>
        <v>0.36</v>
      </c>
      <c r="Y1590" s="142">
        <f>B1590*IBGE_2!Y$1590/100</f>
        <v>0.22</v>
      </c>
      <c r="Z1590" s="142">
        <f>B1590*IBGE_2!Z$1590/100</f>
        <v>0.11</v>
      </c>
      <c r="AA1590" s="142">
        <f>B1590*IBGE_2!AA$1590/100</f>
        <v>3.3889999999999998</v>
      </c>
      <c r="AB1590" s="142">
        <f>B1590*IBGE_2!AB$1590/100</f>
        <v>2.1000000000000001E-2</v>
      </c>
      <c r="AC1590" s="142">
        <f>B1590*IBGE_2!AC$1590/100</f>
        <v>4.8710000000000004</v>
      </c>
      <c r="AD1590" s="142" t="s">
        <v>3047</v>
      </c>
      <c r="AE1590" s="142">
        <f>B1590*IBGE_2!AE$1590/100</f>
        <v>77.45</v>
      </c>
      <c r="AF1590" s="142" t="s">
        <v>3047</v>
      </c>
      <c r="AG1590" s="142">
        <f>B1590*IBGE_2!AG$1590/100</f>
        <v>0.53200000000000003</v>
      </c>
      <c r="AH1590" s="142">
        <f>B1590*IBGE_2!AH$1590/100</f>
        <v>1.401</v>
      </c>
      <c r="AI1590" s="142" t="s">
        <v>3047</v>
      </c>
      <c r="AJ1590" s="142">
        <f>B1590*IBGE_2!AJ$1590/100</f>
        <v>27.565999999999999</v>
      </c>
      <c r="AK1590" s="142">
        <f>B1590*IBGE_2!AK$1590/100</f>
        <v>9.1999999999999998E-2</v>
      </c>
      <c r="AL1590" s="142">
        <f>B1590*IBGE_2!AL$1590/100</f>
        <v>41.488</v>
      </c>
      <c r="AM1590" s="142">
        <f>B1590*IBGE_2!AM$1590/100</f>
        <v>42.613999999999997</v>
      </c>
      <c r="AN1590" s="161"/>
    </row>
    <row r="1591" spans="1:40">
      <c r="A1591" s="143" t="s">
        <v>2651</v>
      </c>
      <c r="B1591" s="141">
        <v>100</v>
      </c>
      <c r="C1591" s="142">
        <f>B1591*IBGE_2!C$1591/100</f>
        <v>453.91500000000002</v>
      </c>
      <c r="D1591" s="142">
        <f>B1591*IBGE_2!D$1591/100</f>
        <v>6.2240000000000002</v>
      </c>
      <c r="E1591" s="142">
        <f>B1591*IBGE_2!E$1591/100</f>
        <v>21.888000000000002</v>
      </c>
      <c r="F1591" s="142">
        <f>B1591*IBGE_2!F$1591/100</f>
        <v>5.3239999999999998</v>
      </c>
      <c r="G1591" s="142">
        <f>B1591*IBGE_2!G$1591/100</f>
        <v>12.946999999999997</v>
      </c>
      <c r="H1591" s="142">
        <f>B1591*IBGE_2!H$1591/100</f>
        <v>2.363</v>
      </c>
      <c r="I1591" s="142">
        <f>B1591*IBGE_2!I$1591/100</f>
        <v>2.1949999999999998</v>
      </c>
      <c r="J1591" s="142">
        <f>B1591*IBGE_2!J$1591/100</f>
        <v>6.5000000000000002E-2</v>
      </c>
      <c r="K1591" s="142">
        <f>B1591*IBGE_2!K$1591/100</f>
        <v>8.5000000000000006E-2</v>
      </c>
      <c r="L1591" s="142">
        <f>B1591*IBGE_2!L$1591/100</f>
        <v>65.742999999999995</v>
      </c>
      <c r="M1591" s="142">
        <f>B1591*IBGE_2!M$1591/100</f>
        <v>2.9470000000000001</v>
      </c>
      <c r="N1591" s="142">
        <f>B1591*IBGE_2!N$1591/100</f>
        <v>51.03</v>
      </c>
      <c r="O1591" s="142">
        <f>B1591*IBGE_2!O$1591/100</f>
        <v>24.911000000000005</v>
      </c>
      <c r="P1591" s="142">
        <f>B1591*IBGE_2!P$1591/100</f>
        <v>0.84499999999999997</v>
      </c>
      <c r="Q1591" s="142">
        <f>B1591*IBGE_2!Q$1591/100</f>
        <v>103.68699999999998</v>
      </c>
      <c r="R1591" s="142">
        <f>B1591*IBGE_2!R$1591/100</f>
        <v>2.7530000000000001</v>
      </c>
      <c r="S1591" s="142">
        <f>B1591*IBGE_2!S$1591/100</f>
        <v>407.52699999999999</v>
      </c>
      <c r="T1591" s="142">
        <f>B1591*IBGE_2!T$1591/100</f>
        <v>91.899000000000001</v>
      </c>
      <c r="U1591" s="142">
        <f>B1591*IBGE_2!U$1591/100</f>
        <v>0.111</v>
      </c>
      <c r="V1591" s="142">
        <f>B1591*IBGE_2!V$1591/100</f>
        <v>0.71299999999999997</v>
      </c>
      <c r="W1591" s="142">
        <f>B1591*IBGE_2!W$1591/100</f>
        <v>3.4000000000000002E-2</v>
      </c>
      <c r="X1591" s="142">
        <f>B1591*IBGE_2!X$1591/100</f>
        <v>0.41600000000000004</v>
      </c>
      <c r="Y1591" s="142">
        <f>B1591*IBGE_2!Y$1591/100</f>
        <v>0.249</v>
      </c>
      <c r="Z1591" s="142">
        <f>B1591*IBGE_2!Z$1591/100</f>
        <v>3.2000000000000001E-2</v>
      </c>
      <c r="AA1591" s="142">
        <f>B1591*IBGE_2!AA$1591/100</f>
        <v>2.9049999999999998</v>
      </c>
      <c r="AB1591" s="142">
        <f>B1591*IBGE_2!AB$1591/100</f>
        <v>3.5000000000000003E-2</v>
      </c>
      <c r="AC1591" s="142">
        <f>B1591*IBGE_2!AC$1591/100</f>
        <v>4.2140000000000004</v>
      </c>
      <c r="AD1591" s="142" t="s">
        <v>3047</v>
      </c>
      <c r="AE1591" s="142">
        <f>B1591*IBGE_2!AE$1591/100</f>
        <v>99.358999999999995</v>
      </c>
      <c r="AF1591" s="142" t="s">
        <v>3047</v>
      </c>
      <c r="AG1591" s="142">
        <f>B1591*IBGE_2!AG$1591/100</f>
        <v>1.7729999999999999</v>
      </c>
      <c r="AH1591" s="142">
        <f>B1591*IBGE_2!AH$1591/100</f>
        <v>7.085</v>
      </c>
      <c r="AI1591" s="142" t="s">
        <v>3047</v>
      </c>
      <c r="AJ1591" s="142">
        <f>B1591*IBGE_2!AJ$1591/100</f>
        <v>18.946000000000002</v>
      </c>
      <c r="AK1591" s="142">
        <f>B1591*IBGE_2!AK$1591/100</f>
        <v>0.16800000000000001</v>
      </c>
      <c r="AL1591" s="142">
        <f>B1591*IBGE_2!AL$1591/100</f>
        <v>3.988</v>
      </c>
      <c r="AM1591" s="145" t="s">
        <v>3047</v>
      </c>
      <c r="AN1591" s="161"/>
    </row>
    <row r="1592" spans="1:40">
      <c r="A1592" s="143" t="s">
        <v>2652</v>
      </c>
      <c r="B1592" s="141">
        <v>100</v>
      </c>
      <c r="C1592" s="142">
        <f>B1592*IBGE_2!C$1592/100</f>
        <v>453.91500000000002</v>
      </c>
      <c r="D1592" s="142">
        <f>B1592*IBGE_2!D$1592/100</f>
        <v>6.2240000000000002</v>
      </c>
      <c r="E1592" s="142">
        <f>B1592*IBGE_2!E$1592/100</f>
        <v>21.888000000000002</v>
      </c>
      <c r="F1592" s="142">
        <f>B1592*IBGE_2!F$1592/100</f>
        <v>5.3239999999999998</v>
      </c>
      <c r="G1592" s="142">
        <f>B1592*IBGE_2!G$1592/100</f>
        <v>12.946999999999997</v>
      </c>
      <c r="H1592" s="142">
        <f>B1592*IBGE_2!H$1592/100</f>
        <v>2.363</v>
      </c>
      <c r="I1592" s="142">
        <f>B1592*IBGE_2!I$1592/100</f>
        <v>2.1949999999999998</v>
      </c>
      <c r="J1592" s="142">
        <f>B1592*IBGE_2!J$1592/100</f>
        <v>6.5000000000000002E-2</v>
      </c>
      <c r="K1592" s="142">
        <f>B1592*IBGE_2!K$1592/100</f>
        <v>8.5000000000000006E-2</v>
      </c>
      <c r="L1592" s="142">
        <f>B1592*IBGE_2!L$1592/100</f>
        <v>65.742999999999995</v>
      </c>
      <c r="M1592" s="142">
        <f>B1592*IBGE_2!M$1592/100</f>
        <v>2.9470000000000001</v>
      </c>
      <c r="N1592" s="142">
        <f>B1592*IBGE_2!N$1592/100</f>
        <v>51.03</v>
      </c>
      <c r="O1592" s="142">
        <f>B1592*IBGE_2!O$1592/100</f>
        <v>24.911000000000005</v>
      </c>
      <c r="P1592" s="142">
        <f>B1592*IBGE_2!P$1592/100</f>
        <v>0.84499999999999997</v>
      </c>
      <c r="Q1592" s="142">
        <f>B1592*IBGE_2!Q$1592/100</f>
        <v>103.68699999999998</v>
      </c>
      <c r="R1592" s="142">
        <f>B1592*IBGE_2!R$1592/100</f>
        <v>2.7530000000000001</v>
      </c>
      <c r="S1592" s="142">
        <f>B1592*IBGE_2!S$1592/100</f>
        <v>407.52699999999999</v>
      </c>
      <c r="T1592" s="142">
        <f>B1592*IBGE_2!T$1592/100</f>
        <v>91.899000000000001</v>
      </c>
      <c r="U1592" s="142">
        <f>B1592*IBGE_2!U$1592/100</f>
        <v>0.111</v>
      </c>
      <c r="V1592" s="142">
        <f>B1592*IBGE_2!V$1592/100</f>
        <v>0.71299999999999997</v>
      </c>
      <c r="W1592" s="142">
        <f>B1592*IBGE_2!W$1592/100</f>
        <v>3.4000000000000002E-2</v>
      </c>
      <c r="X1592" s="142">
        <f>B1592*IBGE_2!X$1592/100</f>
        <v>0.41600000000000004</v>
      </c>
      <c r="Y1592" s="142">
        <f>B1592*IBGE_2!Y$1592/100</f>
        <v>0.249</v>
      </c>
      <c r="Z1592" s="142">
        <f>B1592*IBGE_2!Z$1592/100</f>
        <v>3.2000000000000001E-2</v>
      </c>
      <c r="AA1592" s="142">
        <f>B1592*IBGE_2!AA$1592/100</f>
        <v>2.9049999999999998</v>
      </c>
      <c r="AB1592" s="142">
        <f>B1592*IBGE_2!AB$1592/100</f>
        <v>3.5000000000000003E-2</v>
      </c>
      <c r="AC1592" s="142">
        <f>B1592*IBGE_2!AC$1592/100</f>
        <v>4.2140000000000004</v>
      </c>
      <c r="AD1592" s="142" t="s">
        <v>3047</v>
      </c>
      <c r="AE1592" s="142">
        <f>B1592*IBGE_2!AE$1592/100</f>
        <v>99.358999999999995</v>
      </c>
      <c r="AF1592" s="142" t="s">
        <v>3047</v>
      </c>
      <c r="AG1592" s="142">
        <f>B1592*IBGE_2!AG$1592/100</f>
        <v>1.7729999999999999</v>
      </c>
      <c r="AH1592" s="142">
        <f>B1592*IBGE_2!AH$1592/100</f>
        <v>7.085</v>
      </c>
      <c r="AI1592" s="142" t="s">
        <v>3047</v>
      </c>
      <c r="AJ1592" s="142">
        <f>B1592*IBGE_2!AJ$1592/100</f>
        <v>18.946000000000002</v>
      </c>
      <c r="AK1592" s="142">
        <f>B1592*IBGE_2!AK$1592/100</f>
        <v>0.16800000000000001</v>
      </c>
      <c r="AL1592" s="142">
        <f>B1592*IBGE_2!AL$1592/100</f>
        <v>3.988</v>
      </c>
      <c r="AM1592" s="145" t="s">
        <v>3047</v>
      </c>
      <c r="AN1592" s="161"/>
    </row>
    <row r="1593" spans="1:40">
      <c r="A1593" s="143" t="s">
        <v>2653</v>
      </c>
      <c r="B1593" s="141">
        <v>100</v>
      </c>
      <c r="C1593" s="142">
        <f>B1593*IBGE_2!C$1593/100</f>
        <v>300.05399999999997</v>
      </c>
      <c r="D1593" s="142">
        <f>B1593*IBGE_2!D$1593/100</f>
        <v>3.9279999999999999</v>
      </c>
      <c r="E1593" s="142">
        <f>B1593*IBGE_2!E$1593/100</f>
        <v>9.0690000000000008</v>
      </c>
      <c r="F1593" s="142">
        <f>B1593*IBGE_2!F$1593/100</f>
        <v>5.3140000000000001</v>
      </c>
      <c r="G1593" s="142">
        <f>B1593*IBGE_2!G$1593/100</f>
        <v>2.4079999999999999</v>
      </c>
      <c r="H1593" s="142">
        <f>B1593*IBGE_2!H$1593/100</f>
        <v>0.53</v>
      </c>
      <c r="I1593" s="142">
        <f>B1593*IBGE_2!I$1593/100</f>
        <v>0.46500000000000002</v>
      </c>
      <c r="J1593" s="142">
        <f>B1593*IBGE_2!J$1593/100</f>
        <v>4.9000000000000002E-2</v>
      </c>
      <c r="K1593" s="142">
        <f>B1593*IBGE_2!K$1593/100</f>
        <v>56.723999999999997</v>
      </c>
      <c r="L1593" s="142">
        <f>B1593*IBGE_2!L$1593/100</f>
        <v>52.137</v>
      </c>
      <c r="M1593" s="142">
        <f>B1593*IBGE_2!M$1593/100</f>
        <v>1.6569999999999998</v>
      </c>
      <c r="N1593" s="142">
        <f>B1593*IBGE_2!N$1593/100</f>
        <v>29.471</v>
      </c>
      <c r="O1593" s="142">
        <f>B1593*IBGE_2!O$1593/100</f>
        <v>16.890999999999998</v>
      </c>
      <c r="P1593" s="142">
        <f>B1593*IBGE_2!P$1593/100</f>
        <v>0.253</v>
      </c>
      <c r="Q1593" s="142">
        <f>B1593*IBGE_2!Q$1593/100</f>
        <v>57.176000000000002</v>
      </c>
      <c r="R1593" s="142">
        <f>B1593*IBGE_2!R$1593/100</f>
        <v>1.214</v>
      </c>
      <c r="S1593" s="142">
        <f>B1593*IBGE_2!S$1593/100</f>
        <v>218.06700000000001</v>
      </c>
      <c r="T1593" s="142">
        <f>B1593*IBGE_2!T$1593/100</f>
        <v>184.18100000000001</v>
      </c>
      <c r="U1593" s="142">
        <f>B1593*IBGE_2!U$1593/100</f>
        <v>6.4000000000000001E-2</v>
      </c>
      <c r="V1593" s="142">
        <f>B1593*IBGE_2!V$1593/100</f>
        <v>0.32600000000000001</v>
      </c>
      <c r="W1593" s="142">
        <f>B1593*IBGE_2!W$1593/100</f>
        <v>79.007999999999996</v>
      </c>
      <c r="X1593" s="142">
        <f>B1593*IBGE_2!X$1593/100</f>
        <v>0.18600000000000003</v>
      </c>
      <c r="Y1593" s="142">
        <f>B1593*IBGE_2!Y$1593/100</f>
        <v>0.193</v>
      </c>
      <c r="Z1593" s="142">
        <f>B1593*IBGE_2!Z$1593/100</f>
        <v>0.16500000000000001</v>
      </c>
      <c r="AA1593" s="142">
        <f>B1593*IBGE_2!AA$1593/100</f>
        <v>1.5219999999999998</v>
      </c>
      <c r="AB1593" s="142">
        <f>B1593*IBGE_2!AB$1593/100</f>
        <v>3.4449999999999998</v>
      </c>
      <c r="AC1593" s="142">
        <f>B1593*IBGE_2!AC$1593/100</f>
        <v>2.294</v>
      </c>
      <c r="AD1593" s="142">
        <f>B1593*IBGE_2!AD$1593/100</f>
        <v>0.122</v>
      </c>
      <c r="AE1593" s="142">
        <f>B1593*IBGE_2!AE$1593/100</f>
        <v>55.216999999999999</v>
      </c>
      <c r="AF1593" s="142">
        <f>B1593*IBGE_2!AF$1593/100</f>
        <v>0.24299999999999999</v>
      </c>
      <c r="AG1593" s="142">
        <f>B1593*IBGE_2!AG$1593/100</f>
        <v>0.376</v>
      </c>
      <c r="AH1593" s="142">
        <f>B1593*IBGE_2!AH$1593/100</f>
        <v>0.316</v>
      </c>
      <c r="AI1593" s="142" t="s">
        <v>3047</v>
      </c>
      <c r="AJ1593" s="142">
        <f>B1593*IBGE_2!AJ$1593/100</f>
        <v>10.526999999999997</v>
      </c>
      <c r="AK1593" s="142">
        <f>B1593*IBGE_2!AK$1593/100</f>
        <v>81.641000000000005</v>
      </c>
      <c r="AL1593" s="142">
        <f>B1593*IBGE_2!AL$1593/100</f>
        <v>31.794</v>
      </c>
      <c r="AM1593" s="142">
        <f>B1593*IBGE_2!AM$1593/100</f>
        <v>26.64</v>
      </c>
      <c r="AN1593" s="161"/>
    </row>
    <row r="1594" spans="1:40">
      <c r="A1594" s="143" t="s">
        <v>2654</v>
      </c>
      <c r="B1594" s="141">
        <v>100</v>
      </c>
      <c r="C1594" s="142">
        <f>B1594*IBGE_2!C$1594/100</f>
        <v>313</v>
      </c>
      <c r="D1594" s="142">
        <f>B1594*IBGE_2!D$1594/100</f>
        <v>26.9</v>
      </c>
      <c r="E1594" s="142">
        <f>B1594*IBGE_2!E$1594/100</f>
        <v>21.9</v>
      </c>
      <c r="F1594" s="142">
        <f>B1594*IBGE_2!F$1594/100</f>
        <v>10.5</v>
      </c>
      <c r="G1594" s="142">
        <f>B1594*IBGE_2!G$1594/100</f>
        <v>8.3000000000000007</v>
      </c>
      <c r="H1594" s="142">
        <f>B1594*IBGE_2!H$1594/100</f>
        <v>0.4</v>
      </c>
      <c r="I1594" s="142">
        <f>B1594*IBGE_2!I$1594/100</f>
        <v>0.24</v>
      </c>
      <c r="J1594" s="142">
        <f>B1594*IBGE_2!J$1594/100</f>
        <v>0.08</v>
      </c>
      <c r="K1594" s="142">
        <f>B1594*IBGE_2!K$1594/100</f>
        <v>100</v>
      </c>
      <c r="L1594" s="142" t="s">
        <v>3047</v>
      </c>
      <c r="M1594" s="142" t="s">
        <v>3047</v>
      </c>
      <c r="N1594" s="142">
        <f>B1594*IBGE_2!N$1594/100</f>
        <v>13</v>
      </c>
      <c r="O1594" s="142">
        <f>B1594*IBGE_2!O$1594/100</f>
        <v>12</v>
      </c>
      <c r="P1594" s="142">
        <f>B1594*IBGE_2!P$1594/100</f>
        <v>0.02</v>
      </c>
      <c r="Q1594" s="142">
        <f>B1594*IBGE_2!Q$1594/100</f>
        <v>82</v>
      </c>
      <c r="R1594" s="142">
        <f>B1594*IBGE_2!R$1594/100</f>
        <v>1.9</v>
      </c>
      <c r="S1594" s="142">
        <f>B1594*IBGE_2!S$1594/100</f>
        <v>1943</v>
      </c>
      <c r="T1594" s="142">
        <f>B1594*IBGE_2!T$1594/100</f>
        <v>86</v>
      </c>
      <c r="U1594" s="142">
        <f>B1594*IBGE_2!U$1594/100</f>
        <v>0.03</v>
      </c>
      <c r="V1594" s="142">
        <f>B1594*IBGE_2!V$1594/100</f>
        <v>7.7</v>
      </c>
      <c r="W1594" s="142" t="s">
        <v>3047</v>
      </c>
      <c r="X1594" s="142" t="s">
        <v>3047</v>
      </c>
      <c r="Y1594" s="142">
        <f>B1594*IBGE_2!Y$1594/100</f>
        <v>0.06</v>
      </c>
      <c r="Z1594" s="142" t="s">
        <v>3047</v>
      </c>
      <c r="AA1594" s="142" t="s">
        <v>3047</v>
      </c>
      <c r="AB1594" s="142" t="s">
        <v>3047</v>
      </c>
      <c r="AC1594" s="142" t="s">
        <v>3047</v>
      </c>
      <c r="AD1594" s="142" t="s">
        <v>3047</v>
      </c>
      <c r="AE1594" s="142" t="s">
        <v>3047</v>
      </c>
      <c r="AF1594" s="142" t="s">
        <v>3047</v>
      </c>
      <c r="AG1594" s="142" t="s">
        <v>3047</v>
      </c>
      <c r="AH1594" s="142">
        <f>B1594*IBGE_2!AH$1594/100</f>
        <v>0.93</v>
      </c>
      <c r="AI1594" s="142" t="s">
        <v>3047</v>
      </c>
      <c r="AJ1594" s="142" t="s">
        <v>3047</v>
      </c>
      <c r="AK1594" s="142" t="s">
        <v>3047</v>
      </c>
      <c r="AL1594" s="142" t="s">
        <v>3047</v>
      </c>
      <c r="AM1594" s="142" t="s">
        <v>3047</v>
      </c>
      <c r="AN1594" s="161"/>
    </row>
    <row r="1595" spans="1:40">
      <c r="A1595" s="143" t="s">
        <v>2655</v>
      </c>
      <c r="B1595" s="141">
        <v>100</v>
      </c>
      <c r="C1595" s="142">
        <f>B1595*IBGE_2!C$1595/100</f>
        <v>313</v>
      </c>
      <c r="D1595" s="142">
        <f>B1595*IBGE_2!D$1595/100</f>
        <v>26.9</v>
      </c>
      <c r="E1595" s="142">
        <f>B1595*IBGE_2!E$1595/100</f>
        <v>21.9</v>
      </c>
      <c r="F1595" s="142">
        <f>B1595*IBGE_2!F$1595/100</f>
        <v>10.5</v>
      </c>
      <c r="G1595" s="142">
        <f>B1595*IBGE_2!G$1595/100</f>
        <v>8.3000000000000007</v>
      </c>
      <c r="H1595" s="142">
        <f>B1595*IBGE_2!H$1595/100</f>
        <v>0.4</v>
      </c>
      <c r="I1595" s="142">
        <f>B1595*IBGE_2!I$1595/100</f>
        <v>0.24</v>
      </c>
      <c r="J1595" s="142">
        <f>B1595*IBGE_2!J$1595/100</f>
        <v>0.08</v>
      </c>
      <c r="K1595" s="142">
        <f>B1595*IBGE_2!K$1595/100</f>
        <v>100</v>
      </c>
      <c r="L1595" s="142" t="s">
        <v>3047</v>
      </c>
      <c r="M1595" s="142" t="s">
        <v>3047</v>
      </c>
      <c r="N1595" s="142">
        <f>B1595*IBGE_2!N$1595/100</f>
        <v>13</v>
      </c>
      <c r="O1595" s="142">
        <f>B1595*IBGE_2!O$1595/100</f>
        <v>12</v>
      </c>
      <c r="P1595" s="142">
        <f>B1595*IBGE_2!P$1595/100</f>
        <v>0.02</v>
      </c>
      <c r="Q1595" s="142">
        <f>B1595*IBGE_2!Q$1595/100</f>
        <v>82</v>
      </c>
      <c r="R1595" s="142">
        <f>B1595*IBGE_2!R$1595/100</f>
        <v>1.9</v>
      </c>
      <c r="S1595" s="142">
        <f>B1595*IBGE_2!S$1595/100</f>
        <v>1943</v>
      </c>
      <c r="T1595" s="142">
        <f>B1595*IBGE_2!T$1595/100</f>
        <v>86</v>
      </c>
      <c r="U1595" s="142">
        <f>B1595*IBGE_2!U$1595/100</f>
        <v>0.03</v>
      </c>
      <c r="V1595" s="142">
        <f>B1595*IBGE_2!V$1595/100</f>
        <v>7.7</v>
      </c>
      <c r="W1595" s="142" t="s">
        <v>3047</v>
      </c>
      <c r="X1595" s="142" t="s">
        <v>3047</v>
      </c>
      <c r="Y1595" s="142">
        <f>B1595*IBGE_2!Y$1595/100</f>
        <v>0.06</v>
      </c>
      <c r="Z1595" s="142" t="s">
        <v>3047</v>
      </c>
      <c r="AA1595" s="142" t="s">
        <v>3047</v>
      </c>
      <c r="AB1595" s="142" t="s">
        <v>3047</v>
      </c>
      <c r="AC1595" s="142" t="s">
        <v>3047</v>
      </c>
      <c r="AD1595" s="142" t="s">
        <v>3047</v>
      </c>
      <c r="AE1595" s="142" t="s">
        <v>3047</v>
      </c>
      <c r="AF1595" s="142" t="s">
        <v>3047</v>
      </c>
      <c r="AG1595" s="142" t="s">
        <v>3047</v>
      </c>
      <c r="AH1595" s="142">
        <f>B1595*IBGE_2!AH$1595/100</f>
        <v>0.93</v>
      </c>
      <c r="AI1595" s="142" t="s">
        <v>3047</v>
      </c>
      <c r="AJ1595" s="142" t="s">
        <v>3047</v>
      </c>
      <c r="AK1595" s="142" t="s">
        <v>3047</v>
      </c>
      <c r="AL1595" s="142" t="s">
        <v>3047</v>
      </c>
      <c r="AM1595" s="142" t="s">
        <v>3047</v>
      </c>
      <c r="AN1595" s="161"/>
    </row>
    <row r="1596" spans="1:40">
      <c r="A1596" s="143" t="s">
        <v>2656</v>
      </c>
      <c r="B1596" s="141">
        <v>100</v>
      </c>
      <c r="C1596" s="142">
        <f>B1596*IBGE_2!C$1596/100</f>
        <v>313</v>
      </c>
      <c r="D1596" s="142">
        <f>B1596*IBGE_2!D$1596/100</f>
        <v>26.9</v>
      </c>
      <c r="E1596" s="142">
        <f>B1596*IBGE_2!E$1596/100</f>
        <v>21.9</v>
      </c>
      <c r="F1596" s="142">
        <f>B1596*IBGE_2!F$1596/100</f>
        <v>10.5</v>
      </c>
      <c r="G1596" s="142">
        <f>B1596*IBGE_2!G$1596/100</f>
        <v>8.3000000000000007</v>
      </c>
      <c r="H1596" s="142">
        <f>B1596*IBGE_2!H$1596/100</f>
        <v>0.4</v>
      </c>
      <c r="I1596" s="142">
        <f>B1596*IBGE_2!I$1596/100</f>
        <v>0.24</v>
      </c>
      <c r="J1596" s="142">
        <f>B1596*IBGE_2!J$1596/100</f>
        <v>0.08</v>
      </c>
      <c r="K1596" s="142">
        <f>B1596*IBGE_2!K$1596/100</f>
        <v>100</v>
      </c>
      <c r="L1596" s="142" t="s">
        <v>3047</v>
      </c>
      <c r="M1596" s="142" t="s">
        <v>3047</v>
      </c>
      <c r="N1596" s="142">
        <f>B1596*IBGE_2!N$1596/100</f>
        <v>13</v>
      </c>
      <c r="O1596" s="142">
        <f>B1596*IBGE_2!O$1596/100</f>
        <v>12</v>
      </c>
      <c r="P1596" s="142">
        <f>B1596*IBGE_2!P$1596/100</f>
        <v>0.02</v>
      </c>
      <c r="Q1596" s="142">
        <f>B1596*IBGE_2!Q$1596/100</f>
        <v>82</v>
      </c>
      <c r="R1596" s="142">
        <f>B1596*IBGE_2!R$1596/100</f>
        <v>1.9</v>
      </c>
      <c r="S1596" s="142">
        <f>B1596*IBGE_2!S$1596/100</f>
        <v>1943</v>
      </c>
      <c r="T1596" s="142">
        <f>B1596*IBGE_2!T$1596/100</f>
        <v>86</v>
      </c>
      <c r="U1596" s="142">
        <f>B1596*IBGE_2!U$1596/100</f>
        <v>0.03</v>
      </c>
      <c r="V1596" s="142">
        <f>B1596*IBGE_2!V$1596/100</f>
        <v>7.7</v>
      </c>
      <c r="W1596" s="142" t="s">
        <v>3047</v>
      </c>
      <c r="X1596" s="142" t="s">
        <v>3047</v>
      </c>
      <c r="Y1596" s="142">
        <f>B1596*IBGE_2!Y$1596/100</f>
        <v>0.06</v>
      </c>
      <c r="Z1596" s="142" t="s">
        <v>3047</v>
      </c>
      <c r="AA1596" s="142" t="s">
        <v>3047</v>
      </c>
      <c r="AB1596" s="142" t="s">
        <v>3047</v>
      </c>
      <c r="AC1596" s="142" t="s">
        <v>3047</v>
      </c>
      <c r="AD1596" s="142" t="s">
        <v>3047</v>
      </c>
      <c r="AE1596" s="142" t="s">
        <v>3047</v>
      </c>
      <c r="AF1596" s="142" t="s">
        <v>3047</v>
      </c>
      <c r="AG1596" s="142" t="s">
        <v>3047</v>
      </c>
      <c r="AH1596" s="142">
        <f>B1596*IBGE_2!AH$1596/100</f>
        <v>0.93</v>
      </c>
      <c r="AI1596" s="142" t="s">
        <v>3047</v>
      </c>
      <c r="AJ1596" s="142" t="s">
        <v>3047</v>
      </c>
      <c r="AK1596" s="142" t="s">
        <v>3047</v>
      </c>
      <c r="AL1596" s="142" t="s">
        <v>3047</v>
      </c>
      <c r="AM1596" s="142" t="s">
        <v>3047</v>
      </c>
      <c r="AN1596" s="161"/>
    </row>
    <row r="1597" spans="1:40">
      <c r="A1597" s="143" t="s">
        <v>2657</v>
      </c>
      <c r="B1597" s="141">
        <v>100</v>
      </c>
      <c r="C1597" s="142">
        <f>B1597*IBGE_2!C$1597/100</f>
        <v>347.00403999999997</v>
      </c>
      <c r="D1597" s="142">
        <f>B1597*IBGE_2!D$1597/100</f>
        <v>25.285999999999998</v>
      </c>
      <c r="E1597" s="142">
        <f>B1597*IBGE_2!E$1597/100</f>
        <v>26.557019999999998</v>
      </c>
      <c r="F1597" s="142">
        <f>B1597*IBGE_2!F$1597/100</f>
        <v>10.80444</v>
      </c>
      <c r="G1597" s="142">
        <f>B1597*IBGE_2!G$1597/100</f>
        <v>9.1623800000000006</v>
      </c>
      <c r="H1597" s="142">
        <f>B1597*IBGE_2!H$1597/100</f>
        <v>3.8236599999999998</v>
      </c>
      <c r="I1597" s="142">
        <f>B1597*IBGE_2!I$1597/100</f>
        <v>3.26796</v>
      </c>
      <c r="J1597" s="142">
        <f>B1597*IBGE_2!J$1597/100</f>
        <v>0.48055999999999999</v>
      </c>
      <c r="K1597" s="142">
        <f>B1597*IBGE_2!K$1597/100</f>
        <v>94</v>
      </c>
      <c r="L1597" s="142" t="s">
        <v>3047</v>
      </c>
      <c r="M1597" s="142" t="s">
        <v>3047</v>
      </c>
      <c r="N1597" s="142">
        <f>B1597*IBGE_2!N$1597/100</f>
        <v>12.22</v>
      </c>
      <c r="O1597" s="142">
        <f>B1597*IBGE_2!O$1597/100</f>
        <v>11.28</v>
      </c>
      <c r="P1597" s="142">
        <f>B1597*IBGE_2!P$1597/100</f>
        <v>1.8800000000000001E-2</v>
      </c>
      <c r="Q1597" s="142">
        <f>B1597*IBGE_2!Q$1597/100</f>
        <v>77.08</v>
      </c>
      <c r="R1597" s="142">
        <f>B1597*IBGE_2!R$1597/100</f>
        <v>1.7889999999999997</v>
      </c>
      <c r="S1597" s="142">
        <f>B1597*IBGE_2!S$1597/100</f>
        <v>1826.42</v>
      </c>
      <c r="T1597" s="142">
        <f>B1597*IBGE_2!T$1597/100</f>
        <v>80.84</v>
      </c>
      <c r="U1597" s="142">
        <f>B1597*IBGE_2!U$1597/100</f>
        <v>2.8199999999999992E-2</v>
      </c>
      <c r="V1597" s="142">
        <f>B1597*IBGE_2!V$1597/100</f>
        <v>7.2385999999999999</v>
      </c>
      <c r="W1597" s="142" t="s">
        <v>3047</v>
      </c>
      <c r="X1597" s="142" t="s">
        <v>3047</v>
      </c>
      <c r="Y1597" s="142">
        <f>B1597*IBGE_2!Y$1597/100</f>
        <v>5.6399999999999985E-2</v>
      </c>
      <c r="Z1597" s="142" t="s">
        <v>3047</v>
      </c>
      <c r="AA1597" s="142" t="s">
        <v>3047</v>
      </c>
      <c r="AB1597" s="142" t="s">
        <v>3047</v>
      </c>
      <c r="AC1597" s="142" t="s">
        <v>3047</v>
      </c>
      <c r="AD1597" s="142" t="s">
        <v>3047</v>
      </c>
      <c r="AE1597" s="142" t="s">
        <v>3047</v>
      </c>
      <c r="AF1597" s="142" t="s">
        <v>3047</v>
      </c>
      <c r="AG1597" s="142">
        <f>B1597*IBGE_2!AG$1597/100</f>
        <v>0.48846000000000006</v>
      </c>
      <c r="AH1597" s="142">
        <f>B1597*IBGE_2!AH$1597/100</f>
        <v>3.1800000000000002E-2</v>
      </c>
      <c r="AI1597" s="142" t="s">
        <v>3047</v>
      </c>
      <c r="AJ1597" s="142">
        <f>B1597*IBGE_2!AJ$1597/100</f>
        <v>2.7365399999999998</v>
      </c>
      <c r="AK1597" s="142" t="s">
        <v>3047</v>
      </c>
      <c r="AL1597" s="142" t="s">
        <v>3047</v>
      </c>
      <c r="AM1597" s="142" t="s">
        <v>3047</v>
      </c>
      <c r="AN1597" s="161"/>
    </row>
    <row r="1598" spans="1:40">
      <c r="A1598" s="143" t="s">
        <v>2658</v>
      </c>
      <c r="B1598" s="141">
        <v>100</v>
      </c>
      <c r="C1598" s="142">
        <f>B1598*IBGE_2!C$1598/100</f>
        <v>347.00403999999997</v>
      </c>
      <c r="D1598" s="142">
        <f>B1598*IBGE_2!D$1598/100</f>
        <v>25.285999999999998</v>
      </c>
      <c r="E1598" s="142">
        <f>B1598*IBGE_2!E$1598/100</f>
        <v>26.557019999999998</v>
      </c>
      <c r="F1598" s="142">
        <f>B1598*IBGE_2!F$1598/100</f>
        <v>10.80444</v>
      </c>
      <c r="G1598" s="142">
        <f>B1598*IBGE_2!G$1598/100</f>
        <v>9.1623800000000006</v>
      </c>
      <c r="H1598" s="142">
        <f>B1598*IBGE_2!H$1598/100</f>
        <v>3.8236599999999998</v>
      </c>
      <c r="I1598" s="142">
        <f>B1598*IBGE_2!I$1598/100</f>
        <v>3.26796</v>
      </c>
      <c r="J1598" s="142">
        <f>B1598*IBGE_2!J$1598/100</f>
        <v>0.48055999999999999</v>
      </c>
      <c r="K1598" s="142">
        <f>B1598*IBGE_2!K$1598/100</f>
        <v>94</v>
      </c>
      <c r="L1598" s="142" t="s">
        <v>3047</v>
      </c>
      <c r="M1598" s="142" t="s">
        <v>3047</v>
      </c>
      <c r="N1598" s="142">
        <f>B1598*IBGE_2!N$1598/100</f>
        <v>12.22</v>
      </c>
      <c r="O1598" s="142">
        <f>B1598*IBGE_2!O$1598/100</f>
        <v>11.28</v>
      </c>
      <c r="P1598" s="142">
        <f>B1598*IBGE_2!P$1598/100</f>
        <v>1.8800000000000001E-2</v>
      </c>
      <c r="Q1598" s="142">
        <f>B1598*IBGE_2!Q$1598/100</f>
        <v>77.08</v>
      </c>
      <c r="R1598" s="142">
        <f>B1598*IBGE_2!R$1598/100</f>
        <v>1.7889999999999997</v>
      </c>
      <c r="S1598" s="142">
        <f>B1598*IBGE_2!S$1598/100</f>
        <v>1826.42</v>
      </c>
      <c r="T1598" s="142">
        <f>B1598*IBGE_2!T$1598/100</f>
        <v>80.84</v>
      </c>
      <c r="U1598" s="142">
        <f>B1598*IBGE_2!U$1598/100</f>
        <v>2.8199999999999992E-2</v>
      </c>
      <c r="V1598" s="142">
        <f>B1598*IBGE_2!V$1598/100</f>
        <v>7.2385999999999999</v>
      </c>
      <c r="W1598" s="142" t="s">
        <v>3047</v>
      </c>
      <c r="X1598" s="142" t="s">
        <v>3047</v>
      </c>
      <c r="Y1598" s="142">
        <f>B1598*IBGE_2!Y$1598/100</f>
        <v>5.6399999999999985E-2</v>
      </c>
      <c r="Z1598" s="142" t="s">
        <v>3047</v>
      </c>
      <c r="AA1598" s="142" t="s">
        <v>3047</v>
      </c>
      <c r="AB1598" s="142" t="s">
        <v>3047</v>
      </c>
      <c r="AC1598" s="142" t="s">
        <v>3047</v>
      </c>
      <c r="AD1598" s="142" t="s">
        <v>3047</v>
      </c>
      <c r="AE1598" s="142" t="s">
        <v>3047</v>
      </c>
      <c r="AF1598" s="142" t="s">
        <v>3047</v>
      </c>
      <c r="AG1598" s="142">
        <f>B1598*IBGE_2!AG$1598/100</f>
        <v>0.48846000000000006</v>
      </c>
      <c r="AH1598" s="142">
        <f>B1598*IBGE_2!AH$1598/100</f>
        <v>3.1800000000000002E-2</v>
      </c>
      <c r="AI1598" s="142" t="s">
        <v>3047</v>
      </c>
      <c r="AJ1598" s="142">
        <f>B1598*IBGE_2!AJ$1598/100</f>
        <v>2.7365399999999998</v>
      </c>
      <c r="AK1598" s="142" t="s">
        <v>3047</v>
      </c>
      <c r="AL1598" s="142" t="s">
        <v>3047</v>
      </c>
      <c r="AM1598" s="142" t="s">
        <v>3047</v>
      </c>
      <c r="AN1598" s="161"/>
    </row>
    <row r="1599" spans="1:40">
      <c r="A1599" s="143" t="s">
        <v>2659</v>
      </c>
      <c r="B1599" s="141">
        <v>100</v>
      </c>
      <c r="C1599" s="142">
        <f>B1599*IBGE_2!C$1599/100</f>
        <v>255.2</v>
      </c>
      <c r="D1599" s="142">
        <f>B1599*IBGE_2!D$1599/100</f>
        <v>21.784000000000002</v>
      </c>
      <c r="E1599" s="142">
        <f>B1599*IBGE_2!E$1599/100</f>
        <v>17.556000000000001</v>
      </c>
      <c r="F1599" s="142">
        <f>B1599*IBGE_2!F$1599/100</f>
        <v>8.4060000000000006</v>
      </c>
      <c r="G1599" s="142">
        <f>B1599*IBGE_2!G$1599/100</f>
        <v>6.6460000000000017</v>
      </c>
      <c r="H1599" s="142">
        <f>B1599*IBGE_2!H$1599/100</f>
        <v>0.33400000000000007</v>
      </c>
      <c r="I1599" s="142">
        <f>B1599*IBGE_2!I$1599/100</f>
        <v>0.20600000000000002</v>
      </c>
      <c r="J1599" s="142">
        <f>B1599*IBGE_2!J$1599/100</f>
        <v>6.4000000000000001E-2</v>
      </c>
      <c r="K1599" s="142">
        <f>B1599*IBGE_2!K$1599/100</f>
        <v>80</v>
      </c>
      <c r="L1599" s="142">
        <f>B1599*IBGE_2!L$1599/100</f>
        <v>1.0760000000000001</v>
      </c>
      <c r="M1599" s="142">
        <f>B1599*IBGE_2!M$1599/100</f>
        <v>0.3</v>
      </c>
      <c r="N1599" s="142">
        <f>B1599*IBGE_2!N$1599/100</f>
        <v>13</v>
      </c>
      <c r="O1599" s="142">
        <f>B1599*IBGE_2!O$1599/100</f>
        <v>12.8</v>
      </c>
      <c r="P1599" s="142">
        <f>B1599*IBGE_2!P$1599/100</f>
        <v>3.8000000000000006E-2</v>
      </c>
      <c r="Q1599" s="142">
        <f>B1599*IBGE_2!Q$1599/100</f>
        <v>70.8</v>
      </c>
      <c r="R1599" s="142">
        <f>B1599*IBGE_2!R$1599/100</f>
        <v>1.724</v>
      </c>
      <c r="S1599" s="142">
        <f>B1599*IBGE_2!S$1599/100</f>
        <v>1659.2</v>
      </c>
      <c r="T1599" s="142">
        <f>B1599*IBGE_2!T$1599/100</f>
        <v>135</v>
      </c>
      <c r="U1599" s="142">
        <f>B1599*IBGE_2!U$1599/100</f>
        <v>4.8000000000000001E-2</v>
      </c>
      <c r="V1599" s="142">
        <f>B1599*IBGE_2!V$1599/100</f>
        <v>6.2</v>
      </c>
      <c r="W1599" s="142" t="s">
        <v>3047</v>
      </c>
      <c r="X1599" s="142">
        <f>B1599*IBGE_2!X$1599/100</f>
        <v>4.0000000000000001E-3</v>
      </c>
      <c r="Y1599" s="142">
        <f>B1599*IBGE_2!Y$1599/100</f>
        <v>6.2E-2</v>
      </c>
      <c r="Z1599" s="142">
        <f>B1599*IBGE_2!Z$1599/100</f>
        <v>0.02</v>
      </c>
      <c r="AA1599" s="142">
        <f>B1599*IBGE_2!AA$1599/100</f>
        <v>0.19600000000000001</v>
      </c>
      <c r="AB1599" s="142">
        <f>B1599*IBGE_2!AB$1599/100</f>
        <v>1.4</v>
      </c>
      <c r="AC1599" s="142">
        <f>B1599*IBGE_2!AC$1599/100</f>
        <v>0.22799999999999998</v>
      </c>
      <c r="AD1599" s="145" t="s">
        <v>3047</v>
      </c>
      <c r="AE1599" s="142">
        <f>B1599*IBGE_2!AE$1599/100</f>
        <v>2.2000000000000002</v>
      </c>
      <c r="AF1599" s="145" t="s">
        <v>3047</v>
      </c>
      <c r="AG1599" s="142">
        <f>B1599*IBGE_2!AG$1599/100</f>
        <v>0.28399999999999997</v>
      </c>
      <c r="AH1599" s="145" t="s">
        <v>3047</v>
      </c>
      <c r="AI1599" s="142" t="s">
        <v>3047</v>
      </c>
      <c r="AJ1599" s="142">
        <f>B1599*IBGE_2!AJ$1599/100</f>
        <v>0.04</v>
      </c>
      <c r="AK1599" s="142">
        <f>B1599*IBGE_2!AK$1599/100</f>
        <v>3.4840000000000004</v>
      </c>
      <c r="AL1599" s="142">
        <f>B1599*IBGE_2!AL$1599/100</f>
        <v>0.85</v>
      </c>
      <c r="AM1599" s="142" t="s">
        <v>3047</v>
      </c>
      <c r="AN1599" s="161"/>
    </row>
    <row r="1600" spans="1:40">
      <c r="A1600" s="143" t="s">
        <v>2660</v>
      </c>
      <c r="B1600" s="141">
        <v>100</v>
      </c>
      <c r="C1600" s="142">
        <f>B1600*IBGE_2!C$1600/100</f>
        <v>347.00403999999997</v>
      </c>
      <c r="D1600" s="142">
        <f>B1600*IBGE_2!D$1600/100</f>
        <v>25.285999999999998</v>
      </c>
      <c r="E1600" s="142">
        <f>B1600*IBGE_2!E$1600/100</f>
        <v>26.557019999999998</v>
      </c>
      <c r="F1600" s="142">
        <f>B1600*IBGE_2!F$1600/100</f>
        <v>10.80444</v>
      </c>
      <c r="G1600" s="142">
        <f>B1600*IBGE_2!G$1600/100</f>
        <v>9.1623800000000006</v>
      </c>
      <c r="H1600" s="142">
        <f>B1600*IBGE_2!H$1600/100</f>
        <v>3.8236599999999998</v>
      </c>
      <c r="I1600" s="142">
        <f>B1600*IBGE_2!I$1600/100</f>
        <v>3.26796</v>
      </c>
      <c r="J1600" s="142">
        <f>B1600*IBGE_2!J$1600/100</f>
        <v>0.48055999999999999</v>
      </c>
      <c r="K1600" s="142">
        <f>B1600*IBGE_2!K$1600/100</f>
        <v>94</v>
      </c>
      <c r="L1600" s="142" t="s">
        <v>3047</v>
      </c>
      <c r="M1600" s="142" t="s">
        <v>3047</v>
      </c>
      <c r="N1600" s="142">
        <f>B1600*IBGE_2!N$1600/100</f>
        <v>12.22</v>
      </c>
      <c r="O1600" s="142">
        <f>B1600*IBGE_2!O$1600/100</f>
        <v>11.28</v>
      </c>
      <c r="P1600" s="142">
        <f>B1600*IBGE_2!P$1600/100</f>
        <v>1.8800000000000001E-2</v>
      </c>
      <c r="Q1600" s="142">
        <f>B1600*IBGE_2!Q$1600/100</f>
        <v>77.08</v>
      </c>
      <c r="R1600" s="142">
        <f>B1600*IBGE_2!R$1600/100</f>
        <v>1.7889999999999997</v>
      </c>
      <c r="S1600" s="142">
        <f>B1600*IBGE_2!S$1600/100</f>
        <v>1826.42</v>
      </c>
      <c r="T1600" s="142">
        <f>B1600*IBGE_2!T$1600/100</f>
        <v>80.84</v>
      </c>
      <c r="U1600" s="142">
        <f>B1600*IBGE_2!U$1600/100</f>
        <v>2.8199999999999992E-2</v>
      </c>
      <c r="V1600" s="142">
        <f>B1600*IBGE_2!V$1600/100</f>
        <v>7.2385999999999999</v>
      </c>
      <c r="W1600" s="142" t="s">
        <v>3047</v>
      </c>
      <c r="X1600" s="142" t="s">
        <v>3047</v>
      </c>
      <c r="Y1600" s="142">
        <f>B1600*IBGE_2!Y$1600/100</f>
        <v>5.6399999999999985E-2</v>
      </c>
      <c r="Z1600" s="142" t="s">
        <v>3047</v>
      </c>
      <c r="AA1600" s="142" t="s">
        <v>3047</v>
      </c>
      <c r="AB1600" s="142" t="s">
        <v>3047</v>
      </c>
      <c r="AC1600" s="142" t="s">
        <v>3047</v>
      </c>
      <c r="AD1600" s="142" t="s">
        <v>3047</v>
      </c>
      <c r="AE1600" s="142" t="s">
        <v>3047</v>
      </c>
      <c r="AF1600" s="142" t="s">
        <v>3047</v>
      </c>
      <c r="AG1600" s="142">
        <f>B1600*IBGE_2!AG$1600/100</f>
        <v>0.48846000000000006</v>
      </c>
      <c r="AH1600" s="142">
        <f>B1600*IBGE_2!AH$1600/100</f>
        <v>3.1800000000000002E-2</v>
      </c>
      <c r="AI1600" s="142" t="s">
        <v>3047</v>
      </c>
      <c r="AJ1600" s="142">
        <f>B1600*IBGE_2!AJ$1600/100</f>
        <v>2.7365399999999998</v>
      </c>
      <c r="AK1600" s="142" t="s">
        <v>3047</v>
      </c>
      <c r="AL1600" s="142" t="s">
        <v>3047</v>
      </c>
      <c r="AM1600" s="142" t="s">
        <v>3047</v>
      </c>
      <c r="AN1600" s="161"/>
    </row>
    <row r="1601" spans="1:40">
      <c r="A1601" s="143" t="s">
        <v>2661</v>
      </c>
      <c r="B1601" s="141">
        <v>100</v>
      </c>
      <c r="C1601" s="142">
        <f>B1601*IBGE_2!C$1601/100</f>
        <v>313</v>
      </c>
      <c r="D1601" s="142">
        <f>B1601*IBGE_2!D$1601/100</f>
        <v>26.9</v>
      </c>
      <c r="E1601" s="142">
        <f>B1601*IBGE_2!E$1601/100</f>
        <v>21.9</v>
      </c>
      <c r="F1601" s="142">
        <f>B1601*IBGE_2!F$1601/100</f>
        <v>10.5</v>
      </c>
      <c r="G1601" s="142">
        <f>B1601*IBGE_2!G$1601/100</f>
        <v>8.3000000000000007</v>
      </c>
      <c r="H1601" s="142">
        <f>B1601*IBGE_2!H$1601/100</f>
        <v>0.4</v>
      </c>
      <c r="I1601" s="142">
        <f>B1601*IBGE_2!I$1601/100</f>
        <v>0.24</v>
      </c>
      <c r="J1601" s="142">
        <f>B1601*IBGE_2!J$1601/100</f>
        <v>0.08</v>
      </c>
      <c r="K1601" s="142">
        <f>B1601*IBGE_2!K$1601/100</f>
        <v>100</v>
      </c>
      <c r="L1601" s="142" t="s">
        <v>3047</v>
      </c>
      <c r="M1601" s="142" t="s">
        <v>3047</v>
      </c>
      <c r="N1601" s="142">
        <f>B1601*IBGE_2!N$1601/100</f>
        <v>13</v>
      </c>
      <c r="O1601" s="142">
        <f>B1601*IBGE_2!O$1601/100</f>
        <v>12</v>
      </c>
      <c r="P1601" s="142">
        <f>B1601*IBGE_2!P$1601/100</f>
        <v>0.02</v>
      </c>
      <c r="Q1601" s="142">
        <f>B1601*IBGE_2!Q$1601/100</f>
        <v>82</v>
      </c>
      <c r="R1601" s="142">
        <f>B1601*IBGE_2!R$1601/100</f>
        <v>1.9</v>
      </c>
      <c r="S1601" s="142">
        <f>B1601*IBGE_2!S$1601/100</f>
        <v>1943</v>
      </c>
      <c r="T1601" s="142">
        <f>B1601*IBGE_2!T$1601/100</f>
        <v>86</v>
      </c>
      <c r="U1601" s="142">
        <f>B1601*IBGE_2!U$1601/100</f>
        <v>0.03</v>
      </c>
      <c r="V1601" s="142">
        <f>B1601*IBGE_2!V$1601/100</f>
        <v>7.7</v>
      </c>
      <c r="W1601" s="142" t="s">
        <v>3047</v>
      </c>
      <c r="X1601" s="142" t="s">
        <v>3047</v>
      </c>
      <c r="Y1601" s="142">
        <f>B1601*IBGE_2!Y$1601/100</f>
        <v>0.06</v>
      </c>
      <c r="Z1601" s="142" t="s">
        <v>3047</v>
      </c>
      <c r="AA1601" s="142" t="s">
        <v>3047</v>
      </c>
      <c r="AB1601" s="142" t="s">
        <v>3047</v>
      </c>
      <c r="AC1601" s="142" t="s">
        <v>3047</v>
      </c>
      <c r="AD1601" s="142" t="s">
        <v>3047</v>
      </c>
      <c r="AE1601" s="142" t="s">
        <v>3047</v>
      </c>
      <c r="AF1601" s="142" t="s">
        <v>3047</v>
      </c>
      <c r="AG1601" s="142" t="s">
        <v>3047</v>
      </c>
      <c r="AH1601" s="142">
        <f>B1601*IBGE_2!AH$1601/100</f>
        <v>0.93</v>
      </c>
      <c r="AI1601" s="142" t="s">
        <v>3047</v>
      </c>
      <c r="AJ1601" s="142" t="s">
        <v>3047</v>
      </c>
      <c r="AK1601" s="142" t="s">
        <v>3047</v>
      </c>
      <c r="AL1601" s="142" t="s">
        <v>3047</v>
      </c>
      <c r="AM1601" s="142" t="s">
        <v>3047</v>
      </c>
      <c r="AN1601" s="161"/>
    </row>
    <row r="1602" spans="1:40">
      <c r="A1602" s="143" t="s">
        <v>2662</v>
      </c>
      <c r="B1602" s="141">
        <v>100</v>
      </c>
      <c r="C1602" s="142">
        <f>B1602*IBGE_2!C$1602/100</f>
        <v>313</v>
      </c>
      <c r="D1602" s="142">
        <f>B1602*IBGE_2!D$1602/100</f>
        <v>26.9</v>
      </c>
      <c r="E1602" s="142">
        <f>B1602*IBGE_2!E$1602/100</f>
        <v>21.9</v>
      </c>
      <c r="F1602" s="142">
        <f>B1602*IBGE_2!F$1602/100</f>
        <v>10.5</v>
      </c>
      <c r="G1602" s="142">
        <f>B1602*IBGE_2!G$1602/100</f>
        <v>8.3000000000000007</v>
      </c>
      <c r="H1602" s="142">
        <f>B1602*IBGE_2!H$1602/100</f>
        <v>0.4</v>
      </c>
      <c r="I1602" s="142">
        <f>B1602*IBGE_2!I$1602/100</f>
        <v>0.24</v>
      </c>
      <c r="J1602" s="142">
        <f>B1602*IBGE_2!J$1602/100</f>
        <v>0.08</v>
      </c>
      <c r="K1602" s="142">
        <f>B1602*IBGE_2!K$1602/100</f>
        <v>100</v>
      </c>
      <c r="L1602" s="142" t="s">
        <v>3047</v>
      </c>
      <c r="M1602" s="142" t="s">
        <v>3047</v>
      </c>
      <c r="N1602" s="142">
        <f>B1602*IBGE_2!N$1602/100</f>
        <v>13</v>
      </c>
      <c r="O1602" s="142">
        <f>B1602*IBGE_2!O$1602/100</f>
        <v>12</v>
      </c>
      <c r="P1602" s="142">
        <f>B1602*IBGE_2!P$1602/100</f>
        <v>0.02</v>
      </c>
      <c r="Q1602" s="142">
        <f>B1602*IBGE_2!Q$1602/100</f>
        <v>82</v>
      </c>
      <c r="R1602" s="142">
        <f>B1602*IBGE_2!R$1602/100</f>
        <v>1.9</v>
      </c>
      <c r="S1602" s="142">
        <f>B1602*IBGE_2!S$1602/100</f>
        <v>1943</v>
      </c>
      <c r="T1602" s="142">
        <f>B1602*IBGE_2!T$1602/100</f>
        <v>86</v>
      </c>
      <c r="U1602" s="142">
        <f>B1602*IBGE_2!U$1602/100</f>
        <v>0.03</v>
      </c>
      <c r="V1602" s="142">
        <f>B1602*IBGE_2!V$1602/100</f>
        <v>7.7</v>
      </c>
      <c r="W1602" s="142" t="s">
        <v>3047</v>
      </c>
      <c r="X1602" s="142" t="s">
        <v>3047</v>
      </c>
      <c r="Y1602" s="142">
        <f>B1602*IBGE_2!Y$1602/100</f>
        <v>0.06</v>
      </c>
      <c r="Z1602" s="142" t="s">
        <v>3047</v>
      </c>
      <c r="AA1602" s="142" t="s">
        <v>3047</v>
      </c>
      <c r="AB1602" s="142" t="s">
        <v>3047</v>
      </c>
      <c r="AC1602" s="142" t="s">
        <v>3047</v>
      </c>
      <c r="AD1602" s="142" t="s">
        <v>3047</v>
      </c>
      <c r="AE1602" s="142" t="s">
        <v>3047</v>
      </c>
      <c r="AF1602" s="142" t="s">
        <v>3047</v>
      </c>
      <c r="AG1602" s="142" t="s">
        <v>3047</v>
      </c>
      <c r="AH1602" s="142">
        <f>B1602*IBGE_2!AH$1602/100</f>
        <v>0.93</v>
      </c>
      <c r="AI1602" s="142" t="s">
        <v>3047</v>
      </c>
      <c r="AJ1602" s="142" t="s">
        <v>3047</v>
      </c>
      <c r="AK1602" s="142" t="s">
        <v>3047</v>
      </c>
      <c r="AL1602" s="142" t="s">
        <v>3047</v>
      </c>
      <c r="AM1602" s="142" t="s">
        <v>3047</v>
      </c>
      <c r="AN1602" s="161"/>
    </row>
    <row r="1603" spans="1:40">
      <c r="A1603" s="143" t="s">
        <v>2663</v>
      </c>
      <c r="B1603" s="141">
        <v>100</v>
      </c>
      <c r="C1603" s="142">
        <f>B1603*IBGE_2!C$1603/100</f>
        <v>313</v>
      </c>
      <c r="D1603" s="142">
        <f>B1603*IBGE_2!D$1603/100</f>
        <v>26.9</v>
      </c>
      <c r="E1603" s="142">
        <f>B1603*IBGE_2!E$1603/100</f>
        <v>21.9</v>
      </c>
      <c r="F1603" s="142">
        <f>B1603*IBGE_2!F$1603/100</f>
        <v>10.5</v>
      </c>
      <c r="G1603" s="142">
        <f>B1603*IBGE_2!G$1603/100</f>
        <v>8.3000000000000007</v>
      </c>
      <c r="H1603" s="142">
        <f>B1603*IBGE_2!H$1603/100</f>
        <v>0.4</v>
      </c>
      <c r="I1603" s="142">
        <f>B1603*IBGE_2!I$1603/100</f>
        <v>0.24</v>
      </c>
      <c r="J1603" s="142">
        <f>B1603*IBGE_2!J$1603/100</f>
        <v>0.08</v>
      </c>
      <c r="K1603" s="142">
        <f>B1603*IBGE_2!K$1603/100</f>
        <v>100</v>
      </c>
      <c r="L1603" s="142" t="s">
        <v>3047</v>
      </c>
      <c r="M1603" s="142" t="s">
        <v>3047</v>
      </c>
      <c r="N1603" s="142">
        <f>B1603*IBGE_2!N$1603/100</f>
        <v>13</v>
      </c>
      <c r="O1603" s="142">
        <f>B1603*IBGE_2!O$1603/100</f>
        <v>12</v>
      </c>
      <c r="P1603" s="142">
        <f>B1603*IBGE_2!P$1603/100</f>
        <v>0.02</v>
      </c>
      <c r="Q1603" s="142">
        <f>B1603*IBGE_2!Q$1603/100</f>
        <v>82</v>
      </c>
      <c r="R1603" s="142">
        <f>B1603*IBGE_2!R$1603/100</f>
        <v>1.9</v>
      </c>
      <c r="S1603" s="142">
        <f>B1603*IBGE_2!S$1603/100</f>
        <v>1943</v>
      </c>
      <c r="T1603" s="142">
        <f>B1603*IBGE_2!T$1603/100</f>
        <v>86</v>
      </c>
      <c r="U1603" s="142">
        <f>B1603*IBGE_2!U$1603/100</f>
        <v>0.03</v>
      </c>
      <c r="V1603" s="142">
        <f>B1603*IBGE_2!V$1603/100</f>
        <v>7.7</v>
      </c>
      <c r="W1603" s="142" t="s">
        <v>3047</v>
      </c>
      <c r="X1603" s="142" t="s">
        <v>3047</v>
      </c>
      <c r="Y1603" s="142">
        <f>B1603*IBGE_2!Y$1603/100</f>
        <v>0.06</v>
      </c>
      <c r="Z1603" s="142" t="s">
        <v>3047</v>
      </c>
      <c r="AA1603" s="142" t="s">
        <v>3047</v>
      </c>
      <c r="AB1603" s="142" t="s">
        <v>3047</v>
      </c>
      <c r="AC1603" s="142" t="s">
        <v>3047</v>
      </c>
      <c r="AD1603" s="142" t="s">
        <v>3047</v>
      </c>
      <c r="AE1603" s="142" t="s">
        <v>3047</v>
      </c>
      <c r="AF1603" s="142" t="s">
        <v>3047</v>
      </c>
      <c r="AG1603" s="142" t="s">
        <v>3047</v>
      </c>
      <c r="AH1603" s="142">
        <f>B1603*IBGE_2!AH$1603/100</f>
        <v>0.93</v>
      </c>
      <c r="AI1603" s="142" t="s">
        <v>3047</v>
      </c>
      <c r="AJ1603" s="142" t="s">
        <v>3047</v>
      </c>
      <c r="AK1603" s="142" t="s">
        <v>3047</v>
      </c>
      <c r="AL1603" s="142" t="s">
        <v>3047</v>
      </c>
      <c r="AM1603" s="142" t="s">
        <v>3047</v>
      </c>
      <c r="AN1603" s="161"/>
    </row>
    <row r="1604" spans="1:40">
      <c r="A1604" s="143" t="s">
        <v>2664</v>
      </c>
      <c r="B1604" s="141">
        <v>100</v>
      </c>
      <c r="C1604" s="142">
        <f>B1604*IBGE_2!C$1604/100</f>
        <v>313</v>
      </c>
      <c r="D1604" s="142">
        <f>B1604*IBGE_2!D$1604/100</f>
        <v>26.9</v>
      </c>
      <c r="E1604" s="142">
        <f>B1604*IBGE_2!E$1604/100</f>
        <v>21.9</v>
      </c>
      <c r="F1604" s="142">
        <f>B1604*IBGE_2!F$1604/100</f>
        <v>10.5</v>
      </c>
      <c r="G1604" s="142">
        <f>B1604*IBGE_2!G$1604/100</f>
        <v>8.3000000000000007</v>
      </c>
      <c r="H1604" s="142">
        <f>B1604*IBGE_2!H$1604/100</f>
        <v>0.4</v>
      </c>
      <c r="I1604" s="142">
        <f>B1604*IBGE_2!I$1604/100</f>
        <v>0.24</v>
      </c>
      <c r="J1604" s="142">
        <f>B1604*IBGE_2!J$1604/100</f>
        <v>0.08</v>
      </c>
      <c r="K1604" s="142">
        <f>B1604*IBGE_2!K$1604/100</f>
        <v>100</v>
      </c>
      <c r="L1604" s="142" t="s">
        <v>3047</v>
      </c>
      <c r="M1604" s="142" t="s">
        <v>3047</v>
      </c>
      <c r="N1604" s="142">
        <f>B1604*IBGE_2!N$1604/100</f>
        <v>13</v>
      </c>
      <c r="O1604" s="142">
        <f>B1604*IBGE_2!O$1604/100</f>
        <v>12</v>
      </c>
      <c r="P1604" s="142">
        <f>B1604*IBGE_2!P$1604/100</f>
        <v>0.02</v>
      </c>
      <c r="Q1604" s="142">
        <f>B1604*IBGE_2!Q$1604/100</f>
        <v>82</v>
      </c>
      <c r="R1604" s="142">
        <f>B1604*IBGE_2!R$1604/100</f>
        <v>1.9</v>
      </c>
      <c r="S1604" s="142">
        <f>B1604*IBGE_2!S$1604/100</f>
        <v>1943</v>
      </c>
      <c r="T1604" s="142">
        <f>B1604*IBGE_2!T$1604/100</f>
        <v>86</v>
      </c>
      <c r="U1604" s="142">
        <f>B1604*IBGE_2!U$1604/100</f>
        <v>0.03</v>
      </c>
      <c r="V1604" s="142">
        <f>B1604*IBGE_2!V$1604/100</f>
        <v>7.7</v>
      </c>
      <c r="W1604" s="142" t="s">
        <v>3047</v>
      </c>
      <c r="X1604" s="142" t="s">
        <v>3047</v>
      </c>
      <c r="Y1604" s="142">
        <f>B1604*IBGE_2!Y$1604/100</f>
        <v>0.06</v>
      </c>
      <c r="Z1604" s="142" t="s">
        <v>3047</v>
      </c>
      <c r="AA1604" s="142" t="s">
        <v>3047</v>
      </c>
      <c r="AB1604" s="142" t="s">
        <v>3047</v>
      </c>
      <c r="AC1604" s="142" t="s">
        <v>3047</v>
      </c>
      <c r="AD1604" s="142" t="s">
        <v>3047</v>
      </c>
      <c r="AE1604" s="142" t="s">
        <v>3047</v>
      </c>
      <c r="AF1604" s="142" t="s">
        <v>3047</v>
      </c>
      <c r="AG1604" s="142" t="s">
        <v>3047</v>
      </c>
      <c r="AH1604" s="142">
        <f>B1604*IBGE_2!AH$1604/100</f>
        <v>0.93</v>
      </c>
      <c r="AI1604" s="142" t="s">
        <v>3047</v>
      </c>
      <c r="AJ1604" s="142" t="s">
        <v>3047</v>
      </c>
      <c r="AK1604" s="142" t="s">
        <v>3047</v>
      </c>
      <c r="AL1604" s="142" t="s">
        <v>3047</v>
      </c>
      <c r="AM1604" s="142" t="s">
        <v>3047</v>
      </c>
      <c r="AN1604" s="161"/>
    </row>
    <row r="1605" spans="1:40">
      <c r="A1605" s="143" t="s">
        <v>2665</v>
      </c>
      <c r="B1605" s="141">
        <v>100</v>
      </c>
      <c r="C1605" s="142">
        <f>B1605*IBGE_2!C$1605/100</f>
        <v>347.00403999999997</v>
      </c>
      <c r="D1605" s="142">
        <f>B1605*IBGE_2!D$1605/100</f>
        <v>25.285999999999998</v>
      </c>
      <c r="E1605" s="142">
        <f>B1605*IBGE_2!E$1605/100</f>
        <v>26.557019999999998</v>
      </c>
      <c r="F1605" s="142">
        <f>B1605*IBGE_2!F$1605/100</f>
        <v>10.80444</v>
      </c>
      <c r="G1605" s="142">
        <f>B1605*IBGE_2!G$1605/100</f>
        <v>9.1623800000000006</v>
      </c>
      <c r="H1605" s="142">
        <f>B1605*IBGE_2!H$1605/100</f>
        <v>3.8236599999999998</v>
      </c>
      <c r="I1605" s="142">
        <f>B1605*IBGE_2!I$1605/100</f>
        <v>3.26796</v>
      </c>
      <c r="J1605" s="142">
        <f>B1605*IBGE_2!J$1605/100</f>
        <v>0.48055999999999999</v>
      </c>
      <c r="K1605" s="142">
        <f>B1605*IBGE_2!K$1605/100</f>
        <v>94</v>
      </c>
      <c r="L1605" s="142" t="s">
        <v>3047</v>
      </c>
      <c r="M1605" s="142" t="s">
        <v>3047</v>
      </c>
      <c r="N1605" s="142">
        <f>B1605*IBGE_2!N$1605/100</f>
        <v>12.22</v>
      </c>
      <c r="O1605" s="142">
        <f>B1605*IBGE_2!O$1605/100</f>
        <v>11.28</v>
      </c>
      <c r="P1605" s="142">
        <f>B1605*IBGE_2!P$1605/100</f>
        <v>1.8800000000000001E-2</v>
      </c>
      <c r="Q1605" s="142">
        <f>B1605*IBGE_2!Q$1605/100</f>
        <v>77.08</v>
      </c>
      <c r="R1605" s="142">
        <f>B1605*IBGE_2!R$1605/100</f>
        <v>1.7889999999999997</v>
      </c>
      <c r="S1605" s="142">
        <f>B1605*IBGE_2!S$1605/100</f>
        <v>1826.42</v>
      </c>
      <c r="T1605" s="142">
        <f>B1605*IBGE_2!T$1605/100</f>
        <v>80.84</v>
      </c>
      <c r="U1605" s="142">
        <f>B1605*IBGE_2!U$1605/100</f>
        <v>2.8199999999999992E-2</v>
      </c>
      <c r="V1605" s="142">
        <f>B1605*IBGE_2!V$1605/100</f>
        <v>7.2385999999999999</v>
      </c>
      <c r="W1605" s="142" t="s">
        <v>3047</v>
      </c>
      <c r="X1605" s="142" t="s">
        <v>3047</v>
      </c>
      <c r="Y1605" s="142">
        <f>B1605*IBGE_2!Y$1605/100</f>
        <v>5.6399999999999985E-2</v>
      </c>
      <c r="Z1605" s="142" t="s">
        <v>3047</v>
      </c>
      <c r="AA1605" s="142" t="s">
        <v>3047</v>
      </c>
      <c r="AB1605" s="142" t="s">
        <v>3047</v>
      </c>
      <c r="AC1605" s="142" t="s">
        <v>3047</v>
      </c>
      <c r="AD1605" s="142" t="s">
        <v>3047</v>
      </c>
      <c r="AE1605" s="142" t="s">
        <v>3047</v>
      </c>
      <c r="AF1605" s="142" t="s">
        <v>3047</v>
      </c>
      <c r="AG1605" s="142">
        <f>B1605*IBGE_2!AG$1605/100</f>
        <v>0.48846000000000006</v>
      </c>
      <c r="AH1605" s="142">
        <f>B1605*IBGE_2!AH$1605/100</f>
        <v>3.1800000000000002E-2</v>
      </c>
      <c r="AI1605" s="142" t="s">
        <v>3047</v>
      </c>
      <c r="AJ1605" s="142">
        <f>B1605*IBGE_2!AJ$1605/100</f>
        <v>2.7365399999999998</v>
      </c>
      <c r="AK1605" s="142" t="s">
        <v>3047</v>
      </c>
      <c r="AL1605" s="142" t="s">
        <v>3047</v>
      </c>
      <c r="AM1605" s="142" t="s">
        <v>3047</v>
      </c>
      <c r="AN1605" s="161"/>
    </row>
    <row r="1606" spans="1:40">
      <c r="A1606" s="143" t="s">
        <v>2666</v>
      </c>
      <c r="B1606" s="141">
        <v>100</v>
      </c>
      <c r="C1606" s="142">
        <f>B1606*IBGE_2!C$1606/100</f>
        <v>347.00403999999997</v>
      </c>
      <c r="D1606" s="142">
        <f>B1606*IBGE_2!D$1606/100</f>
        <v>25.285999999999998</v>
      </c>
      <c r="E1606" s="142">
        <f>B1606*IBGE_2!E$1606/100</f>
        <v>26.557019999999998</v>
      </c>
      <c r="F1606" s="142">
        <f>B1606*IBGE_2!F$1606/100</f>
        <v>10.80444</v>
      </c>
      <c r="G1606" s="142">
        <f>B1606*IBGE_2!G$1606/100</f>
        <v>9.1623800000000006</v>
      </c>
      <c r="H1606" s="142">
        <f>B1606*IBGE_2!H$1606/100</f>
        <v>3.8236599999999998</v>
      </c>
      <c r="I1606" s="142">
        <f>B1606*IBGE_2!I$1606/100</f>
        <v>3.26796</v>
      </c>
      <c r="J1606" s="142">
        <f>B1606*IBGE_2!J$1606/100</f>
        <v>0.48055999999999999</v>
      </c>
      <c r="K1606" s="142">
        <f>B1606*IBGE_2!K$1606/100</f>
        <v>94</v>
      </c>
      <c r="L1606" s="142" t="s">
        <v>3047</v>
      </c>
      <c r="M1606" s="142" t="s">
        <v>3047</v>
      </c>
      <c r="N1606" s="142">
        <f>B1606*IBGE_2!N$1606/100</f>
        <v>12.22</v>
      </c>
      <c r="O1606" s="142">
        <f>B1606*IBGE_2!O$1606/100</f>
        <v>11.28</v>
      </c>
      <c r="P1606" s="142">
        <f>B1606*IBGE_2!P$1606/100</f>
        <v>1.8800000000000001E-2</v>
      </c>
      <c r="Q1606" s="142">
        <f>B1606*IBGE_2!Q$1606/100</f>
        <v>77.08</v>
      </c>
      <c r="R1606" s="142">
        <f>B1606*IBGE_2!R$1606/100</f>
        <v>1.7889999999999997</v>
      </c>
      <c r="S1606" s="142">
        <f>B1606*IBGE_2!S$1606/100</f>
        <v>1826.42</v>
      </c>
      <c r="T1606" s="142">
        <f>B1606*IBGE_2!T$1606/100</f>
        <v>80.84</v>
      </c>
      <c r="U1606" s="142">
        <f>B1606*IBGE_2!U$1606/100</f>
        <v>2.8199999999999992E-2</v>
      </c>
      <c r="V1606" s="142">
        <f>B1606*IBGE_2!V$1606/100</f>
        <v>7.2385999999999999</v>
      </c>
      <c r="W1606" s="142" t="s">
        <v>3047</v>
      </c>
      <c r="X1606" s="142" t="s">
        <v>3047</v>
      </c>
      <c r="Y1606" s="142">
        <f>B1606*IBGE_2!Y$1606/100</f>
        <v>5.6399999999999985E-2</v>
      </c>
      <c r="Z1606" s="142" t="s">
        <v>3047</v>
      </c>
      <c r="AA1606" s="142" t="s">
        <v>3047</v>
      </c>
      <c r="AB1606" s="142" t="s">
        <v>3047</v>
      </c>
      <c r="AC1606" s="142" t="s">
        <v>3047</v>
      </c>
      <c r="AD1606" s="142" t="s">
        <v>3047</v>
      </c>
      <c r="AE1606" s="142" t="s">
        <v>3047</v>
      </c>
      <c r="AF1606" s="142" t="s">
        <v>3047</v>
      </c>
      <c r="AG1606" s="142">
        <f>B1606*IBGE_2!AG$1606/100</f>
        <v>0.48846000000000006</v>
      </c>
      <c r="AH1606" s="142">
        <f>B1606*IBGE_2!AH$1606/100</f>
        <v>3.1800000000000002E-2</v>
      </c>
      <c r="AI1606" s="142" t="s">
        <v>3047</v>
      </c>
      <c r="AJ1606" s="142">
        <f>B1606*IBGE_2!AJ$1606/100</f>
        <v>2.7365399999999998</v>
      </c>
      <c r="AK1606" s="142" t="s">
        <v>3047</v>
      </c>
      <c r="AL1606" s="142" t="s">
        <v>3047</v>
      </c>
      <c r="AM1606" s="142" t="s">
        <v>3047</v>
      </c>
      <c r="AN1606" s="161"/>
    </row>
    <row r="1607" spans="1:40">
      <c r="A1607" s="143" t="s">
        <v>2667</v>
      </c>
      <c r="B1607" s="141">
        <v>100</v>
      </c>
      <c r="C1607" s="142">
        <f>B1607*IBGE_2!C$1607/100</f>
        <v>255.2</v>
      </c>
      <c r="D1607" s="142">
        <f>B1607*IBGE_2!D$1607/100</f>
        <v>21.784000000000002</v>
      </c>
      <c r="E1607" s="142">
        <f>B1607*IBGE_2!E$1607/100</f>
        <v>17.556000000000001</v>
      </c>
      <c r="F1607" s="142">
        <f>B1607*IBGE_2!F$1607/100</f>
        <v>8.4060000000000006</v>
      </c>
      <c r="G1607" s="142">
        <f>B1607*IBGE_2!G$1607/100</f>
        <v>6.6460000000000017</v>
      </c>
      <c r="H1607" s="142">
        <f>B1607*IBGE_2!H$1607/100</f>
        <v>0.33400000000000007</v>
      </c>
      <c r="I1607" s="142">
        <f>B1607*IBGE_2!I$1607/100</f>
        <v>0.20600000000000002</v>
      </c>
      <c r="J1607" s="142">
        <f>B1607*IBGE_2!J$1607/100</f>
        <v>6.4000000000000001E-2</v>
      </c>
      <c r="K1607" s="142">
        <f>B1607*IBGE_2!K$1607/100</f>
        <v>80</v>
      </c>
      <c r="L1607" s="142">
        <f>B1607*IBGE_2!L$1607/100</f>
        <v>1.0760000000000001</v>
      </c>
      <c r="M1607" s="142">
        <f>B1607*IBGE_2!M$1607/100</f>
        <v>0.3</v>
      </c>
      <c r="N1607" s="142">
        <f>B1607*IBGE_2!N$1607/100</f>
        <v>13</v>
      </c>
      <c r="O1607" s="142">
        <f>B1607*IBGE_2!O$1607/100</f>
        <v>12.8</v>
      </c>
      <c r="P1607" s="142">
        <f>B1607*IBGE_2!P$1607/100</f>
        <v>3.8000000000000006E-2</v>
      </c>
      <c r="Q1607" s="142">
        <f>B1607*IBGE_2!Q$1607/100</f>
        <v>70.8</v>
      </c>
      <c r="R1607" s="142">
        <f>B1607*IBGE_2!R$1607/100</f>
        <v>1.724</v>
      </c>
      <c r="S1607" s="142">
        <f>B1607*IBGE_2!S$1607/100</f>
        <v>1659.2</v>
      </c>
      <c r="T1607" s="142">
        <f>B1607*IBGE_2!T$1607/100</f>
        <v>135</v>
      </c>
      <c r="U1607" s="142">
        <f>B1607*IBGE_2!U$1607/100</f>
        <v>4.8000000000000001E-2</v>
      </c>
      <c r="V1607" s="142">
        <f>B1607*IBGE_2!V$1607/100</f>
        <v>6.2</v>
      </c>
      <c r="W1607" s="142" t="s">
        <v>3047</v>
      </c>
      <c r="X1607" s="142">
        <f>B1607*IBGE_2!X$1607/100</f>
        <v>4.0000000000000001E-3</v>
      </c>
      <c r="Y1607" s="142">
        <f>B1607*IBGE_2!Y$1607/100</f>
        <v>6.2E-2</v>
      </c>
      <c r="Z1607" s="142">
        <f>B1607*IBGE_2!Z$1607/100</f>
        <v>0.02</v>
      </c>
      <c r="AA1607" s="142">
        <f>B1607*IBGE_2!AA$1607/100</f>
        <v>0.19600000000000001</v>
      </c>
      <c r="AB1607" s="142">
        <f>B1607*IBGE_2!AB$1607/100</f>
        <v>1.4</v>
      </c>
      <c r="AC1607" s="142">
        <f>B1607*IBGE_2!AC$1607/100</f>
        <v>0.22799999999999998</v>
      </c>
      <c r="AD1607" s="142" t="s">
        <v>3047</v>
      </c>
      <c r="AE1607" s="142">
        <f>B1607*IBGE_2!AE$1607/100</f>
        <v>2.2000000000000002</v>
      </c>
      <c r="AF1607" s="142" t="s">
        <v>3047</v>
      </c>
      <c r="AG1607" s="142">
        <f>B1607*IBGE_2!AG$1607/100</f>
        <v>0.28399999999999997</v>
      </c>
      <c r="AH1607" s="145" t="s">
        <v>3047</v>
      </c>
      <c r="AI1607" s="142" t="s">
        <v>3047</v>
      </c>
      <c r="AJ1607" s="142">
        <f>B1607*IBGE_2!AJ$1607/100</f>
        <v>0.04</v>
      </c>
      <c r="AK1607" s="142">
        <f>B1607*IBGE_2!AK$1607/100</f>
        <v>3.4840000000000004</v>
      </c>
      <c r="AL1607" s="142">
        <f>B1607*IBGE_2!AL$1607/100</f>
        <v>0.85</v>
      </c>
      <c r="AM1607" s="142" t="s">
        <v>3047</v>
      </c>
      <c r="AN1607" s="161"/>
    </row>
    <row r="1608" spans="1:40">
      <c r="A1608" s="143" t="s">
        <v>2668</v>
      </c>
      <c r="B1608" s="141">
        <v>100</v>
      </c>
      <c r="C1608" s="142">
        <f>B1608*IBGE_2!C$1608/100</f>
        <v>347.00403999999997</v>
      </c>
      <c r="D1608" s="142">
        <f>B1608*IBGE_2!D$1608/100</f>
        <v>25.285999999999998</v>
      </c>
      <c r="E1608" s="142">
        <f>B1608*IBGE_2!E$1608/100</f>
        <v>26.557019999999998</v>
      </c>
      <c r="F1608" s="142">
        <f>B1608*IBGE_2!F$1608/100</f>
        <v>10.80444</v>
      </c>
      <c r="G1608" s="142">
        <f>B1608*IBGE_2!G$1608/100</f>
        <v>9.1623800000000006</v>
      </c>
      <c r="H1608" s="142">
        <f>B1608*IBGE_2!H$1608/100</f>
        <v>3.8236599999999998</v>
      </c>
      <c r="I1608" s="142">
        <f>B1608*IBGE_2!I$1608/100</f>
        <v>3.26796</v>
      </c>
      <c r="J1608" s="142">
        <f>B1608*IBGE_2!J$1608/100</f>
        <v>0.48055999999999999</v>
      </c>
      <c r="K1608" s="142">
        <f>B1608*IBGE_2!K$1608/100</f>
        <v>94</v>
      </c>
      <c r="L1608" s="142" t="s">
        <v>3047</v>
      </c>
      <c r="M1608" s="142" t="s">
        <v>3047</v>
      </c>
      <c r="N1608" s="142">
        <f>B1608*IBGE_2!N$1608/100</f>
        <v>12.22</v>
      </c>
      <c r="O1608" s="142">
        <f>B1608*IBGE_2!O$1608/100</f>
        <v>11.28</v>
      </c>
      <c r="P1608" s="142">
        <f>B1608*IBGE_2!P$1608/100</f>
        <v>1.8800000000000001E-2</v>
      </c>
      <c r="Q1608" s="142">
        <f>B1608*IBGE_2!Q$1608/100</f>
        <v>77.08</v>
      </c>
      <c r="R1608" s="142">
        <f>B1608*IBGE_2!R$1608/100</f>
        <v>1.7889999999999997</v>
      </c>
      <c r="S1608" s="142">
        <f>B1608*IBGE_2!S$1608/100</f>
        <v>1826.42</v>
      </c>
      <c r="T1608" s="142">
        <f>B1608*IBGE_2!T$1608/100</f>
        <v>80.84</v>
      </c>
      <c r="U1608" s="142">
        <f>B1608*IBGE_2!U$1608/100</f>
        <v>2.8199999999999992E-2</v>
      </c>
      <c r="V1608" s="142">
        <f>B1608*IBGE_2!V$1608/100</f>
        <v>7.2385999999999999</v>
      </c>
      <c r="W1608" s="142" t="s">
        <v>3047</v>
      </c>
      <c r="X1608" s="142" t="s">
        <v>3047</v>
      </c>
      <c r="Y1608" s="142">
        <f>B1608*IBGE_2!Y$1608/100</f>
        <v>5.6399999999999985E-2</v>
      </c>
      <c r="Z1608" s="142" t="s">
        <v>3047</v>
      </c>
      <c r="AA1608" s="142" t="s">
        <v>3047</v>
      </c>
      <c r="AB1608" s="142" t="s">
        <v>3047</v>
      </c>
      <c r="AC1608" s="142" t="s">
        <v>3047</v>
      </c>
      <c r="AD1608" s="142" t="s">
        <v>3047</v>
      </c>
      <c r="AE1608" s="142" t="s">
        <v>3047</v>
      </c>
      <c r="AF1608" s="142" t="s">
        <v>3047</v>
      </c>
      <c r="AG1608" s="142">
        <f>B1608*IBGE_2!AG$1608/100</f>
        <v>0.48846000000000006</v>
      </c>
      <c r="AH1608" s="142">
        <f>B1608*IBGE_2!AH$1608/100</f>
        <v>3.1800000000000002E-2</v>
      </c>
      <c r="AI1608" s="142" t="s">
        <v>3047</v>
      </c>
      <c r="AJ1608" s="142">
        <f>B1608*IBGE_2!AJ$1608/100</f>
        <v>2.7365399999999998</v>
      </c>
      <c r="AK1608" s="142" t="s">
        <v>3047</v>
      </c>
      <c r="AL1608" s="142" t="s">
        <v>3047</v>
      </c>
      <c r="AM1608" s="142" t="s">
        <v>3047</v>
      </c>
      <c r="AN1608" s="161"/>
    </row>
    <row r="1609" spans="1:40">
      <c r="A1609" s="143" t="s">
        <v>2669</v>
      </c>
      <c r="B1609" s="141">
        <v>100</v>
      </c>
      <c r="C1609" s="142">
        <f>B1609*IBGE_2!C$1609/100</f>
        <v>313</v>
      </c>
      <c r="D1609" s="142">
        <f>B1609*IBGE_2!D$1609/100</f>
        <v>26.9</v>
      </c>
      <c r="E1609" s="142">
        <f>B1609*IBGE_2!E$1609/100</f>
        <v>21.9</v>
      </c>
      <c r="F1609" s="142">
        <f>B1609*IBGE_2!F$1609/100</f>
        <v>10.5</v>
      </c>
      <c r="G1609" s="142">
        <f>B1609*IBGE_2!G$1609/100</f>
        <v>8.3000000000000007</v>
      </c>
      <c r="H1609" s="142">
        <f>B1609*IBGE_2!H$1609/100</f>
        <v>0.4</v>
      </c>
      <c r="I1609" s="142">
        <f>B1609*IBGE_2!I$1609/100</f>
        <v>0.24</v>
      </c>
      <c r="J1609" s="142">
        <f>B1609*IBGE_2!J$1609/100</f>
        <v>0.08</v>
      </c>
      <c r="K1609" s="142">
        <f>B1609*IBGE_2!K$1609/100</f>
        <v>100</v>
      </c>
      <c r="L1609" s="142" t="s">
        <v>3047</v>
      </c>
      <c r="M1609" s="142" t="s">
        <v>3047</v>
      </c>
      <c r="N1609" s="142">
        <f>B1609*IBGE_2!N$1609/100</f>
        <v>13</v>
      </c>
      <c r="O1609" s="142">
        <f>B1609*IBGE_2!O$1609/100</f>
        <v>12</v>
      </c>
      <c r="P1609" s="142">
        <f>B1609*IBGE_2!P$1609/100</f>
        <v>0.02</v>
      </c>
      <c r="Q1609" s="142">
        <f>B1609*IBGE_2!Q$1609/100</f>
        <v>82</v>
      </c>
      <c r="R1609" s="142">
        <f>B1609*IBGE_2!R$1609/100</f>
        <v>1.9</v>
      </c>
      <c r="S1609" s="142">
        <f>B1609*IBGE_2!S$1609/100</f>
        <v>1943</v>
      </c>
      <c r="T1609" s="142">
        <f>B1609*IBGE_2!T$1609/100</f>
        <v>86</v>
      </c>
      <c r="U1609" s="142">
        <f>B1609*IBGE_2!U$1609/100</f>
        <v>0.03</v>
      </c>
      <c r="V1609" s="142">
        <f>B1609*IBGE_2!V$1609/100</f>
        <v>7.7</v>
      </c>
      <c r="W1609" s="142" t="s">
        <v>3047</v>
      </c>
      <c r="X1609" s="142" t="s">
        <v>3047</v>
      </c>
      <c r="Y1609" s="142">
        <f>B1609*IBGE_2!Y$1609/100</f>
        <v>0.06</v>
      </c>
      <c r="Z1609" s="142" t="s">
        <v>3047</v>
      </c>
      <c r="AA1609" s="142" t="s">
        <v>3047</v>
      </c>
      <c r="AB1609" s="142" t="s">
        <v>3047</v>
      </c>
      <c r="AC1609" s="142" t="s">
        <v>3047</v>
      </c>
      <c r="AD1609" s="142" t="s">
        <v>3047</v>
      </c>
      <c r="AE1609" s="142" t="s">
        <v>3047</v>
      </c>
      <c r="AF1609" s="142" t="s">
        <v>3047</v>
      </c>
      <c r="AG1609" s="145" t="s">
        <v>3047</v>
      </c>
      <c r="AH1609" s="142">
        <f>B1609*IBGE_2!AH$1609/100</f>
        <v>0.93</v>
      </c>
      <c r="AI1609" s="142" t="s">
        <v>3047</v>
      </c>
      <c r="AJ1609" s="145" t="s">
        <v>3047</v>
      </c>
      <c r="AK1609" s="142" t="s">
        <v>3047</v>
      </c>
      <c r="AL1609" s="142" t="s">
        <v>3047</v>
      </c>
      <c r="AM1609" s="142" t="s">
        <v>3047</v>
      </c>
      <c r="AN1609" s="161"/>
    </row>
    <row r="1610" spans="1:40">
      <c r="A1610" s="143" t="s">
        <v>2670</v>
      </c>
      <c r="B1610" s="141">
        <v>100</v>
      </c>
      <c r="C1610" s="142">
        <f>B1610*IBGE_2!C$1610/100</f>
        <v>347.00403999999997</v>
      </c>
      <c r="D1610" s="142">
        <f>B1610*IBGE_2!D$1610/100</f>
        <v>25.285999999999998</v>
      </c>
      <c r="E1610" s="142">
        <f>B1610*IBGE_2!E$1610/100</f>
        <v>26.557019999999998</v>
      </c>
      <c r="F1610" s="142">
        <f>B1610*IBGE_2!F$1610/100</f>
        <v>10.80444</v>
      </c>
      <c r="G1610" s="142">
        <f>B1610*IBGE_2!G$1610/100</f>
        <v>9.1623800000000006</v>
      </c>
      <c r="H1610" s="142">
        <f>B1610*IBGE_2!H$1610/100</f>
        <v>3.8236599999999998</v>
      </c>
      <c r="I1610" s="142">
        <f>B1610*IBGE_2!I$1610/100</f>
        <v>3.26796</v>
      </c>
      <c r="J1610" s="142">
        <f>B1610*IBGE_2!J$1610/100</f>
        <v>0.48055999999999999</v>
      </c>
      <c r="K1610" s="142">
        <f>B1610*IBGE_2!K$1610/100</f>
        <v>94</v>
      </c>
      <c r="L1610" s="142" t="s">
        <v>3047</v>
      </c>
      <c r="M1610" s="142" t="s">
        <v>3047</v>
      </c>
      <c r="N1610" s="142">
        <f>B1610*IBGE_2!N$1610/100</f>
        <v>12.22</v>
      </c>
      <c r="O1610" s="142">
        <f>B1610*IBGE_2!O$1610/100</f>
        <v>11.28</v>
      </c>
      <c r="P1610" s="142">
        <f>B1610*IBGE_2!P$1610/100</f>
        <v>1.8800000000000001E-2</v>
      </c>
      <c r="Q1610" s="142">
        <f>B1610*IBGE_2!Q$1610/100</f>
        <v>77.08</v>
      </c>
      <c r="R1610" s="142">
        <f>B1610*IBGE_2!R$1610/100</f>
        <v>1.7889999999999997</v>
      </c>
      <c r="S1610" s="142">
        <f>B1610*IBGE_2!S$1610/100</f>
        <v>1826.42</v>
      </c>
      <c r="T1610" s="142">
        <f>B1610*IBGE_2!T$1610/100</f>
        <v>80.84</v>
      </c>
      <c r="U1610" s="142">
        <f>B1610*IBGE_2!U$1610/100</f>
        <v>2.8199999999999992E-2</v>
      </c>
      <c r="V1610" s="142">
        <f>B1610*IBGE_2!V$1610/100</f>
        <v>7.2385999999999999</v>
      </c>
      <c r="W1610" s="142" t="s">
        <v>3047</v>
      </c>
      <c r="X1610" s="142" t="s">
        <v>3047</v>
      </c>
      <c r="Y1610" s="142">
        <f>B1610*IBGE_2!Y$1610/100</f>
        <v>5.6399999999999985E-2</v>
      </c>
      <c r="Z1610" s="142" t="s">
        <v>3047</v>
      </c>
      <c r="AA1610" s="142" t="s">
        <v>3047</v>
      </c>
      <c r="AB1610" s="142" t="s">
        <v>3047</v>
      </c>
      <c r="AC1610" s="142" t="s">
        <v>3047</v>
      </c>
      <c r="AD1610" s="142" t="s">
        <v>3047</v>
      </c>
      <c r="AE1610" s="142" t="s">
        <v>3047</v>
      </c>
      <c r="AF1610" s="142" t="s">
        <v>3047</v>
      </c>
      <c r="AG1610" s="142">
        <f>B1610*IBGE_2!AG$1610/100</f>
        <v>0.48846000000000006</v>
      </c>
      <c r="AH1610" s="142">
        <f>B1610*IBGE_2!AH$1610/100</f>
        <v>3.1800000000000002E-2</v>
      </c>
      <c r="AI1610" s="142" t="s">
        <v>3047</v>
      </c>
      <c r="AJ1610" s="142">
        <f>B1610*IBGE_2!AJ$1610/100</f>
        <v>2.7365399999999998</v>
      </c>
      <c r="AK1610" s="142" t="s">
        <v>3047</v>
      </c>
      <c r="AL1610" s="142" t="s">
        <v>3047</v>
      </c>
      <c r="AM1610" s="142" t="s">
        <v>3047</v>
      </c>
      <c r="AN1610" s="161"/>
    </row>
    <row r="1611" spans="1:40">
      <c r="A1611" s="143" t="s">
        <v>2671</v>
      </c>
      <c r="B1611" s="141">
        <v>100</v>
      </c>
      <c r="C1611" s="142">
        <f>B1611*IBGE_2!C$1611/100</f>
        <v>347.00403999999997</v>
      </c>
      <c r="D1611" s="142">
        <f>B1611*IBGE_2!D$1611/100</f>
        <v>25.285999999999998</v>
      </c>
      <c r="E1611" s="142">
        <f>B1611*IBGE_2!E$1611/100</f>
        <v>26.557019999999998</v>
      </c>
      <c r="F1611" s="142">
        <f>B1611*IBGE_2!F$1611/100</f>
        <v>10.80444</v>
      </c>
      <c r="G1611" s="142">
        <f>B1611*IBGE_2!G$1611/100</f>
        <v>9.1623800000000006</v>
      </c>
      <c r="H1611" s="142">
        <f>B1611*IBGE_2!H$1611/100</f>
        <v>3.8236599999999998</v>
      </c>
      <c r="I1611" s="142">
        <f>B1611*IBGE_2!I$1611/100</f>
        <v>3.26796</v>
      </c>
      <c r="J1611" s="142">
        <f>B1611*IBGE_2!J$1611/100</f>
        <v>0.48055999999999999</v>
      </c>
      <c r="K1611" s="142">
        <f>B1611*IBGE_2!K$1611/100</f>
        <v>94</v>
      </c>
      <c r="L1611" s="142" t="s">
        <v>3047</v>
      </c>
      <c r="M1611" s="142" t="s">
        <v>3047</v>
      </c>
      <c r="N1611" s="142">
        <f>B1611*IBGE_2!N$1611/100</f>
        <v>12.22</v>
      </c>
      <c r="O1611" s="142">
        <f>B1611*IBGE_2!O$1611/100</f>
        <v>11.28</v>
      </c>
      <c r="P1611" s="142">
        <f>B1611*IBGE_2!P$1611/100</f>
        <v>1.8800000000000001E-2</v>
      </c>
      <c r="Q1611" s="142">
        <f>B1611*IBGE_2!Q$1611/100</f>
        <v>77.08</v>
      </c>
      <c r="R1611" s="142">
        <f>B1611*IBGE_2!R$1611/100</f>
        <v>1.7889999999999997</v>
      </c>
      <c r="S1611" s="142">
        <f>B1611*IBGE_2!S$1611/100</f>
        <v>1826.42</v>
      </c>
      <c r="T1611" s="142">
        <f>B1611*IBGE_2!T$1611/100</f>
        <v>80.84</v>
      </c>
      <c r="U1611" s="142">
        <f>B1611*IBGE_2!U$1611/100</f>
        <v>2.8199999999999992E-2</v>
      </c>
      <c r="V1611" s="142">
        <f>B1611*IBGE_2!V$1611/100</f>
        <v>7.2385999999999999</v>
      </c>
      <c r="W1611" s="142" t="s">
        <v>3047</v>
      </c>
      <c r="X1611" s="142" t="s">
        <v>3047</v>
      </c>
      <c r="Y1611" s="142">
        <f>B1611*IBGE_2!Y$1611/100</f>
        <v>5.6399999999999985E-2</v>
      </c>
      <c r="Z1611" s="142" t="s">
        <v>3047</v>
      </c>
      <c r="AA1611" s="142" t="s">
        <v>3047</v>
      </c>
      <c r="AB1611" s="142" t="s">
        <v>3047</v>
      </c>
      <c r="AC1611" s="142" t="s">
        <v>3047</v>
      </c>
      <c r="AD1611" s="142" t="s">
        <v>3047</v>
      </c>
      <c r="AE1611" s="142" t="s">
        <v>3047</v>
      </c>
      <c r="AF1611" s="142" t="s">
        <v>3047</v>
      </c>
      <c r="AG1611" s="142">
        <f>B1611*IBGE_2!AG$1611/100</f>
        <v>0.48846000000000006</v>
      </c>
      <c r="AH1611" s="142">
        <f>B1611*IBGE_2!AH$1611/100</f>
        <v>3.1800000000000002E-2</v>
      </c>
      <c r="AI1611" s="142" t="s">
        <v>3047</v>
      </c>
      <c r="AJ1611" s="142">
        <f>B1611*IBGE_2!AJ$1611/100</f>
        <v>2.7365399999999998</v>
      </c>
      <c r="AK1611" s="142" t="s">
        <v>3047</v>
      </c>
      <c r="AL1611" s="142" t="s">
        <v>3047</v>
      </c>
      <c r="AM1611" s="142" t="s">
        <v>3047</v>
      </c>
      <c r="AN1611" s="161"/>
    </row>
    <row r="1612" spans="1:40">
      <c r="A1612" s="143" t="s">
        <v>2672</v>
      </c>
      <c r="B1612" s="141">
        <v>100</v>
      </c>
      <c r="C1612" s="142">
        <f>B1612*IBGE_2!C$1612/100</f>
        <v>313</v>
      </c>
      <c r="D1612" s="142">
        <f>B1612*IBGE_2!D$1612/100</f>
        <v>26.9</v>
      </c>
      <c r="E1612" s="142">
        <f>B1612*IBGE_2!E$1612/100</f>
        <v>21.9</v>
      </c>
      <c r="F1612" s="142">
        <f>B1612*IBGE_2!F$1612/100</f>
        <v>10.5</v>
      </c>
      <c r="G1612" s="142">
        <f>B1612*IBGE_2!G$1612/100</f>
        <v>8.3000000000000007</v>
      </c>
      <c r="H1612" s="142">
        <f>B1612*IBGE_2!H$1612/100</f>
        <v>0.4</v>
      </c>
      <c r="I1612" s="142">
        <f>B1612*IBGE_2!I$1612/100</f>
        <v>0.24</v>
      </c>
      <c r="J1612" s="142">
        <f>B1612*IBGE_2!J$1612/100</f>
        <v>0.08</v>
      </c>
      <c r="K1612" s="142">
        <f>B1612*IBGE_2!K$1612/100</f>
        <v>100</v>
      </c>
      <c r="L1612" s="142" t="s">
        <v>3047</v>
      </c>
      <c r="M1612" s="142" t="s">
        <v>3047</v>
      </c>
      <c r="N1612" s="142">
        <f>B1612*IBGE_2!N$1612/100</f>
        <v>13</v>
      </c>
      <c r="O1612" s="142">
        <f>B1612*IBGE_2!O$1612/100</f>
        <v>12</v>
      </c>
      <c r="P1612" s="142">
        <f>B1612*IBGE_2!P$1612/100</f>
        <v>0.02</v>
      </c>
      <c r="Q1612" s="142">
        <f>B1612*IBGE_2!Q$1612/100</f>
        <v>82</v>
      </c>
      <c r="R1612" s="142">
        <f>B1612*IBGE_2!R$1612/100</f>
        <v>1.9</v>
      </c>
      <c r="S1612" s="142">
        <f>B1612*IBGE_2!S$1612/100</f>
        <v>1943</v>
      </c>
      <c r="T1612" s="142">
        <f>B1612*IBGE_2!T$1612/100</f>
        <v>86</v>
      </c>
      <c r="U1612" s="142">
        <f>B1612*IBGE_2!U$1612/100</f>
        <v>0.03</v>
      </c>
      <c r="V1612" s="142">
        <f>B1612*IBGE_2!V$1612/100</f>
        <v>7.7</v>
      </c>
      <c r="W1612" s="142" t="s">
        <v>3047</v>
      </c>
      <c r="X1612" s="142" t="s">
        <v>3047</v>
      </c>
      <c r="Y1612" s="142">
        <f>B1612*IBGE_2!Y$1612/100</f>
        <v>0.06</v>
      </c>
      <c r="Z1612" s="142" t="s">
        <v>3047</v>
      </c>
      <c r="AA1612" s="142" t="s">
        <v>3047</v>
      </c>
      <c r="AB1612" s="142" t="s">
        <v>3047</v>
      </c>
      <c r="AC1612" s="142" t="s">
        <v>3047</v>
      </c>
      <c r="AD1612" s="142" t="s">
        <v>3047</v>
      </c>
      <c r="AE1612" s="142" t="s">
        <v>3047</v>
      </c>
      <c r="AF1612" s="142" t="s">
        <v>3047</v>
      </c>
      <c r="AG1612" s="142" t="s">
        <v>3047</v>
      </c>
      <c r="AH1612" s="142">
        <f>B1612*IBGE_2!AH$1612/100</f>
        <v>0.93</v>
      </c>
      <c r="AI1612" s="142" t="s">
        <v>3047</v>
      </c>
      <c r="AJ1612" s="142" t="s">
        <v>3047</v>
      </c>
      <c r="AK1612" s="142" t="s">
        <v>3047</v>
      </c>
      <c r="AL1612" s="142" t="s">
        <v>3047</v>
      </c>
      <c r="AM1612" s="142" t="s">
        <v>3047</v>
      </c>
      <c r="AN1612" s="161"/>
    </row>
    <row r="1613" spans="1:40">
      <c r="A1613" s="143" t="s">
        <v>2673</v>
      </c>
      <c r="B1613" s="141">
        <v>100</v>
      </c>
      <c r="C1613" s="142">
        <f>B1613*IBGE_2!C$1613/100</f>
        <v>313</v>
      </c>
      <c r="D1613" s="142">
        <f>B1613*IBGE_2!D$1613/100</f>
        <v>26.9</v>
      </c>
      <c r="E1613" s="142">
        <f>B1613*IBGE_2!E$1613/100</f>
        <v>21.9</v>
      </c>
      <c r="F1613" s="142">
        <f>B1613*IBGE_2!F$1613/100</f>
        <v>10.5</v>
      </c>
      <c r="G1613" s="142">
        <f>B1613*IBGE_2!G$1613/100</f>
        <v>8.3000000000000007</v>
      </c>
      <c r="H1613" s="142">
        <f>B1613*IBGE_2!H$1613/100</f>
        <v>0.4</v>
      </c>
      <c r="I1613" s="142">
        <f>B1613*IBGE_2!I$1613/100</f>
        <v>0.24</v>
      </c>
      <c r="J1613" s="142">
        <f>B1613*IBGE_2!J$1613/100</f>
        <v>0.08</v>
      </c>
      <c r="K1613" s="142">
        <f>B1613*IBGE_2!K$1613/100</f>
        <v>100</v>
      </c>
      <c r="L1613" s="142" t="s">
        <v>3047</v>
      </c>
      <c r="M1613" s="142" t="s">
        <v>3047</v>
      </c>
      <c r="N1613" s="142">
        <f>B1613*IBGE_2!N$1613/100</f>
        <v>13</v>
      </c>
      <c r="O1613" s="142">
        <f>B1613*IBGE_2!O$1613/100</f>
        <v>12</v>
      </c>
      <c r="P1613" s="142">
        <f>B1613*IBGE_2!P$1613/100</f>
        <v>0.02</v>
      </c>
      <c r="Q1613" s="142">
        <f>B1613*IBGE_2!Q$1613/100</f>
        <v>82</v>
      </c>
      <c r="R1613" s="142">
        <f>B1613*IBGE_2!R$1613/100</f>
        <v>1.9</v>
      </c>
      <c r="S1613" s="142">
        <f>B1613*IBGE_2!S$1613/100</f>
        <v>1943</v>
      </c>
      <c r="T1613" s="142">
        <f>B1613*IBGE_2!T$1613/100</f>
        <v>86</v>
      </c>
      <c r="U1613" s="142">
        <f>B1613*IBGE_2!U$1613/100</f>
        <v>0.03</v>
      </c>
      <c r="V1613" s="142">
        <f>B1613*IBGE_2!V$1613/100</f>
        <v>7.7</v>
      </c>
      <c r="W1613" s="142" t="s">
        <v>3047</v>
      </c>
      <c r="X1613" s="142" t="s">
        <v>3047</v>
      </c>
      <c r="Y1613" s="142">
        <f>B1613*IBGE_2!Y$1613/100</f>
        <v>0.06</v>
      </c>
      <c r="Z1613" s="142" t="s">
        <v>3047</v>
      </c>
      <c r="AA1613" s="142" t="s">
        <v>3047</v>
      </c>
      <c r="AB1613" s="142" t="s">
        <v>3047</v>
      </c>
      <c r="AC1613" s="142" t="s">
        <v>3047</v>
      </c>
      <c r="AD1613" s="142" t="s">
        <v>3047</v>
      </c>
      <c r="AE1613" s="142" t="s">
        <v>3047</v>
      </c>
      <c r="AF1613" s="142" t="s">
        <v>3047</v>
      </c>
      <c r="AG1613" s="142" t="s">
        <v>3047</v>
      </c>
      <c r="AH1613" s="142">
        <f>B1613*IBGE_2!AH$1613/100</f>
        <v>0.93</v>
      </c>
      <c r="AI1613" s="142" t="s">
        <v>3047</v>
      </c>
      <c r="AJ1613" s="142" t="s">
        <v>3047</v>
      </c>
      <c r="AK1613" s="142" t="s">
        <v>3047</v>
      </c>
      <c r="AL1613" s="142" t="s">
        <v>3047</v>
      </c>
      <c r="AM1613" s="142" t="s">
        <v>3047</v>
      </c>
      <c r="AN1613" s="161"/>
    </row>
    <row r="1614" spans="1:40">
      <c r="A1614" s="143" t="s">
        <v>2674</v>
      </c>
      <c r="B1614" s="141">
        <v>100</v>
      </c>
      <c r="C1614" s="142">
        <f>B1614*IBGE_2!C$1614/100</f>
        <v>313</v>
      </c>
      <c r="D1614" s="142">
        <f>B1614*IBGE_2!D$1614/100</f>
        <v>26.9</v>
      </c>
      <c r="E1614" s="142">
        <f>B1614*IBGE_2!E$1614/100</f>
        <v>21.9</v>
      </c>
      <c r="F1614" s="142">
        <f>B1614*IBGE_2!F$1614/100</f>
        <v>10.5</v>
      </c>
      <c r="G1614" s="142">
        <f>B1614*IBGE_2!G$1614/100</f>
        <v>8.3000000000000007</v>
      </c>
      <c r="H1614" s="142">
        <f>B1614*IBGE_2!H$1614/100</f>
        <v>0.4</v>
      </c>
      <c r="I1614" s="142">
        <f>B1614*IBGE_2!I$1614/100</f>
        <v>0.24</v>
      </c>
      <c r="J1614" s="142">
        <f>B1614*IBGE_2!J$1614/100</f>
        <v>0.08</v>
      </c>
      <c r="K1614" s="142">
        <f>B1614*IBGE_2!K$1614/100</f>
        <v>100</v>
      </c>
      <c r="L1614" s="142" t="s">
        <v>3047</v>
      </c>
      <c r="M1614" s="142" t="s">
        <v>3047</v>
      </c>
      <c r="N1614" s="142">
        <f>B1614*IBGE_2!N$1614/100</f>
        <v>13</v>
      </c>
      <c r="O1614" s="142">
        <f>B1614*IBGE_2!O$1614/100</f>
        <v>12</v>
      </c>
      <c r="P1614" s="142">
        <f>B1614*IBGE_2!P$1614/100</f>
        <v>0.02</v>
      </c>
      <c r="Q1614" s="142">
        <f>B1614*IBGE_2!Q$1614/100</f>
        <v>82</v>
      </c>
      <c r="R1614" s="142">
        <f>B1614*IBGE_2!R$1614/100</f>
        <v>1.9</v>
      </c>
      <c r="S1614" s="142">
        <f>B1614*IBGE_2!S$1614/100</f>
        <v>1943</v>
      </c>
      <c r="T1614" s="142">
        <f>B1614*IBGE_2!T$1614/100</f>
        <v>86</v>
      </c>
      <c r="U1614" s="142">
        <f>B1614*IBGE_2!U$1614/100</f>
        <v>0.03</v>
      </c>
      <c r="V1614" s="142">
        <f>B1614*IBGE_2!V$1614/100</f>
        <v>7.7</v>
      </c>
      <c r="W1614" s="142" t="s">
        <v>3047</v>
      </c>
      <c r="X1614" s="142" t="s">
        <v>3047</v>
      </c>
      <c r="Y1614" s="142">
        <f>B1614*IBGE_2!Y$1614/100</f>
        <v>0.06</v>
      </c>
      <c r="Z1614" s="142" t="s">
        <v>3047</v>
      </c>
      <c r="AA1614" s="142" t="s">
        <v>3047</v>
      </c>
      <c r="AB1614" s="142" t="s">
        <v>3047</v>
      </c>
      <c r="AC1614" s="142" t="s">
        <v>3047</v>
      </c>
      <c r="AD1614" s="142" t="s">
        <v>3047</v>
      </c>
      <c r="AE1614" s="142" t="s">
        <v>3047</v>
      </c>
      <c r="AF1614" s="142" t="s">
        <v>3047</v>
      </c>
      <c r="AG1614" s="142" t="s">
        <v>3047</v>
      </c>
      <c r="AH1614" s="142">
        <f>B1614*IBGE_2!AH$1614/100</f>
        <v>0.93</v>
      </c>
      <c r="AI1614" s="142" t="s">
        <v>3047</v>
      </c>
      <c r="AJ1614" s="142" t="s">
        <v>3047</v>
      </c>
      <c r="AK1614" s="142" t="s">
        <v>3047</v>
      </c>
      <c r="AL1614" s="142" t="s">
        <v>3047</v>
      </c>
      <c r="AM1614" s="142" t="s">
        <v>3047</v>
      </c>
      <c r="AN1614" s="161"/>
    </row>
    <row r="1615" spans="1:40">
      <c r="A1615" s="143" t="s">
        <v>2675</v>
      </c>
      <c r="B1615" s="141">
        <v>100</v>
      </c>
      <c r="C1615" s="142">
        <f>B1615*IBGE_2!C$1615/100</f>
        <v>313</v>
      </c>
      <c r="D1615" s="142">
        <f>B1615*IBGE_2!D$1615/100</f>
        <v>26.9</v>
      </c>
      <c r="E1615" s="142">
        <f>B1615*IBGE_2!E$1615/100</f>
        <v>21.9</v>
      </c>
      <c r="F1615" s="142">
        <f>B1615*IBGE_2!F$1615/100</f>
        <v>10.5</v>
      </c>
      <c r="G1615" s="142">
        <f>B1615*IBGE_2!G$1615/100</f>
        <v>8.3000000000000007</v>
      </c>
      <c r="H1615" s="142">
        <f>B1615*IBGE_2!H$1615/100</f>
        <v>0.4</v>
      </c>
      <c r="I1615" s="142">
        <f>B1615*IBGE_2!I$1615/100</f>
        <v>0.24</v>
      </c>
      <c r="J1615" s="142">
        <f>B1615*IBGE_2!J$1615/100</f>
        <v>0.08</v>
      </c>
      <c r="K1615" s="142">
        <f>B1615*IBGE_2!K$1615/100</f>
        <v>100</v>
      </c>
      <c r="L1615" s="142" t="s">
        <v>3047</v>
      </c>
      <c r="M1615" s="142" t="s">
        <v>3047</v>
      </c>
      <c r="N1615" s="142">
        <f>B1615*IBGE_2!N$1615/100</f>
        <v>13</v>
      </c>
      <c r="O1615" s="142">
        <f>B1615*IBGE_2!O$1615/100</f>
        <v>12</v>
      </c>
      <c r="P1615" s="142">
        <f>B1615*IBGE_2!P$1615/100</f>
        <v>0.02</v>
      </c>
      <c r="Q1615" s="142">
        <f>B1615*IBGE_2!Q$1615/100</f>
        <v>82</v>
      </c>
      <c r="R1615" s="142">
        <f>B1615*IBGE_2!R$1615/100</f>
        <v>1.9</v>
      </c>
      <c r="S1615" s="142">
        <f>B1615*IBGE_2!S$1615/100</f>
        <v>1943</v>
      </c>
      <c r="T1615" s="142">
        <f>B1615*IBGE_2!T$1615/100</f>
        <v>86</v>
      </c>
      <c r="U1615" s="142">
        <f>B1615*IBGE_2!U$1615/100</f>
        <v>0.03</v>
      </c>
      <c r="V1615" s="142">
        <f>B1615*IBGE_2!V$1615/100</f>
        <v>7.7</v>
      </c>
      <c r="W1615" s="142" t="s">
        <v>3047</v>
      </c>
      <c r="X1615" s="142" t="s">
        <v>3047</v>
      </c>
      <c r="Y1615" s="142">
        <f>B1615*IBGE_2!Y$1615/100</f>
        <v>0.06</v>
      </c>
      <c r="Z1615" s="142" t="s">
        <v>3047</v>
      </c>
      <c r="AA1615" s="142" t="s">
        <v>3047</v>
      </c>
      <c r="AB1615" s="142" t="s">
        <v>3047</v>
      </c>
      <c r="AC1615" s="142" t="s">
        <v>3047</v>
      </c>
      <c r="AD1615" s="142" t="s">
        <v>3047</v>
      </c>
      <c r="AE1615" s="142" t="s">
        <v>3047</v>
      </c>
      <c r="AF1615" s="142" t="s">
        <v>3047</v>
      </c>
      <c r="AG1615" s="142" t="s">
        <v>3047</v>
      </c>
      <c r="AH1615" s="142">
        <f>B1615*IBGE_2!AH$1615/100</f>
        <v>0.93</v>
      </c>
      <c r="AI1615" s="142" t="s">
        <v>3047</v>
      </c>
      <c r="AJ1615" s="142" t="s">
        <v>3047</v>
      </c>
      <c r="AK1615" s="142" t="s">
        <v>3047</v>
      </c>
      <c r="AL1615" s="142" t="s">
        <v>3047</v>
      </c>
      <c r="AM1615" s="142" t="s">
        <v>3047</v>
      </c>
      <c r="AN1615" s="161"/>
    </row>
    <row r="1616" spans="1:40">
      <c r="A1616" s="143" t="s">
        <v>2676</v>
      </c>
      <c r="B1616" s="141">
        <v>100</v>
      </c>
      <c r="C1616" s="142">
        <f>B1616*IBGE_2!C$1616/100</f>
        <v>313</v>
      </c>
      <c r="D1616" s="142">
        <f>B1616*IBGE_2!D$1616/100</f>
        <v>26.9</v>
      </c>
      <c r="E1616" s="142">
        <f>B1616*IBGE_2!E$1616/100</f>
        <v>21.9</v>
      </c>
      <c r="F1616" s="142">
        <f>B1616*IBGE_2!F$1616/100</f>
        <v>10.5</v>
      </c>
      <c r="G1616" s="142">
        <f>B1616*IBGE_2!G$1616/100</f>
        <v>8.3000000000000007</v>
      </c>
      <c r="H1616" s="142">
        <f>B1616*IBGE_2!H$1616/100</f>
        <v>0.4</v>
      </c>
      <c r="I1616" s="142">
        <f>B1616*IBGE_2!I$1616/100</f>
        <v>0.24</v>
      </c>
      <c r="J1616" s="142">
        <f>B1616*IBGE_2!J$1616/100</f>
        <v>0.08</v>
      </c>
      <c r="K1616" s="142">
        <f>B1616*IBGE_2!K$1616/100</f>
        <v>100</v>
      </c>
      <c r="L1616" s="142" t="s">
        <v>3047</v>
      </c>
      <c r="M1616" s="142" t="s">
        <v>3047</v>
      </c>
      <c r="N1616" s="142">
        <f>B1616*IBGE_2!N$1616/100</f>
        <v>13</v>
      </c>
      <c r="O1616" s="142">
        <f>B1616*IBGE_2!O$1616/100</f>
        <v>12</v>
      </c>
      <c r="P1616" s="142">
        <f>B1616*IBGE_2!P$1616/100</f>
        <v>0.02</v>
      </c>
      <c r="Q1616" s="142">
        <f>B1616*IBGE_2!Q$1616/100</f>
        <v>82</v>
      </c>
      <c r="R1616" s="142">
        <f>B1616*IBGE_2!R$1616/100</f>
        <v>1.9</v>
      </c>
      <c r="S1616" s="142">
        <f>B1616*IBGE_2!S$1616/100</f>
        <v>1943</v>
      </c>
      <c r="T1616" s="142">
        <f>B1616*IBGE_2!T$1616/100</f>
        <v>86</v>
      </c>
      <c r="U1616" s="142">
        <f>B1616*IBGE_2!U$1616/100</f>
        <v>0.03</v>
      </c>
      <c r="V1616" s="142">
        <f>B1616*IBGE_2!V$1616/100</f>
        <v>7.7</v>
      </c>
      <c r="W1616" s="142" t="s">
        <v>3047</v>
      </c>
      <c r="X1616" s="142" t="s">
        <v>3047</v>
      </c>
      <c r="Y1616" s="142">
        <f>B1616*IBGE_2!Y$1616/100</f>
        <v>0.06</v>
      </c>
      <c r="Z1616" s="142" t="s">
        <v>3047</v>
      </c>
      <c r="AA1616" s="142" t="s">
        <v>3047</v>
      </c>
      <c r="AB1616" s="142" t="s">
        <v>3047</v>
      </c>
      <c r="AC1616" s="142" t="s">
        <v>3047</v>
      </c>
      <c r="AD1616" s="142" t="s">
        <v>3047</v>
      </c>
      <c r="AE1616" s="142" t="s">
        <v>3047</v>
      </c>
      <c r="AF1616" s="142" t="s">
        <v>3047</v>
      </c>
      <c r="AG1616" s="142" t="s">
        <v>3047</v>
      </c>
      <c r="AH1616" s="142">
        <f>B1616*IBGE_2!AH$1616/100</f>
        <v>0.93</v>
      </c>
      <c r="AI1616" s="142" t="s">
        <v>3047</v>
      </c>
      <c r="AJ1616" s="142" t="s">
        <v>3047</v>
      </c>
      <c r="AK1616" s="142" t="s">
        <v>3047</v>
      </c>
      <c r="AL1616" s="142" t="s">
        <v>3047</v>
      </c>
      <c r="AM1616" s="142" t="s">
        <v>3047</v>
      </c>
      <c r="AN1616" s="161"/>
    </row>
    <row r="1617" spans="1:40">
      <c r="A1617" s="143" t="s">
        <v>2677</v>
      </c>
      <c r="B1617" s="141">
        <v>100</v>
      </c>
      <c r="C1617" s="142">
        <f>B1617*IBGE_2!C$1617/100</f>
        <v>347.00403999999997</v>
      </c>
      <c r="D1617" s="142">
        <f>B1617*IBGE_2!D$1617/100</f>
        <v>25.285999999999998</v>
      </c>
      <c r="E1617" s="142">
        <f>B1617*IBGE_2!E$1617/100</f>
        <v>26.557019999999998</v>
      </c>
      <c r="F1617" s="142">
        <f>B1617*IBGE_2!F$1617/100</f>
        <v>10.80444</v>
      </c>
      <c r="G1617" s="142">
        <f>B1617*IBGE_2!G$1617/100</f>
        <v>9.1623800000000006</v>
      </c>
      <c r="H1617" s="142">
        <f>B1617*IBGE_2!H$1617/100</f>
        <v>3.8236599999999998</v>
      </c>
      <c r="I1617" s="142">
        <f>B1617*IBGE_2!I$1617/100</f>
        <v>3.26796</v>
      </c>
      <c r="J1617" s="142">
        <f>B1617*IBGE_2!J$1617/100</f>
        <v>0.48055999999999999</v>
      </c>
      <c r="K1617" s="142">
        <f>B1617*IBGE_2!K$1617/100</f>
        <v>94</v>
      </c>
      <c r="L1617" s="142" t="s">
        <v>3047</v>
      </c>
      <c r="M1617" s="142" t="s">
        <v>3047</v>
      </c>
      <c r="N1617" s="142">
        <f>B1617*IBGE_2!N$1617/100</f>
        <v>12.22</v>
      </c>
      <c r="O1617" s="142">
        <f>B1617*IBGE_2!O$1617/100</f>
        <v>11.28</v>
      </c>
      <c r="P1617" s="142">
        <f>B1617*IBGE_2!P$1617/100</f>
        <v>1.8800000000000001E-2</v>
      </c>
      <c r="Q1617" s="142">
        <f>B1617*IBGE_2!Q$1617/100</f>
        <v>77.08</v>
      </c>
      <c r="R1617" s="142">
        <f>B1617*IBGE_2!R$1617/100</f>
        <v>1.7889999999999997</v>
      </c>
      <c r="S1617" s="142">
        <f>B1617*IBGE_2!S$1617/100</f>
        <v>1826.42</v>
      </c>
      <c r="T1617" s="142">
        <f>B1617*IBGE_2!T$1617/100</f>
        <v>80.84</v>
      </c>
      <c r="U1617" s="142">
        <f>B1617*IBGE_2!U$1617/100</f>
        <v>2.8199999999999992E-2</v>
      </c>
      <c r="V1617" s="142">
        <f>B1617*IBGE_2!V$1617/100</f>
        <v>7.2385999999999999</v>
      </c>
      <c r="W1617" s="142" t="s">
        <v>3047</v>
      </c>
      <c r="X1617" s="142" t="s">
        <v>3047</v>
      </c>
      <c r="Y1617" s="142">
        <f>B1617*IBGE_2!Y$1617/100</f>
        <v>5.6399999999999985E-2</v>
      </c>
      <c r="Z1617" s="142" t="s">
        <v>3047</v>
      </c>
      <c r="AA1617" s="142" t="s">
        <v>3047</v>
      </c>
      <c r="AB1617" s="142" t="s">
        <v>3047</v>
      </c>
      <c r="AC1617" s="142" t="s">
        <v>3047</v>
      </c>
      <c r="AD1617" s="142" t="s">
        <v>3047</v>
      </c>
      <c r="AE1617" s="142" t="s">
        <v>3047</v>
      </c>
      <c r="AF1617" s="142" t="s">
        <v>3047</v>
      </c>
      <c r="AG1617" s="142">
        <f>B1617*IBGE_2!AG$1617/100</f>
        <v>0.48846000000000006</v>
      </c>
      <c r="AH1617" s="142">
        <f>B1617*IBGE_2!AH$1617/100</f>
        <v>3.1800000000000002E-2</v>
      </c>
      <c r="AI1617" s="142" t="s">
        <v>3047</v>
      </c>
      <c r="AJ1617" s="142">
        <f>B1617*IBGE_2!AJ$1617/100</f>
        <v>2.7365399999999998</v>
      </c>
      <c r="AK1617" s="142" t="s">
        <v>3047</v>
      </c>
      <c r="AL1617" s="142" t="s">
        <v>3047</v>
      </c>
      <c r="AM1617" s="142" t="s">
        <v>3047</v>
      </c>
      <c r="AN1617" s="161"/>
    </row>
    <row r="1618" spans="1:40">
      <c r="A1618" s="143" t="s">
        <v>2678</v>
      </c>
      <c r="B1618" s="141">
        <v>100</v>
      </c>
      <c r="C1618" s="142">
        <f>B1618*IBGE_2!C$1618/100</f>
        <v>347.00403999999997</v>
      </c>
      <c r="D1618" s="142">
        <f>B1618*IBGE_2!D$1618/100</f>
        <v>25.285999999999998</v>
      </c>
      <c r="E1618" s="142">
        <f>B1618*IBGE_2!E$1618/100</f>
        <v>26.557019999999998</v>
      </c>
      <c r="F1618" s="142">
        <f>B1618*IBGE_2!F$1618/100</f>
        <v>10.80444</v>
      </c>
      <c r="G1618" s="142">
        <f>B1618*IBGE_2!G$1618/100</f>
        <v>9.1623800000000006</v>
      </c>
      <c r="H1618" s="142">
        <f>B1618*IBGE_2!H$1618/100</f>
        <v>3.8236599999999998</v>
      </c>
      <c r="I1618" s="142">
        <f>B1618*IBGE_2!I$1618/100</f>
        <v>3.26796</v>
      </c>
      <c r="J1618" s="142">
        <f>B1618*IBGE_2!J$1618/100</f>
        <v>0.48055999999999999</v>
      </c>
      <c r="K1618" s="142">
        <f>B1618*IBGE_2!K$1618/100</f>
        <v>94</v>
      </c>
      <c r="L1618" s="142" t="s">
        <v>3047</v>
      </c>
      <c r="M1618" s="142" t="s">
        <v>3047</v>
      </c>
      <c r="N1618" s="142">
        <f>B1618*IBGE_2!N$1618/100</f>
        <v>12.22</v>
      </c>
      <c r="O1618" s="142">
        <f>B1618*IBGE_2!O$1618/100</f>
        <v>11.28</v>
      </c>
      <c r="P1618" s="142">
        <f>B1618*IBGE_2!P$1618/100</f>
        <v>1.8800000000000001E-2</v>
      </c>
      <c r="Q1618" s="142">
        <f>B1618*IBGE_2!Q$1618/100</f>
        <v>77.08</v>
      </c>
      <c r="R1618" s="142">
        <f>B1618*IBGE_2!R$1618/100</f>
        <v>1.7889999999999997</v>
      </c>
      <c r="S1618" s="142">
        <f>B1618*IBGE_2!S$1618/100</f>
        <v>1826.42</v>
      </c>
      <c r="T1618" s="142">
        <f>B1618*IBGE_2!T$1618/100</f>
        <v>80.84</v>
      </c>
      <c r="U1618" s="142">
        <f>B1618*IBGE_2!U$1618/100</f>
        <v>2.8199999999999992E-2</v>
      </c>
      <c r="V1618" s="142">
        <f>B1618*IBGE_2!V$1618/100</f>
        <v>7.2385999999999999</v>
      </c>
      <c r="W1618" s="142" t="s">
        <v>3047</v>
      </c>
      <c r="X1618" s="142" t="s">
        <v>3047</v>
      </c>
      <c r="Y1618" s="142">
        <f>B1618*IBGE_2!Y$1618/100</f>
        <v>5.6399999999999985E-2</v>
      </c>
      <c r="Z1618" s="142" t="s">
        <v>3047</v>
      </c>
      <c r="AA1618" s="142" t="s">
        <v>3047</v>
      </c>
      <c r="AB1618" s="142" t="s">
        <v>3047</v>
      </c>
      <c r="AC1618" s="142" t="s">
        <v>3047</v>
      </c>
      <c r="AD1618" s="142" t="s">
        <v>3047</v>
      </c>
      <c r="AE1618" s="142" t="s">
        <v>3047</v>
      </c>
      <c r="AF1618" s="142" t="s">
        <v>3047</v>
      </c>
      <c r="AG1618" s="142">
        <f>B1618*IBGE_2!AG$1618/100</f>
        <v>0.48846000000000006</v>
      </c>
      <c r="AH1618" s="142">
        <f>B1618*IBGE_2!AH$1618/100</f>
        <v>3.1800000000000002E-2</v>
      </c>
      <c r="AI1618" s="142" t="s">
        <v>3047</v>
      </c>
      <c r="AJ1618" s="142">
        <f>B1618*IBGE_2!AJ$1618/100</f>
        <v>2.7365399999999998</v>
      </c>
      <c r="AK1618" s="142" t="s">
        <v>3047</v>
      </c>
      <c r="AL1618" s="142" t="s">
        <v>3047</v>
      </c>
      <c r="AM1618" s="142" t="s">
        <v>3047</v>
      </c>
      <c r="AN1618" s="161"/>
    </row>
    <row r="1619" spans="1:40">
      <c r="A1619" s="143" t="s">
        <v>2679</v>
      </c>
      <c r="B1619" s="141">
        <v>100</v>
      </c>
      <c r="C1619" s="142">
        <f>B1619*IBGE_2!C$1619/100</f>
        <v>313</v>
      </c>
      <c r="D1619" s="142">
        <f>B1619*IBGE_2!D$1619/100</f>
        <v>26.9</v>
      </c>
      <c r="E1619" s="142">
        <f>B1619*IBGE_2!E$1619/100</f>
        <v>21.9</v>
      </c>
      <c r="F1619" s="142">
        <f>B1619*IBGE_2!F$1619/100</f>
        <v>10.5</v>
      </c>
      <c r="G1619" s="142">
        <f>B1619*IBGE_2!G$1619/100</f>
        <v>8.3000000000000007</v>
      </c>
      <c r="H1619" s="142">
        <f>B1619*IBGE_2!H$1619/100</f>
        <v>0.4</v>
      </c>
      <c r="I1619" s="142">
        <f>B1619*IBGE_2!I$1619/100</f>
        <v>0.24</v>
      </c>
      <c r="J1619" s="142">
        <f>B1619*IBGE_2!J$1619/100</f>
        <v>0.08</v>
      </c>
      <c r="K1619" s="142">
        <f>B1619*IBGE_2!K$1619/100</f>
        <v>100</v>
      </c>
      <c r="L1619" s="142" t="s">
        <v>3047</v>
      </c>
      <c r="M1619" s="142" t="s">
        <v>3047</v>
      </c>
      <c r="N1619" s="142">
        <f>B1619*IBGE_2!N$1619/100</f>
        <v>13</v>
      </c>
      <c r="O1619" s="142">
        <f>B1619*IBGE_2!O$1619/100</f>
        <v>12</v>
      </c>
      <c r="P1619" s="142">
        <f>B1619*IBGE_2!P$1619/100</f>
        <v>0.02</v>
      </c>
      <c r="Q1619" s="142">
        <f>B1619*IBGE_2!Q$1619/100</f>
        <v>82</v>
      </c>
      <c r="R1619" s="142">
        <f>B1619*IBGE_2!R$1619/100</f>
        <v>1.9</v>
      </c>
      <c r="S1619" s="142">
        <f>B1619*IBGE_2!S$1619/100</f>
        <v>1943</v>
      </c>
      <c r="T1619" s="142">
        <f>B1619*IBGE_2!T$1619/100</f>
        <v>86</v>
      </c>
      <c r="U1619" s="142">
        <f>B1619*IBGE_2!U$1619/100</f>
        <v>0.03</v>
      </c>
      <c r="V1619" s="142">
        <f>B1619*IBGE_2!V$1619/100</f>
        <v>7.7</v>
      </c>
      <c r="W1619" s="142" t="s">
        <v>3047</v>
      </c>
      <c r="X1619" s="142" t="s">
        <v>3047</v>
      </c>
      <c r="Y1619" s="142">
        <f>B1619*IBGE_2!Y$1619/100</f>
        <v>0.06</v>
      </c>
      <c r="Z1619" s="142" t="s">
        <v>3047</v>
      </c>
      <c r="AA1619" s="142" t="s">
        <v>3047</v>
      </c>
      <c r="AB1619" s="142" t="s">
        <v>3047</v>
      </c>
      <c r="AC1619" s="142" t="s">
        <v>3047</v>
      </c>
      <c r="AD1619" s="142" t="s">
        <v>3047</v>
      </c>
      <c r="AE1619" s="142" t="s">
        <v>3047</v>
      </c>
      <c r="AF1619" s="142" t="s">
        <v>3047</v>
      </c>
      <c r="AG1619" s="142" t="s">
        <v>3047</v>
      </c>
      <c r="AH1619" s="142">
        <f>B1619*IBGE_2!AH$1619/100</f>
        <v>0.93</v>
      </c>
      <c r="AI1619" s="142" t="s">
        <v>3047</v>
      </c>
      <c r="AJ1619" s="142" t="s">
        <v>3047</v>
      </c>
      <c r="AK1619" s="142" t="s">
        <v>3047</v>
      </c>
      <c r="AL1619" s="142" t="s">
        <v>3047</v>
      </c>
      <c r="AM1619" s="142" t="s">
        <v>3047</v>
      </c>
      <c r="AN1619" s="161"/>
    </row>
    <row r="1620" spans="1:40">
      <c r="A1620" s="143" t="s">
        <v>2680</v>
      </c>
      <c r="B1620" s="141">
        <v>100</v>
      </c>
      <c r="C1620" s="142">
        <f>B1620*IBGE_2!C$1620/100</f>
        <v>313</v>
      </c>
      <c r="D1620" s="142">
        <f>B1620*IBGE_2!D$1620/100</f>
        <v>26.9</v>
      </c>
      <c r="E1620" s="142">
        <f>B1620*IBGE_2!E$1620/100</f>
        <v>21.9</v>
      </c>
      <c r="F1620" s="142">
        <f>B1620*IBGE_2!F$1620/100</f>
        <v>10.5</v>
      </c>
      <c r="G1620" s="142">
        <f>B1620*IBGE_2!G$1620/100</f>
        <v>8.3000000000000007</v>
      </c>
      <c r="H1620" s="142">
        <f>B1620*IBGE_2!H$1620/100</f>
        <v>0.4</v>
      </c>
      <c r="I1620" s="142">
        <f>B1620*IBGE_2!I$1620/100</f>
        <v>0.24</v>
      </c>
      <c r="J1620" s="142">
        <f>B1620*IBGE_2!J$1620/100</f>
        <v>0.08</v>
      </c>
      <c r="K1620" s="142">
        <f>B1620*IBGE_2!K$1620/100</f>
        <v>100</v>
      </c>
      <c r="L1620" s="142" t="s">
        <v>3047</v>
      </c>
      <c r="M1620" s="142" t="s">
        <v>3047</v>
      </c>
      <c r="N1620" s="142">
        <f>B1620*IBGE_2!N$1620/100</f>
        <v>13</v>
      </c>
      <c r="O1620" s="142">
        <f>B1620*IBGE_2!O$1620/100</f>
        <v>12</v>
      </c>
      <c r="P1620" s="142">
        <f>B1620*IBGE_2!P$1620/100</f>
        <v>0.02</v>
      </c>
      <c r="Q1620" s="142">
        <f>B1620*IBGE_2!Q$1620/100</f>
        <v>82</v>
      </c>
      <c r="R1620" s="142">
        <f>B1620*IBGE_2!R$1620/100</f>
        <v>1.9</v>
      </c>
      <c r="S1620" s="142">
        <f>B1620*IBGE_2!S$1620/100</f>
        <v>1943</v>
      </c>
      <c r="T1620" s="142">
        <f>B1620*IBGE_2!T$1620/100</f>
        <v>86</v>
      </c>
      <c r="U1620" s="142">
        <f>B1620*IBGE_2!U$1620/100</f>
        <v>0.03</v>
      </c>
      <c r="V1620" s="142">
        <f>B1620*IBGE_2!V$1620/100</f>
        <v>7.7</v>
      </c>
      <c r="W1620" s="142" t="s">
        <v>3047</v>
      </c>
      <c r="X1620" s="142" t="s">
        <v>3047</v>
      </c>
      <c r="Y1620" s="142">
        <f>B1620*IBGE_2!Y$1620/100</f>
        <v>0.06</v>
      </c>
      <c r="Z1620" s="142" t="s">
        <v>3047</v>
      </c>
      <c r="AA1620" s="142" t="s">
        <v>3047</v>
      </c>
      <c r="AB1620" s="142" t="s">
        <v>3047</v>
      </c>
      <c r="AC1620" s="142" t="s">
        <v>3047</v>
      </c>
      <c r="AD1620" s="142" t="s">
        <v>3047</v>
      </c>
      <c r="AE1620" s="142" t="s">
        <v>3047</v>
      </c>
      <c r="AF1620" s="142" t="s">
        <v>3047</v>
      </c>
      <c r="AG1620" s="142" t="s">
        <v>3047</v>
      </c>
      <c r="AH1620" s="142">
        <f>B1620*IBGE_2!AH$1620/100</f>
        <v>0.93</v>
      </c>
      <c r="AI1620" s="142" t="s">
        <v>3047</v>
      </c>
      <c r="AJ1620" s="142" t="s">
        <v>3047</v>
      </c>
      <c r="AK1620" s="142" t="s">
        <v>3047</v>
      </c>
      <c r="AL1620" s="142" t="s">
        <v>3047</v>
      </c>
      <c r="AM1620" s="142" t="s">
        <v>3047</v>
      </c>
      <c r="AN1620" s="161"/>
    </row>
    <row r="1621" spans="1:40">
      <c r="A1621" s="143" t="s">
        <v>2681</v>
      </c>
      <c r="B1621" s="141">
        <v>100</v>
      </c>
      <c r="C1621" s="142">
        <f>B1621*IBGE_2!C$1621/100</f>
        <v>347.00403999999997</v>
      </c>
      <c r="D1621" s="142">
        <f>B1621*IBGE_2!D$1621/100</f>
        <v>25.285999999999998</v>
      </c>
      <c r="E1621" s="142">
        <f>B1621*IBGE_2!E$1621/100</f>
        <v>26.557019999999998</v>
      </c>
      <c r="F1621" s="142">
        <f>B1621*IBGE_2!F$1621/100</f>
        <v>10.80444</v>
      </c>
      <c r="G1621" s="142">
        <f>B1621*IBGE_2!G$1621/100</f>
        <v>9.1623800000000006</v>
      </c>
      <c r="H1621" s="142">
        <f>B1621*IBGE_2!H$1621/100</f>
        <v>3.8236599999999998</v>
      </c>
      <c r="I1621" s="142">
        <f>B1621*IBGE_2!I$1621/100</f>
        <v>3.26796</v>
      </c>
      <c r="J1621" s="142">
        <f>B1621*IBGE_2!J$1621/100</f>
        <v>0.48055999999999999</v>
      </c>
      <c r="K1621" s="142">
        <f>B1621*IBGE_2!K$1621/100</f>
        <v>94</v>
      </c>
      <c r="L1621" s="142" t="s">
        <v>3047</v>
      </c>
      <c r="M1621" s="142" t="s">
        <v>3047</v>
      </c>
      <c r="N1621" s="142">
        <f>B1621*IBGE_2!N$1621/100</f>
        <v>12.22</v>
      </c>
      <c r="O1621" s="142">
        <f>B1621*IBGE_2!O$1621/100</f>
        <v>11.28</v>
      </c>
      <c r="P1621" s="142">
        <f>B1621*IBGE_2!P$1621/100</f>
        <v>1.8800000000000001E-2</v>
      </c>
      <c r="Q1621" s="142">
        <f>B1621*IBGE_2!Q$1621/100</f>
        <v>77.08</v>
      </c>
      <c r="R1621" s="142">
        <f>B1621*IBGE_2!R$1621/100</f>
        <v>1.7889999999999997</v>
      </c>
      <c r="S1621" s="142">
        <f>B1621*IBGE_2!S$1621/100</f>
        <v>1826.42</v>
      </c>
      <c r="T1621" s="142">
        <f>B1621*IBGE_2!T$1621/100</f>
        <v>80.84</v>
      </c>
      <c r="U1621" s="142">
        <f>B1621*IBGE_2!U$1621/100</f>
        <v>2.8199999999999992E-2</v>
      </c>
      <c r="V1621" s="142">
        <f>B1621*IBGE_2!V$1621/100</f>
        <v>7.2385999999999999</v>
      </c>
      <c r="W1621" s="142" t="s">
        <v>3047</v>
      </c>
      <c r="X1621" s="142" t="s">
        <v>3047</v>
      </c>
      <c r="Y1621" s="142">
        <f>B1621*IBGE_2!Y$1621/100</f>
        <v>5.6399999999999985E-2</v>
      </c>
      <c r="Z1621" s="142" t="s">
        <v>3047</v>
      </c>
      <c r="AA1621" s="142" t="s">
        <v>3047</v>
      </c>
      <c r="AB1621" s="142" t="s">
        <v>3047</v>
      </c>
      <c r="AC1621" s="142" t="s">
        <v>3047</v>
      </c>
      <c r="AD1621" s="142" t="s">
        <v>3047</v>
      </c>
      <c r="AE1621" s="142" t="s">
        <v>3047</v>
      </c>
      <c r="AF1621" s="142" t="s">
        <v>3047</v>
      </c>
      <c r="AG1621" s="142">
        <f>B1621*IBGE_2!AG$1621/100</f>
        <v>0.48846000000000006</v>
      </c>
      <c r="AH1621" s="142">
        <f>B1621*IBGE_2!AH$1621/100</f>
        <v>3.1800000000000002E-2</v>
      </c>
      <c r="AI1621" s="142" t="s">
        <v>3047</v>
      </c>
      <c r="AJ1621" s="142">
        <f>B1621*IBGE_2!AJ$1621/100</f>
        <v>2.7365399999999998</v>
      </c>
      <c r="AK1621" s="142" t="s">
        <v>3047</v>
      </c>
      <c r="AL1621" s="142" t="s">
        <v>3047</v>
      </c>
      <c r="AM1621" s="142" t="s">
        <v>3047</v>
      </c>
      <c r="AN1621" s="161"/>
    </row>
    <row r="1622" spans="1:40">
      <c r="A1622" s="143" t="s">
        <v>2682</v>
      </c>
      <c r="B1622" s="141">
        <v>100</v>
      </c>
      <c r="C1622" s="142">
        <f>B1622*IBGE_2!C$1622/100</f>
        <v>214</v>
      </c>
      <c r="D1622" s="142">
        <f>B1622*IBGE_2!D$1622/100</f>
        <v>26.62</v>
      </c>
      <c r="E1622" s="142">
        <f>B1622*IBGE_2!E$1622/100</f>
        <v>11.1</v>
      </c>
      <c r="F1622" s="142">
        <f>B1622*IBGE_2!F$1622/100</f>
        <v>4.3789999999999996</v>
      </c>
      <c r="G1622" s="142">
        <f>B1622*IBGE_2!G$1622/100</f>
        <v>4.6760000000000002</v>
      </c>
      <c r="H1622" s="142">
        <f>B1622*IBGE_2!H$1622/100</f>
        <v>0.39800000000000002</v>
      </c>
      <c r="I1622" s="142">
        <f>B1622*IBGE_2!I$1622/100</f>
        <v>0.29699999999999999</v>
      </c>
      <c r="J1622" s="142">
        <f>B1622*IBGE_2!J$1622/100</f>
        <v>5.2999999999999999E-2</v>
      </c>
      <c r="K1622" s="142">
        <f>B1622*IBGE_2!K$1622/100</f>
        <v>86</v>
      </c>
      <c r="L1622" s="142" t="s">
        <v>3047</v>
      </c>
      <c r="M1622" s="142" t="s">
        <v>3047</v>
      </c>
      <c r="N1622" s="142">
        <f>B1622*IBGE_2!N$1622/100</f>
        <v>13</v>
      </c>
      <c r="O1622" s="142">
        <f>B1622*IBGE_2!O$1622/100</f>
        <v>21</v>
      </c>
      <c r="P1622" s="142">
        <f>B1622*IBGE_2!P$1622/100</f>
        <v>0.01</v>
      </c>
      <c r="Q1622" s="142">
        <f>B1622*IBGE_2!Q$1622/100</f>
        <v>193</v>
      </c>
      <c r="R1622" s="142">
        <f>B1622*IBGE_2!R$1622/100</f>
        <v>2.89</v>
      </c>
      <c r="S1622" s="142">
        <f>B1622*IBGE_2!S$1622/100</f>
        <v>61</v>
      </c>
      <c r="T1622" s="142">
        <f>B1622*IBGE_2!T$1622/100</f>
        <v>300</v>
      </c>
      <c r="U1622" s="142">
        <f>B1622*IBGE_2!U$1622/100</f>
        <v>7.8E-2</v>
      </c>
      <c r="V1622" s="142">
        <f>B1622*IBGE_2!V$1622/100</f>
        <v>6.65</v>
      </c>
      <c r="W1622" s="142" t="s">
        <v>3047</v>
      </c>
      <c r="X1622" s="142">
        <f>B1622*IBGE_2!X$1622/100</f>
        <v>3.6999999999999998E-2</v>
      </c>
      <c r="Y1622" s="142">
        <f>B1622*IBGE_2!Y$1622/100</f>
        <v>0.17199999999999999</v>
      </c>
      <c r="Z1622" s="142">
        <f>B1622*IBGE_2!Z$1622/100</f>
        <v>0.34799999999999998</v>
      </c>
      <c r="AA1622" s="142">
        <f>B1622*IBGE_2!AA$1622/100</f>
        <v>5.2279999999999998</v>
      </c>
      <c r="AB1622" s="142" t="s">
        <v>3047</v>
      </c>
      <c r="AC1622" s="142">
        <f>B1622*IBGE_2!AC$1622/100</f>
        <v>7.6950000000000003</v>
      </c>
      <c r="AD1622" s="142">
        <f>B1622*IBGE_2!AD$1622/100</f>
        <v>2.5</v>
      </c>
      <c r="AE1622" s="142">
        <f>B1622*IBGE_2!AE$1622/100</f>
        <v>6</v>
      </c>
      <c r="AF1622" s="142">
        <f>B1622*IBGE_2!AF$1622/100</f>
        <v>0.45</v>
      </c>
      <c r="AG1622" s="142">
        <f>B1622*IBGE_2!AG$1622/100</f>
        <v>0.41</v>
      </c>
      <c r="AH1622" s="142">
        <f>B1622*IBGE_2!AH$1622/100</f>
        <v>0.69199999999999984</v>
      </c>
      <c r="AI1622" s="142">
        <f>B1622*IBGE_2!AI$1622/100</f>
        <v>499</v>
      </c>
      <c r="AJ1622" s="142">
        <f>B1622*IBGE_2!AJ$1622/100</f>
        <v>21.6</v>
      </c>
      <c r="AK1622" s="142" t="s">
        <v>3047</v>
      </c>
      <c r="AL1622" s="142" t="s">
        <v>3047</v>
      </c>
      <c r="AM1622" s="142" t="s">
        <v>3047</v>
      </c>
      <c r="AN1622" s="161"/>
    </row>
    <row r="1623" spans="1:40">
      <c r="A1623" s="143" t="s">
        <v>2683</v>
      </c>
      <c r="B1623" s="141">
        <v>100</v>
      </c>
      <c r="C1623" s="142">
        <f>B1623*IBGE_2!C$1623/100</f>
        <v>214</v>
      </c>
      <c r="D1623" s="142">
        <f>B1623*IBGE_2!D$1623/100</f>
        <v>26.62</v>
      </c>
      <c r="E1623" s="142">
        <f>B1623*IBGE_2!E$1623/100</f>
        <v>11.1</v>
      </c>
      <c r="F1623" s="142">
        <f>B1623*IBGE_2!F$1623/100</f>
        <v>4.3789999999999996</v>
      </c>
      <c r="G1623" s="142">
        <f>B1623*IBGE_2!G$1623/100</f>
        <v>4.6760000000000002</v>
      </c>
      <c r="H1623" s="142">
        <f>B1623*IBGE_2!H$1623/100</f>
        <v>0.39800000000000002</v>
      </c>
      <c r="I1623" s="142">
        <f>B1623*IBGE_2!I$1623/100</f>
        <v>0.29699999999999999</v>
      </c>
      <c r="J1623" s="142">
        <f>B1623*IBGE_2!J$1623/100</f>
        <v>5.2999999999999999E-2</v>
      </c>
      <c r="K1623" s="142">
        <f>B1623*IBGE_2!K$1623/100</f>
        <v>86</v>
      </c>
      <c r="L1623" s="142" t="s">
        <v>3047</v>
      </c>
      <c r="M1623" s="142" t="s">
        <v>3047</v>
      </c>
      <c r="N1623" s="142">
        <f>B1623*IBGE_2!N$1623/100</f>
        <v>13</v>
      </c>
      <c r="O1623" s="142">
        <f>B1623*IBGE_2!O$1623/100</f>
        <v>21</v>
      </c>
      <c r="P1623" s="142">
        <f>B1623*IBGE_2!P$1623/100</f>
        <v>0.01</v>
      </c>
      <c r="Q1623" s="142">
        <f>B1623*IBGE_2!Q$1623/100</f>
        <v>193</v>
      </c>
      <c r="R1623" s="142">
        <f>B1623*IBGE_2!R$1623/100</f>
        <v>2.89</v>
      </c>
      <c r="S1623" s="142">
        <f>B1623*IBGE_2!S$1623/100</f>
        <v>61</v>
      </c>
      <c r="T1623" s="142">
        <f>B1623*IBGE_2!T$1623/100</f>
        <v>300</v>
      </c>
      <c r="U1623" s="142">
        <f>B1623*IBGE_2!U$1623/100</f>
        <v>7.8E-2</v>
      </c>
      <c r="V1623" s="142">
        <f>B1623*IBGE_2!V$1623/100</f>
        <v>6.65</v>
      </c>
      <c r="W1623" s="142" t="s">
        <v>3047</v>
      </c>
      <c r="X1623" s="142">
        <f>B1623*IBGE_2!X$1623/100</f>
        <v>3.6999999999999998E-2</v>
      </c>
      <c r="Y1623" s="142">
        <f>B1623*IBGE_2!Y$1623/100</f>
        <v>0.17199999999999999</v>
      </c>
      <c r="Z1623" s="142">
        <f>B1623*IBGE_2!Z$1623/100</f>
        <v>0.34799999999999998</v>
      </c>
      <c r="AA1623" s="142">
        <f>B1623*IBGE_2!AA$1623/100</f>
        <v>5.2279999999999998</v>
      </c>
      <c r="AB1623" s="142" t="s">
        <v>3047</v>
      </c>
      <c r="AC1623" s="142">
        <f>B1623*IBGE_2!AC$1623/100</f>
        <v>7.6950000000000003</v>
      </c>
      <c r="AD1623" s="142">
        <f>B1623*IBGE_2!AD$1623/100</f>
        <v>2.5</v>
      </c>
      <c r="AE1623" s="142">
        <f>B1623*IBGE_2!AE$1623/100</f>
        <v>6</v>
      </c>
      <c r="AF1623" s="142">
        <f>B1623*IBGE_2!AF$1623/100</f>
        <v>0.45</v>
      </c>
      <c r="AG1623" s="142">
        <f>B1623*IBGE_2!AG$1623/100</f>
        <v>0.41</v>
      </c>
      <c r="AH1623" s="142">
        <f>B1623*IBGE_2!AH$1623/100</f>
        <v>0.69199999999999984</v>
      </c>
      <c r="AI1623" s="142">
        <f>B1623*IBGE_2!AI$1623/100</f>
        <v>499</v>
      </c>
      <c r="AJ1623" s="142">
        <f>B1623*IBGE_2!AJ$1623/100</f>
        <v>21.6</v>
      </c>
      <c r="AK1623" s="142" t="s">
        <v>3047</v>
      </c>
      <c r="AL1623" s="142" t="s">
        <v>3047</v>
      </c>
      <c r="AM1623" s="142" t="s">
        <v>3047</v>
      </c>
      <c r="AN1623" s="161"/>
    </row>
    <row r="1624" spans="1:40">
      <c r="A1624" s="143" t="s">
        <v>2684</v>
      </c>
      <c r="B1624" s="141">
        <v>100</v>
      </c>
      <c r="C1624" s="142">
        <f>B1624*IBGE_2!C$1624/100</f>
        <v>214</v>
      </c>
      <c r="D1624" s="142">
        <f>B1624*IBGE_2!D$1624/100</f>
        <v>26.62</v>
      </c>
      <c r="E1624" s="142">
        <f>B1624*IBGE_2!E$1624/100</f>
        <v>11.1</v>
      </c>
      <c r="F1624" s="142">
        <f>B1624*IBGE_2!F$1624/100</f>
        <v>4.3789999999999996</v>
      </c>
      <c r="G1624" s="142">
        <f>B1624*IBGE_2!G$1624/100</f>
        <v>4.6760000000000002</v>
      </c>
      <c r="H1624" s="142">
        <f>B1624*IBGE_2!H$1624/100</f>
        <v>0.39800000000000002</v>
      </c>
      <c r="I1624" s="142">
        <f>B1624*IBGE_2!I$1624/100</f>
        <v>0.29699999999999999</v>
      </c>
      <c r="J1624" s="142">
        <f>B1624*IBGE_2!J$1624/100</f>
        <v>5.2999999999999999E-2</v>
      </c>
      <c r="K1624" s="142">
        <f>B1624*IBGE_2!K$1624/100</f>
        <v>86</v>
      </c>
      <c r="L1624" s="142" t="s">
        <v>3047</v>
      </c>
      <c r="M1624" s="142" t="s">
        <v>3047</v>
      </c>
      <c r="N1624" s="142">
        <f>B1624*IBGE_2!N$1624/100</f>
        <v>13</v>
      </c>
      <c r="O1624" s="142">
        <f>B1624*IBGE_2!O$1624/100</f>
        <v>21</v>
      </c>
      <c r="P1624" s="142">
        <f>B1624*IBGE_2!P$1624/100</f>
        <v>0.01</v>
      </c>
      <c r="Q1624" s="142">
        <f>B1624*IBGE_2!Q$1624/100</f>
        <v>193</v>
      </c>
      <c r="R1624" s="142">
        <f>B1624*IBGE_2!R$1624/100</f>
        <v>2.89</v>
      </c>
      <c r="S1624" s="142">
        <f>B1624*IBGE_2!S$1624/100</f>
        <v>61</v>
      </c>
      <c r="T1624" s="142">
        <f>B1624*IBGE_2!T$1624/100</f>
        <v>300</v>
      </c>
      <c r="U1624" s="142">
        <f>B1624*IBGE_2!U$1624/100</f>
        <v>7.8E-2</v>
      </c>
      <c r="V1624" s="142">
        <f>B1624*IBGE_2!V$1624/100</f>
        <v>6.65</v>
      </c>
      <c r="W1624" s="142" t="s">
        <v>3047</v>
      </c>
      <c r="X1624" s="142">
        <f>B1624*IBGE_2!X$1624/100</f>
        <v>3.6999999999999998E-2</v>
      </c>
      <c r="Y1624" s="142">
        <f>B1624*IBGE_2!Y$1624/100</f>
        <v>0.17199999999999999</v>
      </c>
      <c r="Z1624" s="142">
        <f>B1624*IBGE_2!Z$1624/100</f>
        <v>0.34799999999999998</v>
      </c>
      <c r="AA1624" s="142">
        <f>B1624*IBGE_2!AA$1624/100</f>
        <v>5.2279999999999998</v>
      </c>
      <c r="AB1624" s="142" t="s">
        <v>3047</v>
      </c>
      <c r="AC1624" s="142">
        <f>B1624*IBGE_2!AC$1624/100</f>
        <v>7.6950000000000003</v>
      </c>
      <c r="AD1624" s="142">
        <f>B1624*IBGE_2!AD$1624/100</f>
        <v>2.5</v>
      </c>
      <c r="AE1624" s="142">
        <f>B1624*IBGE_2!AE$1624/100</f>
        <v>6</v>
      </c>
      <c r="AF1624" s="142">
        <f>B1624*IBGE_2!AF$1624/100</f>
        <v>0.45</v>
      </c>
      <c r="AG1624" s="142">
        <f>B1624*IBGE_2!AG$1624/100</f>
        <v>0.41</v>
      </c>
      <c r="AH1624" s="142">
        <f>B1624*IBGE_2!AH$1624/100</f>
        <v>0.69199999999999984</v>
      </c>
      <c r="AI1624" s="142">
        <f>B1624*IBGE_2!AI$1624/100</f>
        <v>499</v>
      </c>
      <c r="AJ1624" s="142">
        <f>B1624*IBGE_2!AJ$1624/100</f>
        <v>21.6</v>
      </c>
      <c r="AK1624" s="142" t="s">
        <v>3047</v>
      </c>
      <c r="AL1624" s="142" t="s">
        <v>3047</v>
      </c>
      <c r="AM1624" s="142" t="s">
        <v>3047</v>
      </c>
      <c r="AN1624" s="161"/>
    </row>
    <row r="1625" spans="1:40">
      <c r="A1625" s="143" t="s">
        <v>2685</v>
      </c>
      <c r="B1625" s="141">
        <v>100</v>
      </c>
      <c r="C1625" s="142">
        <f>B1625*IBGE_2!C$1625/100</f>
        <v>214</v>
      </c>
      <c r="D1625" s="142">
        <f>B1625*IBGE_2!D$1625/100</f>
        <v>26.62</v>
      </c>
      <c r="E1625" s="142">
        <f>B1625*IBGE_2!E$1625/100</f>
        <v>11.1</v>
      </c>
      <c r="F1625" s="142">
        <f>B1625*IBGE_2!F$1625/100</f>
        <v>4.3789999999999996</v>
      </c>
      <c r="G1625" s="142">
        <f>B1625*IBGE_2!G$1625/100</f>
        <v>4.6760000000000002</v>
      </c>
      <c r="H1625" s="142">
        <f>B1625*IBGE_2!H$1625/100</f>
        <v>0.39800000000000002</v>
      </c>
      <c r="I1625" s="142">
        <f>B1625*IBGE_2!I$1625/100</f>
        <v>0.29699999999999999</v>
      </c>
      <c r="J1625" s="142">
        <f>B1625*IBGE_2!J$1625/100</f>
        <v>5.2999999999999999E-2</v>
      </c>
      <c r="K1625" s="142">
        <f>B1625*IBGE_2!K$1625/100</f>
        <v>86</v>
      </c>
      <c r="L1625" s="142" t="s">
        <v>3047</v>
      </c>
      <c r="M1625" s="142" t="s">
        <v>3047</v>
      </c>
      <c r="N1625" s="142">
        <f>B1625*IBGE_2!N$1625/100</f>
        <v>13</v>
      </c>
      <c r="O1625" s="142">
        <f>B1625*IBGE_2!O$1625/100</f>
        <v>21</v>
      </c>
      <c r="P1625" s="142">
        <f>B1625*IBGE_2!P$1625/100</f>
        <v>0.01</v>
      </c>
      <c r="Q1625" s="142">
        <f>B1625*IBGE_2!Q$1625/100</f>
        <v>193</v>
      </c>
      <c r="R1625" s="142">
        <f>B1625*IBGE_2!R$1625/100</f>
        <v>2.89</v>
      </c>
      <c r="S1625" s="142">
        <f>B1625*IBGE_2!S$1625/100</f>
        <v>61</v>
      </c>
      <c r="T1625" s="142">
        <f>B1625*IBGE_2!T$1625/100</f>
        <v>300</v>
      </c>
      <c r="U1625" s="142">
        <f>B1625*IBGE_2!U$1625/100</f>
        <v>7.8E-2</v>
      </c>
      <c r="V1625" s="142">
        <f>B1625*IBGE_2!V$1625/100</f>
        <v>6.65</v>
      </c>
      <c r="W1625" s="142" t="s">
        <v>3047</v>
      </c>
      <c r="X1625" s="142">
        <f>B1625*IBGE_2!X$1625/100</f>
        <v>3.6999999999999998E-2</v>
      </c>
      <c r="Y1625" s="142">
        <f>B1625*IBGE_2!Y$1625/100</f>
        <v>0.17199999999999999</v>
      </c>
      <c r="Z1625" s="142">
        <f>B1625*IBGE_2!Z$1625/100</f>
        <v>0.34799999999999998</v>
      </c>
      <c r="AA1625" s="142">
        <f>B1625*IBGE_2!AA$1625/100</f>
        <v>5.2279999999999998</v>
      </c>
      <c r="AB1625" s="142" t="s">
        <v>3047</v>
      </c>
      <c r="AC1625" s="142">
        <f>B1625*IBGE_2!AC$1625/100</f>
        <v>7.6950000000000003</v>
      </c>
      <c r="AD1625" s="142">
        <f>B1625*IBGE_2!AD$1625/100</f>
        <v>2.5</v>
      </c>
      <c r="AE1625" s="142">
        <f>B1625*IBGE_2!AE$1625/100</f>
        <v>6</v>
      </c>
      <c r="AF1625" s="142">
        <f>B1625*IBGE_2!AF$1625/100</f>
        <v>0.45</v>
      </c>
      <c r="AG1625" s="142">
        <f>B1625*IBGE_2!AG$1625/100</f>
        <v>0.41</v>
      </c>
      <c r="AH1625" s="142">
        <f>B1625*IBGE_2!AH$1625/100</f>
        <v>0.69199999999999984</v>
      </c>
      <c r="AI1625" s="142">
        <f>B1625*IBGE_2!AI$1625/100</f>
        <v>499</v>
      </c>
      <c r="AJ1625" s="142">
        <f>B1625*IBGE_2!AJ$1625/100</f>
        <v>21.6</v>
      </c>
      <c r="AK1625" s="142" t="s">
        <v>3047</v>
      </c>
      <c r="AL1625" s="142" t="s">
        <v>3047</v>
      </c>
      <c r="AM1625" s="142" t="s">
        <v>3047</v>
      </c>
      <c r="AN1625" s="161"/>
    </row>
    <row r="1626" spans="1:40">
      <c r="A1626" s="143" t="s">
        <v>2686</v>
      </c>
      <c r="B1626" s="141">
        <v>100</v>
      </c>
      <c r="C1626" s="142">
        <f>B1626*IBGE_2!C$1626/100</f>
        <v>236.65899999999999</v>
      </c>
      <c r="D1626" s="142">
        <f>B1626*IBGE_2!D$1626/100</f>
        <v>26.62</v>
      </c>
      <c r="E1626" s="142">
        <f>B1626*IBGE_2!E$1626/100</f>
        <v>13.663</v>
      </c>
      <c r="F1626" s="142">
        <f>B1626*IBGE_2!F$1626/100</f>
        <v>4.78</v>
      </c>
      <c r="G1626" s="142">
        <f>B1626*IBGE_2!G$1626/100</f>
        <v>5.26</v>
      </c>
      <c r="H1626" s="142">
        <f>B1626*IBGE_2!H$1626/100</f>
        <v>1.8779999999999999</v>
      </c>
      <c r="I1626" s="142">
        <f>B1626*IBGE_2!I$1626/100</f>
        <v>1.6030000000000002</v>
      </c>
      <c r="J1626" s="142">
        <f>B1626*IBGE_2!J$1626/100</f>
        <v>0.22699999999999998</v>
      </c>
      <c r="K1626" s="142">
        <f>B1626*IBGE_2!K$1626/100</f>
        <v>86</v>
      </c>
      <c r="L1626" s="142" t="s">
        <v>3047</v>
      </c>
      <c r="M1626" s="142" t="s">
        <v>3047</v>
      </c>
      <c r="N1626" s="142">
        <f>B1626*IBGE_2!N$1626/100</f>
        <v>13</v>
      </c>
      <c r="O1626" s="142">
        <f>B1626*IBGE_2!O$1626/100</f>
        <v>21</v>
      </c>
      <c r="P1626" s="142">
        <f>B1626*IBGE_2!P$1626/100</f>
        <v>0.01</v>
      </c>
      <c r="Q1626" s="142">
        <f>B1626*IBGE_2!Q$1626/100</f>
        <v>193</v>
      </c>
      <c r="R1626" s="142">
        <f>B1626*IBGE_2!R$1626/100</f>
        <v>2.891</v>
      </c>
      <c r="S1626" s="142">
        <f>B1626*IBGE_2!S$1626/100</f>
        <v>61</v>
      </c>
      <c r="T1626" s="142">
        <f>B1626*IBGE_2!T$1626/100</f>
        <v>300</v>
      </c>
      <c r="U1626" s="142">
        <f>B1626*IBGE_2!U$1626/100</f>
        <v>7.8E-2</v>
      </c>
      <c r="V1626" s="142">
        <f>B1626*IBGE_2!V$1626/100</f>
        <v>6.65</v>
      </c>
      <c r="W1626" s="142" t="s">
        <v>3047</v>
      </c>
      <c r="X1626" s="142">
        <f>B1626*IBGE_2!X$1626/100</f>
        <v>3.6999999999999998E-2</v>
      </c>
      <c r="Y1626" s="142">
        <f>B1626*IBGE_2!Y$1626/100</f>
        <v>0.17199999999999999</v>
      </c>
      <c r="Z1626" s="142">
        <f>B1626*IBGE_2!Z$1626/100</f>
        <v>0.34799999999999998</v>
      </c>
      <c r="AA1626" s="142">
        <f>B1626*IBGE_2!AA$1626/100</f>
        <v>5.2279999999999998</v>
      </c>
      <c r="AB1626" s="142" t="s">
        <v>3047</v>
      </c>
      <c r="AC1626" s="142">
        <f>B1626*IBGE_2!AC$1626/100</f>
        <v>7.6950000000000003</v>
      </c>
      <c r="AD1626" s="142">
        <f>B1626*IBGE_2!AD$1626/100</f>
        <v>2.5</v>
      </c>
      <c r="AE1626" s="142">
        <f>B1626*IBGE_2!AE$1626/100</f>
        <v>6</v>
      </c>
      <c r="AF1626" s="142">
        <f>B1626*IBGE_2!AF$1626/100</f>
        <v>0.45</v>
      </c>
      <c r="AG1626" s="142">
        <f>B1626*IBGE_2!AG$1626/100</f>
        <v>0.62</v>
      </c>
      <c r="AH1626" s="142">
        <f>B1626*IBGE_2!AH$1626/100</f>
        <v>0.70599999999999996</v>
      </c>
      <c r="AI1626" s="142">
        <f>B1626*IBGE_2!AI$1626/100</f>
        <v>499</v>
      </c>
      <c r="AJ1626" s="142">
        <f>B1626*IBGE_2!AJ$1626/100</f>
        <v>22.774999999999999</v>
      </c>
      <c r="AK1626" s="142" t="s">
        <v>3047</v>
      </c>
      <c r="AL1626" s="142" t="s">
        <v>3047</v>
      </c>
      <c r="AM1626" s="142" t="s">
        <v>3047</v>
      </c>
      <c r="AN1626" s="161"/>
    </row>
    <row r="1627" spans="1:40">
      <c r="A1627" s="143" t="s">
        <v>2687</v>
      </c>
      <c r="B1627" s="141">
        <v>100</v>
      </c>
      <c r="C1627" s="142">
        <f>B1627*IBGE_2!C$1627/100</f>
        <v>176</v>
      </c>
      <c r="D1627" s="142">
        <f>B1627*IBGE_2!D$1627/100</f>
        <v>21.56</v>
      </c>
      <c r="E1627" s="142">
        <f>B1627*IBGE_2!E$1627/100</f>
        <v>8.9160000000000004</v>
      </c>
      <c r="F1627" s="142">
        <f>B1627*IBGE_2!F$1627/100</f>
        <v>3.508</v>
      </c>
      <c r="G1627" s="142">
        <f>B1627*IBGE_2!G$1627/100</f>
        <v>3.7460000000000004</v>
      </c>
      <c r="H1627" s="142">
        <f>B1627*IBGE_2!H$1627/100</f>
        <v>0.33300000000000002</v>
      </c>
      <c r="I1627" s="142">
        <f>B1627*IBGE_2!I$1627/100</f>
        <v>0.251</v>
      </c>
      <c r="J1627" s="142">
        <f>B1627*IBGE_2!J$1627/100</f>
        <v>4.2999999999999997E-2</v>
      </c>
      <c r="K1627" s="142">
        <f>B1627*IBGE_2!K$1627/100</f>
        <v>68.8</v>
      </c>
      <c r="L1627" s="142">
        <f>B1627*IBGE_2!L$1627/100</f>
        <v>1.0760000000000001</v>
      </c>
      <c r="M1627" s="142">
        <f>B1627*IBGE_2!M$1627/100</f>
        <v>0.3</v>
      </c>
      <c r="N1627" s="142">
        <f>B1627*IBGE_2!N$1627/100</f>
        <v>13</v>
      </c>
      <c r="O1627" s="142">
        <f>B1627*IBGE_2!O$1627/100</f>
        <v>20</v>
      </c>
      <c r="P1627" s="142">
        <f>B1627*IBGE_2!P$1627/100</f>
        <v>2.9000000000000005E-2</v>
      </c>
      <c r="Q1627" s="142">
        <f>B1627*IBGE_2!Q$1627/100</f>
        <v>159.6</v>
      </c>
      <c r="R1627" s="142">
        <f>B1627*IBGE_2!R$1627/100</f>
        <v>2.516</v>
      </c>
      <c r="S1627" s="142">
        <f>B1627*IBGE_2!S$1627/100</f>
        <v>153.6</v>
      </c>
      <c r="T1627" s="142">
        <f>B1627*IBGE_2!T$1627/100</f>
        <v>306.2</v>
      </c>
      <c r="U1627" s="142">
        <f>B1627*IBGE_2!U$1627/100</f>
        <v>8.5999999999999993E-2</v>
      </c>
      <c r="V1627" s="142">
        <f>B1627*IBGE_2!V$1627/100</f>
        <v>5.36</v>
      </c>
      <c r="W1627" s="142" t="s">
        <v>3047</v>
      </c>
      <c r="X1627" s="142">
        <f>B1627*IBGE_2!X$1627/100</f>
        <v>3.4000000000000002E-2</v>
      </c>
      <c r="Y1627" s="142">
        <f>B1627*IBGE_2!Y$1627/100</f>
        <v>0.151</v>
      </c>
      <c r="Z1627" s="142">
        <f>B1627*IBGE_2!Z$1627/100</f>
        <v>0.29799999999999999</v>
      </c>
      <c r="AA1627" s="142">
        <f>B1627*IBGE_2!AA$1627/100</f>
        <v>4.3769999999999998</v>
      </c>
      <c r="AB1627" s="142">
        <f>B1627*IBGE_2!AB$1627/100</f>
        <v>1.4</v>
      </c>
      <c r="AC1627" s="142">
        <f>B1627*IBGE_2!AC$1627/100</f>
        <v>6.3840000000000012</v>
      </c>
      <c r="AD1627" s="142">
        <f>B1627*IBGE_2!AD$1627/100</f>
        <v>2</v>
      </c>
      <c r="AE1627" s="142">
        <f>B1627*IBGE_2!AE$1627/100</f>
        <v>7</v>
      </c>
      <c r="AF1627" s="142">
        <f>B1627*IBGE_2!AF$1627/100</f>
        <v>0.36</v>
      </c>
      <c r="AG1627" s="142">
        <f>B1627*IBGE_2!AG$1627/100</f>
        <v>0.61199999999999999</v>
      </c>
      <c r="AH1627" s="142">
        <f>B1627*IBGE_2!AH$1627/100</f>
        <v>0.55400000000000005</v>
      </c>
      <c r="AI1627" s="142">
        <f>B1627*IBGE_2!AI$1627/100</f>
        <v>499</v>
      </c>
      <c r="AJ1627" s="142">
        <f>B1627*IBGE_2!AJ$1627/100</f>
        <v>17.32</v>
      </c>
      <c r="AK1627" s="142">
        <f>B1627*IBGE_2!AK$1627/100</f>
        <v>3.4830000000000001</v>
      </c>
      <c r="AL1627" s="142">
        <f>B1627*IBGE_2!AL$1627/100</f>
        <v>0.85</v>
      </c>
      <c r="AM1627" s="142" t="s">
        <v>3047</v>
      </c>
      <c r="AN1627" s="161"/>
    </row>
    <row r="1628" spans="1:40">
      <c r="A1628" s="143" t="s">
        <v>2688</v>
      </c>
      <c r="B1628" s="141">
        <v>100</v>
      </c>
      <c r="C1628" s="142">
        <f>B1628*IBGE_2!C$1628/100</f>
        <v>214</v>
      </c>
      <c r="D1628" s="142">
        <f>B1628*IBGE_2!D$1628/100</f>
        <v>26.62</v>
      </c>
      <c r="E1628" s="142">
        <f>B1628*IBGE_2!E$1628/100</f>
        <v>11.1</v>
      </c>
      <c r="F1628" s="142">
        <f>B1628*IBGE_2!F$1628/100</f>
        <v>4.3789999999999996</v>
      </c>
      <c r="G1628" s="142">
        <f>B1628*IBGE_2!G$1628/100</f>
        <v>4.6760000000000002</v>
      </c>
      <c r="H1628" s="142">
        <f>B1628*IBGE_2!H$1628/100</f>
        <v>0.39800000000000002</v>
      </c>
      <c r="I1628" s="142">
        <f>B1628*IBGE_2!I$1628/100</f>
        <v>0.29699999999999999</v>
      </c>
      <c r="J1628" s="142">
        <f>B1628*IBGE_2!J$1628/100</f>
        <v>5.2999999999999999E-2</v>
      </c>
      <c r="K1628" s="142">
        <f>B1628*IBGE_2!K$1628/100</f>
        <v>86</v>
      </c>
      <c r="L1628" s="142" t="s">
        <v>3047</v>
      </c>
      <c r="M1628" s="142" t="s">
        <v>3047</v>
      </c>
      <c r="N1628" s="142">
        <f>B1628*IBGE_2!N$1628/100</f>
        <v>13</v>
      </c>
      <c r="O1628" s="142">
        <f>B1628*IBGE_2!O$1628/100</f>
        <v>21</v>
      </c>
      <c r="P1628" s="142">
        <f>B1628*IBGE_2!P$1628/100</f>
        <v>0.01</v>
      </c>
      <c r="Q1628" s="142">
        <f>B1628*IBGE_2!Q$1628/100</f>
        <v>193</v>
      </c>
      <c r="R1628" s="142">
        <f>B1628*IBGE_2!R$1628/100</f>
        <v>2.89</v>
      </c>
      <c r="S1628" s="142">
        <f>B1628*IBGE_2!S$1628/100</f>
        <v>61</v>
      </c>
      <c r="T1628" s="142">
        <f>B1628*IBGE_2!T$1628/100</f>
        <v>300</v>
      </c>
      <c r="U1628" s="142">
        <f>B1628*IBGE_2!U$1628/100</f>
        <v>7.8E-2</v>
      </c>
      <c r="V1628" s="142">
        <f>B1628*IBGE_2!V$1628/100</f>
        <v>6.65</v>
      </c>
      <c r="W1628" s="142" t="s">
        <v>3047</v>
      </c>
      <c r="X1628" s="142">
        <f>B1628*IBGE_2!X$1628/100</f>
        <v>3.6999999999999998E-2</v>
      </c>
      <c r="Y1628" s="142">
        <f>B1628*IBGE_2!Y$1628/100</f>
        <v>0.17199999999999999</v>
      </c>
      <c r="Z1628" s="142">
        <f>B1628*IBGE_2!Z$1628/100</f>
        <v>0.34799999999999998</v>
      </c>
      <c r="AA1628" s="142">
        <f>B1628*IBGE_2!AA$1628/100</f>
        <v>5.2279999999999998</v>
      </c>
      <c r="AB1628" s="142" t="s">
        <v>3047</v>
      </c>
      <c r="AC1628" s="142">
        <f>B1628*IBGE_2!AC$1628/100</f>
        <v>7.6950000000000003</v>
      </c>
      <c r="AD1628" s="142">
        <f>B1628*IBGE_2!AD$1628/100</f>
        <v>2.5</v>
      </c>
      <c r="AE1628" s="142">
        <f>B1628*IBGE_2!AE$1628/100</f>
        <v>6</v>
      </c>
      <c r="AF1628" s="142">
        <f>B1628*IBGE_2!AF$1628/100</f>
        <v>0.45</v>
      </c>
      <c r="AG1628" s="142">
        <f>B1628*IBGE_2!AG$1628/100</f>
        <v>0.41</v>
      </c>
      <c r="AH1628" s="142">
        <f>B1628*IBGE_2!AH$1628/100</f>
        <v>0.69199999999999984</v>
      </c>
      <c r="AI1628" s="142">
        <f>B1628*IBGE_2!AI$1628/100</f>
        <v>499</v>
      </c>
      <c r="AJ1628" s="142">
        <f>B1628*IBGE_2!AJ$1628/100</f>
        <v>21.6</v>
      </c>
      <c r="AK1628" s="142" t="s">
        <v>3047</v>
      </c>
      <c r="AL1628" s="142" t="s">
        <v>3047</v>
      </c>
      <c r="AM1628" s="142" t="s">
        <v>3047</v>
      </c>
      <c r="AN1628" s="161"/>
    </row>
    <row r="1629" spans="1:40">
      <c r="A1629" s="143" t="s">
        <v>2689</v>
      </c>
      <c r="B1629" s="141">
        <v>100</v>
      </c>
      <c r="C1629" s="142">
        <f>B1629*IBGE_2!C$1629/100</f>
        <v>248.65899999999999</v>
      </c>
      <c r="D1629" s="142">
        <f>B1629*IBGE_2!D$1629/100</f>
        <v>20.53</v>
      </c>
      <c r="E1629" s="142">
        <f>B1629*IBGE_2!E$1629/100</f>
        <v>17.763000000000002</v>
      </c>
      <c r="F1629" s="142">
        <f>B1629*IBGE_2!F$1629/100</f>
        <v>5.4409999999999998</v>
      </c>
      <c r="G1629" s="142">
        <f>B1629*IBGE_2!G$1629/100</f>
        <v>7.6539999999999999</v>
      </c>
      <c r="H1629" s="142">
        <f>B1629*IBGE_2!H$1629/100</f>
        <v>3.26</v>
      </c>
      <c r="I1629" s="142">
        <f>B1629*IBGE_2!I$1629/100</f>
        <v>2.9260000000000002</v>
      </c>
      <c r="J1629" s="142">
        <f>B1629*IBGE_2!J$1629/100</f>
        <v>0.33399999999999996</v>
      </c>
      <c r="K1629" s="142">
        <f>B1629*IBGE_2!K$1629/100</f>
        <v>62</v>
      </c>
      <c r="L1629" s="142">
        <f>B1629*IBGE_2!L$1629/100</f>
        <v>0.42</v>
      </c>
      <c r="M1629" s="142" t="s">
        <v>3047</v>
      </c>
      <c r="N1629" s="142">
        <f>B1629*IBGE_2!N$1629/100</f>
        <v>8</v>
      </c>
      <c r="O1629" s="142">
        <f>B1629*IBGE_2!O$1629/100</f>
        <v>17</v>
      </c>
      <c r="P1629" s="142">
        <f>B1629*IBGE_2!P$1629/100</f>
        <v>2.9000000000000005E-2</v>
      </c>
      <c r="Q1629" s="142">
        <f>B1629*IBGE_2!Q$1629/100</f>
        <v>243</v>
      </c>
      <c r="R1629" s="142">
        <f>B1629*IBGE_2!R$1629/100</f>
        <v>1.371</v>
      </c>
      <c r="S1629" s="142">
        <f>B1629*IBGE_2!S$1629/100</f>
        <v>941</v>
      </c>
      <c r="T1629" s="142">
        <f>B1629*IBGE_2!T$1629/100</f>
        <v>357</v>
      </c>
      <c r="U1629" s="142">
        <f>B1629*IBGE_2!U$1629/100</f>
        <v>0.13</v>
      </c>
      <c r="V1629" s="142">
        <f>B1629*IBGE_2!V$1629/100</f>
        <v>2.5</v>
      </c>
      <c r="W1629" s="142" t="s">
        <v>3047</v>
      </c>
      <c r="X1629" s="142">
        <f>B1629*IBGE_2!X$1629/100</f>
        <v>0.82</v>
      </c>
      <c r="Y1629" s="142">
        <f>B1629*IBGE_2!Y$1629/100</f>
        <v>0.26</v>
      </c>
      <c r="Z1629" s="142">
        <f>B1629*IBGE_2!Z$1629/100</f>
        <v>0.3</v>
      </c>
      <c r="AA1629" s="142">
        <f>B1629*IBGE_2!AA$1629/100</f>
        <v>5.3</v>
      </c>
      <c r="AB1629" s="142" t="s">
        <v>3047</v>
      </c>
      <c r="AC1629" s="142">
        <f>B1629*IBGE_2!AC$1629/100</f>
        <v>9.1829999999999998</v>
      </c>
      <c r="AD1629" s="142">
        <f>B1629*IBGE_2!AD$1629/100</f>
        <v>1.06</v>
      </c>
      <c r="AE1629" s="142">
        <f>B1629*IBGE_2!AE$1629/100</f>
        <v>5</v>
      </c>
      <c r="AF1629" s="142">
        <f>B1629*IBGE_2!AF$1629/100</f>
        <v>0.79600000000000004</v>
      </c>
      <c r="AG1629" s="142">
        <f>B1629*IBGE_2!AG$1629/100</f>
        <v>0.49</v>
      </c>
      <c r="AH1629" s="142">
        <f>B1629*IBGE_2!AH$1629/100</f>
        <v>5.6000000000000008E-2</v>
      </c>
      <c r="AI1629" s="142" t="s">
        <v>3047</v>
      </c>
      <c r="AJ1629" s="142">
        <f>B1629*IBGE_2!AJ$1629/100</f>
        <v>37.075000000000003</v>
      </c>
      <c r="AK1629" s="142" t="s">
        <v>3047</v>
      </c>
      <c r="AL1629" s="142" t="s">
        <v>3047</v>
      </c>
      <c r="AM1629" s="142" t="s">
        <v>3047</v>
      </c>
      <c r="AN1629" s="161"/>
    </row>
    <row r="1630" spans="1:40">
      <c r="A1630" s="143" t="s">
        <v>2690</v>
      </c>
      <c r="B1630" s="141">
        <v>100</v>
      </c>
      <c r="C1630" s="142">
        <f>B1630*IBGE_2!C$1630/100</f>
        <v>541</v>
      </c>
      <c r="D1630" s="142">
        <f>B1630*IBGE_2!D$1630/100</f>
        <v>37.04</v>
      </c>
      <c r="E1630" s="142">
        <f>B1630*IBGE_2!E$1630/100</f>
        <v>41.78</v>
      </c>
      <c r="F1630" s="142">
        <f>B1630*IBGE_2!F$1630/100</f>
        <v>13.739000000000001</v>
      </c>
      <c r="G1630" s="142">
        <f>B1630*IBGE_2!G$1630/100</f>
        <v>18.52</v>
      </c>
      <c r="H1630" s="142">
        <f>B1630*IBGE_2!H$1630/100</f>
        <v>4.548</v>
      </c>
      <c r="I1630" s="142">
        <f>B1630*IBGE_2!I$1630/100</f>
        <v>4</v>
      </c>
      <c r="J1630" s="142">
        <f>B1630*IBGE_2!J$1630/100</f>
        <v>0.2</v>
      </c>
      <c r="K1630" s="142">
        <f>B1630*IBGE_2!K$1630/100</f>
        <v>110</v>
      </c>
      <c r="L1630" s="142">
        <f>B1630*IBGE_2!L$1630/100</f>
        <v>1.43</v>
      </c>
      <c r="M1630" s="142" t="s">
        <v>3047</v>
      </c>
      <c r="N1630" s="142">
        <f>B1630*IBGE_2!N$1630/100</f>
        <v>11</v>
      </c>
      <c r="O1630" s="142">
        <f>B1630*IBGE_2!O$1630/100</f>
        <v>33</v>
      </c>
      <c r="P1630" s="142">
        <f>B1630*IBGE_2!P$1630/100</f>
        <v>2.1999999999999999E-2</v>
      </c>
      <c r="Q1630" s="142">
        <f>B1630*IBGE_2!Q$1630/100</f>
        <v>533</v>
      </c>
      <c r="R1630" s="142">
        <f>B1630*IBGE_2!R$1630/100</f>
        <v>1.44</v>
      </c>
      <c r="S1630" s="142">
        <f>B1630*IBGE_2!S$1630/100</f>
        <v>2310</v>
      </c>
      <c r="T1630" s="142">
        <f>B1630*IBGE_2!T$1630/100</f>
        <v>565</v>
      </c>
      <c r="U1630" s="142">
        <f>B1630*IBGE_2!U$1630/100</f>
        <v>0.16400000000000003</v>
      </c>
      <c r="V1630" s="142">
        <f>B1630*IBGE_2!V$1630/100</f>
        <v>3.5</v>
      </c>
      <c r="W1630" s="142">
        <f>B1630*IBGE_2!W$1630/100</f>
        <v>11</v>
      </c>
      <c r="X1630" s="142">
        <f>B1630*IBGE_2!X$1630/100</f>
        <v>0.40400000000000008</v>
      </c>
      <c r="Y1630" s="142">
        <f>B1630*IBGE_2!Y$1630/100</f>
        <v>0.26400000000000001</v>
      </c>
      <c r="Z1630" s="142">
        <f>B1630*IBGE_2!Z$1630/100</f>
        <v>0.34899999999999998</v>
      </c>
      <c r="AA1630" s="142">
        <f>B1630*IBGE_2!AA$1630/100</f>
        <v>11.099</v>
      </c>
      <c r="AB1630" s="142" t="s">
        <v>3047</v>
      </c>
      <c r="AC1630" s="142">
        <f>B1630*IBGE_2!AC$1630/100</f>
        <v>16.449000000000002</v>
      </c>
      <c r="AD1630" s="142">
        <f>B1630*IBGE_2!AD$1630/100</f>
        <v>1.23</v>
      </c>
      <c r="AE1630" s="142">
        <f>B1630*IBGE_2!AE$1630/100</f>
        <v>2</v>
      </c>
      <c r="AF1630" s="142">
        <f>B1630*IBGE_2!AF$1630/100</f>
        <v>0.7</v>
      </c>
      <c r="AG1630" s="142">
        <f>B1630*IBGE_2!AG$1630/100</f>
        <v>0.31</v>
      </c>
      <c r="AH1630" s="142">
        <f>B1630*IBGE_2!AH$1630/100</f>
        <v>0.31</v>
      </c>
      <c r="AI1630" s="142" t="s">
        <v>3047</v>
      </c>
      <c r="AJ1630" s="142">
        <f>B1630*IBGE_2!AJ$1630/100</f>
        <v>62</v>
      </c>
      <c r="AK1630" s="142">
        <f>B1630*IBGE_2!AK$1630/100</f>
        <v>11</v>
      </c>
      <c r="AL1630" s="142">
        <f>B1630*IBGE_2!AL$1630/100</f>
        <v>0.59</v>
      </c>
      <c r="AM1630" s="142">
        <f>B1630*IBGE_2!AM$1630/100</f>
        <v>1.43</v>
      </c>
      <c r="AN1630" s="161"/>
    </row>
    <row r="1631" spans="1:40">
      <c r="A1631" s="143" t="s">
        <v>2691</v>
      </c>
      <c r="B1631" s="141">
        <v>100</v>
      </c>
      <c r="C1631" s="142">
        <f>B1631*IBGE_2!C$1631/100</f>
        <v>206.14</v>
      </c>
      <c r="D1631" s="142">
        <f>B1631*IBGE_2!D$1631/100</f>
        <v>16.187999999999999</v>
      </c>
      <c r="E1631" s="142">
        <f>B1631*IBGE_2!E$1631/100</f>
        <v>9.7080000000000002</v>
      </c>
      <c r="F1631" s="142">
        <f>B1631*IBGE_2!F$1631/100</f>
        <v>2.9249999999999998</v>
      </c>
      <c r="G1631" s="142">
        <f>B1631*IBGE_2!G$1631/100</f>
        <v>3.6309999999999998</v>
      </c>
      <c r="H1631" s="142">
        <f>B1631*IBGE_2!H$1631/100</f>
        <v>2.226</v>
      </c>
      <c r="I1631" s="142">
        <f>B1631*IBGE_2!I$1631/100</f>
        <v>1.9609999999999999</v>
      </c>
      <c r="J1631" s="142">
        <f>B1631*IBGE_2!J$1631/100</f>
        <v>0.152</v>
      </c>
      <c r="K1631" s="142">
        <f>B1631*IBGE_2!K$1631/100</f>
        <v>44.338000000000001</v>
      </c>
      <c r="L1631" s="142">
        <f>B1631*IBGE_2!L$1631/100</f>
        <v>12.644</v>
      </c>
      <c r="M1631" s="142">
        <f>B1631*IBGE_2!M$1631/100</f>
        <v>0.60699999999999998</v>
      </c>
      <c r="N1631" s="142">
        <f>B1631*IBGE_2!N$1631/100</f>
        <v>71.171999999999997</v>
      </c>
      <c r="O1631" s="142">
        <f>B1631*IBGE_2!O$1631/100</f>
        <v>20.849</v>
      </c>
      <c r="P1631" s="142">
        <f>B1631*IBGE_2!P$1631/100</f>
        <v>0.13300000000000001</v>
      </c>
      <c r="Q1631" s="142">
        <f>B1631*IBGE_2!Q$1631/100</f>
        <v>146.929</v>
      </c>
      <c r="R1631" s="142">
        <f>B1631*IBGE_2!R$1631/100</f>
        <v>1.2589999999999999</v>
      </c>
      <c r="S1631" s="142">
        <f>B1631*IBGE_2!S$1631/100</f>
        <v>121.92100000000001</v>
      </c>
      <c r="T1631" s="142">
        <f>B1631*IBGE_2!T$1631/100</f>
        <v>197.35299999999998</v>
      </c>
      <c r="U1631" s="142">
        <f>B1631*IBGE_2!U$1631/100</f>
        <v>6.8000000000000005E-2</v>
      </c>
      <c r="V1631" s="142">
        <f>B1631*IBGE_2!V$1631/100</f>
        <v>1.288</v>
      </c>
      <c r="W1631" s="142">
        <f>B1631*IBGE_2!W$1631/100</f>
        <v>18.68</v>
      </c>
      <c r="X1631" s="142">
        <f>B1631*IBGE_2!X$1631/100</f>
        <v>0.17899999999999999</v>
      </c>
      <c r="Y1631" s="142">
        <f>B1631*IBGE_2!Y$1631/100</f>
        <v>0.218</v>
      </c>
      <c r="Z1631" s="142">
        <f>B1631*IBGE_2!Z$1631/100</f>
        <v>0.24399999999999999</v>
      </c>
      <c r="AA1631" s="142">
        <f>B1631*IBGE_2!AA$1631/100</f>
        <v>5.109</v>
      </c>
      <c r="AB1631" s="142">
        <f>B1631*IBGE_2!AB$1631/100</f>
        <v>0.60399999999999998</v>
      </c>
      <c r="AC1631" s="142">
        <f>B1631*IBGE_2!AC$1631/100</f>
        <v>8.532</v>
      </c>
      <c r="AD1631" s="142">
        <f>B1631*IBGE_2!AD$1631/100</f>
        <v>0.36099999999999999</v>
      </c>
      <c r="AE1631" s="142">
        <f>B1631*IBGE_2!AE$1631/100</f>
        <v>31.003</v>
      </c>
      <c r="AF1631" s="142">
        <f>B1631*IBGE_2!AF$1631/100</f>
        <v>0.59</v>
      </c>
      <c r="AG1631" s="142">
        <f>B1631*IBGE_2!AG$1631/100</f>
        <v>0.19600000000000001</v>
      </c>
      <c r="AH1631" s="142">
        <f>B1631*IBGE_2!AH$1631/100</f>
        <v>0.92500000000000004</v>
      </c>
      <c r="AI1631" s="142">
        <f>B1631*IBGE_2!AI$1631/100</f>
        <v>197</v>
      </c>
      <c r="AJ1631" s="142">
        <f>B1631*IBGE_2!AJ$1631/100</f>
        <v>15.53</v>
      </c>
      <c r="AK1631" s="142">
        <f>B1631*IBGE_2!AK$1631/100</f>
        <v>19.739999999999998</v>
      </c>
      <c r="AL1631" s="142">
        <f>B1631*IBGE_2!AL$1631/100</f>
        <v>2.8530000000000002</v>
      </c>
      <c r="AM1631" s="142">
        <f>B1631*IBGE_2!AM$1631/100</f>
        <v>1.097</v>
      </c>
      <c r="AN1631" s="161"/>
    </row>
    <row r="1632" spans="1:40">
      <c r="A1632" s="143" t="s">
        <v>2692</v>
      </c>
      <c r="B1632" s="141">
        <v>100</v>
      </c>
      <c r="C1632" s="142">
        <f>B1632*IBGE_2!C$1632/100</f>
        <v>206.14</v>
      </c>
      <c r="D1632" s="142">
        <f>B1632*IBGE_2!D$1632/100</f>
        <v>16.187999999999999</v>
      </c>
      <c r="E1632" s="142">
        <f>B1632*IBGE_2!E$1632/100</f>
        <v>9.7080000000000002</v>
      </c>
      <c r="F1632" s="142">
        <f>B1632*IBGE_2!F$1632/100</f>
        <v>2.9249999999999998</v>
      </c>
      <c r="G1632" s="142">
        <f>B1632*IBGE_2!G$1632/100</f>
        <v>3.6309999999999998</v>
      </c>
      <c r="H1632" s="142">
        <f>B1632*IBGE_2!H$1632/100</f>
        <v>2.226</v>
      </c>
      <c r="I1632" s="142">
        <f>B1632*IBGE_2!I$1632/100</f>
        <v>1.9609999999999999</v>
      </c>
      <c r="J1632" s="142">
        <f>B1632*IBGE_2!J$1632/100</f>
        <v>0.152</v>
      </c>
      <c r="K1632" s="142">
        <f>B1632*IBGE_2!K$1632/100</f>
        <v>44.338000000000001</v>
      </c>
      <c r="L1632" s="142">
        <f>B1632*IBGE_2!L$1632/100</f>
        <v>12.644</v>
      </c>
      <c r="M1632" s="142">
        <f>B1632*IBGE_2!M$1632/100</f>
        <v>0.60699999999999998</v>
      </c>
      <c r="N1632" s="142">
        <f>B1632*IBGE_2!N$1632/100</f>
        <v>71.171999999999997</v>
      </c>
      <c r="O1632" s="142">
        <f>B1632*IBGE_2!O$1632/100</f>
        <v>20.849</v>
      </c>
      <c r="P1632" s="142">
        <f>B1632*IBGE_2!P$1632/100</f>
        <v>0.13300000000000001</v>
      </c>
      <c r="Q1632" s="142">
        <f>B1632*IBGE_2!Q$1632/100</f>
        <v>146.929</v>
      </c>
      <c r="R1632" s="142">
        <f>B1632*IBGE_2!R$1632/100</f>
        <v>1.2589999999999999</v>
      </c>
      <c r="S1632" s="142">
        <f>B1632*IBGE_2!S$1632/100</f>
        <v>121.92100000000001</v>
      </c>
      <c r="T1632" s="142">
        <f>B1632*IBGE_2!T$1632/100</f>
        <v>197.35299999999998</v>
      </c>
      <c r="U1632" s="142">
        <f>B1632*IBGE_2!U$1632/100</f>
        <v>6.8000000000000005E-2</v>
      </c>
      <c r="V1632" s="142">
        <f>B1632*IBGE_2!V$1632/100</f>
        <v>1.288</v>
      </c>
      <c r="W1632" s="142">
        <f>B1632*IBGE_2!W$1632/100</f>
        <v>18.68</v>
      </c>
      <c r="X1632" s="142">
        <f>B1632*IBGE_2!X$1632/100</f>
        <v>0.17899999999999999</v>
      </c>
      <c r="Y1632" s="142">
        <f>B1632*IBGE_2!Y$1632/100</f>
        <v>0.218</v>
      </c>
      <c r="Z1632" s="142">
        <f>B1632*IBGE_2!Z$1632/100</f>
        <v>0.24399999999999999</v>
      </c>
      <c r="AA1632" s="142">
        <f>B1632*IBGE_2!AA$1632/100</f>
        <v>5.109</v>
      </c>
      <c r="AB1632" s="142">
        <f>B1632*IBGE_2!AB$1632/100</f>
        <v>0.60399999999999998</v>
      </c>
      <c r="AC1632" s="142">
        <f>B1632*IBGE_2!AC$1632/100</f>
        <v>8.532</v>
      </c>
      <c r="AD1632" s="142">
        <f>B1632*IBGE_2!AD$1632/100</f>
        <v>0.36099999999999999</v>
      </c>
      <c r="AE1632" s="142">
        <f>B1632*IBGE_2!AE$1632/100</f>
        <v>31.003</v>
      </c>
      <c r="AF1632" s="142">
        <f>B1632*IBGE_2!AF$1632/100</f>
        <v>0.59</v>
      </c>
      <c r="AG1632" s="142">
        <f>B1632*IBGE_2!AG$1632/100</f>
        <v>0.19600000000000001</v>
      </c>
      <c r="AH1632" s="142">
        <f>B1632*IBGE_2!AH$1632/100</f>
        <v>0.92500000000000004</v>
      </c>
      <c r="AI1632" s="142">
        <f>B1632*IBGE_2!AI$1632/100</f>
        <v>197</v>
      </c>
      <c r="AJ1632" s="142">
        <f>B1632*IBGE_2!AJ$1632/100</f>
        <v>15.53</v>
      </c>
      <c r="AK1632" s="142">
        <f>B1632*IBGE_2!AK$1632/100</f>
        <v>19.739999999999998</v>
      </c>
      <c r="AL1632" s="142">
        <f>B1632*IBGE_2!AL$1632/100</f>
        <v>2.8530000000000002</v>
      </c>
      <c r="AM1632" s="142">
        <f>B1632*IBGE_2!AM$1632/100</f>
        <v>1.097</v>
      </c>
      <c r="AN1632" s="161"/>
    </row>
    <row r="1633" spans="1:40">
      <c r="A1633" s="143" t="s">
        <v>2693</v>
      </c>
      <c r="B1633" s="141">
        <v>100</v>
      </c>
      <c r="C1633" s="142">
        <f>B1633*IBGE_2!C$1633/100</f>
        <v>206.14</v>
      </c>
      <c r="D1633" s="142">
        <f>B1633*IBGE_2!D$1633/100</f>
        <v>16.187999999999999</v>
      </c>
      <c r="E1633" s="142">
        <f>B1633*IBGE_2!E$1633/100</f>
        <v>9.7080000000000002</v>
      </c>
      <c r="F1633" s="142">
        <f>B1633*IBGE_2!F$1633/100</f>
        <v>2.9249999999999998</v>
      </c>
      <c r="G1633" s="142">
        <f>B1633*IBGE_2!G$1633/100</f>
        <v>3.6309999999999998</v>
      </c>
      <c r="H1633" s="142">
        <f>B1633*IBGE_2!H$1633/100</f>
        <v>2.226</v>
      </c>
      <c r="I1633" s="142">
        <f>B1633*IBGE_2!I$1633/100</f>
        <v>1.9609999999999999</v>
      </c>
      <c r="J1633" s="142">
        <f>B1633*IBGE_2!J$1633/100</f>
        <v>0.152</v>
      </c>
      <c r="K1633" s="142">
        <f>B1633*IBGE_2!K$1633/100</f>
        <v>44.338000000000001</v>
      </c>
      <c r="L1633" s="142">
        <f>B1633*IBGE_2!L$1633/100</f>
        <v>12.644</v>
      </c>
      <c r="M1633" s="142">
        <f>B1633*IBGE_2!M$1633/100</f>
        <v>0.60699999999999998</v>
      </c>
      <c r="N1633" s="142">
        <f>B1633*IBGE_2!N$1633/100</f>
        <v>71.171999999999997</v>
      </c>
      <c r="O1633" s="142">
        <f>B1633*IBGE_2!O$1633/100</f>
        <v>20.849</v>
      </c>
      <c r="P1633" s="142">
        <f>B1633*IBGE_2!P$1633/100</f>
        <v>0.13300000000000001</v>
      </c>
      <c r="Q1633" s="142">
        <f>B1633*IBGE_2!Q$1633/100</f>
        <v>146.929</v>
      </c>
      <c r="R1633" s="142">
        <f>B1633*IBGE_2!R$1633/100</f>
        <v>1.2589999999999999</v>
      </c>
      <c r="S1633" s="142">
        <f>B1633*IBGE_2!S$1633/100</f>
        <v>121.92100000000001</v>
      </c>
      <c r="T1633" s="142">
        <f>B1633*IBGE_2!T$1633/100</f>
        <v>197.35299999999998</v>
      </c>
      <c r="U1633" s="142">
        <f>B1633*IBGE_2!U$1633/100</f>
        <v>6.8000000000000005E-2</v>
      </c>
      <c r="V1633" s="142">
        <f>B1633*IBGE_2!V$1633/100</f>
        <v>1.288</v>
      </c>
      <c r="W1633" s="142">
        <f>B1633*IBGE_2!W$1633/100</f>
        <v>18.68</v>
      </c>
      <c r="X1633" s="142">
        <f>B1633*IBGE_2!X$1633/100</f>
        <v>0.17899999999999999</v>
      </c>
      <c r="Y1633" s="142">
        <f>B1633*IBGE_2!Y$1633/100</f>
        <v>0.218</v>
      </c>
      <c r="Z1633" s="142">
        <f>B1633*IBGE_2!Z$1633/100</f>
        <v>0.24399999999999999</v>
      </c>
      <c r="AA1633" s="142">
        <f>B1633*IBGE_2!AA$1633/100</f>
        <v>5.109</v>
      </c>
      <c r="AB1633" s="142">
        <f>B1633*IBGE_2!AB$1633/100</f>
        <v>0.60399999999999998</v>
      </c>
      <c r="AC1633" s="142">
        <f>B1633*IBGE_2!AC$1633/100</f>
        <v>8.532</v>
      </c>
      <c r="AD1633" s="142">
        <f>B1633*IBGE_2!AD$1633/100</f>
        <v>0.36099999999999999</v>
      </c>
      <c r="AE1633" s="142">
        <f>B1633*IBGE_2!AE$1633/100</f>
        <v>31.003</v>
      </c>
      <c r="AF1633" s="142">
        <f>B1633*IBGE_2!AF$1633/100</f>
        <v>0.59</v>
      </c>
      <c r="AG1633" s="142">
        <f>B1633*IBGE_2!AG$1633/100</f>
        <v>0.19600000000000001</v>
      </c>
      <c r="AH1633" s="142">
        <f>B1633*IBGE_2!AH$1633/100</f>
        <v>0.92500000000000004</v>
      </c>
      <c r="AI1633" s="142">
        <f>B1633*IBGE_2!AI$1633/100</f>
        <v>197</v>
      </c>
      <c r="AJ1633" s="142">
        <f>B1633*IBGE_2!AJ$1633/100</f>
        <v>15.53</v>
      </c>
      <c r="AK1633" s="142">
        <f>B1633*IBGE_2!AK$1633/100</f>
        <v>19.739999999999998</v>
      </c>
      <c r="AL1633" s="142">
        <f>B1633*IBGE_2!AL$1633/100</f>
        <v>2.8530000000000002</v>
      </c>
      <c r="AM1633" s="142">
        <f>B1633*IBGE_2!AM$1633/100</f>
        <v>1.097</v>
      </c>
      <c r="AN1633" s="161"/>
    </row>
    <row r="1634" spans="1:40">
      <c r="A1634" s="143" t="s">
        <v>2694</v>
      </c>
      <c r="B1634" s="141">
        <v>100</v>
      </c>
      <c r="C1634" s="142">
        <f>B1634*IBGE_2!C$1634/100</f>
        <v>266.66500000000002</v>
      </c>
      <c r="D1634" s="142">
        <f>B1634*IBGE_2!D$1634/100</f>
        <v>16.187999999999999</v>
      </c>
      <c r="E1634" s="142">
        <f>B1634*IBGE_2!E$1634/100</f>
        <v>16.553999999999998</v>
      </c>
      <c r="F1634" s="142">
        <f>B1634*IBGE_2!F$1634/100</f>
        <v>3.9969999999999999</v>
      </c>
      <c r="G1634" s="142">
        <f>B1634*IBGE_2!G$1634/100</f>
        <v>5.1909999999999998</v>
      </c>
      <c r="H1634" s="142">
        <f>B1634*IBGE_2!H$1634/100</f>
        <v>6.18</v>
      </c>
      <c r="I1634" s="142">
        <f>B1634*IBGE_2!I$1634/100</f>
        <v>5.4489999999999998</v>
      </c>
      <c r="J1634" s="142">
        <f>B1634*IBGE_2!J$1634/100</f>
        <v>0.61699999999999999</v>
      </c>
      <c r="K1634" s="142">
        <f>B1634*IBGE_2!K$1634/100</f>
        <v>44.338000000000001</v>
      </c>
      <c r="L1634" s="142">
        <f>B1634*IBGE_2!L$1634/100</f>
        <v>12.644</v>
      </c>
      <c r="M1634" s="142">
        <f>B1634*IBGE_2!M$1634/100</f>
        <v>0.60699999999999998</v>
      </c>
      <c r="N1634" s="142">
        <f>B1634*IBGE_2!N$1634/100</f>
        <v>71.171999999999997</v>
      </c>
      <c r="O1634" s="142">
        <f>B1634*IBGE_2!O$1634/100</f>
        <v>20.849</v>
      </c>
      <c r="P1634" s="142">
        <f>B1634*IBGE_2!P$1634/100</f>
        <v>0.13300000000000001</v>
      </c>
      <c r="Q1634" s="142">
        <f>B1634*IBGE_2!Q$1634/100</f>
        <v>146.929</v>
      </c>
      <c r="R1634" s="142">
        <f>B1634*IBGE_2!R$1634/100</f>
        <v>1.262</v>
      </c>
      <c r="S1634" s="142">
        <f>B1634*IBGE_2!S$1634/100</f>
        <v>121.92100000000001</v>
      </c>
      <c r="T1634" s="142">
        <f>B1634*IBGE_2!T$1634/100</f>
        <v>197.35299999999998</v>
      </c>
      <c r="U1634" s="142">
        <f>B1634*IBGE_2!U$1634/100</f>
        <v>6.8000000000000005E-2</v>
      </c>
      <c r="V1634" s="142">
        <f>B1634*IBGE_2!V$1634/100</f>
        <v>1.2890000000000001</v>
      </c>
      <c r="W1634" s="142">
        <f>B1634*IBGE_2!W$1634/100</f>
        <v>18.68</v>
      </c>
      <c r="X1634" s="142">
        <f>B1634*IBGE_2!X$1634/100</f>
        <v>0.17899999999999999</v>
      </c>
      <c r="Y1634" s="142">
        <f>B1634*IBGE_2!Y$1634/100</f>
        <v>0.218</v>
      </c>
      <c r="Z1634" s="142">
        <f>B1634*IBGE_2!Z$1634/100</f>
        <v>0.24399999999999999</v>
      </c>
      <c r="AA1634" s="142">
        <f>B1634*IBGE_2!AA$1634/100</f>
        <v>5.109</v>
      </c>
      <c r="AB1634" s="142">
        <f>B1634*IBGE_2!AB$1634/100</f>
        <v>0.60399999999999998</v>
      </c>
      <c r="AC1634" s="142">
        <f>B1634*IBGE_2!AC$1634/100</f>
        <v>8.532</v>
      </c>
      <c r="AD1634" s="142">
        <f>B1634*IBGE_2!AD$1634/100</f>
        <v>0.36099999999999999</v>
      </c>
      <c r="AE1634" s="142">
        <f>B1634*IBGE_2!AE$1634/100</f>
        <v>31.003</v>
      </c>
      <c r="AF1634" s="142">
        <f>B1634*IBGE_2!AF$1634/100</f>
        <v>0.59</v>
      </c>
      <c r="AG1634" s="142">
        <f>B1634*IBGE_2!AG$1634/100</f>
        <v>0.75599999999999989</v>
      </c>
      <c r="AH1634" s="142">
        <f>B1634*IBGE_2!AH$1634/100</f>
        <v>0.96099999999999997</v>
      </c>
      <c r="AI1634" s="142">
        <f>B1634*IBGE_2!AI$1634/100</f>
        <v>197</v>
      </c>
      <c r="AJ1634" s="142">
        <f>B1634*IBGE_2!AJ$1634/100</f>
        <v>18.667999999999999</v>
      </c>
      <c r="AK1634" s="142">
        <f>B1634*IBGE_2!AK$1634/100</f>
        <v>19.739999999999998</v>
      </c>
      <c r="AL1634" s="142">
        <f>B1634*IBGE_2!AL$1634/100</f>
        <v>2.8530000000000002</v>
      </c>
      <c r="AM1634" s="142">
        <f>B1634*IBGE_2!AM$1634/100</f>
        <v>1.097</v>
      </c>
      <c r="AN1634" s="161"/>
    </row>
    <row r="1635" spans="1:40">
      <c r="A1635" s="143" t="s">
        <v>2695</v>
      </c>
      <c r="B1635" s="141">
        <v>100</v>
      </c>
      <c r="C1635" s="142">
        <f>B1635*IBGE_2!C$1635/100</f>
        <v>266.66500000000002</v>
      </c>
      <c r="D1635" s="142">
        <f>B1635*IBGE_2!D$1635/100</f>
        <v>16.187999999999999</v>
      </c>
      <c r="E1635" s="142">
        <f>B1635*IBGE_2!E$1635/100</f>
        <v>16.553999999999998</v>
      </c>
      <c r="F1635" s="142">
        <f>B1635*IBGE_2!F$1635/100</f>
        <v>3.9969999999999999</v>
      </c>
      <c r="G1635" s="142">
        <f>B1635*IBGE_2!G$1635/100</f>
        <v>5.1909999999999998</v>
      </c>
      <c r="H1635" s="142">
        <f>B1635*IBGE_2!H$1635/100</f>
        <v>6.18</v>
      </c>
      <c r="I1635" s="142">
        <f>B1635*IBGE_2!I$1635/100</f>
        <v>5.4489999999999998</v>
      </c>
      <c r="J1635" s="142">
        <f>B1635*IBGE_2!J$1635/100</f>
        <v>0.61699999999999999</v>
      </c>
      <c r="K1635" s="142">
        <f>B1635*IBGE_2!K$1635/100</f>
        <v>44.338000000000001</v>
      </c>
      <c r="L1635" s="142">
        <f>B1635*IBGE_2!L$1635/100</f>
        <v>12.644</v>
      </c>
      <c r="M1635" s="142">
        <f>B1635*IBGE_2!M$1635/100</f>
        <v>0.60699999999999998</v>
      </c>
      <c r="N1635" s="142">
        <f>B1635*IBGE_2!N$1635/100</f>
        <v>71.171999999999997</v>
      </c>
      <c r="O1635" s="142">
        <f>B1635*IBGE_2!O$1635/100</f>
        <v>20.849</v>
      </c>
      <c r="P1635" s="142">
        <f>B1635*IBGE_2!P$1635/100</f>
        <v>0.13300000000000001</v>
      </c>
      <c r="Q1635" s="142">
        <f>B1635*IBGE_2!Q$1635/100</f>
        <v>146.929</v>
      </c>
      <c r="R1635" s="142">
        <f>B1635*IBGE_2!R$1635/100</f>
        <v>1.262</v>
      </c>
      <c r="S1635" s="142">
        <f>B1635*IBGE_2!S$1635/100</f>
        <v>121.92100000000001</v>
      </c>
      <c r="T1635" s="142">
        <f>B1635*IBGE_2!T$1635/100</f>
        <v>197.35299999999998</v>
      </c>
      <c r="U1635" s="142">
        <f>B1635*IBGE_2!U$1635/100</f>
        <v>6.8000000000000005E-2</v>
      </c>
      <c r="V1635" s="142">
        <f>B1635*IBGE_2!V$1635/100</f>
        <v>1.2890000000000001</v>
      </c>
      <c r="W1635" s="142">
        <f>B1635*IBGE_2!W$1635/100</f>
        <v>18.68</v>
      </c>
      <c r="X1635" s="142">
        <f>B1635*IBGE_2!X$1635/100</f>
        <v>0.17899999999999999</v>
      </c>
      <c r="Y1635" s="142">
        <f>B1635*IBGE_2!Y$1635/100</f>
        <v>0.218</v>
      </c>
      <c r="Z1635" s="142">
        <f>B1635*IBGE_2!Z$1635/100</f>
        <v>0.24399999999999999</v>
      </c>
      <c r="AA1635" s="142">
        <f>B1635*IBGE_2!AA$1635/100</f>
        <v>5.109</v>
      </c>
      <c r="AB1635" s="142">
        <f>B1635*IBGE_2!AB$1635/100</f>
        <v>0.60399999999999998</v>
      </c>
      <c r="AC1635" s="142">
        <f>B1635*IBGE_2!AC$1635/100</f>
        <v>8.532</v>
      </c>
      <c r="AD1635" s="142">
        <f>B1635*IBGE_2!AD$1635/100</f>
        <v>0.36099999999999999</v>
      </c>
      <c r="AE1635" s="142">
        <f>B1635*IBGE_2!AE$1635/100</f>
        <v>31.003</v>
      </c>
      <c r="AF1635" s="142">
        <f>B1635*IBGE_2!AF$1635/100</f>
        <v>0.59</v>
      </c>
      <c r="AG1635" s="142">
        <f>B1635*IBGE_2!AG$1635/100</f>
        <v>0.75599999999999989</v>
      </c>
      <c r="AH1635" s="142">
        <f>B1635*IBGE_2!AH$1635/100</f>
        <v>0.96099999999999997</v>
      </c>
      <c r="AI1635" s="142">
        <f>B1635*IBGE_2!AI$1635/100</f>
        <v>197</v>
      </c>
      <c r="AJ1635" s="142">
        <f>B1635*IBGE_2!AJ$1635/100</f>
        <v>18.667999999999999</v>
      </c>
      <c r="AK1635" s="142">
        <f>B1635*IBGE_2!AK$1635/100</f>
        <v>19.739999999999998</v>
      </c>
      <c r="AL1635" s="142">
        <f>B1635*IBGE_2!AL$1635/100</f>
        <v>2.8530000000000002</v>
      </c>
      <c r="AM1635" s="142">
        <f>B1635*IBGE_2!AM$1635/100</f>
        <v>1.097</v>
      </c>
      <c r="AN1635" s="161"/>
    </row>
    <row r="1636" spans="1:40">
      <c r="A1636" s="143" t="s">
        <v>2696</v>
      </c>
      <c r="B1636" s="141">
        <v>100</v>
      </c>
      <c r="C1636" s="142">
        <f>B1636*IBGE_2!C$1636/100</f>
        <v>206.14</v>
      </c>
      <c r="D1636" s="142">
        <f>B1636*IBGE_2!D$1636/100</f>
        <v>16.187999999999999</v>
      </c>
      <c r="E1636" s="142">
        <f>B1636*IBGE_2!E$1636/100</f>
        <v>9.7080000000000002</v>
      </c>
      <c r="F1636" s="142">
        <f>B1636*IBGE_2!F$1636/100</f>
        <v>2.9249999999999998</v>
      </c>
      <c r="G1636" s="142">
        <f>B1636*IBGE_2!G$1636/100</f>
        <v>3.6309999999999998</v>
      </c>
      <c r="H1636" s="142">
        <f>B1636*IBGE_2!H$1636/100</f>
        <v>2.226</v>
      </c>
      <c r="I1636" s="142">
        <f>B1636*IBGE_2!I$1636/100</f>
        <v>1.9609999999999999</v>
      </c>
      <c r="J1636" s="142">
        <f>B1636*IBGE_2!J$1636/100</f>
        <v>0.152</v>
      </c>
      <c r="K1636" s="142">
        <f>B1636*IBGE_2!K$1636/100</f>
        <v>44.338000000000001</v>
      </c>
      <c r="L1636" s="142">
        <f>B1636*IBGE_2!L$1636/100</f>
        <v>12.644</v>
      </c>
      <c r="M1636" s="142">
        <f>B1636*IBGE_2!M$1636/100</f>
        <v>0.60699999999999998</v>
      </c>
      <c r="N1636" s="142">
        <f>B1636*IBGE_2!N$1636/100</f>
        <v>71.171999999999997</v>
      </c>
      <c r="O1636" s="142">
        <f>B1636*IBGE_2!O$1636/100</f>
        <v>20.849</v>
      </c>
      <c r="P1636" s="142">
        <f>B1636*IBGE_2!P$1636/100</f>
        <v>0.13300000000000001</v>
      </c>
      <c r="Q1636" s="142">
        <f>B1636*IBGE_2!Q$1636/100</f>
        <v>146.929</v>
      </c>
      <c r="R1636" s="142">
        <f>B1636*IBGE_2!R$1636/100</f>
        <v>1.2589999999999999</v>
      </c>
      <c r="S1636" s="142">
        <f>B1636*IBGE_2!S$1636/100</f>
        <v>121.92100000000001</v>
      </c>
      <c r="T1636" s="142">
        <f>B1636*IBGE_2!T$1636/100</f>
        <v>197.35299999999998</v>
      </c>
      <c r="U1636" s="142">
        <f>B1636*IBGE_2!U$1636/100</f>
        <v>6.8000000000000005E-2</v>
      </c>
      <c r="V1636" s="142">
        <f>B1636*IBGE_2!V$1636/100</f>
        <v>1.288</v>
      </c>
      <c r="W1636" s="142">
        <f>B1636*IBGE_2!W$1636/100</f>
        <v>18.68</v>
      </c>
      <c r="X1636" s="142">
        <f>B1636*IBGE_2!X$1636/100</f>
        <v>0.17899999999999999</v>
      </c>
      <c r="Y1636" s="142">
        <f>B1636*IBGE_2!Y$1636/100</f>
        <v>0.218</v>
      </c>
      <c r="Z1636" s="142">
        <f>B1636*IBGE_2!Z$1636/100</f>
        <v>0.24399999999999999</v>
      </c>
      <c r="AA1636" s="142">
        <f>B1636*IBGE_2!AA$1636/100</f>
        <v>5.109</v>
      </c>
      <c r="AB1636" s="142">
        <f>B1636*IBGE_2!AB$1636/100</f>
        <v>0.60399999999999998</v>
      </c>
      <c r="AC1636" s="142">
        <f>B1636*IBGE_2!AC$1636/100</f>
        <v>8.532</v>
      </c>
      <c r="AD1636" s="142">
        <f>B1636*IBGE_2!AD$1636/100</f>
        <v>0.36099999999999999</v>
      </c>
      <c r="AE1636" s="142">
        <f>B1636*IBGE_2!AE$1636/100</f>
        <v>31.003</v>
      </c>
      <c r="AF1636" s="142">
        <f>B1636*IBGE_2!AF$1636/100</f>
        <v>0.59</v>
      </c>
      <c r="AG1636" s="142">
        <f>B1636*IBGE_2!AG$1636/100</f>
        <v>0.19600000000000001</v>
      </c>
      <c r="AH1636" s="142">
        <f>B1636*IBGE_2!AH$1636/100</f>
        <v>0.92500000000000004</v>
      </c>
      <c r="AI1636" s="142">
        <f>B1636*IBGE_2!AI$1636/100</f>
        <v>197</v>
      </c>
      <c r="AJ1636" s="142">
        <f>B1636*IBGE_2!AJ$1636/100</f>
        <v>15.53</v>
      </c>
      <c r="AK1636" s="142">
        <f>B1636*IBGE_2!AK$1636/100</f>
        <v>19.739999999999998</v>
      </c>
      <c r="AL1636" s="142">
        <f>B1636*IBGE_2!AL$1636/100</f>
        <v>2.8530000000000002</v>
      </c>
      <c r="AM1636" s="142">
        <f>B1636*IBGE_2!AM$1636/100</f>
        <v>1.097</v>
      </c>
      <c r="AN1636" s="161"/>
    </row>
    <row r="1637" spans="1:40">
      <c r="A1637" s="143" t="s">
        <v>2697</v>
      </c>
      <c r="B1637" s="141">
        <v>100</v>
      </c>
      <c r="C1637" s="142">
        <f>B1637*IBGE_2!C$1637/100</f>
        <v>321.05099999999999</v>
      </c>
      <c r="D1637" s="142">
        <f>B1637*IBGE_2!D$1637/100</f>
        <v>9.7189999999999994</v>
      </c>
      <c r="E1637" s="142">
        <f>B1637*IBGE_2!E$1637/100</f>
        <v>29.509</v>
      </c>
      <c r="F1637" s="142">
        <f>B1637*IBGE_2!F$1637/100</f>
        <v>10.863</v>
      </c>
      <c r="G1637" s="142">
        <f>B1637*IBGE_2!G$1637/100</f>
        <v>12.599</v>
      </c>
      <c r="H1637" s="142">
        <f>B1637*IBGE_2!H$1637/100</f>
        <v>2.9760000000000004</v>
      </c>
      <c r="I1637" s="142">
        <f>B1637*IBGE_2!I$1637/100</f>
        <v>2.548</v>
      </c>
      <c r="J1637" s="142">
        <f>B1637*IBGE_2!J$1637/100</f>
        <v>0.29399999999999998</v>
      </c>
      <c r="K1637" s="142">
        <f>B1637*IBGE_2!K$1637/100</f>
        <v>52.945999999999998</v>
      </c>
      <c r="L1637" s="142">
        <f>B1637*IBGE_2!L$1637/100</f>
        <v>3.605</v>
      </c>
      <c r="M1637" s="142" t="s">
        <v>3047</v>
      </c>
      <c r="N1637" s="142">
        <f>B1637*IBGE_2!N$1637/100</f>
        <v>16.486999999999998</v>
      </c>
      <c r="O1637" s="142">
        <f>B1637*IBGE_2!O$1637/100</f>
        <v>8.282</v>
      </c>
      <c r="P1637" s="142">
        <f>B1637*IBGE_2!P$1637/100</f>
        <v>8.0000000000000002E-3</v>
      </c>
      <c r="Q1637" s="142">
        <f>B1637*IBGE_2!Q$1637/100</f>
        <v>78.674999999999997</v>
      </c>
      <c r="R1637" s="142">
        <f>B1637*IBGE_2!R$1637/100</f>
        <v>0.80600000000000005</v>
      </c>
      <c r="S1637" s="142">
        <f>B1637*IBGE_2!S$1637/100</f>
        <v>1174.711</v>
      </c>
      <c r="T1637" s="142">
        <f>B1637*IBGE_2!T$1637/100</f>
        <v>108.80800000000001</v>
      </c>
      <c r="U1637" s="142">
        <f>B1637*IBGE_2!U$1637/100</f>
        <v>4.4999999999999998E-2</v>
      </c>
      <c r="V1637" s="142">
        <f>B1637*IBGE_2!V$1637/100</f>
        <v>1.339</v>
      </c>
      <c r="W1637" s="142">
        <f>B1637*IBGE_2!W$1637/100</f>
        <v>12.988</v>
      </c>
      <c r="X1637" s="142">
        <f>B1637*IBGE_2!X$1637/100</f>
        <v>8.4000000000000005E-2</v>
      </c>
      <c r="Y1637" s="142">
        <f>B1637*IBGE_2!Y$1637/100</f>
        <v>9.3000000000000013E-2</v>
      </c>
      <c r="Z1637" s="142">
        <f>B1637*IBGE_2!Z$1637/100</f>
        <v>0.13500000000000001</v>
      </c>
      <c r="AA1637" s="142">
        <f>B1637*IBGE_2!AA$1637/100</f>
        <v>2.1339999999999999</v>
      </c>
      <c r="AB1637" s="142" t="s">
        <v>3047</v>
      </c>
      <c r="AC1637" s="142">
        <f>B1637*IBGE_2!AC$1637/100</f>
        <v>3.85</v>
      </c>
      <c r="AD1637" s="142">
        <f>B1637*IBGE_2!AD$1637/100</f>
        <v>0.59699999999999998</v>
      </c>
      <c r="AE1637" s="142">
        <f>B1637*IBGE_2!AE$1637/100</f>
        <v>1.6180000000000001</v>
      </c>
      <c r="AF1637" s="142">
        <f>B1637*IBGE_2!AF$1637/100</f>
        <v>0.317</v>
      </c>
      <c r="AG1637" s="142">
        <f>B1637*IBGE_2!AG$1637/100</f>
        <v>0.13900000000000001</v>
      </c>
      <c r="AH1637" s="142">
        <f>B1637*IBGE_2!AH$1637/100</f>
        <v>0.80200000000000005</v>
      </c>
      <c r="AI1637" s="142" t="s">
        <v>3047</v>
      </c>
      <c r="AJ1637" s="142">
        <f>B1637*IBGE_2!AJ$1637/100</f>
        <v>9.9160000000000004</v>
      </c>
      <c r="AK1637" s="142">
        <f>B1637*IBGE_2!AK$1637/100</f>
        <v>12.988</v>
      </c>
      <c r="AL1637" s="142">
        <f>B1637*IBGE_2!AL$1637/100</f>
        <v>3.1519999999999997</v>
      </c>
      <c r="AM1637" s="142">
        <f>B1637*IBGE_2!AM$1637/100</f>
        <v>3.605</v>
      </c>
      <c r="AN1637" s="161"/>
    </row>
    <row r="1638" spans="1:40">
      <c r="A1638" s="143" t="s">
        <v>2698</v>
      </c>
      <c r="B1638" s="141">
        <v>100</v>
      </c>
      <c r="C1638" s="142">
        <f>B1638*IBGE_2!C$1638/100</f>
        <v>321.05099999999999</v>
      </c>
      <c r="D1638" s="142">
        <f>B1638*IBGE_2!D$1638/100</f>
        <v>9.7189999999999994</v>
      </c>
      <c r="E1638" s="142">
        <f>B1638*IBGE_2!E$1638/100</f>
        <v>29.509</v>
      </c>
      <c r="F1638" s="142">
        <f>B1638*IBGE_2!F$1638/100</f>
        <v>10.863</v>
      </c>
      <c r="G1638" s="142">
        <f>B1638*IBGE_2!G$1638/100</f>
        <v>12.599</v>
      </c>
      <c r="H1638" s="142">
        <f>B1638*IBGE_2!H$1638/100</f>
        <v>2.9760000000000004</v>
      </c>
      <c r="I1638" s="142">
        <f>B1638*IBGE_2!I$1638/100</f>
        <v>2.548</v>
      </c>
      <c r="J1638" s="142">
        <f>B1638*IBGE_2!J$1638/100</f>
        <v>0.29399999999999998</v>
      </c>
      <c r="K1638" s="142">
        <f>B1638*IBGE_2!K$1638/100</f>
        <v>52.945999999999998</v>
      </c>
      <c r="L1638" s="142">
        <f>B1638*IBGE_2!L$1638/100</f>
        <v>3.605</v>
      </c>
      <c r="M1638" s="142" t="s">
        <v>3047</v>
      </c>
      <c r="N1638" s="142">
        <f>B1638*IBGE_2!N$1638/100</f>
        <v>16.486999999999998</v>
      </c>
      <c r="O1638" s="142">
        <f>B1638*IBGE_2!O$1638/100</f>
        <v>8.282</v>
      </c>
      <c r="P1638" s="142">
        <f>B1638*IBGE_2!P$1638/100</f>
        <v>8.0000000000000002E-3</v>
      </c>
      <c r="Q1638" s="142">
        <f>B1638*IBGE_2!Q$1638/100</f>
        <v>78.674999999999997</v>
      </c>
      <c r="R1638" s="142">
        <f>B1638*IBGE_2!R$1638/100</f>
        <v>0.80600000000000005</v>
      </c>
      <c r="S1638" s="142">
        <f>B1638*IBGE_2!S$1638/100</f>
        <v>1174.711</v>
      </c>
      <c r="T1638" s="142">
        <f>B1638*IBGE_2!T$1638/100</f>
        <v>108.80800000000001</v>
      </c>
      <c r="U1638" s="142">
        <f>B1638*IBGE_2!U$1638/100</f>
        <v>4.4999999999999998E-2</v>
      </c>
      <c r="V1638" s="142">
        <f>B1638*IBGE_2!V$1638/100</f>
        <v>1.339</v>
      </c>
      <c r="W1638" s="142">
        <f>B1638*IBGE_2!W$1638/100</f>
        <v>12.988</v>
      </c>
      <c r="X1638" s="142">
        <f>B1638*IBGE_2!X$1638/100</f>
        <v>8.4000000000000005E-2</v>
      </c>
      <c r="Y1638" s="142">
        <f>B1638*IBGE_2!Y$1638/100</f>
        <v>9.3000000000000013E-2</v>
      </c>
      <c r="Z1638" s="142">
        <f>B1638*IBGE_2!Z$1638/100</f>
        <v>0.13500000000000001</v>
      </c>
      <c r="AA1638" s="142">
        <f>B1638*IBGE_2!AA$1638/100</f>
        <v>2.1339999999999999</v>
      </c>
      <c r="AB1638" s="142" t="s">
        <v>3047</v>
      </c>
      <c r="AC1638" s="142">
        <f>B1638*IBGE_2!AC$1638/100</f>
        <v>3.85</v>
      </c>
      <c r="AD1638" s="142">
        <f>B1638*IBGE_2!AD$1638/100</f>
        <v>0.59699999999999998</v>
      </c>
      <c r="AE1638" s="142">
        <f>B1638*IBGE_2!AE$1638/100</f>
        <v>1.6180000000000001</v>
      </c>
      <c r="AF1638" s="142">
        <f>B1638*IBGE_2!AF$1638/100</f>
        <v>0.317</v>
      </c>
      <c r="AG1638" s="142">
        <f>B1638*IBGE_2!AG$1638/100</f>
        <v>0.13900000000000001</v>
      </c>
      <c r="AH1638" s="142">
        <f>B1638*IBGE_2!AH$1638/100</f>
        <v>0.80200000000000005</v>
      </c>
      <c r="AI1638" s="142" t="s">
        <v>3047</v>
      </c>
      <c r="AJ1638" s="142">
        <f>B1638*IBGE_2!AJ$1638/100</f>
        <v>9.9160000000000004</v>
      </c>
      <c r="AK1638" s="142">
        <f>B1638*IBGE_2!AK$1638/100</f>
        <v>12.988</v>
      </c>
      <c r="AL1638" s="142">
        <f>B1638*IBGE_2!AL$1638/100</f>
        <v>3.1519999999999997</v>
      </c>
      <c r="AM1638" s="142">
        <f>B1638*IBGE_2!AM$1638/100</f>
        <v>3.605</v>
      </c>
      <c r="AN1638" s="161"/>
    </row>
    <row r="1639" spans="1:40">
      <c r="A1639" s="143" t="s">
        <v>2699</v>
      </c>
      <c r="B1639" s="141">
        <v>100</v>
      </c>
      <c r="C1639" s="142">
        <f>B1639*IBGE_2!C$1639/100</f>
        <v>321.05099999999999</v>
      </c>
      <c r="D1639" s="142">
        <f>B1639*IBGE_2!D$1639/100</f>
        <v>9.7189999999999994</v>
      </c>
      <c r="E1639" s="142">
        <f>B1639*IBGE_2!E$1639/100</f>
        <v>29.509</v>
      </c>
      <c r="F1639" s="142">
        <f>B1639*IBGE_2!F$1639/100</f>
        <v>10.863</v>
      </c>
      <c r="G1639" s="142">
        <f>B1639*IBGE_2!G$1639/100</f>
        <v>12.599</v>
      </c>
      <c r="H1639" s="142">
        <f>B1639*IBGE_2!H$1639/100</f>
        <v>2.9760000000000004</v>
      </c>
      <c r="I1639" s="142">
        <f>B1639*IBGE_2!I$1639/100</f>
        <v>2.548</v>
      </c>
      <c r="J1639" s="142">
        <f>B1639*IBGE_2!J$1639/100</f>
        <v>0.29399999999999998</v>
      </c>
      <c r="K1639" s="142">
        <f>B1639*IBGE_2!K$1639/100</f>
        <v>52.945999999999998</v>
      </c>
      <c r="L1639" s="142">
        <f>B1639*IBGE_2!L$1639/100</f>
        <v>3.605</v>
      </c>
      <c r="M1639" s="142" t="s">
        <v>3047</v>
      </c>
      <c r="N1639" s="142">
        <f>B1639*IBGE_2!N$1639/100</f>
        <v>16.486999999999998</v>
      </c>
      <c r="O1639" s="142">
        <f>B1639*IBGE_2!O$1639/100</f>
        <v>8.282</v>
      </c>
      <c r="P1639" s="142">
        <f>B1639*IBGE_2!P$1639/100</f>
        <v>8.0000000000000002E-3</v>
      </c>
      <c r="Q1639" s="142">
        <f>B1639*IBGE_2!Q$1639/100</f>
        <v>78.674999999999997</v>
      </c>
      <c r="R1639" s="142">
        <f>B1639*IBGE_2!R$1639/100</f>
        <v>0.80600000000000005</v>
      </c>
      <c r="S1639" s="142">
        <f>B1639*IBGE_2!S$1639/100</f>
        <v>1174.711</v>
      </c>
      <c r="T1639" s="142">
        <f>B1639*IBGE_2!T$1639/100</f>
        <v>108.80800000000001</v>
      </c>
      <c r="U1639" s="142">
        <f>B1639*IBGE_2!U$1639/100</f>
        <v>4.4999999999999998E-2</v>
      </c>
      <c r="V1639" s="142">
        <f>B1639*IBGE_2!V$1639/100</f>
        <v>1.339</v>
      </c>
      <c r="W1639" s="142">
        <f>B1639*IBGE_2!W$1639/100</f>
        <v>12.988</v>
      </c>
      <c r="X1639" s="142">
        <f>B1639*IBGE_2!X$1639/100</f>
        <v>8.4000000000000005E-2</v>
      </c>
      <c r="Y1639" s="142">
        <f>B1639*IBGE_2!Y$1639/100</f>
        <v>9.3000000000000013E-2</v>
      </c>
      <c r="Z1639" s="142">
        <f>B1639*IBGE_2!Z$1639/100</f>
        <v>0.13500000000000001</v>
      </c>
      <c r="AA1639" s="142">
        <f>B1639*IBGE_2!AA$1639/100</f>
        <v>2.1339999999999999</v>
      </c>
      <c r="AB1639" s="142" t="s">
        <v>3047</v>
      </c>
      <c r="AC1639" s="142">
        <f>B1639*IBGE_2!AC$1639/100</f>
        <v>3.85</v>
      </c>
      <c r="AD1639" s="142">
        <f>B1639*IBGE_2!AD$1639/100</f>
        <v>0.59699999999999998</v>
      </c>
      <c r="AE1639" s="142">
        <f>B1639*IBGE_2!AE$1639/100</f>
        <v>1.6180000000000001</v>
      </c>
      <c r="AF1639" s="142">
        <f>B1639*IBGE_2!AF$1639/100</f>
        <v>0.317</v>
      </c>
      <c r="AG1639" s="142">
        <f>B1639*IBGE_2!AG$1639/100</f>
        <v>0.13900000000000001</v>
      </c>
      <c r="AH1639" s="142">
        <f>B1639*IBGE_2!AH$1639/100</f>
        <v>0.80200000000000005</v>
      </c>
      <c r="AI1639" s="142" t="s">
        <v>3047</v>
      </c>
      <c r="AJ1639" s="142">
        <f>B1639*IBGE_2!AJ$1639/100</f>
        <v>9.9160000000000004</v>
      </c>
      <c r="AK1639" s="142">
        <f>B1639*IBGE_2!AK$1639/100</f>
        <v>12.988</v>
      </c>
      <c r="AL1639" s="142">
        <f>B1639*IBGE_2!AL$1639/100</f>
        <v>3.1519999999999997</v>
      </c>
      <c r="AM1639" s="142">
        <f>B1639*IBGE_2!AM$1639/100</f>
        <v>3.605</v>
      </c>
      <c r="AN1639" s="161"/>
    </row>
    <row r="1640" spans="1:40">
      <c r="A1640" s="143" t="s">
        <v>2700</v>
      </c>
      <c r="B1640" s="141">
        <v>100</v>
      </c>
      <c r="C1640" s="142">
        <f>B1640*IBGE_2!C$1640/100</f>
        <v>321.05099999999999</v>
      </c>
      <c r="D1640" s="142">
        <f>B1640*IBGE_2!D$1640/100</f>
        <v>9.7189999999999994</v>
      </c>
      <c r="E1640" s="142">
        <f>B1640*IBGE_2!E$1640/100</f>
        <v>29.509</v>
      </c>
      <c r="F1640" s="142">
        <f>B1640*IBGE_2!F$1640/100</f>
        <v>10.863</v>
      </c>
      <c r="G1640" s="142">
        <f>B1640*IBGE_2!G$1640/100</f>
        <v>12.599</v>
      </c>
      <c r="H1640" s="142">
        <f>B1640*IBGE_2!H$1640/100</f>
        <v>2.9760000000000004</v>
      </c>
      <c r="I1640" s="142">
        <f>B1640*IBGE_2!I$1640/100</f>
        <v>2.548</v>
      </c>
      <c r="J1640" s="142">
        <f>B1640*IBGE_2!J$1640/100</f>
        <v>0.29399999999999998</v>
      </c>
      <c r="K1640" s="142">
        <f>B1640*IBGE_2!K$1640/100</f>
        <v>52.945999999999998</v>
      </c>
      <c r="L1640" s="142">
        <f>B1640*IBGE_2!L$1640/100</f>
        <v>3.605</v>
      </c>
      <c r="M1640" s="142" t="s">
        <v>3047</v>
      </c>
      <c r="N1640" s="142">
        <f>B1640*IBGE_2!N$1640/100</f>
        <v>16.486999999999998</v>
      </c>
      <c r="O1640" s="142">
        <f>B1640*IBGE_2!O$1640/100</f>
        <v>8.282</v>
      </c>
      <c r="P1640" s="142">
        <f>B1640*IBGE_2!P$1640/100</f>
        <v>8.0000000000000002E-3</v>
      </c>
      <c r="Q1640" s="142">
        <f>B1640*IBGE_2!Q$1640/100</f>
        <v>78.674999999999997</v>
      </c>
      <c r="R1640" s="142">
        <f>B1640*IBGE_2!R$1640/100</f>
        <v>0.80600000000000005</v>
      </c>
      <c r="S1640" s="142">
        <f>B1640*IBGE_2!S$1640/100</f>
        <v>1174.711</v>
      </c>
      <c r="T1640" s="142">
        <f>B1640*IBGE_2!T$1640/100</f>
        <v>108.80800000000001</v>
      </c>
      <c r="U1640" s="142">
        <f>B1640*IBGE_2!U$1640/100</f>
        <v>4.4999999999999998E-2</v>
      </c>
      <c r="V1640" s="142">
        <f>B1640*IBGE_2!V$1640/100</f>
        <v>1.339</v>
      </c>
      <c r="W1640" s="142">
        <f>B1640*IBGE_2!W$1640/100</f>
        <v>12.988</v>
      </c>
      <c r="X1640" s="142">
        <f>B1640*IBGE_2!X$1640/100</f>
        <v>8.4000000000000005E-2</v>
      </c>
      <c r="Y1640" s="142">
        <f>B1640*IBGE_2!Y$1640/100</f>
        <v>9.3000000000000013E-2</v>
      </c>
      <c r="Z1640" s="142">
        <f>B1640*IBGE_2!Z$1640/100</f>
        <v>0.13500000000000001</v>
      </c>
      <c r="AA1640" s="142">
        <f>B1640*IBGE_2!AA$1640/100</f>
        <v>2.1339999999999999</v>
      </c>
      <c r="AB1640" s="142" t="s">
        <v>3047</v>
      </c>
      <c r="AC1640" s="142">
        <f>B1640*IBGE_2!AC$1640/100</f>
        <v>3.85</v>
      </c>
      <c r="AD1640" s="142">
        <f>B1640*IBGE_2!AD$1640/100</f>
        <v>0.59699999999999998</v>
      </c>
      <c r="AE1640" s="142">
        <f>B1640*IBGE_2!AE$1640/100</f>
        <v>1.6180000000000001</v>
      </c>
      <c r="AF1640" s="142">
        <f>B1640*IBGE_2!AF$1640/100</f>
        <v>0.317</v>
      </c>
      <c r="AG1640" s="142">
        <f>B1640*IBGE_2!AG$1640/100</f>
        <v>0.13900000000000001</v>
      </c>
      <c r="AH1640" s="142">
        <f>B1640*IBGE_2!AH$1640/100</f>
        <v>0.80200000000000005</v>
      </c>
      <c r="AI1640" s="142" t="s">
        <v>3047</v>
      </c>
      <c r="AJ1640" s="142">
        <f>B1640*IBGE_2!AJ$1640/100</f>
        <v>9.9160000000000004</v>
      </c>
      <c r="AK1640" s="142">
        <f>B1640*IBGE_2!AK$1640/100</f>
        <v>12.988</v>
      </c>
      <c r="AL1640" s="142">
        <f>B1640*IBGE_2!AL$1640/100</f>
        <v>3.1519999999999997</v>
      </c>
      <c r="AM1640" s="142">
        <f>B1640*IBGE_2!AM$1640/100</f>
        <v>3.605</v>
      </c>
      <c r="AN1640" s="161"/>
    </row>
    <row r="1641" spans="1:40">
      <c r="A1641" s="143" t="s">
        <v>2701</v>
      </c>
      <c r="B1641" s="141">
        <v>100</v>
      </c>
      <c r="C1641" s="142">
        <f>B1641*IBGE_2!C$1641/100</f>
        <v>321.05099999999999</v>
      </c>
      <c r="D1641" s="142">
        <f>B1641*IBGE_2!D$1641/100</f>
        <v>9.7189999999999994</v>
      </c>
      <c r="E1641" s="142">
        <f>B1641*IBGE_2!E$1641/100</f>
        <v>29.509</v>
      </c>
      <c r="F1641" s="142">
        <f>B1641*IBGE_2!F$1641/100</f>
        <v>10.863</v>
      </c>
      <c r="G1641" s="142">
        <f>B1641*IBGE_2!G$1641/100</f>
        <v>12.599</v>
      </c>
      <c r="H1641" s="142">
        <f>B1641*IBGE_2!H$1641/100</f>
        <v>2.9760000000000004</v>
      </c>
      <c r="I1641" s="142">
        <f>B1641*IBGE_2!I$1641/100</f>
        <v>2.548</v>
      </c>
      <c r="J1641" s="142">
        <f>B1641*IBGE_2!J$1641/100</f>
        <v>0.29399999999999998</v>
      </c>
      <c r="K1641" s="142">
        <f>B1641*IBGE_2!K$1641/100</f>
        <v>52.945999999999998</v>
      </c>
      <c r="L1641" s="142">
        <f>B1641*IBGE_2!L$1641/100</f>
        <v>3.605</v>
      </c>
      <c r="M1641" s="142" t="s">
        <v>3047</v>
      </c>
      <c r="N1641" s="142">
        <f>B1641*IBGE_2!N$1641/100</f>
        <v>16.486999999999998</v>
      </c>
      <c r="O1641" s="142">
        <f>B1641*IBGE_2!O$1641/100</f>
        <v>8.282</v>
      </c>
      <c r="P1641" s="142">
        <f>B1641*IBGE_2!P$1641/100</f>
        <v>8.0000000000000002E-3</v>
      </c>
      <c r="Q1641" s="142">
        <f>B1641*IBGE_2!Q$1641/100</f>
        <v>78.674999999999997</v>
      </c>
      <c r="R1641" s="142">
        <f>B1641*IBGE_2!R$1641/100</f>
        <v>0.80600000000000005</v>
      </c>
      <c r="S1641" s="142">
        <f>B1641*IBGE_2!S$1641/100</f>
        <v>1174.711</v>
      </c>
      <c r="T1641" s="142">
        <f>B1641*IBGE_2!T$1641/100</f>
        <v>108.80800000000001</v>
      </c>
      <c r="U1641" s="142">
        <f>B1641*IBGE_2!U$1641/100</f>
        <v>4.4999999999999998E-2</v>
      </c>
      <c r="V1641" s="142">
        <f>B1641*IBGE_2!V$1641/100</f>
        <v>1.339</v>
      </c>
      <c r="W1641" s="142">
        <f>B1641*IBGE_2!W$1641/100</f>
        <v>12.988</v>
      </c>
      <c r="X1641" s="142">
        <f>B1641*IBGE_2!X$1641/100</f>
        <v>8.4000000000000005E-2</v>
      </c>
      <c r="Y1641" s="142">
        <f>B1641*IBGE_2!Y$1641/100</f>
        <v>9.3000000000000013E-2</v>
      </c>
      <c r="Z1641" s="142">
        <f>B1641*IBGE_2!Z$1641/100</f>
        <v>0.13500000000000001</v>
      </c>
      <c r="AA1641" s="142">
        <f>B1641*IBGE_2!AA$1641/100</f>
        <v>2.1339999999999999</v>
      </c>
      <c r="AB1641" s="142" t="s">
        <v>3047</v>
      </c>
      <c r="AC1641" s="142">
        <f>B1641*IBGE_2!AC$1641/100</f>
        <v>3.85</v>
      </c>
      <c r="AD1641" s="142">
        <f>B1641*IBGE_2!AD$1641/100</f>
        <v>0.59699999999999998</v>
      </c>
      <c r="AE1641" s="142">
        <f>B1641*IBGE_2!AE$1641/100</f>
        <v>1.6180000000000001</v>
      </c>
      <c r="AF1641" s="142">
        <f>B1641*IBGE_2!AF$1641/100</f>
        <v>0.317</v>
      </c>
      <c r="AG1641" s="142">
        <f>B1641*IBGE_2!AG$1641/100</f>
        <v>0.13900000000000001</v>
      </c>
      <c r="AH1641" s="142">
        <f>B1641*IBGE_2!AH$1641/100</f>
        <v>0.80200000000000005</v>
      </c>
      <c r="AI1641" s="142" t="s">
        <v>3047</v>
      </c>
      <c r="AJ1641" s="142">
        <f>B1641*IBGE_2!AJ$1641/100</f>
        <v>9.9160000000000004</v>
      </c>
      <c r="AK1641" s="142">
        <f>B1641*IBGE_2!AK$1641/100</f>
        <v>12.988</v>
      </c>
      <c r="AL1641" s="142">
        <f>B1641*IBGE_2!AL$1641/100</f>
        <v>3.1519999999999997</v>
      </c>
      <c r="AM1641" s="142">
        <f>B1641*IBGE_2!AM$1641/100</f>
        <v>3.605</v>
      </c>
      <c r="AN1641" s="161"/>
    </row>
    <row r="1642" spans="1:40">
      <c r="A1642" s="143" t="s">
        <v>2702</v>
      </c>
      <c r="B1642" s="141">
        <v>100</v>
      </c>
      <c r="C1642" s="142">
        <f>B1642*IBGE_2!C$1642/100</f>
        <v>321.05099999999999</v>
      </c>
      <c r="D1642" s="142">
        <f>B1642*IBGE_2!D$1642/100</f>
        <v>9.7189999999999994</v>
      </c>
      <c r="E1642" s="142">
        <f>B1642*IBGE_2!E$1642/100</f>
        <v>29.509</v>
      </c>
      <c r="F1642" s="142">
        <f>B1642*IBGE_2!F$1642/100</f>
        <v>10.863</v>
      </c>
      <c r="G1642" s="142">
        <f>B1642*IBGE_2!G$1642/100</f>
        <v>12.599</v>
      </c>
      <c r="H1642" s="142">
        <f>B1642*IBGE_2!H$1642/100</f>
        <v>2.9760000000000004</v>
      </c>
      <c r="I1642" s="142">
        <f>B1642*IBGE_2!I$1642/100</f>
        <v>2.548</v>
      </c>
      <c r="J1642" s="142">
        <f>B1642*IBGE_2!J$1642/100</f>
        <v>0.29399999999999998</v>
      </c>
      <c r="K1642" s="142">
        <f>B1642*IBGE_2!K$1642/100</f>
        <v>52.945999999999998</v>
      </c>
      <c r="L1642" s="142">
        <f>B1642*IBGE_2!L$1642/100</f>
        <v>3.605</v>
      </c>
      <c r="M1642" s="142" t="s">
        <v>3047</v>
      </c>
      <c r="N1642" s="142">
        <f>B1642*IBGE_2!N$1642/100</f>
        <v>16.486999999999998</v>
      </c>
      <c r="O1642" s="142">
        <f>B1642*IBGE_2!O$1642/100</f>
        <v>8.282</v>
      </c>
      <c r="P1642" s="142">
        <f>B1642*IBGE_2!P$1642/100</f>
        <v>8.0000000000000002E-3</v>
      </c>
      <c r="Q1642" s="142">
        <f>B1642*IBGE_2!Q$1642/100</f>
        <v>78.674999999999997</v>
      </c>
      <c r="R1642" s="142">
        <f>B1642*IBGE_2!R$1642/100</f>
        <v>0.80600000000000005</v>
      </c>
      <c r="S1642" s="142">
        <f>B1642*IBGE_2!S$1642/100</f>
        <v>1174.711</v>
      </c>
      <c r="T1642" s="142">
        <f>B1642*IBGE_2!T$1642/100</f>
        <v>108.80800000000001</v>
      </c>
      <c r="U1642" s="142">
        <f>B1642*IBGE_2!U$1642/100</f>
        <v>4.4999999999999998E-2</v>
      </c>
      <c r="V1642" s="142">
        <f>B1642*IBGE_2!V$1642/100</f>
        <v>1.339</v>
      </c>
      <c r="W1642" s="142">
        <f>B1642*IBGE_2!W$1642/100</f>
        <v>12.988</v>
      </c>
      <c r="X1642" s="142">
        <f>B1642*IBGE_2!X$1642/100</f>
        <v>8.4000000000000005E-2</v>
      </c>
      <c r="Y1642" s="142">
        <f>B1642*IBGE_2!Y$1642/100</f>
        <v>9.3000000000000013E-2</v>
      </c>
      <c r="Z1642" s="142">
        <f>B1642*IBGE_2!Z$1642/100</f>
        <v>0.13500000000000001</v>
      </c>
      <c r="AA1642" s="142">
        <f>B1642*IBGE_2!AA$1642/100</f>
        <v>2.1339999999999999</v>
      </c>
      <c r="AB1642" s="142" t="s">
        <v>3047</v>
      </c>
      <c r="AC1642" s="142">
        <f>B1642*IBGE_2!AC$1642/100</f>
        <v>3.85</v>
      </c>
      <c r="AD1642" s="142">
        <f>B1642*IBGE_2!AD$1642/100</f>
        <v>0.59699999999999998</v>
      </c>
      <c r="AE1642" s="142">
        <f>B1642*IBGE_2!AE$1642/100</f>
        <v>1.6180000000000001</v>
      </c>
      <c r="AF1642" s="142">
        <f>B1642*IBGE_2!AF$1642/100</f>
        <v>0.317</v>
      </c>
      <c r="AG1642" s="142">
        <f>B1642*IBGE_2!AG$1642/100</f>
        <v>0.13900000000000001</v>
      </c>
      <c r="AH1642" s="142">
        <f>B1642*IBGE_2!AH$1642/100</f>
        <v>0.80200000000000005</v>
      </c>
      <c r="AI1642" s="142" t="s">
        <v>3047</v>
      </c>
      <c r="AJ1642" s="142">
        <f>B1642*IBGE_2!AJ$1642/100</f>
        <v>9.9160000000000004</v>
      </c>
      <c r="AK1642" s="142">
        <f>B1642*IBGE_2!AK$1642/100</f>
        <v>12.988</v>
      </c>
      <c r="AL1642" s="142">
        <f>B1642*IBGE_2!AL$1642/100</f>
        <v>3.1519999999999997</v>
      </c>
      <c r="AM1642" s="142">
        <f>B1642*IBGE_2!AM$1642/100</f>
        <v>3.605</v>
      </c>
      <c r="AN1642" s="161"/>
    </row>
    <row r="1643" spans="1:40">
      <c r="A1643" s="143" t="s">
        <v>2703</v>
      </c>
      <c r="B1643" s="141">
        <v>100</v>
      </c>
      <c r="C1643" s="142">
        <f>B1643*IBGE_2!C$1643/100</f>
        <v>289.43099999999998</v>
      </c>
      <c r="D1643" s="142">
        <f>B1643*IBGE_2!D$1643/100</f>
        <v>8.5549999999999997</v>
      </c>
      <c r="E1643" s="142">
        <f>B1643*IBGE_2!E$1643/100</f>
        <v>26.094999999999999</v>
      </c>
      <c r="F1643" s="142">
        <f>B1643*IBGE_2!F$1643/100</f>
        <v>10.223000000000001</v>
      </c>
      <c r="G1643" s="142">
        <f>B1643*IBGE_2!G$1643/100</f>
        <v>10.715999999999999</v>
      </c>
      <c r="H1643" s="142">
        <f>B1643*IBGE_2!H$1643/100</f>
        <v>2.4940000000000002</v>
      </c>
      <c r="I1643" s="142">
        <f>B1643*IBGE_2!I$1643/100</f>
        <v>2.129</v>
      </c>
      <c r="J1643" s="142">
        <f>B1643*IBGE_2!J$1643/100</f>
        <v>0.25700000000000001</v>
      </c>
      <c r="K1643" s="142">
        <f>B1643*IBGE_2!K$1643/100</f>
        <v>49.188999999999993</v>
      </c>
      <c r="L1643" s="142">
        <f>B1643*IBGE_2!L$1643/100</f>
        <v>4.7350000000000003</v>
      </c>
      <c r="M1643" s="142">
        <f>B1643*IBGE_2!M$1643/100</f>
        <v>4.2999999999999997E-2</v>
      </c>
      <c r="N1643" s="142">
        <f>B1643*IBGE_2!N$1643/100</f>
        <v>36.069000000000003</v>
      </c>
      <c r="O1643" s="142">
        <f>B1643*IBGE_2!O$1643/100</f>
        <v>8.9380000000000006</v>
      </c>
      <c r="P1643" s="142">
        <f>B1643*IBGE_2!P$1643/100</f>
        <v>1.7000000000000001E-2</v>
      </c>
      <c r="Q1643" s="142">
        <f>B1643*IBGE_2!Q$1643/100</f>
        <v>82.632999999999996</v>
      </c>
      <c r="R1643" s="142">
        <f>B1643*IBGE_2!R$1643/100</f>
        <v>0.71499999999999997</v>
      </c>
      <c r="S1643" s="142">
        <f>B1643*IBGE_2!S$1643/100</f>
        <v>960.68600000000004</v>
      </c>
      <c r="T1643" s="142">
        <f>B1643*IBGE_2!T$1643/100</f>
        <v>117.1</v>
      </c>
      <c r="U1643" s="142">
        <f>B1643*IBGE_2!U$1643/100</f>
        <v>0.04</v>
      </c>
      <c r="V1643" s="142">
        <f>B1643*IBGE_2!V$1643/100</f>
        <v>1.1599999999999999</v>
      </c>
      <c r="W1643" s="142">
        <f>B1643*IBGE_2!W$1643/100</f>
        <v>31.088000000000001</v>
      </c>
      <c r="X1643" s="142">
        <f>B1643*IBGE_2!X$1643/100</f>
        <v>8.5999999999999993E-2</v>
      </c>
      <c r="Y1643" s="142">
        <f>B1643*IBGE_2!Y$1643/100</f>
        <v>0.11700000000000001</v>
      </c>
      <c r="Z1643" s="142">
        <f>B1643*IBGE_2!Z$1643/100</f>
        <v>0.11600000000000002</v>
      </c>
      <c r="AA1643" s="142">
        <f>B1643*IBGE_2!AA$1643/100</f>
        <v>1.8029999999999999</v>
      </c>
      <c r="AB1643" s="142">
        <f>B1643*IBGE_2!AB$1643/100</f>
        <v>4.0000000000000001E-3</v>
      </c>
      <c r="AC1643" s="142">
        <f>B1643*IBGE_2!AC$1643/100</f>
        <v>3.4510000000000001</v>
      </c>
      <c r="AD1643" s="142">
        <f>B1643*IBGE_2!AD$1643/100</f>
        <v>0.56699999999999995</v>
      </c>
      <c r="AE1643" s="142">
        <f>B1643*IBGE_2!AE$1643/100</f>
        <v>4.891</v>
      </c>
      <c r="AF1643" s="142">
        <f>B1643*IBGE_2!AF$1643/100</f>
        <v>0.48100000000000004</v>
      </c>
      <c r="AG1643" s="142">
        <f>B1643*IBGE_2!AG$1643/100</f>
        <v>0.17699999999999999</v>
      </c>
      <c r="AH1643" s="142">
        <f>B1643*IBGE_2!AH$1643/100</f>
        <v>0.73799999999999999</v>
      </c>
      <c r="AI1643" s="142" t="s">
        <v>3047</v>
      </c>
      <c r="AJ1643" s="142">
        <f>B1643*IBGE_2!AJ$1643/100</f>
        <v>9.1020000000000003</v>
      </c>
      <c r="AK1643" s="142">
        <f>B1643*IBGE_2!AK$1643/100</f>
        <v>31.471</v>
      </c>
      <c r="AL1643" s="142">
        <f>B1643*IBGE_2!AL$1643/100</f>
        <v>3.5550000000000002</v>
      </c>
      <c r="AM1643" s="142">
        <f>B1643*IBGE_2!AM$1643/100</f>
        <v>2.8839999999999999</v>
      </c>
      <c r="AN1643" s="161"/>
    </row>
    <row r="1644" spans="1:40">
      <c r="A1644" s="143" t="s">
        <v>2704</v>
      </c>
      <c r="B1644" s="141">
        <v>100</v>
      </c>
      <c r="C1644" s="142">
        <f>B1644*IBGE_2!C$1644/100</f>
        <v>321.60000000000002</v>
      </c>
      <c r="D1644" s="142">
        <f>B1644*IBGE_2!D$1644/100</f>
        <v>11.304</v>
      </c>
      <c r="E1644" s="142">
        <f>B1644*IBGE_2!E$1644/100</f>
        <v>29.036000000000005</v>
      </c>
      <c r="F1644" s="142">
        <f>B1644*IBGE_2!F$1644/100</f>
        <v>10.372999999999999</v>
      </c>
      <c r="G1644" s="142">
        <f>B1644*IBGE_2!G$1644/100</f>
        <v>13.749000000000001</v>
      </c>
      <c r="H1644" s="142">
        <f>B1644*IBGE_2!H$1644/100</f>
        <v>3.1349999999999998</v>
      </c>
      <c r="I1644" s="142">
        <f>B1644*IBGE_2!I$1644/100</f>
        <v>2.782</v>
      </c>
      <c r="J1644" s="142">
        <f>B1644*IBGE_2!J$1644/100</f>
        <v>0.25700000000000001</v>
      </c>
      <c r="K1644" s="142">
        <f>B1644*IBGE_2!K$1644/100</f>
        <v>56.8</v>
      </c>
      <c r="L1644" s="142">
        <f>B1644*IBGE_2!L$1644/100</f>
        <v>3.2360000000000002</v>
      </c>
      <c r="M1644" s="142">
        <f>B1644*IBGE_2!M$1644/100</f>
        <v>0.3</v>
      </c>
      <c r="N1644" s="142">
        <f>B1644*IBGE_2!N$1644/100</f>
        <v>10.6</v>
      </c>
      <c r="O1644" s="142">
        <f>B1644*IBGE_2!O$1644/100</f>
        <v>12.8</v>
      </c>
      <c r="P1644" s="142">
        <f>B1644*IBGE_2!P$1644/100</f>
        <v>5.0999999999999997E-2</v>
      </c>
      <c r="Q1644" s="142">
        <f>B1644*IBGE_2!Q$1644/100</f>
        <v>90.8</v>
      </c>
      <c r="R1644" s="142">
        <f>B1644*IBGE_2!R$1644/100</f>
        <v>1.1080000000000001</v>
      </c>
      <c r="S1644" s="142">
        <f>B1644*IBGE_2!S$1644/100</f>
        <v>748.8</v>
      </c>
      <c r="T1644" s="142">
        <f>B1644*IBGE_2!T$1644/100</f>
        <v>217.4</v>
      </c>
      <c r="U1644" s="142">
        <f>B1644*IBGE_2!U$1644/100</f>
        <v>5.5E-2</v>
      </c>
      <c r="V1644" s="142">
        <f>B1644*IBGE_2!V$1644/100</f>
        <v>1.536</v>
      </c>
      <c r="W1644" s="142" t="s">
        <v>3047</v>
      </c>
      <c r="X1644" s="142">
        <f>B1644*IBGE_2!X$1644/100</f>
        <v>0.28999999999999998</v>
      </c>
      <c r="Y1644" s="142">
        <f>B1644*IBGE_2!Y$1644/100</f>
        <v>0.13100000000000001</v>
      </c>
      <c r="Z1644" s="142">
        <f>B1644*IBGE_2!Z$1644/100</f>
        <v>5.8999999999999997E-2</v>
      </c>
      <c r="AA1644" s="142">
        <f>B1644*IBGE_2!AA$1644/100</f>
        <v>2.8889999999999998</v>
      </c>
      <c r="AB1644" s="142">
        <f>B1644*IBGE_2!AB$1644/100</f>
        <v>1.4</v>
      </c>
      <c r="AC1644" s="142">
        <f>B1644*IBGE_2!AC$1644/100</f>
        <v>4.6820000000000004</v>
      </c>
      <c r="AD1644" s="142">
        <f>B1644*IBGE_2!AD$1644/100</f>
        <v>0.34399999999999997</v>
      </c>
      <c r="AE1644" s="142">
        <f>B1644*IBGE_2!AE$1644/100</f>
        <v>3.8</v>
      </c>
      <c r="AF1644" s="142">
        <f>B1644*IBGE_2!AF$1644/100</f>
        <v>0.56000000000000005</v>
      </c>
      <c r="AG1644" s="142">
        <f>B1644*IBGE_2!AG$1644/100</f>
        <v>0.46</v>
      </c>
      <c r="AH1644" s="142">
        <f>B1644*IBGE_2!AH$1644/100</f>
        <v>2.016</v>
      </c>
      <c r="AI1644" s="142" t="s">
        <v>3047</v>
      </c>
      <c r="AJ1644" s="142">
        <f>B1644*IBGE_2!AJ$1644/100</f>
        <v>11.56</v>
      </c>
      <c r="AK1644" s="142">
        <f>B1644*IBGE_2!AK$1644/100</f>
        <v>3.4830000000000001</v>
      </c>
      <c r="AL1644" s="142">
        <f>B1644*IBGE_2!AL$1644/100</f>
        <v>1.9219999999999999</v>
      </c>
      <c r="AM1644" s="142">
        <f>B1644*IBGE_2!AM$1644/100</f>
        <v>2.1579999999999999</v>
      </c>
      <c r="AN1644" s="161"/>
    </row>
    <row r="1645" spans="1:40">
      <c r="A1645" s="143" t="s">
        <v>2705</v>
      </c>
      <c r="B1645" s="141">
        <v>100</v>
      </c>
      <c r="C1645" s="142">
        <f>B1645*IBGE_2!C$1645/100</f>
        <v>321.05099999999999</v>
      </c>
      <c r="D1645" s="142">
        <f>B1645*IBGE_2!D$1645/100</f>
        <v>9.7189999999999994</v>
      </c>
      <c r="E1645" s="142">
        <f>B1645*IBGE_2!E$1645/100</f>
        <v>29.509</v>
      </c>
      <c r="F1645" s="142">
        <f>B1645*IBGE_2!F$1645/100</f>
        <v>10.863</v>
      </c>
      <c r="G1645" s="142">
        <f>B1645*IBGE_2!G$1645/100</f>
        <v>12.599</v>
      </c>
      <c r="H1645" s="142">
        <f>B1645*IBGE_2!H$1645/100</f>
        <v>2.9760000000000004</v>
      </c>
      <c r="I1645" s="142">
        <f>B1645*IBGE_2!I$1645/100</f>
        <v>2.548</v>
      </c>
      <c r="J1645" s="142">
        <f>B1645*IBGE_2!J$1645/100</f>
        <v>0.29399999999999998</v>
      </c>
      <c r="K1645" s="142">
        <f>B1645*IBGE_2!K$1645/100</f>
        <v>52.945999999999998</v>
      </c>
      <c r="L1645" s="142">
        <f>B1645*IBGE_2!L$1645/100</f>
        <v>3.605</v>
      </c>
      <c r="M1645" s="142" t="s">
        <v>3047</v>
      </c>
      <c r="N1645" s="142">
        <f>B1645*IBGE_2!N$1645/100</f>
        <v>16.486999999999998</v>
      </c>
      <c r="O1645" s="142">
        <f>B1645*IBGE_2!O$1645/100</f>
        <v>8.282</v>
      </c>
      <c r="P1645" s="142">
        <f>B1645*IBGE_2!P$1645/100</f>
        <v>8.0000000000000002E-3</v>
      </c>
      <c r="Q1645" s="142">
        <f>B1645*IBGE_2!Q$1645/100</f>
        <v>78.674999999999997</v>
      </c>
      <c r="R1645" s="142">
        <f>B1645*IBGE_2!R$1645/100</f>
        <v>0.80600000000000005</v>
      </c>
      <c r="S1645" s="142">
        <f>B1645*IBGE_2!S$1645/100</f>
        <v>1174.711</v>
      </c>
      <c r="T1645" s="142">
        <f>B1645*IBGE_2!T$1645/100</f>
        <v>108.80800000000001</v>
      </c>
      <c r="U1645" s="142">
        <f>B1645*IBGE_2!U$1645/100</f>
        <v>4.4999999999999998E-2</v>
      </c>
      <c r="V1645" s="142">
        <f>B1645*IBGE_2!V$1645/100</f>
        <v>1.339</v>
      </c>
      <c r="W1645" s="142">
        <f>B1645*IBGE_2!W$1645/100</f>
        <v>12.988</v>
      </c>
      <c r="X1645" s="142">
        <f>B1645*IBGE_2!X$1645/100</f>
        <v>8.4000000000000005E-2</v>
      </c>
      <c r="Y1645" s="142">
        <f>B1645*IBGE_2!Y$1645/100</f>
        <v>9.3000000000000013E-2</v>
      </c>
      <c r="Z1645" s="142">
        <f>B1645*IBGE_2!Z$1645/100</f>
        <v>0.13500000000000001</v>
      </c>
      <c r="AA1645" s="142">
        <f>B1645*IBGE_2!AA$1645/100</f>
        <v>2.1339999999999999</v>
      </c>
      <c r="AB1645" s="142" t="s">
        <v>3047</v>
      </c>
      <c r="AC1645" s="142">
        <f>B1645*IBGE_2!AC$1645/100</f>
        <v>3.85</v>
      </c>
      <c r="AD1645" s="142">
        <f>B1645*IBGE_2!AD$1645/100</f>
        <v>0.59699999999999998</v>
      </c>
      <c r="AE1645" s="142">
        <f>B1645*IBGE_2!AE$1645/100</f>
        <v>1.6180000000000001</v>
      </c>
      <c r="AF1645" s="142">
        <f>B1645*IBGE_2!AF$1645/100</f>
        <v>0.317</v>
      </c>
      <c r="AG1645" s="142">
        <f>B1645*IBGE_2!AG$1645/100</f>
        <v>0.13900000000000001</v>
      </c>
      <c r="AH1645" s="142">
        <f>B1645*IBGE_2!AH$1645/100</f>
        <v>0.80200000000000005</v>
      </c>
      <c r="AI1645" s="142" t="s">
        <v>3047</v>
      </c>
      <c r="AJ1645" s="142">
        <f>B1645*IBGE_2!AJ$1645/100</f>
        <v>9.9160000000000004</v>
      </c>
      <c r="AK1645" s="142">
        <f>B1645*IBGE_2!AK$1645/100</f>
        <v>12.988</v>
      </c>
      <c r="AL1645" s="142">
        <f>B1645*IBGE_2!AL$1645/100</f>
        <v>3.1519999999999997</v>
      </c>
      <c r="AM1645" s="142">
        <f>B1645*IBGE_2!AM$1645/100</f>
        <v>3.605</v>
      </c>
      <c r="AN1645" s="161"/>
    </row>
    <row r="1646" spans="1:40">
      <c r="A1646" s="143" t="s">
        <v>2706</v>
      </c>
      <c r="B1646" s="141">
        <v>100</v>
      </c>
      <c r="C1646" s="142">
        <f>B1646*IBGE_2!C$1646/100</f>
        <v>321.05099999999999</v>
      </c>
      <c r="D1646" s="142">
        <f>B1646*IBGE_2!D$1646/100</f>
        <v>9.7189999999999994</v>
      </c>
      <c r="E1646" s="142">
        <f>B1646*IBGE_2!E$1646/100</f>
        <v>29.509</v>
      </c>
      <c r="F1646" s="142">
        <f>B1646*IBGE_2!F$1646/100</f>
        <v>10.863</v>
      </c>
      <c r="G1646" s="142">
        <f>B1646*IBGE_2!G$1646/100</f>
        <v>12.599</v>
      </c>
      <c r="H1646" s="142">
        <f>B1646*IBGE_2!H$1646/100</f>
        <v>2.9760000000000004</v>
      </c>
      <c r="I1646" s="142">
        <f>B1646*IBGE_2!I$1646/100</f>
        <v>2.548</v>
      </c>
      <c r="J1646" s="142">
        <f>B1646*IBGE_2!J$1646/100</f>
        <v>0.29399999999999998</v>
      </c>
      <c r="K1646" s="142">
        <f>B1646*IBGE_2!K$1646/100</f>
        <v>52.945999999999998</v>
      </c>
      <c r="L1646" s="142">
        <f>B1646*IBGE_2!L$1646/100</f>
        <v>3.605</v>
      </c>
      <c r="M1646" s="142" t="s">
        <v>3047</v>
      </c>
      <c r="N1646" s="142">
        <f>B1646*IBGE_2!N$1646/100</f>
        <v>16.486999999999998</v>
      </c>
      <c r="O1646" s="142">
        <f>B1646*IBGE_2!O$1646/100</f>
        <v>8.282</v>
      </c>
      <c r="P1646" s="142">
        <f>B1646*IBGE_2!P$1646/100</f>
        <v>8.0000000000000002E-3</v>
      </c>
      <c r="Q1646" s="142">
        <f>B1646*IBGE_2!Q$1646/100</f>
        <v>78.674999999999997</v>
      </c>
      <c r="R1646" s="142">
        <f>B1646*IBGE_2!R$1646/100</f>
        <v>0.80600000000000005</v>
      </c>
      <c r="S1646" s="142">
        <f>B1646*IBGE_2!S$1646/100</f>
        <v>1174.711</v>
      </c>
      <c r="T1646" s="142">
        <f>B1646*IBGE_2!T$1646/100</f>
        <v>108.80800000000001</v>
      </c>
      <c r="U1646" s="142">
        <f>B1646*IBGE_2!U$1646/100</f>
        <v>4.4999999999999998E-2</v>
      </c>
      <c r="V1646" s="142">
        <f>B1646*IBGE_2!V$1646/100</f>
        <v>1.339</v>
      </c>
      <c r="W1646" s="142">
        <f>B1646*IBGE_2!W$1646/100</f>
        <v>12.988</v>
      </c>
      <c r="X1646" s="142">
        <f>B1646*IBGE_2!X$1646/100</f>
        <v>8.4000000000000005E-2</v>
      </c>
      <c r="Y1646" s="142">
        <f>B1646*IBGE_2!Y$1646/100</f>
        <v>9.3000000000000013E-2</v>
      </c>
      <c r="Z1646" s="142">
        <f>B1646*IBGE_2!Z$1646/100</f>
        <v>0.13500000000000001</v>
      </c>
      <c r="AA1646" s="142">
        <f>B1646*IBGE_2!AA$1646/100</f>
        <v>2.1339999999999999</v>
      </c>
      <c r="AB1646" s="142" t="s">
        <v>3047</v>
      </c>
      <c r="AC1646" s="142">
        <f>B1646*IBGE_2!AC$1646/100</f>
        <v>3.85</v>
      </c>
      <c r="AD1646" s="142">
        <f>B1646*IBGE_2!AD$1646/100</f>
        <v>0.59699999999999998</v>
      </c>
      <c r="AE1646" s="142">
        <f>B1646*IBGE_2!AE$1646/100</f>
        <v>1.6180000000000001</v>
      </c>
      <c r="AF1646" s="142">
        <f>B1646*IBGE_2!AF$1646/100</f>
        <v>0.317</v>
      </c>
      <c r="AG1646" s="142">
        <f>B1646*IBGE_2!AG$1646/100</f>
        <v>0.13900000000000001</v>
      </c>
      <c r="AH1646" s="142">
        <f>B1646*IBGE_2!AH$1646/100</f>
        <v>0.80200000000000005</v>
      </c>
      <c r="AI1646" s="142" t="s">
        <v>3047</v>
      </c>
      <c r="AJ1646" s="142">
        <f>B1646*IBGE_2!AJ$1646/100</f>
        <v>9.9160000000000004</v>
      </c>
      <c r="AK1646" s="142">
        <f>B1646*IBGE_2!AK$1646/100</f>
        <v>12.988</v>
      </c>
      <c r="AL1646" s="142">
        <f>B1646*IBGE_2!AL$1646/100</f>
        <v>3.1519999999999997</v>
      </c>
      <c r="AM1646" s="142">
        <f>B1646*IBGE_2!AM$1646/100</f>
        <v>3.605</v>
      </c>
      <c r="AN1646" s="161"/>
    </row>
    <row r="1647" spans="1:40">
      <c r="A1647" s="143" t="s">
        <v>2707</v>
      </c>
      <c r="B1647" s="141">
        <v>100</v>
      </c>
      <c r="C1647" s="142">
        <f>B1647*IBGE_2!C$1647/100</f>
        <v>321.05099999999999</v>
      </c>
      <c r="D1647" s="142">
        <f>B1647*IBGE_2!D$1647/100</f>
        <v>9.7189999999999994</v>
      </c>
      <c r="E1647" s="142">
        <f>B1647*IBGE_2!E$1647/100</f>
        <v>29.509</v>
      </c>
      <c r="F1647" s="142">
        <f>B1647*IBGE_2!F$1647/100</f>
        <v>10.863</v>
      </c>
      <c r="G1647" s="142">
        <f>B1647*IBGE_2!G$1647/100</f>
        <v>12.599</v>
      </c>
      <c r="H1647" s="142">
        <f>B1647*IBGE_2!H$1647/100</f>
        <v>2.9760000000000004</v>
      </c>
      <c r="I1647" s="142">
        <f>B1647*IBGE_2!I$1647/100</f>
        <v>2.548</v>
      </c>
      <c r="J1647" s="142">
        <f>B1647*IBGE_2!J$1647/100</f>
        <v>0.29399999999999998</v>
      </c>
      <c r="K1647" s="142">
        <f>B1647*IBGE_2!K$1647/100</f>
        <v>52.945999999999998</v>
      </c>
      <c r="L1647" s="142">
        <f>B1647*IBGE_2!L$1647/100</f>
        <v>3.605</v>
      </c>
      <c r="M1647" s="142" t="s">
        <v>3047</v>
      </c>
      <c r="N1647" s="142">
        <f>B1647*IBGE_2!N$1647/100</f>
        <v>16.486999999999998</v>
      </c>
      <c r="O1647" s="142">
        <f>B1647*IBGE_2!O$1647/100</f>
        <v>8.282</v>
      </c>
      <c r="P1647" s="142">
        <f>B1647*IBGE_2!P$1647/100</f>
        <v>8.0000000000000002E-3</v>
      </c>
      <c r="Q1647" s="142">
        <f>B1647*IBGE_2!Q$1647/100</f>
        <v>78.674999999999997</v>
      </c>
      <c r="R1647" s="142">
        <f>B1647*IBGE_2!R$1647/100</f>
        <v>0.80600000000000005</v>
      </c>
      <c r="S1647" s="142">
        <f>B1647*IBGE_2!S$1647/100</f>
        <v>1174.711</v>
      </c>
      <c r="T1647" s="142">
        <f>B1647*IBGE_2!T$1647/100</f>
        <v>108.80800000000001</v>
      </c>
      <c r="U1647" s="142">
        <f>B1647*IBGE_2!U$1647/100</f>
        <v>4.4999999999999998E-2</v>
      </c>
      <c r="V1647" s="142">
        <f>B1647*IBGE_2!V$1647/100</f>
        <v>1.339</v>
      </c>
      <c r="W1647" s="142">
        <f>B1647*IBGE_2!W$1647/100</f>
        <v>12.988</v>
      </c>
      <c r="X1647" s="142">
        <f>B1647*IBGE_2!X$1647/100</f>
        <v>8.4000000000000005E-2</v>
      </c>
      <c r="Y1647" s="142">
        <f>B1647*IBGE_2!Y$1647/100</f>
        <v>9.3000000000000013E-2</v>
      </c>
      <c r="Z1647" s="142">
        <f>B1647*IBGE_2!Z$1647/100</f>
        <v>0.13500000000000001</v>
      </c>
      <c r="AA1647" s="142">
        <f>B1647*IBGE_2!AA$1647/100</f>
        <v>2.1339999999999999</v>
      </c>
      <c r="AB1647" s="142" t="s">
        <v>3047</v>
      </c>
      <c r="AC1647" s="142">
        <f>B1647*IBGE_2!AC$1647/100</f>
        <v>3.85</v>
      </c>
      <c r="AD1647" s="142">
        <f>B1647*IBGE_2!AD$1647/100</f>
        <v>0.59699999999999998</v>
      </c>
      <c r="AE1647" s="142">
        <f>B1647*IBGE_2!AE$1647/100</f>
        <v>1.6180000000000001</v>
      </c>
      <c r="AF1647" s="142">
        <f>B1647*IBGE_2!AF$1647/100</f>
        <v>0.317</v>
      </c>
      <c r="AG1647" s="142">
        <f>B1647*IBGE_2!AG$1647/100</f>
        <v>0.13900000000000001</v>
      </c>
      <c r="AH1647" s="142">
        <f>B1647*IBGE_2!AH$1647/100</f>
        <v>0.80200000000000005</v>
      </c>
      <c r="AI1647" s="142" t="s">
        <v>3047</v>
      </c>
      <c r="AJ1647" s="142">
        <f>B1647*IBGE_2!AJ$1647/100</f>
        <v>9.9160000000000004</v>
      </c>
      <c r="AK1647" s="142">
        <f>B1647*IBGE_2!AK$1647/100</f>
        <v>12.988</v>
      </c>
      <c r="AL1647" s="142">
        <f>B1647*IBGE_2!AL$1647/100</f>
        <v>3.1519999999999997</v>
      </c>
      <c r="AM1647" s="142">
        <f>B1647*IBGE_2!AM$1647/100</f>
        <v>3.605</v>
      </c>
      <c r="AN1647" s="161"/>
    </row>
    <row r="1648" spans="1:40">
      <c r="A1648" s="143" t="s">
        <v>2708</v>
      </c>
      <c r="B1648" s="141">
        <v>100</v>
      </c>
      <c r="C1648" s="142">
        <f>B1648*IBGE_2!C$1648/100</f>
        <v>321.05099999999999</v>
      </c>
      <c r="D1648" s="142">
        <f>B1648*IBGE_2!D$1648/100</f>
        <v>9.7189999999999994</v>
      </c>
      <c r="E1648" s="142">
        <f>B1648*IBGE_2!E$1648/100</f>
        <v>29.509</v>
      </c>
      <c r="F1648" s="142">
        <f>B1648*IBGE_2!F$1648/100</f>
        <v>10.863</v>
      </c>
      <c r="G1648" s="142">
        <f>B1648*IBGE_2!G$1648/100</f>
        <v>12.599</v>
      </c>
      <c r="H1648" s="142">
        <f>B1648*IBGE_2!H$1648/100</f>
        <v>2.9760000000000004</v>
      </c>
      <c r="I1648" s="142">
        <f>B1648*IBGE_2!I$1648/100</f>
        <v>2.548</v>
      </c>
      <c r="J1648" s="142">
        <f>B1648*IBGE_2!J$1648/100</f>
        <v>0.29399999999999998</v>
      </c>
      <c r="K1648" s="142">
        <f>B1648*IBGE_2!K$1648/100</f>
        <v>52.945999999999998</v>
      </c>
      <c r="L1648" s="142">
        <f>B1648*IBGE_2!L$1648/100</f>
        <v>3.605</v>
      </c>
      <c r="M1648" s="142" t="s">
        <v>3047</v>
      </c>
      <c r="N1648" s="142">
        <f>B1648*IBGE_2!N$1648/100</f>
        <v>16.486999999999998</v>
      </c>
      <c r="O1648" s="142">
        <f>B1648*IBGE_2!O$1648/100</f>
        <v>8.282</v>
      </c>
      <c r="P1648" s="142">
        <f>B1648*IBGE_2!P$1648/100</f>
        <v>8.0000000000000002E-3</v>
      </c>
      <c r="Q1648" s="142">
        <f>B1648*IBGE_2!Q$1648/100</f>
        <v>78.674999999999997</v>
      </c>
      <c r="R1648" s="142">
        <f>B1648*IBGE_2!R$1648/100</f>
        <v>0.80600000000000005</v>
      </c>
      <c r="S1648" s="142">
        <f>B1648*IBGE_2!S$1648/100</f>
        <v>1174.711</v>
      </c>
      <c r="T1648" s="142">
        <f>B1648*IBGE_2!T$1648/100</f>
        <v>108.80800000000001</v>
      </c>
      <c r="U1648" s="142">
        <f>B1648*IBGE_2!U$1648/100</f>
        <v>4.4999999999999998E-2</v>
      </c>
      <c r="V1648" s="142">
        <f>B1648*IBGE_2!V$1648/100</f>
        <v>1.339</v>
      </c>
      <c r="W1648" s="142">
        <f>B1648*IBGE_2!W$1648/100</f>
        <v>12.988</v>
      </c>
      <c r="X1648" s="142">
        <f>B1648*IBGE_2!X$1648/100</f>
        <v>8.4000000000000005E-2</v>
      </c>
      <c r="Y1648" s="142">
        <f>B1648*IBGE_2!Y$1648/100</f>
        <v>9.3000000000000013E-2</v>
      </c>
      <c r="Z1648" s="142">
        <f>B1648*IBGE_2!Z$1648/100</f>
        <v>0.13500000000000001</v>
      </c>
      <c r="AA1648" s="142">
        <f>B1648*IBGE_2!AA$1648/100</f>
        <v>2.1339999999999999</v>
      </c>
      <c r="AB1648" s="142" t="s">
        <v>3047</v>
      </c>
      <c r="AC1648" s="142">
        <f>B1648*IBGE_2!AC$1648/100</f>
        <v>3.85</v>
      </c>
      <c r="AD1648" s="142">
        <f>B1648*IBGE_2!AD$1648/100</f>
        <v>0.59699999999999998</v>
      </c>
      <c r="AE1648" s="142">
        <f>B1648*IBGE_2!AE$1648/100</f>
        <v>1.6180000000000001</v>
      </c>
      <c r="AF1648" s="142">
        <f>B1648*IBGE_2!AF$1648/100</f>
        <v>0.317</v>
      </c>
      <c r="AG1648" s="142">
        <f>B1648*IBGE_2!AG$1648/100</f>
        <v>0.13900000000000001</v>
      </c>
      <c r="AH1648" s="142">
        <f>B1648*IBGE_2!AH$1648/100</f>
        <v>0.80200000000000005</v>
      </c>
      <c r="AI1648" s="142" t="s">
        <v>3047</v>
      </c>
      <c r="AJ1648" s="142">
        <f>B1648*IBGE_2!AJ$1648/100</f>
        <v>9.9160000000000004</v>
      </c>
      <c r="AK1648" s="142">
        <f>B1648*IBGE_2!AK$1648/100</f>
        <v>12.988</v>
      </c>
      <c r="AL1648" s="142">
        <f>B1648*IBGE_2!AL$1648/100</f>
        <v>3.1519999999999997</v>
      </c>
      <c r="AM1648" s="142">
        <f>B1648*IBGE_2!AM$1648/100</f>
        <v>3.605</v>
      </c>
      <c r="AN1648" s="161"/>
    </row>
    <row r="1649" spans="1:40">
      <c r="A1649" s="143" t="s">
        <v>2709</v>
      </c>
      <c r="B1649" s="141">
        <v>100</v>
      </c>
      <c r="C1649" s="142">
        <f>B1649*IBGE_2!C$1649/100</f>
        <v>396</v>
      </c>
      <c r="D1649" s="142">
        <f>B1649*IBGE_2!D$1649/100</f>
        <v>13.8</v>
      </c>
      <c r="E1649" s="142">
        <f>B1649*IBGE_2!E$1649/100</f>
        <v>36.25</v>
      </c>
      <c r="F1649" s="142">
        <f>B1649*IBGE_2!F$1649/100</f>
        <v>12.96</v>
      </c>
      <c r="G1649" s="142">
        <f>B1649*IBGE_2!G$1649/100</f>
        <v>17.18</v>
      </c>
      <c r="H1649" s="142">
        <f>B1649*IBGE_2!H$1649/100</f>
        <v>3.9</v>
      </c>
      <c r="I1649" s="142">
        <f>B1649*IBGE_2!I$1649/100</f>
        <v>3.46</v>
      </c>
      <c r="J1649" s="142">
        <f>B1649*IBGE_2!J$1649/100</f>
        <v>0.32</v>
      </c>
      <c r="K1649" s="142">
        <f>B1649*IBGE_2!K$1649/100</f>
        <v>71</v>
      </c>
      <c r="L1649" s="142">
        <f>B1649*IBGE_2!L$1649/100</f>
        <v>2.7</v>
      </c>
      <c r="M1649" s="142" t="s">
        <v>3047</v>
      </c>
      <c r="N1649" s="142">
        <f>B1649*IBGE_2!N$1649/100</f>
        <v>10</v>
      </c>
      <c r="O1649" s="142">
        <f>B1649*IBGE_2!O$1649/100</f>
        <v>12</v>
      </c>
      <c r="P1649" s="142">
        <f>B1649*IBGE_2!P$1649/100</f>
        <v>3.6999999999999998E-2</v>
      </c>
      <c r="Q1649" s="142">
        <f>B1649*IBGE_2!Q$1649/100</f>
        <v>107</v>
      </c>
      <c r="R1649" s="142">
        <f>B1649*IBGE_2!R$1649/100</f>
        <v>1.1299999999999999</v>
      </c>
      <c r="S1649" s="142">
        <f>B1649*IBGE_2!S$1649/100</f>
        <v>805</v>
      </c>
      <c r="T1649" s="142">
        <f>B1649*IBGE_2!T$1649/100</f>
        <v>189</v>
      </c>
      <c r="U1649" s="142">
        <f>B1649*IBGE_2!U$1649/100</f>
        <v>0.04</v>
      </c>
      <c r="V1649" s="142">
        <f>B1649*IBGE_2!V$1649/100</f>
        <v>1.87</v>
      </c>
      <c r="W1649" s="142" t="s">
        <v>3047</v>
      </c>
      <c r="X1649" s="142">
        <f>B1649*IBGE_2!X$1649/100</f>
        <v>0.35699999999999998</v>
      </c>
      <c r="Y1649" s="142">
        <f>B1649*IBGE_2!Y$1649/100</f>
        <v>0.14699999999999999</v>
      </c>
      <c r="Z1649" s="142">
        <f>B1649*IBGE_2!Z$1649/100</f>
        <v>0.05</v>
      </c>
      <c r="AA1649" s="142">
        <f>B1649*IBGE_2!AA$1649/100</f>
        <v>3.367</v>
      </c>
      <c r="AB1649" s="142" t="s">
        <v>3047</v>
      </c>
      <c r="AC1649" s="142">
        <f>B1649*IBGE_2!AC$1649/100</f>
        <v>5.5670000000000002</v>
      </c>
      <c r="AD1649" s="142">
        <f>B1649*IBGE_2!AD$1649/100</f>
        <v>0.43</v>
      </c>
      <c r="AE1649" s="142">
        <f>B1649*IBGE_2!AE$1649/100</f>
        <v>2</v>
      </c>
      <c r="AF1649" s="142">
        <f>B1649*IBGE_2!AF$1649/100</f>
        <v>0.7</v>
      </c>
      <c r="AG1649" s="142">
        <f>B1649*IBGE_2!AG$1649/100</f>
        <v>0.22</v>
      </c>
      <c r="AH1649" s="142">
        <f>B1649*IBGE_2!AH$1649/100</f>
        <v>2.52</v>
      </c>
      <c r="AI1649" s="142" t="s">
        <v>3047</v>
      </c>
      <c r="AJ1649" s="142">
        <f>B1649*IBGE_2!AJ$1649/100</f>
        <v>14.4</v>
      </c>
      <c r="AK1649" s="142" t="s">
        <v>3047</v>
      </c>
      <c r="AL1649" s="142">
        <f>B1649*IBGE_2!AL$1649/100</f>
        <v>1.34</v>
      </c>
      <c r="AM1649" s="142">
        <f>B1649*IBGE_2!AM$1649/100</f>
        <v>2.698</v>
      </c>
      <c r="AN1649" s="161"/>
    </row>
    <row r="1650" spans="1:40">
      <c r="A1650" s="143" t="s">
        <v>2710</v>
      </c>
      <c r="B1650" s="141">
        <v>100</v>
      </c>
      <c r="C1650" s="142">
        <f>B1650*IBGE_2!C$1650/100</f>
        <v>396</v>
      </c>
      <c r="D1650" s="142">
        <f>B1650*IBGE_2!D$1650/100</f>
        <v>13.8</v>
      </c>
      <c r="E1650" s="142">
        <f>B1650*IBGE_2!E$1650/100</f>
        <v>36.25</v>
      </c>
      <c r="F1650" s="142">
        <f>B1650*IBGE_2!F$1650/100</f>
        <v>12.96</v>
      </c>
      <c r="G1650" s="142">
        <f>B1650*IBGE_2!G$1650/100</f>
        <v>17.18</v>
      </c>
      <c r="H1650" s="142">
        <f>B1650*IBGE_2!H$1650/100</f>
        <v>3.9</v>
      </c>
      <c r="I1650" s="142">
        <f>B1650*IBGE_2!I$1650/100</f>
        <v>3.46</v>
      </c>
      <c r="J1650" s="142">
        <f>B1650*IBGE_2!J$1650/100</f>
        <v>0.32</v>
      </c>
      <c r="K1650" s="142">
        <f>B1650*IBGE_2!K$1650/100</f>
        <v>71</v>
      </c>
      <c r="L1650" s="142">
        <f>B1650*IBGE_2!L$1650/100</f>
        <v>2.7</v>
      </c>
      <c r="M1650" s="142" t="s">
        <v>3047</v>
      </c>
      <c r="N1650" s="142">
        <f>B1650*IBGE_2!N$1650/100</f>
        <v>10</v>
      </c>
      <c r="O1650" s="142">
        <f>B1650*IBGE_2!O$1650/100</f>
        <v>12</v>
      </c>
      <c r="P1650" s="142">
        <f>B1650*IBGE_2!P$1650/100</f>
        <v>3.6999999999999998E-2</v>
      </c>
      <c r="Q1650" s="142">
        <f>B1650*IBGE_2!Q$1650/100</f>
        <v>107</v>
      </c>
      <c r="R1650" s="142">
        <f>B1650*IBGE_2!R$1650/100</f>
        <v>1.1299999999999999</v>
      </c>
      <c r="S1650" s="142">
        <f>B1650*IBGE_2!S$1650/100</f>
        <v>805</v>
      </c>
      <c r="T1650" s="142">
        <f>B1650*IBGE_2!T$1650/100</f>
        <v>189</v>
      </c>
      <c r="U1650" s="142">
        <f>B1650*IBGE_2!U$1650/100</f>
        <v>0.04</v>
      </c>
      <c r="V1650" s="142">
        <f>B1650*IBGE_2!V$1650/100</f>
        <v>1.87</v>
      </c>
      <c r="W1650" s="142" t="s">
        <v>3047</v>
      </c>
      <c r="X1650" s="142">
        <f>B1650*IBGE_2!X$1650/100</f>
        <v>0.35699999999999998</v>
      </c>
      <c r="Y1650" s="142">
        <f>B1650*IBGE_2!Y$1650/100</f>
        <v>0.14699999999999999</v>
      </c>
      <c r="Z1650" s="142">
        <f>B1650*IBGE_2!Z$1650/100</f>
        <v>0.05</v>
      </c>
      <c r="AA1650" s="142">
        <f>B1650*IBGE_2!AA$1650/100</f>
        <v>3.367</v>
      </c>
      <c r="AB1650" s="142" t="s">
        <v>3047</v>
      </c>
      <c r="AC1650" s="142">
        <f>B1650*IBGE_2!AC$1650/100</f>
        <v>5.5670000000000002</v>
      </c>
      <c r="AD1650" s="142">
        <f>B1650*IBGE_2!AD$1650/100</f>
        <v>0.43</v>
      </c>
      <c r="AE1650" s="142">
        <f>B1650*IBGE_2!AE$1650/100</f>
        <v>2</v>
      </c>
      <c r="AF1650" s="142">
        <f>B1650*IBGE_2!AF$1650/100</f>
        <v>0.7</v>
      </c>
      <c r="AG1650" s="142">
        <f>B1650*IBGE_2!AG$1650/100</f>
        <v>0.22</v>
      </c>
      <c r="AH1650" s="142">
        <f>B1650*IBGE_2!AH$1650/100</f>
        <v>2.52</v>
      </c>
      <c r="AI1650" s="142" t="s">
        <v>3047</v>
      </c>
      <c r="AJ1650" s="142">
        <f>B1650*IBGE_2!AJ$1650/100</f>
        <v>14.4</v>
      </c>
      <c r="AK1650" s="142" t="s">
        <v>3047</v>
      </c>
      <c r="AL1650" s="142">
        <f>B1650*IBGE_2!AL$1650/100</f>
        <v>1.34</v>
      </c>
      <c r="AM1650" s="142">
        <f>B1650*IBGE_2!AM$1650/100</f>
        <v>2.698</v>
      </c>
      <c r="AN1650" s="161"/>
    </row>
    <row r="1651" spans="1:40">
      <c r="A1651" s="143" t="s">
        <v>2711</v>
      </c>
      <c r="B1651" s="141">
        <v>100</v>
      </c>
      <c r="C1651" s="142">
        <f>B1651*IBGE_2!C$1651/100</f>
        <v>396</v>
      </c>
      <c r="D1651" s="142">
        <f>B1651*IBGE_2!D$1651/100</f>
        <v>13.8</v>
      </c>
      <c r="E1651" s="142">
        <f>B1651*IBGE_2!E$1651/100</f>
        <v>36.25</v>
      </c>
      <c r="F1651" s="142">
        <f>B1651*IBGE_2!F$1651/100</f>
        <v>12.96</v>
      </c>
      <c r="G1651" s="142">
        <f>B1651*IBGE_2!G$1651/100</f>
        <v>17.18</v>
      </c>
      <c r="H1651" s="142">
        <f>B1651*IBGE_2!H$1651/100</f>
        <v>3.9</v>
      </c>
      <c r="I1651" s="142">
        <f>B1651*IBGE_2!I$1651/100</f>
        <v>3.46</v>
      </c>
      <c r="J1651" s="142">
        <f>B1651*IBGE_2!J$1651/100</f>
        <v>0.32</v>
      </c>
      <c r="K1651" s="142">
        <f>B1651*IBGE_2!K$1651/100</f>
        <v>71</v>
      </c>
      <c r="L1651" s="142">
        <f>B1651*IBGE_2!L$1651/100</f>
        <v>2.7</v>
      </c>
      <c r="M1651" s="142" t="s">
        <v>3047</v>
      </c>
      <c r="N1651" s="142">
        <f>B1651*IBGE_2!N$1651/100</f>
        <v>10</v>
      </c>
      <c r="O1651" s="142">
        <f>B1651*IBGE_2!O$1651/100</f>
        <v>12</v>
      </c>
      <c r="P1651" s="142">
        <f>B1651*IBGE_2!P$1651/100</f>
        <v>3.6999999999999998E-2</v>
      </c>
      <c r="Q1651" s="142">
        <f>B1651*IBGE_2!Q$1651/100</f>
        <v>107</v>
      </c>
      <c r="R1651" s="142">
        <f>B1651*IBGE_2!R$1651/100</f>
        <v>1.1299999999999999</v>
      </c>
      <c r="S1651" s="142">
        <f>B1651*IBGE_2!S$1651/100</f>
        <v>805</v>
      </c>
      <c r="T1651" s="142">
        <f>B1651*IBGE_2!T$1651/100</f>
        <v>189</v>
      </c>
      <c r="U1651" s="142">
        <f>B1651*IBGE_2!U$1651/100</f>
        <v>0.04</v>
      </c>
      <c r="V1651" s="142">
        <f>B1651*IBGE_2!V$1651/100</f>
        <v>1.87</v>
      </c>
      <c r="W1651" s="142" t="s">
        <v>3047</v>
      </c>
      <c r="X1651" s="142">
        <f>B1651*IBGE_2!X$1651/100</f>
        <v>0.35699999999999998</v>
      </c>
      <c r="Y1651" s="142">
        <f>B1651*IBGE_2!Y$1651/100</f>
        <v>0.14699999999999999</v>
      </c>
      <c r="Z1651" s="142">
        <f>B1651*IBGE_2!Z$1651/100</f>
        <v>0.05</v>
      </c>
      <c r="AA1651" s="142">
        <f>B1651*IBGE_2!AA$1651/100</f>
        <v>3.367</v>
      </c>
      <c r="AB1651" s="142" t="s">
        <v>3047</v>
      </c>
      <c r="AC1651" s="142">
        <f>B1651*IBGE_2!AC$1651/100</f>
        <v>5.5670000000000002</v>
      </c>
      <c r="AD1651" s="142">
        <f>B1651*IBGE_2!AD$1651/100</f>
        <v>0.43</v>
      </c>
      <c r="AE1651" s="142">
        <f>B1651*IBGE_2!AE$1651/100</f>
        <v>2</v>
      </c>
      <c r="AF1651" s="142">
        <f>B1651*IBGE_2!AF$1651/100</f>
        <v>0.7</v>
      </c>
      <c r="AG1651" s="142">
        <f>B1651*IBGE_2!AG$1651/100</f>
        <v>0.22</v>
      </c>
      <c r="AH1651" s="142">
        <f>B1651*IBGE_2!AH$1651/100</f>
        <v>2.52</v>
      </c>
      <c r="AI1651" s="142" t="s">
        <v>3047</v>
      </c>
      <c r="AJ1651" s="142">
        <f>B1651*IBGE_2!AJ$1651/100</f>
        <v>14.4</v>
      </c>
      <c r="AK1651" s="142" t="s">
        <v>3047</v>
      </c>
      <c r="AL1651" s="142">
        <f>B1651*IBGE_2!AL$1651/100</f>
        <v>1.34</v>
      </c>
      <c r="AM1651" s="142">
        <f>B1651*IBGE_2!AM$1651/100</f>
        <v>2.698</v>
      </c>
      <c r="AN1651" s="161"/>
    </row>
    <row r="1652" spans="1:40">
      <c r="A1652" s="143" t="s">
        <v>2712</v>
      </c>
      <c r="B1652" s="141">
        <v>100</v>
      </c>
      <c r="C1652" s="142">
        <f>B1652*IBGE_2!C$1652/100</f>
        <v>396</v>
      </c>
      <c r="D1652" s="142">
        <f>B1652*IBGE_2!D$1652/100</f>
        <v>13.8</v>
      </c>
      <c r="E1652" s="142">
        <f>B1652*IBGE_2!E$1652/100</f>
        <v>36.25</v>
      </c>
      <c r="F1652" s="142">
        <f>B1652*IBGE_2!F$1652/100</f>
        <v>12.96</v>
      </c>
      <c r="G1652" s="142">
        <f>B1652*IBGE_2!G$1652/100</f>
        <v>17.18</v>
      </c>
      <c r="H1652" s="142">
        <f>B1652*IBGE_2!H$1652/100</f>
        <v>3.9</v>
      </c>
      <c r="I1652" s="142">
        <f>B1652*IBGE_2!I$1652/100</f>
        <v>3.46</v>
      </c>
      <c r="J1652" s="142">
        <f>B1652*IBGE_2!J$1652/100</f>
        <v>0.32</v>
      </c>
      <c r="K1652" s="142">
        <f>B1652*IBGE_2!K$1652/100</f>
        <v>71</v>
      </c>
      <c r="L1652" s="142">
        <f>B1652*IBGE_2!L$1652/100</f>
        <v>2.7</v>
      </c>
      <c r="M1652" s="142" t="s">
        <v>3047</v>
      </c>
      <c r="N1652" s="142">
        <f>B1652*IBGE_2!N$1652/100</f>
        <v>10</v>
      </c>
      <c r="O1652" s="142">
        <f>B1652*IBGE_2!O$1652/100</f>
        <v>12</v>
      </c>
      <c r="P1652" s="142">
        <f>B1652*IBGE_2!P$1652/100</f>
        <v>3.6999999999999998E-2</v>
      </c>
      <c r="Q1652" s="142">
        <f>B1652*IBGE_2!Q$1652/100</f>
        <v>107</v>
      </c>
      <c r="R1652" s="142">
        <f>B1652*IBGE_2!R$1652/100</f>
        <v>1.1299999999999999</v>
      </c>
      <c r="S1652" s="142">
        <f>B1652*IBGE_2!S$1652/100</f>
        <v>805</v>
      </c>
      <c r="T1652" s="142">
        <f>B1652*IBGE_2!T$1652/100</f>
        <v>189</v>
      </c>
      <c r="U1652" s="142">
        <f>B1652*IBGE_2!U$1652/100</f>
        <v>0.04</v>
      </c>
      <c r="V1652" s="142">
        <f>B1652*IBGE_2!V$1652/100</f>
        <v>1.87</v>
      </c>
      <c r="W1652" s="142" t="s">
        <v>3047</v>
      </c>
      <c r="X1652" s="142">
        <f>B1652*IBGE_2!X$1652/100</f>
        <v>0.35699999999999998</v>
      </c>
      <c r="Y1652" s="142">
        <f>B1652*IBGE_2!Y$1652/100</f>
        <v>0.14699999999999999</v>
      </c>
      <c r="Z1652" s="142">
        <f>B1652*IBGE_2!Z$1652/100</f>
        <v>0.05</v>
      </c>
      <c r="AA1652" s="142">
        <f>B1652*IBGE_2!AA$1652/100</f>
        <v>3.367</v>
      </c>
      <c r="AB1652" s="142" t="s">
        <v>3047</v>
      </c>
      <c r="AC1652" s="142">
        <f>B1652*IBGE_2!AC$1652/100</f>
        <v>5.5670000000000002</v>
      </c>
      <c r="AD1652" s="142">
        <f>B1652*IBGE_2!AD$1652/100</f>
        <v>0.43</v>
      </c>
      <c r="AE1652" s="142">
        <f>B1652*IBGE_2!AE$1652/100</f>
        <v>2</v>
      </c>
      <c r="AF1652" s="142">
        <f>B1652*IBGE_2!AF$1652/100</f>
        <v>0.7</v>
      </c>
      <c r="AG1652" s="142">
        <f>B1652*IBGE_2!AG$1652/100</f>
        <v>0.22</v>
      </c>
      <c r="AH1652" s="142">
        <f>B1652*IBGE_2!AH$1652/100</f>
        <v>2.52</v>
      </c>
      <c r="AI1652" s="142" t="s">
        <v>3047</v>
      </c>
      <c r="AJ1652" s="142">
        <f>B1652*IBGE_2!AJ$1652/100</f>
        <v>14.4</v>
      </c>
      <c r="AK1652" s="142" t="s">
        <v>3047</v>
      </c>
      <c r="AL1652" s="142">
        <f>B1652*IBGE_2!AL$1652/100</f>
        <v>1.34</v>
      </c>
      <c r="AM1652" s="142">
        <f>B1652*IBGE_2!AM$1652/100</f>
        <v>2.698</v>
      </c>
      <c r="AN1652" s="161"/>
    </row>
    <row r="1653" spans="1:40">
      <c r="A1653" s="143" t="s">
        <v>2713</v>
      </c>
      <c r="B1653" s="141">
        <v>100</v>
      </c>
      <c r="C1653" s="142">
        <f>B1653*IBGE_2!C$1653/100</f>
        <v>396</v>
      </c>
      <c r="D1653" s="142">
        <f>B1653*IBGE_2!D$1653/100</f>
        <v>13.8</v>
      </c>
      <c r="E1653" s="142">
        <f>B1653*IBGE_2!E$1653/100</f>
        <v>36.25</v>
      </c>
      <c r="F1653" s="142">
        <f>B1653*IBGE_2!F$1653/100</f>
        <v>12.96</v>
      </c>
      <c r="G1653" s="142">
        <f>B1653*IBGE_2!G$1653/100</f>
        <v>17.18</v>
      </c>
      <c r="H1653" s="142">
        <f>B1653*IBGE_2!H$1653/100</f>
        <v>3.9</v>
      </c>
      <c r="I1653" s="142">
        <f>B1653*IBGE_2!I$1653/100</f>
        <v>3.46</v>
      </c>
      <c r="J1653" s="142">
        <f>B1653*IBGE_2!J$1653/100</f>
        <v>0.32</v>
      </c>
      <c r="K1653" s="142">
        <f>B1653*IBGE_2!K$1653/100</f>
        <v>71</v>
      </c>
      <c r="L1653" s="142">
        <f>B1653*IBGE_2!L$1653/100</f>
        <v>2.7</v>
      </c>
      <c r="M1653" s="142" t="s">
        <v>3047</v>
      </c>
      <c r="N1653" s="142">
        <f>B1653*IBGE_2!N$1653/100</f>
        <v>10</v>
      </c>
      <c r="O1653" s="142">
        <f>B1653*IBGE_2!O$1653/100</f>
        <v>12</v>
      </c>
      <c r="P1653" s="142">
        <f>B1653*IBGE_2!P$1653/100</f>
        <v>3.6999999999999998E-2</v>
      </c>
      <c r="Q1653" s="142">
        <f>B1653*IBGE_2!Q$1653/100</f>
        <v>107</v>
      </c>
      <c r="R1653" s="142">
        <f>B1653*IBGE_2!R$1653/100</f>
        <v>1.1299999999999999</v>
      </c>
      <c r="S1653" s="142">
        <f>B1653*IBGE_2!S$1653/100</f>
        <v>805</v>
      </c>
      <c r="T1653" s="142">
        <f>B1653*IBGE_2!T$1653/100</f>
        <v>189</v>
      </c>
      <c r="U1653" s="142">
        <f>B1653*IBGE_2!U$1653/100</f>
        <v>0.04</v>
      </c>
      <c r="V1653" s="142">
        <f>B1653*IBGE_2!V$1653/100</f>
        <v>1.87</v>
      </c>
      <c r="W1653" s="142" t="s">
        <v>3047</v>
      </c>
      <c r="X1653" s="142">
        <f>B1653*IBGE_2!X$1653/100</f>
        <v>0.35699999999999998</v>
      </c>
      <c r="Y1653" s="142">
        <f>B1653*IBGE_2!Y$1653/100</f>
        <v>0.14699999999999999</v>
      </c>
      <c r="Z1653" s="142">
        <f>B1653*IBGE_2!Z$1653/100</f>
        <v>0.05</v>
      </c>
      <c r="AA1653" s="142">
        <f>B1653*IBGE_2!AA$1653/100</f>
        <v>3.367</v>
      </c>
      <c r="AB1653" s="142" t="s">
        <v>3047</v>
      </c>
      <c r="AC1653" s="142">
        <f>B1653*IBGE_2!AC$1653/100</f>
        <v>5.5670000000000002</v>
      </c>
      <c r="AD1653" s="142">
        <f>B1653*IBGE_2!AD$1653/100</f>
        <v>0.43</v>
      </c>
      <c r="AE1653" s="142">
        <f>B1653*IBGE_2!AE$1653/100</f>
        <v>2</v>
      </c>
      <c r="AF1653" s="142">
        <f>B1653*IBGE_2!AF$1653/100</f>
        <v>0.7</v>
      </c>
      <c r="AG1653" s="142">
        <f>B1653*IBGE_2!AG$1653/100</f>
        <v>0.22</v>
      </c>
      <c r="AH1653" s="142">
        <f>B1653*IBGE_2!AH$1653/100</f>
        <v>2.52</v>
      </c>
      <c r="AI1653" s="142" t="s">
        <v>3047</v>
      </c>
      <c r="AJ1653" s="142">
        <f>B1653*IBGE_2!AJ$1653/100</f>
        <v>14.4</v>
      </c>
      <c r="AK1653" s="142" t="s">
        <v>3047</v>
      </c>
      <c r="AL1653" s="142">
        <f>B1653*IBGE_2!AL$1653/100</f>
        <v>1.34</v>
      </c>
      <c r="AM1653" s="142">
        <f>B1653*IBGE_2!AM$1653/100</f>
        <v>2.698</v>
      </c>
      <c r="AN1653" s="161"/>
    </row>
    <row r="1654" spans="1:40">
      <c r="A1654" s="143" t="s">
        <v>2714</v>
      </c>
      <c r="B1654" s="141">
        <v>100</v>
      </c>
      <c r="C1654" s="142">
        <f>B1654*IBGE_2!C$1654/100</f>
        <v>396</v>
      </c>
      <c r="D1654" s="142">
        <f>B1654*IBGE_2!D$1654/100</f>
        <v>13.8</v>
      </c>
      <c r="E1654" s="142">
        <f>B1654*IBGE_2!E$1654/100</f>
        <v>36.25</v>
      </c>
      <c r="F1654" s="142">
        <f>B1654*IBGE_2!F$1654/100</f>
        <v>12.96</v>
      </c>
      <c r="G1654" s="142">
        <f>B1654*IBGE_2!G$1654/100</f>
        <v>17.18</v>
      </c>
      <c r="H1654" s="142">
        <f>B1654*IBGE_2!H$1654/100</f>
        <v>3.9</v>
      </c>
      <c r="I1654" s="142">
        <f>B1654*IBGE_2!I$1654/100</f>
        <v>3.46</v>
      </c>
      <c r="J1654" s="142">
        <f>B1654*IBGE_2!J$1654/100</f>
        <v>0.32</v>
      </c>
      <c r="K1654" s="142">
        <f>B1654*IBGE_2!K$1654/100</f>
        <v>71</v>
      </c>
      <c r="L1654" s="142">
        <f>B1654*IBGE_2!L$1654/100</f>
        <v>2.7</v>
      </c>
      <c r="M1654" s="142" t="s">
        <v>3047</v>
      </c>
      <c r="N1654" s="142">
        <f>B1654*IBGE_2!N$1654/100</f>
        <v>10</v>
      </c>
      <c r="O1654" s="142">
        <f>B1654*IBGE_2!O$1654/100</f>
        <v>12</v>
      </c>
      <c r="P1654" s="142">
        <f>B1654*IBGE_2!P$1654/100</f>
        <v>3.6999999999999998E-2</v>
      </c>
      <c r="Q1654" s="142">
        <f>B1654*IBGE_2!Q$1654/100</f>
        <v>107</v>
      </c>
      <c r="R1654" s="142">
        <f>B1654*IBGE_2!R$1654/100</f>
        <v>1.1299999999999999</v>
      </c>
      <c r="S1654" s="142">
        <f>B1654*IBGE_2!S$1654/100</f>
        <v>805</v>
      </c>
      <c r="T1654" s="142">
        <f>B1654*IBGE_2!T$1654/100</f>
        <v>189</v>
      </c>
      <c r="U1654" s="142">
        <f>B1654*IBGE_2!U$1654/100</f>
        <v>0.04</v>
      </c>
      <c r="V1654" s="142">
        <f>B1654*IBGE_2!V$1654/100</f>
        <v>1.87</v>
      </c>
      <c r="W1654" s="142" t="s">
        <v>3047</v>
      </c>
      <c r="X1654" s="142">
        <f>B1654*IBGE_2!X$1654/100</f>
        <v>0.35699999999999998</v>
      </c>
      <c r="Y1654" s="142">
        <f>B1654*IBGE_2!Y$1654/100</f>
        <v>0.14699999999999999</v>
      </c>
      <c r="Z1654" s="142">
        <f>B1654*IBGE_2!Z$1654/100</f>
        <v>0.05</v>
      </c>
      <c r="AA1654" s="142">
        <f>B1654*IBGE_2!AA$1654/100</f>
        <v>3.367</v>
      </c>
      <c r="AB1654" s="142" t="s">
        <v>3047</v>
      </c>
      <c r="AC1654" s="142">
        <f>B1654*IBGE_2!AC$1654/100</f>
        <v>5.5670000000000002</v>
      </c>
      <c r="AD1654" s="142">
        <f>B1654*IBGE_2!AD$1654/100</f>
        <v>0.43</v>
      </c>
      <c r="AE1654" s="142">
        <f>B1654*IBGE_2!AE$1654/100</f>
        <v>2</v>
      </c>
      <c r="AF1654" s="142">
        <f>B1654*IBGE_2!AF$1654/100</f>
        <v>0.7</v>
      </c>
      <c r="AG1654" s="142">
        <f>B1654*IBGE_2!AG$1654/100</f>
        <v>0.22</v>
      </c>
      <c r="AH1654" s="142">
        <f>B1654*IBGE_2!AH$1654/100</f>
        <v>2.52</v>
      </c>
      <c r="AI1654" s="142" t="s">
        <v>3047</v>
      </c>
      <c r="AJ1654" s="142">
        <f>B1654*IBGE_2!AJ$1654/100</f>
        <v>14.4</v>
      </c>
      <c r="AK1654" s="142" t="s">
        <v>3047</v>
      </c>
      <c r="AL1654" s="142">
        <f>B1654*IBGE_2!AL$1654/100</f>
        <v>1.34</v>
      </c>
      <c r="AM1654" s="142">
        <f>B1654*IBGE_2!AM$1654/100</f>
        <v>2.698</v>
      </c>
      <c r="AN1654" s="161"/>
    </row>
    <row r="1655" spans="1:40">
      <c r="A1655" s="143" t="s">
        <v>2715</v>
      </c>
      <c r="B1655" s="141">
        <v>100</v>
      </c>
      <c r="C1655" s="142">
        <f>B1655*IBGE_2!C$1655/100</f>
        <v>396</v>
      </c>
      <c r="D1655" s="142">
        <f>B1655*IBGE_2!D$1655/100</f>
        <v>13.8</v>
      </c>
      <c r="E1655" s="142">
        <f>B1655*IBGE_2!E$1655/100</f>
        <v>36.25</v>
      </c>
      <c r="F1655" s="142">
        <f>B1655*IBGE_2!F$1655/100</f>
        <v>12.96</v>
      </c>
      <c r="G1655" s="142">
        <f>B1655*IBGE_2!G$1655/100</f>
        <v>17.18</v>
      </c>
      <c r="H1655" s="142">
        <f>B1655*IBGE_2!H$1655/100</f>
        <v>3.9</v>
      </c>
      <c r="I1655" s="142">
        <f>B1655*IBGE_2!I$1655/100</f>
        <v>3.46</v>
      </c>
      <c r="J1655" s="142">
        <f>B1655*IBGE_2!J$1655/100</f>
        <v>0.32</v>
      </c>
      <c r="K1655" s="142">
        <f>B1655*IBGE_2!K$1655/100</f>
        <v>71</v>
      </c>
      <c r="L1655" s="142">
        <f>B1655*IBGE_2!L$1655/100</f>
        <v>2.7</v>
      </c>
      <c r="M1655" s="142" t="s">
        <v>3047</v>
      </c>
      <c r="N1655" s="142">
        <f>B1655*IBGE_2!N$1655/100</f>
        <v>10</v>
      </c>
      <c r="O1655" s="142">
        <f>B1655*IBGE_2!O$1655/100</f>
        <v>12</v>
      </c>
      <c r="P1655" s="142">
        <f>B1655*IBGE_2!P$1655/100</f>
        <v>3.6999999999999998E-2</v>
      </c>
      <c r="Q1655" s="142">
        <f>B1655*IBGE_2!Q$1655/100</f>
        <v>107</v>
      </c>
      <c r="R1655" s="142">
        <f>B1655*IBGE_2!R$1655/100</f>
        <v>1.1299999999999999</v>
      </c>
      <c r="S1655" s="142">
        <f>B1655*IBGE_2!S$1655/100</f>
        <v>805</v>
      </c>
      <c r="T1655" s="142">
        <f>B1655*IBGE_2!T$1655/100</f>
        <v>189</v>
      </c>
      <c r="U1655" s="142">
        <f>B1655*IBGE_2!U$1655/100</f>
        <v>0.04</v>
      </c>
      <c r="V1655" s="142">
        <f>B1655*IBGE_2!V$1655/100</f>
        <v>1.87</v>
      </c>
      <c r="W1655" s="142" t="s">
        <v>3047</v>
      </c>
      <c r="X1655" s="142">
        <f>B1655*IBGE_2!X$1655/100</f>
        <v>0.35699999999999998</v>
      </c>
      <c r="Y1655" s="142">
        <f>B1655*IBGE_2!Y$1655/100</f>
        <v>0.14699999999999999</v>
      </c>
      <c r="Z1655" s="142">
        <f>B1655*IBGE_2!Z$1655/100</f>
        <v>0.05</v>
      </c>
      <c r="AA1655" s="142">
        <f>B1655*IBGE_2!AA$1655/100</f>
        <v>3.367</v>
      </c>
      <c r="AB1655" s="142" t="s">
        <v>3047</v>
      </c>
      <c r="AC1655" s="142">
        <f>B1655*IBGE_2!AC$1655/100</f>
        <v>5.5670000000000002</v>
      </c>
      <c r="AD1655" s="142">
        <f>B1655*IBGE_2!AD$1655/100</f>
        <v>0.43</v>
      </c>
      <c r="AE1655" s="142">
        <f>B1655*IBGE_2!AE$1655/100</f>
        <v>2</v>
      </c>
      <c r="AF1655" s="142">
        <f>B1655*IBGE_2!AF$1655/100</f>
        <v>0.7</v>
      </c>
      <c r="AG1655" s="142">
        <f>B1655*IBGE_2!AG$1655/100</f>
        <v>0.22</v>
      </c>
      <c r="AH1655" s="142">
        <f>B1655*IBGE_2!AH$1655/100</f>
        <v>2.52</v>
      </c>
      <c r="AI1655" s="142" t="s">
        <v>3047</v>
      </c>
      <c r="AJ1655" s="142">
        <f>B1655*IBGE_2!AJ$1655/100</f>
        <v>14.4</v>
      </c>
      <c r="AK1655" s="142" t="s">
        <v>3047</v>
      </c>
      <c r="AL1655" s="142">
        <f>B1655*IBGE_2!AL$1655/100</f>
        <v>1.34</v>
      </c>
      <c r="AM1655" s="142">
        <f>B1655*IBGE_2!AM$1655/100</f>
        <v>2.698</v>
      </c>
      <c r="AN1655" s="161"/>
    </row>
    <row r="1656" spans="1:40">
      <c r="A1656" s="143" t="s">
        <v>2716</v>
      </c>
      <c r="B1656" s="141">
        <v>100</v>
      </c>
      <c r="C1656" s="142">
        <f>B1656*IBGE_2!C$1656/100</f>
        <v>321.60000000000002</v>
      </c>
      <c r="D1656" s="142">
        <f>B1656*IBGE_2!D$1656/100</f>
        <v>11.304</v>
      </c>
      <c r="E1656" s="142">
        <f>B1656*IBGE_2!E$1656/100</f>
        <v>29.036000000000005</v>
      </c>
      <c r="F1656" s="142">
        <f>B1656*IBGE_2!F$1656/100</f>
        <v>10.372999999999999</v>
      </c>
      <c r="G1656" s="142">
        <f>B1656*IBGE_2!G$1656/100</f>
        <v>13.749000000000001</v>
      </c>
      <c r="H1656" s="142">
        <f>B1656*IBGE_2!H$1656/100</f>
        <v>3.1349999999999998</v>
      </c>
      <c r="I1656" s="142">
        <f>B1656*IBGE_2!I$1656/100</f>
        <v>2.782</v>
      </c>
      <c r="J1656" s="142">
        <f>B1656*IBGE_2!J$1656/100</f>
        <v>0.25700000000000001</v>
      </c>
      <c r="K1656" s="142">
        <f>B1656*IBGE_2!K$1656/100</f>
        <v>56.8</v>
      </c>
      <c r="L1656" s="142">
        <f>B1656*IBGE_2!L$1656/100</f>
        <v>3.2360000000000002</v>
      </c>
      <c r="M1656" s="142">
        <f>B1656*IBGE_2!M$1656/100</f>
        <v>0.3</v>
      </c>
      <c r="N1656" s="142">
        <f>B1656*IBGE_2!N$1656/100</f>
        <v>10.6</v>
      </c>
      <c r="O1656" s="142">
        <f>B1656*IBGE_2!O$1656/100</f>
        <v>12.8</v>
      </c>
      <c r="P1656" s="142">
        <f>B1656*IBGE_2!P$1656/100</f>
        <v>5.0999999999999997E-2</v>
      </c>
      <c r="Q1656" s="142">
        <f>B1656*IBGE_2!Q$1656/100</f>
        <v>90.8</v>
      </c>
      <c r="R1656" s="142">
        <f>B1656*IBGE_2!R$1656/100</f>
        <v>1.1080000000000001</v>
      </c>
      <c r="S1656" s="142">
        <f>B1656*IBGE_2!S$1656/100</f>
        <v>748.8</v>
      </c>
      <c r="T1656" s="142">
        <f>B1656*IBGE_2!T$1656/100</f>
        <v>217.4</v>
      </c>
      <c r="U1656" s="142">
        <f>B1656*IBGE_2!U$1656/100</f>
        <v>5.5E-2</v>
      </c>
      <c r="V1656" s="142">
        <f>B1656*IBGE_2!V$1656/100</f>
        <v>1.536</v>
      </c>
      <c r="W1656" s="142" t="s">
        <v>3047</v>
      </c>
      <c r="X1656" s="142">
        <f>B1656*IBGE_2!X$1656/100</f>
        <v>0.28999999999999998</v>
      </c>
      <c r="Y1656" s="142">
        <f>B1656*IBGE_2!Y$1656/100</f>
        <v>0.13100000000000001</v>
      </c>
      <c r="Z1656" s="142">
        <f>B1656*IBGE_2!Z$1656/100</f>
        <v>5.8999999999999997E-2</v>
      </c>
      <c r="AA1656" s="142">
        <f>B1656*IBGE_2!AA$1656/100</f>
        <v>2.8889999999999998</v>
      </c>
      <c r="AB1656" s="142">
        <f>B1656*IBGE_2!AB$1656/100</f>
        <v>1.4</v>
      </c>
      <c r="AC1656" s="142">
        <f>B1656*IBGE_2!AC$1656/100</f>
        <v>4.6820000000000004</v>
      </c>
      <c r="AD1656" s="142">
        <f>B1656*IBGE_2!AD$1656/100</f>
        <v>0.34399999999999997</v>
      </c>
      <c r="AE1656" s="142">
        <f>B1656*IBGE_2!AE$1656/100</f>
        <v>3.8</v>
      </c>
      <c r="AF1656" s="142">
        <f>B1656*IBGE_2!AF$1656/100</f>
        <v>0.56000000000000005</v>
      </c>
      <c r="AG1656" s="142">
        <f>B1656*IBGE_2!AG$1656/100</f>
        <v>0.46</v>
      </c>
      <c r="AH1656" s="142">
        <f>B1656*IBGE_2!AH$1656/100</f>
        <v>2.016</v>
      </c>
      <c r="AI1656" s="142" t="s">
        <v>3047</v>
      </c>
      <c r="AJ1656" s="142">
        <f>B1656*IBGE_2!AJ$1656/100</f>
        <v>11.56</v>
      </c>
      <c r="AK1656" s="142">
        <f>B1656*IBGE_2!AK$1656/100</f>
        <v>3.4830000000000001</v>
      </c>
      <c r="AL1656" s="142">
        <f>B1656*IBGE_2!AL$1656/100</f>
        <v>1.9219999999999999</v>
      </c>
      <c r="AM1656" s="142">
        <f>B1656*IBGE_2!AM$1656/100</f>
        <v>2.1579999999999999</v>
      </c>
      <c r="AN1656" s="161"/>
    </row>
    <row r="1657" spans="1:40">
      <c r="A1657" s="143" t="s">
        <v>2717</v>
      </c>
      <c r="B1657" s="141">
        <v>100</v>
      </c>
      <c r="C1657" s="142">
        <f>B1657*IBGE_2!C$1657/100</f>
        <v>396</v>
      </c>
      <c r="D1657" s="142">
        <f>B1657*IBGE_2!D$1657/100</f>
        <v>13.8</v>
      </c>
      <c r="E1657" s="142">
        <f>B1657*IBGE_2!E$1657/100</f>
        <v>36.25</v>
      </c>
      <c r="F1657" s="142">
        <f>B1657*IBGE_2!F$1657/100</f>
        <v>12.96</v>
      </c>
      <c r="G1657" s="142">
        <f>B1657*IBGE_2!G$1657/100</f>
        <v>17.18</v>
      </c>
      <c r="H1657" s="142">
        <f>B1657*IBGE_2!H$1657/100</f>
        <v>3.9</v>
      </c>
      <c r="I1657" s="142">
        <f>B1657*IBGE_2!I$1657/100</f>
        <v>3.46</v>
      </c>
      <c r="J1657" s="142">
        <f>B1657*IBGE_2!J$1657/100</f>
        <v>0.32</v>
      </c>
      <c r="K1657" s="142">
        <f>B1657*IBGE_2!K$1657/100</f>
        <v>71</v>
      </c>
      <c r="L1657" s="142">
        <f>B1657*IBGE_2!L$1657/100</f>
        <v>2.7</v>
      </c>
      <c r="M1657" s="142" t="s">
        <v>3047</v>
      </c>
      <c r="N1657" s="142">
        <f>B1657*IBGE_2!N$1657/100</f>
        <v>10</v>
      </c>
      <c r="O1657" s="142">
        <f>B1657*IBGE_2!O$1657/100</f>
        <v>12</v>
      </c>
      <c r="P1657" s="142">
        <f>B1657*IBGE_2!P$1657/100</f>
        <v>3.6999999999999998E-2</v>
      </c>
      <c r="Q1657" s="142">
        <f>B1657*IBGE_2!Q$1657/100</f>
        <v>107</v>
      </c>
      <c r="R1657" s="142">
        <f>B1657*IBGE_2!R$1657/100</f>
        <v>1.1299999999999999</v>
      </c>
      <c r="S1657" s="142">
        <f>B1657*IBGE_2!S$1657/100</f>
        <v>805</v>
      </c>
      <c r="T1657" s="142">
        <f>B1657*IBGE_2!T$1657/100</f>
        <v>189</v>
      </c>
      <c r="U1657" s="142">
        <f>B1657*IBGE_2!U$1657/100</f>
        <v>0.04</v>
      </c>
      <c r="V1657" s="142">
        <f>B1657*IBGE_2!V$1657/100</f>
        <v>1.87</v>
      </c>
      <c r="W1657" s="142" t="s">
        <v>3047</v>
      </c>
      <c r="X1657" s="142">
        <f>B1657*IBGE_2!X$1657/100</f>
        <v>0.35699999999999998</v>
      </c>
      <c r="Y1657" s="142">
        <f>B1657*IBGE_2!Y$1657/100</f>
        <v>0.14699999999999999</v>
      </c>
      <c r="Z1657" s="142">
        <f>B1657*IBGE_2!Z$1657/100</f>
        <v>0.05</v>
      </c>
      <c r="AA1657" s="142">
        <f>B1657*IBGE_2!AA$1657/100</f>
        <v>3.367</v>
      </c>
      <c r="AB1657" s="142" t="s">
        <v>3047</v>
      </c>
      <c r="AC1657" s="142">
        <f>B1657*IBGE_2!AC$1657/100</f>
        <v>5.5670000000000002</v>
      </c>
      <c r="AD1657" s="142">
        <f>B1657*IBGE_2!AD$1657/100</f>
        <v>0.43</v>
      </c>
      <c r="AE1657" s="142">
        <f>B1657*IBGE_2!AE$1657/100</f>
        <v>2</v>
      </c>
      <c r="AF1657" s="142">
        <f>B1657*IBGE_2!AF$1657/100</f>
        <v>0.7</v>
      </c>
      <c r="AG1657" s="142">
        <f>B1657*IBGE_2!AG$1657/100</f>
        <v>0.22</v>
      </c>
      <c r="AH1657" s="142">
        <f>B1657*IBGE_2!AH$1657/100</f>
        <v>2.52</v>
      </c>
      <c r="AI1657" s="142" t="s">
        <v>3047</v>
      </c>
      <c r="AJ1657" s="142">
        <f>B1657*IBGE_2!AJ$1657/100</f>
        <v>14.4</v>
      </c>
      <c r="AK1657" s="142" t="s">
        <v>3047</v>
      </c>
      <c r="AL1657" s="142">
        <f>B1657*IBGE_2!AL$1657/100</f>
        <v>1.34</v>
      </c>
      <c r="AM1657" s="142">
        <f>B1657*IBGE_2!AM$1657/100</f>
        <v>2.698</v>
      </c>
      <c r="AN1657" s="161"/>
    </row>
    <row r="1658" spans="1:40">
      <c r="A1658" s="143" t="s">
        <v>2718</v>
      </c>
      <c r="B1658" s="141">
        <v>100</v>
      </c>
      <c r="C1658" s="142">
        <f>B1658*IBGE_2!C$1658/100</f>
        <v>396</v>
      </c>
      <c r="D1658" s="142">
        <f>B1658*IBGE_2!D$1658/100</f>
        <v>13.8</v>
      </c>
      <c r="E1658" s="142">
        <f>B1658*IBGE_2!E$1658/100</f>
        <v>36.25</v>
      </c>
      <c r="F1658" s="142">
        <f>B1658*IBGE_2!F$1658/100</f>
        <v>12.96</v>
      </c>
      <c r="G1658" s="142">
        <f>B1658*IBGE_2!G$1658/100</f>
        <v>17.18</v>
      </c>
      <c r="H1658" s="142">
        <f>B1658*IBGE_2!H$1658/100</f>
        <v>3.9</v>
      </c>
      <c r="I1658" s="142">
        <f>B1658*IBGE_2!I$1658/100</f>
        <v>3.46</v>
      </c>
      <c r="J1658" s="142">
        <f>B1658*IBGE_2!J$1658/100</f>
        <v>0.32</v>
      </c>
      <c r="K1658" s="142">
        <f>B1658*IBGE_2!K$1658/100</f>
        <v>71</v>
      </c>
      <c r="L1658" s="142">
        <f>B1658*IBGE_2!L$1658/100</f>
        <v>2.7</v>
      </c>
      <c r="M1658" s="142" t="s">
        <v>3047</v>
      </c>
      <c r="N1658" s="142">
        <f>B1658*IBGE_2!N$1658/100</f>
        <v>10</v>
      </c>
      <c r="O1658" s="142">
        <f>B1658*IBGE_2!O$1658/100</f>
        <v>12</v>
      </c>
      <c r="P1658" s="142">
        <f>B1658*IBGE_2!P$1658/100</f>
        <v>3.6999999999999998E-2</v>
      </c>
      <c r="Q1658" s="142">
        <f>B1658*IBGE_2!Q$1658/100</f>
        <v>107</v>
      </c>
      <c r="R1658" s="142">
        <f>B1658*IBGE_2!R$1658/100</f>
        <v>1.1299999999999999</v>
      </c>
      <c r="S1658" s="142">
        <f>B1658*IBGE_2!S$1658/100</f>
        <v>805</v>
      </c>
      <c r="T1658" s="142">
        <f>B1658*IBGE_2!T$1658/100</f>
        <v>189</v>
      </c>
      <c r="U1658" s="142">
        <f>B1658*IBGE_2!U$1658/100</f>
        <v>0.04</v>
      </c>
      <c r="V1658" s="142">
        <f>B1658*IBGE_2!V$1658/100</f>
        <v>1.87</v>
      </c>
      <c r="W1658" s="142" t="s">
        <v>3047</v>
      </c>
      <c r="X1658" s="142">
        <f>B1658*IBGE_2!X$1658/100</f>
        <v>0.35699999999999998</v>
      </c>
      <c r="Y1658" s="142">
        <f>B1658*IBGE_2!Y$1658/100</f>
        <v>0.14699999999999999</v>
      </c>
      <c r="Z1658" s="142">
        <f>B1658*IBGE_2!Z$1658/100</f>
        <v>0.05</v>
      </c>
      <c r="AA1658" s="142">
        <f>B1658*IBGE_2!AA$1658/100</f>
        <v>3.367</v>
      </c>
      <c r="AB1658" s="142" t="s">
        <v>3047</v>
      </c>
      <c r="AC1658" s="142">
        <f>B1658*IBGE_2!AC$1658/100</f>
        <v>5.5670000000000002</v>
      </c>
      <c r="AD1658" s="142">
        <f>B1658*IBGE_2!AD$1658/100</f>
        <v>0.43</v>
      </c>
      <c r="AE1658" s="142">
        <f>B1658*IBGE_2!AE$1658/100</f>
        <v>2</v>
      </c>
      <c r="AF1658" s="142">
        <f>B1658*IBGE_2!AF$1658/100</f>
        <v>0.7</v>
      </c>
      <c r="AG1658" s="142">
        <f>B1658*IBGE_2!AG$1658/100</f>
        <v>0.22</v>
      </c>
      <c r="AH1658" s="142">
        <f>B1658*IBGE_2!AH$1658/100</f>
        <v>2.52</v>
      </c>
      <c r="AI1658" s="142" t="s">
        <v>3047</v>
      </c>
      <c r="AJ1658" s="142">
        <f>B1658*IBGE_2!AJ$1658/100</f>
        <v>14.4</v>
      </c>
      <c r="AK1658" s="142" t="s">
        <v>3047</v>
      </c>
      <c r="AL1658" s="142">
        <f>B1658*IBGE_2!AL$1658/100</f>
        <v>1.34</v>
      </c>
      <c r="AM1658" s="142">
        <f>B1658*IBGE_2!AM$1658/100</f>
        <v>2.698</v>
      </c>
      <c r="AN1658" s="161"/>
    </row>
    <row r="1659" spans="1:40">
      <c r="A1659" s="143" t="s">
        <v>2719</v>
      </c>
      <c r="B1659" s="141">
        <v>100</v>
      </c>
      <c r="C1659" s="142">
        <f>B1659*IBGE_2!C$1659/100</f>
        <v>396</v>
      </c>
      <c r="D1659" s="142">
        <f>B1659*IBGE_2!D$1659/100</f>
        <v>13.8</v>
      </c>
      <c r="E1659" s="142">
        <f>B1659*IBGE_2!E$1659/100</f>
        <v>36.25</v>
      </c>
      <c r="F1659" s="142">
        <f>B1659*IBGE_2!F$1659/100</f>
        <v>12.96</v>
      </c>
      <c r="G1659" s="142">
        <f>B1659*IBGE_2!G$1659/100</f>
        <v>17.18</v>
      </c>
      <c r="H1659" s="142">
        <f>B1659*IBGE_2!H$1659/100</f>
        <v>3.9</v>
      </c>
      <c r="I1659" s="142">
        <f>B1659*IBGE_2!I$1659/100</f>
        <v>3.46</v>
      </c>
      <c r="J1659" s="142">
        <f>B1659*IBGE_2!J$1659/100</f>
        <v>0.32</v>
      </c>
      <c r="K1659" s="142">
        <f>B1659*IBGE_2!K$1659/100</f>
        <v>71</v>
      </c>
      <c r="L1659" s="142">
        <f>B1659*IBGE_2!L$1659/100</f>
        <v>2.7</v>
      </c>
      <c r="M1659" s="142" t="s">
        <v>3047</v>
      </c>
      <c r="N1659" s="142">
        <f>B1659*IBGE_2!N$1659/100</f>
        <v>10</v>
      </c>
      <c r="O1659" s="142">
        <f>B1659*IBGE_2!O$1659/100</f>
        <v>12</v>
      </c>
      <c r="P1659" s="142">
        <f>B1659*IBGE_2!P$1659/100</f>
        <v>3.6999999999999998E-2</v>
      </c>
      <c r="Q1659" s="142">
        <f>B1659*IBGE_2!Q$1659/100</f>
        <v>107</v>
      </c>
      <c r="R1659" s="142">
        <f>B1659*IBGE_2!R$1659/100</f>
        <v>1.1299999999999999</v>
      </c>
      <c r="S1659" s="142">
        <f>B1659*IBGE_2!S$1659/100</f>
        <v>805</v>
      </c>
      <c r="T1659" s="142">
        <f>B1659*IBGE_2!T$1659/100</f>
        <v>189</v>
      </c>
      <c r="U1659" s="142">
        <f>B1659*IBGE_2!U$1659/100</f>
        <v>0.04</v>
      </c>
      <c r="V1659" s="142">
        <f>B1659*IBGE_2!V$1659/100</f>
        <v>1.87</v>
      </c>
      <c r="W1659" s="142" t="s">
        <v>3047</v>
      </c>
      <c r="X1659" s="142">
        <f>B1659*IBGE_2!X$1659/100</f>
        <v>0.35699999999999998</v>
      </c>
      <c r="Y1659" s="142">
        <f>B1659*IBGE_2!Y$1659/100</f>
        <v>0.14699999999999999</v>
      </c>
      <c r="Z1659" s="142">
        <f>B1659*IBGE_2!Z$1659/100</f>
        <v>0.05</v>
      </c>
      <c r="AA1659" s="142">
        <f>B1659*IBGE_2!AA$1659/100</f>
        <v>3.367</v>
      </c>
      <c r="AB1659" s="142" t="s">
        <v>3047</v>
      </c>
      <c r="AC1659" s="142">
        <f>B1659*IBGE_2!AC$1659/100</f>
        <v>5.5670000000000002</v>
      </c>
      <c r="AD1659" s="142">
        <f>B1659*IBGE_2!AD$1659/100</f>
        <v>0.43</v>
      </c>
      <c r="AE1659" s="142">
        <f>B1659*IBGE_2!AE$1659/100</f>
        <v>2</v>
      </c>
      <c r="AF1659" s="142">
        <f>B1659*IBGE_2!AF$1659/100</f>
        <v>0.7</v>
      </c>
      <c r="AG1659" s="142">
        <f>B1659*IBGE_2!AG$1659/100</f>
        <v>0.22</v>
      </c>
      <c r="AH1659" s="142">
        <f>B1659*IBGE_2!AH$1659/100</f>
        <v>2.52</v>
      </c>
      <c r="AI1659" s="142" t="s">
        <v>3047</v>
      </c>
      <c r="AJ1659" s="142">
        <f>B1659*IBGE_2!AJ$1659/100</f>
        <v>14.4</v>
      </c>
      <c r="AK1659" s="142" t="s">
        <v>3047</v>
      </c>
      <c r="AL1659" s="142">
        <f>B1659*IBGE_2!AL$1659/100</f>
        <v>1.34</v>
      </c>
      <c r="AM1659" s="142">
        <f>B1659*IBGE_2!AM$1659/100</f>
        <v>2.698</v>
      </c>
      <c r="AN1659" s="161"/>
    </row>
    <row r="1660" spans="1:40">
      <c r="A1660" s="143" t="s">
        <v>2720</v>
      </c>
      <c r="B1660" s="141">
        <v>100</v>
      </c>
      <c r="C1660" s="142">
        <f>B1660*IBGE_2!C$1660/100</f>
        <v>244</v>
      </c>
      <c r="D1660" s="142">
        <f>B1660*IBGE_2!D$1660/100</f>
        <v>18.2</v>
      </c>
      <c r="E1660" s="142">
        <f>B1660*IBGE_2!E$1660/100</f>
        <v>18.399999999999999</v>
      </c>
      <c r="F1660" s="142">
        <f>B1660*IBGE_2!F$1660/100</f>
        <v>4.7</v>
      </c>
      <c r="G1660" s="142">
        <f>B1660*IBGE_2!G$1660/100</f>
        <v>6.8</v>
      </c>
      <c r="H1660" s="142">
        <f>B1660*IBGE_2!H$1660/100</f>
        <v>3.4</v>
      </c>
      <c r="I1660" s="142">
        <f>B1660*IBGE_2!I$1660/100</f>
        <v>3</v>
      </c>
      <c r="J1660" s="142">
        <f>B1660*IBGE_2!J$1660/100</f>
        <v>0.17</v>
      </c>
      <c r="K1660" s="142">
        <f>B1660*IBGE_2!K$1660/100</f>
        <v>80</v>
      </c>
      <c r="L1660" s="142" t="s">
        <v>3047</v>
      </c>
      <c r="M1660" s="142" t="s">
        <v>3047</v>
      </c>
      <c r="N1660" s="142">
        <f>B1660*IBGE_2!N$1660/100</f>
        <v>14</v>
      </c>
      <c r="O1660" s="142">
        <f>B1660*IBGE_2!O$1660/100</f>
        <v>21</v>
      </c>
      <c r="P1660" s="142">
        <f>B1660*IBGE_2!P$1660/100</f>
        <v>0.1</v>
      </c>
      <c r="Q1660" s="142">
        <f>B1660*IBGE_2!Q$1660/100</f>
        <v>228</v>
      </c>
      <c r="R1660" s="142">
        <f>B1660*IBGE_2!R$1660/100</f>
        <v>0.7</v>
      </c>
      <c r="S1660" s="142">
        <f>B1660*IBGE_2!S$1660/100</f>
        <v>1351</v>
      </c>
      <c r="T1660" s="142">
        <f>B1660*IBGE_2!T$1660/100</f>
        <v>356</v>
      </c>
      <c r="U1660" s="142">
        <f>B1660*IBGE_2!U$1660/100</f>
        <v>0.09</v>
      </c>
      <c r="V1660" s="142">
        <f>B1660*IBGE_2!V$1660/100</f>
        <v>1</v>
      </c>
      <c r="W1660" s="142" t="s">
        <v>3047</v>
      </c>
      <c r="X1660" s="142">
        <f>B1660*IBGE_2!X$1660/100</f>
        <v>0.12</v>
      </c>
      <c r="Y1660" s="142">
        <f>B1660*IBGE_2!Y$1660/100</f>
        <v>0.04</v>
      </c>
      <c r="Z1660" s="142" t="s">
        <v>3047</v>
      </c>
      <c r="AA1660" s="142">
        <f>B1660*IBGE_2!AA$1660/100</f>
        <v>5.97</v>
      </c>
      <c r="AB1660" s="142" t="s">
        <v>3047</v>
      </c>
      <c r="AC1660" s="142" t="s">
        <v>3047</v>
      </c>
      <c r="AD1660" s="142" t="s">
        <v>3047</v>
      </c>
      <c r="AE1660" s="142" t="s">
        <v>3047</v>
      </c>
      <c r="AF1660" s="142" t="s">
        <v>3047</v>
      </c>
      <c r="AG1660" s="142" t="s">
        <v>3047</v>
      </c>
      <c r="AH1660" s="142" t="s">
        <v>3047</v>
      </c>
      <c r="AI1660" s="142" t="s">
        <v>3047</v>
      </c>
      <c r="AJ1660" s="142" t="s">
        <v>3047</v>
      </c>
      <c r="AK1660" s="142" t="s">
        <v>3047</v>
      </c>
      <c r="AL1660" s="142" t="s">
        <v>3047</v>
      </c>
      <c r="AM1660" s="142" t="s">
        <v>3047</v>
      </c>
      <c r="AN1660" s="161"/>
    </row>
    <row r="1661" spans="1:40">
      <c r="A1661" s="143" t="s">
        <v>2721</v>
      </c>
      <c r="B1661" s="141">
        <v>100</v>
      </c>
      <c r="C1661" s="142">
        <f>B1661*IBGE_2!C$1661/100</f>
        <v>244</v>
      </c>
      <c r="D1661" s="142">
        <f>B1661*IBGE_2!D$1661/100</f>
        <v>18.2</v>
      </c>
      <c r="E1661" s="142">
        <f>B1661*IBGE_2!E$1661/100</f>
        <v>18.399999999999999</v>
      </c>
      <c r="F1661" s="142">
        <f>B1661*IBGE_2!F$1661/100</f>
        <v>4.7</v>
      </c>
      <c r="G1661" s="142">
        <f>B1661*IBGE_2!G$1661/100</f>
        <v>6.8</v>
      </c>
      <c r="H1661" s="142">
        <f>B1661*IBGE_2!H$1661/100</f>
        <v>3.4</v>
      </c>
      <c r="I1661" s="142">
        <f>B1661*IBGE_2!I$1661/100</f>
        <v>3</v>
      </c>
      <c r="J1661" s="142">
        <f>B1661*IBGE_2!J$1661/100</f>
        <v>0.17</v>
      </c>
      <c r="K1661" s="142">
        <f>B1661*IBGE_2!K$1661/100</f>
        <v>80</v>
      </c>
      <c r="L1661" s="142" t="s">
        <v>3047</v>
      </c>
      <c r="M1661" s="142" t="s">
        <v>3047</v>
      </c>
      <c r="N1661" s="142">
        <f>B1661*IBGE_2!N$1661/100</f>
        <v>14</v>
      </c>
      <c r="O1661" s="142">
        <f>B1661*IBGE_2!O$1661/100</f>
        <v>21</v>
      </c>
      <c r="P1661" s="142">
        <f>B1661*IBGE_2!P$1661/100</f>
        <v>0.1</v>
      </c>
      <c r="Q1661" s="142">
        <f>B1661*IBGE_2!Q$1661/100</f>
        <v>228</v>
      </c>
      <c r="R1661" s="142">
        <f>B1661*IBGE_2!R$1661/100</f>
        <v>0.7</v>
      </c>
      <c r="S1661" s="142">
        <f>B1661*IBGE_2!S$1661/100</f>
        <v>1351</v>
      </c>
      <c r="T1661" s="142">
        <f>B1661*IBGE_2!T$1661/100</f>
        <v>356</v>
      </c>
      <c r="U1661" s="142">
        <f>B1661*IBGE_2!U$1661/100</f>
        <v>0.09</v>
      </c>
      <c r="V1661" s="142">
        <f>B1661*IBGE_2!V$1661/100</f>
        <v>1</v>
      </c>
      <c r="W1661" s="142" t="s">
        <v>3047</v>
      </c>
      <c r="X1661" s="142">
        <f>B1661*IBGE_2!X$1661/100</f>
        <v>0.12</v>
      </c>
      <c r="Y1661" s="142">
        <f>B1661*IBGE_2!Y$1661/100</f>
        <v>0.04</v>
      </c>
      <c r="Z1661" s="142" t="s">
        <v>3047</v>
      </c>
      <c r="AA1661" s="142">
        <f>B1661*IBGE_2!AA$1661/100</f>
        <v>5.97</v>
      </c>
      <c r="AB1661" s="142" t="s">
        <v>3047</v>
      </c>
      <c r="AC1661" s="142" t="s">
        <v>3047</v>
      </c>
      <c r="AD1661" s="142" t="s">
        <v>3047</v>
      </c>
      <c r="AE1661" s="142" t="s">
        <v>3047</v>
      </c>
      <c r="AF1661" s="142" t="s">
        <v>3047</v>
      </c>
      <c r="AG1661" s="142" t="s">
        <v>3047</v>
      </c>
      <c r="AH1661" s="142" t="s">
        <v>3047</v>
      </c>
      <c r="AI1661" s="142" t="s">
        <v>3047</v>
      </c>
      <c r="AJ1661" s="142" t="s">
        <v>3047</v>
      </c>
      <c r="AK1661" s="142" t="s">
        <v>3047</v>
      </c>
      <c r="AL1661" s="142" t="s">
        <v>3047</v>
      </c>
      <c r="AM1661" s="142" t="s">
        <v>3047</v>
      </c>
      <c r="AN1661" s="161"/>
    </row>
    <row r="1662" spans="1:40">
      <c r="A1662" s="143" t="s">
        <v>2722</v>
      </c>
      <c r="B1662" s="141">
        <v>100</v>
      </c>
      <c r="C1662" s="142">
        <f>B1662*IBGE_2!C$1662/100</f>
        <v>244</v>
      </c>
      <c r="D1662" s="142">
        <f>B1662*IBGE_2!D$1662/100</f>
        <v>18.2</v>
      </c>
      <c r="E1662" s="142">
        <f>B1662*IBGE_2!E$1662/100</f>
        <v>18.399999999999999</v>
      </c>
      <c r="F1662" s="142">
        <f>B1662*IBGE_2!F$1662/100</f>
        <v>4.7</v>
      </c>
      <c r="G1662" s="142">
        <f>B1662*IBGE_2!G$1662/100</f>
        <v>6.8</v>
      </c>
      <c r="H1662" s="142">
        <f>B1662*IBGE_2!H$1662/100</f>
        <v>3.4</v>
      </c>
      <c r="I1662" s="142">
        <f>B1662*IBGE_2!I$1662/100</f>
        <v>3</v>
      </c>
      <c r="J1662" s="142">
        <f>B1662*IBGE_2!J$1662/100</f>
        <v>0.17</v>
      </c>
      <c r="K1662" s="142">
        <f>B1662*IBGE_2!K$1662/100</f>
        <v>80</v>
      </c>
      <c r="L1662" s="142" t="s">
        <v>3047</v>
      </c>
      <c r="M1662" s="142" t="s">
        <v>3047</v>
      </c>
      <c r="N1662" s="142">
        <f>B1662*IBGE_2!N$1662/100</f>
        <v>14</v>
      </c>
      <c r="O1662" s="142">
        <f>B1662*IBGE_2!O$1662/100</f>
        <v>21</v>
      </c>
      <c r="P1662" s="142">
        <f>B1662*IBGE_2!P$1662/100</f>
        <v>0.1</v>
      </c>
      <c r="Q1662" s="142">
        <f>B1662*IBGE_2!Q$1662/100</f>
        <v>228</v>
      </c>
      <c r="R1662" s="142">
        <f>B1662*IBGE_2!R$1662/100</f>
        <v>0.7</v>
      </c>
      <c r="S1662" s="142">
        <f>B1662*IBGE_2!S$1662/100</f>
        <v>1351</v>
      </c>
      <c r="T1662" s="142">
        <f>B1662*IBGE_2!T$1662/100</f>
        <v>356</v>
      </c>
      <c r="U1662" s="142">
        <f>B1662*IBGE_2!U$1662/100</f>
        <v>0.09</v>
      </c>
      <c r="V1662" s="142">
        <f>B1662*IBGE_2!V$1662/100</f>
        <v>1</v>
      </c>
      <c r="W1662" s="142" t="s">
        <v>3047</v>
      </c>
      <c r="X1662" s="142">
        <f>B1662*IBGE_2!X$1662/100</f>
        <v>0.12</v>
      </c>
      <c r="Y1662" s="142">
        <f>B1662*IBGE_2!Y$1662/100</f>
        <v>0.04</v>
      </c>
      <c r="Z1662" s="142" t="s">
        <v>3047</v>
      </c>
      <c r="AA1662" s="142">
        <f>B1662*IBGE_2!AA$1662/100</f>
        <v>5.97</v>
      </c>
      <c r="AB1662" s="142" t="s">
        <v>3047</v>
      </c>
      <c r="AC1662" s="142" t="s">
        <v>3047</v>
      </c>
      <c r="AD1662" s="142" t="s">
        <v>3047</v>
      </c>
      <c r="AE1662" s="142" t="s">
        <v>3047</v>
      </c>
      <c r="AF1662" s="142" t="s">
        <v>3047</v>
      </c>
      <c r="AG1662" s="142" t="s">
        <v>3047</v>
      </c>
      <c r="AH1662" s="142" t="s">
        <v>3047</v>
      </c>
      <c r="AI1662" s="142" t="s">
        <v>3047</v>
      </c>
      <c r="AJ1662" s="142" t="s">
        <v>3047</v>
      </c>
      <c r="AK1662" s="142" t="s">
        <v>3047</v>
      </c>
      <c r="AL1662" s="142" t="s">
        <v>3047</v>
      </c>
      <c r="AM1662" s="142" t="s">
        <v>3047</v>
      </c>
      <c r="AN1662" s="161"/>
    </row>
    <row r="1663" spans="1:40">
      <c r="A1663" s="143" t="s">
        <v>2723</v>
      </c>
      <c r="B1663" s="141">
        <v>100</v>
      </c>
      <c r="C1663" s="142">
        <f>B1663*IBGE_2!C$1663/100</f>
        <v>244</v>
      </c>
      <c r="D1663" s="142">
        <f>B1663*IBGE_2!D$1663/100</f>
        <v>18.2</v>
      </c>
      <c r="E1663" s="142">
        <f>B1663*IBGE_2!E$1663/100</f>
        <v>18.399999999999999</v>
      </c>
      <c r="F1663" s="142">
        <f>B1663*IBGE_2!F$1663/100</f>
        <v>4.7</v>
      </c>
      <c r="G1663" s="142">
        <f>B1663*IBGE_2!G$1663/100</f>
        <v>6.8</v>
      </c>
      <c r="H1663" s="142">
        <f>B1663*IBGE_2!H$1663/100</f>
        <v>3.4</v>
      </c>
      <c r="I1663" s="142">
        <f>B1663*IBGE_2!I$1663/100</f>
        <v>3</v>
      </c>
      <c r="J1663" s="142">
        <f>B1663*IBGE_2!J$1663/100</f>
        <v>0.17</v>
      </c>
      <c r="K1663" s="142">
        <f>B1663*IBGE_2!K$1663/100</f>
        <v>80</v>
      </c>
      <c r="L1663" s="142" t="s">
        <v>3047</v>
      </c>
      <c r="M1663" s="142" t="s">
        <v>3047</v>
      </c>
      <c r="N1663" s="142">
        <f>B1663*IBGE_2!N$1663/100</f>
        <v>14</v>
      </c>
      <c r="O1663" s="142">
        <f>B1663*IBGE_2!O$1663/100</f>
        <v>21</v>
      </c>
      <c r="P1663" s="142">
        <f>B1663*IBGE_2!P$1663/100</f>
        <v>0.1</v>
      </c>
      <c r="Q1663" s="142">
        <f>B1663*IBGE_2!Q$1663/100</f>
        <v>228</v>
      </c>
      <c r="R1663" s="142">
        <f>B1663*IBGE_2!R$1663/100</f>
        <v>0.7</v>
      </c>
      <c r="S1663" s="142">
        <f>B1663*IBGE_2!S$1663/100</f>
        <v>1351</v>
      </c>
      <c r="T1663" s="142">
        <f>B1663*IBGE_2!T$1663/100</f>
        <v>356</v>
      </c>
      <c r="U1663" s="142">
        <f>B1663*IBGE_2!U$1663/100</f>
        <v>0.09</v>
      </c>
      <c r="V1663" s="142">
        <f>B1663*IBGE_2!V$1663/100</f>
        <v>1</v>
      </c>
      <c r="W1663" s="142" t="s">
        <v>3047</v>
      </c>
      <c r="X1663" s="142">
        <f>B1663*IBGE_2!X$1663/100</f>
        <v>0.12</v>
      </c>
      <c r="Y1663" s="142">
        <f>B1663*IBGE_2!Y$1663/100</f>
        <v>0.04</v>
      </c>
      <c r="Z1663" s="142" t="s">
        <v>3047</v>
      </c>
      <c r="AA1663" s="142">
        <f>B1663*IBGE_2!AA$1663/100</f>
        <v>5.97</v>
      </c>
      <c r="AB1663" s="142" t="s">
        <v>3047</v>
      </c>
      <c r="AC1663" s="142" t="s">
        <v>3047</v>
      </c>
      <c r="AD1663" s="142" t="s">
        <v>3047</v>
      </c>
      <c r="AE1663" s="142" t="s">
        <v>3047</v>
      </c>
      <c r="AF1663" s="142" t="s">
        <v>3047</v>
      </c>
      <c r="AG1663" s="142" t="s">
        <v>3047</v>
      </c>
      <c r="AH1663" s="142" t="s">
        <v>3047</v>
      </c>
      <c r="AI1663" s="142" t="s">
        <v>3047</v>
      </c>
      <c r="AJ1663" s="142" t="s">
        <v>3047</v>
      </c>
      <c r="AK1663" s="142" t="s">
        <v>3047</v>
      </c>
      <c r="AL1663" s="142" t="s">
        <v>3047</v>
      </c>
      <c r="AM1663" s="142" t="s">
        <v>3047</v>
      </c>
      <c r="AN1663" s="161"/>
    </row>
    <row r="1664" spans="1:40">
      <c r="A1664" s="143" t="s">
        <v>2724</v>
      </c>
      <c r="B1664" s="141">
        <v>100</v>
      </c>
      <c r="C1664" s="142">
        <f>B1664*IBGE_2!C$1664/100</f>
        <v>245</v>
      </c>
      <c r="D1664" s="142">
        <f>B1664*IBGE_2!D$1664/100</f>
        <v>18.3</v>
      </c>
      <c r="E1664" s="142">
        <f>B1664*IBGE_2!E$1664/100</f>
        <v>18.5</v>
      </c>
      <c r="F1664" s="142">
        <f>B1664*IBGE_2!F$1664/100</f>
        <v>5</v>
      </c>
      <c r="G1664" s="142">
        <f>B1664*IBGE_2!G$1664/100</f>
        <v>7.2</v>
      </c>
      <c r="H1664" s="142">
        <f>B1664*IBGE_2!H$1664/100</f>
        <v>4.3</v>
      </c>
      <c r="I1664" s="142">
        <f>B1664*IBGE_2!I$1664/100</f>
        <v>3.85</v>
      </c>
      <c r="J1664" s="142">
        <f>B1664*IBGE_2!J$1664/100</f>
        <v>0.25</v>
      </c>
      <c r="K1664" s="142">
        <f>B1664*IBGE_2!K$1664/100</f>
        <v>76</v>
      </c>
      <c r="L1664" s="142" t="s">
        <v>3047</v>
      </c>
      <c r="M1664" s="142" t="s">
        <v>3047</v>
      </c>
      <c r="N1664" s="142">
        <f>B1664*IBGE_2!N$1664/100</f>
        <v>15</v>
      </c>
      <c r="O1664" s="142">
        <f>B1664*IBGE_2!O$1664/100</f>
        <v>29</v>
      </c>
      <c r="P1664" s="142">
        <f>B1664*IBGE_2!P$1664/100</f>
        <v>0.1</v>
      </c>
      <c r="Q1664" s="142">
        <f>B1664*IBGE_2!Q$1664/100</f>
        <v>262</v>
      </c>
      <c r="R1664" s="142">
        <f>B1664*IBGE_2!R$1664/100</f>
        <v>0.8</v>
      </c>
      <c r="S1664" s="142">
        <f>B1664*IBGE_2!S$1664/100</f>
        <v>1374</v>
      </c>
      <c r="T1664" s="142">
        <f>B1664*IBGE_2!T$1664/100</f>
        <v>364</v>
      </c>
      <c r="U1664" s="142">
        <f>B1664*IBGE_2!U$1664/100</f>
        <v>0.04</v>
      </c>
      <c r="V1664" s="142">
        <f>B1664*IBGE_2!V$1664/100</f>
        <v>1.2</v>
      </c>
      <c r="W1664" s="142" t="s">
        <v>3047</v>
      </c>
      <c r="X1664" s="142">
        <f>B1664*IBGE_2!X$1664/100</f>
        <v>0.11</v>
      </c>
      <c r="Y1664" s="142">
        <f>B1664*IBGE_2!Y$1664/100</f>
        <v>0.05</v>
      </c>
      <c r="Z1664" s="142" t="s">
        <v>3047</v>
      </c>
      <c r="AA1664" s="142">
        <f>B1664*IBGE_2!AA$1664/100</f>
        <v>5.67</v>
      </c>
      <c r="AB1664" s="142" t="s">
        <v>3047</v>
      </c>
      <c r="AC1664" s="142" t="s">
        <v>3047</v>
      </c>
      <c r="AD1664" s="142" t="s">
        <v>3047</v>
      </c>
      <c r="AE1664" s="142" t="s">
        <v>3047</v>
      </c>
      <c r="AF1664" s="142" t="s">
        <v>3047</v>
      </c>
      <c r="AG1664" s="142" t="s">
        <v>3047</v>
      </c>
      <c r="AH1664" s="142" t="s">
        <v>3047</v>
      </c>
      <c r="AI1664" s="142" t="s">
        <v>3047</v>
      </c>
      <c r="AJ1664" s="142" t="s">
        <v>3047</v>
      </c>
      <c r="AK1664" s="142" t="s">
        <v>3047</v>
      </c>
      <c r="AL1664" s="142" t="s">
        <v>3047</v>
      </c>
      <c r="AM1664" s="142" t="s">
        <v>3047</v>
      </c>
      <c r="AN1664" s="161"/>
    </row>
    <row r="1665" spans="1:40">
      <c r="A1665" s="143" t="s">
        <v>2725</v>
      </c>
      <c r="B1665" s="141">
        <v>100</v>
      </c>
      <c r="C1665" s="142">
        <f>B1665*IBGE_2!C$1665/100</f>
        <v>379</v>
      </c>
      <c r="D1665" s="142">
        <f>B1665*IBGE_2!D$1665/100</f>
        <v>14.6</v>
      </c>
      <c r="E1665" s="142">
        <f>B1665*IBGE_2!E$1665/100</f>
        <v>34.5</v>
      </c>
      <c r="F1665" s="142">
        <f>B1665*IBGE_2!F$1665/100</f>
        <v>13.4</v>
      </c>
      <c r="G1665" s="142">
        <f>B1665*IBGE_2!G$1665/100</f>
        <v>15.9</v>
      </c>
      <c r="H1665" s="142">
        <f>B1665*IBGE_2!H$1665/100</f>
        <v>3.46</v>
      </c>
      <c r="I1665" s="142">
        <f>B1665*IBGE_2!I$1665/100</f>
        <v>3.2</v>
      </c>
      <c r="J1665" s="142">
        <f>B1665*IBGE_2!J$1665/100</f>
        <v>0.26</v>
      </c>
      <c r="K1665" s="142">
        <f>B1665*IBGE_2!K$1665/100</f>
        <v>120</v>
      </c>
      <c r="L1665" s="142">
        <f>B1665*IBGE_2!L$1665/100</f>
        <v>1.29</v>
      </c>
      <c r="M1665" s="142" t="s">
        <v>3047</v>
      </c>
      <c r="N1665" s="142">
        <f>B1665*IBGE_2!N$1665/100</f>
        <v>6</v>
      </c>
      <c r="O1665" s="142">
        <f>B1665*IBGE_2!O$1665/100</f>
        <v>8</v>
      </c>
      <c r="P1665" s="142">
        <f>B1665*IBGE_2!P$1665/100</f>
        <v>0.01</v>
      </c>
      <c r="Q1665" s="142">
        <f>B1665*IBGE_2!Q$1665/100</f>
        <v>22</v>
      </c>
      <c r="R1665" s="142">
        <f>B1665*IBGE_2!R$1665/100</f>
        <v>6.4</v>
      </c>
      <c r="S1665" s="142">
        <f>B1665*IBGE_2!S$1665/100</f>
        <v>680</v>
      </c>
      <c r="T1665" s="142">
        <f>B1665*IBGE_2!T$1665/100</f>
        <v>38</v>
      </c>
      <c r="U1665" s="142">
        <f>B1665*IBGE_2!U$1665/100</f>
        <v>0.04</v>
      </c>
      <c r="V1665" s="142">
        <f>B1665*IBGE_2!V$1665/100</f>
        <v>1.3</v>
      </c>
      <c r="W1665" s="142" t="s">
        <v>3047</v>
      </c>
      <c r="X1665" s="142">
        <f>B1665*IBGE_2!X$1665/100</f>
        <v>7.0000000000000007E-2</v>
      </c>
      <c r="Y1665" s="142">
        <f>B1665*IBGE_2!Y$1665/100</f>
        <v>0.13</v>
      </c>
      <c r="Z1665" s="142">
        <f>B1665*IBGE_2!Z$1665/100</f>
        <v>0.04</v>
      </c>
      <c r="AA1665" s="142">
        <f>B1665*IBGE_2!AA$1665/100</f>
        <v>1.2</v>
      </c>
      <c r="AB1665" s="142" t="s">
        <v>3047</v>
      </c>
      <c r="AC1665" s="142">
        <f>B1665*IBGE_2!AC$1665/100</f>
        <v>4.2</v>
      </c>
      <c r="AD1665" s="142">
        <f>B1665*IBGE_2!AD$1665/100</f>
        <v>1</v>
      </c>
      <c r="AE1665" s="142">
        <f>B1665*IBGE_2!AE$1665/100</f>
        <v>5</v>
      </c>
      <c r="AF1665" s="142">
        <f>B1665*IBGE_2!AF$1665/100</f>
        <v>0.253</v>
      </c>
      <c r="AG1665" s="142">
        <f>B1665*IBGE_2!AG$1665/100</f>
        <v>0.13</v>
      </c>
      <c r="AH1665" s="142">
        <f>B1665*IBGE_2!AH$1665/100</f>
        <v>8.1000000000000003E-2</v>
      </c>
      <c r="AI1665" s="142" t="s">
        <v>3047</v>
      </c>
      <c r="AJ1665" s="142">
        <f>B1665*IBGE_2!AJ$1665/100</f>
        <v>15.5</v>
      </c>
      <c r="AK1665" s="142" t="s">
        <v>3047</v>
      </c>
      <c r="AL1665" s="142">
        <f>B1665*IBGE_2!AL$1665/100</f>
        <v>1.31</v>
      </c>
      <c r="AM1665" s="142">
        <f>B1665*IBGE_2!AM$1665/100</f>
        <v>1.1000000000000001</v>
      </c>
      <c r="AN1665" s="161"/>
    </row>
    <row r="1666" spans="1:40">
      <c r="A1666" s="143" t="s">
        <v>2726</v>
      </c>
      <c r="B1666" s="141">
        <v>100</v>
      </c>
      <c r="C1666" s="142">
        <f>B1666*IBGE_2!C$1666/100</f>
        <v>379</v>
      </c>
      <c r="D1666" s="142">
        <f>B1666*IBGE_2!D$1666/100</f>
        <v>14.6</v>
      </c>
      <c r="E1666" s="142">
        <f>B1666*IBGE_2!E$1666/100</f>
        <v>34.5</v>
      </c>
      <c r="F1666" s="142">
        <f>B1666*IBGE_2!F$1666/100</f>
        <v>13.4</v>
      </c>
      <c r="G1666" s="142">
        <f>B1666*IBGE_2!G$1666/100</f>
        <v>15.9</v>
      </c>
      <c r="H1666" s="142">
        <f>B1666*IBGE_2!H$1666/100</f>
        <v>3.46</v>
      </c>
      <c r="I1666" s="142">
        <f>B1666*IBGE_2!I$1666/100</f>
        <v>3.2</v>
      </c>
      <c r="J1666" s="142">
        <f>B1666*IBGE_2!J$1666/100</f>
        <v>0.26</v>
      </c>
      <c r="K1666" s="142">
        <f>B1666*IBGE_2!K$1666/100</f>
        <v>120</v>
      </c>
      <c r="L1666" s="142">
        <f>B1666*IBGE_2!L$1666/100</f>
        <v>1.29</v>
      </c>
      <c r="M1666" s="142" t="s">
        <v>3047</v>
      </c>
      <c r="N1666" s="142">
        <f>B1666*IBGE_2!N$1666/100</f>
        <v>6</v>
      </c>
      <c r="O1666" s="142">
        <f>B1666*IBGE_2!O$1666/100</f>
        <v>8</v>
      </c>
      <c r="P1666" s="142">
        <f>B1666*IBGE_2!P$1666/100</f>
        <v>0.01</v>
      </c>
      <c r="Q1666" s="142">
        <f>B1666*IBGE_2!Q$1666/100</f>
        <v>22</v>
      </c>
      <c r="R1666" s="142">
        <f>B1666*IBGE_2!R$1666/100</f>
        <v>6.4</v>
      </c>
      <c r="S1666" s="142">
        <f>B1666*IBGE_2!S$1666/100</f>
        <v>680</v>
      </c>
      <c r="T1666" s="142">
        <f>B1666*IBGE_2!T$1666/100</f>
        <v>38</v>
      </c>
      <c r="U1666" s="142">
        <f>B1666*IBGE_2!U$1666/100</f>
        <v>0.04</v>
      </c>
      <c r="V1666" s="142">
        <f>B1666*IBGE_2!V$1666/100</f>
        <v>1.3</v>
      </c>
      <c r="W1666" s="142" t="s">
        <v>3047</v>
      </c>
      <c r="X1666" s="142">
        <f>B1666*IBGE_2!X$1666/100</f>
        <v>7.0000000000000007E-2</v>
      </c>
      <c r="Y1666" s="142">
        <f>B1666*IBGE_2!Y$1666/100</f>
        <v>0.13</v>
      </c>
      <c r="Z1666" s="142">
        <f>B1666*IBGE_2!Z$1666/100</f>
        <v>0.04</v>
      </c>
      <c r="AA1666" s="142">
        <f>B1666*IBGE_2!AA$1666/100</f>
        <v>1.2</v>
      </c>
      <c r="AB1666" s="142" t="s">
        <v>3047</v>
      </c>
      <c r="AC1666" s="142">
        <f>B1666*IBGE_2!AC$1666/100</f>
        <v>4.2</v>
      </c>
      <c r="AD1666" s="142">
        <f>B1666*IBGE_2!AD$1666/100</f>
        <v>1</v>
      </c>
      <c r="AE1666" s="142">
        <f>B1666*IBGE_2!AE$1666/100</f>
        <v>5</v>
      </c>
      <c r="AF1666" s="142">
        <f>B1666*IBGE_2!AF$1666/100</f>
        <v>0.253</v>
      </c>
      <c r="AG1666" s="142">
        <f>B1666*IBGE_2!AG$1666/100</f>
        <v>0.13</v>
      </c>
      <c r="AH1666" s="142">
        <f>B1666*IBGE_2!AH$1666/100</f>
        <v>8.1000000000000003E-2</v>
      </c>
      <c r="AI1666" s="142" t="s">
        <v>3047</v>
      </c>
      <c r="AJ1666" s="142">
        <f>B1666*IBGE_2!AJ$1666/100</f>
        <v>15.5</v>
      </c>
      <c r="AK1666" s="142" t="s">
        <v>3047</v>
      </c>
      <c r="AL1666" s="142">
        <f>B1666*IBGE_2!AL$1666/100</f>
        <v>1.31</v>
      </c>
      <c r="AM1666" s="142">
        <f>B1666*IBGE_2!AM$1666/100</f>
        <v>1.1000000000000001</v>
      </c>
      <c r="AN1666" s="161"/>
    </row>
    <row r="1667" spans="1:40">
      <c r="A1667" s="143" t="s">
        <v>2727</v>
      </c>
      <c r="B1667" s="141">
        <v>100</v>
      </c>
      <c r="C1667" s="142">
        <f>B1667*IBGE_2!C$1667/100</f>
        <v>379</v>
      </c>
      <c r="D1667" s="142">
        <f>B1667*IBGE_2!D$1667/100</f>
        <v>14.6</v>
      </c>
      <c r="E1667" s="142">
        <f>B1667*IBGE_2!E$1667/100</f>
        <v>34.5</v>
      </c>
      <c r="F1667" s="142">
        <f>B1667*IBGE_2!F$1667/100</f>
        <v>13.4</v>
      </c>
      <c r="G1667" s="142">
        <f>B1667*IBGE_2!G$1667/100</f>
        <v>15.9</v>
      </c>
      <c r="H1667" s="142">
        <f>B1667*IBGE_2!H$1667/100</f>
        <v>3.46</v>
      </c>
      <c r="I1667" s="142">
        <f>B1667*IBGE_2!I$1667/100</f>
        <v>3.2</v>
      </c>
      <c r="J1667" s="142">
        <f>B1667*IBGE_2!J$1667/100</f>
        <v>0.26</v>
      </c>
      <c r="K1667" s="142">
        <f>B1667*IBGE_2!K$1667/100</f>
        <v>120</v>
      </c>
      <c r="L1667" s="142">
        <f>B1667*IBGE_2!L$1667/100</f>
        <v>1.29</v>
      </c>
      <c r="M1667" s="142" t="s">
        <v>3047</v>
      </c>
      <c r="N1667" s="142">
        <f>B1667*IBGE_2!N$1667/100</f>
        <v>6</v>
      </c>
      <c r="O1667" s="142">
        <f>B1667*IBGE_2!O$1667/100</f>
        <v>8</v>
      </c>
      <c r="P1667" s="142">
        <f>B1667*IBGE_2!P$1667/100</f>
        <v>0.01</v>
      </c>
      <c r="Q1667" s="142">
        <f>B1667*IBGE_2!Q$1667/100</f>
        <v>22</v>
      </c>
      <c r="R1667" s="142">
        <f>B1667*IBGE_2!R$1667/100</f>
        <v>6.4</v>
      </c>
      <c r="S1667" s="142">
        <f>B1667*IBGE_2!S$1667/100</f>
        <v>680</v>
      </c>
      <c r="T1667" s="142">
        <f>B1667*IBGE_2!T$1667/100</f>
        <v>38</v>
      </c>
      <c r="U1667" s="142">
        <f>B1667*IBGE_2!U$1667/100</f>
        <v>0.04</v>
      </c>
      <c r="V1667" s="142">
        <f>B1667*IBGE_2!V$1667/100</f>
        <v>1.3</v>
      </c>
      <c r="W1667" s="142" t="s">
        <v>3047</v>
      </c>
      <c r="X1667" s="142">
        <f>B1667*IBGE_2!X$1667/100</f>
        <v>7.0000000000000007E-2</v>
      </c>
      <c r="Y1667" s="142">
        <f>B1667*IBGE_2!Y$1667/100</f>
        <v>0.13</v>
      </c>
      <c r="Z1667" s="142">
        <f>B1667*IBGE_2!Z$1667/100</f>
        <v>0.04</v>
      </c>
      <c r="AA1667" s="142">
        <f>B1667*IBGE_2!AA$1667/100</f>
        <v>1.2</v>
      </c>
      <c r="AB1667" s="142" t="s">
        <v>3047</v>
      </c>
      <c r="AC1667" s="142">
        <f>B1667*IBGE_2!AC$1667/100</f>
        <v>4.2</v>
      </c>
      <c r="AD1667" s="142">
        <f>B1667*IBGE_2!AD$1667/100</f>
        <v>1</v>
      </c>
      <c r="AE1667" s="142">
        <f>B1667*IBGE_2!AE$1667/100</f>
        <v>5</v>
      </c>
      <c r="AF1667" s="142">
        <f>B1667*IBGE_2!AF$1667/100</f>
        <v>0.253</v>
      </c>
      <c r="AG1667" s="142">
        <f>B1667*IBGE_2!AG$1667/100</f>
        <v>0.13</v>
      </c>
      <c r="AH1667" s="142">
        <f>B1667*IBGE_2!AH$1667/100</f>
        <v>8.1000000000000003E-2</v>
      </c>
      <c r="AI1667" s="142" t="s">
        <v>3047</v>
      </c>
      <c r="AJ1667" s="142">
        <f>B1667*IBGE_2!AJ$1667/100</f>
        <v>15.5</v>
      </c>
      <c r="AK1667" s="142" t="s">
        <v>3047</v>
      </c>
      <c r="AL1667" s="142">
        <f>B1667*IBGE_2!AL$1667/100</f>
        <v>1.31</v>
      </c>
      <c r="AM1667" s="142">
        <f>B1667*IBGE_2!AM$1667/100</f>
        <v>1.1000000000000001</v>
      </c>
      <c r="AN1667" s="161"/>
    </row>
    <row r="1668" spans="1:40">
      <c r="A1668" s="143" t="s">
        <v>2728</v>
      </c>
      <c r="B1668" s="141">
        <v>100</v>
      </c>
      <c r="C1668" s="142">
        <f>B1668*IBGE_2!C$1668/100</f>
        <v>379</v>
      </c>
      <c r="D1668" s="142">
        <f>B1668*IBGE_2!D$1668/100</f>
        <v>14.6</v>
      </c>
      <c r="E1668" s="142">
        <f>B1668*IBGE_2!E$1668/100</f>
        <v>34.5</v>
      </c>
      <c r="F1668" s="142">
        <f>B1668*IBGE_2!F$1668/100</f>
        <v>13.4</v>
      </c>
      <c r="G1668" s="142">
        <f>B1668*IBGE_2!G$1668/100</f>
        <v>15.9</v>
      </c>
      <c r="H1668" s="142">
        <f>B1668*IBGE_2!H$1668/100</f>
        <v>3.46</v>
      </c>
      <c r="I1668" s="142">
        <f>B1668*IBGE_2!I$1668/100</f>
        <v>3.2</v>
      </c>
      <c r="J1668" s="142">
        <f>B1668*IBGE_2!J$1668/100</f>
        <v>0.26</v>
      </c>
      <c r="K1668" s="142">
        <f>B1668*IBGE_2!K$1668/100</f>
        <v>120</v>
      </c>
      <c r="L1668" s="142">
        <f>B1668*IBGE_2!L$1668/100</f>
        <v>1.29</v>
      </c>
      <c r="M1668" s="142" t="s">
        <v>3047</v>
      </c>
      <c r="N1668" s="142">
        <f>B1668*IBGE_2!N$1668/100</f>
        <v>6</v>
      </c>
      <c r="O1668" s="142">
        <f>B1668*IBGE_2!O$1668/100</f>
        <v>8</v>
      </c>
      <c r="P1668" s="142">
        <f>B1668*IBGE_2!P$1668/100</f>
        <v>0.01</v>
      </c>
      <c r="Q1668" s="142">
        <f>B1668*IBGE_2!Q$1668/100</f>
        <v>22</v>
      </c>
      <c r="R1668" s="142">
        <f>B1668*IBGE_2!R$1668/100</f>
        <v>6.4</v>
      </c>
      <c r="S1668" s="142">
        <f>B1668*IBGE_2!S$1668/100</f>
        <v>680</v>
      </c>
      <c r="T1668" s="142">
        <f>B1668*IBGE_2!T$1668/100</f>
        <v>38</v>
      </c>
      <c r="U1668" s="142">
        <f>B1668*IBGE_2!U$1668/100</f>
        <v>0.04</v>
      </c>
      <c r="V1668" s="142">
        <f>B1668*IBGE_2!V$1668/100</f>
        <v>1.3</v>
      </c>
      <c r="W1668" s="142" t="s">
        <v>3047</v>
      </c>
      <c r="X1668" s="142">
        <f>B1668*IBGE_2!X$1668/100</f>
        <v>7.0000000000000007E-2</v>
      </c>
      <c r="Y1668" s="142">
        <f>B1668*IBGE_2!Y$1668/100</f>
        <v>0.13</v>
      </c>
      <c r="Z1668" s="142">
        <f>B1668*IBGE_2!Z$1668/100</f>
        <v>0.04</v>
      </c>
      <c r="AA1668" s="142">
        <f>B1668*IBGE_2!AA$1668/100</f>
        <v>1.2</v>
      </c>
      <c r="AB1668" s="142" t="s">
        <v>3047</v>
      </c>
      <c r="AC1668" s="142">
        <f>B1668*IBGE_2!AC$1668/100</f>
        <v>4.2</v>
      </c>
      <c r="AD1668" s="142">
        <f>B1668*IBGE_2!AD$1668/100</f>
        <v>1</v>
      </c>
      <c r="AE1668" s="142">
        <f>B1668*IBGE_2!AE$1668/100</f>
        <v>5</v>
      </c>
      <c r="AF1668" s="142">
        <f>B1668*IBGE_2!AF$1668/100</f>
        <v>0.253</v>
      </c>
      <c r="AG1668" s="142">
        <f>B1668*IBGE_2!AG$1668/100</f>
        <v>0.13</v>
      </c>
      <c r="AH1668" s="142">
        <f>B1668*IBGE_2!AH$1668/100</f>
        <v>8.1000000000000003E-2</v>
      </c>
      <c r="AI1668" s="142" t="s">
        <v>3047</v>
      </c>
      <c r="AJ1668" s="142">
        <f>B1668*IBGE_2!AJ$1668/100</f>
        <v>15.5</v>
      </c>
      <c r="AK1668" s="142" t="s">
        <v>3047</v>
      </c>
      <c r="AL1668" s="142">
        <f>B1668*IBGE_2!AL$1668/100</f>
        <v>1.31</v>
      </c>
      <c r="AM1668" s="142">
        <f>B1668*IBGE_2!AM$1668/100</f>
        <v>1.1000000000000001</v>
      </c>
      <c r="AN1668" s="161"/>
    </row>
    <row r="1669" spans="1:40">
      <c r="A1669" s="143" t="s">
        <v>2729</v>
      </c>
      <c r="B1669" s="141">
        <v>100</v>
      </c>
      <c r="C1669" s="142">
        <f>B1669*IBGE_2!C$1669/100</f>
        <v>339</v>
      </c>
      <c r="D1669" s="142">
        <f>B1669*IBGE_2!D$1669/100</f>
        <v>19.43</v>
      </c>
      <c r="E1669" s="142">
        <f>B1669*IBGE_2!E$1669/100</f>
        <v>28.36</v>
      </c>
      <c r="F1669" s="142">
        <f>B1669*IBGE_2!F$1669/100</f>
        <v>9.1310000000000002</v>
      </c>
      <c r="G1669" s="142">
        <f>B1669*IBGE_2!G$1669/100</f>
        <v>12.375999999999999</v>
      </c>
      <c r="H1669" s="142">
        <f>B1669*IBGE_2!H$1669/100</f>
        <v>3.7269999999999999</v>
      </c>
      <c r="I1669" s="142">
        <f>B1669*IBGE_2!I$1669/100</f>
        <v>3.2919999999999998</v>
      </c>
      <c r="J1669" s="142">
        <f>B1669*IBGE_2!J$1669/100</f>
        <v>0.13800000000000001</v>
      </c>
      <c r="K1669" s="142">
        <f>B1669*IBGE_2!K$1669/100</f>
        <v>84</v>
      </c>
      <c r="L1669" s="142" t="s">
        <v>3047</v>
      </c>
      <c r="M1669" s="142" t="s">
        <v>3047</v>
      </c>
      <c r="N1669" s="142">
        <f>B1669*IBGE_2!N$1669/100</f>
        <v>13</v>
      </c>
      <c r="O1669" s="142">
        <f>B1669*IBGE_2!O$1669/100</f>
        <v>17</v>
      </c>
      <c r="P1669" s="142">
        <f>B1669*IBGE_2!P$1669/100</f>
        <v>5.0000000000000001E-3</v>
      </c>
      <c r="Q1669" s="142">
        <f>B1669*IBGE_2!Q$1669/100</f>
        <v>163</v>
      </c>
      <c r="R1669" s="142">
        <f>B1669*IBGE_2!R$1669/100</f>
        <v>1.36</v>
      </c>
      <c r="S1669" s="142">
        <f>B1669*IBGE_2!S$1669/100</f>
        <v>749</v>
      </c>
      <c r="T1669" s="142">
        <f>B1669*IBGE_2!T$1669/100</f>
        <v>294</v>
      </c>
      <c r="U1669" s="142">
        <f>B1669*IBGE_2!U$1669/100</f>
        <v>8.5999999999999993E-2</v>
      </c>
      <c r="V1669" s="142">
        <f>B1669*IBGE_2!V$1669/100</f>
        <v>2.08</v>
      </c>
      <c r="W1669" s="142">
        <f>B1669*IBGE_2!W$1669/100</f>
        <v>12</v>
      </c>
      <c r="X1669" s="142">
        <f>B1669*IBGE_2!X$1669/100</f>
        <v>0.29399999999999998</v>
      </c>
      <c r="Y1669" s="142">
        <f>B1669*IBGE_2!Y$1669/100</f>
        <v>0.19699999999999998</v>
      </c>
      <c r="Z1669" s="142">
        <f>B1669*IBGE_2!Z$1669/100</f>
        <v>0.32700000000000001</v>
      </c>
      <c r="AA1669" s="142">
        <f>B1669*IBGE_2!AA$1669/100</f>
        <v>6.2579999999999991</v>
      </c>
      <c r="AB1669" s="142">
        <f>B1669*IBGE_2!AB$1669/100</f>
        <v>0.7</v>
      </c>
      <c r="AC1669" s="142">
        <f>B1669*IBGE_2!AC$1669/100</f>
        <v>8.8409999999999993</v>
      </c>
      <c r="AD1669" s="142">
        <f>B1669*IBGE_2!AD$1669/100</f>
        <v>1.18</v>
      </c>
      <c r="AE1669" s="142">
        <f>B1669*IBGE_2!AE$1669/100</f>
        <v>3</v>
      </c>
      <c r="AF1669" s="145" t="s">
        <v>3047</v>
      </c>
      <c r="AG1669" s="142">
        <f>B1669*IBGE_2!AG$1669/100</f>
        <v>0.55000000000000004</v>
      </c>
      <c r="AH1669" s="142">
        <f>B1669*IBGE_2!AH$1669/100</f>
        <v>0.11</v>
      </c>
      <c r="AI1669" s="142" t="s">
        <v>3047</v>
      </c>
      <c r="AJ1669" s="145" t="s">
        <v>3047</v>
      </c>
      <c r="AK1669" s="142">
        <f>B1669*IBGE_2!AK$1669/100</f>
        <v>12</v>
      </c>
      <c r="AL1669" s="142">
        <f>B1669*IBGE_2!AL$1669/100</f>
        <v>0.14099999999999999</v>
      </c>
      <c r="AM1669" s="145" t="s">
        <v>3047</v>
      </c>
      <c r="AN1669" s="161"/>
    </row>
    <row r="1670" spans="1:40">
      <c r="A1670" s="143" t="s">
        <v>2730</v>
      </c>
      <c r="B1670" s="141">
        <v>100</v>
      </c>
      <c r="C1670" s="142">
        <f>B1670*IBGE_2!C$1670/100</f>
        <v>307</v>
      </c>
      <c r="D1670" s="142">
        <f>B1670*IBGE_2!D$1670/100</f>
        <v>11.1</v>
      </c>
      <c r="E1670" s="142">
        <f>B1670*IBGE_2!E$1670/100</f>
        <v>27.7</v>
      </c>
      <c r="F1670" s="142">
        <f>B1670*IBGE_2!F$1670/100</f>
        <v>10.210000000000001</v>
      </c>
      <c r="G1670" s="142">
        <f>B1670*IBGE_2!G$1670/100</f>
        <v>12.81</v>
      </c>
      <c r="H1670" s="142">
        <f>B1670*IBGE_2!H$1670/100</f>
        <v>2.92</v>
      </c>
      <c r="I1670" s="142">
        <f>B1670*IBGE_2!I$1670/100</f>
        <v>2.48</v>
      </c>
      <c r="J1670" s="142">
        <f>B1670*IBGE_2!J$1670/100</f>
        <v>0.44</v>
      </c>
      <c r="K1670" s="142">
        <f>B1670*IBGE_2!K$1670/100</f>
        <v>60</v>
      </c>
      <c r="L1670" s="142">
        <f>B1670*IBGE_2!L$1670/100</f>
        <v>3.2</v>
      </c>
      <c r="M1670" s="142" t="s">
        <v>3047</v>
      </c>
      <c r="N1670" s="142">
        <f>B1670*IBGE_2!N$1670/100</f>
        <v>11</v>
      </c>
      <c r="O1670" s="142">
        <f>B1670*IBGE_2!O$1670/100</f>
        <v>11</v>
      </c>
      <c r="P1670" s="142">
        <f>B1670*IBGE_2!P$1670/100</f>
        <v>2.1000000000000001E-2</v>
      </c>
      <c r="Q1670" s="142">
        <f>B1670*IBGE_2!Q$1670/100</f>
        <v>98</v>
      </c>
      <c r="R1670" s="142">
        <f>B1670*IBGE_2!R$1670/100</f>
        <v>0.66</v>
      </c>
      <c r="S1670" s="142">
        <f>B1670*IBGE_2!S$1670/100</f>
        <v>930</v>
      </c>
      <c r="T1670" s="142">
        <f>B1670*IBGE_2!T$1670/100</f>
        <v>199</v>
      </c>
      <c r="U1670" s="142">
        <f>B1670*IBGE_2!U$1670/100</f>
        <v>0.06</v>
      </c>
      <c r="V1670" s="142">
        <f>B1670*IBGE_2!V$1670/100</f>
        <v>1.66</v>
      </c>
      <c r="W1670" s="142" t="s">
        <v>3047</v>
      </c>
      <c r="X1670" s="142">
        <f>B1670*IBGE_2!X$1670/100</f>
        <v>0.34200000000000003</v>
      </c>
      <c r="Y1670" s="142">
        <f>B1670*IBGE_2!Y$1670/100</f>
        <v>0.14000000000000001</v>
      </c>
      <c r="Z1670" s="142">
        <f>B1670*IBGE_2!Z$1670/100</f>
        <v>0.17</v>
      </c>
      <c r="AA1670" s="142">
        <f>B1670*IBGE_2!AA$1670/100</f>
        <v>2.734</v>
      </c>
      <c r="AB1670" s="142" t="s">
        <v>3047</v>
      </c>
      <c r="AC1670" s="142">
        <f>B1670*IBGE_2!AC$1670/100</f>
        <v>5.0339999999999998</v>
      </c>
      <c r="AD1670" s="142">
        <f>B1670*IBGE_2!AD$1670/100</f>
        <v>1.18</v>
      </c>
      <c r="AE1670" s="142">
        <f>B1670*IBGE_2!AE$1670/100</f>
        <v>2</v>
      </c>
      <c r="AF1670" s="142">
        <f>B1670*IBGE_2!AF$1670/100</f>
        <v>1.1000000000000001</v>
      </c>
      <c r="AG1670" s="142">
        <f>B1670*IBGE_2!AG$1670/100</f>
        <v>0.56999999999999995</v>
      </c>
      <c r="AH1670" s="142">
        <f>B1670*IBGE_2!AH$1670/100</f>
        <v>0.80200000000000005</v>
      </c>
      <c r="AI1670" s="142" t="s">
        <v>3047</v>
      </c>
      <c r="AJ1670" s="142">
        <f>B1670*IBGE_2!AJ$1670/100</f>
        <v>13.5</v>
      </c>
      <c r="AK1670" s="142" t="s">
        <v>3047</v>
      </c>
      <c r="AL1670" s="142">
        <f>B1670*IBGE_2!AL$1670/100</f>
        <v>2.5430000000000001</v>
      </c>
      <c r="AM1670" s="142">
        <f>B1670*IBGE_2!AM$1670/100</f>
        <v>2.7060000000000004</v>
      </c>
      <c r="AN1670" s="161"/>
    </row>
    <row r="1671" spans="1:40">
      <c r="A1671" s="143" t="s">
        <v>2731</v>
      </c>
      <c r="B1671" s="141">
        <v>100</v>
      </c>
      <c r="C1671" s="142">
        <f>B1671*IBGE_2!C$1671/100</f>
        <v>336</v>
      </c>
      <c r="D1671" s="142">
        <f>B1671*IBGE_2!D$1671/100</f>
        <v>21.85</v>
      </c>
      <c r="E1671" s="142">
        <f>B1671*IBGE_2!E$1671/100</f>
        <v>25.9</v>
      </c>
      <c r="F1671" s="142">
        <f>B1671*IBGE_2!F$1671/100</f>
        <v>9.3160000000000007</v>
      </c>
      <c r="G1671" s="142">
        <f>B1671*IBGE_2!G$1671/100</f>
        <v>11.127000000000001</v>
      </c>
      <c r="H1671" s="142">
        <f>B1671*IBGE_2!H$1671/100</f>
        <v>2.5289999999999999</v>
      </c>
      <c r="I1671" s="142">
        <f>B1671*IBGE_2!I$1671/100</f>
        <v>2.2559999999999998</v>
      </c>
      <c r="J1671" s="142">
        <f>B1671*IBGE_2!J$1671/100</f>
        <v>0.126</v>
      </c>
      <c r="K1671" s="142">
        <f>B1671*IBGE_2!K$1671/100</f>
        <v>89</v>
      </c>
      <c r="L1671" s="142">
        <f>B1671*IBGE_2!L$1671/100</f>
        <v>2.4</v>
      </c>
      <c r="M1671" s="142" t="s">
        <v>3047</v>
      </c>
      <c r="N1671" s="142">
        <f>B1671*IBGE_2!N$1671/100</f>
        <v>15</v>
      </c>
      <c r="O1671" s="142">
        <f>B1671*IBGE_2!O$1671/100</f>
        <v>19</v>
      </c>
      <c r="P1671" s="142">
        <f>B1671*IBGE_2!P$1671/100</f>
        <v>0.97799999999999998</v>
      </c>
      <c r="Q1671" s="142">
        <f>B1671*IBGE_2!Q$1671/100</f>
        <v>191</v>
      </c>
      <c r="R1671" s="142">
        <f>B1671*IBGE_2!R$1671/100</f>
        <v>1.56</v>
      </c>
      <c r="S1671" s="142">
        <f>B1671*IBGE_2!S$1671/100</f>
        <v>1449</v>
      </c>
      <c r="T1671" s="142">
        <f>B1671*IBGE_2!T$1671/100</f>
        <v>316</v>
      </c>
      <c r="U1671" s="142">
        <f>B1671*IBGE_2!U$1671/100</f>
        <v>0.35699999999999998</v>
      </c>
      <c r="V1671" s="142">
        <f>B1671*IBGE_2!V$1671/100</f>
        <v>2.93</v>
      </c>
      <c r="W1671" s="142" t="s">
        <v>3047</v>
      </c>
      <c r="X1671" s="142">
        <f>B1671*IBGE_2!X$1671/100</f>
        <v>0.36700000000000005</v>
      </c>
      <c r="Y1671" s="142">
        <f>B1671*IBGE_2!Y$1671/100</f>
        <v>0.35699999999999998</v>
      </c>
      <c r="Z1671" s="142">
        <f>B1671*IBGE_2!Z$1671/100</f>
        <v>0.45899999999999996</v>
      </c>
      <c r="AA1671" s="142">
        <f>B1671*IBGE_2!AA$1671/100</f>
        <v>6.0529999999999999</v>
      </c>
      <c r="AB1671" s="142" t="s">
        <v>3047</v>
      </c>
      <c r="AC1671" s="142">
        <f>B1671*IBGE_2!AC$1671/100</f>
        <v>7.9530000000000003</v>
      </c>
      <c r="AD1671" s="142">
        <f>B1671*IBGE_2!AD$1671/100</f>
        <v>1.52</v>
      </c>
      <c r="AE1671" s="142">
        <f>B1671*IBGE_2!AE$1671/100</f>
        <v>3</v>
      </c>
      <c r="AF1671" s="142">
        <f>B1671*IBGE_2!AF$1671/100</f>
        <v>0.71899999999999986</v>
      </c>
      <c r="AG1671" s="142">
        <f>B1671*IBGE_2!AG$1671/100</f>
        <v>0.22</v>
      </c>
      <c r="AH1671" s="142">
        <f>B1671*IBGE_2!AH$1671/100</f>
        <v>0.58599999999999997</v>
      </c>
      <c r="AI1671" s="142" t="s">
        <v>3047</v>
      </c>
      <c r="AJ1671" s="142">
        <f>B1671*IBGE_2!AJ$1671/100</f>
        <v>31.3</v>
      </c>
      <c r="AK1671" s="142" t="s">
        <v>3047</v>
      </c>
      <c r="AL1671" s="142">
        <f>B1671*IBGE_2!AL$1671/100</f>
        <v>0.96</v>
      </c>
      <c r="AM1671" s="142">
        <f>B1671*IBGE_2!AM$1671/100</f>
        <v>0.95499999999999996</v>
      </c>
      <c r="AN1671" s="161"/>
    </row>
    <row r="1672" spans="1:40">
      <c r="A1672" s="143" t="s">
        <v>2732</v>
      </c>
      <c r="B1672" s="141">
        <v>100</v>
      </c>
      <c r="C1672" s="142">
        <f>B1672*IBGE_2!C$1672/100</f>
        <v>336</v>
      </c>
      <c r="D1672" s="142">
        <f>B1672*IBGE_2!D$1672/100</f>
        <v>21.85</v>
      </c>
      <c r="E1672" s="142">
        <f>B1672*IBGE_2!E$1672/100</f>
        <v>25.9</v>
      </c>
      <c r="F1672" s="142">
        <f>B1672*IBGE_2!F$1672/100</f>
        <v>9.3160000000000007</v>
      </c>
      <c r="G1672" s="142">
        <f>B1672*IBGE_2!G$1672/100</f>
        <v>11.127000000000001</v>
      </c>
      <c r="H1672" s="142">
        <f>B1672*IBGE_2!H$1672/100</f>
        <v>2.5289999999999999</v>
      </c>
      <c r="I1672" s="142">
        <f>B1672*IBGE_2!I$1672/100</f>
        <v>2.2559999999999998</v>
      </c>
      <c r="J1672" s="142">
        <f>B1672*IBGE_2!J$1672/100</f>
        <v>0.126</v>
      </c>
      <c r="K1672" s="142">
        <f>B1672*IBGE_2!K$1672/100</f>
        <v>89</v>
      </c>
      <c r="L1672" s="142">
        <f>B1672*IBGE_2!L$1672/100</f>
        <v>2.4</v>
      </c>
      <c r="M1672" s="142" t="s">
        <v>3047</v>
      </c>
      <c r="N1672" s="142">
        <f>B1672*IBGE_2!N$1672/100</f>
        <v>15</v>
      </c>
      <c r="O1672" s="142">
        <f>B1672*IBGE_2!O$1672/100</f>
        <v>19</v>
      </c>
      <c r="P1672" s="142">
        <f>B1672*IBGE_2!P$1672/100</f>
        <v>0.97799999999999998</v>
      </c>
      <c r="Q1672" s="142">
        <f>B1672*IBGE_2!Q$1672/100</f>
        <v>191</v>
      </c>
      <c r="R1672" s="142">
        <f>B1672*IBGE_2!R$1672/100</f>
        <v>1.56</v>
      </c>
      <c r="S1672" s="142">
        <f>B1672*IBGE_2!S$1672/100</f>
        <v>1449</v>
      </c>
      <c r="T1672" s="142">
        <f>B1672*IBGE_2!T$1672/100</f>
        <v>316</v>
      </c>
      <c r="U1672" s="142">
        <f>B1672*IBGE_2!U$1672/100</f>
        <v>0.35699999999999998</v>
      </c>
      <c r="V1672" s="142">
        <f>B1672*IBGE_2!V$1672/100</f>
        <v>2.93</v>
      </c>
      <c r="W1672" s="142" t="s">
        <v>3047</v>
      </c>
      <c r="X1672" s="142">
        <f>B1672*IBGE_2!X$1672/100</f>
        <v>0.36700000000000005</v>
      </c>
      <c r="Y1672" s="142">
        <f>B1672*IBGE_2!Y$1672/100</f>
        <v>0.35699999999999998</v>
      </c>
      <c r="Z1672" s="142">
        <f>B1672*IBGE_2!Z$1672/100</f>
        <v>0.45899999999999996</v>
      </c>
      <c r="AA1672" s="142">
        <f>B1672*IBGE_2!AA$1672/100</f>
        <v>6.0529999999999999</v>
      </c>
      <c r="AB1672" s="142" t="s">
        <v>3047</v>
      </c>
      <c r="AC1672" s="142">
        <f>B1672*IBGE_2!AC$1672/100</f>
        <v>7.9530000000000003</v>
      </c>
      <c r="AD1672" s="142">
        <f>B1672*IBGE_2!AD$1672/100</f>
        <v>1.52</v>
      </c>
      <c r="AE1672" s="142">
        <f>B1672*IBGE_2!AE$1672/100</f>
        <v>3</v>
      </c>
      <c r="AF1672" s="142">
        <f>B1672*IBGE_2!AF$1672/100</f>
        <v>0.71899999999999986</v>
      </c>
      <c r="AG1672" s="142">
        <f>B1672*IBGE_2!AG$1672/100</f>
        <v>0.22</v>
      </c>
      <c r="AH1672" s="142">
        <f>B1672*IBGE_2!AH$1672/100</f>
        <v>0.58599999999999997</v>
      </c>
      <c r="AI1672" s="142" t="s">
        <v>3047</v>
      </c>
      <c r="AJ1672" s="142">
        <f>B1672*IBGE_2!AJ$1672/100</f>
        <v>31.3</v>
      </c>
      <c r="AK1672" s="142" t="s">
        <v>3047</v>
      </c>
      <c r="AL1672" s="142">
        <f>B1672*IBGE_2!AL$1672/100</f>
        <v>0.96</v>
      </c>
      <c r="AM1672" s="142">
        <f>B1672*IBGE_2!AM$1672/100</f>
        <v>0.95499999999999996</v>
      </c>
      <c r="AN1672" s="161"/>
    </row>
    <row r="1673" spans="1:40">
      <c r="A1673" s="143" t="s">
        <v>2733</v>
      </c>
      <c r="B1673" s="141">
        <v>100</v>
      </c>
      <c r="C1673" s="142">
        <f>B1673*IBGE_2!C$1673/100</f>
        <v>126</v>
      </c>
      <c r="D1673" s="142">
        <f>B1673*IBGE_2!D$1673/100</f>
        <v>17.5</v>
      </c>
      <c r="E1673" s="142">
        <f>B1673*IBGE_2!E$1673/100</f>
        <v>4.84</v>
      </c>
      <c r="F1673" s="142">
        <f>B1673*IBGE_2!F$1673/100</f>
        <v>1.526</v>
      </c>
      <c r="G1673" s="142">
        <f>B1673*IBGE_2!G$1673/100</f>
        <v>1.9019999999999999</v>
      </c>
      <c r="H1673" s="142">
        <f>B1673*IBGE_2!H$1673/100</f>
        <v>1.319</v>
      </c>
      <c r="I1673" s="142">
        <f>B1673*IBGE_2!I$1673/100</f>
        <v>0.67</v>
      </c>
      <c r="J1673" s="142">
        <f>B1673*IBGE_2!J$1673/100</f>
        <v>0.03</v>
      </c>
      <c r="K1673" s="142">
        <f>B1673*IBGE_2!K$1673/100</f>
        <v>72</v>
      </c>
      <c r="L1673" s="142">
        <f>B1673*IBGE_2!L$1673/100</f>
        <v>2.04</v>
      </c>
      <c r="M1673" s="142">
        <f>B1673*IBGE_2!M$1673/100</f>
        <v>0.2</v>
      </c>
      <c r="N1673" s="142">
        <f>B1673*IBGE_2!N$1673/100</f>
        <v>8</v>
      </c>
      <c r="O1673" s="142">
        <f>B1673*IBGE_2!O$1673/100</f>
        <v>22</v>
      </c>
      <c r="P1673" s="142">
        <f>B1673*IBGE_2!P$1673/100</f>
        <v>0.02</v>
      </c>
      <c r="Q1673" s="142">
        <f>B1673*IBGE_2!Q$1673/100</f>
        <v>294</v>
      </c>
      <c r="R1673" s="142">
        <f>B1673*IBGE_2!R$1673/100</f>
        <v>2.34</v>
      </c>
      <c r="S1673" s="142">
        <f>B1673*IBGE_2!S$1673/100</f>
        <v>1114</v>
      </c>
      <c r="T1673" s="142">
        <f>B1673*IBGE_2!T$1673/100</f>
        <v>287</v>
      </c>
      <c r="U1673" s="142">
        <f>B1673*IBGE_2!U$1673/100</f>
        <v>0.25</v>
      </c>
      <c r="V1673" s="142">
        <f>B1673*IBGE_2!V$1673/100</f>
        <v>2.59</v>
      </c>
      <c r="W1673" s="142">
        <f>B1673*IBGE_2!W$1673/100</f>
        <v>7</v>
      </c>
      <c r="X1673" s="142">
        <f>B1673*IBGE_2!X$1673/100</f>
        <v>0.03</v>
      </c>
      <c r="Y1673" s="142">
        <f>B1673*IBGE_2!Y$1673/100</f>
        <v>0.14899999999999999</v>
      </c>
      <c r="Z1673" s="142">
        <f>B1673*IBGE_2!Z$1673/100</f>
        <v>0.20899999999999999</v>
      </c>
      <c r="AA1673" s="142">
        <f>B1673*IBGE_2!AA$1673/100</f>
        <v>2.1179999999999999</v>
      </c>
      <c r="AB1673" s="142">
        <f>B1673*IBGE_2!AB$1673/100</f>
        <v>8.9</v>
      </c>
      <c r="AC1673" s="142">
        <f>B1673*IBGE_2!AC$1673/100</f>
        <v>5.3179999999999996</v>
      </c>
      <c r="AD1673" s="142">
        <f>B1673*IBGE_2!AD$1673/100</f>
        <v>0.23</v>
      </c>
      <c r="AE1673" s="142">
        <f>B1673*IBGE_2!AE$1673/100</f>
        <v>7</v>
      </c>
      <c r="AF1673" s="142">
        <f>B1673*IBGE_2!AF$1673/100</f>
        <v>0.185</v>
      </c>
      <c r="AG1673" s="142">
        <f>B1673*IBGE_2!AG$1673/100</f>
        <v>0.64</v>
      </c>
      <c r="AH1673" s="142">
        <f>B1673*IBGE_2!AH$1673/100</f>
        <v>0.107</v>
      </c>
      <c r="AI1673" s="142" t="s">
        <v>3047</v>
      </c>
      <c r="AJ1673" s="142">
        <f>B1673*IBGE_2!AJ$1673/100</f>
        <v>32.200000000000003</v>
      </c>
      <c r="AK1673" s="142">
        <f>B1673*IBGE_2!AK$1673/100</f>
        <v>7</v>
      </c>
      <c r="AL1673" s="142">
        <f>B1673*IBGE_2!AL$1673/100</f>
        <v>2.0379999999999998</v>
      </c>
      <c r="AM1673" s="142">
        <f>B1673*IBGE_2!AM$1673/100</f>
        <v>2.04</v>
      </c>
      <c r="AN1673" s="161"/>
    </row>
    <row r="1674" spans="1:40">
      <c r="A1674" s="143" t="s">
        <v>2734</v>
      </c>
      <c r="B1674" s="141">
        <v>100</v>
      </c>
      <c r="C1674" s="142">
        <f>B1674*IBGE_2!C$1674/100</f>
        <v>226</v>
      </c>
      <c r="D1674" s="142">
        <f>B1674*IBGE_2!D$1674/100</f>
        <v>20.53</v>
      </c>
      <c r="E1674" s="142">
        <f>B1674*IBGE_2!E$1674/100</f>
        <v>15.2</v>
      </c>
      <c r="F1674" s="142">
        <f>B1674*IBGE_2!F$1674/100</f>
        <v>5.04</v>
      </c>
      <c r="G1674" s="142">
        <f>B1674*IBGE_2!G$1674/100</f>
        <v>7.07</v>
      </c>
      <c r="H1674" s="142">
        <f>B1674*IBGE_2!H$1674/100</f>
        <v>1.78</v>
      </c>
      <c r="I1674" s="142">
        <f>B1674*IBGE_2!I$1674/100</f>
        <v>1.62</v>
      </c>
      <c r="J1674" s="142">
        <f>B1674*IBGE_2!J$1674/100</f>
        <v>0.16</v>
      </c>
      <c r="K1674" s="142">
        <f>B1674*IBGE_2!K$1674/100</f>
        <v>62</v>
      </c>
      <c r="L1674" s="142">
        <f>B1674*IBGE_2!L$1674/100</f>
        <v>0.42</v>
      </c>
      <c r="M1674" s="142" t="s">
        <v>3047</v>
      </c>
      <c r="N1674" s="142">
        <f>B1674*IBGE_2!N$1674/100</f>
        <v>8</v>
      </c>
      <c r="O1674" s="142">
        <f>B1674*IBGE_2!O$1674/100</f>
        <v>17</v>
      </c>
      <c r="P1674" s="142">
        <f>B1674*IBGE_2!P$1674/100</f>
        <v>2.9000000000000005E-2</v>
      </c>
      <c r="Q1674" s="142">
        <f>B1674*IBGE_2!Q$1674/100</f>
        <v>243</v>
      </c>
      <c r="R1674" s="142">
        <f>B1674*IBGE_2!R$1674/100</f>
        <v>1.37</v>
      </c>
      <c r="S1674" s="142">
        <f>B1674*IBGE_2!S$1674/100</f>
        <v>941</v>
      </c>
      <c r="T1674" s="142">
        <f>B1674*IBGE_2!T$1674/100</f>
        <v>357</v>
      </c>
      <c r="U1674" s="142">
        <f>B1674*IBGE_2!U$1674/100</f>
        <v>0.13</v>
      </c>
      <c r="V1674" s="142">
        <f>B1674*IBGE_2!V$1674/100</f>
        <v>2.5</v>
      </c>
      <c r="W1674" s="142" t="s">
        <v>3047</v>
      </c>
      <c r="X1674" s="142">
        <f>B1674*IBGE_2!X$1674/100</f>
        <v>0.82</v>
      </c>
      <c r="Y1674" s="142">
        <f>B1674*IBGE_2!Y$1674/100</f>
        <v>0.26</v>
      </c>
      <c r="Z1674" s="142">
        <f>B1674*IBGE_2!Z$1674/100</f>
        <v>0.3</v>
      </c>
      <c r="AA1674" s="142">
        <f>B1674*IBGE_2!AA$1674/100</f>
        <v>5.3</v>
      </c>
      <c r="AB1674" s="142" t="s">
        <v>3047</v>
      </c>
      <c r="AC1674" s="142">
        <f>B1674*IBGE_2!AC$1674/100</f>
        <v>9.1829999999999998</v>
      </c>
      <c r="AD1674" s="142">
        <f>B1674*IBGE_2!AD$1674/100</f>
        <v>1.06</v>
      </c>
      <c r="AE1674" s="142">
        <f>B1674*IBGE_2!AE$1674/100</f>
        <v>5</v>
      </c>
      <c r="AF1674" s="142">
        <f>B1674*IBGE_2!AF$1674/100</f>
        <v>0.79600000000000004</v>
      </c>
      <c r="AG1674" s="142">
        <f>B1674*IBGE_2!AG$1674/100</f>
        <v>0.28000000000000003</v>
      </c>
      <c r="AH1674" s="142">
        <f>B1674*IBGE_2!AH$1674/100</f>
        <v>4.2000000000000003E-2</v>
      </c>
      <c r="AI1674" s="142" t="s">
        <v>3047</v>
      </c>
      <c r="AJ1674" s="142">
        <f>B1674*IBGE_2!AJ$1674/100</f>
        <v>35.9</v>
      </c>
      <c r="AK1674" s="145" t="s">
        <v>3047</v>
      </c>
      <c r="AL1674" s="145" t="s">
        <v>3047</v>
      </c>
      <c r="AM1674" s="145" t="s">
        <v>3047</v>
      </c>
      <c r="AN1674" s="161"/>
    </row>
    <row r="1675" spans="1:40">
      <c r="A1675" s="143" t="s">
        <v>2735</v>
      </c>
      <c r="B1675" s="141">
        <v>100</v>
      </c>
      <c r="C1675" s="142">
        <f>B1675*IBGE_2!C$1675/100</f>
        <v>195.96400000000003</v>
      </c>
      <c r="D1675" s="142">
        <f>B1675*IBGE_2!D$1675/100</f>
        <v>16.614999999999998</v>
      </c>
      <c r="E1675" s="142">
        <f>B1675*IBGE_2!E$1675/100</f>
        <v>8.3510000000000009</v>
      </c>
      <c r="F1675" s="142">
        <f>B1675*IBGE_2!F$1675/100</f>
        <v>2.6180000000000003</v>
      </c>
      <c r="G1675" s="142">
        <f>B1675*IBGE_2!G$1675/100</f>
        <v>2.9980000000000002</v>
      </c>
      <c r="H1675" s="142">
        <f>B1675*IBGE_2!H$1675/100</f>
        <v>1.9750000000000001</v>
      </c>
      <c r="I1675" s="142">
        <f>B1675*IBGE_2!I$1675/100</f>
        <v>1.746</v>
      </c>
      <c r="J1675" s="142">
        <f>B1675*IBGE_2!J$1675/100</f>
        <v>0.13900000000000001</v>
      </c>
      <c r="K1675" s="142">
        <f>B1675*IBGE_2!K$1675/100</f>
        <v>48.634999999999998</v>
      </c>
      <c r="L1675" s="142">
        <f>B1675*IBGE_2!L$1675/100</f>
        <v>12.644</v>
      </c>
      <c r="M1675" s="142">
        <f>B1675*IBGE_2!M$1675/100</f>
        <v>0.60699999999999998</v>
      </c>
      <c r="N1675" s="142">
        <f>B1675*IBGE_2!N$1675/100</f>
        <v>73.66</v>
      </c>
      <c r="O1675" s="142">
        <f>B1675*IBGE_2!O$1675/100</f>
        <v>21.074999999999999</v>
      </c>
      <c r="P1675" s="142">
        <f>B1675*IBGE_2!P$1675/100</f>
        <v>0.13300000000000001</v>
      </c>
      <c r="Q1675" s="142">
        <f>B1675*IBGE_2!Q$1675/100</f>
        <v>151.904</v>
      </c>
      <c r="R1675" s="142">
        <f>B1675*IBGE_2!R$1675/100</f>
        <v>1.496</v>
      </c>
      <c r="S1675" s="142">
        <f>B1675*IBGE_2!S$1675/100</f>
        <v>118.303</v>
      </c>
      <c r="T1675" s="142">
        <f>B1675*IBGE_2!T$1675/100</f>
        <v>198.93600000000004</v>
      </c>
      <c r="U1675" s="142">
        <f>B1675*IBGE_2!U$1675/100</f>
        <v>9.9000000000000005E-2</v>
      </c>
      <c r="V1675" s="142">
        <f>B1675*IBGE_2!V$1675/100</f>
        <v>1.5509999999999999</v>
      </c>
      <c r="W1675" s="142">
        <f>B1675*IBGE_2!W$1675/100</f>
        <v>15.627000000000001</v>
      </c>
      <c r="X1675" s="142">
        <f>B1675*IBGE_2!X$1675/100</f>
        <v>0.17399999999999999</v>
      </c>
      <c r="Y1675" s="142">
        <f>B1675*IBGE_2!Y$1675/100</f>
        <v>0.22</v>
      </c>
      <c r="Z1675" s="142">
        <f>B1675*IBGE_2!Z$1675/100</f>
        <v>0.253</v>
      </c>
      <c r="AA1675" s="142">
        <f>B1675*IBGE_2!AA$1675/100</f>
        <v>4.5549999999999997</v>
      </c>
      <c r="AB1675" s="142">
        <f>B1675*IBGE_2!AB$1675/100</f>
        <v>0.60399999999999998</v>
      </c>
      <c r="AC1675" s="142">
        <f>B1675*IBGE_2!AC$1675/100</f>
        <v>8.0259999999999998</v>
      </c>
      <c r="AD1675" s="142">
        <f>B1675*IBGE_2!AD$1675/100</f>
        <v>0.377</v>
      </c>
      <c r="AE1675" s="142">
        <f>B1675*IBGE_2!AE$1675/100</f>
        <v>31.454999999999998</v>
      </c>
      <c r="AF1675" s="142">
        <f>B1675*IBGE_2!AF$1675/100</f>
        <v>0.499</v>
      </c>
      <c r="AG1675" s="142">
        <f>B1675*IBGE_2!AG$1675/100</f>
        <v>0.23200000000000004</v>
      </c>
      <c r="AH1675" s="142">
        <f>B1675*IBGE_2!AH$1675/100</f>
        <v>0.85699999999999998</v>
      </c>
      <c r="AI1675" s="142">
        <f>B1675*IBGE_2!AI$1675/100</f>
        <v>197</v>
      </c>
      <c r="AJ1675" s="142">
        <f>B1675*IBGE_2!AJ$1675/100</f>
        <v>20.347000000000001</v>
      </c>
      <c r="AK1675" s="142">
        <f>B1675*IBGE_2!AK$1675/100</f>
        <v>16.687000000000001</v>
      </c>
      <c r="AL1675" s="142">
        <f>B1675*IBGE_2!AL$1675/100</f>
        <v>2.8530000000000002</v>
      </c>
      <c r="AM1675" s="142">
        <f>B1675*IBGE_2!AM$1675/100</f>
        <v>1.097</v>
      </c>
      <c r="AN1675" s="161"/>
    </row>
    <row r="1676" spans="1:40">
      <c r="A1676" s="143" t="s">
        <v>2736</v>
      </c>
      <c r="B1676" s="141">
        <v>100</v>
      </c>
      <c r="C1676" s="142">
        <f>B1676*IBGE_2!C$1676/100</f>
        <v>195.96400000000003</v>
      </c>
      <c r="D1676" s="142">
        <f>B1676*IBGE_2!D$1676/100</f>
        <v>16.614999999999998</v>
      </c>
      <c r="E1676" s="142">
        <f>B1676*IBGE_2!E$1676/100</f>
        <v>8.3510000000000009</v>
      </c>
      <c r="F1676" s="142">
        <f>B1676*IBGE_2!F$1676/100</f>
        <v>2.6180000000000003</v>
      </c>
      <c r="G1676" s="142">
        <f>B1676*IBGE_2!G$1676/100</f>
        <v>2.9980000000000002</v>
      </c>
      <c r="H1676" s="142">
        <f>B1676*IBGE_2!H$1676/100</f>
        <v>1.9750000000000001</v>
      </c>
      <c r="I1676" s="142">
        <f>B1676*IBGE_2!I$1676/100</f>
        <v>1.746</v>
      </c>
      <c r="J1676" s="142">
        <f>B1676*IBGE_2!J$1676/100</f>
        <v>0.13900000000000001</v>
      </c>
      <c r="K1676" s="142">
        <f>B1676*IBGE_2!K$1676/100</f>
        <v>48.634999999999998</v>
      </c>
      <c r="L1676" s="142">
        <f>B1676*IBGE_2!L$1676/100</f>
        <v>12.644</v>
      </c>
      <c r="M1676" s="142">
        <f>B1676*IBGE_2!M$1676/100</f>
        <v>0.60699999999999998</v>
      </c>
      <c r="N1676" s="142">
        <f>B1676*IBGE_2!N$1676/100</f>
        <v>73.66</v>
      </c>
      <c r="O1676" s="142">
        <f>B1676*IBGE_2!O$1676/100</f>
        <v>21.074999999999999</v>
      </c>
      <c r="P1676" s="142">
        <f>B1676*IBGE_2!P$1676/100</f>
        <v>0.13300000000000001</v>
      </c>
      <c r="Q1676" s="142">
        <f>B1676*IBGE_2!Q$1676/100</f>
        <v>151.904</v>
      </c>
      <c r="R1676" s="142">
        <f>B1676*IBGE_2!R$1676/100</f>
        <v>1.496</v>
      </c>
      <c r="S1676" s="142">
        <f>B1676*IBGE_2!S$1676/100</f>
        <v>118.303</v>
      </c>
      <c r="T1676" s="142">
        <f>B1676*IBGE_2!T$1676/100</f>
        <v>198.93600000000004</v>
      </c>
      <c r="U1676" s="142">
        <f>B1676*IBGE_2!U$1676/100</f>
        <v>9.9000000000000005E-2</v>
      </c>
      <c r="V1676" s="142">
        <f>B1676*IBGE_2!V$1676/100</f>
        <v>1.5509999999999999</v>
      </c>
      <c r="W1676" s="142">
        <f>B1676*IBGE_2!W$1676/100</f>
        <v>15.627000000000001</v>
      </c>
      <c r="X1676" s="142">
        <f>B1676*IBGE_2!X$1676/100</f>
        <v>0.17399999999999999</v>
      </c>
      <c r="Y1676" s="142">
        <f>B1676*IBGE_2!Y$1676/100</f>
        <v>0.22</v>
      </c>
      <c r="Z1676" s="142">
        <f>B1676*IBGE_2!Z$1676/100</f>
        <v>0.253</v>
      </c>
      <c r="AA1676" s="142">
        <f>B1676*IBGE_2!AA$1676/100</f>
        <v>4.5549999999999997</v>
      </c>
      <c r="AB1676" s="142">
        <f>B1676*IBGE_2!AB$1676/100</f>
        <v>0.60399999999999998</v>
      </c>
      <c r="AC1676" s="142">
        <f>B1676*IBGE_2!AC$1676/100</f>
        <v>8.0259999999999998</v>
      </c>
      <c r="AD1676" s="142">
        <f>B1676*IBGE_2!AD$1676/100</f>
        <v>0.377</v>
      </c>
      <c r="AE1676" s="142">
        <f>B1676*IBGE_2!AE$1676/100</f>
        <v>31.454999999999998</v>
      </c>
      <c r="AF1676" s="142">
        <f>B1676*IBGE_2!AF$1676/100</f>
        <v>0.499</v>
      </c>
      <c r="AG1676" s="142">
        <f>B1676*IBGE_2!AG$1676/100</f>
        <v>0.23200000000000004</v>
      </c>
      <c r="AH1676" s="142">
        <f>B1676*IBGE_2!AH$1676/100</f>
        <v>0.85699999999999998</v>
      </c>
      <c r="AI1676" s="142">
        <f>B1676*IBGE_2!AI$1676/100</f>
        <v>197</v>
      </c>
      <c r="AJ1676" s="142">
        <f>B1676*IBGE_2!AJ$1676/100</f>
        <v>20.347000000000001</v>
      </c>
      <c r="AK1676" s="142">
        <f>B1676*IBGE_2!AK$1676/100</f>
        <v>16.687000000000001</v>
      </c>
      <c r="AL1676" s="142">
        <f>B1676*IBGE_2!AL$1676/100</f>
        <v>2.8530000000000002</v>
      </c>
      <c r="AM1676" s="142">
        <f>B1676*IBGE_2!AM$1676/100</f>
        <v>1.097</v>
      </c>
      <c r="AN1676" s="161"/>
    </row>
    <row r="1677" spans="1:40">
      <c r="A1677" s="143" t="s">
        <v>2737</v>
      </c>
      <c r="B1677" s="141">
        <v>100</v>
      </c>
      <c r="C1677" s="142">
        <f>B1677*IBGE_2!C$1677/100</f>
        <v>256.48899999999998</v>
      </c>
      <c r="D1677" s="142">
        <f>B1677*IBGE_2!D$1677/100</f>
        <v>16.614999999999998</v>
      </c>
      <c r="E1677" s="142">
        <f>B1677*IBGE_2!E$1677/100</f>
        <v>15.198</v>
      </c>
      <c r="F1677" s="142">
        <f>B1677*IBGE_2!F$1677/100</f>
        <v>3.6889999999999996</v>
      </c>
      <c r="G1677" s="142">
        <f>B1677*IBGE_2!G$1677/100</f>
        <v>4.5579999999999998</v>
      </c>
      <c r="H1677" s="142">
        <f>B1677*IBGE_2!H$1677/100</f>
        <v>5.9289999999999994</v>
      </c>
      <c r="I1677" s="142">
        <f>B1677*IBGE_2!I$1677/100</f>
        <v>5.234</v>
      </c>
      <c r="J1677" s="142">
        <f>B1677*IBGE_2!J$1677/100</f>
        <v>0.60399999999999998</v>
      </c>
      <c r="K1677" s="142">
        <f>B1677*IBGE_2!K$1677/100</f>
        <v>48.634999999999998</v>
      </c>
      <c r="L1677" s="142">
        <f>B1677*IBGE_2!L$1677/100</f>
        <v>12.644</v>
      </c>
      <c r="M1677" s="142">
        <f>B1677*IBGE_2!M$1677/100</f>
        <v>0.60699999999999998</v>
      </c>
      <c r="N1677" s="142">
        <f>B1677*IBGE_2!N$1677/100</f>
        <v>73.66</v>
      </c>
      <c r="O1677" s="142">
        <f>B1677*IBGE_2!O$1677/100</f>
        <v>21.074999999999999</v>
      </c>
      <c r="P1677" s="142">
        <f>B1677*IBGE_2!P$1677/100</f>
        <v>0.13300000000000001</v>
      </c>
      <c r="Q1677" s="142">
        <f>B1677*IBGE_2!Q$1677/100</f>
        <v>151.904</v>
      </c>
      <c r="R1677" s="142">
        <f>B1677*IBGE_2!R$1677/100</f>
        <v>1.4990000000000001</v>
      </c>
      <c r="S1677" s="142">
        <f>B1677*IBGE_2!S$1677/100</f>
        <v>118.303</v>
      </c>
      <c r="T1677" s="142">
        <f>B1677*IBGE_2!T$1677/100</f>
        <v>198.93600000000004</v>
      </c>
      <c r="U1677" s="142">
        <f>B1677*IBGE_2!U$1677/100</f>
        <v>9.9000000000000005E-2</v>
      </c>
      <c r="V1677" s="142">
        <f>B1677*IBGE_2!V$1677/100</f>
        <v>1.5509999999999999</v>
      </c>
      <c r="W1677" s="142">
        <f>B1677*IBGE_2!W$1677/100</f>
        <v>15.627000000000001</v>
      </c>
      <c r="X1677" s="142">
        <f>B1677*IBGE_2!X$1677/100</f>
        <v>0.17399999999999999</v>
      </c>
      <c r="Y1677" s="142">
        <f>B1677*IBGE_2!Y$1677/100</f>
        <v>0.22</v>
      </c>
      <c r="Z1677" s="142">
        <f>B1677*IBGE_2!Z$1677/100</f>
        <v>0.253</v>
      </c>
      <c r="AA1677" s="142">
        <f>B1677*IBGE_2!AA$1677/100</f>
        <v>4.5549999999999997</v>
      </c>
      <c r="AB1677" s="142">
        <f>B1677*IBGE_2!AB$1677/100</f>
        <v>0.60399999999999998</v>
      </c>
      <c r="AC1677" s="142">
        <f>B1677*IBGE_2!AC$1677/100</f>
        <v>8.0259999999999998</v>
      </c>
      <c r="AD1677" s="142">
        <f>B1677*IBGE_2!AD$1677/100</f>
        <v>0.377</v>
      </c>
      <c r="AE1677" s="142">
        <f>B1677*IBGE_2!AE$1677/100</f>
        <v>31.454999999999998</v>
      </c>
      <c r="AF1677" s="142">
        <f>B1677*IBGE_2!AF$1677/100</f>
        <v>0.499</v>
      </c>
      <c r="AG1677" s="142">
        <f>B1677*IBGE_2!AG$1677/100</f>
        <v>0.79200000000000004</v>
      </c>
      <c r="AH1677" s="142">
        <f>B1677*IBGE_2!AH$1677/100</f>
        <v>0.89400000000000002</v>
      </c>
      <c r="AI1677" s="142">
        <f>B1677*IBGE_2!AI$1677/100</f>
        <v>197</v>
      </c>
      <c r="AJ1677" s="142">
        <f>B1677*IBGE_2!AJ$1677/100</f>
        <v>23.484999999999999</v>
      </c>
      <c r="AK1677" s="142">
        <f>B1677*IBGE_2!AK$1677/100</f>
        <v>16.687000000000001</v>
      </c>
      <c r="AL1677" s="142">
        <f>B1677*IBGE_2!AL$1677/100</f>
        <v>2.8530000000000002</v>
      </c>
      <c r="AM1677" s="142">
        <f>B1677*IBGE_2!AM$1677/100</f>
        <v>1.097</v>
      </c>
      <c r="AN1677" s="161"/>
    </row>
    <row r="1678" spans="1:40">
      <c r="A1678" s="143" t="s">
        <v>2738</v>
      </c>
      <c r="B1678" s="141">
        <v>100</v>
      </c>
      <c r="C1678" s="142">
        <f>B1678*IBGE_2!C$1678/100</f>
        <v>214</v>
      </c>
      <c r="D1678" s="142">
        <f>B1678*IBGE_2!D$1678/100</f>
        <v>26.62</v>
      </c>
      <c r="E1678" s="142">
        <f>B1678*IBGE_2!E$1678/100</f>
        <v>11.1</v>
      </c>
      <c r="F1678" s="142">
        <f>B1678*IBGE_2!F$1678/100</f>
        <v>4.3789999999999996</v>
      </c>
      <c r="G1678" s="142">
        <f>B1678*IBGE_2!G$1678/100</f>
        <v>4.6760000000000002</v>
      </c>
      <c r="H1678" s="142">
        <f>B1678*IBGE_2!H$1678/100</f>
        <v>0.39800000000000002</v>
      </c>
      <c r="I1678" s="142">
        <f>B1678*IBGE_2!I$1678/100</f>
        <v>0.29699999999999999</v>
      </c>
      <c r="J1678" s="142">
        <f>B1678*IBGE_2!J$1678/100</f>
        <v>5.2999999999999999E-2</v>
      </c>
      <c r="K1678" s="142">
        <f>B1678*IBGE_2!K$1678/100</f>
        <v>86</v>
      </c>
      <c r="L1678" s="142" t="s">
        <v>3047</v>
      </c>
      <c r="M1678" s="142" t="s">
        <v>3047</v>
      </c>
      <c r="N1678" s="142">
        <f>B1678*IBGE_2!N$1678/100</f>
        <v>13</v>
      </c>
      <c r="O1678" s="142">
        <f>B1678*IBGE_2!O$1678/100</f>
        <v>21</v>
      </c>
      <c r="P1678" s="142">
        <f>B1678*IBGE_2!P$1678/100</f>
        <v>0.01</v>
      </c>
      <c r="Q1678" s="142">
        <f>B1678*IBGE_2!Q$1678/100</f>
        <v>193</v>
      </c>
      <c r="R1678" s="142">
        <f>B1678*IBGE_2!R$1678/100</f>
        <v>2.89</v>
      </c>
      <c r="S1678" s="142">
        <f>B1678*IBGE_2!S$1678/100</f>
        <v>61</v>
      </c>
      <c r="T1678" s="142">
        <f>B1678*IBGE_2!T$1678/100</f>
        <v>300</v>
      </c>
      <c r="U1678" s="142">
        <f>B1678*IBGE_2!U$1678/100</f>
        <v>7.8E-2</v>
      </c>
      <c r="V1678" s="142">
        <f>B1678*IBGE_2!V$1678/100</f>
        <v>6.65</v>
      </c>
      <c r="W1678" s="142" t="s">
        <v>3047</v>
      </c>
      <c r="X1678" s="142">
        <f>B1678*IBGE_2!X$1678/100</f>
        <v>3.6999999999999998E-2</v>
      </c>
      <c r="Y1678" s="142">
        <f>B1678*IBGE_2!Y$1678/100</f>
        <v>0.17199999999999999</v>
      </c>
      <c r="Z1678" s="142">
        <f>B1678*IBGE_2!Z$1678/100</f>
        <v>0.34799999999999998</v>
      </c>
      <c r="AA1678" s="142">
        <f>B1678*IBGE_2!AA$1678/100</f>
        <v>5.2279999999999998</v>
      </c>
      <c r="AB1678" s="142" t="s">
        <v>3047</v>
      </c>
      <c r="AC1678" s="142">
        <f>B1678*IBGE_2!AC$1678/100</f>
        <v>7.6950000000000003</v>
      </c>
      <c r="AD1678" s="142">
        <f>B1678*IBGE_2!AD$1678/100</f>
        <v>2.5</v>
      </c>
      <c r="AE1678" s="142">
        <f>B1678*IBGE_2!AE$1678/100</f>
        <v>6</v>
      </c>
      <c r="AF1678" s="142">
        <f>B1678*IBGE_2!AF$1678/100</f>
        <v>0.45</v>
      </c>
      <c r="AG1678" s="142">
        <f>B1678*IBGE_2!AG$1678/100</f>
        <v>0.41</v>
      </c>
      <c r="AH1678" s="142">
        <f>B1678*IBGE_2!AH$1678/100</f>
        <v>0.69199999999999984</v>
      </c>
      <c r="AI1678" s="142">
        <f>B1678*IBGE_2!AI$1678/100</f>
        <v>499</v>
      </c>
      <c r="AJ1678" s="142">
        <f>B1678*IBGE_2!AJ$1678/100</f>
        <v>21.6</v>
      </c>
      <c r="AK1678" s="145" t="s">
        <v>3047</v>
      </c>
      <c r="AL1678" s="145" t="s">
        <v>3047</v>
      </c>
      <c r="AM1678" s="145" t="s">
        <v>3047</v>
      </c>
      <c r="AN1678" s="161"/>
    </row>
    <row r="1679" spans="1:40">
      <c r="A1679" s="143" t="s">
        <v>2739</v>
      </c>
      <c r="B1679" s="141">
        <v>100</v>
      </c>
      <c r="C1679" s="142">
        <f>B1679*IBGE_2!C$1679/100</f>
        <v>214</v>
      </c>
      <c r="D1679" s="142">
        <f>B1679*IBGE_2!D$1679/100</f>
        <v>26.62</v>
      </c>
      <c r="E1679" s="142">
        <f>B1679*IBGE_2!E$1679/100</f>
        <v>11.1</v>
      </c>
      <c r="F1679" s="142">
        <f>B1679*IBGE_2!F$1679/100</f>
        <v>4.3789999999999996</v>
      </c>
      <c r="G1679" s="142">
        <f>B1679*IBGE_2!G$1679/100</f>
        <v>4.6760000000000002</v>
      </c>
      <c r="H1679" s="142">
        <f>B1679*IBGE_2!H$1679/100</f>
        <v>0.39800000000000002</v>
      </c>
      <c r="I1679" s="142">
        <f>B1679*IBGE_2!I$1679/100</f>
        <v>0.29699999999999999</v>
      </c>
      <c r="J1679" s="142">
        <f>B1679*IBGE_2!J$1679/100</f>
        <v>5.2999999999999999E-2</v>
      </c>
      <c r="K1679" s="142">
        <f>B1679*IBGE_2!K$1679/100</f>
        <v>86</v>
      </c>
      <c r="L1679" s="142" t="s">
        <v>3047</v>
      </c>
      <c r="M1679" s="142" t="s">
        <v>3047</v>
      </c>
      <c r="N1679" s="142">
        <f>B1679*IBGE_2!N$1679/100</f>
        <v>13</v>
      </c>
      <c r="O1679" s="142">
        <f>B1679*IBGE_2!O$1679/100</f>
        <v>21</v>
      </c>
      <c r="P1679" s="142">
        <f>B1679*IBGE_2!P$1679/100</f>
        <v>0.01</v>
      </c>
      <c r="Q1679" s="142">
        <f>B1679*IBGE_2!Q$1679/100</f>
        <v>193</v>
      </c>
      <c r="R1679" s="142">
        <f>B1679*IBGE_2!R$1679/100</f>
        <v>2.89</v>
      </c>
      <c r="S1679" s="142">
        <f>B1679*IBGE_2!S$1679/100</f>
        <v>61</v>
      </c>
      <c r="T1679" s="142">
        <f>B1679*IBGE_2!T$1679/100</f>
        <v>300</v>
      </c>
      <c r="U1679" s="142">
        <f>B1679*IBGE_2!U$1679/100</f>
        <v>7.8E-2</v>
      </c>
      <c r="V1679" s="142">
        <f>B1679*IBGE_2!V$1679/100</f>
        <v>6.65</v>
      </c>
      <c r="W1679" s="142" t="s">
        <v>3047</v>
      </c>
      <c r="X1679" s="142">
        <f>B1679*IBGE_2!X$1679/100</f>
        <v>3.6999999999999998E-2</v>
      </c>
      <c r="Y1679" s="142">
        <f>B1679*IBGE_2!Y$1679/100</f>
        <v>0.17199999999999999</v>
      </c>
      <c r="Z1679" s="142">
        <f>B1679*IBGE_2!Z$1679/100</f>
        <v>0.34799999999999998</v>
      </c>
      <c r="AA1679" s="142">
        <f>B1679*IBGE_2!AA$1679/100</f>
        <v>5.2279999999999998</v>
      </c>
      <c r="AB1679" s="142" t="s">
        <v>3047</v>
      </c>
      <c r="AC1679" s="142">
        <f>B1679*IBGE_2!AC$1679/100</f>
        <v>7.6950000000000003</v>
      </c>
      <c r="AD1679" s="142">
        <f>B1679*IBGE_2!AD$1679/100</f>
        <v>2.5</v>
      </c>
      <c r="AE1679" s="142">
        <f>B1679*IBGE_2!AE$1679/100</f>
        <v>6</v>
      </c>
      <c r="AF1679" s="142">
        <f>B1679*IBGE_2!AF$1679/100</f>
        <v>0.45</v>
      </c>
      <c r="AG1679" s="142">
        <f>B1679*IBGE_2!AG$1679/100</f>
        <v>0.41</v>
      </c>
      <c r="AH1679" s="142">
        <f>B1679*IBGE_2!AH$1679/100</f>
        <v>0.69199999999999984</v>
      </c>
      <c r="AI1679" s="142">
        <f>B1679*IBGE_2!AI$1679/100</f>
        <v>499</v>
      </c>
      <c r="AJ1679" s="142">
        <f>B1679*IBGE_2!AJ$1679/100</f>
        <v>21.6</v>
      </c>
      <c r="AK1679" s="145" t="s">
        <v>3047</v>
      </c>
      <c r="AL1679" s="145" t="s">
        <v>3047</v>
      </c>
      <c r="AM1679" s="145" t="s">
        <v>3047</v>
      </c>
      <c r="AN1679" s="161"/>
    </row>
    <row r="1680" spans="1:40">
      <c r="A1680" s="143" t="s">
        <v>2740</v>
      </c>
      <c r="B1680" s="141">
        <v>100</v>
      </c>
      <c r="C1680" s="142">
        <f>B1680*IBGE_2!C$1680/100</f>
        <v>214</v>
      </c>
      <c r="D1680" s="142">
        <f>B1680*IBGE_2!D$1680/100</f>
        <v>26.62</v>
      </c>
      <c r="E1680" s="142">
        <f>B1680*IBGE_2!E$1680/100</f>
        <v>11.1</v>
      </c>
      <c r="F1680" s="142">
        <f>B1680*IBGE_2!F$1680/100</f>
        <v>4.3789999999999996</v>
      </c>
      <c r="G1680" s="142">
        <f>B1680*IBGE_2!G$1680/100</f>
        <v>4.6760000000000002</v>
      </c>
      <c r="H1680" s="142">
        <f>B1680*IBGE_2!H$1680/100</f>
        <v>0.39800000000000002</v>
      </c>
      <c r="I1680" s="142">
        <f>B1680*IBGE_2!I$1680/100</f>
        <v>0.29699999999999999</v>
      </c>
      <c r="J1680" s="142">
        <f>B1680*IBGE_2!J$1680/100</f>
        <v>5.2999999999999999E-2</v>
      </c>
      <c r="K1680" s="142">
        <f>B1680*IBGE_2!K$1680/100</f>
        <v>86</v>
      </c>
      <c r="L1680" s="142" t="s">
        <v>3047</v>
      </c>
      <c r="M1680" s="142" t="s">
        <v>3047</v>
      </c>
      <c r="N1680" s="142">
        <f>B1680*IBGE_2!N$1680/100</f>
        <v>13</v>
      </c>
      <c r="O1680" s="142">
        <f>B1680*IBGE_2!O$1680/100</f>
        <v>21</v>
      </c>
      <c r="P1680" s="142">
        <f>B1680*IBGE_2!P$1680/100</f>
        <v>0.01</v>
      </c>
      <c r="Q1680" s="142">
        <f>B1680*IBGE_2!Q$1680/100</f>
        <v>193</v>
      </c>
      <c r="R1680" s="142">
        <f>B1680*IBGE_2!R$1680/100</f>
        <v>2.89</v>
      </c>
      <c r="S1680" s="142">
        <f>B1680*IBGE_2!S$1680/100</f>
        <v>61</v>
      </c>
      <c r="T1680" s="142">
        <f>B1680*IBGE_2!T$1680/100</f>
        <v>300</v>
      </c>
      <c r="U1680" s="142">
        <f>B1680*IBGE_2!U$1680/100</f>
        <v>7.8E-2</v>
      </c>
      <c r="V1680" s="142">
        <f>B1680*IBGE_2!V$1680/100</f>
        <v>6.65</v>
      </c>
      <c r="W1680" s="142" t="s">
        <v>3047</v>
      </c>
      <c r="X1680" s="142">
        <f>B1680*IBGE_2!X$1680/100</f>
        <v>3.6999999999999998E-2</v>
      </c>
      <c r="Y1680" s="142">
        <f>B1680*IBGE_2!Y$1680/100</f>
        <v>0.17199999999999999</v>
      </c>
      <c r="Z1680" s="142">
        <f>B1680*IBGE_2!Z$1680/100</f>
        <v>0.34799999999999998</v>
      </c>
      <c r="AA1680" s="142">
        <f>B1680*IBGE_2!AA$1680/100</f>
        <v>5.2279999999999998</v>
      </c>
      <c r="AB1680" s="142" t="s">
        <v>3047</v>
      </c>
      <c r="AC1680" s="142">
        <f>B1680*IBGE_2!AC$1680/100</f>
        <v>7.6950000000000003</v>
      </c>
      <c r="AD1680" s="142">
        <f>B1680*IBGE_2!AD$1680/100</f>
        <v>2.5</v>
      </c>
      <c r="AE1680" s="142">
        <f>B1680*IBGE_2!AE$1680/100</f>
        <v>6</v>
      </c>
      <c r="AF1680" s="142">
        <f>B1680*IBGE_2!AF$1680/100</f>
        <v>0.45</v>
      </c>
      <c r="AG1680" s="142">
        <f>B1680*IBGE_2!AG$1680/100</f>
        <v>0.41</v>
      </c>
      <c r="AH1680" s="142">
        <f>B1680*IBGE_2!AH$1680/100</f>
        <v>0.69199999999999984</v>
      </c>
      <c r="AI1680" s="142">
        <f>B1680*IBGE_2!AI$1680/100</f>
        <v>499</v>
      </c>
      <c r="AJ1680" s="142">
        <f>B1680*IBGE_2!AJ$1680/100</f>
        <v>21.6</v>
      </c>
      <c r="AK1680" s="145" t="s">
        <v>3047</v>
      </c>
      <c r="AL1680" s="145" t="s">
        <v>3047</v>
      </c>
      <c r="AM1680" s="145" t="s">
        <v>3047</v>
      </c>
      <c r="AN1680" s="161"/>
    </row>
    <row r="1681" spans="1:40">
      <c r="A1681" s="143" t="s">
        <v>2741</v>
      </c>
      <c r="B1681" s="141">
        <v>100</v>
      </c>
      <c r="C1681" s="142">
        <f>B1681*IBGE_2!C$1681/100</f>
        <v>236.65899999999999</v>
      </c>
      <c r="D1681" s="142">
        <f>B1681*IBGE_2!D$1681/100</f>
        <v>26.62</v>
      </c>
      <c r="E1681" s="142">
        <f>B1681*IBGE_2!E$1681/100</f>
        <v>13.663</v>
      </c>
      <c r="F1681" s="142">
        <f>B1681*IBGE_2!F$1681/100</f>
        <v>4.78</v>
      </c>
      <c r="G1681" s="142">
        <f>B1681*IBGE_2!G$1681/100</f>
        <v>5.26</v>
      </c>
      <c r="H1681" s="142">
        <f>B1681*IBGE_2!H$1681/100</f>
        <v>1.8779999999999999</v>
      </c>
      <c r="I1681" s="142">
        <f>B1681*IBGE_2!I$1681/100</f>
        <v>1.6030000000000002</v>
      </c>
      <c r="J1681" s="142">
        <f>B1681*IBGE_2!J$1681/100</f>
        <v>0.22699999999999998</v>
      </c>
      <c r="K1681" s="142">
        <f>B1681*IBGE_2!K$1681/100</f>
        <v>86</v>
      </c>
      <c r="L1681" s="142" t="s">
        <v>3047</v>
      </c>
      <c r="M1681" s="142" t="s">
        <v>3047</v>
      </c>
      <c r="N1681" s="142">
        <f>B1681*IBGE_2!N$1681/100</f>
        <v>13</v>
      </c>
      <c r="O1681" s="142">
        <f>B1681*IBGE_2!O$1681/100</f>
        <v>21</v>
      </c>
      <c r="P1681" s="142">
        <f>B1681*IBGE_2!P$1681/100</f>
        <v>0.01</v>
      </c>
      <c r="Q1681" s="142">
        <f>B1681*IBGE_2!Q$1681/100</f>
        <v>193</v>
      </c>
      <c r="R1681" s="142">
        <f>B1681*IBGE_2!R$1681/100</f>
        <v>2.891</v>
      </c>
      <c r="S1681" s="142">
        <f>B1681*IBGE_2!S$1681/100</f>
        <v>61</v>
      </c>
      <c r="T1681" s="142">
        <f>B1681*IBGE_2!T$1681/100</f>
        <v>300</v>
      </c>
      <c r="U1681" s="142">
        <f>B1681*IBGE_2!U$1681/100</f>
        <v>7.8E-2</v>
      </c>
      <c r="V1681" s="142">
        <f>B1681*IBGE_2!V$1681/100</f>
        <v>6.65</v>
      </c>
      <c r="W1681" s="142" t="s">
        <v>3047</v>
      </c>
      <c r="X1681" s="142">
        <f>B1681*IBGE_2!X$1681/100</f>
        <v>3.6999999999999998E-2</v>
      </c>
      <c r="Y1681" s="142">
        <f>B1681*IBGE_2!Y$1681/100</f>
        <v>0.17199999999999999</v>
      </c>
      <c r="Z1681" s="142">
        <f>B1681*IBGE_2!Z$1681/100</f>
        <v>0.34799999999999998</v>
      </c>
      <c r="AA1681" s="142">
        <f>B1681*IBGE_2!AA$1681/100</f>
        <v>5.2279999999999998</v>
      </c>
      <c r="AB1681" s="142" t="s">
        <v>3047</v>
      </c>
      <c r="AC1681" s="142">
        <f>B1681*IBGE_2!AC$1681/100</f>
        <v>7.6950000000000003</v>
      </c>
      <c r="AD1681" s="142">
        <f>B1681*IBGE_2!AD$1681/100</f>
        <v>2.5</v>
      </c>
      <c r="AE1681" s="142">
        <f>B1681*IBGE_2!AE$1681/100</f>
        <v>6</v>
      </c>
      <c r="AF1681" s="142">
        <f>B1681*IBGE_2!AF$1681/100</f>
        <v>0.45</v>
      </c>
      <c r="AG1681" s="142">
        <f>B1681*IBGE_2!AG$1681/100</f>
        <v>0.62</v>
      </c>
      <c r="AH1681" s="142">
        <f>B1681*IBGE_2!AH$1681/100</f>
        <v>0.70599999999999996</v>
      </c>
      <c r="AI1681" s="142">
        <f>B1681*IBGE_2!AI$1681/100</f>
        <v>499</v>
      </c>
      <c r="AJ1681" s="142">
        <f>B1681*IBGE_2!AJ$1681/100</f>
        <v>22.774999999999999</v>
      </c>
      <c r="AK1681" s="145" t="s">
        <v>3047</v>
      </c>
      <c r="AL1681" s="145" t="s">
        <v>3047</v>
      </c>
      <c r="AM1681" s="145" t="s">
        <v>3047</v>
      </c>
      <c r="AN1681" s="161"/>
    </row>
    <row r="1682" spans="1:40">
      <c r="A1682" s="143" t="s">
        <v>2742</v>
      </c>
      <c r="B1682" s="141">
        <v>100</v>
      </c>
      <c r="C1682" s="142">
        <f>B1682*IBGE_2!C$1682/100</f>
        <v>214</v>
      </c>
      <c r="D1682" s="142">
        <f>B1682*IBGE_2!D$1682/100</f>
        <v>26.62</v>
      </c>
      <c r="E1682" s="142">
        <f>B1682*IBGE_2!E$1682/100</f>
        <v>11.1</v>
      </c>
      <c r="F1682" s="142">
        <f>B1682*IBGE_2!F$1682/100</f>
        <v>4.3789999999999996</v>
      </c>
      <c r="G1682" s="142">
        <f>B1682*IBGE_2!G$1682/100</f>
        <v>4.6760000000000002</v>
      </c>
      <c r="H1682" s="142">
        <f>B1682*IBGE_2!H$1682/100</f>
        <v>0.39800000000000002</v>
      </c>
      <c r="I1682" s="142">
        <f>B1682*IBGE_2!I$1682/100</f>
        <v>0.29699999999999999</v>
      </c>
      <c r="J1682" s="142">
        <f>B1682*IBGE_2!J$1682/100</f>
        <v>5.2999999999999999E-2</v>
      </c>
      <c r="K1682" s="142">
        <f>B1682*IBGE_2!K$1682/100</f>
        <v>86</v>
      </c>
      <c r="L1682" s="142" t="s">
        <v>3047</v>
      </c>
      <c r="M1682" s="142" t="s">
        <v>3047</v>
      </c>
      <c r="N1682" s="142">
        <f>B1682*IBGE_2!N$1682/100</f>
        <v>13</v>
      </c>
      <c r="O1682" s="142">
        <f>B1682*IBGE_2!O$1682/100</f>
        <v>21</v>
      </c>
      <c r="P1682" s="142">
        <f>B1682*IBGE_2!P$1682/100</f>
        <v>0.01</v>
      </c>
      <c r="Q1682" s="142">
        <f>B1682*IBGE_2!Q$1682/100</f>
        <v>193</v>
      </c>
      <c r="R1682" s="142">
        <f>B1682*IBGE_2!R$1682/100</f>
        <v>2.89</v>
      </c>
      <c r="S1682" s="142">
        <f>B1682*IBGE_2!S$1682/100</f>
        <v>61</v>
      </c>
      <c r="T1682" s="142">
        <f>B1682*IBGE_2!T$1682/100</f>
        <v>300</v>
      </c>
      <c r="U1682" s="142">
        <f>B1682*IBGE_2!U$1682/100</f>
        <v>7.8E-2</v>
      </c>
      <c r="V1682" s="142">
        <f>B1682*IBGE_2!V$1682/100</f>
        <v>6.65</v>
      </c>
      <c r="W1682" s="142" t="s">
        <v>3047</v>
      </c>
      <c r="X1682" s="142">
        <f>B1682*IBGE_2!X$1682/100</f>
        <v>3.6999999999999998E-2</v>
      </c>
      <c r="Y1682" s="142">
        <f>B1682*IBGE_2!Y$1682/100</f>
        <v>0.17199999999999999</v>
      </c>
      <c r="Z1682" s="142">
        <f>B1682*IBGE_2!Z$1682/100</f>
        <v>0.34799999999999998</v>
      </c>
      <c r="AA1682" s="142">
        <f>B1682*IBGE_2!AA$1682/100</f>
        <v>5.2279999999999998</v>
      </c>
      <c r="AB1682" s="142" t="s">
        <v>3047</v>
      </c>
      <c r="AC1682" s="142">
        <f>B1682*IBGE_2!AC$1682/100</f>
        <v>7.6950000000000003</v>
      </c>
      <c r="AD1682" s="142">
        <f>B1682*IBGE_2!AD$1682/100</f>
        <v>2.5</v>
      </c>
      <c r="AE1682" s="142">
        <f>B1682*IBGE_2!AE$1682/100</f>
        <v>6</v>
      </c>
      <c r="AF1682" s="142">
        <f>B1682*IBGE_2!AF$1682/100</f>
        <v>0.45</v>
      </c>
      <c r="AG1682" s="142">
        <f>B1682*IBGE_2!AG$1682/100</f>
        <v>0.41</v>
      </c>
      <c r="AH1682" s="142">
        <f>B1682*IBGE_2!AH$1682/100</f>
        <v>0.69199999999999984</v>
      </c>
      <c r="AI1682" s="142">
        <f>B1682*IBGE_2!AI$1682/100</f>
        <v>499</v>
      </c>
      <c r="AJ1682" s="142">
        <f>B1682*IBGE_2!AJ$1682/100</f>
        <v>21.6</v>
      </c>
      <c r="AK1682" s="145" t="s">
        <v>3047</v>
      </c>
      <c r="AL1682" s="145" t="s">
        <v>3047</v>
      </c>
      <c r="AM1682" s="145" t="s">
        <v>3047</v>
      </c>
      <c r="AN1682" s="161"/>
    </row>
    <row r="1683" spans="1:40">
      <c r="A1683" s="143" t="s">
        <v>2743</v>
      </c>
      <c r="B1683" s="141">
        <v>100</v>
      </c>
      <c r="C1683" s="142">
        <f>B1683*IBGE_2!C$1683/100</f>
        <v>178</v>
      </c>
      <c r="D1683" s="142">
        <f>B1683*IBGE_2!D$1683/100</f>
        <v>22.62</v>
      </c>
      <c r="E1683" s="142">
        <f>B1683*IBGE_2!E$1683/100</f>
        <v>9.02</v>
      </c>
      <c r="F1683" s="142">
        <f>B1683*IBGE_2!F$1683/100</f>
        <v>3.12</v>
      </c>
      <c r="G1683" s="142">
        <f>B1683*IBGE_2!G$1683/100</f>
        <v>4.4400000000000004</v>
      </c>
      <c r="H1683" s="142">
        <f>B1683*IBGE_2!H$1683/100</f>
        <v>1.41</v>
      </c>
      <c r="I1683" s="142">
        <f>B1683*IBGE_2!I$1683/100</f>
        <v>1.17</v>
      </c>
      <c r="J1683" s="142">
        <f>B1683*IBGE_2!J$1683/100</f>
        <v>0.24</v>
      </c>
      <c r="K1683" s="142">
        <f>B1683*IBGE_2!K$1683/100</f>
        <v>59</v>
      </c>
      <c r="L1683" s="142" t="s">
        <v>3047</v>
      </c>
      <c r="M1683" s="142" t="s">
        <v>3047</v>
      </c>
      <c r="N1683" s="142">
        <f>B1683*IBGE_2!N$1683/100</f>
        <v>8</v>
      </c>
      <c r="O1683" s="142">
        <f>B1683*IBGE_2!O$1683/100</f>
        <v>22</v>
      </c>
      <c r="P1683" s="142">
        <f>B1683*IBGE_2!P$1683/100</f>
        <v>4.1000000000000009E-2</v>
      </c>
      <c r="Q1683" s="142">
        <f>B1683*IBGE_2!Q$1683/100</f>
        <v>281</v>
      </c>
      <c r="R1683" s="142">
        <f>B1683*IBGE_2!R$1683/100</f>
        <v>1.34</v>
      </c>
      <c r="S1683" s="142">
        <f>B1683*IBGE_2!S$1683/100</f>
        <v>1500</v>
      </c>
      <c r="T1683" s="142">
        <f>B1683*IBGE_2!T$1683/100</f>
        <v>409</v>
      </c>
      <c r="U1683" s="142">
        <f>B1683*IBGE_2!U$1683/100</f>
        <v>0.14499999999999999</v>
      </c>
      <c r="V1683" s="142">
        <f>B1683*IBGE_2!V$1683/100</f>
        <v>2.4700000000000002</v>
      </c>
      <c r="W1683" s="142" t="s">
        <v>3047</v>
      </c>
      <c r="X1683" s="142">
        <f>B1683*IBGE_2!X$1683/100</f>
        <v>0.73</v>
      </c>
      <c r="Y1683" s="142">
        <f>B1683*IBGE_2!Y$1683/100</f>
        <v>0.33</v>
      </c>
      <c r="Z1683" s="142">
        <f>B1683*IBGE_2!Z$1683/100</f>
        <v>0.31</v>
      </c>
      <c r="AA1683" s="142">
        <f>B1683*IBGE_2!AA$1683/100</f>
        <v>6.15</v>
      </c>
      <c r="AB1683" s="142" t="s">
        <v>3047</v>
      </c>
      <c r="AC1683" s="142">
        <f>B1683*IBGE_2!AC$1683/100</f>
        <v>10.117000000000001</v>
      </c>
      <c r="AD1683" s="142">
        <f>B1683*IBGE_2!AD$1683/100</f>
        <v>0.7</v>
      </c>
      <c r="AE1683" s="142">
        <f>B1683*IBGE_2!AE$1683/100</f>
        <v>3</v>
      </c>
      <c r="AF1683" s="142">
        <f>B1683*IBGE_2!AF$1683/100</f>
        <v>0.8</v>
      </c>
      <c r="AG1683" s="142">
        <f>B1683*IBGE_2!AG$1683/100</f>
        <v>0.31</v>
      </c>
      <c r="AH1683" s="142">
        <f>B1683*IBGE_2!AH$1683/100</f>
        <v>2.7000000000000003E-2</v>
      </c>
      <c r="AI1683" s="145" t="s">
        <v>3047</v>
      </c>
      <c r="AJ1683" s="142">
        <f>B1683*IBGE_2!AJ$1683/100</f>
        <v>19.8</v>
      </c>
      <c r="AK1683" s="145" t="s">
        <v>3047</v>
      </c>
      <c r="AL1683" s="145" t="s">
        <v>3047</v>
      </c>
      <c r="AM1683" s="145" t="s">
        <v>3047</v>
      </c>
      <c r="AN1683" s="161"/>
    </row>
    <row r="1684" spans="1:40">
      <c r="A1684" s="143" t="s">
        <v>2744</v>
      </c>
      <c r="B1684" s="141">
        <v>100</v>
      </c>
      <c r="C1684" s="142">
        <f>B1684*IBGE_2!C$1684/100</f>
        <v>544</v>
      </c>
      <c r="D1684" s="142">
        <f>B1684*IBGE_2!D$1684/100</f>
        <v>61.3</v>
      </c>
      <c r="E1684" s="142">
        <f>B1684*IBGE_2!E$1684/100</f>
        <v>31.3</v>
      </c>
      <c r="F1684" s="142">
        <f>B1684*IBGE_2!F$1684/100</f>
        <v>11.37</v>
      </c>
      <c r="G1684" s="142">
        <f>B1684*IBGE_2!G$1684/100</f>
        <v>14.78</v>
      </c>
      <c r="H1684" s="142">
        <f>B1684*IBGE_2!H$1684/100</f>
        <v>3.64</v>
      </c>
      <c r="I1684" s="142">
        <f>B1684*IBGE_2!I$1684/100</f>
        <v>3.35</v>
      </c>
      <c r="J1684" s="142">
        <f>B1684*IBGE_2!J$1684/100</f>
        <v>0.26</v>
      </c>
      <c r="K1684" s="142">
        <f>B1684*IBGE_2!K$1684/100</f>
        <v>95</v>
      </c>
      <c r="L1684" s="142" t="s">
        <v>3047</v>
      </c>
      <c r="M1684" s="142" t="s">
        <v>3047</v>
      </c>
      <c r="N1684" s="142">
        <f>B1684*IBGE_2!N$1684/100</f>
        <v>30</v>
      </c>
      <c r="O1684" s="142">
        <f>B1684*IBGE_2!O$1684/100</f>
        <v>11</v>
      </c>
      <c r="P1684" s="142">
        <f>B1684*IBGE_2!P$1684/100</f>
        <v>6.9000000000000006E-2</v>
      </c>
      <c r="Q1684" s="142">
        <f>B1684*IBGE_2!Q$1684/100</f>
        <v>85</v>
      </c>
      <c r="R1684" s="142">
        <f>B1684*IBGE_2!R$1684/100</f>
        <v>0.88</v>
      </c>
      <c r="S1684" s="142">
        <f>B1684*IBGE_2!S$1684/100</f>
        <v>1838</v>
      </c>
      <c r="T1684" s="142">
        <f>B1684*IBGE_2!T$1684/100</f>
        <v>127</v>
      </c>
      <c r="U1684" s="142">
        <f>B1684*IBGE_2!U$1684/100</f>
        <v>9.4E-2</v>
      </c>
      <c r="V1684" s="142">
        <f>B1684*IBGE_2!V$1684/100</f>
        <v>0.56000000000000005</v>
      </c>
      <c r="W1684" s="142">
        <f>B1684*IBGE_2!W$1684/100</f>
        <v>12</v>
      </c>
      <c r="X1684" s="142">
        <f>B1684*IBGE_2!X$1684/100</f>
        <v>9.9000000000000005E-2</v>
      </c>
      <c r="Y1684" s="142">
        <f>B1684*IBGE_2!Y$1684/100</f>
        <v>0.28299999999999997</v>
      </c>
      <c r="Z1684" s="142">
        <f>B1684*IBGE_2!Z$1684/100</f>
        <v>2.3E-2</v>
      </c>
      <c r="AA1684" s="142">
        <f>B1684*IBGE_2!AA$1684/100</f>
        <v>1.5490000000000002</v>
      </c>
      <c r="AB1684" s="142">
        <f>B1684*IBGE_2!AB$1684/100</f>
        <v>0.5</v>
      </c>
      <c r="AC1684" s="142">
        <f>B1684*IBGE_2!AC$1684/100</f>
        <v>3.516</v>
      </c>
      <c r="AD1684" s="142">
        <f>B1684*IBGE_2!AD$1684/100</f>
        <v>0.64</v>
      </c>
      <c r="AE1684" s="145" t="s">
        <v>3047</v>
      </c>
      <c r="AF1684" s="145" t="s">
        <v>3047</v>
      </c>
      <c r="AG1684" s="142">
        <f>B1684*IBGE_2!AG$1684/100</f>
        <v>0.53</v>
      </c>
      <c r="AH1684" s="142">
        <f>B1684*IBGE_2!AH$1684/100</f>
        <v>0.31</v>
      </c>
      <c r="AI1684" s="145" t="s">
        <v>3047</v>
      </c>
      <c r="AJ1684" s="142">
        <f>B1684*IBGE_2!AJ$1684/100</f>
        <v>41</v>
      </c>
      <c r="AK1684" s="142">
        <f>B1684*IBGE_2!AK$1684/100</f>
        <v>12</v>
      </c>
      <c r="AL1684" s="145" t="s">
        <v>3047</v>
      </c>
      <c r="AM1684" s="145" t="s">
        <v>3047</v>
      </c>
      <c r="AN1684" s="161"/>
    </row>
    <row r="1685" spans="1:40">
      <c r="A1685" s="143" t="s">
        <v>2745</v>
      </c>
      <c r="B1685" s="141">
        <v>100</v>
      </c>
      <c r="C1685" s="142">
        <f>B1685*IBGE_2!C$1685/100</f>
        <v>544</v>
      </c>
      <c r="D1685" s="142">
        <f>B1685*IBGE_2!D$1685/100</f>
        <v>61.3</v>
      </c>
      <c r="E1685" s="142">
        <f>B1685*IBGE_2!E$1685/100</f>
        <v>31.3</v>
      </c>
      <c r="F1685" s="142">
        <f>B1685*IBGE_2!F$1685/100</f>
        <v>11.37</v>
      </c>
      <c r="G1685" s="142">
        <f>B1685*IBGE_2!G$1685/100</f>
        <v>14.78</v>
      </c>
      <c r="H1685" s="142">
        <f>B1685*IBGE_2!H$1685/100</f>
        <v>3.64</v>
      </c>
      <c r="I1685" s="142">
        <f>B1685*IBGE_2!I$1685/100</f>
        <v>3.35</v>
      </c>
      <c r="J1685" s="142">
        <f>B1685*IBGE_2!J$1685/100</f>
        <v>0.26</v>
      </c>
      <c r="K1685" s="142">
        <f>B1685*IBGE_2!K$1685/100</f>
        <v>95</v>
      </c>
      <c r="L1685" s="142" t="s">
        <v>3047</v>
      </c>
      <c r="M1685" s="142" t="s">
        <v>3047</v>
      </c>
      <c r="N1685" s="142">
        <f>B1685*IBGE_2!N$1685/100</f>
        <v>30</v>
      </c>
      <c r="O1685" s="142">
        <f>B1685*IBGE_2!O$1685/100</f>
        <v>11</v>
      </c>
      <c r="P1685" s="142">
        <f>B1685*IBGE_2!P$1685/100</f>
        <v>6.9000000000000006E-2</v>
      </c>
      <c r="Q1685" s="142">
        <f>B1685*IBGE_2!Q$1685/100</f>
        <v>85</v>
      </c>
      <c r="R1685" s="142">
        <f>B1685*IBGE_2!R$1685/100</f>
        <v>0.88</v>
      </c>
      <c r="S1685" s="142">
        <f>B1685*IBGE_2!S$1685/100</f>
        <v>1838</v>
      </c>
      <c r="T1685" s="142">
        <f>B1685*IBGE_2!T$1685/100</f>
        <v>127</v>
      </c>
      <c r="U1685" s="142">
        <f>B1685*IBGE_2!U$1685/100</f>
        <v>9.4E-2</v>
      </c>
      <c r="V1685" s="142">
        <f>B1685*IBGE_2!V$1685/100</f>
        <v>0.56000000000000005</v>
      </c>
      <c r="W1685" s="142">
        <f>B1685*IBGE_2!W$1685/100</f>
        <v>12</v>
      </c>
      <c r="X1685" s="142">
        <f>B1685*IBGE_2!X$1685/100</f>
        <v>9.9000000000000005E-2</v>
      </c>
      <c r="Y1685" s="142">
        <f>B1685*IBGE_2!Y$1685/100</f>
        <v>0.28299999999999997</v>
      </c>
      <c r="Z1685" s="142">
        <f>B1685*IBGE_2!Z$1685/100</f>
        <v>2.3E-2</v>
      </c>
      <c r="AA1685" s="142">
        <f>B1685*IBGE_2!AA$1685/100</f>
        <v>1.5490000000000002</v>
      </c>
      <c r="AB1685" s="142">
        <f>B1685*IBGE_2!AB$1685/100</f>
        <v>0.5</v>
      </c>
      <c r="AC1685" s="142">
        <f>B1685*IBGE_2!AC$1685/100</f>
        <v>3.516</v>
      </c>
      <c r="AD1685" s="142">
        <f>B1685*IBGE_2!AD$1685/100</f>
        <v>0.64</v>
      </c>
      <c r="AE1685" s="145" t="s">
        <v>3047</v>
      </c>
      <c r="AF1685" s="145" t="s">
        <v>3047</v>
      </c>
      <c r="AG1685" s="142">
        <f>B1685*IBGE_2!AG$1685/100</f>
        <v>0.53</v>
      </c>
      <c r="AH1685" s="142">
        <f>B1685*IBGE_2!AH$1685/100</f>
        <v>0.31</v>
      </c>
      <c r="AI1685" s="145" t="s">
        <v>3047</v>
      </c>
      <c r="AJ1685" s="142">
        <f>B1685*IBGE_2!AJ$1685/100</f>
        <v>41</v>
      </c>
      <c r="AK1685" s="142">
        <f>B1685*IBGE_2!AK$1685/100</f>
        <v>12</v>
      </c>
      <c r="AL1685" s="145" t="s">
        <v>3047</v>
      </c>
      <c r="AM1685" s="145" t="s">
        <v>3047</v>
      </c>
      <c r="AN1685" s="161"/>
    </row>
    <row r="1686" spans="1:40">
      <c r="A1686" s="143" t="s">
        <v>2746</v>
      </c>
      <c r="B1686" s="141">
        <v>100</v>
      </c>
      <c r="C1686" s="142">
        <f>B1686*IBGE_2!C$1686/100</f>
        <v>326</v>
      </c>
      <c r="D1686" s="142">
        <f>B1686*IBGE_2!D$1686/100</f>
        <v>14.1</v>
      </c>
      <c r="E1686" s="142">
        <f>B1686*IBGE_2!E$1686/100</f>
        <v>28.5</v>
      </c>
      <c r="F1686" s="142">
        <f>B1686*IBGE_2!F$1686/100</f>
        <v>10.6</v>
      </c>
      <c r="G1686" s="142">
        <f>B1686*IBGE_2!G$1686/100</f>
        <v>13.34</v>
      </c>
      <c r="H1686" s="142">
        <f>B1686*IBGE_2!H$1686/100</f>
        <v>2.6</v>
      </c>
      <c r="I1686" s="142">
        <f>B1686*IBGE_2!I$1686/100</f>
        <v>2.4500000000000002</v>
      </c>
      <c r="J1686" s="142">
        <f>B1686*IBGE_2!J$1686/100</f>
        <v>0.14000000000000001</v>
      </c>
      <c r="K1686" s="142">
        <f>B1686*IBGE_2!K$1686/100</f>
        <v>158</v>
      </c>
      <c r="L1686" s="142">
        <f>B1686*IBGE_2!L$1686/100</f>
        <v>2.2000000000000002</v>
      </c>
      <c r="M1686" s="142" t="s">
        <v>3047</v>
      </c>
      <c r="N1686" s="142">
        <f>B1686*IBGE_2!N$1686/100</f>
        <v>26</v>
      </c>
      <c r="O1686" s="142">
        <f>B1686*IBGE_2!O$1686/100</f>
        <v>12</v>
      </c>
      <c r="P1686" s="142">
        <f>B1686*IBGE_2!P$1686/100</f>
        <v>0.155</v>
      </c>
      <c r="Q1686" s="142">
        <f>B1686*IBGE_2!Q$1686/100</f>
        <v>230</v>
      </c>
      <c r="R1686" s="142">
        <f>B1686*IBGE_2!R$1686/100</f>
        <v>6.4</v>
      </c>
      <c r="S1686" s="142">
        <f>B1686*IBGE_2!S$1686/100</f>
        <v>860</v>
      </c>
      <c r="T1686" s="142">
        <f>B1686*IBGE_2!T$1686/100</f>
        <v>170</v>
      </c>
      <c r="U1686" s="142">
        <f>B1686*IBGE_2!U$1686/100</f>
        <v>0.24</v>
      </c>
      <c r="V1686" s="142">
        <f>B1686*IBGE_2!V$1686/100</f>
        <v>2.2999999999999998</v>
      </c>
      <c r="W1686" s="142">
        <f>B1686*IBGE_2!W$1686/100</f>
        <v>8300</v>
      </c>
      <c r="X1686" s="142">
        <f>B1686*IBGE_2!X$1686/100</f>
        <v>0.27200000000000002</v>
      </c>
      <c r="Y1686" s="142">
        <f>B1686*IBGE_2!Y$1686/100</f>
        <v>1.03</v>
      </c>
      <c r="Z1686" s="142">
        <f>B1686*IBGE_2!Z$1686/100</f>
        <v>0.19</v>
      </c>
      <c r="AA1686" s="142">
        <f>B1686*IBGE_2!AA$1686/100</f>
        <v>4.3</v>
      </c>
      <c r="AB1686" s="142" t="s">
        <v>3047</v>
      </c>
      <c r="AC1686" s="142">
        <f>B1686*IBGE_2!AC$1686/100</f>
        <v>6.8170000000000002</v>
      </c>
      <c r="AD1686" s="142">
        <f>B1686*IBGE_2!AD$1686/100</f>
        <v>13.46</v>
      </c>
      <c r="AE1686" s="142">
        <f>B1686*IBGE_2!AE$1686/100</f>
        <v>30</v>
      </c>
      <c r="AF1686" s="142">
        <f>B1686*IBGE_2!AF$1686/100</f>
        <v>0.6</v>
      </c>
      <c r="AG1686" s="142">
        <f>B1686*IBGE_2!AG$1686/100</f>
        <v>0.40500000000000003</v>
      </c>
      <c r="AH1686" s="142">
        <f>B1686*IBGE_2!AH$1686/100</f>
        <v>2.36</v>
      </c>
      <c r="AI1686" s="145" t="s">
        <v>3047</v>
      </c>
      <c r="AJ1686" s="142">
        <f>B1686*IBGE_2!AJ$1686/100</f>
        <v>58</v>
      </c>
      <c r="AK1686" s="142">
        <f>B1686*IBGE_2!AK$1686/100</f>
        <v>8300</v>
      </c>
      <c r="AL1686" s="142">
        <f>B1686*IBGE_2!AL$1686/100</f>
        <v>0.51</v>
      </c>
      <c r="AM1686" s="142">
        <f>B1686*IBGE_2!AM$1686/100</f>
        <v>0.58899999999999997</v>
      </c>
      <c r="AN1686" s="161"/>
    </row>
    <row r="1687" spans="1:40">
      <c r="A1687" s="143" t="s">
        <v>2747</v>
      </c>
      <c r="B1687" s="141">
        <v>100</v>
      </c>
      <c r="C1687" s="142">
        <f>B1687*IBGE_2!C$1687/100</f>
        <v>195.65899999999999</v>
      </c>
      <c r="D1687" s="142">
        <f>B1687*IBGE_2!D$1687/100</f>
        <v>30.91</v>
      </c>
      <c r="E1687" s="142">
        <f>B1687*IBGE_2!E$1687/100</f>
        <v>7.0730000000000004</v>
      </c>
      <c r="F1687" s="142">
        <f>B1687*IBGE_2!F$1687/100</f>
        <v>1.671</v>
      </c>
      <c r="G1687" s="142">
        <f>B1687*IBGE_2!G$1687/100</f>
        <v>2.1240000000000001</v>
      </c>
      <c r="H1687" s="142">
        <f>B1687*IBGE_2!H$1687/100</f>
        <v>2.46</v>
      </c>
      <c r="I1687" s="142">
        <f>B1687*IBGE_2!I$1687/100</f>
        <v>2.0459999999999998</v>
      </c>
      <c r="J1687" s="142">
        <f>B1687*IBGE_2!J$1687/100</f>
        <v>0.214</v>
      </c>
      <c r="K1687" s="142">
        <f>B1687*IBGE_2!K$1687/100</f>
        <v>85</v>
      </c>
      <c r="L1687" s="142" t="s">
        <v>3047</v>
      </c>
      <c r="M1687" s="142" t="s">
        <v>3047</v>
      </c>
      <c r="N1687" s="142">
        <f>B1687*IBGE_2!N$1687/100</f>
        <v>15</v>
      </c>
      <c r="O1687" s="142">
        <f>B1687*IBGE_2!O$1687/100</f>
        <v>27</v>
      </c>
      <c r="P1687" s="142">
        <f>B1687*IBGE_2!P$1687/100</f>
        <v>1.7000000000000001E-2</v>
      </c>
      <c r="Q1687" s="142">
        <f>B1687*IBGE_2!Q$1687/100</f>
        <v>216</v>
      </c>
      <c r="R1687" s="142">
        <f>B1687*IBGE_2!R$1687/100</f>
        <v>1.0609999999999999</v>
      </c>
      <c r="S1687" s="142">
        <f>B1687*IBGE_2!S$1687/100</f>
        <v>77</v>
      </c>
      <c r="T1687" s="142">
        <f>B1687*IBGE_2!T$1687/100</f>
        <v>247</v>
      </c>
      <c r="U1687" s="142">
        <f>B1687*IBGE_2!U$1687/100</f>
        <v>0.05</v>
      </c>
      <c r="V1687" s="142">
        <f>B1687*IBGE_2!V$1687/100</f>
        <v>1.23</v>
      </c>
      <c r="W1687" s="142">
        <f>B1687*IBGE_2!W$1687/100</f>
        <v>9</v>
      </c>
      <c r="X1687" s="142">
        <f>B1687*IBGE_2!X$1687/100</f>
        <v>6.5000000000000002E-2</v>
      </c>
      <c r="Y1687" s="142">
        <f>B1687*IBGE_2!Y$1687/100</f>
        <v>0.11600000000000002</v>
      </c>
      <c r="Z1687" s="142">
        <f>B1687*IBGE_2!Z$1687/100</f>
        <v>0.6</v>
      </c>
      <c r="AA1687" s="142">
        <f>B1687*IBGE_2!AA$1687/100</f>
        <v>12.420999999999999</v>
      </c>
      <c r="AB1687" s="142" t="s">
        <v>3047</v>
      </c>
      <c r="AC1687" s="142">
        <f>B1687*IBGE_2!AC$1687/100</f>
        <v>18.437999999999999</v>
      </c>
      <c r="AD1687" s="142">
        <f>B1687*IBGE_2!AD$1687/100</f>
        <v>0.34</v>
      </c>
      <c r="AE1687" s="142">
        <f>B1687*IBGE_2!AE$1687/100</f>
        <v>4</v>
      </c>
      <c r="AF1687" s="142">
        <f>B1687*IBGE_2!AF$1687/100</f>
        <v>0.2</v>
      </c>
      <c r="AG1687" s="142">
        <f>B1687*IBGE_2!AG$1687/100</f>
        <v>0.48</v>
      </c>
      <c r="AH1687" s="142">
        <f>B1687*IBGE_2!AH$1687/100</f>
        <v>0.10400000000000001</v>
      </c>
      <c r="AI1687" s="142">
        <f>B1687*IBGE_2!AI$1687/100</f>
        <v>333</v>
      </c>
      <c r="AJ1687" s="142">
        <f>B1687*IBGE_2!AJ$1687/100</f>
        <v>25.574999999999999</v>
      </c>
      <c r="AK1687" s="142">
        <f>B1687*IBGE_2!AK$1687/100</f>
        <v>9</v>
      </c>
      <c r="AL1687" s="145" t="s">
        <v>3047</v>
      </c>
      <c r="AM1687" s="145" t="s">
        <v>3047</v>
      </c>
      <c r="AN1687" s="161"/>
    </row>
    <row r="1688" spans="1:40">
      <c r="A1688" s="143" t="s">
        <v>2748</v>
      </c>
      <c r="B1688" s="141">
        <v>100</v>
      </c>
      <c r="C1688" s="142">
        <f>B1688*IBGE_2!C$1688/100</f>
        <v>313</v>
      </c>
      <c r="D1688" s="142">
        <f>B1688*IBGE_2!D$1688/100</f>
        <v>26.9</v>
      </c>
      <c r="E1688" s="142">
        <f>B1688*IBGE_2!E$1688/100</f>
        <v>21.9</v>
      </c>
      <c r="F1688" s="142">
        <f>B1688*IBGE_2!F$1688/100</f>
        <v>10.5</v>
      </c>
      <c r="G1688" s="142">
        <f>B1688*IBGE_2!G$1688/100</f>
        <v>8.3000000000000007</v>
      </c>
      <c r="H1688" s="142">
        <f>B1688*IBGE_2!H$1688/100</f>
        <v>0.4</v>
      </c>
      <c r="I1688" s="142">
        <f>B1688*IBGE_2!I$1688/100</f>
        <v>0.24</v>
      </c>
      <c r="J1688" s="142">
        <f>B1688*IBGE_2!J$1688/100</f>
        <v>0.08</v>
      </c>
      <c r="K1688" s="142">
        <f>B1688*IBGE_2!K$1688/100</f>
        <v>100</v>
      </c>
      <c r="L1688" s="142" t="s">
        <v>3047</v>
      </c>
      <c r="M1688" s="142" t="s">
        <v>3047</v>
      </c>
      <c r="N1688" s="142">
        <f>B1688*IBGE_2!N$1688/100</f>
        <v>13</v>
      </c>
      <c r="O1688" s="142">
        <f>B1688*IBGE_2!O$1688/100</f>
        <v>12</v>
      </c>
      <c r="P1688" s="142">
        <f>B1688*IBGE_2!P$1688/100</f>
        <v>0.02</v>
      </c>
      <c r="Q1688" s="142">
        <f>B1688*IBGE_2!Q$1688/100</f>
        <v>82</v>
      </c>
      <c r="R1688" s="142">
        <f>B1688*IBGE_2!R$1688/100</f>
        <v>1.9</v>
      </c>
      <c r="S1688" s="142">
        <f>B1688*IBGE_2!S$1688/100</f>
        <v>1943</v>
      </c>
      <c r="T1688" s="142">
        <f>B1688*IBGE_2!T$1688/100</f>
        <v>86</v>
      </c>
      <c r="U1688" s="142">
        <f>B1688*IBGE_2!U$1688/100</f>
        <v>0.03</v>
      </c>
      <c r="V1688" s="142">
        <f>B1688*IBGE_2!V$1688/100</f>
        <v>7.7</v>
      </c>
      <c r="W1688" s="142" t="s">
        <v>3047</v>
      </c>
      <c r="X1688" s="142" t="s">
        <v>3047</v>
      </c>
      <c r="Y1688" s="142">
        <f>B1688*IBGE_2!Y$1688/100</f>
        <v>0.06</v>
      </c>
      <c r="Z1688" s="142" t="s">
        <v>3047</v>
      </c>
      <c r="AA1688" s="142" t="s">
        <v>3047</v>
      </c>
      <c r="AB1688" s="142" t="s">
        <v>3047</v>
      </c>
      <c r="AC1688" s="142" t="s">
        <v>3047</v>
      </c>
      <c r="AD1688" s="142" t="s">
        <v>3047</v>
      </c>
      <c r="AE1688" s="142" t="s">
        <v>3047</v>
      </c>
      <c r="AF1688" s="142" t="s">
        <v>3047</v>
      </c>
      <c r="AG1688" s="142" t="s">
        <v>3047</v>
      </c>
      <c r="AH1688" s="142">
        <f>B1688*IBGE_2!AH$1688/100</f>
        <v>0.93</v>
      </c>
      <c r="AI1688" s="145" t="s">
        <v>3047</v>
      </c>
      <c r="AJ1688" s="145" t="s">
        <v>3047</v>
      </c>
      <c r="AK1688" s="145" t="s">
        <v>3047</v>
      </c>
      <c r="AL1688" s="145" t="s">
        <v>3047</v>
      </c>
      <c r="AM1688" s="145" t="s">
        <v>3047</v>
      </c>
      <c r="AN1688" s="161"/>
    </row>
    <row r="1689" spans="1:40">
      <c r="A1689" s="143" t="s">
        <v>2749</v>
      </c>
      <c r="B1689" s="141">
        <v>100</v>
      </c>
      <c r="C1689" s="142">
        <f>B1689*IBGE_2!C$1689/100</f>
        <v>313</v>
      </c>
      <c r="D1689" s="142">
        <f>B1689*IBGE_2!D$1689/100</f>
        <v>26.9</v>
      </c>
      <c r="E1689" s="142">
        <f>B1689*IBGE_2!E$1689/100</f>
        <v>21.9</v>
      </c>
      <c r="F1689" s="142">
        <f>B1689*IBGE_2!F$1689/100</f>
        <v>10.5</v>
      </c>
      <c r="G1689" s="142">
        <f>B1689*IBGE_2!G$1689/100</f>
        <v>8.3000000000000007</v>
      </c>
      <c r="H1689" s="142">
        <f>B1689*IBGE_2!H$1689/100</f>
        <v>0.4</v>
      </c>
      <c r="I1689" s="142">
        <f>B1689*IBGE_2!I$1689/100</f>
        <v>0.24</v>
      </c>
      <c r="J1689" s="142">
        <f>B1689*IBGE_2!J$1689/100</f>
        <v>0.08</v>
      </c>
      <c r="K1689" s="142">
        <f>B1689*IBGE_2!K$1689/100</f>
        <v>100</v>
      </c>
      <c r="L1689" s="142" t="s">
        <v>3047</v>
      </c>
      <c r="M1689" s="142" t="s">
        <v>3047</v>
      </c>
      <c r="N1689" s="142">
        <f>B1689*IBGE_2!N$1689/100</f>
        <v>13</v>
      </c>
      <c r="O1689" s="142">
        <f>B1689*IBGE_2!O$1689/100</f>
        <v>12</v>
      </c>
      <c r="P1689" s="142">
        <f>B1689*IBGE_2!P$1689/100</f>
        <v>0.02</v>
      </c>
      <c r="Q1689" s="142">
        <f>B1689*IBGE_2!Q$1689/100</f>
        <v>82</v>
      </c>
      <c r="R1689" s="142">
        <f>B1689*IBGE_2!R$1689/100</f>
        <v>1.9</v>
      </c>
      <c r="S1689" s="142">
        <f>B1689*IBGE_2!S$1689/100</f>
        <v>1943</v>
      </c>
      <c r="T1689" s="142">
        <f>B1689*IBGE_2!T$1689/100</f>
        <v>86</v>
      </c>
      <c r="U1689" s="142">
        <f>B1689*IBGE_2!U$1689/100</f>
        <v>0.03</v>
      </c>
      <c r="V1689" s="142">
        <f>B1689*IBGE_2!V$1689/100</f>
        <v>7.7</v>
      </c>
      <c r="W1689" s="142" t="s">
        <v>3047</v>
      </c>
      <c r="X1689" s="142" t="s">
        <v>3047</v>
      </c>
      <c r="Y1689" s="142">
        <f>B1689*IBGE_2!Y$1689/100</f>
        <v>0.06</v>
      </c>
      <c r="Z1689" s="142" t="s">
        <v>3047</v>
      </c>
      <c r="AA1689" s="142" t="s">
        <v>3047</v>
      </c>
      <c r="AB1689" s="142" t="s">
        <v>3047</v>
      </c>
      <c r="AC1689" s="142" t="s">
        <v>3047</v>
      </c>
      <c r="AD1689" s="142" t="s">
        <v>3047</v>
      </c>
      <c r="AE1689" s="142" t="s">
        <v>3047</v>
      </c>
      <c r="AF1689" s="142" t="s">
        <v>3047</v>
      </c>
      <c r="AG1689" s="142" t="s">
        <v>3047</v>
      </c>
      <c r="AH1689" s="142">
        <f>B1689*IBGE_2!AH$1689/100</f>
        <v>0.93</v>
      </c>
      <c r="AI1689" s="145" t="s">
        <v>3047</v>
      </c>
      <c r="AJ1689" s="145" t="s">
        <v>3047</v>
      </c>
      <c r="AK1689" s="145" t="s">
        <v>3047</v>
      </c>
      <c r="AL1689" s="145" t="s">
        <v>3047</v>
      </c>
      <c r="AM1689" s="145" t="s">
        <v>3047</v>
      </c>
      <c r="AN1689" s="161"/>
    </row>
    <row r="1690" spans="1:40">
      <c r="A1690" s="143" t="s">
        <v>2750</v>
      </c>
      <c r="B1690" s="141">
        <v>100</v>
      </c>
      <c r="C1690" s="142">
        <f>B1690*IBGE_2!C$1690/100</f>
        <v>313</v>
      </c>
      <c r="D1690" s="142">
        <f>B1690*IBGE_2!D$1690/100</f>
        <v>26.9</v>
      </c>
      <c r="E1690" s="142">
        <f>B1690*IBGE_2!E$1690/100</f>
        <v>21.9</v>
      </c>
      <c r="F1690" s="142">
        <f>B1690*IBGE_2!F$1690/100</f>
        <v>10.5</v>
      </c>
      <c r="G1690" s="142">
        <f>B1690*IBGE_2!G$1690/100</f>
        <v>8.3000000000000007</v>
      </c>
      <c r="H1690" s="142">
        <f>B1690*IBGE_2!H$1690/100</f>
        <v>0.4</v>
      </c>
      <c r="I1690" s="142">
        <f>B1690*IBGE_2!I$1690/100</f>
        <v>0.24</v>
      </c>
      <c r="J1690" s="142">
        <f>B1690*IBGE_2!J$1690/100</f>
        <v>0.08</v>
      </c>
      <c r="K1690" s="142">
        <f>B1690*IBGE_2!K$1690/100</f>
        <v>100</v>
      </c>
      <c r="L1690" s="142" t="s">
        <v>3047</v>
      </c>
      <c r="M1690" s="142" t="s">
        <v>3047</v>
      </c>
      <c r="N1690" s="142">
        <f>B1690*IBGE_2!N$1690/100</f>
        <v>13</v>
      </c>
      <c r="O1690" s="142">
        <f>B1690*IBGE_2!O$1690/100</f>
        <v>12</v>
      </c>
      <c r="P1690" s="142">
        <f>B1690*IBGE_2!P$1690/100</f>
        <v>0.02</v>
      </c>
      <c r="Q1690" s="142">
        <f>B1690*IBGE_2!Q$1690/100</f>
        <v>82</v>
      </c>
      <c r="R1690" s="142">
        <f>B1690*IBGE_2!R$1690/100</f>
        <v>1.9</v>
      </c>
      <c r="S1690" s="142">
        <f>B1690*IBGE_2!S$1690/100</f>
        <v>1943</v>
      </c>
      <c r="T1690" s="142">
        <f>B1690*IBGE_2!T$1690/100</f>
        <v>86</v>
      </c>
      <c r="U1690" s="142">
        <f>B1690*IBGE_2!U$1690/100</f>
        <v>0.03</v>
      </c>
      <c r="V1690" s="142">
        <f>B1690*IBGE_2!V$1690/100</f>
        <v>7.7</v>
      </c>
      <c r="W1690" s="142" t="s">
        <v>3047</v>
      </c>
      <c r="X1690" s="142" t="s">
        <v>3047</v>
      </c>
      <c r="Y1690" s="142">
        <f>B1690*IBGE_2!Y$1690/100</f>
        <v>0.06</v>
      </c>
      <c r="Z1690" s="142" t="s">
        <v>3047</v>
      </c>
      <c r="AA1690" s="142" t="s">
        <v>3047</v>
      </c>
      <c r="AB1690" s="142" t="s">
        <v>3047</v>
      </c>
      <c r="AC1690" s="142" t="s">
        <v>3047</v>
      </c>
      <c r="AD1690" s="142" t="s">
        <v>3047</v>
      </c>
      <c r="AE1690" s="142" t="s">
        <v>3047</v>
      </c>
      <c r="AF1690" s="142" t="s">
        <v>3047</v>
      </c>
      <c r="AG1690" s="142" t="s">
        <v>3047</v>
      </c>
      <c r="AH1690" s="142">
        <f>B1690*IBGE_2!AH$1690/100</f>
        <v>0.93</v>
      </c>
      <c r="AI1690" s="145" t="s">
        <v>3047</v>
      </c>
      <c r="AJ1690" s="145" t="s">
        <v>3047</v>
      </c>
      <c r="AK1690" s="145" t="s">
        <v>3047</v>
      </c>
      <c r="AL1690" s="145" t="s">
        <v>3047</v>
      </c>
      <c r="AM1690" s="145" t="s">
        <v>3047</v>
      </c>
      <c r="AN1690" s="161"/>
    </row>
    <row r="1691" spans="1:40">
      <c r="A1691" s="143" t="s">
        <v>2751</v>
      </c>
      <c r="B1691" s="141">
        <v>100</v>
      </c>
      <c r="C1691" s="142">
        <f>B1691*IBGE_2!C$1691/100</f>
        <v>347.00403999999997</v>
      </c>
      <c r="D1691" s="142">
        <f>B1691*IBGE_2!D$1691/100</f>
        <v>25.285999999999998</v>
      </c>
      <c r="E1691" s="142">
        <f>B1691*IBGE_2!E$1691/100</f>
        <v>26.557019999999998</v>
      </c>
      <c r="F1691" s="142">
        <f>B1691*IBGE_2!F$1691/100</f>
        <v>10.80444</v>
      </c>
      <c r="G1691" s="142">
        <f>B1691*IBGE_2!G$1691/100</f>
        <v>9.1623800000000006</v>
      </c>
      <c r="H1691" s="142">
        <f>B1691*IBGE_2!H$1691/100</f>
        <v>3.8236599999999998</v>
      </c>
      <c r="I1691" s="142">
        <f>B1691*IBGE_2!I$1691/100</f>
        <v>3.26796</v>
      </c>
      <c r="J1691" s="142">
        <f>B1691*IBGE_2!J$1691/100</f>
        <v>0.48055999999999999</v>
      </c>
      <c r="K1691" s="142">
        <f>B1691*IBGE_2!K$1691/100</f>
        <v>94</v>
      </c>
      <c r="L1691" s="142" t="s">
        <v>3047</v>
      </c>
      <c r="M1691" s="142" t="s">
        <v>3047</v>
      </c>
      <c r="N1691" s="142">
        <f>B1691*IBGE_2!N$1691/100</f>
        <v>12.22</v>
      </c>
      <c r="O1691" s="142">
        <f>B1691*IBGE_2!O$1691/100</f>
        <v>11.28</v>
      </c>
      <c r="P1691" s="142">
        <f>B1691*IBGE_2!P$1691/100</f>
        <v>1.8800000000000001E-2</v>
      </c>
      <c r="Q1691" s="142">
        <f>B1691*IBGE_2!Q$1691/100</f>
        <v>77.08</v>
      </c>
      <c r="R1691" s="142">
        <f>B1691*IBGE_2!R$1691/100</f>
        <v>1.7889999999999997</v>
      </c>
      <c r="S1691" s="142">
        <f>B1691*IBGE_2!S$1691/100</f>
        <v>1826.42</v>
      </c>
      <c r="T1691" s="142">
        <f>B1691*IBGE_2!T$1691/100</f>
        <v>80.84</v>
      </c>
      <c r="U1691" s="142">
        <f>B1691*IBGE_2!U$1691/100</f>
        <v>2.8199999999999992E-2</v>
      </c>
      <c r="V1691" s="142">
        <f>B1691*IBGE_2!V$1691/100</f>
        <v>7.2385999999999999</v>
      </c>
      <c r="W1691" s="142" t="s">
        <v>3047</v>
      </c>
      <c r="X1691" s="142" t="s">
        <v>3047</v>
      </c>
      <c r="Y1691" s="142">
        <f>B1691*IBGE_2!Y$1691/100</f>
        <v>5.6399999999999985E-2</v>
      </c>
      <c r="Z1691" s="142" t="s">
        <v>3047</v>
      </c>
      <c r="AA1691" s="142" t="s">
        <v>3047</v>
      </c>
      <c r="AB1691" s="142" t="s">
        <v>3047</v>
      </c>
      <c r="AC1691" s="142" t="s">
        <v>3047</v>
      </c>
      <c r="AD1691" s="142" t="s">
        <v>3047</v>
      </c>
      <c r="AE1691" s="142" t="s">
        <v>3047</v>
      </c>
      <c r="AF1691" s="142" t="s">
        <v>3047</v>
      </c>
      <c r="AG1691" s="142">
        <f>B1691*IBGE_2!AG$1691/100</f>
        <v>0.48846000000000006</v>
      </c>
      <c r="AH1691" s="142">
        <f>B1691*IBGE_2!AH$1691/100</f>
        <v>3.1800000000000002E-2</v>
      </c>
      <c r="AI1691" s="145" t="s">
        <v>3047</v>
      </c>
      <c r="AJ1691" s="142">
        <f>B1691*IBGE_2!AJ$1691/100</f>
        <v>2.7365399999999998</v>
      </c>
      <c r="AK1691" s="145" t="s">
        <v>3047</v>
      </c>
      <c r="AL1691" s="145" t="s">
        <v>3047</v>
      </c>
      <c r="AM1691" s="145" t="s">
        <v>3047</v>
      </c>
      <c r="AN1691" s="161"/>
    </row>
    <row r="1692" spans="1:40">
      <c r="A1692" s="143" t="s">
        <v>2752</v>
      </c>
      <c r="B1692" s="141">
        <v>100</v>
      </c>
      <c r="C1692" s="142">
        <f>B1692*IBGE_2!C$1692/100</f>
        <v>347.00403999999997</v>
      </c>
      <c r="D1692" s="142">
        <f>B1692*IBGE_2!D$1692/100</f>
        <v>25.285999999999998</v>
      </c>
      <c r="E1692" s="142">
        <f>B1692*IBGE_2!E$1692/100</f>
        <v>26.557019999999998</v>
      </c>
      <c r="F1692" s="142">
        <f>B1692*IBGE_2!F$1692/100</f>
        <v>10.80444</v>
      </c>
      <c r="G1692" s="142">
        <f>B1692*IBGE_2!G$1692/100</f>
        <v>9.1623800000000006</v>
      </c>
      <c r="H1692" s="142">
        <f>B1692*IBGE_2!H$1692/100</f>
        <v>3.8236599999999998</v>
      </c>
      <c r="I1692" s="142">
        <f>B1692*IBGE_2!I$1692/100</f>
        <v>3.26796</v>
      </c>
      <c r="J1692" s="142">
        <f>B1692*IBGE_2!J$1692/100</f>
        <v>0.48055999999999999</v>
      </c>
      <c r="K1692" s="142">
        <f>B1692*IBGE_2!K$1692/100</f>
        <v>94</v>
      </c>
      <c r="L1692" s="142" t="s">
        <v>3047</v>
      </c>
      <c r="M1692" s="142" t="s">
        <v>3047</v>
      </c>
      <c r="N1692" s="142">
        <f>B1692*IBGE_2!N$1692/100</f>
        <v>12.22</v>
      </c>
      <c r="O1692" s="142">
        <f>B1692*IBGE_2!O$1692/100</f>
        <v>11.28</v>
      </c>
      <c r="P1692" s="142">
        <f>B1692*IBGE_2!P$1692/100</f>
        <v>1.8800000000000001E-2</v>
      </c>
      <c r="Q1692" s="142">
        <f>B1692*IBGE_2!Q$1692/100</f>
        <v>77.08</v>
      </c>
      <c r="R1692" s="142">
        <f>B1692*IBGE_2!R$1692/100</f>
        <v>1.7889999999999997</v>
      </c>
      <c r="S1692" s="142">
        <f>B1692*IBGE_2!S$1692/100</f>
        <v>1826.42</v>
      </c>
      <c r="T1692" s="142">
        <f>B1692*IBGE_2!T$1692/100</f>
        <v>80.84</v>
      </c>
      <c r="U1692" s="142">
        <f>B1692*IBGE_2!U$1692/100</f>
        <v>2.8199999999999992E-2</v>
      </c>
      <c r="V1692" s="142">
        <f>B1692*IBGE_2!V$1692/100</f>
        <v>7.2385999999999999</v>
      </c>
      <c r="W1692" s="142" t="s">
        <v>3047</v>
      </c>
      <c r="X1692" s="142" t="s">
        <v>3047</v>
      </c>
      <c r="Y1692" s="142">
        <f>B1692*IBGE_2!Y$1692/100</f>
        <v>5.6399999999999985E-2</v>
      </c>
      <c r="Z1692" s="142" t="s">
        <v>3047</v>
      </c>
      <c r="AA1692" s="142" t="s">
        <v>3047</v>
      </c>
      <c r="AB1692" s="142" t="s">
        <v>3047</v>
      </c>
      <c r="AC1692" s="142" t="s">
        <v>3047</v>
      </c>
      <c r="AD1692" s="142" t="s">
        <v>3047</v>
      </c>
      <c r="AE1692" s="142" t="s">
        <v>3047</v>
      </c>
      <c r="AF1692" s="142" t="s">
        <v>3047</v>
      </c>
      <c r="AG1692" s="142">
        <f>B1692*IBGE_2!AG$1692/100</f>
        <v>0.48846000000000006</v>
      </c>
      <c r="AH1692" s="142">
        <f>B1692*IBGE_2!AH$1692/100</f>
        <v>3.1800000000000002E-2</v>
      </c>
      <c r="AI1692" s="145" t="s">
        <v>3047</v>
      </c>
      <c r="AJ1692" s="142">
        <f>B1692*IBGE_2!AJ$1692/100</f>
        <v>2.7365399999999998</v>
      </c>
      <c r="AK1692" s="145" t="s">
        <v>3047</v>
      </c>
      <c r="AL1692" s="145" t="s">
        <v>3047</v>
      </c>
      <c r="AM1692" s="145" t="s">
        <v>3047</v>
      </c>
      <c r="AN1692" s="161"/>
    </row>
    <row r="1693" spans="1:40">
      <c r="A1693" s="143" t="s">
        <v>2753</v>
      </c>
      <c r="B1693" s="141">
        <v>100</v>
      </c>
      <c r="C1693" s="142">
        <f>B1693*IBGE_2!C$1693/100</f>
        <v>255.2</v>
      </c>
      <c r="D1693" s="142">
        <f>B1693*IBGE_2!D$1693/100</f>
        <v>21.784000000000002</v>
      </c>
      <c r="E1693" s="142">
        <f>B1693*IBGE_2!E$1693/100</f>
        <v>17.556000000000001</v>
      </c>
      <c r="F1693" s="142">
        <f>B1693*IBGE_2!F$1693/100</f>
        <v>8.4060000000000006</v>
      </c>
      <c r="G1693" s="142">
        <f>B1693*IBGE_2!G$1693/100</f>
        <v>6.6460000000000017</v>
      </c>
      <c r="H1693" s="142">
        <f>B1693*IBGE_2!H$1693/100</f>
        <v>0.33400000000000007</v>
      </c>
      <c r="I1693" s="142">
        <f>B1693*IBGE_2!I$1693/100</f>
        <v>0.20600000000000002</v>
      </c>
      <c r="J1693" s="142">
        <f>B1693*IBGE_2!J$1693/100</f>
        <v>6.4000000000000001E-2</v>
      </c>
      <c r="K1693" s="142">
        <f>B1693*IBGE_2!K$1693/100</f>
        <v>80</v>
      </c>
      <c r="L1693" s="142">
        <f>B1693*IBGE_2!L$1693/100</f>
        <v>1.0760000000000001</v>
      </c>
      <c r="M1693" s="142">
        <f>B1693*IBGE_2!M$1693/100</f>
        <v>0.3</v>
      </c>
      <c r="N1693" s="142">
        <f>B1693*IBGE_2!N$1693/100</f>
        <v>13</v>
      </c>
      <c r="O1693" s="142">
        <f>B1693*IBGE_2!O$1693/100</f>
        <v>12.8</v>
      </c>
      <c r="P1693" s="142">
        <f>B1693*IBGE_2!P$1693/100</f>
        <v>3.8000000000000006E-2</v>
      </c>
      <c r="Q1693" s="142">
        <f>B1693*IBGE_2!Q$1693/100</f>
        <v>70.8</v>
      </c>
      <c r="R1693" s="142">
        <f>B1693*IBGE_2!R$1693/100</f>
        <v>1.724</v>
      </c>
      <c r="S1693" s="142">
        <f>B1693*IBGE_2!S$1693/100</f>
        <v>1659.2</v>
      </c>
      <c r="T1693" s="142">
        <f>B1693*IBGE_2!T$1693/100</f>
        <v>135</v>
      </c>
      <c r="U1693" s="142">
        <f>B1693*IBGE_2!U$1693/100</f>
        <v>4.8000000000000001E-2</v>
      </c>
      <c r="V1693" s="142">
        <f>B1693*IBGE_2!V$1693/100</f>
        <v>6.2</v>
      </c>
      <c r="W1693" s="142" t="s">
        <v>3047</v>
      </c>
      <c r="X1693" s="142">
        <f>B1693*IBGE_2!X$1693/100</f>
        <v>4.0000000000000001E-3</v>
      </c>
      <c r="Y1693" s="142">
        <f>B1693*IBGE_2!Y$1693/100</f>
        <v>6.2E-2</v>
      </c>
      <c r="Z1693" s="142">
        <f>B1693*IBGE_2!Z$1693/100</f>
        <v>0.02</v>
      </c>
      <c r="AA1693" s="142">
        <f>B1693*IBGE_2!AA$1693/100</f>
        <v>0.19600000000000001</v>
      </c>
      <c r="AB1693" s="142">
        <f>B1693*IBGE_2!AB$1693/100</f>
        <v>1.4</v>
      </c>
      <c r="AC1693" s="142">
        <f>B1693*IBGE_2!AC$1693/100</f>
        <v>0.22799999999999998</v>
      </c>
      <c r="AD1693" s="142" t="s">
        <v>3047</v>
      </c>
      <c r="AE1693" s="142">
        <f>B1693*IBGE_2!AE$1693/100</f>
        <v>2.2000000000000002</v>
      </c>
      <c r="AF1693" s="142" t="s">
        <v>3047</v>
      </c>
      <c r="AG1693" s="142">
        <f>B1693*IBGE_2!AG$1693/100</f>
        <v>0.28399999999999997</v>
      </c>
      <c r="AH1693" s="142" t="s">
        <v>3047</v>
      </c>
      <c r="AI1693" s="145" t="s">
        <v>3047</v>
      </c>
      <c r="AJ1693" s="142">
        <f>B1693*IBGE_2!AJ$1693/100</f>
        <v>0.04</v>
      </c>
      <c r="AK1693" s="142">
        <f>B1693*IBGE_2!AK$1693/100</f>
        <v>3.4840000000000004</v>
      </c>
      <c r="AL1693" s="142">
        <f>B1693*IBGE_2!AL$1693/100</f>
        <v>0.85</v>
      </c>
      <c r="AM1693" s="145" t="s">
        <v>3047</v>
      </c>
      <c r="AN1693" s="161"/>
    </row>
    <row r="1694" spans="1:40">
      <c r="A1694" s="143" t="s">
        <v>2754</v>
      </c>
      <c r="B1694" s="141">
        <v>100</v>
      </c>
      <c r="C1694" s="142">
        <f>B1694*IBGE_2!C$1694/100</f>
        <v>313</v>
      </c>
      <c r="D1694" s="142">
        <f>B1694*IBGE_2!D$1694/100</f>
        <v>26.9</v>
      </c>
      <c r="E1694" s="142">
        <f>B1694*IBGE_2!E$1694/100</f>
        <v>21.9</v>
      </c>
      <c r="F1694" s="142">
        <f>B1694*IBGE_2!F$1694/100</f>
        <v>10.5</v>
      </c>
      <c r="G1694" s="142">
        <f>B1694*IBGE_2!G$1694/100</f>
        <v>8.3000000000000007</v>
      </c>
      <c r="H1694" s="142">
        <f>B1694*IBGE_2!H$1694/100</f>
        <v>0.4</v>
      </c>
      <c r="I1694" s="142">
        <f>B1694*IBGE_2!I$1694/100</f>
        <v>0.24</v>
      </c>
      <c r="J1694" s="142">
        <f>B1694*IBGE_2!J$1694/100</f>
        <v>0.08</v>
      </c>
      <c r="K1694" s="142">
        <f>B1694*IBGE_2!K$1694/100</f>
        <v>100</v>
      </c>
      <c r="L1694" s="142" t="s">
        <v>3047</v>
      </c>
      <c r="M1694" s="142" t="s">
        <v>3047</v>
      </c>
      <c r="N1694" s="142">
        <f>B1694*IBGE_2!N$1694/100</f>
        <v>13</v>
      </c>
      <c r="O1694" s="142">
        <f>B1694*IBGE_2!O$1694/100</f>
        <v>12</v>
      </c>
      <c r="P1694" s="142">
        <f>B1694*IBGE_2!P$1694/100</f>
        <v>0.02</v>
      </c>
      <c r="Q1694" s="142">
        <f>B1694*IBGE_2!Q$1694/100</f>
        <v>82</v>
      </c>
      <c r="R1694" s="142">
        <f>B1694*IBGE_2!R$1694/100</f>
        <v>1.9</v>
      </c>
      <c r="S1694" s="142">
        <f>B1694*IBGE_2!S$1694/100</f>
        <v>1943</v>
      </c>
      <c r="T1694" s="142">
        <f>B1694*IBGE_2!T$1694/100</f>
        <v>86</v>
      </c>
      <c r="U1694" s="142">
        <f>B1694*IBGE_2!U$1694/100</f>
        <v>0.03</v>
      </c>
      <c r="V1694" s="142">
        <f>B1694*IBGE_2!V$1694/100</f>
        <v>7.7</v>
      </c>
      <c r="W1694" s="142" t="s">
        <v>3047</v>
      </c>
      <c r="X1694" s="142" t="s">
        <v>3047</v>
      </c>
      <c r="Y1694" s="142">
        <f>B1694*IBGE_2!Y$1694/100</f>
        <v>0.06</v>
      </c>
      <c r="Z1694" s="142" t="s">
        <v>3047</v>
      </c>
      <c r="AA1694" s="142" t="s">
        <v>3047</v>
      </c>
      <c r="AB1694" s="142" t="s">
        <v>3047</v>
      </c>
      <c r="AC1694" s="142" t="s">
        <v>3047</v>
      </c>
      <c r="AD1694" s="142" t="s">
        <v>3047</v>
      </c>
      <c r="AE1694" s="142" t="s">
        <v>3047</v>
      </c>
      <c r="AF1694" s="142" t="s">
        <v>3047</v>
      </c>
      <c r="AG1694" s="142" t="s">
        <v>3047</v>
      </c>
      <c r="AH1694" s="142">
        <f>B1694*IBGE_2!AH$1694/100</f>
        <v>0.93</v>
      </c>
      <c r="AI1694" s="145" t="s">
        <v>3047</v>
      </c>
      <c r="AJ1694" s="145" t="s">
        <v>3047</v>
      </c>
      <c r="AK1694" s="145" t="s">
        <v>3047</v>
      </c>
      <c r="AL1694" s="145" t="s">
        <v>3047</v>
      </c>
      <c r="AM1694" s="145" t="s">
        <v>3047</v>
      </c>
      <c r="AN1694" s="161"/>
    </row>
    <row r="1695" spans="1:40">
      <c r="A1695" s="143" t="s">
        <v>2755</v>
      </c>
      <c r="B1695" s="141">
        <v>100</v>
      </c>
      <c r="C1695" s="142">
        <f>B1695*IBGE_2!C$1695/100</f>
        <v>273.01600000000002</v>
      </c>
      <c r="D1695" s="142">
        <f>B1695*IBGE_2!D$1695/100</f>
        <v>16.236999999999998</v>
      </c>
      <c r="E1695" s="142">
        <f>B1695*IBGE_2!E$1695/100</f>
        <v>15.63</v>
      </c>
      <c r="F1695" s="142">
        <f>B1695*IBGE_2!F$1695/100</f>
        <v>3.6190000000000002</v>
      </c>
      <c r="G1695" s="142">
        <f>B1695*IBGE_2!G$1695/100</f>
        <v>7.431</v>
      </c>
      <c r="H1695" s="142">
        <f>B1695*IBGE_2!H$1695/100</f>
        <v>2.5720000000000001</v>
      </c>
      <c r="I1695" s="142">
        <f>B1695*IBGE_2!I$1695/100</f>
        <v>2.3410000000000002</v>
      </c>
      <c r="J1695" s="142">
        <f>B1695*IBGE_2!J$1695/100</f>
        <v>0.13700000000000001</v>
      </c>
      <c r="K1695" s="142">
        <f>B1695*IBGE_2!K$1695/100</f>
        <v>39.844000000000001</v>
      </c>
      <c r="L1695" s="142">
        <f>B1695*IBGE_2!L$1695/100</f>
        <v>15.912000000000001</v>
      </c>
      <c r="M1695" s="142">
        <f>B1695*IBGE_2!M$1695/100</f>
        <v>0.64300000000000002</v>
      </c>
      <c r="N1695" s="142">
        <f>B1695*IBGE_2!N$1695/100</f>
        <v>9.8450000000000006</v>
      </c>
      <c r="O1695" s="142">
        <f>B1695*IBGE_2!O$1695/100</f>
        <v>17.73</v>
      </c>
      <c r="P1695" s="142">
        <f>B1695*IBGE_2!P$1695/100</f>
        <v>0.107</v>
      </c>
      <c r="Q1695" s="142">
        <f>B1695*IBGE_2!Q$1695/100</f>
        <v>121.51600000000001</v>
      </c>
      <c r="R1695" s="142">
        <f>B1695*IBGE_2!R$1695/100</f>
        <v>1.36</v>
      </c>
      <c r="S1695" s="142">
        <f>B1695*IBGE_2!S$1695/100</f>
        <v>704.38</v>
      </c>
      <c r="T1695" s="142">
        <f>B1695*IBGE_2!T$1695/100</f>
        <v>138.84100000000001</v>
      </c>
      <c r="U1695" s="142">
        <f>B1695*IBGE_2!U$1695/100</f>
        <v>4.7E-2</v>
      </c>
      <c r="V1695" s="142">
        <f>B1695*IBGE_2!V$1695/100</f>
        <v>0.71099999999999997</v>
      </c>
      <c r="W1695" s="142">
        <f>B1695*IBGE_2!W$1695/100</f>
        <v>4.2190000000000003</v>
      </c>
      <c r="X1695" s="142">
        <f>B1695*IBGE_2!X$1695/100</f>
        <v>0.16699999999999998</v>
      </c>
      <c r="Y1695" s="142">
        <f>B1695*IBGE_2!Y$1695/100</f>
        <v>0.14199999999999999</v>
      </c>
      <c r="Z1695" s="142">
        <f>B1695*IBGE_2!Z$1695/100</f>
        <v>0.29899999999999999</v>
      </c>
      <c r="AA1695" s="142">
        <f>B1695*IBGE_2!AA$1695/100</f>
        <v>6.8920000000000003</v>
      </c>
      <c r="AB1695" s="142" t="s">
        <v>3047</v>
      </c>
      <c r="AC1695" s="142">
        <f>B1695*IBGE_2!AC$1695/100</f>
        <v>10.018000000000001</v>
      </c>
      <c r="AD1695" s="142">
        <f>B1695*IBGE_2!AD$1695/100</f>
        <v>0.159</v>
      </c>
      <c r="AE1695" s="142">
        <f>B1695*IBGE_2!AE$1695/100</f>
        <v>35</v>
      </c>
      <c r="AF1695" s="142">
        <f>B1695*IBGE_2!AF$1695/100</f>
        <v>9.4E-2</v>
      </c>
      <c r="AG1695" s="142">
        <f>B1695*IBGE_2!AG$1695/100</f>
        <v>1.087</v>
      </c>
      <c r="AH1695" s="142">
        <f>B1695*IBGE_2!AH$1695/100</f>
        <v>3.008</v>
      </c>
      <c r="AI1695" s="145" t="s">
        <v>3047</v>
      </c>
      <c r="AJ1695" s="142">
        <f>B1695*IBGE_2!AJ$1695/100</f>
        <v>16.445</v>
      </c>
      <c r="AK1695" s="142">
        <f>B1695*IBGE_2!AK$1695/100</f>
        <v>4.8879999999999999</v>
      </c>
      <c r="AL1695" s="142">
        <f>B1695*IBGE_2!AL$1695/100</f>
        <v>0.14299999999999999</v>
      </c>
      <c r="AM1695" s="145" t="s">
        <v>3047</v>
      </c>
      <c r="AN1695" s="161"/>
    </row>
    <row r="1696" spans="1:40">
      <c r="A1696" s="143" t="s">
        <v>2756</v>
      </c>
      <c r="B1696" s="141">
        <v>100</v>
      </c>
      <c r="C1696" s="142">
        <f>B1696*IBGE_2!C$1696/100</f>
        <v>273.01600000000002</v>
      </c>
      <c r="D1696" s="142">
        <f>B1696*IBGE_2!D$1696/100</f>
        <v>16.236999999999998</v>
      </c>
      <c r="E1696" s="142">
        <f>B1696*IBGE_2!E$1696/100</f>
        <v>15.63</v>
      </c>
      <c r="F1696" s="142">
        <f>B1696*IBGE_2!F$1696/100</f>
        <v>3.6190000000000002</v>
      </c>
      <c r="G1696" s="142">
        <f>B1696*IBGE_2!G$1696/100</f>
        <v>7.431</v>
      </c>
      <c r="H1696" s="142">
        <f>B1696*IBGE_2!H$1696/100</f>
        <v>2.5720000000000001</v>
      </c>
      <c r="I1696" s="142">
        <f>B1696*IBGE_2!I$1696/100</f>
        <v>2.3410000000000002</v>
      </c>
      <c r="J1696" s="142">
        <f>B1696*IBGE_2!J$1696/100</f>
        <v>0.13700000000000001</v>
      </c>
      <c r="K1696" s="142">
        <f>B1696*IBGE_2!K$1696/100</f>
        <v>39.844000000000001</v>
      </c>
      <c r="L1696" s="142">
        <f>B1696*IBGE_2!L$1696/100</f>
        <v>15.912000000000001</v>
      </c>
      <c r="M1696" s="142">
        <f>B1696*IBGE_2!M$1696/100</f>
        <v>0.64300000000000002</v>
      </c>
      <c r="N1696" s="142">
        <f>B1696*IBGE_2!N$1696/100</f>
        <v>9.8450000000000006</v>
      </c>
      <c r="O1696" s="142">
        <f>B1696*IBGE_2!O$1696/100</f>
        <v>17.73</v>
      </c>
      <c r="P1696" s="142">
        <f>B1696*IBGE_2!P$1696/100</f>
        <v>0.107</v>
      </c>
      <c r="Q1696" s="142">
        <f>B1696*IBGE_2!Q$1696/100</f>
        <v>121.51600000000001</v>
      </c>
      <c r="R1696" s="142">
        <f>B1696*IBGE_2!R$1696/100</f>
        <v>1.36</v>
      </c>
      <c r="S1696" s="142">
        <f>B1696*IBGE_2!S$1696/100</f>
        <v>704.38</v>
      </c>
      <c r="T1696" s="142">
        <f>B1696*IBGE_2!T$1696/100</f>
        <v>138.84100000000001</v>
      </c>
      <c r="U1696" s="142">
        <f>B1696*IBGE_2!U$1696/100</f>
        <v>4.7E-2</v>
      </c>
      <c r="V1696" s="142">
        <f>B1696*IBGE_2!V$1696/100</f>
        <v>0.71099999999999997</v>
      </c>
      <c r="W1696" s="142">
        <f>B1696*IBGE_2!W$1696/100</f>
        <v>4.2190000000000003</v>
      </c>
      <c r="X1696" s="142">
        <f>B1696*IBGE_2!X$1696/100</f>
        <v>0.16699999999999998</v>
      </c>
      <c r="Y1696" s="142">
        <f>B1696*IBGE_2!Y$1696/100</f>
        <v>0.14199999999999999</v>
      </c>
      <c r="Z1696" s="142">
        <f>B1696*IBGE_2!Z$1696/100</f>
        <v>0.29899999999999999</v>
      </c>
      <c r="AA1696" s="142">
        <f>B1696*IBGE_2!AA$1696/100</f>
        <v>6.8920000000000003</v>
      </c>
      <c r="AB1696" s="142" t="s">
        <v>3047</v>
      </c>
      <c r="AC1696" s="142">
        <f>B1696*IBGE_2!AC$1696/100</f>
        <v>10.018000000000001</v>
      </c>
      <c r="AD1696" s="142">
        <f>B1696*IBGE_2!AD$1696/100</f>
        <v>0.159</v>
      </c>
      <c r="AE1696" s="142">
        <f>B1696*IBGE_2!AE$1696/100</f>
        <v>35</v>
      </c>
      <c r="AF1696" s="142">
        <f>B1696*IBGE_2!AF$1696/100</f>
        <v>9.4E-2</v>
      </c>
      <c r="AG1696" s="142">
        <f>B1696*IBGE_2!AG$1696/100</f>
        <v>1.087</v>
      </c>
      <c r="AH1696" s="142">
        <f>B1696*IBGE_2!AH$1696/100</f>
        <v>3.008</v>
      </c>
      <c r="AI1696" s="145" t="s">
        <v>3047</v>
      </c>
      <c r="AJ1696" s="142">
        <f>B1696*IBGE_2!AJ$1696/100</f>
        <v>16.445</v>
      </c>
      <c r="AK1696" s="142">
        <f>B1696*IBGE_2!AK$1696/100</f>
        <v>4.8879999999999999</v>
      </c>
      <c r="AL1696" s="142">
        <f>B1696*IBGE_2!AL$1696/100</f>
        <v>0.14299999999999999</v>
      </c>
      <c r="AM1696" s="145" t="s">
        <v>3047</v>
      </c>
      <c r="AN1696" s="161"/>
    </row>
    <row r="1697" spans="1:40">
      <c r="A1697" s="143" t="s">
        <v>2757</v>
      </c>
      <c r="B1697" s="141">
        <v>100</v>
      </c>
      <c r="C1697" s="142">
        <f>B1697*IBGE_2!C$1697/100</f>
        <v>273.01600000000002</v>
      </c>
      <c r="D1697" s="142">
        <f>B1697*IBGE_2!D$1697/100</f>
        <v>16.236999999999998</v>
      </c>
      <c r="E1697" s="142">
        <f>B1697*IBGE_2!E$1697/100</f>
        <v>15.63</v>
      </c>
      <c r="F1697" s="142">
        <f>B1697*IBGE_2!F$1697/100</f>
        <v>3.6190000000000002</v>
      </c>
      <c r="G1697" s="142">
        <f>B1697*IBGE_2!G$1697/100</f>
        <v>7.431</v>
      </c>
      <c r="H1697" s="142">
        <f>B1697*IBGE_2!H$1697/100</f>
        <v>2.5720000000000001</v>
      </c>
      <c r="I1697" s="142">
        <f>B1697*IBGE_2!I$1697/100</f>
        <v>2.3410000000000002</v>
      </c>
      <c r="J1697" s="142">
        <f>B1697*IBGE_2!J$1697/100</f>
        <v>0.13700000000000001</v>
      </c>
      <c r="K1697" s="142">
        <f>B1697*IBGE_2!K$1697/100</f>
        <v>39.844000000000001</v>
      </c>
      <c r="L1697" s="142">
        <f>B1697*IBGE_2!L$1697/100</f>
        <v>15.912000000000001</v>
      </c>
      <c r="M1697" s="142">
        <f>B1697*IBGE_2!M$1697/100</f>
        <v>0.64300000000000002</v>
      </c>
      <c r="N1697" s="142">
        <f>B1697*IBGE_2!N$1697/100</f>
        <v>9.8450000000000006</v>
      </c>
      <c r="O1697" s="142">
        <f>B1697*IBGE_2!O$1697/100</f>
        <v>17.73</v>
      </c>
      <c r="P1697" s="142">
        <f>B1697*IBGE_2!P$1697/100</f>
        <v>0.107</v>
      </c>
      <c r="Q1697" s="142">
        <f>B1697*IBGE_2!Q$1697/100</f>
        <v>121.51600000000001</v>
      </c>
      <c r="R1697" s="142">
        <f>B1697*IBGE_2!R$1697/100</f>
        <v>1.36</v>
      </c>
      <c r="S1697" s="142">
        <f>B1697*IBGE_2!S$1697/100</f>
        <v>704.38</v>
      </c>
      <c r="T1697" s="142">
        <f>B1697*IBGE_2!T$1697/100</f>
        <v>138.84100000000001</v>
      </c>
      <c r="U1697" s="142">
        <f>B1697*IBGE_2!U$1697/100</f>
        <v>4.7E-2</v>
      </c>
      <c r="V1697" s="142">
        <f>B1697*IBGE_2!V$1697/100</f>
        <v>0.71099999999999997</v>
      </c>
      <c r="W1697" s="142">
        <f>B1697*IBGE_2!W$1697/100</f>
        <v>4.2190000000000003</v>
      </c>
      <c r="X1697" s="142">
        <f>B1697*IBGE_2!X$1697/100</f>
        <v>0.16699999999999998</v>
      </c>
      <c r="Y1697" s="142">
        <f>B1697*IBGE_2!Y$1697/100</f>
        <v>0.14199999999999999</v>
      </c>
      <c r="Z1697" s="142">
        <f>B1697*IBGE_2!Z$1697/100</f>
        <v>0.29899999999999999</v>
      </c>
      <c r="AA1697" s="142">
        <f>B1697*IBGE_2!AA$1697/100</f>
        <v>6.8920000000000003</v>
      </c>
      <c r="AB1697" s="142" t="s">
        <v>3047</v>
      </c>
      <c r="AC1697" s="142">
        <f>B1697*IBGE_2!AC$1697/100</f>
        <v>10.018000000000001</v>
      </c>
      <c r="AD1697" s="142">
        <f>B1697*IBGE_2!AD$1697/100</f>
        <v>0.159</v>
      </c>
      <c r="AE1697" s="142">
        <f>B1697*IBGE_2!AE$1697/100</f>
        <v>35</v>
      </c>
      <c r="AF1697" s="142">
        <f>B1697*IBGE_2!AF$1697/100</f>
        <v>9.4E-2</v>
      </c>
      <c r="AG1697" s="142">
        <f>B1697*IBGE_2!AG$1697/100</f>
        <v>1.087</v>
      </c>
      <c r="AH1697" s="142">
        <f>B1697*IBGE_2!AH$1697/100</f>
        <v>3.008</v>
      </c>
      <c r="AI1697" s="145" t="s">
        <v>3047</v>
      </c>
      <c r="AJ1697" s="142">
        <f>B1697*IBGE_2!AJ$1697/100</f>
        <v>16.445</v>
      </c>
      <c r="AK1697" s="142">
        <f>B1697*IBGE_2!AK$1697/100</f>
        <v>4.8879999999999999</v>
      </c>
      <c r="AL1697" s="142">
        <f>B1697*IBGE_2!AL$1697/100</f>
        <v>0.14299999999999999</v>
      </c>
      <c r="AM1697" s="145" t="s">
        <v>3047</v>
      </c>
      <c r="AN1697" s="161"/>
    </row>
    <row r="1698" spans="1:40">
      <c r="A1698" s="143" t="s">
        <v>2758</v>
      </c>
      <c r="B1698" s="141">
        <v>100</v>
      </c>
      <c r="C1698" s="142">
        <f>B1698*IBGE_2!C$1698/100</f>
        <v>273.01600000000002</v>
      </c>
      <c r="D1698" s="142">
        <f>B1698*IBGE_2!D$1698/100</f>
        <v>16.236999999999998</v>
      </c>
      <c r="E1698" s="142">
        <f>B1698*IBGE_2!E$1698/100</f>
        <v>15.63</v>
      </c>
      <c r="F1698" s="142">
        <f>B1698*IBGE_2!F$1698/100</f>
        <v>3.6190000000000002</v>
      </c>
      <c r="G1698" s="142">
        <f>B1698*IBGE_2!G$1698/100</f>
        <v>7.431</v>
      </c>
      <c r="H1698" s="142">
        <f>B1698*IBGE_2!H$1698/100</f>
        <v>2.5720000000000001</v>
      </c>
      <c r="I1698" s="142">
        <f>B1698*IBGE_2!I$1698/100</f>
        <v>2.3410000000000002</v>
      </c>
      <c r="J1698" s="142">
        <f>B1698*IBGE_2!J$1698/100</f>
        <v>0.13700000000000001</v>
      </c>
      <c r="K1698" s="142">
        <f>B1698*IBGE_2!K$1698/100</f>
        <v>39.844000000000001</v>
      </c>
      <c r="L1698" s="142">
        <f>B1698*IBGE_2!L$1698/100</f>
        <v>15.912000000000001</v>
      </c>
      <c r="M1698" s="142">
        <f>B1698*IBGE_2!M$1698/100</f>
        <v>0.64300000000000002</v>
      </c>
      <c r="N1698" s="142">
        <f>B1698*IBGE_2!N$1698/100</f>
        <v>9.8450000000000006</v>
      </c>
      <c r="O1698" s="142">
        <f>B1698*IBGE_2!O$1698/100</f>
        <v>17.73</v>
      </c>
      <c r="P1698" s="142">
        <f>B1698*IBGE_2!P$1698/100</f>
        <v>0.107</v>
      </c>
      <c r="Q1698" s="142">
        <f>B1698*IBGE_2!Q$1698/100</f>
        <v>121.51600000000001</v>
      </c>
      <c r="R1698" s="142">
        <f>B1698*IBGE_2!R$1698/100</f>
        <v>1.36</v>
      </c>
      <c r="S1698" s="142">
        <f>B1698*IBGE_2!S$1698/100</f>
        <v>704.38</v>
      </c>
      <c r="T1698" s="142">
        <f>B1698*IBGE_2!T$1698/100</f>
        <v>138.84100000000001</v>
      </c>
      <c r="U1698" s="142">
        <f>B1698*IBGE_2!U$1698/100</f>
        <v>4.7E-2</v>
      </c>
      <c r="V1698" s="142">
        <f>B1698*IBGE_2!V$1698/100</f>
        <v>0.71099999999999997</v>
      </c>
      <c r="W1698" s="142">
        <f>B1698*IBGE_2!W$1698/100</f>
        <v>4.2190000000000003</v>
      </c>
      <c r="X1698" s="142">
        <f>B1698*IBGE_2!X$1698/100</f>
        <v>0.16699999999999998</v>
      </c>
      <c r="Y1698" s="142">
        <f>B1698*IBGE_2!Y$1698/100</f>
        <v>0.14199999999999999</v>
      </c>
      <c r="Z1698" s="142">
        <f>B1698*IBGE_2!Z$1698/100</f>
        <v>0.29899999999999999</v>
      </c>
      <c r="AA1698" s="142">
        <f>B1698*IBGE_2!AA$1698/100</f>
        <v>6.8920000000000003</v>
      </c>
      <c r="AB1698" s="142" t="s">
        <v>3047</v>
      </c>
      <c r="AC1698" s="142">
        <f>B1698*IBGE_2!AC$1698/100</f>
        <v>10.018000000000001</v>
      </c>
      <c r="AD1698" s="142">
        <f>B1698*IBGE_2!AD$1698/100</f>
        <v>0.159</v>
      </c>
      <c r="AE1698" s="142">
        <f>B1698*IBGE_2!AE$1698/100</f>
        <v>35</v>
      </c>
      <c r="AF1698" s="142">
        <f>B1698*IBGE_2!AF$1698/100</f>
        <v>9.4E-2</v>
      </c>
      <c r="AG1698" s="142">
        <f>B1698*IBGE_2!AG$1698/100</f>
        <v>1.087</v>
      </c>
      <c r="AH1698" s="142">
        <f>B1698*IBGE_2!AH$1698/100</f>
        <v>3.008</v>
      </c>
      <c r="AI1698" s="145" t="s">
        <v>3047</v>
      </c>
      <c r="AJ1698" s="142">
        <f>B1698*IBGE_2!AJ$1698/100</f>
        <v>16.445</v>
      </c>
      <c r="AK1698" s="142">
        <f>B1698*IBGE_2!AK$1698/100</f>
        <v>4.8879999999999999</v>
      </c>
      <c r="AL1698" s="142">
        <f>B1698*IBGE_2!AL$1698/100</f>
        <v>0.14299999999999999</v>
      </c>
      <c r="AM1698" s="145" t="s">
        <v>3047</v>
      </c>
      <c r="AN1698" s="161"/>
    </row>
    <row r="1699" spans="1:40">
      <c r="A1699" s="143" t="s">
        <v>2759</v>
      </c>
      <c r="B1699" s="141">
        <v>100</v>
      </c>
      <c r="C1699" s="142">
        <f>B1699*IBGE_2!C$1699/100</f>
        <v>273.01600000000002</v>
      </c>
      <c r="D1699" s="142">
        <f>B1699*IBGE_2!D$1699/100</f>
        <v>16.236999999999998</v>
      </c>
      <c r="E1699" s="142">
        <f>B1699*IBGE_2!E$1699/100</f>
        <v>15.63</v>
      </c>
      <c r="F1699" s="142">
        <f>B1699*IBGE_2!F$1699/100</f>
        <v>3.6190000000000002</v>
      </c>
      <c r="G1699" s="142">
        <f>B1699*IBGE_2!G$1699/100</f>
        <v>7.431</v>
      </c>
      <c r="H1699" s="142">
        <f>B1699*IBGE_2!H$1699/100</f>
        <v>2.5720000000000001</v>
      </c>
      <c r="I1699" s="142">
        <f>B1699*IBGE_2!I$1699/100</f>
        <v>2.3410000000000002</v>
      </c>
      <c r="J1699" s="142">
        <f>B1699*IBGE_2!J$1699/100</f>
        <v>0.13700000000000001</v>
      </c>
      <c r="K1699" s="142">
        <f>B1699*IBGE_2!K$1699/100</f>
        <v>39.844000000000001</v>
      </c>
      <c r="L1699" s="142">
        <f>B1699*IBGE_2!L$1699/100</f>
        <v>15.912000000000001</v>
      </c>
      <c r="M1699" s="142">
        <f>B1699*IBGE_2!M$1699/100</f>
        <v>0.64300000000000002</v>
      </c>
      <c r="N1699" s="142">
        <f>B1699*IBGE_2!N$1699/100</f>
        <v>9.8450000000000006</v>
      </c>
      <c r="O1699" s="142">
        <f>B1699*IBGE_2!O$1699/100</f>
        <v>17.73</v>
      </c>
      <c r="P1699" s="142">
        <f>B1699*IBGE_2!P$1699/100</f>
        <v>0.107</v>
      </c>
      <c r="Q1699" s="142">
        <f>B1699*IBGE_2!Q$1699/100</f>
        <v>121.51600000000001</v>
      </c>
      <c r="R1699" s="142">
        <f>B1699*IBGE_2!R$1699/100</f>
        <v>1.36</v>
      </c>
      <c r="S1699" s="142">
        <f>B1699*IBGE_2!S$1699/100</f>
        <v>704.38</v>
      </c>
      <c r="T1699" s="142">
        <f>B1699*IBGE_2!T$1699/100</f>
        <v>138.84100000000001</v>
      </c>
      <c r="U1699" s="142">
        <f>B1699*IBGE_2!U$1699/100</f>
        <v>4.7E-2</v>
      </c>
      <c r="V1699" s="142">
        <f>B1699*IBGE_2!V$1699/100</f>
        <v>0.71099999999999997</v>
      </c>
      <c r="W1699" s="142">
        <f>B1699*IBGE_2!W$1699/100</f>
        <v>4.2190000000000003</v>
      </c>
      <c r="X1699" s="142">
        <f>B1699*IBGE_2!X$1699/100</f>
        <v>0.16699999999999998</v>
      </c>
      <c r="Y1699" s="142">
        <f>B1699*IBGE_2!Y$1699/100</f>
        <v>0.14199999999999999</v>
      </c>
      <c r="Z1699" s="142">
        <f>B1699*IBGE_2!Z$1699/100</f>
        <v>0.29899999999999999</v>
      </c>
      <c r="AA1699" s="142">
        <f>B1699*IBGE_2!AA$1699/100</f>
        <v>6.8920000000000003</v>
      </c>
      <c r="AB1699" s="142" t="s">
        <v>3047</v>
      </c>
      <c r="AC1699" s="142">
        <f>B1699*IBGE_2!AC$1699/100</f>
        <v>10.018000000000001</v>
      </c>
      <c r="AD1699" s="142">
        <f>B1699*IBGE_2!AD$1699/100</f>
        <v>0.159</v>
      </c>
      <c r="AE1699" s="142">
        <f>B1699*IBGE_2!AE$1699/100</f>
        <v>35</v>
      </c>
      <c r="AF1699" s="142">
        <f>B1699*IBGE_2!AF$1699/100</f>
        <v>9.4E-2</v>
      </c>
      <c r="AG1699" s="142">
        <f>B1699*IBGE_2!AG$1699/100</f>
        <v>1.087</v>
      </c>
      <c r="AH1699" s="142">
        <f>B1699*IBGE_2!AH$1699/100</f>
        <v>3.008</v>
      </c>
      <c r="AI1699" s="145" t="s">
        <v>3047</v>
      </c>
      <c r="AJ1699" s="142">
        <f>B1699*IBGE_2!AJ$1699/100</f>
        <v>16.445</v>
      </c>
      <c r="AK1699" s="142">
        <f>B1699*IBGE_2!AK$1699/100</f>
        <v>4.8879999999999999</v>
      </c>
      <c r="AL1699" s="142">
        <f>B1699*IBGE_2!AL$1699/100</f>
        <v>0.14299999999999999</v>
      </c>
      <c r="AM1699" s="145" t="s">
        <v>3047</v>
      </c>
      <c r="AN1699" s="161"/>
    </row>
    <row r="1700" spans="1:40">
      <c r="A1700" s="143" t="s">
        <v>2760</v>
      </c>
      <c r="B1700" s="141">
        <v>100</v>
      </c>
      <c r="C1700" s="142">
        <f>B1700*IBGE_2!C$1700/100</f>
        <v>211</v>
      </c>
      <c r="D1700" s="142">
        <f>B1700*IBGE_2!D$1700/100</f>
        <v>13.06</v>
      </c>
      <c r="E1700" s="142">
        <f>B1700*IBGE_2!E$1700/100</f>
        <v>16.059999999999999</v>
      </c>
      <c r="F1700" s="142">
        <f>B1700*IBGE_2!F$1700/100</f>
        <v>5.46</v>
      </c>
      <c r="G1700" s="142">
        <f>B1700*IBGE_2!G$1700/100</f>
        <v>7.5479999999999992</v>
      </c>
      <c r="H1700" s="142">
        <f>B1700*IBGE_2!H$1700/100</f>
        <v>3.0510000000000002</v>
      </c>
      <c r="I1700" s="142">
        <f>B1700*IBGE_2!I$1700/100</f>
        <v>2.786</v>
      </c>
      <c r="J1700" s="142">
        <f>B1700*IBGE_2!J$1700/100</f>
        <v>0.21899999999999997</v>
      </c>
      <c r="K1700" s="142">
        <f>B1700*IBGE_2!K$1700/100</f>
        <v>79</v>
      </c>
      <c r="L1700" s="142">
        <f>B1700*IBGE_2!L$1700/100</f>
        <v>3.45</v>
      </c>
      <c r="M1700" s="142" t="s">
        <v>3047</v>
      </c>
      <c r="N1700" s="142">
        <f>B1700*IBGE_2!N$1700/100</f>
        <v>48</v>
      </c>
      <c r="O1700" s="142">
        <f>B1700*IBGE_2!O$1700/100</f>
        <v>17</v>
      </c>
      <c r="P1700" s="142">
        <f>B1700*IBGE_2!P$1700/100</f>
        <v>0.155</v>
      </c>
      <c r="Q1700" s="142">
        <f>B1700*IBGE_2!Q$1700/100</f>
        <v>94</v>
      </c>
      <c r="R1700" s="142">
        <f>B1700*IBGE_2!R$1700/100</f>
        <v>1.1499999999999999</v>
      </c>
      <c r="S1700" s="142">
        <f>B1700*IBGE_2!S$1700/100</f>
        <v>716</v>
      </c>
      <c r="T1700" s="142">
        <f>B1700*IBGE_2!T$1700/100</f>
        <v>138</v>
      </c>
      <c r="U1700" s="142">
        <f>B1700*IBGE_2!U$1700/100</f>
        <v>8.2000000000000017E-2</v>
      </c>
      <c r="V1700" s="142">
        <f>B1700*IBGE_2!V$1700/100</f>
        <v>0.73</v>
      </c>
      <c r="W1700" s="142">
        <f>B1700*IBGE_2!W$1700/100</f>
        <v>1</v>
      </c>
      <c r="X1700" s="142">
        <f>B1700*IBGE_2!X$1700/100</f>
        <v>0.159</v>
      </c>
      <c r="Y1700" s="142">
        <f>B1700*IBGE_2!Y$1700/100</f>
        <v>9.7000000000000017E-2</v>
      </c>
      <c r="Z1700" s="142">
        <f>B1700*IBGE_2!Z$1700/100</f>
        <v>0.16300000000000001</v>
      </c>
      <c r="AA1700" s="142">
        <f>B1700*IBGE_2!AA$1700/100</f>
        <v>3.0720000000000001</v>
      </c>
      <c r="AB1700" s="142" t="s">
        <v>3047</v>
      </c>
      <c r="AC1700" s="142">
        <f>B1700*IBGE_2!AC$1700/100</f>
        <v>4.7549999999999999</v>
      </c>
      <c r="AD1700" s="142">
        <f>B1700*IBGE_2!AD$1700/100</f>
        <v>0.28999999999999998</v>
      </c>
      <c r="AE1700" s="142">
        <f>B1700*IBGE_2!AE$1700/100</f>
        <v>18</v>
      </c>
      <c r="AF1700" s="142">
        <f>B1700*IBGE_2!AF$1700/100</f>
        <v>0.41600000000000004</v>
      </c>
      <c r="AG1700" s="142">
        <f>B1700*IBGE_2!AG$1700/100</f>
        <v>0.23200000000000004</v>
      </c>
      <c r="AH1700" s="142">
        <f>B1700*IBGE_2!AH$1700/100</f>
        <v>0.109</v>
      </c>
      <c r="AI1700" s="145" t="s">
        <v>3047</v>
      </c>
      <c r="AJ1700" s="142">
        <f>B1700*IBGE_2!AJ$1700/100</f>
        <v>5.6</v>
      </c>
      <c r="AK1700" s="142">
        <f>B1700*IBGE_2!AK$1700/100</f>
        <v>1</v>
      </c>
      <c r="AL1700" s="142">
        <f>B1700*IBGE_2!AL$1700/100</f>
        <v>0.46</v>
      </c>
      <c r="AM1700" s="142">
        <f>B1700*IBGE_2!AM$1700/100</f>
        <v>0.46</v>
      </c>
      <c r="AN1700" s="161"/>
    </row>
    <row r="1701" spans="1:40">
      <c r="A1701" s="143" t="s">
        <v>2761</v>
      </c>
      <c r="B1701" s="141">
        <v>100</v>
      </c>
      <c r="C1701" s="142">
        <f>B1701*IBGE_2!C$1701/100</f>
        <v>154</v>
      </c>
      <c r="D1701" s="142">
        <f>B1701*IBGE_2!D$1701/100</f>
        <v>11</v>
      </c>
      <c r="E1701" s="142">
        <f>B1701*IBGE_2!E$1701/100</f>
        <v>10</v>
      </c>
      <c r="F1701" s="142">
        <f>B1701*IBGE_2!F$1701/100</f>
        <v>3.6920000000000006</v>
      </c>
      <c r="G1701" s="142">
        <f>B1701*IBGE_2!G$1701/100</f>
        <v>4.75</v>
      </c>
      <c r="H1701" s="142">
        <f>B1701*IBGE_2!H$1701/100</f>
        <v>0.93700000000000006</v>
      </c>
      <c r="I1701" s="142">
        <f>B1701*IBGE_2!I$1701/100</f>
        <v>0.80300000000000016</v>
      </c>
      <c r="J1701" s="142">
        <f>B1701*IBGE_2!J$1701/100</f>
        <v>0.13400000000000001</v>
      </c>
      <c r="K1701" s="142">
        <f>B1701*IBGE_2!K$1701/100</f>
        <v>44</v>
      </c>
      <c r="L1701" s="142">
        <f>B1701*IBGE_2!L$1701/100</f>
        <v>4.4000000000000004</v>
      </c>
      <c r="M1701" s="142" t="s">
        <v>3047</v>
      </c>
      <c r="N1701" s="142">
        <f>B1701*IBGE_2!N$1701/100</f>
        <v>10</v>
      </c>
      <c r="O1701" s="142">
        <f>B1701*IBGE_2!O$1701/100</f>
        <v>10</v>
      </c>
      <c r="P1701" s="142">
        <f>B1701*IBGE_2!P$1701/100</f>
        <v>0.01</v>
      </c>
      <c r="Q1701" s="142">
        <f>B1701*IBGE_2!Q$1701/100</f>
        <v>140</v>
      </c>
      <c r="R1701" s="142">
        <f>B1701*IBGE_2!R$1701/100</f>
        <v>1.2</v>
      </c>
      <c r="S1701" s="142">
        <f>B1701*IBGE_2!S$1701/100</f>
        <v>1257</v>
      </c>
      <c r="T1701" s="142">
        <f>B1701*IBGE_2!T$1701/100</f>
        <v>150</v>
      </c>
      <c r="U1701" s="142">
        <f>B1701*IBGE_2!U$1701/100</f>
        <v>7.4999999999999997E-2</v>
      </c>
      <c r="V1701" s="142">
        <f>B1701*IBGE_2!V$1701/100</f>
        <v>1.96</v>
      </c>
      <c r="W1701" s="142" t="s">
        <v>3047</v>
      </c>
      <c r="X1701" s="142">
        <f>B1701*IBGE_2!X$1701/100</f>
        <v>0.18</v>
      </c>
      <c r="Y1701" s="142">
        <f>B1701*IBGE_2!Y$1701/100</f>
        <v>0.11</v>
      </c>
      <c r="Z1701" s="142">
        <f>B1701*IBGE_2!Z$1701/100</f>
        <v>0.1</v>
      </c>
      <c r="AA1701" s="142">
        <f>B1701*IBGE_2!AA$1701/100</f>
        <v>2.4</v>
      </c>
      <c r="AB1701" s="142" t="s">
        <v>3047</v>
      </c>
      <c r="AC1701" s="142">
        <f>B1701*IBGE_2!AC$1701/100</f>
        <v>4.117</v>
      </c>
      <c r="AD1701" s="142">
        <f>B1701*IBGE_2!AD$1701/100</f>
        <v>1.3</v>
      </c>
      <c r="AE1701" s="142">
        <f>B1701*IBGE_2!AE$1701/100</f>
        <v>4</v>
      </c>
      <c r="AF1701" s="142">
        <f>B1701*IBGE_2!AF$1701/100</f>
        <v>0.32700000000000001</v>
      </c>
      <c r="AG1701" s="142">
        <f>B1701*IBGE_2!AG$1701/100</f>
        <v>0.08</v>
      </c>
      <c r="AH1701" s="142">
        <f>B1701*IBGE_2!AH$1701/100</f>
        <v>0.191</v>
      </c>
      <c r="AI1701" s="145" t="s">
        <v>3047</v>
      </c>
      <c r="AJ1701" s="142">
        <f>B1701*IBGE_2!AJ$1701/100</f>
        <v>15.1</v>
      </c>
      <c r="AK1701" s="145" t="s">
        <v>3047</v>
      </c>
      <c r="AL1701" s="142">
        <f>B1701*IBGE_2!AL$1701/100</f>
        <v>3.63</v>
      </c>
      <c r="AM1701" s="142">
        <f>B1701*IBGE_2!AM$1701/100</f>
        <v>4.4000000000000004</v>
      </c>
      <c r="AN1701" s="161"/>
    </row>
    <row r="1702" spans="1:40">
      <c r="A1702" s="143" t="s">
        <v>2762</v>
      </c>
      <c r="B1702" s="141">
        <v>100</v>
      </c>
      <c r="C1702" s="142">
        <f>B1702*IBGE_2!C$1702/100</f>
        <v>145.184</v>
      </c>
      <c r="D1702" s="142">
        <f>B1702*IBGE_2!D$1702/100</f>
        <v>14.704000000000001</v>
      </c>
      <c r="E1702" s="142">
        <f>B1702*IBGE_2!E$1702/100</f>
        <v>8.9350000000000005</v>
      </c>
      <c r="F1702" s="142">
        <f>B1702*IBGE_2!F$1702/100</f>
        <v>2.4740000000000002</v>
      </c>
      <c r="G1702" s="142">
        <f>B1702*IBGE_2!G$1702/100</f>
        <v>3.5049999999999999</v>
      </c>
      <c r="H1702" s="142">
        <f>B1702*IBGE_2!H$1702/100</f>
        <v>1.976</v>
      </c>
      <c r="I1702" s="142">
        <f>B1702*IBGE_2!I$1702/100</f>
        <v>1.7210000000000003</v>
      </c>
      <c r="J1702" s="142">
        <f>B1702*IBGE_2!J$1702/100</f>
        <v>7.9000000000000001E-2</v>
      </c>
      <c r="K1702" s="142">
        <f>B1702*IBGE_2!K$1702/100</f>
        <v>51.523999999999994</v>
      </c>
      <c r="L1702" s="142">
        <f>B1702*IBGE_2!L$1702/100</f>
        <v>0.5</v>
      </c>
      <c r="M1702" s="142" t="s">
        <v>3047</v>
      </c>
      <c r="N1702" s="142">
        <f>B1702*IBGE_2!N$1702/100</f>
        <v>9.8780000000000001</v>
      </c>
      <c r="O1702" s="142">
        <f>B1702*IBGE_2!O$1702/100</f>
        <v>12.667</v>
      </c>
      <c r="P1702" s="142">
        <f>B1702*IBGE_2!P$1702/100</f>
        <v>1.4000000000000002E-2</v>
      </c>
      <c r="Q1702" s="142">
        <f>B1702*IBGE_2!Q$1702/100</f>
        <v>95.122000000000014</v>
      </c>
      <c r="R1702" s="142">
        <f>B1702*IBGE_2!R$1702/100</f>
        <v>0.77800000000000002</v>
      </c>
      <c r="S1702" s="142">
        <f>B1702*IBGE_2!S$1702/100</f>
        <v>999.07299999999998</v>
      </c>
      <c r="T1702" s="142">
        <f>B1702*IBGE_2!T$1702/100</f>
        <v>124.77</v>
      </c>
      <c r="U1702" s="142">
        <f>B1702*IBGE_2!U$1702/100</f>
        <v>4.3999999999999997E-2</v>
      </c>
      <c r="V1702" s="142">
        <f>B1702*IBGE_2!V$1702/100</f>
        <v>1.4119999999999999</v>
      </c>
      <c r="W1702" s="142">
        <f>B1702*IBGE_2!W$1702/100</f>
        <v>33.972000000000001</v>
      </c>
      <c r="X1702" s="142">
        <f>B1702*IBGE_2!X$1702/100</f>
        <v>3.6999999999999998E-2</v>
      </c>
      <c r="Y1702" s="142">
        <f>B1702*IBGE_2!Y$1702/100</f>
        <v>0.11700000000000001</v>
      </c>
      <c r="Z1702" s="142">
        <f>B1702*IBGE_2!Z$1702/100</f>
        <v>0.17599999999999999</v>
      </c>
      <c r="AA1702" s="142">
        <f>B1702*IBGE_2!AA$1702/100</f>
        <v>3.6</v>
      </c>
      <c r="AB1702" s="142" t="s">
        <v>3047</v>
      </c>
      <c r="AC1702" s="142">
        <f>B1702*IBGE_2!AC$1702/100</f>
        <v>6.3280000000000003</v>
      </c>
      <c r="AD1702" s="142">
        <f>B1702*IBGE_2!AD$1702/100</f>
        <v>0.16400000000000003</v>
      </c>
      <c r="AE1702" s="142">
        <f>B1702*IBGE_2!AE$1702/100</f>
        <v>3.9630000000000001</v>
      </c>
      <c r="AF1702" s="142">
        <f>B1702*IBGE_2!AF$1702/100</f>
        <v>0.113</v>
      </c>
      <c r="AG1702" s="142">
        <f>B1702*IBGE_2!AG$1702/100</f>
        <v>0.24299999999999999</v>
      </c>
      <c r="AH1702" s="142">
        <f>B1702*IBGE_2!AH$1702/100</f>
        <v>0.19400000000000003</v>
      </c>
      <c r="AI1702" s="145" t="s">
        <v>3047</v>
      </c>
      <c r="AJ1702" s="142">
        <f>B1702*IBGE_2!AJ$1702/100</f>
        <v>11.443</v>
      </c>
      <c r="AK1702" s="142">
        <f>B1702*IBGE_2!AK$1702/100</f>
        <v>33.972000000000001</v>
      </c>
      <c r="AL1702" s="142">
        <f>B1702*IBGE_2!AL$1702/100</f>
        <v>0.5</v>
      </c>
      <c r="AM1702" s="142">
        <f>B1702*IBGE_2!AM$1702/100</f>
        <v>0.5</v>
      </c>
      <c r="AN1702" s="161"/>
    </row>
    <row r="1703" spans="1:40">
      <c r="A1703" s="143" t="s">
        <v>2763</v>
      </c>
      <c r="B1703" s="141">
        <v>100</v>
      </c>
      <c r="C1703" s="142">
        <f>B1703*IBGE_2!C$1703/100</f>
        <v>124.12100000000001</v>
      </c>
      <c r="D1703" s="142">
        <f>B1703*IBGE_2!D$1703/100</f>
        <v>14.986000000000001</v>
      </c>
      <c r="E1703" s="142">
        <f>B1703*IBGE_2!E$1703/100</f>
        <v>3.573</v>
      </c>
      <c r="F1703" s="142">
        <f>B1703*IBGE_2!F$1703/100</f>
        <v>1.0389999999999999</v>
      </c>
      <c r="G1703" s="142">
        <f>B1703*IBGE_2!G$1703/100</f>
        <v>1.3420000000000001</v>
      </c>
      <c r="H1703" s="142">
        <f>B1703*IBGE_2!H$1703/100</f>
        <v>0.71099999999999997</v>
      </c>
      <c r="I1703" s="142">
        <f>B1703*IBGE_2!I$1703/100</f>
        <v>0.57999999999999996</v>
      </c>
      <c r="J1703" s="142">
        <f>B1703*IBGE_2!J$1703/100</f>
        <v>3.3000000000000002E-2</v>
      </c>
      <c r="K1703" s="142">
        <f>B1703*IBGE_2!K$1703/100</f>
        <v>37.610999999999997</v>
      </c>
      <c r="L1703" s="142">
        <f>B1703*IBGE_2!L$1703/100</f>
        <v>7.1079999999999997</v>
      </c>
      <c r="M1703" s="142" t="s">
        <v>3047</v>
      </c>
      <c r="N1703" s="142">
        <f>B1703*IBGE_2!N$1703/100</f>
        <v>43.683</v>
      </c>
      <c r="O1703" s="142">
        <f>B1703*IBGE_2!O$1703/100</f>
        <v>14.837999999999999</v>
      </c>
      <c r="P1703" s="142">
        <f>B1703*IBGE_2!P$1703/100</f>
        <v>0.05</v>
      </c>
      <c r="Q1703" s="142">
        <f>B1703*IBGE_2!Q$1703/100</f>
        <v>120.154</v>
      </c>
      <c r="R1703" s="142">
        <f>B1703*IBGE_2!R$1703/100</f>
        <v>0.68200000000000005</v>
      </c>
      <c r="S1703" s="142">
        <f>B1703*IBGE_2!S$1703/100</f>
        <v>853.62400000000014</v>
      </c>
      <c r="T1703" s="142">
        <f>B1703*IBGE_2!T$1703/100</f>
        <v>180.74100000000001</v>
      </c>
      <c r="U1703" s="142">
        <f>B1703*IBGE_2!U$1703/100</f>
        <v>8.4000000000000005E-2</v>
      </c>
      <c r="V1703" s="142">
        <f>B1703*IBGE_2!V$1703/100</f>
        <v>1.175</v>
      </c>
      <c r="W1703" s="142">
        <f>B1703*IBGE_2!W$1703/100</f>
        <v>6.3390000000000013</v>
      </c>
      <c r="X1703" s="142">
        <f>B1703*IBGE_2!X$1703/100</f>
        <v>0.06</v>
      </c>
      <c r="Y1703" s="142">
        <f>B1703*IBGE_2!Y$1703/100</f>
        <v>0.13</v>
      </c>
      <c r="Z1703" s="142">
        <f>B1703*IBGE_2!Z$1703/100</f>
        <v>0.214</v>
      </c>
      <c r="AA1703" s="142">
        <f>B1703*IBGE_2!AA$1703/100</f>
        <v>4.2919999999999998</v>
      </c>
      <c r="AB1703" s="142">
        <f>B1703*IBGE_2!AB$1703/100</f>
        <v>2.7000000000000003E-2</v>
      </c>
      <c r="AC1703" s="142">
        <f>B1703*IBGE_2!AC$1703/100</f>
        <v>6.8159999999999998</v>
      </c>
      <c r="AD1703" s="142">
        <f>B1703*IBGE_2!AD$1703/100</f>
        <v>0.27100000000000002</v>
      </c>
      <c r="AE1703" s="142">
        <f>B1703*IBGE_2!AE$1703/100</f>
        <v>4.6189999999999998</v>
      </c>
      <c r="AF1703" s="142">
        <f>B1703*IBGE_2!AF$1703/100</f>
        <v>0.192</v>
      </c>
      <c r="AG1703" s="142">
        <f>B1703*IBGE_2!AG$1703/100</f>
        <v>0.13100000000000001</v>
      </c>
      <c r="AH1703" s="142">
        <f>B1703*IBGE_2!AH$1703/100</f>
        <v>0.107</v>
      </c>
      <c r="AI1703" s="145" t="s">
        <v>3047</v>
      </c>
      <c r="AJ1703" s="142">
        <f>B1703*IBGE_2!AJ$1703/100</f>
        <v>11.601000000000001</v>
      </c>
      <c r="AK1703" s="142">
        <f>B1703*IBGE_2!AK$1703/100</f>
        <v>6.3410000000000002</v>
      </c>
      <c r="AL1703" s="142">
        <f>B1703*IBGE_2!AL$1703/100</f>
        <v>2.7959999999999998</v>
      </c>
      <c r="AM1703" s="142">
        <f>B1703*IBGE_2!AM$1703/100</f>
        <v>1.5549999999999999</v>
      </c>
      <c r="AN1703" s="161"/>
    </row>
    <row r="1704" spans="1:40">
      <c r="A1704" s="143" t="s">
        <v>2764</v>
      </c>
      <c r="B1704" s="141">
        <v>100</v>
      </c>
      <c r="C1704" s="142">
        <f>B1704*IBGE_2!C$1704/100</f>
        <v>190</v>
      </c>
      <c r="D1704" s="142">
        <f>B1704*IBGE_2!D$1704/100</f>
        <v>27.034000000000002</v>
      </c>
      <c r="E1704" s="142">
        <f>B1704*IBGE_2!E$1704/100</f>
        <v>8.2620000000000005</v>
      </c>
      <c r="F1704" s="142">
        <f>B1704*IBGE_2!F$1704/100</f>
        <v>3.4860000000000002</v>
      </c>
      <c r="G1704" s="142">
        <f>B1704*IBGE_2!G$1704/100</f>
        <v>3.4560000000000004</v>
      </c>
      <c r="H1704" s="142">
        <f>B1704*IBGE_2!H$1704/100</f>
        <v>0.34899999999999998</v>
      </c>
      <c r="I1704" s="142">
        <f>B1704*IBGE_2!I$1704/100</f>
        <v>0.245</v>
      </c>
      <c r="J1704" s="142">
        <f>B1704*IBGE_2!J$1704/100</f>
        <v>4.2999999999999997E-2</v>
      </c>
      <c r="K1704" s="142">
        <f>B1704*IBGE_2!K$1704/100</f>
        <v>78.2</v>
      </c>
      <c r="L1704" s="142" t="s">
        <v>3047</v>
      </c>
      <c r="M1704" s="142" t="s">
        <v>3047</v>
      </c>
      <c r="N1704" s="142">
        <f>B1704*IBGE_2!N$1704/100</f>
        <v>10</v>
      </c>
      <c r="O1704" s="142">
        <f>B1704*IBGE_2!O$1704/100</f>
        <v>21.6</v>
      </c>
      <c r="P1704" s="142">
        <f>B1704*IBGE_2!P$1704/100</f>
        <v>1.0999999999999999E-2</v>
      </c>
      <c r="Q1704" s="142">
        <f>B1704*IBGE_2!Q$1704/100</f>
        <v>196.6</v>
      </c>
      <c r="R1704" s="142">
        <f>B1704*IBGE_2!R$1704/100</f>
        <v>2.9860000000000002</v>
      </c>
      <c r="S1704" s="142">
        <f>B1704*IBGE_2!S$1704/100</f>
        <v>59.2</v>
      </c>
      <c r="T1704" s="142">
        <f>B1704*IBGE_2!T$1704/100</f>
        <v>309</v>
      </c>
      <c r="U1704" s="142">
        <f>B1704*IBGE_2!U$1704/100</f>
        <v>7.8E-2</v>
      </c>
      <c r="V1704" s="142">
        <f>B1704*IBGE_2!V$1704/100</f>
        <v>6.7759999999999998</v>
      </c>
      <c r="W1704" s="142" t="s">
        <v>3047</v>
      </c>
      <c r="X1704" s="142">
        <f>B1704*IBGE_2!X$1704/100</f>
        <v>3.5000000000000003E-2</v>
      </c>
      <c r="Y1704" s="142">
        <f>B1704*IBGE_2!Y$1704/100</f>
        <v>0.17299999999999996</v>
      </c>
      <c r="Z1704" s="142">
        <f>B1704*IBGE_2!Z$1704/100</f>
        <v>0.35299999999999998</v>
      </c>
      <c r="AA1704" s="142">
        <f>B1704*IBGE_2!AA$1704/100</f>
        <v>5.4080000000000004</v>
      </c>
      <c r="AB1704" s="145" t="s">
        <v>3047</v>
      </c>
      <c r="AC1704" s="142">
        <f>B1704*IBGE_2!AC$1704/100</f>
        <v>8.0150000000000006</v>
      </c>
      <c r="AD1704" s="142">
        <f>B1704*IBGE_2!AD$1704/100</f>
        <v>2.5</v>
      </c>
      <c r="AE1704" s="142">
        <f>B1704*IBGE_2!AE$1704/100</f>
        <v>6</v>
      </c>
      <c r="AF1704" s="142">
        <f>B1704*IBGE_2!AF$1704/100</f>
        <v>0.46500000000000002</v>
      </c>
      <c r="AG1704" s="142">
        <f>B1704*IBGE_2!AG$1704/100</f>
        <v>0.39200000000000002</v>
      </c>
      <c r="AH1704" s="142">
        <f>B1704*IBGE_2!AH$1704/100</f>
        <v>0.373</v>
      </c>
      <c r="AI1704" s="142">
        <f>B1704*IBGE_2!AI$1704/100</f>
        <v>499</v>
      </c>
      <c r="AJ1704" s="142">
        <f>B1704*IBGE_2!AJ$1704/100</f>
        <v>22.02</v>
      </c>
      <c r="AK1704" s="145" t="s">
        <v>3047</v>
      </c>
      <c r="AL1704" s="145" t="s">
        <v>3047</v>
      </c>
      <c r="AM1704" s="145" t="s">
        <v>3047</v>
      </c>
      <c r="AN1704" s="161"/>
    </row>
    <row r="1705" spans="1:40">
      <c r="A1705" s="143" t="s">
        <v>2765</v>
      </c>
      <c r="B1705" s="141">
        <v>100</v>
      </c>
      <c r="C1705" s="142">
        <f>B1705*IBGE_2!C$1705/100</f>
        <v>36.874000000000002</v>
      </c>
      <c r="D1705" s="142">
        <f>B1705*IBGE_2!D$1705/100</f>
        <v>7.0000000000000007E-2</v>
      </c>
      <c r="E1705" s="142">
        <f>B1705*IBGE_2!E$1705/100</f>
        <v>0.02</v>
      </c>
      <c r="F1705" s="142" t="s">
        <v>3047</v>
      </c>
      <c r="G1705" s="142" t="s">
        <v>3047</v>
      </c>
      <c r="H1705" s="142" t="s">
        <v>3047</v>
      </c>
      <c r="I1705" s="142" t="s">
        <v>3047</v>
      </c>
      <c r="J1705" s="142" t="s">
        <v>3047</v>
      </c>
      <c r="K1705" s="142" t="s">
        <v>3047</v>
      </c>
      <c r="L1705" s="142">
        <f>B1705*IBGE_2!L$1705/100</f>
        <v>9.5269999999999992</v>
      </c>
      <c r="M1705" s="142" t="s">
        <v>3047</v>
      </c>
      <c r="N1705" s="142">
        <f>B1705*IBGE_2!N$1705/100</f>
        <v>1.9930000000000001</v>
      </c>
      <c r="O1705" s="142" t="s">
        <v>3047</v>
      </c>
      <c r="P1705" s="142">
        <f>B1705*IBGE_2!P$1705/100</f>
        <v>2E-3</v>
      </c>
      <c r="Q1705" s="142">
        <f>B1705*IBGE_2!Q$1705/100</f>
        <v>9.9659999999999993</v>
      </c>
      <c r="R1705" s="142">
        <f>B1705*IBGE_2!R$1705/100</f>
        <v>0.11</v>
      </c>
      <c r="S1705" s="142">
        <f>B1705*IBGE_2!S$1705/100</f>
        <v>3.9860000000000002</v>
      </c>
      <c r="T1705" s="142">
        <f>B1705*IBGE_2!T$1705/100</f>
        <v>1.9930000000000001</v>
      </c>
      <c r="U1705" s="142">
        <f>B1705*IBGE_2!U$1705/100</f>
        <v>1E-3</v>
      </c>
      <c r="V1705" s="142">
        <f>B1705*IBGE_2!V$1705/100</f>
        <v>0.02</v>
      </c>
      <c r="W1705" s="142" t="s">
        <v>3047</v>
      </c>
      <c r="X1705" s="142" t="s">
        <v>3047</v>
      </c>
      <c r="Y1705" s="142" t="s">
        <v>3047</v>
      </c>
      <c r="Z1705" s="142" t="s">
        <v>3047</v>
      </c>
      <c r="AA1705" s="142" t="s">
        <v>3047</v>
      </c>
      <c r="AB1705" s="142" t="s">
        <v>3047</v>
      </c>
      <c r="AC1705" s="142" t="s">
        <v>3047</v>
      </c>
      <c r="AD1705" s="142" t="s">
        <v>3047</v>
      </c>
      <c r="AE1705" s="142" t="s">
        <v>3047</v>
      </c>
      <c r="AF1705" s="142" t="s">
        <v>3047</v>
      </c>
      <c r="AG1705" s="142" t="s">
        <v>3047</v>
      </c>
      <c r="AH1705" s="142" t="s">
        <v>3047</v>
      </c>
      <c r="AI1705" s="142" t="s">
        <v>3047</v>
      </c>
      <c r="AJ1705" s="142">
        <f>B1705*IBGE_2!AJ$1705/100</f>
        <v>0.1</v>
      </c>
      <c r="AK1705" s="142" t="s">
        <v>3047</v>
      </c>
      <c r="AL1705" s="142">
        <f>B1705*IBGE_2!AL$1705/100</f>
        <v>10.564</v>
      </c>
      <c r="AM1705" s="142">
        <f>B1705*IBGE_2!AM$1705/100</f>
        <v>9.5269999999999992</v>
      </c>
      <c r="AN1705" s="161"/>
    </row>
    <row r="1706" spans="1:40">
      <c r="A1706" s="143" t="s">
        <v>2766</v>
      </c>
      <c r="B1706" s="141">
        <v>100</v>
      </c>
      <c r="C1706" s="142">
        <f>B1706*IBGE_2!C$1706/100</f>
        <v>36.874000000000002</v>
      </c>
      <c r="D1706" s="142">
        <f>B1706*IBGE_2!D$1706/100</f>
        <v>7.0000000000000007E-2</v>
      </c>
      <c r="E1706" s="142">
        <f>B1706*IBGE_2!E$1706/100</f>
        <v>0.02</v>
      </c>
      <c r="F1706" s="142" t="s">
        <v>3047</v>
      </c>
      <c r="G1706" s="142" t="s">
        <v>3047</v>
      </c>
      <c r="H1706" s="142" t="s">
        <v>3047</v>
      </c>
      <c r="I1706" s="142" t="s">
        <v>3047</v>
      </c>
      <c r="J1706" s="142" t="s">
        <v>3047</v>
      </c>
      <c r="K1706" s="142" t="s">
        <v>3047</v>
      </c>
      <c r="L1706" s="142">
        <f>B1706*IBGE_2!L$1706/100</f>
        <v>9.5269999999999992</v>
      </c>
      <c r="M1706" s="142" t="s">
        <v>3047</v>
      </c>
      <c r="N1706" s="142">
        <f>B1706*IBGE_2!N$1706/100</f>
        <v>1.9930000000000001</v>
      </c>
      <c r="O1706" s="142" t="s">
        <v>3047</v>
      </c>
      <c r="P1706" s="142">
        <f>B1706*IBGE_2!P$1706/100</f>
        <v>2E-3</v>
      </c>
      <c r="Q1706" s="142">
        <f>B1706*IBGE_2!Q$1706/100</f>
        <v>9.9659999999999993</v>
      </c>
      <c r="R1706" s="142">
        <f>B1706*IBGE_2!R$1706/100</f>
        <v>0.11</v>
      </c>
      <c r="S1706" s="142">
        <f>B1706*IBGE_2!S$1706/100</f>
        <v>3.9860000000000002</v>
      </c>
      <c r="T1706" s="142">
        <f>B1706*IBGE_2!T$1706/100</f>
        <v>1.9930000000000001</v>
      </c>
      <c r="U1706" s="142">
        <f>B1706*IBGE_2!U$1706/100</f>
        <v>1E-3</v>
      </c>
      <c r="V1706" s="142">
        <f>B1706*IBGE_2!V$1706/100</f>
        <v>0.02</v>
      </c>
      <c r="W1706" s="142" t="s">
        <v>3047</v>
      </c>
      <c r="X1706" s="142" t="s">
        <v>3047</v>
      </c>
      <c r="Y1706" s="142" t="s">
        <v>3047</v>
      </c>
      <c r="Z1706" s="142" t="s">
        <v>3047</v>
      </c>
      <c r="AA1706" s="142" t="s">
        <v>3047</v>
      </c>
      <c r="AB1706" s="142" t="s">
        <v>3047</v>
      </c>
      <c r="AC1706" s="142" t="s">
        <v>3047</v>
      </c>
      <c r="AD1706" s="142" t="s">
        <v>3047</v>
      </c>
      <c r="AE1706" s="142" t="s">
        <v>3047</v>
      </c>
      <c r="AF1706" s="142" t="s">
        <v>3047</v>
      </c>
      <c r="AG1706" s="142" t="s">
        <v>3047</v>
      </c>
      <c r="AH1706" s="142" t="s">
        <v>3047</v>
      </c>
      <c r="AI1706" s="142" t="s">
        <v>3047</v>
      </c>
      <c r="AJ1706" s="142">
        <f>B1706*IBGE_2!AJ$1706/100</f>
        <v>0.1</v>
      </c>
      <c r="AK1706" s="142" t="s">
        <v>3047</v>
      </c>
      <c r="AL1706" s="142">
        <f>B1706*IBGE_2!AL$1706/100</f>
        <v>10.564</v>
      </c>
      <c r="AM1706" s="142">
        <f>B1706*IBGE_2!AM$1706/100</f>
        <v>9.5269999999999992</v>
      </c>
      <c r="AN1706" s="161"/>
    </row>
    <row r="1707" spans="1:40">
      <c r="A1707" s="143" t="s">
        <v>2767</v>
      </c>
      <c r="B1707" s="141">
        <v>100</v>
      </c>
      <c r="C1707" s="142">
        <f>B1707*IBGE_2!C$1707/100</f>
        <v>48</v>
      </c>
      <c r="D1707" s="142" t="s">
        <v>3047</v>
      </c>
      <c r="E1707" s="142" t="s">
        <v>3047</v>
      </c>
      <c r="F1707" s="142" t="s">
        <v>3047</v>
      </c>
      <c r="G1707" s="142" t="s">
        <v>3047</v>
      </c>
      <c r="H1707" s="142" t="s">
        <v>3047</v>
      </c>
      <c r="I1707" s="142" t="s">
        <v>3047</v>
      </c>
      <c r="J1707" s="142" t="s">
        <v>3047</v>
      </c>
      <c r="K1707" s="142" t="s">
        <v>3047</v>
      </c>
      <c r="L1707" s="142">
        <f>B1707*IBGE_2!L$1707/100</f>
        <v>12.3</v>
      </c>
      <c r="M1707" s="142" t="s">
        <v>3047</v>
      </c>
      <c r="N1707" s="142">
        <f>B1707*IBGE_2!N$1707/100</f>
        <v>5</v>
      </c>
      <c r="O1707" s="142">
        <f>B1707*IBGE_2!O$1707/100</f>
        <v>1</v>
      </c>
      <c r="P1707" s="142">
        <f>B1707*IBGE_2!P$1707/100</f>
        <v>1.3000000000000001E-2</v>
      </c>
      <c r="Q1707" s="142">
        <f>B1707*IBGE_2!Q$1707/100</f>
        <v>1</v>
      </c>
      <c r="R1707" s="142">
        <f>B1707*IBGE_2!R$1707/100</f>
        <v>0.06</v>
      </c>
      <c r="S1707" s="142">
        <f>B1707*IBGE_2!S$1707/100</f>
        <v>12</v>
      </c>
      <c r="T1707" s="142">
        <f>B1707*IBGE_2!T$1707/100</f>
        <v>2</v>
      </c>
      <c r="U1707" s="142">
        <f>B1707*IBGE_2!U$1707/100</f>
        <v>1.4999999999999999E-2</v>
      </c>
      <c r="V1707" s="142">
        <f>B1707*IBGE_2!V$1707/100</f>
        <v>0.1</v>
      </c>
      <c r="W1707" s="142" t="s">
        <v>3047</v>
      </c>
      <c r="X1707" s="142" t="s">
        <v>3047</v>
      </c>
      <c r="Y1707" s="142" t="s">
        <v>3047</v>
      </c>
      <c r="Z1707" s="142" t="s">
        <v>3047</v>
      </c>
      <c r="AA1707" s="142" t="s">
        <v>3047</v>
      </c>
      <c r="AB1707" s="142" t="s">
        <v>3047</v>
      </c>
      <c r="AC1707" s="142" t="s">
        <v>3047</v>
      </c>
      <c r="AD1707" s="142" t="s">
        <v>3047</v>
      </c>
      <c r="AE1707" s="142" t="s">
        <v>3047</v>
      </c>
      <c r="AF1707" s="142" t="s">
        <v>3047</v>
      </c>
      <c r="AG1707" s="142" t="s">
        <v>3047</v>
      </c>
      <c r="AH1707" s="142" t="s">
        <v>3047</v>
      </c>
      <c r="AI1707" s="142" t="s">
        <v>3047</v>
      </c>
      <c r="AJ1707" s="142" t="s">
        <v>3047</v>
      </c>
      <c r="AK1707" s="142" t="s">
        <v>3047</v>
      </c>
      <c r="AL1707" s="142">
        <f>B1707*IBGE_2!AL$1707/100</f>
        <v>12.03</v>
      </c>
      <c r="AM1707" s="142">
        <f>B1707*IBGE_2!AM$1707/100</f>
        <v>12.3</v>
      </c>
      <c r="AN1707" s="161"/>
    </row>
    <row r="1708" spans="1:40">
      <c r="A1708" s="143" t="s">
        <v>2768</v>
      </c>
      <c r="B1708" s="141">
        <v>100</v>
      </c>
      <c r="C1708" s="142">
        <f>B1708*IBGE_2!C$1708/100</f>
        <v>48</v>
      </c>
      <c r="D1708" s="142" t="s">
        <v>3047</v>
      </c>
      <c r="E1708" s="142" t="s">
        <v>3047</v>
      </c>
      <c r="F1708" s="142" t="s">
        <v>3047</v>
      </c>
      <c r="G1708" s="142" t="s">
        <v>3047</v>
      </c>
      <c r="H1708" s="142" t="s">
        <v>3047</v>
      </c>
      <c r="I1708" s="142" t="s">
        <v>3047</v>
      </c>
      <c r="J1708" s="142" t="s">
        <v>3047</v>
      </c>
      <c r="K1708" s="142" t="s">
        <v>3047</v>
      </c>
      <c r="L1708" s="142">
        <f>B1708*IBGE_2!L$1708/100</f>
        <v>12.3</v>
      </c>
      <c r="M1708" s="142" t="s">
        <v>3047</v>
      </c>
      <c r="N1708" s="142">
        <f>B1708*IBGE_2!N$1708/100</f>
        <v>5</v>
      </c>
      <c r="O1708" s="142">
        <f>B1708*IBGE_2!O$1708/100</f>
        <v>1</v>
      </c>
      <c r="P1708" s="142">
        <f>B1708*IBGE_2!P$1708/100</f>
        <v>1.3000000000000001E-2</v>
      </c>
      <c r="Q1708" s="142">
        <f>B1708*IBGE_2!Q$1708/100</f>
        <v>1</v>
      </c>
      <c r="R1708" s="142">
        <f>B1708*IBGE_2!R$1708/100</f>
        <v>0.06</v>
      </c>
      <c r="S1708" s="142">
        <f>B1708*IBGE_2!S$1708/100</f>
        <v>12</v>
      </c>
      <c r="T1708" s="142">
        <f>B1708*IBGE_2!T$1708/100</f>
        <v>2</v>
      </c>
      <c r="U1708" s="142">
        <f>B1708*IBGE_2!U$1708/100</f>
        <v>1.4999999999999999E-2</v>
      </c>
      <c r="V1708" s="142">
        <f>B1708*IBGE_2!V$1708/100</f>
        <v>0.1</v>
      </c>
      <c r="W1708" s="142" t="s">
        <v>3047</v>
      </c>
      <c r="X1708" s="142" t="s">
        <v>3047</v>
      </c>
      <c r="Y1708" s="142" t="s">
        <v>3047</v>
      </c>
      <c r="Z1708" s="142" t="s">
        <v>3047</v>
      </c>
      <c r="AA1708" s="142" t="s">
        <v>3047</v>
      </c>
      <c r="AB1708" s="142" t="s">
        <v>3047</v>
      </c>
      <c r="AC1708" s="142" t="s">
        <v>3047</v>
      </c>
      <c r="AD1708" s="142" t="s">
        <v>3047</v>
      </c>
      <c r="AE1708" s="142" t="s">
        <v>3047</v>
      </c>
      <c r="AF1708" s="142" t="s">
        <v>3047</v>
      </c>
      <c r="AG1708" s="142" t="s">
        <v>3047</v>
      </c>
      <c r="AH1708" s="142" t="s">
        <v>3047</v>
      </c>
      <c r="AI1708" s="142" t="s">
        <v>3047</v>
      </c>
      <c r="AJ1708" s="142" t="s">
        <v>3047</v>
      </c>
      <c r="AK1708" s="142" t="s">
        <v>3047</v>
      </c>
      <c r="AL1708" s="142">
        <f>B1708*IBGE_2!AL$1708/100</f>
        <v>12.03</v>
      </c>
      <c r="AM1708" s="142">
        <f>B1708*IBGE_2!AM$1708/100</f>
        <v>12.3</v>
      </c>
      <c r="AN1708" s="161"/>
    </row>
    <row r="1709" spans="1:40">
      <c r="A1709" s="143" t="s">
        <v>2769</v>
      </c>
      <c r="B1709" s="141">
        <v>100</v>
      </c>
      <c r="C1709" s="142">
        <f>B1709*IBGE_2!C$1709/100</f>
        <v>39</v>
      </c>
      <c r="D1709" s="142" t="s">
        <v>3047</v>
      </c>
      <c r="E1709" s="142" t="s">
        <v>3047</v>
      </c>
      <c r="F1709" s="142" t="s">
        <v>3047</v>
      </c>
      <c r="G1709" s="142" t="s">
        <v>3047</v>
      </c>
      <c r="H1709" s="142" t="s">
        <v>3047</v>
      </c>
      <c r="I1709" s="142" t="s">
        <v>3047</v>
      </c>
      <c r="J1709" s="142" t="s">
        <v>3047</v>
      </c>
      <c r="K1709" s="142" t="s">
        <v>3047</v>
      </c>
      <c r="L1709" s="142">
        <f>B1709*IBGE_2!L$1709/100</f>
        <v>10</v>
      </c>
      <c r="M1709" s="142" t="s">
        <v>3047</v>
      </c>
      <c r="N1709" s="142">
        <f>B1709*IBGE_2!N$1709/100</f>
        <v>1</v>
      </c>
      <c r="O1709" s="142" t="s">
        <v>3047</v>
      </c>
      <c r="P1709" s="142" t="s">
        <v>3047</v>
      </c>
      <c r="Q1709" s="142" t="s">
        <v>3047</v>
      </c>
      <c r="R1709" s="142" t="s">
        <v>3047</v>
      </c>
      <c r="S1709" s="142">
        <f>B1709*IBGE_2!S$1709/100</f>
        <v>9</v>
      </c>
      <c r="T1709" s="142">
        <f>B1709*IBGE_2!T$1709/100</f>
        <v>1</v>
      </c>
      <c r="U1709" s="142" t="s">
        <v>3047</v>
      </c>
      <c r="V1709" s="142" t="s">
        <v>3047</v>
      </c>
      <c r="W1709" s="142" t="s">
        <v>3047</v>
      </c>
      <c r="X1709" s="142" t="s">
        <v>3047</v>
      </c>
      <c r="Y1709" s="142" t="s">
        <v>3047</v>
      </c>
      <c r="Z1709" s="142" t="s">
        <v>3047</v>
      </c>
      <c r="AA1709" s="142" t="s">
        <v>3047</v>
      </c>
      <c r="AB1709" s="142" t="s">
        <v>3047</v>
      </c>
      <c r="AC1709" s="142" t="s">
        <v>3047</v>
      </c>
      <c r="AD1709" s="142" t="s">
        <v>3047</v>
      </c>
      <c r="AE1709" s="142" t="s">
        <v>3047</v>
      </c>
      <c r="AF1709" s="142" t="s">
        <v>3047</v>
      </c>
      <c r="AG1709" s="142" t="s">
        <v>3047</v>
      </c>
      <c r="AH1709" s="142" t="s">
        <v>3047</v>
      </c>
      <c r="AI1709" s="142" t="s">
        <v>3047</v>
      </c>
      <c r="AJ1709" s="142" t="s">
        <v>3047</v>
      </c>
      <c r="AK1709" s="142" t="s">
        <v>3047</v>
      </c>
      <c r="AL1709" s="142">
        <f>B1709*IBGE_2!AL$1709/100</f>
        <v>10</v>
      </c>
      <c r="AM1709" s="142">
        <f>B1709*IBGE_2!AM$1709/100</f>
        <v>10</v>
      </c>
      <c r="AN1709" s="161"/>
    </row>
    <row r="1710" spans="1:40">
      <c r="A1710" s="143" t="s">
        <v>2770</v>
      </c>
      <c r="B1710" s="141">
        <v>100</v>
      </c>
      <c r="C1710" s="142">
        <f>B1710*IBGE_2!C$1710/100</f>
        <v>39</v>
      </c>
      <c r="D1710" s="142" t="s">
        <v>3047</v>
      </c>
      <c r="E1710" s="142" t="s">
        <v>3047</v>
      </c>
      <c r="F1710" s="142" t="s">
        <v>3047</v>
      </c>
      <c r="G1710" s="142" t="s">
        <v>3047</v>
      </c>
      <c r="H1710" s="142" t="s">
        <v>3047</v>
      </c>
      <c r="I1710" s="142" t="s">
        <v>3047</v>
      </c>
      <c r="J1710" s="142" t="s">
        <v>3047</v>
      </c>
      <c r="K1710" s="142" t="s">
        <v>3047</v>
      </c>
      <c r="L1710" s="142">
        <f>B1710*IBGE_2!L$1710/100</f>
        <v>10</v>
      </c>
      <c r="M1710" s="142" t="s">
        <v>3047</v>
      </c>
      <c r="N1710" s="142">
        <f>B1710*IBGE_2!N$1710/100</f>
        <v>1</v>
      </c>
      <c r="O1710" s="142" t="s">
        <v>3047</v>
      </c>
      <c r="P1710" s="142" t="s">
        <v>3047</v>
      </c>
      <c r="Q1710" s="142" t="s">
        <v>3047</v>
      </c>
      <c r="R1710" s="142" t="s">
        <v>3047</v>
      </c>
      <c r="S1710" s="142">
        <f>B1710*IBGE_2!S$1710/100</f>
        <v>9</v>
      </c>
      <c r="T1710" s="142">
        <f>B1710*IBGE_2!T$1710/100</f>
        <v>1</v>
      </c>
      <c r="U1710" s="142" t="s">
        <v>3047</v>
      </c>
      <c r="V1710" s="142" t="s">
        <v>3047</v>
      </c>
      <c r="W1710" s="142" t="s">
        <v>3047</v>
      </c>
      <c r="X1710" s="142" t="s">
        <v>3047</v>
      </c>
      <c r="Y1710" s="142" t="s">
        <v>3047</v>
      </c>
      <c r="Z1710" s="142" t="s">
        <v>3047</v>
      </c>
      <c r="AA1710" s="142" t="s">
        <v>3047</v>
      </c>
      <c r="AB1710" s="142" t="s">
        <v>3047</v>
      </c>
      <c r="AC1710" s="142" t="s">
        <v>3047</v>
      </c>
      <c r="AD1710" s="142" t="s">
        <v>3047</v>
      </c>
      <c r="AE1710" s="142" t="s">
        <v>3047</v>
      </c>
      <c r="AF1710" s="142" t="s">
        <v>3047</v>
      </c>
      <c r="AG1710" s="142" t="s">
        <v>3047</v>
      </c>
      <c r="AH1710" s="142" t="s">
        <v>3047</v>
      </c>
      <c r="AI1710" s="142" t="s">
        <v>3047</v>
      </c>
      <c r="AJ1710" s="142" t="s">
        <v>3047</v>
      </c>
      <c r="AK1710" s="142" t="s">
        <v>3047</v>
      </c>
      <c r="AL1710" s="142">
        <f>B1710*IBGE_2!AL$1710/100</f>
        <v>10</v>
      </c>
      <c r="AM1710" s="142">
        <f>B1710*IBGE_2!AM$1710/100</f>
        <v>10</v>
      </c>
      <c r="AN1710" s="161"/>
    </row>
    <row r="1711" spans="1:40">
      <c r="A1711" s="143" t="s">
        <v>2771</v>
      </c>
      <c r="B1711" s="141">
        <v>100</v>
      </c>
      <c r="C1711" s="142">
        <f>B1711*IBGE_2!C$1711/100</f>
        <v>40</v>
      </c>
      <c r="D1711" s="142">
        <f>B1711*IBGE_2!D$1711/100</f>
        <v>0.05</v>
      </c>
      <c r="E1711" s="142">
        <f>B1711*IBGE_2!E$1711/100</f>
        <v>0.02</v>
      </c>
      <c r="F1711" s="142" t="s">
        <v>3047</v>
      </c>
      <c r="G1711" s="142" t="s">
        <v>3047</v>
      </c>
      <c r="H1711" s="142" t="s">
        <v>3047</v>
      </c>
      <c r="I1711" s="142" t="s">
        <v>3047</v>
      </c>
      <c r="J1711" s="142" t="s">
        <v>3047</v>
      </c>
      <c r="K1711" s="142" t="s">
        <v>3047</v>
      </c>
      <c r="L1711" s="142">
        <f>B1711*IBGE_2!L$1711/100</f>
        <v>10.14</v>
      </c>
      <c r="M1711" s="142" t="s">
        <v>3047</v>
      </c>
      <c r="N1711" s="142">
        <f>B1711*IBGE_2!N$1711/100</f>
        <v>2</v>
      </c>
      <c r="O1711" s="142">
        <f>B1711*IBGE_2!O$1711/100</f>
        <v>1</v>
      </c>
      <c r="P1711" s="142">
        <f>B1711*IBGE_2!P$1711/100</f>
        <v>2E-3</v>
      </c>
      <c r="Q1711" s="142" t="s">
        <v>3047</v>
      </c>
      <c r="R1711" s="142">
        <f>B1711*IBGE_2!R$1711/100</f>
        <v>0.11</v>
      </c>
      <c r="S1711" s="142">
        <f>B1711*IBGE_2!S$1711/100</f>
        <v>9</v>
      </c>
      <c r="T1711" s="142">
        <f>B1711*IBGE_2!T$1711/100</f>
        <v>1</v>
      </c>
      <c r="U1711" s="142">
        <f>B1711*IBGE_2!U$1711/100</f>
        <v>1E-3</v>
      </c>
      <c r="V1711" s="142">
        <f>B1711*IBGE_2!V$1711/100</f>
        <v>0.04</v>
      </c>
      <c r="W1711" s="142" t="s">
        <v>3047</v>
      </c>
      <c r="X1711" s="142" t="s">
        <v>3047</v>
      </c>
      <c r="Y1711" s="142" t="s">
        <v>3047</v>
      </c>
      <c r="Z1711" s="142" t="s">
        <v>3047</v>
      </c>
      <c r="AA1711" s="142">
        <f>B1711*IBGE_2!AA$1711/100</f>
        <v>1.4999999999999999E-2</v>
      </c>
      <c r="AB1711" s="142" t="s">
        <v>3047</v>
      </c>
      <c r="AC1711" s="142">
        <f>B1711*IBGE_2!AC$1711/100</f>
        <v>1.4999999999999999E-2</v>
      </c>
      <c r="AD1711" s="142" t="s">
        <v>3047</v>
      </c>
      <c r="AE1711" s="142" t="s">
        <v>3047</v>
      </c>
      <c r="AF1711" s="142" t="s">
        <v>3047</v>
      </c>
      <c r="AG1711" s="142" t="s">
        <v>3047</v>
      </c>
      <c r="AH1711" s="142" t="s">
        <v>3047</v>
      </c>
      <c r="AI1711" s="142" t="s">
        <v>3047</v>
      </c>
      <c r="AJ1711" s="142" t="s">
        <v>3047</v>
      </c>
      <c r="AK1711" s="142" t="s">
        <v>3047</v>
      </c>
      <c r="AL1711" s="142">
        <f>B1711*IBGE_2!AL$1711/100</f>
        <v>9.07</v>
      </c>
      <c r="AM1711" s="142">
        <f>B1711*IBGE_2!AM$1711/100</f>
        <v>10.14</v>
      </c>
      <c r="AN1711" s="161"/>
    </row>
    <row r="1712" spans="1:40">
      <c r="A1712" s="143" t="s">
        <v>2772</v>
      </c>
      <c r="B1712" s="141">
        <v>100</v>
      </c>
      <c r="C1712" s="142">
        <f>B1712*IBGE_2!C$1712/100</f>
        <v>48</v>
      </c>
      <c r="D1712" s="142" t="s">
        <v>3047</v>
      </c>
      <c r="E1712" s="142" t="s">
        <v>3047</v>
      </c>
      <c r="F1712" s="142" t="s">
        <v>3047</v>
      </c>
      <c r="G1712" s="142" t="s">
        <v>3047</v>
      </c>
      <c r="H1712" s="142" t="s">
        <v>3047</v>
      </c>
      <c r="I1712" s="142" t="s">
        <v>3047</v>
      </c>
      <c r="J1712" s="142" t="s">
        <v>3047</v>
      </c>
      <c r="K1712" s="142" t="s">
        <v>3047</v>
      </c>
      <c r="L1712" s="142">
        <f>B1712*IBGE_2!L$1712/100</f>
        <v>12.3</v>
      </c>
      <c r="M1712" s="142" t="s">
        <v>3047</v>
      </c>
      <c r="N1712" s="142">
        <f>B1712*IBGE_2!N$1712/100</f>
        <v>5</v>
      </c>
      <c r="O1712" s="142">
        <f>B1712*IBGE_2!O$1712/100</f>
        <v>1</v>
      </c>
      <c r="P1712" s="142">
        <f>B1712*IBGE_2!P$1712/100</f>
        <v>1.3000000000000001E-2</v>
      </c>
      <c r="Q1712" s="142">
        <f>B1712*IBGE_2!Q$1712/100</f>
        <v>1</v>
      </c>
      <c r="R1712" s="142">
        <f>B1712*IBGE_2!R$1712/100</f>
        <v>0.06</v>
      </c>
      <c r="S1712" s="142">
        <f>B1712*IBGE_2!S$1712/100</f>
        <v>12</v>
      </c>
      <c r="T1712" s="142">
        <f>B1712*IBGE_2!T$1712/100</f>
        <v>2</v>
      </c>
      <c r="U1712" s="142">
        <f>B1712*IBGE_2!U$1712/100</f>
        <v>1.4999999999999999E-2</v>
      </c>
      <c r="V1712" s="142">
        <f>B1712*IBGE_2!V$1712/100</f>
        <v>0.1</v>
      </c>
      <c r="W1712" s="142" t="s">
        <v>3047</v>
      </c>
      <c r="X1712" s="142" t="s">
        <v>3047</v>
      </c>
      <c r="Y1712" s="142" t="s">
        <v>3047</v>
      </c>
      <c r="Z1712" s="142" t="s">
        <v>3047</v>
      </c>
      <c r="AA1712" s="142" t="s">
        <v>3047</v>
      </c>
      <c r="AB1712" s="142" t="s">
        <v>3047</v>
      </c>
      <c r="AC1712" s="142" t="s">
        <v>3047</v>
      </c>
      <c r="AD1712" s="142" t="s">
        <v>3047</v>
      </c>
      <c r="AE1712" s="142" t="s">
        <v>3047</v>
      </c>
      <c r="AF1712" s="142" t="s">
        <v>3047</v>
      </c>
      <c r="AG1712" s="142" t="s">
        <v>3047</v>
      </c>
      <c r="AH1712" s="142" t="s">
        <v>3047</v>
      </c>
      <c r="AI1712" s="142" t="s">
        <v>3047</v>
      </c>
      <c r="AJ1712" s="142" t="s">
        <v>3047</v>
      </c>
      <c r="AK1712" s="142" t="s">
        <v>3047</v>
      </c>
      <c r="AL1712" s="142">
        <f>B1712*IBGE_2!AL$1712/100</f>
        <v>12.03</v>
      </c>
      <c r="AM1712" s="142">
        <f>B1712*IBGE_2!AM$1712/100</f>
        <v>12.3</v>
      </c>
      <c r="AN1712" s="161"/>
    </row>
    <row r="1713" spans="1:40">
      <c r="A1713" s="143" t="s">
        <v>2773</v>
      </c>
      <c r="B1713" s="141">
        <v>100</v>
      </c>
      <c r="C1713" s="142">
        <f>B1713*IBGE_2!C$1713/100</f>
        <v>2.0019999999999998</v>
      </c>
      <c r="D1713" s="142">
        <f>B1713*IBGE_2!D$1713/100</f>
        <v>0.11</v>
      </c>
      <c r="E1713" s="142">
        <f>B1713*IBGE_2!E$1713/100</f>
        <v>0.03</v>
      </c>
      <c r="F1713" s="142" t="s">
        <v>3047</v>
      </c>
      <c r="G1713" s="142" t="s">
        <v>3047</v>
      </c>
      <c r="H1713" s="142" t="s">
        <v>3047</v>
      </c>
      <c r="I1713" s="142" t="s">
        <v>3047</v>
      </c>
      <c r="J1713" s="142" t="s">
        <v>3047</v>
      </c>
      <c r="K1713" s="142" t="s">
        <v>3047</v>
      </c>
      <c r="L1713" s="142">
        <f>B1713*IBGE_2!L$1713/100</f>
        <v>0.28999999999999998</v>
      </c>
      <c r="M1713" s="142" t="s">
        <v>3047</v>
      </c>
      <c r="N1713" s="142">
        <f>B1713*IBGE_2!N$1713/100</f>
        <v>3.0030000000000001</v>
      </c>
      <c r="O1713" s="142">
        <f>B1713*IBGE_2!O$1713/100</f>
        <v>1.0009999999999999</v>
      </c>
      <c r="P1713" s="142">
        <f>B1713*IBGE_2!P$1713/100</f>
        <v>0.107</v>
      </c>
      <c r="Q1713" s="142">
        <f>B1713*IBGE_2!Q$1713/100</f>
        <v>9.0079999999999991</v>
      </c>
      <c r="R1713" s="142">
        <f>B1713*IBGE_2!R$1713/100</f>
        <v>0.11</v>
      </c>
      <c r="S1713" s="142">
        <f>B1713*IBGE_2!S$1713/100</f>
        <v>8.0069999999999997</v>
      </c>
      <c r="T1713" s="142">
        <f>B1713*IBGE_2!T$1713/100</f>
        <v>8.0069999999999997</v>
      </c>
      <c r="U1713" s="142">
        <f>B1713*IBGE_2!U$1713/100</f>
        <v>2E-3</v>
      </c>
      <c r="V1713" s="142">
        <f>B1713*IBGE_2!V$1713/100</f>
        <v>0.01</v>
      </c>
      <c r="W1713" s="142" t="s">
        <v>3047</v>
      </c>
      <c r="X1713" s="142">
        <f>B1713*IBGE_2!X$1713/100</f>
        <v>5.0000000000000001E-3</v>
      </c>
      <c r="Y1713" s="142">
        <f>B1713*IBGE_2!Y$1713/100</f>
        <v>2.3E-2</v>
      </c>
      <c r="Z1713" s="142" t="s">
        <v>3047</v>
      </c>
      <c r="AA1713" s="142" t="s">
        <v>3047</v>
      </c>
      <c r="AB1713" s="142" t="s">
        <v>3047</v>
      </c>
      <c r="AC1713" s="142" t="s">
        <v>3047</v>
      </c>
      <c r="AD1713" s="142" t="s">
        <v>3047</v>
      </c>
      <c r="AE1713" s="142" t="s">
        <v>3047</v>
      </c>
      <c r="AF1713" s="142" t="s">
        <v>3047</v>
      </c>
      <c r="AG1713" s="142" t="s">
        <v>3047</v>
      </c>
      <c r="AH1713" s="142" t="s">
        <v>3047</v>
      </c>
      <c r="AI1713" s="142" t="s">
        <v>3047</v>
      </c>
      <c r="AJ1713" s="142" t="s">
        <v>3047</v>
      </c>
      <c r="AK1713" s="142" t="s">
        <v>3047</v>
      </c>
      <c r="AL1713" s="142" t="s">
        <v>3047</v>
      </c>
      <c r="AM1713" s="142" t="s">
        <v>3047</v>
      </c>
      <c r="AN1713" s="161"/>
    </row>
    <row r="1714" spans="1:40">
      <c r="A1714" s="143" t="s">
        <v>2774</v>
      </c>
      <c r="B1714" s="141">
        <v>100</v>
      </c>
      <c r="C1714" s="142">
        <f>B1714*IBGE_2!C$1714/100</f>
        <v>2.0019999999999998</v>
      </c>
      <c r="D1714" s="142">
        <f>B1714*IBGE_2!D$1714/100</f>
        <v>0.11</v>
      </c>
      <c r="E1714" s="142">
        <f>B1714*IBGE_2!E$1714/100</f>
        <v>0.03</v>
      </c>
      <c r="F1714" s="142" t="s">
        <v>3047</v>
      </c>
      <c r="G1714" s="142" t="s">
        <v>3047</v>
      </c>
      <c r="H1714" s="142" t="s">
        <v>3047</v>
      </c>
      <c r="I1714" s="142" t="s">
        <v>3047</v>
      </c>
      <c r="J1714" s="142" t="s">
        <v>3047</v>
      </c>
      <c r="K1714" s="142" t="s">
        <v>3047</v>
      </c>
      <c r="L1714" s="142">
        <f>B1714*IBGE_2!L$1714/100</f>
        <v>0.28999999999999998</v>
      </c>
      <c r="M1714" s="142" t="s">
        <v>3047</v>
      </c>
      <c r="N1714" s="142">
        <f>B1714*IBGE_2!N$1714/100</f>
        <v>3.0030000000000001</v>
      </c>
      <c r="O1714" s="142">
        <f>B1714*IBGE_2!O$1714/100</f>
        <v>1.0009999999999999</v>
      </c>
      <c r="P1714" s="142">
        <f>B1714*IBGE_2!P$1714/100</f>
        <v>0.107</v>
      </c>
      <c r="Q1714" s="142">
        <f>B1714*IBGE_2!Q$1714/100</f>
        <v>9.0079999999999991</v>
      </c>
      <c r="R1714" s="142">
        <f>B1714*IBGE_2!R$1714/100</f>
        <v>0.11</v>
      </c>
      <c r="S1714" s="142">
        <f>B1714*IBGE_2!S$1714/100</f>
        <v>8.0069999999999997</v>
      </c>
      <c r="T1714" s="142">
        <f>B1714*IBGE_2!T$1714/100</f>
        <v>8.0069999999999997</v>
      </c>
      <c r="U1714" s="142">
        <f>B1714*IBGE_2!U$1714/100</f>
        <v>2E-3</v>
      </c>
      <c r="V1714" s="142">
        <f>B1714*IBGE_2!V$1714/100</f>
        <v>0.01</v>
      </c>
      <c r="W1714" s="142" t="s">
        <v>3047</v>
      </c>
      <c r="X1714" s="142">
        <f>B1714*IBGE_2!X$1714/100</f>
        <v>5.0000000000000001E-3</v>
      </c>
      <c r="Y1714" s="142">
        <f>B1714*IBGE_2!Y$1714/100</f>
        <v>2.3E-2</v>
      </c>
      <c r="Z1714" s="142" t="s">
        <v>3047</v>
      </c>
      <c r="AA1714" s="142" t="s">
        <v>3047</v>
      </c>
      <c r="AB1714" s="142" t="s">
        <v>3047</v>
      </c>
      <c r="AC1714" s="142" t="s">
        <v>3047</v>
      </c>
      <c r="AD1714" s="142" t="s">
        <v>3047</v>
      </c>
      <c r="AE1714" s="142" t="s">
        <v>3047</v>
      </c>
      <c r="AF1714" s="142" t="s">
        <v>3047</v>
      </c>
      <c r="AG1714" s="142" t="s">
        <v>3047</v>
      </c>
      <c r="AH1714" s="142" t="s">
        <v>3047</v>
      </c>
      <c r="AI1714" s="142" t="s">
        <v>3047</v>
      </c>
      <c r="AJ1714" s="142" t="s">
        <v>3047</v>
      </c>
      <c r="AK1714" s="142" t="s">
        <v>3047</v>
      </c>
      <c r="AL1714" s="142" t="s">
        <v>3047</v>
      </c>
      <c r="AM1714" s="142" t="s">
        <v>3047</v>
      </c>
      <c r="AN1714" s="161"/>
    </row>
    <row r="1715" spans="1:40">
      <c r="A1715" s="143" t="s">
        <v>2775</v>
      </c>
      <c r="B1715" s="141">
        <v>100</v>
      </c>
      <c r="C1715" s="142">
        <f>B1715*IBGE_2!C$1715/100</f>
        <v>2</v>
      </c>
      <c r="D1715" s="142">
        <f>B1715*IBGE_2!D$1715/100</f>
        <v>0.11</v>
      </c>
      <c r="E1715" s="142">
        <f>B1715*IBGE_2!E$1715/100</f>
        <v>0.03</v>
      </c>
      <c r="F1715" s="142" t="s">
        <v>3047</v>
      </c>
      <c r="G1715" s="142" t="s">
        <v>3047</v>
      </c>
      <c r="H1715" s="142" t="s">
        <v>3047</v>
      </c>
      <c r="I1715" s="142" t="s">
        <v>3047</v>
      </c>
      <c r="J1715" s="142" t="s">
        <v>3047</v>
      </c>
      <c r="K1715" s="142" t="s">
        <v>3047</v>
      </c>
      <c r="L1715" s="142">
        <f>B1715*IBGE_2!L$1715/100</f>
        <v>0.28999999999999998</v>
      </c>
      <c r="M1715" s="142" t="s">
        <v>3047</v>
      </c>
      <c r="N1715" s="142">
        <f>B1715*IBGE_2!N$1715/100</f>
        <v>3</v>
      </c>
      <c r="O1715" s="142">
        <f>B1715*IBGE_2!O$1715/100</f>
        <v>1</v>
      </c>
      <c r="P1715" s="142">
        <f>B1715*IBGE_2!P$1715/100</f>
        <v>0.107</v>
      </c>
      <c r="Q1715" s="142">
        <f>B1715*IBGE_2!Q$1715/100</f>
        <v>9</v>
      </c>
      <c r="R1715" s="142">
        <f>B1715*IBGE_2!R$1715/100</f>
        <v>0.11</v>
      </c>
      <c r="S1715" s="142">
        <f>B1715*IBGE_2!S$1715/100</f>
        <v>8</v>
      </c>
      <c r="T1715" s="142">
        <f>B1715*IBGE_2!T$1715/100</f>
        <v>8</v>
      </c>
      <c r="U1715" s="142">
        <f>B1715*IBGE_2!U$1715/100</f>
        <v>2E-3</v>
      </c>
      <c r="V1715" s="142">
        <f>B1715*IBGE_2!V$1715/100</f>
        <v>0.01</v>
      </c>
      <c r="W1715" s="142" t="s">
        <v>3047</v>
      </c>
      <c r="X1715" s="142">
        <f>B1715*IBGE_2!X$1715/100</f>
        <v>5.0000000000000001E-3</v>
      </c>
      <c r="Y1715" s="142">
        <f>B1715*IBGE_2!Y$1715/100</f>
        <v>2.3E-2</v>
      </c>
      <c r="Z1715" s="142" t="s">
        <v>3047</v>
      </c>
      <c r="AA1715" s="142" t="s">
        <v>3047</v>
      </c>
      <c r="AB1715" s="142" t="s">
        <v>3047</v>
      </c>
      <c r="AC1715" s="142" t="s">
        <v>3047</v>
      </c>
      <c r="AD1715" s="142" t="s">
        <v>3047</v>
      </c>
      <c r="AE1715" s="142" t="s">
        <v>3047</v>
      </c>
      <c r="AF1715" s="142" t="s">
        <v>3047</v>
      </c>
      <c r="AG1715" s="142" t="s">
        <v>3047</v>
      </c>
      <c r="AH1715" s="142" t="s">
        <v>3047</v>
      </c>
      <c r="AI1715" s="142" t="s">
        <v>3047</v>
      </c>
      <c r="AJ1715" s="142" t="s">
        <v>3047</v>
      </c>
      <c r="AK1715" s="142" t="s">
        <v>3047</v>
      </c>
      <c r="AL1715" s="142" t="s">
        <v>3047</v>
      </c>
      <c r="AM1715" s="142" t="s">
        <v>3047</v>
      </c>
      <c r="AN1715" s="161"/>
    </row>
    <row r="1716" spans="1:40">
      <c r="A1716" s="143" t="s">
        <v>2776</v>
      </c>
      <c r="B1716" s="141">
        <v>100</v>
      </c>
      <c r="C1716" s="142">
        <f>B1716*IBGE_2!C$1716/100</f>
        <v>40</v>
      </c>
      <c r="D1716" s="142">
        <f>B1716*IBGE_2!D$1716/100</f>
        <v>0.05</v>
      </c>
      <c r="E1716" s="142">
        <f>B1716*IBGE_2!E$1716/100</f>
        <v>0.02</v>
      </c>
      <c r="F1716" s="142" t="s">
        <v>3047</v>
      </c>
      <c r="G1716" s="142" t="s">
        <v>3047</v>
      </c>
      <c r="H1716" s="142" t="s">
        <v>3047</v>
      </c>
      <c r="I1716" s="142" t="s">
        <v>3047</v>
      </c>
      <c r="J1716" s="142" t="s">
        <v>3047</v>
      </c>
      <c r="K1716" s="142" t="s">
        <v>3047</v>
      </c>
      <c r="L1716" s="142">
        <f>B1716*IBGE_2!L$1716/100</f>
        <v>10.14</v>
      </c>
      <c r="M1716" s="142" t="s">
        <v>3047</v>
      </c>
      <c r="N1716" s="142">
        <f>B1716*IBGE_2!N$1716/100</f>
        <v>2</v>
      </c>
      <c r="O1716" s="142">
        <f>B1716*IBGE_2!O$1716/100</f>
        <v>1</v>
      </c>
      <c r="P1716" s="142">
        <f>B1716*IBGE_2!P$1716/100</f>
        <v>2E-3</v>
      </c>
      <c r="Q1716" s="142" t="s">
        <v>3047</v>
      </c>
      <c r="R1716" s="142">
        <f>B1716*IBGE_2!R$1716/100</f>
        <v>0.11</v>
      </c>
      <c r="S1716" s="142">
        <f>B1716*IBGE_2!S$1716/100</f>
        <v>9</v>
      </c>
      <c r="T1716" s="142">
        <f>B1716*IBGE_2!T$1716/100</f>
        <v>1</v>
      </c>
      <c r="U1716" s="142">
        <f>B1716*IBGE_2!U$1716/100</f>
        <v>1E-3</v>
      </c>
      <c r="V1716" s="142">
        <f>B1716*IBGE_2!V$1716/100</f>
        <v>0.04</v>
      </c>
      <c r="W1716" s="142" t="s">
        <v>3047</v>
      </c>
      <c r="X1716" s="142" t="s">
        <v>3047</v>
      </c>
      <c r="Y1716" s="142" t="s">
        <v>3047</v>
      </c>
      <c r="Z1716" s="142" t="s">
        <v>3047</v>
      </c>
      <c r="AA1716" s="142">
        <f>B1716*IBGE_2!AA$1716/100</f>
        <v>1.4999999999999999E-2</v>
      </c>
      <c r="AB1716" s="142" t="s">
        <v>3047</v>
      </c>
      <c r="AC1716" s="142">
        <f>B1716*IBGE_2!AC$1716/100</f>
        <v>1.4999999999999999E-2</v>
      </c>
      <c r="AD1716" s="142" t="s">
        <v>3047</v>
      </c>
      <c r="AE1716" s="142" t="s">
        <v>3047</v>
      </c>
      <c r="AF1716" s="142" t="s">
        <v>3047</v>
      </c>
      <c r="AG1716" s="142" t="s">
        <v>3047</v>
      </c>
      <c r="AH1716" s="142" t="s">
        <v>3047</v>
      </c>
      <c r="AI1716" s="142" t="s">
        <v>3047</v>
      </c>
      <c r="AJ1716" s="142" t="s">
        <v>3047</v>
      </c>
      <c r="AK1716" s="142" t="s">
        <v>3047</v>
      </c>
      <c r="AL1716" s="142">
        <f>B1716*IBGE_2!AL$1716/100</f>
        <v>9.07</v>
      </c>
      <c r="AM1716" s="142">
        <f>B1716*IBGE_2!AM$1716/100</f>
        <v>10.14</v>
      </c>
      <c r="AN1716" s="161"/>
    </row>
    <row r="1717" spans="1:40">
      <c r="A1717" s="143" t="s">
        <v>2777</v>
      </c>
      <c r="B1717" s="141">
        <v>100</v>
      </c>
      <c r="C1717" s="142">
        <f>B1717*IBGE_2!C$1717/100</f>
        <v>2.8029999999999999</v>
      </c>
      <c r="D1717" s="142">
        <f>B1717*IBGE_2!D$1717/100</f>
        <v>0.25</v>
      </c>
      <c r="E1717" s="142" t="s">
        <v>3047</v>
      </c>
      <c r="F1717" s="142" t="s">
        <v>3047</v>
      </c>
      <c r="G1717" s="142" t="s">
        <v>3047</v>
      </c>
      <c r="H1717" s="142" t="s">
        <v>3047</v>
      </c>
      <c r="I1717" s="142" t="s">
        <v>3047</v>
      </c>
      <c r="J1717" s="142" t="s">
        <v>3047</v>
      </c>
      <c r="K1717" s="142" t="s">
        <v>3047</v>
      </c>
      <c r="L1717" s="142">
        <f>B1717*IBGE_2!L$1717/100</f>
        <v>2.3119999999999998</v>
      </c>
      <c r="M1717" s="142">
        <f>B1717*IBGE_2!M$1717/100</f>
        <v>1.8620000000000001</v>
      </c>
      <c r="N1717" s="142">
        <f>B1717*IBGE_2!N$1717/100</f>
        <v>4.7039999999999997</v>
      </c>
      <c r="O1717" s="142">
        <f>B1717*IBGE_2!O$1717/100</f>
        <v>1.125</v>
      </c>
      <c r="P1717" s="142">
        <f>B1717*IBGE_2!P$1717/100</f>
        <v>38.335000000000001</v>
      </c>
      <c r="Q1717" s="142">
        <f>B1717*IBGE_2!Q$1717/100</f>
        <v>0.88099999999999989</v>
      </c>
      <c r="R1717" s="142">
        <f>B1717*IBGE_2!R$1717/100</f>
        <v>0.15</v>
      </c>
      <c r="S1717" s="142">
        <f>B1717*IBGE_2!S$1717/100</f>
        <v>0.26900000000000002</v>
      </c>
      <c r="T1717" s="142">
        <f>B1717*IBGE_2!T$1717/100</f>
        <v>11.01</v>
      </c>
      <c r="U1717" s="142">
        <f>B1717*IBGE_2!U$1717/100</f>
        <v>0.3</v>
      </c>
      <c r="V1717" s="142">
        <f>B1717*IBGE_2!V$1717/100</f>
        <v>1.3009999999999999</v>
      </c>
      <c r="W1717" s="142" t="s">
        <v>3047</v>
      </c>
      <c r="X1717" s="142">
        <f>B1717*IBGE_2!X$1717/100</f>
        <v>2.8000000000000004E-2</v>
      </c>
      <c r="Y1717" s="142">
        <f>B1717*IBGE_2!Y$1717/100</f>
        <v>1.4000000000000002E-2</v>
      </c>
      <c r="Z1717" s="142">
        <f>B1717*IBGE_2!Z$1717/100</f>
        <v>1.7999999999999999E-2</v>
      </c>
      <c r="AA1717" s="142">
        <f>B1717*IBGE_2!AA$1717/100</f>
        <v>2.4E-2</v>
      </c>
      <c r="AB1717" s="142">
        <f>B1717*IBGE_2!AB$1717/100</f>
        <v>0.16</v>
      </c>
      <c r="AC1717" s="142">
        <f>B1717*IBGE_2!AC$1717/100</f>
        <v>7.3999999999999996E-2</v>
      </c>
      <c r="AD1717" s="142" t="s">
        <v>3047</v>
      </c>
      <c r="AE1717" s="142">
        <f>B1717*IBGE_2!AE$1717/100</f>
        <v>1.0009999999999999</v>
      </c>
      <c r="AF1717" s="142" t="s">
        <v>3047</v>
      </c>
      <c r="AG1717" s="142" t="s">
        <v>3047</v>
      </c>
      <c r="AH1717" s="142" t="s">
        <v>3047</v>
      </c>
      <c r="AI1717" s="142" t="s">
        <v>3047</v>
      </c>
      <c r="AJ1717" s="142">
        <f>B1717*IBGE_2!AJ$1717/100</f>
        <v>7.3999999999999996E-2</v>
      </c>
      <c r="AK1717" s="142" t="s">
        <v>3047</v>
      </c>
      <c r="AL1717" s="142">
        <f>B1717*IBGE_2!AL$1717/100</f>
        <v>6.4000000000000001E-2</v>
      </c>
      <c r="AM1717" s="145" t="s">
        <v>3047</v>
      </c>
      <c r="AN1717" s="161"/>
    </row>
    <row r="1718" spans="1:40">
      <c r="A1718" s="143" t="s">
        <v>2778</v>
      </c>
      <c r="B1718" s="141">
        <v>100</v>
      </c>
      <c r="C1718" s="142">
        <f>B1718*IBGE_2!C$1718/100</f>
        <v>39</v>
      </c>
      <c r="D1718" s="142" t="s">
        <v>3047</v>
      </c>
      <c r="E1718" s="142" t="s">
        <v>3047</v>
      </c>
      <c r="F1718" s="142" t="s">
        <v>3047</v>
      </c>
      <c r="G1718" s="142" t="s">
        <v>3047</v>
      </c>
      <c r="H1718" s="142" t="s">
        <v>3047</v>
      </c>
      <c r="I1718" s="142" t="s">
        <v>3047</v>
      </c>
      <c r="J1718" s="142" t="s">
        <v>3047</v>
      </c>
      <c r="K1718" s="142" t="s">
        <v>3047</v>
      </c>
      <c r="L1718" s="142">
        <f>B1718*IBGE_2!L$1718/100</f>
        <v>10</v>
      </c>
      <c r="M1718" s="142" t="s">
        <v>3047</v>
      </c>
      <c r="N1718" s="142">
        <f>B1718*IBGE_2!N$1718/100</f>
        <v>1</v>
      </c>
      <c r="O1718" s="142" t="s">
        <v>3047</v>
      </c>
      <c r="P1718" s="142" t="s">
        <v>3047</v>
      </c>
      <c r="Q1718" s="142" t="s">
        <v>3047</v>
      </c>
      <c r="R1718" s="142" t="s">
        <v>3047</v>
      </c>
      <c r="S1718" s="142">
        <f>B1718*IBGE_2!S$1718/100</f>
        <v>9</v>
      </c>
      <c r="T1718" s="142">
        <f>B1718*IBGE_2!T$1718/100</f>
        <v>1</v>
      </c>
      <c r="U1718" s="142" t="s">
        <v>3047</v>
      </c>
      <c r="V1718" s="142" t="s">
        <v>3047</v>
      </c>
      <c r="W1718" s="142" t="s">
        <v>3047</v>
      </c>
      <c r="X1718" s="142" t="s">
        <v>3047</v>
      </c>
      <c r="Y1718" s="142" t="s">
        <v>3047</v>
      </c>
      <c r="Z1718" s="142" t="s">
        <v>3047</v>
      </c>
      <c r="AA1718" s="142" t="s">
        <v>3047</v>
      </c>
      <c r="AB1718" s="142" t="s">
        <v>3047</v>
      </c>
      <c r="AC1718" s="142" t="s">
        <v>3047</v>
      </c>
      <c r="AD1718" s="142" t="s">
        <v>3047</v>
      </c>
      <c r="AE1718" s="142" t="s">
        <v>3047</v>
      </c>
      <c r="AF1718" s="142" t="s">
        <v>3047</v>
      </c>
      <c r="AG1718" s="142" t="s">
        <v>3047</v>
      </c>
      <c r="AH1718" s="142" t="s">
        <v>3047</v>
      </c>
      <c r="AI1718" s="142" t="s">
        <v>3047</v>
      </c>
      <c r="AJ1718" s="142" t="s">
        <v>3047</v>
      </c>
      <c r="AK1718" s="142" t="s">
        <v>3047</v>
      </c>
      <c r="AL1718" s="142">
        <f>B1718*IBGE_2!AL$1718/100</f>
        <v>10</v>
      </c>
      <c r="AM1718" s="142">
        <f>B1718*IBGE_2!AM$1718/100</f>
        <v>10</v>
      </c>
      <c r="AN1718" s="161"/>
    </row>
    <row r="1719" spans="1:40">
      <c r="A1719" s="143" t="s">
        <v>2779</v>
      </c>
      <c r="B1719" s="141">
        <v>100</v>
      </c>
      <c r="C1719" s="142" t="s">
        <v>3047</v>
      </c>
      <c r="D1719" s="142">
        <f>B1719*IBGE_2!D$1719/100</f>
        <v>0.1</v>
      </c>
      <c r="E1719" s="142" t="s">
        <v>3047</v>
      </c>
      <c r="F1719" s="142" t="s">
        <v>3047</v>
      </c>
      <c r="G1719" s="142" t="s">
        <v>3047</v>
      </c>
      <c r="H1719" s="142" t="s">
        <v>3047</v>
      </c>
      <c r="I1719" s="142" t="s">
        <v>3047</v>
      </c>
      <c r="J1719" s="142" t="s">
        <v>3047</v>
      </c>
      <c r="K1719" s="142" t="s">
        <v>3047</v>
      </c>
      <c r="L1719" s="142" t="s">
        <v>3047</v>
      </c>
      <c r="M1719" s="142" t="s">
        <v>3047</v>
      </c>
      <c r="N1719" s="142">
        <f>B1719*IBGE_2!N$1719/100</f>
        <v>4.0039999999999996</v>
      </c>
      <c r="O1719" s="142">
        <f>B1719*IBGE_2!O$1719/100</f>
        <v>1.0009999999999999</v>
      </c>
      <c r="P1719" s="142">
        <f>B1719*IBGE_2!P$1719/100</f>
        <v>1.7000000000000001E-2</v>
      </c>
      <c r="Q1719" s="142" t="s">
        <v>3047</v>
      </c>
      <c r="R1719" s="142">
        <f>B1719*IBGE_2!R$1719/100</f>
        <v>0.04</v>
      </c>
      <c r="S1719" s="142">
        <f>B1719*IBGE_2!S$1719/100</f>
        <v>6.0060000000000002</v>
      </c>
      <c r="T1719" s="142">
        <f>B1719*IBGE_2!T$1719/100</f>
        <v>2.0019999999999998</v>
      </c>
      <c r="U1719" s="142">
        <f>B1719*IBGE_2!U$1719/100</f>
        <v>2.5000000000000001E-2</v>
      </c>
      <c r="V1719" s="142" t="s">
        <v>3047</v>
      </c>
      <c r="W1719" s="142" t="s">
        <v>3047</v>
      </c>
      <c r="X1719" s="142" t="s">
        <v>3047</v>
      </c>
      <c r="Y1719" s="142" t="s">
        <v>3047</v>
      </c>
      <c r="Z1719" s="142" t="s">
        <v>3047</v>
      </c>
      <c r="AA1719" s="142" t="s">
        <v>3047</v>
      </c>
      <c r="AB1719" s="142" t="s">
        <v>3047</v>
      </c>
      <c r="AC1719" s="142" t="s">
        <v>3047</v>
      </c>
      <c r="AD1719" s="142" t="s">
        <v>3047</v>
      </c>
      <c r="AE1719" s="142" t="s">
        <v>3047</v>
      </c>
      <c r="AF1719" s="142" t="s">
        <v>3047</v>
      </c>
      <c r="AG1719" s="142" t="s">
        <v>3047</v>
      </c>
      <c r="AH1719" s="142" t="s">
        <v>3047</v>
      </c>
      <c r="AI1719" s="142" t="s">
        <v>3047</v>
      </c>
      <c r="AJ1719" s="142" t="s">
        <v>3047</v>
      </c>
      <c r="AK1719" s="142" t="s">
        <v>3047</v>
      </c>
      <c r="AL1719" s="142" t="s">
        <v>3047</v>
      </c>
      <c r="AM1719" s="142" t="s">
        <v>3047</v>
      </c>
      <c r="AN1719" s="161"/>
    </row>
    <row r="1720" spans="1:40">
      <c r="A1720" s="143" t="s">
        <v>2780</v>
      </c>
      <c r="B1720" s="141">
        <v>100</v>
      </c>
      <c r="C1720" s="142" t="s">
        <v>3047</v>
      </c>
      <c r="D1720" s="142" t="s">
        <v>3047</v>
      </c>
      <c r="E1720" s="142" t="s">
        <v>3047</v>
      </c>
      <c r="F1720" s="142" t="s">
        <v>3047</v>
      </c>
      <c r="G1720" s="142" t="s">
        <v>3047</v>
      </c>
      <c r="H1720" s="142" t="s">
        <v>3047</v>
      </c>
      <c r="I1720" s="142" t="s">
        <v>3047</v>
      </c>
      <c r="J1720" s="142" t="s">
        <v>3047</v>
      </c>
      <c r="K1720" s="142" t="s">
        <v>3047</v>
      </c>
      <c r="L1720" s="142" t="s">
        <v>3047</v>
      </c>
      <c r="M1720" s="142" t="s">
        <v>3047</v>
      </c>
      <c r="N1720" s="142" t="s">
        <v>3047</v>
      </c>
      <c r="O1720" s="142" t="s">
        <v>3047</v>
      </c>
      <c r="P1720" s="142" t="s">
        <v>3047</v>
      </c>
      <c r="Q1720" s="142" t="s">
        <v>3047</v>
      </c>
      <c r="R1720" s="142" t="s">
        <v>3047</v>
      </c>
      <c r="S1720" s="142">
        <f>B1720*IBGE_2!S$1720/100</f>
        <v>15</v>
      </c>
      <c r="T1720" s="142" t="s">
        <v>3047</v>
      </c>
      <c r="U1720" s="142" t="s">
        <v>3047</v>
      </c>
      <c r="V1720" s="142" t="s">
        <v>3047</v>
      </c>
      <c r="W1720" s="142" t="s">
        <v>3047</v>
      </c>
      <c r="X1720" s="142" t="s">
        <v>3048</v>
      </c>
      <c r="Y1720" s="142" t="s">
        <v>3047</v>
      </c>
      <c r="Z1720" s="142" t="s">
        <v>3047</v>
      </c>
      <c r="AA1720" s="142" t="s">
        <v>3047</v>
      </c>
      <c r="AB1720" s="142" t="s">
        <v>3047</v>
      </c>
      <c r="AC1720" s="142" t="s">
        <v>3047</v>
      </c>
      <c r="AD1720" s="142" t="s">
        <v>3047</v>
      </c>
      <c r="AE1720" s="142" t="s">
        <v>3047</v>
      </c>
      <c r="AF1720" s="142" t="s">
        <v>3047</v>
      </c>
      <c r="AG1720" s="142" t="s">
        <v>3047</v>
      </c>
      <c r="AH1720" s="142" t="s">
        <v>3047</v>
      </c>
      <c r="AI1720" s="142" t="s">
        <v>3047</v>
      </c>
      <c r="AJ1720" s="142" t="s">
        <v>3047</v>
      </c>
      <c r="AK1720" s="142" t="s">
        <v>3047</v>
      </c>
      <c r="AL1720" s="142" t="s">
        <v>3047</v>
      </c>
      <c r="AM1720" s="142" t="s">
        <v>3047</v>
      </c>
      <c r="AN1720" s="161"/>
    </row>
    <row r="1721" spans="1:40">
      <c r="A1721" s="143" t="s">
        <v>2781</v>
      </c>
      <c r="B1721" s="141">
        <v>100</v>
      </c>
      <c r="C1721" s="142" t="s">
        <v>3047</v>
      </c>
      <c r="D1721" s="142" t="s">
        <v>3047</v>
      </c>
      <c r="E1721" s="142" t="s">
        <v>3047</v>
      </c>
      <c r="F1721" s="142" t="s">
        <v>3047</v>
      </c>
      <c r="G1721" s="142" t="s">
        <v>3047</v>
      </c>
      <c r="H1721" s="142" t="s">
        <v>3047</v>
      </c>
      <c r="I1721" s="142" t="s">
        <v>3047</v>
      </c>
      <c r="J1721" s="142" t="s">
        <v>3047</v>
      </c>
      <c r="K1721" s="142" t="s">
        <v>3047</v>
      </c>
      <c r="L1721" s="142" t="s">
        <v>3047</v>
      </c>
      <c r="M1721" s="142" t="s">
        <v>3047</v>
      </c>
      <c r="N1721" s="142" t="s">
        <v>3047</v>
      </c>
      <c r="O1721" s="142" t="s">
        <v>3047</v>
      </c>
      <c r="P1721" s="142" t="s">
        <v>3047</v>
      </c>
      <c r="Q1721" s="142" t="s">
        <v>3047</v>
      </c>
      <c r="R1721" s="142" t="s">
        <v>3047</v>
      </c>
      <c r="S1721" s="142">
        <f>B1721*IBGE_2!S$1721/100</f>
        <v>15</v>
      </c>
      <c r="T1721" s="142" t="s">
        <v>3047</v>
      </c>
      <c r="U1721" s="142" t="s">
        <v>3047</v>
      </c>
      <c r="V1721" s="142" t="s">
        <v>3047</v>
      </c>
      <c r="W1721" s="142" t="s">
        <v>3047</v>
      </c>
      <c r="X1721" s="142" t="s">
        <v>3047</v>
      </c>
      <c r="Y1721" s="142" t="s">
        <v>3047</v>
      </c>
      <c r="Z1721" s="142" t="s">
        <v>3047</v>
      </c>
      <c r="AA1721" s="142" t="s">
        <v>3047</v>
      </c>
      <c r="AB1721" s="142" t="s">
        <v>3047</v>
      </c>
      <c r="AC1721" s="142" t="s">
        <v>3047</v>
      </c>
      <c r="AD1721" s="142" t="s">
        <v>3047</v>
      </c>
      <c r="AE1721" s="142" t="s">
        <v>3047</v>
      </c>
      <c r="AF1721" s="142" t="s">
        <v>3047</v>
      </c>
      <c r="AG1721" s="142" t="s">
        <v>3047</v>
      </c>
      <c r="AH1721" s="142" t="s">
        <v>3047</v>
      </c>
      <c r="AI1721" s="142" t="s">
        <v>3047</v>
      </c>
      <c r="AJ1721" s="142" t="s">
        <v>3047</v>
      </c>
      <c r="AK1721" s="142" t="s">
        <v>3047</v>
      </c>
      <c r="AL1721" s="142" t="s">
        <v>3047</v>
      </c>
      <c r="AM1721" s="142" t="s">
        <v>3047</v>
      </c>
      <c r="AN1721" s="161"/>
    </row>
    <row r="1722" spans="1:40">
      <c r="A1722" s="143" t="s">
        <v>2782</v>
      </c>
      <c r="B1722" s="141">
        <v>100</v>
      </c>
      <c r="C1722" s="142">
        <f>B1722*IBGE_2!C$1722/100</f>
        <v>39</v>
      </c>
      <c r="D1722" s="142" t="s">
        <v>3047</v>
      </c>
      <c r="E1722" s="142" t="s">
        <v>3047</v>
      </c>
      <c r="F1722" s="142" t="s">
        <v>3047</v>
      </c>
      <c r="G1722" s="142" t="s">
        <v>3047</v>
      </c>
      <c r="H1722" s="142" t="s">
        <v>3047</v>
      </c>
      <c r="I1722" s="142" t="s">
        <v>3047</v>
      </c>
      <c r="J1722" s="142" t="s">
        <v>3047</v>
      </c>
      <c r="K1722" s="142" t="s">
        <v>3047</v>
      </c>
      <c r="L1722" s="142">
        <f>B1722*IBGE_2!L$1722/100</f>
        <v>10</v>
      </c>
      <c r="M1722" s="142" t="s">
        <v>3047</v>
      </c>
      <c r="N1722" s="142">
        <f>B1722*IBGE_2!N$1722/100</f>
        <v>1</v>
      </c>
      <c r="O1722" s="142" t="s">
        <v>3047</v>
      </c>
      <c r="P1722" s="142" t="s">
        <v>3047</v>
      </c>
      <c r="Q1722" s="142" t="s">
        <v>3047</v>
      </c>
      <c r="R1722" s="142" t="s">
        <v>3047</v>
      </c>
      <c r="S1722" s="142">
        <f>B1722*IBGE_2!S$1722/100</f>
        <v>9</v>
      </c>
      <c r="T1722" s="142">
        <f>B1722*IBGE_2!T$1722/100</f>
        <v>1</v>
      </c>
      <c r="U1722" s="142" t="s">
        <v>3047</v>
      </c>
      <c r="V1722" s="142" t="s">
        <v>3047</v>
      </c>
      <c r="W1722" s="142" t="s">
        <v>3047</v>
      </c>
      <c r="X1722" s="142" t="s">
        <v>3047</v>
      </c>
      <c r="Y1722" s="142" t="s">
        <v>3047</v>
      </c>
      <c r="Z1722" s="142" t="s">
        <v>3047</v>
      </c>
      <c r="AA1722" s="142" t="s">
        <v>3047</v>
      </c>
      <c r="AB1722" s="142" t="s">
        <v>3047</v>
      </c>
      <c r="AC1722" s="142" t="s">
        <v>3047</v>
      </c>
      <c r="AD1722" s="142" t="s">
        <v>3047</v>
      </c>
      <c r="AE1722" s="142" t="s">
        <v>3047</v>
      </c>
      <c r="AF1722" s="142" t="s">
        <v>3047</v>
      </c>
      <c r="AG1722" s="142" t="s">
        <v>3047</v>
      </c>
      <c r="AH1722" s="142" t="s">
        <v>3047</v>
      </c>
      <c r="AI1722" s="142" t="s">
        <v>3047</v>
      </c>
      <c r="AJ1722" s="142" t="s">
        <v>3047</v>
      </c>
      <c r="AK1722" s="142" t="s">
        <v>3047</v>
      </c>
      <c r="AL1722" s="142">
        <f>B1722*IBGE_2!AL$1722/100</f>
        <v>10</v>
      </c>
      <c r="AM1722" s="142">
        <f>B1722*IBGE_2!AM$1722/100</f>
        <v>10</v>
      </c>
      <c r="AN1722" s="161"/>
    </row>
    <row r="1723" spans="1:40">
      <c r="A1723" s="143" t="s">
        <v>2783</v>
      </c>
      <c r="B1723" s="141">
        <v>100</v>
      </c>
      <c r="C1723" s="142">
        <f>B1723*IBGE_2!C$1723/100</f>
        <v>2.0019999999999998</v>
      </c>
      <c r="D1723" s="142">
        <f>B1723*IBGE_2!D$1723/100</f>
        <v>0.11</v>
      </c>
      <c r="E1723" s="142">
        <f>B1723*IBGE_2!E$1723/100</f>
        <v>0.03</v>
      </c>
      <c r="F1723" s="142" t="s">
        <v>3047</v>
      </c>
      <c r="G1723" s="142" t="s">
        <v>3047</v>
      </c>
      <c r="H1723" s="142" t="s">
        <v>3047</v>
      </c>
      <c r="I1723" s="142" t="s">
        <v>3047</v>
      </c>
      <c r="J1723" s="142" t="s">
        <v>3047</v>
      </c>
      <c r="K1723" s="142" t="s">
        <v>3047</v>
      </c>
      <c r="L1723" s="142">
        <f>B1723*IBGE_2!L$1723/100</f>
        <v>0.28999999999999998</v>
      </c>
      <c r="M1723" s="142" t="s">
        <v>3047</v>
      </c>
      <c r="N1723" s="142">
        <f>B1723*IBGE_2!N$1723/100</f>
        <v>3.0030000000000001</v>
      </c>
      <c r="O1723" s="142">
        <f>B1723*IBGE_2!O$1723/100</f>
        <v>1.0009999999999999</v>
      </c>
      <c r="P1723" s="142">
        <f>B1723*IBGE_2!P$1723/100</f>
        <v>0.107</v>
      </c>
      <c r="Q1723" s="142">
        <f>B1723*IBGE_2!Q$1723/100</f>
        <v>9.0079999999999991</v>
      </c>
      <c r="R1723" s="142">
        <f>B1723*IBGE_2!R$1723/100</f>
        <v>0.11</v>
      </c>
      <c r="S1723" s="142">
        <f>B1723*IBGE_2!S$1723/100</f>
        <v>8.0069999999999997</v>
      </c>
      <c r="T1723" s="142">
        <f>B1723*IBGE_2!T$1723/100</f>
        <v>8.0069999999999997</v>
      </c>
      <c r="U1723" s="142">
        <f>B1723*IBGE_2!U$1723/100</f>
        <v>2E-3</v>
      </c>
      <c r="V1723" s="142">
        <f>B1723*IBGE_2!V$1723/100</f>
        <v>0.01</v>
      </c>
      <c r="W1723" s="142" t="s">
        <v>3047</v>
      </c>
      <c r="X1723" s="142">
        <f>B1723*IBGE_2!X$1723/100</f>
        <v>5.0000000000000001E-3</v>
      </c>
      <c r="Y1723" s="142">
        <f>B1723*IBGE_2!Y$1723/100</f>
        <v>2.3E-2</v>
      </c>
      <c r="Z1723" s="142" t="s">
        <v>3047</v>
      </c>
      <c r="AA1723" s="142" t="s">
        <v>3047</v>
      </c>
      <c r="AB1723" s="142" t="s">
        <v>3047</v>
      </c>
      <c r="AC1723" s="142" t="s">
        <v>3047</v>
      </c>
      <c r="AD1723" s="142" t="s">
        <v>3047</v>
      </c>
      <c r="AE1723" s="142" t="s">
        <v>3047</v>
      </c>
      <c r="AF1723" s="142" t="s">
        <v>3047</v>
      </c>
      <c r="AG1723" s="142" t="s">
        <v>3047</v>
      </c>
      <c r="AH1723" s="142" t="s">
        <v>3047</v>
      </c>
      <c r="AI1723" s="142" t="s">
        <v>3047</v>
      </c>
      <c r="AJ1723" s="145" t="s">
        <v>3047</v>
      </c>
      <c r="AK1723" s="142" t="s">
        <v>3047</v>
      </c>
      <c r="AL1723" s="145" t="s">
        <v>3047</v>
      </c>
      <c r="AM1723" s="145" t="s">
        <v>3047</v>
      </c>
      <c r="AN1723" s="161"/>
    </row>
    <row r="1724" spans="1:40">
      <c r="A1724" s="143" t="s">
        <v>2784</v>
      </c>
      <c r="B1724" s="141">
        <v>100</v>
      </c>
      <c r="C1724" s="142">
        <f>B1724*IBGE_2!C$1724/100</f>
        <v>73.58</v>
      </c>
      <c r="D1724" s="142" t="s">
        <v>3047</v>
      </c>
      <c r="E1724" s="142">
        <f>B1724*IBGE_2!E$1724/100</f>
        <v>0.05</v>
      </c>
      <c r="F1724" s="142" t="s">
        <v>3047</v>
      </c>
      <c r="G1724" s="142" t="s">
        <v>3047</v>
      </c>
      <c r="H1724" s="142" t="s">
        <v>3047</v>
      </c>
      <c r="I1724" s="142" t="s">
        <v>3047</v>
      </c>
      <c r="J1724" s="142" t="s">
        <v>3047</v>
      </c>
      <c r="K1724" s="142" t="s">
        <v>3047</v>
      </c>
      <c r="L1724" s="142">
        <f>B1724*IBGE_2!L$1724/100</f>
        <v>19.97</v>
      </c>
      <c r="M1724" s="142" t="s">
        <v>3047</v>
      </c>
      <c r="N1724" s="142">
        <f>B1724*IBGE_2!N$1724/100</f>
        <v>5.6</v>
      </c>
      <c r="O1724" s="142">
        <f>B1724*IBGE_2!O$1724/100</f>
        <v>1</v>
      </c>
      <c r="P1724" s="142" t="s">
        <v>3047</v>
      </c>
      <c r="Q1724" s="142" t="s">
        <v>3047</v>
      </c>
      <c r="R1724" s="142" t="s">
        <v>3047</v>
      </c>
      <c r="S1724" s="142">
        <f>B1724*IBGE_2!S$1724/100</f>
        <v>18.34</v>
      </c>
      <c r="T1724" s="142">
        <f>B1724*IBGE_2!T$1724/100</f>
        <v>1</v>
      </c>
      <c r="U1724" s="142">
        <f>B1724*IBGE_2!U$1724/100</f>
        <v>0.01</v>
      </c>
      <c r="V1724" s="142">
        <f>B1724*IBGE_2!V$1724/100</f>
        <v>0.11</v>
      </c>
      <c r="W1724" s="142" t="s">
        <v>3047</v>
      </c>
      <c r="X1724" s="142">
        <f>B1724*IBGE_2!X$1724/100</f>
        <v>0.02</v>
      </c>
      <c r="Y1724" s="142" t="s">
        <v>3047</v>
      </c>
      <c r="Z1724" s="142" t="s">
        <v>3047</v>
      </c>
      <c r="AA1724" s="142" t="s">
        <v>3047</v>
      </c>
      <c r="AB1724" s="142" t="s">
        <v>3047</v>
      </c>
      <c r="AC1724" s="142" t="s">
        <v>3047</v>
      </c>
      <c r="AD1724" s="142" t="s">
        <v>3047</v>
      </c>
      <c r="AE1724" s="142" t="s">
        <v>3047</v>
      </c>
      <c r="AF1724" s="142" t="s">
        <v>3047</v>
      </c>
      <c r="AG1724" s="142" t="s">
        <v>3047</v>
      </c>
      <c r="AH1724" s="142" t="s">
        <v>3047</v>
      </c>
      <c r="AI1724" s="142" t="s">
        <v>3047</v>
      </c>
      <c r="AJ1724" s="142">
        <f>B1724*IBGE_2!AJ$1724/100</f>
        <v>0.18</v>
      </c>
      <c r="AK1724" s="142" t="s">
        <v>3047</v>
      </c>
      <c r="AL1724" s="142">
        <f>B1724*IBGE_2!AL$1724/100</f>
        <v>9.83</v>
      </c>
      <c r="AM1724" s="142">
        <f>B1724*IBGE_2!AM$1724/100</f>
        <v>19.97</v>
      </c>
      <c r="AN1724" s="161"/>
    </row>
    <row r="1725" spans="1:40">
      <c r="A1725" s="143" t="s">
        <v>2785</v>
      </c>
      <c r="B1725" s="141">
        <v>100</v>
      </c>
      <c r="C1725" s="142">
        <f>B1725*IBGE_2!C$1725/100</f>
        <v>73.58</v>
      </c>
      <c r="D1725" s="142" t="s">
        <v>3047</v>
      </c>
      <c r="E1725" s="142">
        <f>B1725*IBGE_2!E$1725/100</f>
        <v>0.05</v>
      </c>
      <c r="F1725" s="142" t="s">
        <v>3047</v>
      </c>
      <c r="G1725" s="142" t="s">
        <v>3047</v>
      </c>
      <c r="H1725" s="142" t="s">
        <v>3047</v>
      </c>
      <c r="I1725" s="142" t="s">
        <v>3047</v>
      </c>
      <c r="J1725" s="142" t="s">
        <v>3047</v>
      </c>
      <c r="K1725" s="142" t="s">
        <v>3047</v>
      </c>
      <c r="L1725" s="142">
        <f>B1725*IBGE_2!L$1725/100</f>
        <v>19.97</v>
      </c>
      <c r="M1725" s="142" t="s">
        <v>3047</v>
      </c>
      <c r="N1725" s="142">
        <f>B1725*IBGE_2!N$1725/100</f>
        <v>5.6</v>
      </c>
      <c r="O1725" s="142">
        <f>B1725*IBGE_2!O$1725/100</f>
        <v>1</v>
      </c>
      <c r="P1725" s="142" t="s">
        <v>3047</v>
      </c>
      <c r="Q1725" s="142" t="s">
        <v>3047</v>
      </c>
      <c r="R1725" s="142" t="s">
        <v>3047</v>
      </c>
      <c r="S1725" s="142">
        <f>B1725*IBGE_2!S$1725/100</f>
        <v>18.34</v>
      </c>
      <c r="T1725" s="142">
        <f>B1725*IBGE_2!T$1725/100</f>
        <v>1</v>
      </c>
      <c r="U1725" s="142">
        <f>B1725*IBGE_2!U$1725/100</f>
        <v>0.01</v>
      </c>
      <c r="V1725" s="142">
        <f>B1725*IBGE_2!V$1725/100</f>
        <v>0.11</v>
      </c>
      <c r="W1725" s="142" t="s">
        <v>3047</v>
      </c>
      <c r="X1725" s="142">
        <f>B1725*IBGE_2!X$1725/100</f>
        <v>0.02</v>
      </c>
      <c r="Y1725" s="142" t="s">
        <v>3047</v>
      </c>
      <c r="Z1725" s="142" t="s">
        <v>3047</v>
      </c>
      <c r="AA1725" s="142" t="s">
        <v>3047</v>
      </c>
      <c r="AB1725" s="142" t="s">
        <v>3047</v>
      </c>
      <c r="AC1725" s="142" t="s">
        <v>3047</v>
      </c>
      <c r="AD1725" s="142" t="s">
        <v>3047</v>
      </c>
      <c r="AE1725" s="142" t="s">
        <v>3047</v>
      </c>
      <c r="AF1725" s="142" t="s">
        <v>3047</v>
      </c>
      <c r="AG1725" s="142" t="s">
        <v>3047</v>
      </c>
      <c r="AH1725" s="142" t="s">
        <v>3047</v>
      </c>
      <c r="AI1725" s="142" t="s">
        <v>3047</v>
      </c>
      <c r="AJ1725" s="142">
        <f>B1725*IBGE_2!AJ$1725/100</f>
        <v>0.18</v>
      </c>
      <c r="AK1725" s="142" t="s">
        <v>3047</v>
      </c>
      <c r="AL1725" s="142">
        <f>B1725*IBGE_2!AL$1725/100</f>
        <v>9.83</v>
      </c>
      <c r="AM1725" s="142">
        <f>B1725*IBGE_2!AM$1725/100</f>
        <v>19.97</v>
      </c>
      <c r="AN1725" s="161"/>
    </row>
    <row r="1726" spans="1:40">
      <c r="A1726" s="143" t="s">
        <v>2786</v>
      </c>
      <c r="B1726" s="141">
        <v>100</v>
      </c>
      <c r="C1726" s="142">
        <f>B1726*IBGE_2!C$1726/100</f>
        <v>19.274999999999999</v>
      </c>
      <c r="D1726" s="142">
        <f>B1726*IBGE_2!D$1726/100</f>
        <v>0.73</v>
      </c>
      <c r="E1726" s="142">
        <f>B1726*IBGE_2!E$1726/100</f>
        <v>0.20300000000000001</v>
      </c>
      <c r="F1726" s="142">
        <f>B1726*IBGE_2!F$1726/100</f>
        <v>0.17899999999999999</v>
      </c>
      <c r="G1726" s="142">
        <f>B1726*IBGE_2!G$1726/100</f>
        <v>8.0000000000000002E-3</v>
      </c>
      <c r="H1726" s="142">
        <f>B1726*IBGE_2!H$1726/100</f>
        <v>2E-3</v>
      </c>
      <c r="I1726" s="142">
        <f>B1726*IBGE_2!I$1726/100</f>
        <v>2E-3</v>
      </c>
      <c r="J1726" s="142" t="s">
        <v>3047</v>
      </c>
      <c r="K1726" s="142" t="s">
        <v>3047</v>
      </c>
      <c r="L1726" s="142">
        <f>B1726*IBGE_2!L$1726/100</f>
        <v>3.7639999999999998</v>
      </c>
      <c r="M1726" s="142">
        <f>B1726*IBGE_2!M$1726/100</f>
        <v>1.1160000000000001</v>
      </c>
      <c r="N1726" s="142">
        <f>B1726*IBGE_2!N$1726/100</f>
        <v>24.347000000000001</v>
      </c>
      <c r="O1726" s="142">
        <f>B1726*IBGE_2!O$1726/100</f>
        <v>25.361000000000001</v>
      </c>
      <c r="P1726" s="142">
        <f>B1726*IBGE_2!P$1726/100</f>
        <v>0.14399999999999999</v>
      </c>
      <c r="Q1726" s="142">
        <f>B1726*IBGE_2!Q$1726/100</f>
        <v>20.289000000000001</v>
      </c>
      <c r="R1726" s="142">
        <f>B1726*IBGE_2!R$1726/100</f>
        <v>0.29399999999999998</v>
      </c>
      <c r="S1726" s="142">
        <f>B1726*IBGE_2!S$1726/100</f>
        <v>106.517</v>
      </c>
      <c r="T1726" s="142">
        <f>B1726*IBGE_2!T$1726/100</f>
        <v>253.61199999999999</v>
      </c>
      <c r="U1726" s="142">
        <f>B1726*IBGE_2!U$1726/100</f>
        <v>4.1000000000000009E-2</v>
      </c>
      <c r="V1726" s="142">
        <f>B1726*IBGE_2!V$1726/100</f>
        <v>0.10100000000000002</v>
      </c>
      <c r="W1726" s="142" t="s">
        <v>3047</v>
      </c>
      <c r="X1726" s="142">
        <f>B1726*IBGE_2!X$1726/100</f>
        <v>0.03</v>
      </c>
      <c r="Y1726" s="142">
        <f>B1726*IBGE_2!Y$1726/100</f>
        <v>5.800000000000001E-2</v>
      </c>
      <c r="Z1726" s="142">
        <f>B1726*IBGE_2!Z$1726/100</f>
        <v>3.2000000000000001E-2</v>
      </c>
      <c r="AA1726" s="142">
        <f>B1726*IBGE_2!AA$1726/100</f>
        <v>8.1000000000000003E-2</v>
      </c>
      <c r="AB1726" s="142">
        <f>B1726*IBGE_2!AB$1726/100</f>
        <v>2.4350000000000001</v>
      </c>
      <c r="AC1726" s="142">
        <f>B1726*IBGE_2!AC$1726/100</f>
        <v>0.21600000000000003</v>
      </c>
      <c r="AD1726" s="142" t="s">
        <v>3047</v>
      </c>
      <c r="AE1726" s="142">
        <f>B1726*IBGE_2!AE$1726/100</f>
        <v>3.0430000000000001</v>
      </c>
      <c r="AF1726" s="142" t="s">
        <v>3047</v>
      </c>
      <c r="AG1726" s="142" t="s">
        <v>3047</v>
      </c>
      <c r="AH1726" s="142" t="s">
        <v>3047</v>
      </c>
      <c r="AI1726" s="142" t="s">
        <v>3047</v>
      </c>
      <c r="AJ1726" s="142">
        <f>B1726*IBGE_2!AJ$1726/100</f>
        <v>1.014</v>
      </c>
      <c r="AK1726" s="142" t="s">
        <v>3047</v>
      </c>
      <c r="AL1726" s="142">
        <f>B1726*IBGE_2!AL$1726/100</f>
        <v>1.4910000000000003</v>
      </c>
      <c r="AM1726" s="145" t="s">
        <v>3047</v>
      </c>
      <c r="AN1726" s="161"/>
    </row>
    <row r="1727" spans="1:40">
      <c r="A1727" s="143" t="s">
        <v>2787</v>
      </c>
      <c r="B1727" s="141">
        <v>100</v>
      </c>
      <c r="C1727" s="142">
        <f>B1727*IBGE_2!C$1727/100</f>
        <v>15.28</v>
      </c>
      <c r="D1727" s="142" t="s">
        <v>3047</v>
      </c>
      <c r="E1727" s="142">
        <f>B1727*IBGE_2!E$1727/100</f>
        <v>4.0000000000000001E-3</v>
      </c>
      <c r="F1727" s="142">
        <f>B1727*IBGE_2!F$1727/100</f>
        <v>2E-3</v>
      </c>
      <c r="G1727" s="142" t="s">
        <v>3047</v>
      </c>
      <c r="H1727" s="142" t="s">
        <v>3047</v>
      </c>
      <c r="I1727" s="142" t="s">
        <v>3047</v>
      </c>
      <c r="J1727" s="142" t="s">
        <v>3047</v>
      </c>
      <c r="K1727" s="142" t="s">
        <v>3047</v>
      </c>
      <c r="L1727" s="142">
        <f>B1727*IBGE_2!L$1727/100</f>
        <v>3.9079999999999999</v>
      </c>
      <c r="M1727" s="142" t="s">
        <v>3047</v>
      </c>
      <c r="N1727" s="142">
        <f>B1727*IBGE_2!N$1727/100</f>
        <v>5.68</v>
      </c>
      <c r="O1727" s="142" t="s">
        <v>3047</v>
      </c>
      <c r="P1727" s="142">
        <f>B1727*IBGE_2!P$1727/100</f>
        <v>1E-3</v>
      </c>
      <c r="Q1727" s="142" t="s">
        <v>3047</v>
      </c>
      <c r="R1727" s="142">
        <f>B1727*IBGE_2!R$1727/100</f>
        <v>0.02</v>
      </c>
      <c r="S1727" s="142">
        <f>B1727*IBGE_2!S$1727/100</f>
        <v>1.68</v>
      </c>
      <c r="T1727" s="142">
        <f>B1727*IBGE_2!T$1727/100</f>
        <v>0.2</v>
      </c>
      <c r="U1727" s="142">
        <f>B1727*IBGE_2!U$1727/100</f>
        <v>5.0000000000000001E-3</v>
      </c>
      <c r="V1727" s="142">
        <f>B1727*IBGE_2!V$1727/100</f>
        <v>4.0000000000000001E-3</v>
      </c>
      <c r="W1727" s="142" t="s">
        <v>3047</v>
      </c>
      <c r="X1727" s="142" t="s">
        <v>3047</v>
      </c>
      <c r="Y1727" s="142">
        <f>B1727*IBGE_2!Y$1727/100</f>
        <v>1E-3</v>
      </c>
      <c r="Z1727" s="142" t="s">
        <v>3047</v>
      </c>
      <c r="AA1727" s="142">
        <f>B1727*IBGE_2!AA$1727/100</f>
        <v>1E-3</v>
      </c>
      <c r="AB1727" s="142">
        <f>B1727*IBGE_2!AB$1727/100</f>
        <v>1.4119999999999999</v>
      </c>
      <c r="AC1727" s="142">
        <f>B1727*IBGE_2!AC$1727/100</f>
        <v>1E-3</v>
      </c>
      <c r="AD1727" s="142" t="s">
        <v>3047</v>
      </c>
      <c r="AE1727" s="142" t="s">
        <v>3047</v>
      </c>
      <c r="AF1727" s="142" t="s">
        <v>3047</v>
      </c>
      <c r="AG1727" s="142" t="s">
        <v>3047</v>
      </c>
      <c r="AH1727" s="142" t="s">
        <v>3047</v>
      </c>
      <c r="AI1727" s="142" t="s">
        <v>3047</v>
      </c>
      <c r="AJ1727" s="142">
        <f>B1727*IBGE_2!AJ$1727/100</f>
        <v>2.8000000000000004E-2</v>
      </c>
      <c r="AK1727" s="142" t="s">
        <v>3047</v>
      </c>
      <c r="AL1727" s="142">
        <f>B1727*IBGE_2!AL$1727/100</f>
        <v>3.8079999999999994</v>
      </c>
      <c r="AM1727" s="142">
        <f>B1727*IBGE_2!AM$1727/100</f>
        <v>3.81</v>
      </c>
      <c r="AN1727" s="161"/>
    </row>
    <row r="1728" spans="1:40">
      <c r="A1728" s="143" t="s">
        <v>2788</v>
      </c>
      <c r="B1728" s="141">
        <v>100</v>
      </c>
      <c r="C1728" s="142">
        <f>B1728*IBGE_2!C$1728/100</f>
        <v>15.28</v>
      </c>
      <c r="D1728" s="142" t="s">
        <v>3047</v>
      </c>
      <c r="E1728" s="142">
        <f>B1728*IBGE_2!E$1728/100</f>
        <v>4.0000000000000001E-3</v>
      </c>
      <c r="F1728" s="142">
        <f>B1728*IBGE_2!F$1728/100</f>
        <v>2E-3</v>
      </c>
      <c r="G1728" s="142" t="s">
        <v>3047</v>
      </c>
      <c r="H1728" s="142" t="s">
        <v>3047</v>
      </c>
      <c r="I1728" s="142" t="s">
        <v>3047</v>
      </c>
      <c r="J1728" s="142" t="s">
        <v>3047</v>
      </c>
      <c r="K1728" s="142" t="s">
        <v>3047</v>
      </c>
      <c r="L1728" s="142">
        <f>B1728*IBGE_2!L$1728/100</f>
        <v>3.9079999999999999</v>
      </c>
      <c r="M1728" s="142" t="s">
        <v>3047</v>
      </c>
      <c r="N1728" s="142">
        <f>B1728*IBGE_2!N$1728/100</f>
        <v>5.68</v>
      </c>
      <c r="O1728" s="142" t="s">
        <v>3047</v>
      </c>
      <c r="P1728" s="142">
        <f>B1728*IBGE_2!P$1728/100</f>
        <v>1E-3</v>
      </c>
      <c r="Q1728" s="142" t="s">
        <v>3047</v>
      </c>
      <c r="R1728" s="142">
        <f>B1728*IBGE_2!R$1728/100</f>
        <v>0.02</v>
      </c>
      <c r="S1728" s="142">
        <f>B1728*IBGE_2!S$1728/100</f>
        <v>1.68</v>
      </c>
      <c r="T1728" s="142">
        <f>B1728*IBGE_2!T$1728/100</f>
        <v>0.2</v>
      </c>
      <c r="U1728" s="142">
        <f>B1728*IBGE_2!U$1728/100</f>
        <v>5.0000000000000001E-3</v>
      </c>
      <c r="V1728" s="142">
        <f>B1728*IBGE_2!V$1728/100</f>
        <v>4.0000000000000001E-3</v>
      </c>
      <c r="W1728" s="142" t="s">
        <v>3047</v>
      </c>
      <c r="X1728" s="142" t="s">
        <v>3047</v>
      </c>
      <c r="Y1728" s="142">
        <f>B1728*IBGE_2!Y$1728/100</f>
        <v>1E-3</v>
      </c>
      <c r="Z1728" s="142" t="s">
        <v>3047</v>
      </c>
      <c r="AA1728" s="142">
        <f>B1728*IBGE_2!AA$1728/100</f>
        <v>1E-3</v>
      </c>
      <c r="AB1728" s="142">
        <f>B1728*IBGE_2!AB$1728/100</f>
        <v>1.4119999999999999</v>
      </c>
      <c r="AC1728" s="142">
        <f>B1728*IBGE_2!AC$1728/100</f>
        <v>1E-3</v>
      </c>
      <c r="AD1728" s="142" t="s">
        <v>3047</v>
      </c>
      <c r="AE1728" s="142" t="s">
        <v>3047</v>
      </c>
      <c r="AF1728" s="142" t="s">
        <v>3047</v>
      </c>
      <c r="AG1728" s="142" t="s">
        <v>3047</v>
      </c>
      <c r="AH1728" s="142" t="s">
        <v>3047</v>
      </c>
      <c r="AI1728" s="142" t="s">
        <v>3047</v>
      </c>
      <c r="AJ1728" s="142">
        <f>B1728*IBGE_2!AJ$1728/100</f>
        <v>2.8000000000000004E-2</v>
      </c>
      <c r="AK1728" s="142" t="s">
        <v>3047</v>
      </c>
      <c r="AL1728" s="142">
        <f>B1728*IBGE_2!AL$1728/100</f>
        <v>3.8079999999999994</v>
      </c>
      <c r="AM1728" s="142">
        <f>B1728*IBGE_2!AM$1728/100</f>
        <v>3.81</v>
      </c>
      <c r="AN1728" s="161"/>
    </row>
    <row r="1729" spans="1:40">
      <c r="A1729" s="143" t="s">
        <v>2789</v>
      </c>
      <c r="B1729" s="141">
        <v>100</v>
      </c>
      <c r="C1729" s="142">
        <f>B1729*IBGE_2!C$1729/100</f>
        <v>241</v>
      </c>
      <c r="D1729" s="142">
        <f>B1729*IBGE_2!D$1729/100</f>
        <v>12.2</v>
      </c>
      <c r="E1729" s="142">
        <f>B1729*IBGE_2!E$1729/100</f>
        <v>0.5</v>
      </c>
      <c r="F1729" s="142">
        <f>B1729*IBGE_2!F$1729/100</f>
        <v>0.19699999999999998</v>
      </c>
      <c r="G1729" s="142">
        <f>B1729*IBGE_2!G$1729/100</f>
        <v>4.1000000000000009E-2</v>
      </c>
      <c r="H1729" s="142">
        <f>B1729*IBGE_2!H$1729/100</f>
        <v>0.19600000000000001</v>
      </c>
      <c r="I1729" s="142">
        <f>B1729*IBGE_2!I$1729/100</f>
        <v>0.18</v>
      </c>
      <c r="J1729" s="142">
        <f>B1729*IBGE_2!J$1729/100</f>
        <v>1.4999999999999999E-2</v>
      </c>
      <c r="K1729" s="142" t="s">
        <v>3047</v>
      </c>
      <c r="L1729" s="142">
        <f>B1729*IBGE_2!L$1729/100</f>
        <v>75.400000000000006</v>
      </c>
      <c r="M1729" s="142" t="s">
        <v>3047</v>
      </c>
      <c r="N1729" s="142">
        <f>B1729*IBGE_2!N$1729/100</f>
        <v>141</v>
      </c>
      <c r="O1729" s="142">
        <f>B1729*IBGE_2!O$1729/100</f>
        <v>327</v>
      </c>
      <c r="P1729" s="142">
        <f>B1729*IBGE_2!P$1729/100</f>
        <v>1.712</v>
      </c>
      <c r="Q1729" s="142">
        <f>B1729*IBGE_2!Q$1729/100</f>
        <v>303</v>
      </c>
      <c r="R1729" s="142">
        <f>B1729*IBGE_2!R$1729/100</f>
        <v>4.41</v>
      </c>
      <c r="S1729" s="142">
        <f>B1729*IBGE_2!S$1729/100</f>
        <v>37</v>
      </c>
      <c r="T1729" s="142">
        <f>B1729*IBGE_2!T$1729/100</f>
        <v>3535</v>
      </c>
      <c r="U1729" s="142">
        <f>B1729*IBGE_2!U$1729/100</f>
        <v>0.13900000000000001</v>
      </c>
      <c r="V1729" s="142">
        <f>B1729*IBGE_2!V$1729/100</f>
        <v>0.35</v>
      </c>
      <c r="W1729" s="142" t="s">
        <v>3047</v>
      </c>
      <c r="X1729" s="142">
        <f>B1729*IBGE_2!X$1729/100</f>
        <v>8.0000000000000002E-3</v>
      </c>
      <c r="Y1729" s="142">
        <f>B1729*IBGE_2!Y$1729/100</f>
        <v>7.3999999999999996E-2</v>
      </c>
      <c r="Z1729" s="142">
        <f>B1729*IBGE_2!Z$1729/100</f>
        <v>2.9000000000000005E-2</v>
      </c>
      <c r="AA1729" s="142">
        <f>B1729*IBGE_2!AA$1729/100</f>
        <v>28.172999999999998</v>
      </c>
      <c r="AB1729" s="142" t="s">
        <v>3047</v>
      </c>
      <c r="AC1729" s="142">
        <f>B1729*IBGE_2!AC$1729/100</f>
        <v>28.672999999999998</v>
      </c>
      <c r="AD1729" s="142" t="s">
        <v>3047</v>
      </c>
      <c r="AE1729" s="142" t="s">
        <v>3047</v>
      </c>
      <c r="AF1729" s="142" t="s">
        <v>3047</v>
      </c>
      <c r="AG1729" s="142">
        <f>B1729*IBGE_2!AG$1729/100</f>
        <v>2.339</v>
      </c>
      <c r="AH1729" s="142" t="s">
        <v>3047</v>
      </c>
      <c r="AI1729" s="142" t="s">
        <v>3047</v>
      </c>
      <c r="AJ1729" s="142">
        <f>B1729*IBGE_2!AJ$1729/100</f>
        <v>12.6</v>
      </c>
      <c r="AK1729" s="142" t="s">
        <v>3047</v>
      </c>
      <c r="AL1729" s="142">
        <f>B1729*IBGE_2!AL$1729/100</f>
        <v>0.48</v>
      </c>
      <c r="AM1729" s="142" t="s">
        <v>3047</v>
      </c>
      <c r="AN1729" s="161"/>
    </row>
    <row r="1730" spans="1:40">
      <c r="A1730" s="143" t="s">
        <v>2790</v>
      </c>
      <c r="B1730" s="141">
        <v>100</v>
      </c>
      <c r="C1730" s="142">
        <f>B1730*IBGE_2!C$1730/100</f>
        <v>2.8029999999999999</v>
      </c>
      <c r="D1730" s="142">
        <f>B1730*IBGE_2!D$1730/100</f>
        <v>0.25</v>
      </c>
      <c r="E1730" s="142" t="s">
        <v>3047</v>
      </c>
      <c r="F1730" s="142" t="s">
        <v>3047</v>
      </c>
      <c r="G1730" s="142" t="s">
        <v>3047</v>
      </c>
      <c r="H1730" s="142" t="s">
        <v>3047</v>
      </c>
      <c r="I1730" s="142" t="s">
        <v>3047</v>
      </c>
      <c r="J1730" s="142" t="s">
        <v>3047</v>
      </c>
      <c r="K1730" s="142" t="s">
        <v>3047</v>
      </c>
      <c r="L1730" s="142">
        <f>B1730*IBGE_2!L$1730/100</f>
        <v>2.3119999999999998</v>
      </c>
      <c r="M1730" s="142">
        <f>B1730*IBGE_2!M$1730/100</f>
        <v>1.8620000000000001</v>
      </c>
      <c r="N1730" s="142">
        <f>B1730*IBGE_2!N$1730/100</f>
        <v>4.7039999999999997</v>
      </c>
      <c r="O1730" s="142">
        <f>B1730*IBGE_2!O$1730/100</f>
        <v>1.125</v>
      </c>
      <c r="P1730" s="142">
        <f>B1730*IBGE_2!P$1730/100</f>
        <v>38.335000000000001</v>
      </c>
      <c r="Q1730" s="142">
        <f>B1730*IBGE_2!Q$1730/100</f>
        <v>0.88099999999999989</v>
      </c>
      <c r="R1730" s="142">
        <f>B1730*IBGE_2!R$1730/100</f>
        <v>0.15</v>
      </c>
      <c r="S1730" s="142">
        <f>B1730*IBGE_2!S$1730/100</f>
        <v>0.26900000000000002</v>
      </c>
      <c r="T1730" s="142">
        <f>B1730*IBGE_2!T$1730/100</f>
        <v>11.01</v>
      </c>
      <c r="U1730" s="142">
        <f>B1730*IBGE_2!U$1730/100</f>
        <v>0.3</v>
      </c>
      <c r="V1730" s="142">
        <f>B1730*IBGE_2!V$1730/100</f>
        <v>1.3009999999999999</v>
      </c>
      <c r="W1730" s="142" t="s">
        <v>3047</v>
      </c>
      <c r="X1730" s="142">
        <f>B1730*IBGE_2!X$1730/100</f>
        <v>2.8000000000000004E-2</v>
      </c>
      <c r="Y1730" s="142">
        <f>B1730*IBGE_2!Y$1730/100</f>
        <v>1.4000000000000002E-2</v>
      </c>
      <c r="Z1730" s="142">
        <f>B1730*IBGE_2!Z$1730/100</f>
        <v>1.7999999999999999E-2</v>
      </c>
      <c r="AA1730" s="142">
        <f>B1730*IBGE_2!AA$1730/100</f>
        <v>2.4E-2</v>
      </c>
      <c r="AB1730" s="142">
        <f>B1730*IBGE_2!AB$1730/100</f>
        <v>0.16</v>
      </c>
      <c r="AC1730" s="142">
        <f>B1730*IBGE_2!AC$1730/100</f>
        <v>7.3999999999999996E-2</v>
      </c>
      <c r="AD1730" s="142" t="s">
        <v>3047</v>
      </c>
      <c r="AE1730" s="142">
        <f>B1730*IBGE_2!AE$1730/100</f>
        <v>1.0009999999999999</v>
      </c>
      <c r="AF1730" s="142" t="s">
        <v>3047</v>
      </c>
      <c r="AG1730" s="142" t="s">
        <v>3047</v>
      </c>
      <c r="AH1730" s="142" t="s">
        <v>3047</v>
      </c>
      <c r="AI1730" s="142" t="s">
        <v>3047</v>
      </c>
      <c r="AJ1730" s="142">
        <f>B1730*IBGE_2!AJ$1730/100</f>
        <v>7.3999999999999996E-2</v>
      </c>
      <c r="AK1730" s="142" t="s">
        <v>3047</v>
      </c>
      <c r="AL1730" s="142">
        <f>B1730*IBGE_2!AL$1730/100</f>
        <v>6.4000000000000001E-2</v>
      </c>
      <c r="AM1730" s="142" t="s">
        <v>3047</v>
      </c>
      <c r="AN1730" s="161"/>
    </row>
    <row r="1731" spans="1:40">
      <c r="A1731" s="143" t="s">
        <v>2791</v>
      </c>
      <c r="B1731" s="141">
        <v>100</v>
      </c>
      <c r="C1731" s="142">
        <f>B1731*IBGE_2!C$1731/100</f>
        <v>2.8029999999999999</v>
      </c>
      <c r="D1731" s="142">
        <f>B1731*IBGE_2!D$1731/100</f>
        <v>0.25</v>
      </c>
      <c r="E1731" s="142" t="s">
        <v>3047</v>
      </c>
      <c r="F1731" s="142" t="s">
        <v>3047</v>
      </c>
      <c r="G1731" s="142" t="s">
        <v>3047</v>
      </c>
      <c r="H1731" s="142" t="s">
        <v>3047</v>
      </c>
      <c r="I1731" s="142" t="s">
        <v>3047</v>
      </c>
      <c r="J1731" s="142" t="s">
        <v>3047</v>
      </c>
      <c r="K1731" s="142" t="s">
        <v>3047</v>
      </c>
      <c r="L1731" s="142">
        <f>B1731*IBGE_2!L$1731/100</f>
        <v>2.3119999999999998</v>
      </c>
      <c r="M1731" s="142">
        <f>B1731*IBGE_2!M$1731/100</f>
        <v>1.8620000000000001</v>
      </c>
      <c r="N1731" s="142">
        <f>B1731*IBGE_2!N$1731/100</f>
        <v>4.7039999999999997</v>
      </c>
      <c r="O1731" s="142">
        <f>B1731*IBGE_2!O$1731/100</f>
        <v>1.125</v>
      </c>
      <c r="P1731" s="142">
        <f>B1731*IBGE_2!P$1731/100</f>
        <v>38.335000000000001</v>
      </c>
      <c r="Q1731" s="142">
        <f>B1731*IBGE_2!Q$1731/100</f>
        <v>0.88099999999999989</v>
      </c>
      <c r="R1731" s="142">
        <f>B1731*IBGE_2!R$1731/100</f>
        <v>0.15</v>
      </c>
      <c r="S1731" s="142">
        <f>B1731*IBGE_2!S$1731/100</f>
        <v>0.26900000000000002</v>
      </c>
      <c r="T1731" s="142">
        <f>B1731*IBGE_2!T$1731/100</f>
        <v>11.01</v>
      </c>
      <c r="U1731" s="142">
        <f>B1731*IBGE_2!U$1731/100</f>
        <v>0.3</v>
      </c>
      <c r="V1731" s="142">
        <f>B1731*IBGE_2!V$1731/100</f>
        <v>1.3009999999999999</v>
      </c>
      <c r="W1731" s="142" t="s">
        <v>3047</v>
      </c>
      <c r="X1731" s="142">
        <f>B1731*IBGE_2!X$1731/100</f>
        <v>2.8000000000000004E-2</v>
      </c>
      <c r="Y1731" s="142">
        <f>B1731*IBGE_2!Y$1731/100</f>
        <v>1.4000000000000002E-2</v>
      </c>
      <c r="Z1731" s="142">
        <f>B1731*IBGE_2!Z$1731/100</f>
        <v>1.7999999999999999E-2</v>
      </c>
      <c r="AA1731" s="142">
        <f>B1731*IBGE_2!AA$1731/100</f>
        <v>2.4E-2</v>
      </c>
      <c r="AB1731" s="142">
        <f>B1731*IBGE_2!AB$1731/100</f>
        <v>0.16</v>
      </c>
      <c r="AC1731" s="142">
        <f>B1731*IBGE_2!AC$1731/100</f>
        <v>7.3999999999999996E-2</v>
      </c>
      <c r="AD1731" s="142" t="s">
        <v>3047</v>
      </c>
      <c r="AE1731" s="142">
        <f>B1731*IBGE_2!AE$1731/100</f>
        <v>1.0009999999999999</v>
      </c>
      <c r="AF1731" s="142" t="s">
        <v>3047</v>
      </c>
      <c r="AG1731" s="142" t="s">
        <v>3047</v>
      </c>
      <c r="AH1731" s="142" t="s">
        <v>3047</v>
      </c>
      <c r="AI1731" s="142" t="s">
        <v>3047</v>
      </c>
      <c r="AJ1731" s="142">
        <f>B1731*IBGE_2!AJ$1731/100</f>
        <v>7.3999999999999996E-2</v>
      </c>
      <c r="AK1731" s="142" t="s">
        <v>3047</v>
      </c>
      <c r="AL1731" s="142">
        <f>B1731*IBGE_2!AL$1731/100</f>
        <v>6.4000000000000001E-2</v>
      </c>
      <c r="AM1731" s="142" t="s">
        <v>3047</v>
      </c>
      <c r="AN1731" s="161"/>
    </row>
    <row r="1732" spans="1:40">
      <c r="A1732" s="143" t="s">
        <v>2792</v>
      </c>
      <c r="B1732" s="141">
        <v>100</v>
      </c>
      <c r="C1732" s="142">
        <f>B1732*IBGE_2!C$1732/100</f>
        <v>2.8029999999999999</v>
      </c>
      <c r="D1732" s="142">
        <f>B1732*IBGE_2!D$1732/100</f>
        <v>0.25</v>
      </c>
      <c r="E1732" s="142" t="s">
        <v>3047</v>
      </c>
      <c r="F1732" s="142" t="s">
        <v>3047</v>
      </c>
      <c r="G1732" s="142" t="s">
        <v>3047</v>
      </c>
      <c r="H1732" s="142" t="s">
        <v>3047</v>
      </c>
      <c r="I1732" s="142" t="s">
        <v>3047</v>
      </c>
      <c r="J1732" s="142" t="s">
        <v>3047</v>
      </c>
      <c r="K1732" s="142" t="s">
        <v>3047</v>
      </c>
      <c r="L1732" s="142">
        <f>B1732*IBGE_2!L$1732/100</f>
        <v>2.3119999999999998</v>
      </c>
      <c r="M1732" s="142">
        <f>B1732*IBGE_2!M$1732/100</f>
        <v>1.8620000000000001</v>
      </c>
      <c r="N1732" s="142">
        <f>B1732*IBGE_2!N$1732/100</f>
        <v>4.7039999999999997</v>
      </c>
      <c r="O1732" s="142">
        <f>B1732*IBGE_2!O$1732/100</f>
        <v>1.125</v>
      </c>
      <c r="P1732" s="142">
        <f>B1732*IBGE_2!P$1732/100</f>
        <v>38.335000000000001</v>
      </c>
      <c r="Q1732" s="142">
        <f>B1732*IBGE_2!Q$1732/100</f>
        <v>0.88099999999999989</v>
      </c>
      <c r="R1732" s="142">
        <f>B1732*IBGE_2!R$1732/100</f>
        <v>0.15</v>
      </c>
      <c r="S1732" s="142">
        <f>B1732*IBGE_2!S$1732/100</f>
        <v>0.26900000000000002</v>
      </c>
      <c r="T1732" s="142">
        <f>B1732*IBGE_2!T$1732/100</f>
        <v>11.01</v>
      </c>
      <c r="U1732" s="142">
        <f>B1732*IBGE_2!U$1732/100</f>
        <v>0.3</v>
      </c>
      <c r="V1732" s="142">
        <f>B1732*IBGE_2!V$1732/100</f>
        <v>1.3009999999999999</v>
      </c>
      <c r="W1732" s="142" t="s">
        <v>3047</v>
      </c>
      <c r="X1732" s="142">
        <f>B1732*IBGE_2!X$1732/100</f>
        <v>2.8000000000000004E-2</v>
      </c>
      <c r="Y1732" s="142">
        <f>B1732*IBGE_2!Y$1732/100</f>
        <v>1.4000000000000002E-2</v>
      </c>
      <c r="Z1732" s="142">
        <f>B1732*IBGE_2!Z$1732/100</f>
        <v>1.7999999999999999E-2</v>
      </c>
      <c r="AA1732" s="142">
        <f>B1732*IBGE_2!AA$1732/100</f>
        <v>2.4E-2</v>
      </c>
      <c r="AB1732" s="142">
        <f>B1732*IBGE_2!AB$1732/100</f>
        <v>0.16</v>
      </c>
      <c r="AC1732" s="142">
        <f>B1732*IBGE_2!AC$1732/100</f>
        <v>7.3999999999999996E-2</v>
      </c>
      <c r="AD1732" s="142" t="s">
        <v>3047</v>
      </c>
      <c r="AE1732" s="142">
        <f>B1732*IBGE_2!AE$1732/100</f>
        <v>1.0009999999999999</v>
      </c>
      <c r="AF1732" s="142" t="s">
        <v>3047</v>
      </c>
      <c r="AG1732" s="142" t="s">
        <v>3047</v>
      </c>
      <c r="AH1732" s="142" t="s">
        <v>3047</v>
      </c>
      <c r="AI1732" s="142" t="s">
        <v>3047</v>
      </c>
      <c r="AJ1732" s="142">
        <f>B1732*IBGE_2!AJ$1732/100</f>
        <v>7.3999999999999996E-2</v>
      </c>
      <c r="AK1732" s="142" t="s">
        <v>3047</v>
      </c>
      <c r="AL1732" s="142">
        <f>B1732*IBGE_2!AL$1732/100</f>
        <v>6.4000000000000001E-2</v>
      </c>
      <c r="AM1732" s="142" t="s">
        <v>3047</v>
      </c>
      <c r="AN1732" s="161"/>
    </row>
    <row r="1733" spans="1:40">
      <c r="A1733" s="143" t="s">
        <v>2793</v>
      </c>
      <c r="B1733" s="141">
        <v>100</v>
      </c>
      <c r="C1733" s="142">
        <f>B1733*IBGE_2!C$1733/100</f>
        <v>170</v>
      </c>
      <c r="D1733" s="142">
        <f>B1733*IBGE_2!D$1733/100</f>
        <v>16.2</v>
      </c>
      <c r="E1733" s="142">
        <f>B1733*IBGE_2!E$1733/100</f>
        <v>1.3</v>
      </c>
      <c r="F1733" s="142">
        <f>B1733*IBGE_2!F$1733/100</f>
        <v>0.2</v>
      </c>
      <c r="G1733" s="142">
        <f>B1733*IBGE_2!G$1733/100</f>
        <v>0.71499999999999997</v>
      </c>
      <c r="H1733" s="142">
        <f>B1733*IBGE_2!H$1733/100</f>
        <v>2E-3</v>
      </c>
      <c r="I1733" s="142">
        <f>B1733*IBGE_2!I$1733/100</f>
        <v>2E-3</v>
      </c>
      <c r="J1733" s="142" t="s">
        <v>3047</v>
      </c>
      <c r="K1733" s="142" t="s">
        <v>3047</v>
      </c>
      <c r="L1733" s="142">
        <f>B1733*IBGE_2!L$1733/100</f>
        <v>28.1</v>
      </c>
      <c r="M1733" s="142">
        <f>B1733*IBGE_2!M$1733/100</f>
        <v>11.5</v>
      </c>
      <c r="N1733" s="142">
        <f>B1733*IBGE_2!N$1733/100</f>
        <v>86</v>
      </c>
      <c r="O1733" s="142">
        <f>B1733*IBGE_2!O$1733/100</f>
        <v>180</v>
      </c>
      <c r="P1733" s="142">
        <f>B1733*IBGE_2!P$1733/100</f>
        <v>0.19</v>
      </c>
      <c r="Q1733" s="142">
        <f>B1733*IBGE_2!Q$1733/100</f>
        <v>104</v>
      </c>
      <c r="R1733" s="142">
        <f>B1733*IBGE_2!R$1733/100</f>
        <v>36</v>
      </c>
      <c r="S1733" s="142">
        <f>B1733*IBGE_2!S$1733/100</f>
        <v>3400</v>
      </c>
      <c r="T1733" s="142">
        <f>B1733*IBGE_2!T$1733/100</f>
        <v>1800</v>
      </c>
      <c r="U1733" s="142">
        <f>B1733*IBGE_2!U$1733/100</f>
        <v>0.3</v>
      </c>
      <c r="V1733" s="142">
        <f>B1733*IBGE_2!V$1733/100</f>
        <v>2.1</v>
      </c>
      <c r="W1733" s="142" t="s">
        <v>3047</v>
      </c>
      <c r="X1733" s="142">
        <f>B1733*IBGE_2!X$1733/100</f>
        <v>11</v>
      </c>
      <c r="Y1733" s="142">
        <f>B1733*IBGE_2!Y$1733/100</f>
        <v>8.4</v>
      </c>
      <c r="Z1733" s="142">
        <f>B1733*IBGE_2!Z$1733/100</f>
        <v>1.3</v>
      </c>
      <c r="AA1733" s="142">
        <f>B1733*IBGE_2!AA$1733/100</f>
        <v>50</v>
      </c>
      <c r="AB1733" s="142" t="s">
        <v>3047</v>
      </c>
      <c r="AC1733" s="142">
        <f>B1733*IBGE_2!AC$1733/100</f>
        <v>55.116999999999997</v>
      </c>
      <c r="AD1733" s="142">
        <f>B1733*IBGE_2!AD$1733/100</f>
        <v>10</v>
      </c>
      <c r="AE1733" s="142">
        <f>B1733*IBGE_2!AE$1733/100</f>
        <v>3105</v>
      </c>
      <c r="AF1733" s="142" t="s">
        <v>3047</v>
      </c>
      <c r="AG1733" s="142" t="s">
        <v>3047</v>
      </c>
      <c r="AH1733" s="142" t="s">
        <v>3047</v>
      </c>
      <c r="AI1733" s="142" t="s">
        <v>3047</v>
      </c>
      <c r="AJ1733" s="142">
        <f>B1733*IBGE_2!AJ$1733/100</f>
        <v>18</v>
      </c>
      <c r="AK1733" s="142" t="s">
        <v>3047</v>
      </c>
      <c r="AL1733" s="142">
        <f>B1733*IBGE_2!AL$1733/100</f>
        <v>13.544</v>
      </c>
      <c r="AM1733" s="142">
        <f>B1733*IBGE_2!AM$1733/100</f>
        <v>1</v>
      </c>
      <c r="AN1733" s="161"/>
    </row>
    <row r="1734" spans="1:40">
      <c r="A1734" s="143" t="s">
        <v>2794</v>
      </c>
      <c r="B1734" s="141">
        <v>100</v>
      </c>
      <c r="C1734" s="142">
        <f>B1734*IBGE_2!C$1734/100</f>
        <v>36.874000000000002</v>
      </c>
      <c r="D1734" s="142">
        <f>B1734*IBGE_2!D$1734/100</f>
        <v>7.0000000000000007E-2</v>
      </c>
      <c r="E1734" s="142">
        <f>B1734*IBGE_2!E$1734/100</f>
        <v>0.02</v>
      </c>
      <c r="F1734" s="142" t="s">
        <v>3047</v>
      </c>
      <c r="G1734" s="142" t="s">
        <v>3047</v>
      </c>
      <c r="H1734" s="142" t="s">
        <v>3047</v>
      </c>
      <c r="I1734" s="142" t="s">
        <v>3047</v>
      </c>
      <c r="J1734" s="142" t="s">
        <v>3047</v>
      </c>
      <c r="K1734" s="142" t="s">
        <v>3047</v>
      </c>
      <c r="L1734" s="142">
        <f>B1734*IBGE_2!L$1734/100</f>
        <v>9.5269999999999992</v>
      </c>
      <c r="M1734" s="142" t="s">
        <v>3047</v>
      </c>
      <c r="N1734" s="142">
        <f>B1734*IBGE_2!N$1734/100</f>
        <v>1.9930000000000001</v>
      </c>
      <c r="O1734" s="142" t="s">
        <v>3047</v>
      </c>
      <c r="P1734" s="142">
        <f>B1734*IBGE_2!P$1734/100</f>
        <v>2E-3</v>
      </c>
      <c r="Q1734" s="142">
        <f>B1734*IBGE_2!Q$1734/100</f>
        <v>9.9659999999999993</v>
      </c>
      <c r="R1734" s="142">
        <f>B1734*IBGE_2!R$1734/100</f>
        <v>0.11</v>
      </c>
      <c r="S1734" s="142">
        <f>B1734*IBGE_2!S$1734/100</f>
        <v>3.9860000000000002</v>
      </c>
      <c r="T1734" s="142">
        <f>B1734*IBGE_2!T$1734/100</f>
        <v>1.9930000000000001</v>
      </c>
      <c r="U1734" s="142">
        <f>B1734*IBGE_2!U$1734/100</f>
        <v>1E-3</v>
      </c>
      <c r="V1734" s="142">
        <f>B1734*IBGE_2!V$1734/100</f>
        <v>0.02</v>
      </c>
      <c r="W1734" s="142" t="s">
        <v>3047</v>
      </c>
      <c r="X1734" s="142" t="s">
        <v>3047</v>
      </c>
      <c r="Y1734" s="142" t="s">
        <v>3047</v>
      </c>
      <c r="Z1734" s="142" t="s">
        <v>3047</v>
      </c>
      <c r="AA1734" s="142" t="s">
        <v>3047</v>
      </c>
      <c r="AB1734" s="142" t="s">
        <v>3047</v>
      </c>
      <c r="AC1734" s="142" t="s">
        <v>3047</v>
      </c>
      <c r="AD1734" s="142" t="s">
        <v>3047</v>
      </c>
      <c r="AE1734" s="142" t="s">
        <v>3047</v>
      </c>
      <c r="AF1734" s="142" t="s">
        <v>3047</v>
      </c>
      <c r="AG1734" s="142" t="s">
        <v>3047</v>
      </c>
      <c r="AH1734" s="142" t="s">
        <v>3047</v>
      </c>
      <c r="AI1734" s="142" t="s">
        <v>3047</v>
      </c>
      <c r="AJ1734" s="142">
        <f>B1734*IBGE_2!AJ$1734/100</f>
        <v>0.1</v>
      </c>
      <c r="AK1734" s="142" t="s">
        <v>3047</v>
      </c>
      <c r="AL1734" s="142">
        <f>B1734*IBGE_2!AL$1734/100</f>
        <v>10.564</v>
      </c>
      <c r="AM1734" s="142">
        <f>B1734*IBGE_2!AM$1734/100</f>
        <v>9.5269999999999992</v>
      </c>
      <c r="AN1734" s="161"/>
    </row>
    <row r="1735" spans="1:40">
      <c r="A1735" s="143" t="s">
        <v>2795</v>
      </c>
      <c r="B1735" s="141">
        <v>100</v>
      </c>
      <c r="C1735" s="142">
        <f>B1735*IBGE_2!C$1735/100</f>
        <v>352</v>
      </c>
      <c r="D1735" s="142">
        <f>B1735*IBGE_2!D$1735/100</f>
        <v>9.91</v>
      </c>
      <c r="E1735" s="142">
        <f>B1735*IBGE_2!E$1735/100</f>
        <v>1.1599999999999999</v>
      </c>
      <c r="F1735" s="142">
        <f>B1735*IBGE_2!F$1735/100</f>
        <v>0.24399999999999999</v>
      </c>
      <c r="G1735" s="142">
        <f>B1735*IBGE_2!G$1735/100</f>
        <v>0.14899999999999999</v>
      </c>
      <c r="H1735" s="142">
        <f>B1735*IBGE_2!H$1735/100</f>
        <v>0.56000000000000005</v>
      </c>
      <c r="I1735" s="142">
        <f>B1735*IBGE_2!I$1735/100</f>
        <v>0.505</v>
      </c>
      <c r="J1735" s="142">
        <f>B1735*IBGE_2!J$1735/100</f>
        <v>5.5E-2</v>
      </c>
      <c r="K1735" s="142" t="s">
        <v>3047</v>
      </c>
      <c r="L1735" s="142">
        <f>B1735*IBGE_2!L$1735/100</f>
        <v>77.72</v>
      </c>
      <c r="M1735" s="142">
        <f>B1735*IBGE_2!M$1735/100</f>
        <v>15.6</v>
      </c>
      <c r="N1735" s="142">
        <f>B1735*IBGE_2!N$1735/100</f>
        <v>29</v>
      </c>
      <c r="O1735" s="142">
        <f>B1735*IBGE_2!O$1735/100</f>
        <v>79</v>
      </c>
      <c r="P1735" s="142">
        <f>B1735*IBGE_2!P$1735/100</f>
        <v>1.3220000000000001</v>
      </c>
      <c r="Q1735" s="142">
        <f>B1735*IBGE_2!Q$1735/100</f>
        <v>221</v>
      </c>
      <c r="R1735" s="142">
        <f>B1735*IBGE_2!R$1735/100</f>
        <v>2.5</v>
      </c>
      <c r="S1735" s="142">
        <f>B1735*IBGE_2!S$1735/100</f>
        <v>9</v>
      </c>
      <c r="T1735" s="142">
        <f>B1735*IBGE_2!T$1735/100</f>
        <v>280</v>
      </c>
      <c r="U1735" s="142">
        <f>B1735*IBGE_2!U$1735/100</f>
        <v>0.42</v>
      </c>
      <c r="V1735" s="142">
        <f>B1735*IBGE_2!V$1735/100</f>
        <v>2.13</v>
      </c>
      <c r="W1735" s="142" t="s">
        <v>3047</v>
      </c>
      <c r="X1735" s="142">
        <f>B1735*IBGE_2!X$1735/100</f>
        <v>0.191</v>
      </c>
      <c r="Y1735" s="142">
        <f>B1735*IBGE_2!Y$1735/100</f>
        <v>0.114</v>
      </c>
      <c r="Z1735" s="142">
        <f>B1735*IBGE_2!Z$1735/100</f>
        <v>0.26</v>
      </c>
      <c r="AA1735" s="142">
        <f>B1735*IBGE_2!AA$1735/100</f>
        <v>4.6040000000000001</v>
      </c>
      <c r="AB1735" s="142" t="s">
        <v>3047</v>
      </c>
      <c r="AC1735" s="142">
        <f>B1735*IBGE_2!AC$1735/100</f>
        <v>7.3540000000000001</v>
      </c>
      <c r="AD1735" s="142" t="s">
        <v>3047</v>
      </c>
      <c r="AE1735" s="142">
        <f>B1735*IBGE_2!AE$1735/100</f>
        <v>23</v>
      </c>
      <c r="AF1735" s="142" t="s">
        <v>3047</v>
      </c>
      <c r="AG1735" s="142">
        <f>B1735*IBGE_2!AG$1735/100</f>
        <v>0.02</v>
      </c>
      <c r="AH1735" s="142" t="s">
        <v>3047</v>
      </c>
      <c r="AI1735" s="142" t="s">
        <v>3047</v>
      </c>
      <c r="AJ1735" s="142">
        <f>B1735*IBGE_2!AJ$1735/100</f>
        <v>37.700000000000003</v>
      </c>
      <c r="AK1735" s="142">
        <f>B1735*IBGE_2!AK$1735/100</f>
        <v>1.083</v>
      </c>
      <c r="AL1735" s="142">
        <f>B1735*IBGE_2!AL$1735/100</f>
        <v>1.3</v>
      </c>
      <c r="AM1735" s="142" t="s">
        <v>3047</v>
      </c>
      <c r="AN1735" s="161"/>
    </row>
    <row r="1736" spans="1:40">
      <c r="A1736" s="143" t="s">
        <v>2796</v>
      </c>
      <c r="B1736" s="141">
        <v>100</v>
      </c>
      <c r="C1736" s="142">
        <f>B1736*IBGE_2!C$1736/100</f>
        <v>83.322000000000003</v>
      </c>
      <c r="D1736" s="142">
        <f>B1736*IBGE_2!D$1736/100</f>
        <v>3.1819999999999999</v>
      </c>
      <c r="E1736" s="142">
        <f>B1736*IBGE_2!E$1736/100</f>
        <v>3.403</v>
      </c>
      <c r="F1736" s="142">
        <f>B1736*IBGE_2!F$1736/100</f>
        <v>2.1120000000000001</v>
      </c>
      <c r="G1736" s="142">
        <f>B1736*IBGE_2!G$1736/100</f>
        <v>0.99400000000000011</v>
      </c>
      <c r="H1736" s="142">
        <f>B1736*IBGE_2!H$1736/100</f>
        <v>0.124</v>
      </c>
      <c r="I1736" s="142">
        <f>B1736*IBGE_2!I$1736/100</f>
        <v>7.8E-2</v>
      </c>
      <c r="J1736" s="142">
        <f>B1736*IBGE_2!J$1736/100</f>
        <v>4.5999999999999999E-2</v>
      </c>
      <c r="K1736" s="142">
        <f>B1736*IBGE_2!K$1736/100</f>
        <v>12.047000000000001</v>
      </c>
      <c r="L1736" s="142">
        <f>B1736*IBGE_2!L$1736/100</f>
        <v>10.38</v>
      </c>
      <c r="M1736" s="142">
        <f>B1736*IBGE_2!M$1736/100</f>
        <v>0.80300000000000016</v>
      </c>
      <c r="N1736" s="142">
        <f>B1736*IBGE_2!N$1736/100</f>
        <v>112.435</v>
      </c>
      <c r="O1736" s="142">
        <f>B1736*IBGE_2!O$1736/100</f>
        <v>13.05</v>
      </c>
      <c r="P1736" s="142">
        <f>B1736*IBGE_2!P$1736/100</f>
        <v>7.6999999999999999E-2</v>
      </c>
      <c r="Q1736" s="142">
        <f>B1736*IBGE_2!Q$1736/100</f>
        <v>101.392</v>
      </c>
      <c r="R1736" s="142">
        <f>B1736*IBGE_2!R$1736/100</f>
        <v>0.24099999999999999</v>
      </c>
      <c r="S1736" s="142">
        <f>B1736*IBGE_2!S$1736/100</f>
        <v>60.23299999999999</v>
      </c>
      <c r="T1736" s="142">
        <f>B1736*IBGE_2!T$1736/100</f>
        <v>167.648</v>
      </c>
      <c r="U1736" s="142">
        <f>B1736*IBGE_2!U$1736/100</f>
        <v>6.5000000000000002E-2</v>
      </c>
      <c r="V1736" s="142">
        <f>B1736*IBGE_2!V$1736/100</f>
        <v>0.41199999999999998</v>
      </c>
      <c r="W1736" s="142">
        <f>B1736*IBGE_2!W$1736/100</f>
        <v>26.100999999999999</v>
      </c>
      <c r="X1736" s="142">
        <f>B1736*IBGE_2!X$1736/100</f>
        <v>3.6999999999999998E-2</v>
      </c>
      <c r="Y1736" s="142">
        <f>B1736*IBGE_2!Y$1736/100</f>
        <v>0.16300000000000001</v>
      </c>
      <c r="Z1736" s="142">
        <f>B1736*IBGE_2!Z$1736/100</f>
        <v>0.04</v>
      </c>
      <c r="AA1736" s="142">
        <f>B1736*IBGE_2!AA$1736/100</f>
        <v>0.125</v>
      </c>
      <c r="AB1736" s="142">
        <f>B1736*IBGE_2!AB$1736/100</f>
        <v>0.90300000000000002</v>
      </c>
      <c r="AC1736" s="142">
        <f>B1736*IBGE_2!AC$1736/100</f>
        <v>0.878</v>
      </c>
      <c r="AD1736" s="142">
        <f>B1736*IBGE_2!AD$1736/100</f>
        <v>0.33100000000000002</v>
      </c>
      <c r="AE1736" s="142">
        <f>B1736*IBGE_2!AE$1736/100</f>
        <v>5.0190000000000001</v>
      </c>
      <c r="AF1736" s="142">
        <f>B1736*IBGE_2!AF$1736/100</f>
        <v>1.004</v>
      </c>
      <c r="AG1736" s="142">
        <f>B1736*IBGE_2!AG$1736/100</f>
        <v>0.06</v>
      </c>
      <c r="AH1736" s="142">
        <f>B1736*IBGE_2!AH$1736/100</f>
        <v>0.121</v>
      </c>
      <c r="AI1736" s="142" t="s">
        <v>3047</v>
      </c>
      <c r="AJ1736" s="142">
        <f>B1736*IBGE_2!AJ$1736/100</f>
        <v>1.9069999999999998</v>
      </c>
      <c r="AK1736" s="142">
        <f>B1736*IBGE_2!AK$1736/100</f>
        <v>26.518999999999995</v>
      </c>
      <c r="AL1736" s="142">
        <f>B1736*IBGE_2!AL$1736/100</f>
        <v>10.135999999999999</v>
      </c>
      <c r="AM1736" s="142">
        <f>B1736*IBGE_2!AM$1736/100</f>
        <v>5.0890000000000004</v>
      </c>
      <c r="AN1736" s="161"/>
    </row>
    <row r="1737" spans="1:40">
      <c r="A1737" s="143" t="s">
        <v>2797</v>
      </c>
      <c r="B1737" s="141">
        <v>100</v>
      </c>
      <c r="C1737" s="142">
        <f>B1737*IBGE_2!C$1737/100</f>
        <v>40.017000000000003</v>
      </c>
      <c r="D1737" s="142">
        <f>B1737*IBGE_2!D$1737/100</f>
        <v>0.05</v>
      </c>
      <c r="E1737" s="142">
        <f>B1737*IBGE_2!E$1737/100</f>
        <v>0.02</v>
      </c>
      <c r="F1737" s="142" t="s">
        <v>3047</v>
      </c>
      <c r="G1737" s="142" t="s">
        <v>3047</v>
      </c>
      <c r="H1737" s="142" t="s">
        <v>3047</v>
      </c>
      <c r="I1737" s="142" t="s">
        <v>3047</v>
      </c>
      <c r="J1737" s="142" t="s">
        <v>3047</v>
      </c>
      <c r="K1737" s="142" t="s">
        <v>3047</v>
      </c>
      <c r="L1737" s="142">
        <f>B1737*IBGE_2!L$1737/100</f>
        <v>10.144</v>
      </c>
      <c r="M1737" s="142" t="s">
        <v>3047</v>
      </c>
      <c r="N1737" s="142">
        <f>B1737*IBGE_2!N$1737/100</f>
        <v>2.0009999999999999</v>
      </c>
      <c r="O1737" s="142">
        <f>B1737*IBGE_2!O$1737/100</f>
        <v>1</v>
      </c>
      <c r="P1737" s="142">
        <f>B1737*IBGE_2!P$1737/100</f>
        <v>2E-3</v>
      </c>
      <c r="Q1737" s="142" t="s">
        <v>3047</v>
      </c>
      <c r="R1737" s="142">
        <f>B1737*IBGE_2!R$1737/100</f>
        <v>0.11</v>
      </c>
      <c r="S1737" s="142">
        <f>B1737*IBGE_2!S$1737/100</f>
        <v>9.0039999999999996</v>
      </c>
      <c r="T1737" s="142">
        <f>B1737*IBGE_2!T$1737/100</f>
        <v>1</v>
      </c>
      <c r="U1737" s="142">
        <f>B1737*IBGE_2!U$1737/100</f>
        <v>1E-3</v>
      </c>
      <c r="V1737" s="142">
        <f>B1737*IBGE_2!V$1737/100</f>
        <v>0.04</v>
      </c>
      <c r="W1737" s="142" t="s">
        <v>3047</v>
      </c>
      <c r="X1737" s="142" t="s">
        <v>3047</v>
      </c>
      <c r="Y1737" s="142" t="s">
        <v>3047</v>
      </c>
      <c r="Z1737" s="142" t="s">
        <v>3047</v>
      </c>
      <c r="AA1737" s="142">
        <f>B1737*IBGE_2!AA$1737/100</f>
        <v>1.4999999999999999E-2</v>
      </c>
      <c r="AB1737" s="142" t="s">
        <v>3047</v>
      </c>
      <c r="AC1737" s="142">
        <f>B1737*IBGE_2!AC$1737/100</f>
        <v>1.4999999999999999E-2</v>
      </c>
      <c r="AD1737" s="142" t="s">
        <v>3047</v>
      </c>
      <c r="AE1737" s="142" t="s">
        <v>3047</v>
      </c>
      <c r="AF1737" s="142" t="s">
        <v>3047</v>
      </c>
      <c r="AG1737" s="142" t="s">
        <v>3047</v>
      </c>
      <c r="AH1737" s="142" t="s">
        <v>3047</v>
      </c>
      <c r="AI1737" s="142" t="s">
        <v>3047</v>
      </c>
      <c r="AJ1737" s="142" t="s">
        <v>3047</v>
      </c>
      <c r="AK1737" s="142" t="s">
        <v>3047</v>
      </c>
      <c r="AL1737" s="142">
        <f>B1737*IBGE_2!AL$1737/100</f>
        <v>9.0739999999999998</v>
      </c>
      <c r="AM1737" s="142">
        <f>B1737*IBGE_2!AM$1737/100</f>
        <v>10.144</v>
      </c>
      <c r="AN1737" s="161"/>
    </row>
    <row r="1738" spans="1:40">
      <c r="A1738" s="143" t="s">
        <v>2798</v>
      </c>
      <c r="B1738" s="141">
        <v>100</v>
      </c>
      <c r="C1738" s="142">
        <f>B1738*IBGE_2!C$1738/100</f>
        <v>2.524</v>
      </c>
      <c r="D1738" s="142">
        <f>B1738*IBGE_2!D$1738/100</f>
        <v>8.9999999999999993E-3</v>
      </c>
      <c r="E1738" s="142" t="s">
        <v>3047</v>
      </c>
      <c r="F1738" s="142">
        <f>B1738*IBGE_2!F$1738/100</f>
        <v>2E-3</v>
      </c>
      <c r="G1738" s="142">
        <f>B1738*IBGE_2!G$1738/100</f>
        <v>1E-3</v>
      </c>
      <c r="H1738" s="142">
        <f>B1738*IBGE_2!H$1738/100</f>
        <v>4.0000000000000001E-3</v>
      </c>
      <c r="I1738" s="142">
        <f>B1738*IBGE_2!I$1738/100</f>
        <v>1E-3</v>
      </c>
      <c r="J1738" s="142">
        <f>B1738*IBGE_2!J$1738/100</f>
        <v>3.0000000000000001E-3</v>
      </c>
      <c r="K1738" s="142" t="s">
        <v>3047</v>
      </c>
      <c r="L1738" s="142">
        <f>B1738*IBGE_2!L$1738/100</f>
        <v>0.67200000000000004</v>
      </c>
      <c r="M1738" s="142" t="s">
        <v>3047</v>
      </c>
      <c r="N1738" s="142" t="s">
        <v>3047</v>
      </c>
      <c r="O1738" s="142">
        <f>B1738*IBGE_2!O$1738/100</f>
        <v>2.98</v>
      </c>
      <c r="P1738" s="142">
        <f>B1738*IBGE_2!P$1738/100</f>
        <v>0.218</v>
      </c>
      <c r="Q1738" s="142">
        <f>B1738*IBGE_2!Q$1738/100</f>
        <v>0.99299999999999999</v>
      </c>
      <c r="R1738" s="142">
        <f>B1738*IBGE_2!R$1738/100</f>
        <v>0.02</v>
      </c>
      <c r="S1738" s="142">
        <f>B1738*IBGE_2!S$1738/100</f>
        <v>2.98</v>
      </c>
      <c r="T1738" s="142">
        <f>B1738*IBGE_2!T$1738/100</f>
        <v>36.768000000000001</v>
      </c>
      <c r="U1738" s="142">
        <f>B1738*IBGE_2!U$1738/100</f>
        <v>0.01</v>
      </c>
      <c r="V1738" s="142">
        <f>B1738*IBGE_2!V$1738/100</f>
        <v>0.02</v>
      </c>
      <c r="W1738" s="142" t="s">
        <v>3047</v>
      </c>
      <c r="X1738" s="142" t="s">
        <v>3047</v>
      </c>
      <c r="Y1738" s="142">
        <f>B1738*IBGE_2!Y$1738/100</f>
        <v>1.4000000000000002E-2</v>
      </c>
      <c r="Z1738" s="142" t="s">
        <v>3047</v>
      </c>
      <c r="AA1738" s="142" t="s">
        <v>3047</v>
      </c>
      <c r="AB1738" s="142" t="s">
        <v>3047</v>
      </c>
      <c r="AC1738" s="142" t="s">
        <v>3047</v>
      </c>
      <c r="AD1738" s="142" t="s">
        <v>3047</v>
      </c>
      <c r="AE1738" s="142">
        <f>B1738*IBGE_2!AE$1738/100</f>
        <v>4.9660000000000002</v>
      </c>
      <c r="AF1738" s="142" t="s">
        <v>3047</v>
      </c>
      <c r="AG1738" s="142" t="s">
        <v>3047</v>
      </c>
      <c r="AH1738" s="142" t="s">
        <v>3047</v>
      </c>
      <c r="AI1738" s="142" t="s">
        <v>3047</v>
      </c>
      <c r="AJ1738" s="142">
        <f>B1738*IBGE_2!AJ$1738/100</f>
        <v>2E-3</v>
      </c>
      <c r="AK1738" s="142" t="s">
        <v>3047</v>
      </c>
      <c r="AL1738" s="142">
        <f>B1738*IBGE_2!AL$1738/100</f>
        <v>0.33900000000000008</v>
      </c>
      <c r="AM1738" s="142">
        <f>B1738*IBGE_2!AM$1738/100</f>
        <v>0.35899999999999999</v>
      </c>
      <c r="AN1738" s="161"/>
    </row>
    <row r="1739" spans="1:40">
      <c r="A1739" s="143" t="s">
        <v>2799</v>
      </c>
      <c r="B1739" s="141">
        <v>100</v>
      </c>
      <c r="C1739" s="142">
        <f>B1739*IBGE_2!C$1739/100</f>
        <v>39</v>
      </c>
      <c r="D1739" s="142" t="s">
        <v>3047</v>
      </c>
      <c r="E1739" s="142" t="s">
        <v>3047</v>
      </c>
      <c r="F1739" s="142" t="s">
        <v>3047</v>
      </c>
      <c r="G1739" s="142" t="s">
        <v>3047</v>
      </c>
      <c r="H1739" s="142" t="s">
        <v>3047</v>
      </c>
      <c r="I1739" s="142" t="s">
        <v>3047</v>
      </c>
      <c r="J1739" s="142" t="s">
        <v>3047</v>
      </c>
      <c r="K1739" s="142" t="s">
        <v>3047</v>
      </c>
      <c r="L1739" s="142">
        <f>B1739*IBGE_2!L$1739/100</f>
        <v>10</v>
      </c>
      <c r="M1739" s="142" t="s">
        <v>3047</v>
      </c>
      <c r="N1739" s="142">
        <f>B1739*IBGE_2!N$1739/100</f>
        <v>1</v>
      </c>
      <c r="O1739" s="142" t="s">
        <v>3047</v>
      </c>
      <c r="P1739" s="142" t="s">
        <v>3047</v>
      </c>
      <c r="Q1739" s="142" t="s">
        <v>3047</v>
      </c>
      <c r="R1739" s="142" t="s">
        <v>3047</v>
      </c>
      <c r="S1739" s="142">
        <f>B1739*IBGE_2!S$1739/100</f>
        <v>9</v>
      </c>
      <c r="T1739" s="142">
        <f>B1739*IBGE_2!T$1739/100</f>
        <v>1</v>
      </c>
      <c r="U1739" s="142" t="s">
        <v>3047</v>
      </c>
      <c r="V1739" s="142" t="s">
        <v>3047</v>
      </c>
      <c r="W1739" s="142" t="s">
        <v>3047</v>
      </c>
      <c r="X1739" s="142" t="s">
        <v>3047</v>
      </c>
      <c r="Y1739" s="142" t="s">
        <v>3047</v>
      </c>
      <c r="Z1739" s="142" t="s">
        <v>3047</v>
      </c>
      <c r="AA1739" s="142" t="s">
        <v>3047</v>
      </c>
      <c r="AB1739" s="142" t="s">
        <v>3047</v>
      </c>
      <c r="AC1739" s="142" t="s">
        <v>3047</v>
      </c>
      <c r="AD1739" s="142" t="s">
        <v>3047</v>
      </c>
      <c r="AE1739" s="142" t="s">
        <v>3047</v>
      </c>
      <c r="AF1739" s="142" t="s">
        <v>3047</v>
      </c>
      <c r="AG1739" s="142" t="s">
        <v>3047</v>
      </c>
      <c r="AH1739" s="142" t="s">
        <v>3047</v>
      </c>
      <c r="AI1739" s="142" t="s">
        <v>3047</v>
      </c>
      <c r="AJ1739" s="145" t="s">
        <v>3047</v>
      </c>
      <c r="AK1739" s="142" t="s">
        <v>3047</v>
      </c>
      <c r="AL1739" s="142">
        <f>B1739*IBGE_2!AL$1739/100</f>
        <v>10</v>
      </c>
      <c r="AM1739" s="142">
        <f>B1739*IBGE_2!AM$1739/100</f>
        <v>10</v>
      </c>
      <c r="AN1739" s="161"/>
    </row>
    <row r="1740" spans="1:40">
      <c r="A1740" s="143" t="s">
        <v>2800</v>
      </c>
      <c r="B1740" s="141">
        <v>100</v>
      </c>
      <c r="C1740" s="142">
        <f>B1740*IBGE_2!C$1740/100</f>
        <v>27.010999999999999</v>
      </c>
      <c r="D1740" s="142" t="s">
        <v>3047</v>
      </c>
      <c r="E1740" s="142">
        <f>B1740*IBGE_2!E$1740/100</f>
        <v>0.1</v>
      </c>
      <c r="F1740" s="142" t="s">
        <v>3047</v>
      </c>
      <c r="G1740" s="142" t="s">
        <v>3047</v>
      </c>
      <c r="H1740" s="142" t="s">
        <v>3047</v>
      </c>
      <c r="I1740" s="142" t="s">
        <v>3047</v>
      </c>
      <c r="J1740" s="142" t="s">
        <v>3047</v>
      </c>
      <c r="K1740" s="142" t="s">
        <v>3047</v>
      </c>
      <c r="L1740" s="142">
        <f>B1740*IBGE_2!L$1740/100</f>
        <v>6.7629999999999999</v>
      </c>
      <c r="M1740" s="142" t="s">
        <v>3047</v>
      </c>
      <c r="N1740" s="142">
        <f>B1740*IBGE_2!N$1740/100</f>
        <v>1</v>
      </c>
      <c r="O1740" s="142">
        <f>B1740*IBGE_2!O$1740/100</f>
        <v>2.0009999999999999</v>
      </c>
      <c r="P1740" s="142">
        <f>B1740*IBGE_2!P$1740/100</f>
        <v>0.05</v>
      </c>
      <c r="Q1740" s="142">
        <f>B1740*IBGE_2!Q$1740/100</f>
        <v>7.0029999999999992</v>
      </c>
      <c r="R1740" s="142">
        <f>B1740*IBGE_2!R$1740/100</f>
        <v>0.22</v>
      </c>
      <c r="S1740" s="142">
        <f>B1740*IBGE_2!S$1740/100</f>
        <v>30.011999999999997</v>
      </c>
      <c r="T1740" s="142">
        <f>B1740*IBGE_2!T$1740/100</f>
        <v>14.005999999999998</v>
      </c>
      <c r="U1740" s="142">
        <f>B1740*IBGE_2!U$1740/100</f>
        <v>0.25</v>
      </c>
      <c r="V1740" s="142">
        <f>B1740*IBGE_2!V$1740/100</f>
        <v>0.2</v>
      </c>
      <c r="W1740" s="142" t="s">
        <v>3047</v>
      </c>
      <c r="X1740" s="142">
        <f>B1740*IBGE_2!X$1740/100</f>
        <v>1.0999999999999999E-2</v>
      </c>
      <c r="Y1740" s="142">
        <f>B1740*IBGE_2!Y$1740/100</f>
        <v>1E-3</v>
      </c>
      <c r="Z1740" s="142">
        <f>B1740*IBGE_2!Z$1740/100</f>
        <v>6.0999999999999999E-2</v>
      </c>
      <c r="AA1740" s="142">
        <f>B1740*IBGE_2!AA$1740/100</f>
        <v>0.61599999999999999</v>
      </c>
      <c r="AB1740" s="142">
        <f>B1740*IBGE_2!AB$1740/100</f>
        <v>0.4</v>
      </c>
      <c r="AC1740" s="142">
        <f>B1740*IBGE_2!AC$1740/100</f>
        <v>0.61599999999999999</v>
      </c>
      <c r="AD1740" s="142">
        <f>B1740*IBGE_2!AD$1740/100</f>
        <v>0.45</v>
      </c>
      <c r="AE1740" s="142" t="s">
        <v>3047</v>
      </c>
      <c r="AF1740" s="142" t="s">
        <v>3047</v>
      </c>
      <c r="AG1740" s="142" t="s">
        <v>3047</v>
      </c>
      <c r="AH1740" s="142" t="s">
        <v>3047</v>
      </c>
      <c r="AI1740" s="142" t="s">
        <v>3047</v>
      </c>
      <c r="AJ1740" s="142">
        <f>B1740*IBGE_2!AJ$1740/100</f>
        <v>0.3</v>
      </c>
      <c r="AK1740" s="142" t="s">
        <v>3047</v>
      </c>
      <c r="AL1740" s="142">
        <f>B1740*IBGE_2!AL$1740/100</f>
        <v>5.9020000000000001</v>
      </c>
      <c r="AM1740" s="142">
        <f>B1740*IBGE_2!AM$1740/100</f>
        <v>5.9029999999999996</v>
      </c>
      <c r="AN1740" s="161"/>
    </row>
    <row r="1741" spans="1:40">
      <c r="A1741" s="143" t="s">
        <v>2801</v>
      </c>
      <c r="B1741" s="141">
        <v>100</v>
      </c>
      <c r="C1741" s="142">
        <f>B1741*IBGE_2!C$1741/100</f>
        <v>45.347999999999999</v>
      </c>
      <c r="D1741" s="142">
        <f>B1741*IBGE_2!D$1741/100</f>
        <v>0.252</v>
      </c>
      <c r="E1741" s="142">
        <f>B1741*IBGE_2!E$1741/100</f>
        <v>8.1000000000000003E-2</v>
      </c>
      <c r="F1741" s="142" t="s">
        <v>3047</v>
      </c>
      <c r="G1741" s="142" t="s">
        <v>3047</v>
      </c>
      <c r="H1741" s="142" t="s">
        <v>3047</v>
      </c>
      <c r="I1741" s="142" t="s">
        <v>3047</v>
      </c>
      <c r="J1741" s="142" t="s">
        <v>3047</v>
      </c>
      <c r="K1741" s="142" t="s">
        <v>3047</v>
      </c>
      <c r="L1741" s="142">
        <f>B1741*IBGE_2!L$1741/100</f>
        <v>11.025</v>
      </c>
      <c r="M1741" s="142" t="s">
        <v>3047</v>
      </c>
      <c r="N1741" s="142">
        <f>B1741*IBGE_2!N$1741/100</f>
        <v>13.1</v>
      </c>
      <c r="O1741" s="142">
        <f>B1741*IBGE_2!O$1741/100</f>
        <v>3.0230000000000001</v>
      </c>
      <c r="P1741" s="142">
        <f>B1741*IBGE_2!P$1741/100</f>
        <v>3.0000000000000001E-3</v>
      </c>
      <c r="Q1741" s="142" t="s">
        <v>3047</v>
      </c>
      <c r="R1741" s="142">
        <f>B1741*IBGE_2!R$1741/100</f>
        <v>0.02</v>
      </c>
      <c r="S1741" s="142">
        <f>B1741*IBGE_2!S$1741/100</f>
        <v>84.649000000000001</v>
      </c>
      <c r="T1741" s="142">
        <f>B1741*IBGE_2!T$1741/100</f>
        <v>3.0230000000000001</v>
      </c>
      <c r="U1741" s="142">
        <f>B1741*IBGE_2!U$1741/100</f>
        <v>5.0000000000000001E-3</v>
      </c>
      <c r="V1741" s="142" t="s">
        <v>3047</v>
      </c>
      <c r="W1741" s="142" t="s">
        <v>3047</v>
      </c>
      <c r="X1741" s="142">
        <f>B1741*IBGE_2!X$1741/100</f>
        <v>2.5000000000000001E-2</v>
      </c>
      <c r="Y1741" s="142">
        <f>B1741*IBGE_2!Y$1741/100</f>
        <v>0.57899999999999996</v>
      </c>
      <c r="Z1741" s="142">
        <f>B1741*IBGE_2!Z$1741/100</f>
        <v>1.9750000000000001</v>
      </c>
      <c r="AA1741" s="142">
        <f>B1741*IBGE_2!AA$1741/100</f>
        <v>8.5660000000000007</v>
      </c>
      <c r="AB1741" s="142" t="s">
        <v>3047</v>
      </c>
      <c r="AC1741" s="142">
        <f>B1741*IBGE_2!AC$1741/100</f>
        <v>8.5660000000000007</v>
      </c>
      <c r="AD1741" s="142">
        <f>B1741*IBGE_2!AD$1741/100</f>
        <v>1.764</v>
      </c>
      <c r="AE1741" s="142" t="s">
        <v>3047</v>
      </c>
      <c r="AF1741" s="142" t="s">
        <v>3047</v>
      </c>
      <c r="AG1741" s="142" t="s">
        <v>3047</v>
      </c>
      <c r="AH1741" s="142" t="s">
        <v>3047</v>
      </c>
      <c r="AI1741" s="142" t="s">
        <v>3047</v>
      </c>
      <c r="AJ1741" s="142">
        <f>B1741*IBGE_2!AJ$1741/100</f>
        <v>0.20200000000000004</v>
      </c>
      <c r="AK1741" s="142" t="s">
        <v>3047</v>
      </c>
      <c r="AL1741" s="142">
        <f>B1741*IBGE_2!AL$1741/100</f>
        <v>10.138</v>
      </c>
      <c r="AM1741" s="142">
        <f>B1741*IBGE_2!AM$1741/100</f>
        <v>10.145</v>
      </c>
      <c r="AN1741" s="161"/>
    </row>
    <row r="1742" spans="1:40">
      <c r="A1742" s="143" t="s">
        <v>2802</v>
      </c>
      <c r="B1742" s="141">
        <v>100</v>
      </c>
      <c r="C1742" s="142">
        <f>B1742*IBGE_2!C$1742/100</f>
        <v>1.0009999999999999</v>
      </c>
      <c r="D1742" s="142" t="s">
        <v>3047</v>
      </c>
      <c r="E1742" s="142" t="s">
        <v>3047</v>
      </c>
      <c r="F1742" s="142">
        <f>B1742*IBGE_2!F$1742/100</f>
        <v>2E-3</v>
      </c>
      <c r="G1742" s="142">
        <f>B1742*IBGE_2!G$1742/100</f>
        <v>1E-3</v>
      </c>
      <c r="H1742" s="142">
        <f>B1742*IBGE_2!H$1742/100</f>
        <v>4.0000000000000001E-3</v>
      </c>
      <c r="I1742" s="142">
        <f>B1742*IBGE_2!I$1742/100</f>
        <v>1E-3</v>
      </c>
      <c r="J1742" s="142">
        <f>B1742*IBGE_2!J$1742/100</f>
        <v>3.0000000000000001E-3</v>
      </c>
      <c r="K1742" s="142" t="s">
        <v>3047</v>
      </c>
      <c r="L1742" s="142">
        <f>B1742*IBGE_2!L$1742/100</f>
        <v>0.3</v>
      </c>
      <c r="M1742" s="142" t="s">
        <v>3047</v>
      </c>
      <c r="N1742" s="142" t="s">
        <v>3047</v>
      </c>
      <c r="O1742" s="142">
        <f>B1742*IBGE_2!O$1742/100</f>
        <v>3.0030000000000001</v>
      </c>
      <c r="P1742" s="142">
        <f>B1742*IBGE_2!P$1742/100</f>
        <v>0.21899999999999997</v>
      </c>
      <c r="Q1742" s="142">
        <f>B1742*IBGE_2!Q$1742/100</f>
        <v>1.0009999999999999</v>
      </c>
      <c r="R1742" s="142">
        <f>B1742*IBGE_2!R$1742/100</f>
        <v>0.02</v>
      </c>
      <c r="S1742" s="142">
        <f>B1742*IBGE_2!S$1742/100</f>
        <v>3.0030000000000001</v>
      </c>
      <c r="T1742" s="142">
        <f>B1742*IBGE_2!T$1742/100</f>
        <v>37.033999999999999</v>
      </c>
      <c r="U1742" s="142">
        <f>B1742*IBGE_2!U$1742/100</f>
        <v>0.01</v>
      </c>
      <c r="V1742" s="142">
        <f>B1742*IBGE_2!V$1742/100</f>
        <v>0.02</v>
      </c>
      <c r="W1742" s="142" t="s">
        <v>3047</v>
      </c>
      <c r="X1742" s="142" t="s">
        <v>3047</v>
      </c>
      <c r="Y1742" s="142">
        <f>B1742*IBGE_2!Y$1742/100</f>
        <v>1.4000000000000002E-2</v>
      </c>
      <c r="Z1742" s="142" t="s">
        <v>3047</v>
      </c>
      <c r="AA1742" s="142" t="s">
        <v>3047</v>
      </c>
      <c r="AB1742" s="142" t="s">
        <v>3047</v>
      </c>
      <c r="AC1742" s="142" t="s">
        <v>3047</v>
      </c>
      <c r="AD1742" s="142" t="s">
        <v>3047</v>
      </c>
      <c r="AE1742" s="142">
        <f>B1742*IBGE_2!AE$1742/100</f>
        <v>5.0049999999999999</v>
      </c>
      <c r="AF1742" s="142" t="s">
        <v>3047</v>
      </c>
      <c r="AG1742" s="142" t="s">
        <v>3047</v>
      </c>
      <c r="AH1742" s="142" t="s">
        <v>3047</v>
      </c>
      <c r="AI1742" s="142" t="s">
        <v>3047</v>
      </c>
      <c r="AJ1742" s="145" t="s">
        <v>3047</v>
      </c>
      <c r="AK1742" s="142" t="s">
        <v>3047</v>
      </c>
      <c r="AL1742" s="145" t="s">
        <v>3047</v>
      </c>
      <c r="AM1742" s="145" t="s">
        <v>3047</v>
      </c>
      <c r="AN1742" s="161"/>
    </row>
    <row r="1743" spans="1:40">
      <c r="A1743" s="143" t="s">
        <v>2803</v>
      </c>
      <c r="B1743" s="141">
        <v>100</v>
      </c>
      <c r="C1743" s="142">
        <f>B1743*IBGE_2!C$1743/100</f>
        <v>27.707000000000004</v>
      </c>
      <c r="D1743" s="142">
        <f>B1743*IBGE_2!D$1743/100</f>
        <v>0.255</v>
      </c>
      <c r="E1743" s="142">
        <f>B1743*IBGE_2!E$1743/100</f>
        <v>0.84299999999999997</v>
      </c>
      <c r="F1743" s="142">
        <f>B1743*IBGE_2!F$1743/100</f>
        <v>0.78799999999999992</v>
      </c>
      <c r="G1743" s="142">
        <f>B1743*IBGE_2!G$1743/100</f>
        <v>3.0000000000000001E-3</v>
      </c>
      <c r="H1743" s="142">
        <f>B1743*IBGE_2!H$1743/100</f>
        <v>1E-3</v>
      </c>
      <c r="I1743" s="142">
        <f>B1743*IBGE_2!I$1743/100</f>
        <v>1E-3</v>
      </c>
      <c r="J1743" s="142" t="s">
        <v>3047</v>
      </c>
      <c r="K1743" s="142" t="s">
        <v>3047</v>
      </c>
      <c r="L1743" s="142">
        <f>B1743*IBGE_2!L$1743/100</f>
        <v>5.1660000000000004</v>
      </c>
      <c r="M1743" s="142">
        <f>B1743*IBGE_2!M$1743/100</f>
        <v>0.13</v>
      </c>
      <c r="N1743" s="142">
        <f>B1743*IBGE_2!N$1743/100</f>
        <v>4.0510000000000002</v>
      </c>
      <c r="O1743" s="142">
        <f>B1743*IBGE_2!O$1743/100</f>
        <v>3.1150000000000002</v>
      </c>
      <c r="P1743" s="142">
        <f>B1743*IBGE_2!P$1743/100</f>
        <v>1.0999999999999999E-2</v>
      </c>
      <c r="Q1743" s="142">
        <f>B1743*IBGE_2!Q$1743/100</f>
        <v>1.9570000000000001</v>
      </c>
      <c r="R1743" s="142">
        <f>B1743*IBGE_2!R$1743/100</f>
        <v>0.03</v>
      </c>
      <c r="S1743" s="142">
        <f>B1743*IBGE_2!S$1743/100</f>
        <v>50.095999999999997</v>
      </c>
      <c r="T1743" s="142">
        <f>B1743*IBGE_2!T$1743/100</f>
        <v>22.940999999999999</v>
      </c>
      <c r="U1743" s="142">
        <f>B1743*IBGE_2!U$1743/100</f>
        <v>1.0999999999999999E-2</v>
      </c>
      <c r="V1743" s="142">
        <f>B1743*IBGE_2!V$1743/100</f>
        <v>1.6E-2</v>
      </c>
      <c r="W1743" s="142" t="s">
        <v>3047</v>
      </c>
      <c r="X1743" s="142">
        <f>B1743*IBGE_2!X$1743/100</f>
        <v>1E-3</v>
      </c>
      <c r="Y1743" s="142">
        <f>B1743*IBGE_2!Y$1743/100</f>
        <v>1E-3</v>
      </c>
      <c r="Z1743" s="142" t="s">
        <v>3047</v>
      </c>
      <c r="AA1743" s="142">
        <f>B1743*IBGE_2!AA$1743/100</f>
        <v>0.182</v>
      </c>
      <c r="AB1743" s="142" t="s">
        <v>3047</v>
      </c>
      <c r="AC1743" s="142">
        <f>B1743*IBGE_2!AC$1743/100</f>
        <v>0.221</v>
      </c>
      <c r="AD1743" s="142" t="s">
        <v>3047</v>
      </c>
      <c r="AE1743" s="142" t="s">
        <v>3047</v>
      </c>
      <c r="AF1743" s="142" t="s">
        <v>3047</v>
      </c>
      <c r="AG1743" s="142">
        <f>B1743*IBGE_2!AG$1743/100</f>
        <v>1.6E-2</v>
      </c>
      <c r="AH1743" s="142">
        <f>B1743*IBGE_2!AH$1743/100</f>
        <v>2E-3</v>
      </c>
      <c r="AI1743" s="142" t="s">
        <v>3047</v>
      </c>
      <c r="AJ1743" s="142">
        <f>B1743*IBGE_2!AJ$1743/100</f>
        <v>0.111</v>
      </c>
      <c r="AK1743" s="142" t="s">
        <v>3047</v>
      </c>
      <c r="AL1743" s="142">
        <f>B1743*IBGE_2!AL$1743/100</f>
        <v>4.3520000000000003</v>
      </c>
      <c r="AM1743" s="142">
        <f>B1743*IBGE_2!AM$1743/100</f>
        <v>4.67</v>
      </c>
      <c r="AN1743" s="161"/>
    </row>
    <row r="1744" spans="1:40">
      <c r="A1744" s="143" t="s">
        <v>2804</v>
      </c>
      <c r="B1744" s="141">
        <v>100</v>
      </c>
      <c r="C1744" s="142" t="s">
        <v>3047</v>
      </c>
      <c r="D1744" s="142" t="s">
        <v>3047</v>
      </c>
      <c r="E1744" s="142" t="s">
        <v>3047</v>
      </c>
      <c r="F1744" s="142" t="s">
        <v>3047</v>
      </c>
      <c r="G1744" s="142" t="s">
        <v>3047</v>
      </c>
      <c r="H1744" s="142" t="s">
        <v>3047</v>
      </c>
      <c r="I1744" s="142" t="s">
        <v>3047</v>
      </c>
      <c r="J1744" s="142" t="s">
        <v>3047</v>
      </c>
      <c r="K1744" s="142" t="s">
        <v>3047</v>
      </c>
      <c r="L1744" s="142" t="s">
        <v>3047</v>
      </c>
      <c r="M1744" s="142" t="s">
        <v>3047</v>
      </c>
      <c r="N1744" s="142" t="s">
        <v>3047</v>
      </c>
      <c r="O1744" s="142" t="s">
        <v>3047</v>
      </c>
      <c r="P1744" s="142" t="s">
        <v>3047</v>
      </c>
      <c r="Q1744" s="142" t="s">
        <v>3047</v>
      </c>
      <c r="R1744" s="142" t="s">
        <v>3047</v>
      </c>
      <c r="S1744" s="142">
        <f>B1744*IBGE_2!S$1744/100</f>
        <v>15</v>
      </c>
      <c r="T1744" s="142" t="s">
        <v>3047</v>
      </c>
      <c r="U1744" s="142" t="s">
        <v>3047</v>
      </c>
      <c r="V1744" s="142" t="s">
        <v>3047</v>
      </c>
      <c r="W1744" s="142" t="s">
        <v>3047</v>
      </c>
      <c r="X1744" s="142" t="s">
        <v>3047</v>
      </c>
      <c r="Y1744" s="142" t="s">
        <v>3047</v>
      </c>
      <c r="Z1744" s="142" t="s">
        <v>3047</v>
      </c>
      <c r="AA1744" s="142" t="s">
        <v>3047</v>
      </c>
      <c r="AB1744" s="142" t="s">
        <v>3047</v>
      </c>
      <c r="AC1744" s="142" t="s">
        <v>3047</v>
      </c>
      <c r="AD1744" s="142" t="s">
        <v>3047</v>
      </c>
      <c r="AE1744" s="142" t="s">
        <v>3047</v>
      </c>
      <c r="AF1744" s="142" t="s">
        <v>3047</v>
      </c>
      <c r="AG1744" s="142" t="s">
        <v>3047</v>
      </c>
      <c r="AH1744" s="142" t="s">
        <v>3047</v>
      </c>
      <c r="AI1744" s="142" t="s">
        <v>3047</v>
      </c>
      <c r="AJ1744" s="142" t="s">
        <v>3047</v>
      </c>
      <c r="AK1744" s="142" t="s">
        <v>3047</v>
      </c>
      <c r="AL1744" s="142" t="s">
        <v>3047</v>
      </c>
      <c r="AM1744" s="142" t="s">
        <v>3047</v>
      </c>
      <c r="AN1744" s="161"/>
    </row>
    <row r="1745" spans="1:40">
      <c r="A1745" s="143" t="s">
        <v>2805</v>
      </c>
      <c r="B1745" s="141">
        <v>100</v>
      </c>
      <c r="C1745" s="142" t="s">
        <v>3047</v>
      </c>
      <c r="D1745" s="142" t="s">
        <v>3047</v>
      </c>
      <c r="E1745" s="142" t="s">
        <v>3047</v>
      </c>
      <c r="F1745" s="142" t="s">
        <v>3047</v>
      </c>
      <c r="G1745" s="142" t="s">
        <v>3047</v>
      </c>
      <c r="H1745" s="142" t="s">
        <v>3047</v>
      </c>
      <c r="I1745" s="142" t="s">
        <v>3047</v>
      </c>
      <c r="J1745" s="142" t="s">
        <v>3047</v>
      </c>
      <c r="K1745" s="142" t="s">
        <v>3047</v>
      </c>
      <c r="L1745" s="142" t="s">
        <v>3047</v>
      </c>
      <c r="M1745" s="142" t="s">
        <v>3047</v>
      </c>
      <c r="N1745" s="142" t="s">
        <v>3047</v>
      </c>
      <c r="O1745" s="142" t="s">
        <v>3047</v>
      </c>
      <c r="P1745" s="142" t="s">
        <v>3047</v>
      </c>
      <c r="Q1745" s="142" t="s">
        <v>3047</v>
      </c>
      <c r="R1745" s="142" t="s">
        <v>3047</v>
      </c>
      <c r="S1745" s="142">
        <f>B1745*IBGE_2!S$1745/100</f>
        <v>15</v>
      </c>
      <c r="T1745" s="142" t="s">
        <v>3047</v>
      </c>
      <c r="U1745" s="142" t="s">
        <v>3047</v>
      </c>
      <c r="V1745" s="142" t="s">
        <v>3047</v>
      </c>
      <c r="W1745" s="142" t="s">
        <v>3047</v>
      </c>
      <c r="X1745" s="142" t="s">
        <v>3047</v>
      </c>
      <c r="Y1745" s="142" t="s">
        <v>3047</v>
      </c>
      <c r="Z1745" s="142" t="s">
        <v>3047</v>
      </c>
      <c r="AA1745" s="142" t="s">
        <v>3047</v>
      </c>
      <c r="AB1745" s="142" t="s">
        <v>3047</v>
      </c>
      <c r="AC1745" s="142" t="s">
        <v>3047</v>
      </c>
      <c r="AD1745" s="142" t="s">
        <v>3047</v>
      </c>
      <c r="AE1745" s="142" t="s">
        <v>3047</v>
      </c>
      <c r="AF1745" s="142" t="s">
        <v>3047</v>
      </c>
      <c r="AG1745" s="142" t="s">
        <v>3047</v>
      </c>
      <c r="AH1745" s="142" t="s">
        <v>3047</v>
      </c>
      <c r="AI1745" s="142" t="s">
        <v>3047</v>
      </c>
      <c r="AJ1745" s="142" t="s">
        <v>3047</v>
      </c>
      <c r="AK1745" s="142" t="s">
        <v>3047</v>
      </c>
      <c r="AL1745" s="142" t="s">
        <v>3047</v>
      </c>
      <c r="AM1745" s="142" t="s">
        <v>3047</v>
      </c>
      <c r="AN1745" s="161"/>
    </row>
    <row r="1746" spans="1:40">
      <c r="A1746" s="143" t="s">
        <v>2806</v>
      </c>
      <c r="B1746" s="141">
        <v>100</v>
      </c>
      <c r="C1746" s="142" t="s">
        <v>3047</v>
      </c>
      <c r="D1746" s="142">
        <f>B1746*IBGE_2!D$1746/100</f>
        <v>0.1</v>
      </c>
      <c r="E1746" s="142" t="s">
        <v>3047</v>
      </c>
      <c r="F1746" s="142" t="s">
        <v>3047</v>
      </c>
      <c r="G1746" s="142" t="s">
        <v>3047</v>
      </c>
      <c r="H1746" s="142" t="s">
        <v>3047</v>
      </c>
      <c r="I1746" s="142" t="s">
        <v>3047</v>
      </c>
      <c r="J1746" s="142" t="s">
        <v>3047</v>
      </c>
      <c r="K1746" s="142" t="s">
        <v>3047</v>
      </c>
      <c r="L1746" s="142" t="s">
        <v>3047</v>
      </c>
      <c r="M1746" s="142" t="s">
        <v>3047</v>
      </c>
      <c r="N1746" s="142">
        <f>B1746*IBGE_2!N$1746/100</f>
        <v>4.0039999999999996</v>
      </c>
      <c r="O1746" s="142">
        <f>B1746*IBGE_2!O$1746/100</f>
        <v>1.0009999999999999</v>
      </c>
      <c r="P1746" s="142">
        <f>B1746*IBGE_2!P$1746/100</f>
        <v>1.7000000000000001E-2</v>
      </c>
      <c r="Q1746" s="142" t="s">
        <v>3047</v>
      </c>
      <c r="R1746" s="142">
        <f>B1746*IBGE_2!R$1746/100</f>
        <v>0.04</v>
      </c>
      <c r="S1746" s="142">
        <f>B1746*IBGE_2!S$1746/100</f>
        <v>6.0060000000000002</v>
      </c>
      <c r="T1746" s="142">
        <f>B1746*IBGE_2!T$1746/100</f>
        <v>2.0019999999999998</v>
      </c>
      <c r="U1746" s="142">
        <f>B1746*IBGE_2!U$1746/100</f>
        <v>2.5000000000000001E-2</v>
      </c>
      <c r="V1746" s="142" t="s">
        <v>3047</v>
      </c>
      <c r="W1746" s="142" t="s">
        <v>3047</v>
      </c>
      <c r="X1746" s="142" t="s">
        <v>3047</v>
      </c>
      <c r="Y1746" s="142" t="s">
        <v>3047</v>
      </c>
      <c r="Z1746" s="142" t="s">
        <v>3047</v>
      </c>
      <c r="AA1746" s="142" t="s">
        <v>3047</v>
      </c>
      <c r="AB1746" s="142" t="s">
        <v>3047</v>
      </c>
      <c r="AC1746" s="142" t="s">
        <v>3047</v>
      </c>
      <c r="AD1746" s="142" t="s">
        <v>3047</v>
      </c>
      <c r="AE1746" s="142" t="s">
        <v>3047</v>
      </c>
      <c r="AF1746" s="142" t="s">
        <v>3047</v>
      </c>
      <c r="AG1746" s="142" t="s">
        <v>3047</v>
      </c>
      <c r="AH1746" s="142" t="s">
        <v>3047</v>
      </c>
      <c r="AI1746" s="142" t="s">
        <v>3047</v>
      </c>
      <c r="AJ1746" s="142" t="s">
        <v>3047</v>
      </c>
      <c r="AK1746" s="142" t="s">
        <v>3047</v>
      </c>
      <c r="AL1746" s="142" t="s">
        <v>3047</v>
      </c>
      <c r="AM1746" s="142" t="s">
        <v>3047</v>
      </c>
      <c r="AN1746" s="161"/>
    </row>
    <row r="1747" spans="1:40">
      <c r="A1747" s="143" t="s">
        <v>2807</v>
      </c>
      <c r="B1747" s="141">
        <v>100</v>
      </c>
      <c r="C1747" s="142" t="s">
        <v>3047</v>
      </c>
      <c r="D1747" s="142">
        <f>B1747*IBGE_2!D$1747/100</f>
        <v>0.1</v>
      </c>
      <c r="E1747" s="142" t="s">
        <v>3047</v>
      </c>
      <c r="F1747" s="142" t="s">
        <v>3047</v>
      </c>
      <c r="G1747" s="142" t="s">
        <v>3047</v>
      </c>
      <c r="H1747" s="142" t="s">
        <v>3047</v>
      </c>
      <c r="I1747" s="142" t="s">
        <v>3047</v>
      </c>
      <c r="J1747" s="142" t="s">
        <v>3047</v>
      </c>
      <c r="K1747" s="142" t="s">
        <v>3047</v>
      </c>
      <c r="L1747" s="142" t="s">
        <v>3047</v>
      </c>
      <c r="M1747" s="142" t="s">
        <v>3047</v>
      </c>
      <c r="N1747" s="142">
        <f>B1747*IBGE_2!N$1747/100</f>
        <v>4.0039999999999996</v>
      </c>
      <c r="O1747" s="142">
        <f>B1747*IBGE_2!O$1747/100</f>
        <v>1.0009999999999999</v>
      </c>
      <c r="P1747" s="142">
        <f>B1747*IBGE_2!P$1747/100</f>
        <v>1.7000000000000001E-2</v>
      </c>
      <c r="Q1747" s="142" t="s">
        <v>3047</v>
      </c>
      <c r="R1747" s="142">
        <f>B1747*IBGE_2!R$1747/100</f>
        <v>0.04</v>
      </c>
      <c r="S1747" s="142">
        <f>B1747*IBGE_2!S$1747/100</f>
        <v>6.0060000000000002</v>
      </c>
      <c r="T1747" s="142">
        <f>B1747*IBGE_2!T$1747/100</f>
        <v>2.0019999999999998</v>
      </c>
      <c r="U1747" s="142">
        <f>B1747*IBGE_2!U$1747/100</f>
        <v>2.5000000000000001E-2</v>
      </c>
      <c r="V1747" s="142" t="s">
        <v>3047</v>
      </c>
      <c r="W1747" s="142" t="s">
        <v>3047</v>
      </c>
      <c r="X1747" s="142" t="s">
        <v>3047</v>
      </c>
      <c r="Y1747" s="142" t="s">
        <v>3047</v>
      </c>
      <c r="Z1747" s="142" t="s">
        <v>3047</v>
      </c>
      <c r="AA1747" s="142" t="s">
        <v>3047</v>
      </c>
      <c r="AB1747" s="142" t="s">
        <v>3047</v>
      </c>
      <c r="AC1747" s="142" t="s">
        <v>3047</v>
      </c>
      <c r="AD1747" s="142" t="s">
        <v>3047</v>
      </c>
      <c r="AE1747" s="142" t="s">
        <v>3047</v>
      </c>
      <c r="AF1747" s="142" t="s">
        <v>3047</v>
      </c>
      <c r="AG1747" s="142" t="s">
        <v>3047</v>
      </c>
      <c r="AH1747" s="142" t="s">
        <v>3047</v>
      </c>
      <c r="AI1747" s="142" t="s">
        <v>3047</v>
      </c>
      <c r="AJ1747" s="142" t="s">
        <v>3047</v>
      </c>
      <c r="AK1747" s="142" t="s">
        <v>3047</v>
      </c>
      <c r="AL1747" s="142" t="s">
        <v>3047</v>
      </c>
      <c r="AM1747" s="142" t="s">
        <v>3047</v>
      </c>
      <c r="AN1747" s="161"/>
    </row>
    <row r="1748" spans="1:40">
      <c r="A1748" s="143" t="s">
        <v>2808</v>
      </c>
      <c r="B1748" s="141">
        <v>100</v>
      </c>
      <c r="C1748" s="142">
        <f>B1748*IBGE_2!C$1748/100</f>
        <v>2.8029999999999999</v>
      </c>
      <c r="D1748" s="142">
        <f>B1748*IBGE_2!D$1748/100</f>
        <v>0.25</v>
      </c>
      <c r="E1748" s="142" t="s">
        <v>3047</v>
      </c>
      <c r="F1748" s="142" t="s">
        <v>3047</v>
      </c>
      <c r="G1748" s="142" t="s">
        <v>3047</v>
      </c>
      <c r="H1748" s="142" t="s">
        <v>3047</v>
      </c>
      <c r="I1748" s="142" t="s">
        <v>3047</v>
      </c>
      <c r="J1748" s="142" t="s">
        <v>3047</v>
      </c>
      <c r="K1748" s="142" t="s">
        <v>3047</v>
      </c>
      <c r="L1748" s="142">
        <f>B1748*IBGE_2!L$1748/100</f>
        <v>2.3119999999999998</v>
      </c>
      <c r="M1748" s="142">
        <f>B1748*IBGE_2!M$1748/100</f>
        <v>1.8620000000000001</v>
      </c>
      <c r="N1748" s="142">
        <f>B1748*IBGE_2!N$1748/100</f>
        <v>4.7039999999999997</v>
      </c>
      <c r="O1748" s="142">
        <f>B1748*IBGE_2!O$1748/100</f>
        <v>1.125</v>
      </c>
      <c r="P1748" s="142">
        <f>B1748*IBGE_2!P$1748/100</f>
        <v>38.335000000000001</v>
      </c>
      <c r="Q1748" s="142">
        <f>B1748*IBGE_2!Q$1748/100</f>
        <v>0.88099999999999989</v>
      </c>
      <c r="R1748" s="142">
        <f>B1748*IBGE_2!R$1748/100</f>
        <v>0.15</v>
      </c>
      <c r="S1748" s="142">
        <f>B1748*IBGE_2!S$1748/100</f>
        <v>0.26900000000000002</v>
      </c>
      <c r="T1748" s="142">
        <f>B1748*IBGE_2!T$1748/100</f>
        <v>11.01</v>
      </c>
      <c r="U1748" s="142">
        <f>B1748*IBGE_2!U$1748/100</f>
        <v>0.3</v>
      </c>
      <c r="V1748" s="142">
        <f>B1748*IBGE_2!V$1748/100</f>
        <v>1.3009999999999999</v>
      </c>
      <c r="W1748" s="142" t="s">
        <v>3047</v>
      </c>
      <c r="X1748" s="142">
        <f>B1748*IBGE_2!X$1748/100</f>
        <v>2.8000000000000004E-2</v>
      </c>
      <c r="Y1748" s="142">
        <f>B1748*IBGE_2!Y$1748/100</f>
        <v>1.4000000000000002E-2</v>
      </c>
      <c r="Z1748" s="142">
        <f>B1748*IBGE_2!Z$1748/100</f>
        <v>1.7999999999999999E-2</v>
      </c>
      <c r="AA1748" s="142">
        <f>B1748*IBGE_2!AA$1748/100</f>
        <v>2.4E-2</v>
      </c>
      <c r="AB1748" s="142">
        <f>B1748*IBGE_2!AB$1748/100</f>
        <v>0.16</v>
      </c>
      <c r="AC1748" s="142">
        <f>B1748*IBGE_2!AC$1748/100</f>
        <v>7.3999999999999996E-2</v>
      </c>
      <c r="AD1748" s="142" t="s">
        <v>3047</v>
      </c>
      <c r="AE1748" s="142">
        <f>B1748*IBGE_2!AE$1748/100</f>
        <v>1.0009999999999999</v>
      </c>
      <c r="AF1748" s="142" t="s">
        <v>3047</v>
      </c>
      <c r="AG1748" s="142" t="s">
        <v>3047</v>
      </c>
      <c r="AH1748" s="142" t="s">
        <v>3047</v>
      </c>
      <c r="AI1748" s="142" t="s">
        <v>3047</v>
      </c>
      <c r="AJ1748" s="142">
        <f>B1748*IBGE_2!AJ$1748/100</f>
        <v>7.3999999999999996E-2</v>
      </c>
      <c r="AK1748" s="142" t="s">
        <v>3047</v>
      </c>
      <c r="AL1748" s="142">
        <f>B1748*IBGE_2!AL$1748/100</f>
        <v>6.4000000000000001E-2</v>
      </c>
      <c r="AM1748" s="145" t="s">
        <v>3047</v>
      </c>
      <c r="AN1748" s="161"/>
    </row>
    <row r="1749" spans="1:40">
      <c r="A1749" s="143" t="s">
        <v>2809</v>
      </c>
      <c r="B1749" s="141">
        <v>100</v>
      </c>
      <c r="C1749" s="142">
        <f>B1749*IBGE_2!C$1749/100</f>
        <v>40.017000000000003</v>
      </c>
      <c r="D1749" s="142">
        <f>B1749*IBGE_2!D$1749/100</f>
        <v>0.05</v>
      </c>
      <c r="E1749" s="142">
        <f>B1749*IBGE_2!E$1749/100</f>
        <v>0.02</v>
      </c>
      <c r="F1749" s="142" t="s">
        <v>3047</v>
      </c>
      <c r="G1749" s="142" t="s">
        <v>3047</v>
      </c>
      <c r="H1749" s="142" t="s">
        <v>3047</v>
      </c>
      <c r="I1749" s="142" t="s">
        <v>3047</v>
      </c>
      <c r="J1749" s="142" t="s">
        <v>3047</v>
      </c>
      <c r="K1749" s="142" t="s">
        <v>3047</v>
      </c>
      <c r="L1749" s="142">
        <f>B1749*IBGE_2!L$1749/100</f>
        <v>10.144</v>
      </c>
      <c r="M1749" s="142" t="s">
        <v>3047</v>
      </c>
      <c r="N1749" s="142">
        <f>B1749*IBGE_2!N$1749/100</f>
        <v>2.0009999999999999</v>
      </c>
      <c r="O1749" s="142">
        <f>B1749*IBGE_2!O$1749/100</f>
        <v>1</v>
      </c>
      <c r="P1749" s="142">
        <f>B1749*IBGE_2!P$1749/100</f>
        <v>2E-3</v>
      </c>
      <c r="Q1749" s="142" t="s">
        <v>3047</v>
      </c>
      <c r="R1749" s="142">
        <f>B1749*IBGE_2!R$1749/100</f>
        <v>0.11</v>
      </c>
      <c r="S1749" s="142">
        <f>B1749*IBGE_2!S$1749/100</f>
        <v>9.0039999999999996</v>
      </c>
      <c r="T1749" s="142">
        <f>B1749*IBGE_2!T$1749/100</f>
        <v>1</v>
      </c>
      <c r="U1749" s="142">
        <f>B1749*IBGE_2!U$1749/100</f>
        <v>1E-3</v>
      </c>
      <c r="V1749" s="142">
        <f>B1749*IBGE_2!V$1749/100</f>
        <v>0.04</v>
      </c>
      <c r="W1749" s="142" t="s">
        <v>3047</v>
      </c>
      <c r="X1749" s="142" t="s">
        <v>3047</v>
      </c>
      <c r="Y1749" s="142" t="s">
        <v>3047</v>
      </c>
      <c r="Z1749" s="142" t="s">
        <v>3047</v>
      </c>
      <c r="AA1749" s="142">
        <f>B1749*IBGE_2!AA$1749/100</f>
        <v>1.4999999999999999E-2</v>
      </c>
      <c r="AB1749" s="142" t="s">
        <v>3047</v>
      </c>
      <c r="AC1749" s="142">
        <f>B1749*IBGE_2!AC$1749/100</f>
        <v>1.4999999999999999E-2</v>
      </c>
      <c r="AD1749" s="142" t="s">
        <v>3047</v>
      </c>
      <c r="AE1749" s="142" t="s">
        <v>3047</v>
      </c>
      <c r="AF1749" s="142" t="s">
        <v>3047</v>
      </c>
      <c r="AG1749" s="142" t="s">
        <v>3047</v>
      </c>
      <c r="AH1749" s="142" t="s">
        <v>3047</v>
      </c>
      <c r="AI1749" s="142" t="s">
        <v>3047</v>
      </c>
      <c r="AJ1749" s="145" t="s">
        <v>3047</v>
      </c>
      <c r="AK1749" s="142" t="s">
        <v>3047</v>
      </c>
      <c r="AL1749" s="142">
        <f>B1749*IBGE_2!AL$1749/100</f>
        <v>9.0739999999999998</v>
      </c>
      <c r="AM1749" s="142">
        <f>B1749*IBGE_2!AM$1749/100</f>
        <v>10.144</v>
      </c>
      <c r="AN1749" s="161"/>
    </row>
    <row r="1750" spans="1:40">
      <c r="A1750" s="143" t="s">
        <v>2810</v>
      </c>
      <c r="B1750" s="141">
        <v>100</v>
      </c>
      <c r="C1750" s="142">
        <f>B1750*IBGE_2!C$1750/100</f>
        <v>2.0019999999999998</v>
      </c>
      <c r="D1750" s="142">
        <f>B1750*IBGE_2!D$1750/100</f>
        <v>0.11</v>
      </c>
      <c r="E1750" s="142">
        <f>B1750*IBGE_2!E$1750/100</f>
        <v>0.03</v>
      </c>
      <c r="F1750" s="142" t="s">
        <v>3047</v>
      </c>
      <c r="G1750" s="142" t="s">
        <v>3047</v>
      </c>
      <c r="H1750" s="142" t="s">
        <v>3047</v>
      </c>
      <c r="I1750" s="142" t="s">
        <v>3047</v>
      </c>
      <c r="J1750" s="142" t="s">
        <v>3047</v>
      </c>
      <c r="K1750" s="142" t="s">
        <v>3047</v>
      </c>
      <c r="L1750" s="142">
        <f>B1750*IBGE_2!L$1750/100</f>
        <v>0.28999999999999998</v>
      </c>
      <c r="M1750" s="142" t="s">
        <v>3047</v>
      </c>
      <c r="N1750" s="142">
        <f>B1750*IBGE_2!N$1750/100</f>
        <v>3.0030000000000001</v>
      </c>
      <c r="O1750" s="142">
        <f>B1750*IBGE_2!O$1750/100</f>
        <v>1.0009999999999999</v>
      </c>
      <c r="P1750" s="142">
        <f>B1750*IBGE_2!P$1750/100</f>
        <v>0.107</v>
      </c>
      <c r="Q1750" s="142">
        <f>B1750*IBGE_2!Q$1750/100</f>
        <v>9.0079999999999991</v>
      </c>
      <c r="R1750" s="142">
        <f>B1750*IBGE_2!R$1750/100</f>
        <v>0.11</v>
      </c>
      <c r="S1750" s="142">
        <f>B1750*IBGE_2!S$1750/100</f>
        <v>8.0069999999999997</v>
      </c>
      <c r="T1750" s="142">
        <f>B1750*IBGE_2!T$1750/100</f>
        <v>8.0069999999999997</v>
      </c>
      <c r="U1750" s="142">
        <f>B1750*IBGE_2!U$1750/100</f>
        <v>2E-3</v>
      </c>
      <c r="V1750" s="142">
        <f>B1750*IBGE_2!V$1750/100</f>
        <v>0.01</v>
      </c>
      <c r="W1750" s="142" t="s">
        <v>3047</v>
      </c>
      <c r="X1750" s="142">
        <f>B1750*IBGE_2!X$1750/100</f>
        <v>5.0000000000000001E-3</v>
      </c>
      <c r="Y1750" s="142">
        <f>B1750*IBGE_2!Y$1750/100</f>
        <v>2.3E-2</v>
      </c>
      <c r="Z1750" s="142" t="s">
        <v>3047</v>
      </c>
      <c r="AA1750" s="142" t="s">
        <v>3048</v>
      </c>
      <c r="AB1750" s="142" t="s">
        <v>3047</v>
      </c>
      <c r="AC1750" s="142" t="s">
        <v>3047</v>
      </c>
      <c r="AD1750" s="142" t="s">
        <v>3047</v>
      </c>
      <c r="AE1750" s="142" t="s">
        <v>3047</v>
      </c>
      <c r="AF1750" s="142" t="s">
        <v>3047</v>
      </c>
      <c r="AG1750" s="142" t="s">
        <v>3047</v>
      </c>
      <c r="AH1750" s="142" t="s">
        <v>3047</v>
      </c>
      <c r="AI1750" s="142" t="s">
        <v>3047</v>
      </c>
      <c r="AJ1750" s="145" t="s">
        <v>3047</v>
      </c>
      <c r="AK1750" s="142" t="s">
        <v>3047</v>
      </c>
      <c r="AL1750" s="145" t="s">
        <v>3047</v>
      </c>
      <c r="AM1750" s="145" t="s">
        <v>3047</v>
      </c>
      <c r="AN1750" s="161"/>
    </row>
    <row r="1751" spans="1:40">
      <c r="A1751" s="143" t="s">
        <v>2811</v>
      </c>
      <c r="B1751" s="141">
        <v>100</v>
      </c>
      <c r="C1751" s="142">
        <f>B1751*IBGE_2!C$1751/100</f>
        <v>15.28</v>
      </c>
      <c r="D1751" s="142" t="s">
        <v>3047</v>
      </c>
      <c r="E1751" s="142">
        <f>B1751*IBGE_2!E$1751/100</f>
        <v>4.0000000000000001E-3</v>
      </c>
      <c r="F1751" s="142">
        <f>B1751*IBGE_2!F$1751/100</f>
        <v>2E-3</v>
      </c>
      <c r="G1751" s="142" t="s">
        <v>3047</v>
      </c>
      <c r="H1751" s="142" t="s">
        <v>3047</v>
      </c>
      <c r="I1751" s="142" t="s">
        <v>3047</v>
      </c>
      <c r="J1751" s="142" t="s">
        <v>3047</v>
      </c>
      <c r="K1751" s="142" t="s">
        <v>3047</v>
      </c>
      <c r="L1751" s="142">
        <f>B1751*IBGE_2!L$1751/100</f>
        <v>3.9079999999999999</v>
      </c>
      <c r="M1751" s="142" t="s">
        <v>3047</v>
      </c>
      <c r="N1751" s="142">
        <f>B1751*IBGE_2!N$1751/100</f>
        <v>5.68</v>
      </c>
      <c r="O1751" s="142" t="s">
        <v>3047</v>
      </c>
      <c r="P1751" s="142">
        <f>B1751*IBGE_2!P$1751/100</f>
        <v>1E-3</v>
      </c>
      <c r="Q1751" s="142" t="s">
        <v>3047</v>
      </c>
      <c r="R1751" s="142">
        <f>B1751*IBGE_2!R$1751/100</f>
        <v>0.02</v>
      </c>
      <c r="S1751" s="142">
        <f>B1751*IBGE_2!S$1751/100</f>
        <v>1.68</v>
      </c>
      <c r="T1751" s="142">
        <f>B1751*IBGE_2!T$1751/100</f>
        <v>0.2</v>
      </c>
      <c r="U1751" s="142">
        <f>B1751*IBGE_2!U$1751/100</f>
        <v>5.0000000000000001E-3</v>
      </c>
      <c r="V1751" s="142">
        <f>B1751*IBGE_2!V$1751/100</f>
        <v>4.0000000000000001E-3</v>
      </c>
      <c r="W1751" s="142" t="s">
        <v>3047</v>
      </c>
      <c r="X1751" s="142" t="s">
        <v>3047</v>
      </c>
      <c r="Y1751" s="142">
        <f>B1751*IBGE_2!Y$1751/100</f>
        <v>1E-3</v>
      </c>
      <c r="Z1751" s="142" t="s">
        <v>3047</v>
      </c>
      <c r="AA1751" s="142">
        <f>B1751*IBGE_2!AA$1751/100</f>
        <v>1E-3</v>
      </c>
      <c r="AB1751" s="142">
        <f>B1751*IBGE_2!AB$1751/100</f>
        <v>1.4119999999999999</v>
      </c>
      <c r="AC1751" s="142">
        <f>B1751*IBGE_2!AC$1751/100</f>
        <v>1E-3</v>
      </c>
      <c r="AD1751" s="142" t="s">
        <v>3047</v>
      </c>
      <c r="AE1751" s="142" t="s">
        <v>3047</v>
      </c>
      <c r="AF1751" s="142" t="s">
        <v>3047</v>
      </c>
      <c r="AG1751" s="142" t="s">
        <v>3047</v>
      </c>
      <c r="AH1751" s="142" t="s">
        <v>3047</v>
      </c>
      <c r="AI1751" s="142" t="s">
        <v>3047</v>
      </c>
      <c r="AJ1751" s="142">
        <f>B1751*IBGE_2!AJ$1751/100</f>
        <v>2.8000000000000004E-2</v>
      </c>
      <c r="AK1751" s="142" t="s">
        <v>3047</v>
      </c>
      <c r="AL1751" s="142">
        <f>B1751*IBGE_2!AL$1751/100</f>
        <v>3.8079999999999994</v>
      </c>
      <c r="AM1751" s="142">
        <f>B1751*IBGE_2!AM$1751/100</f>
        <v>3.81</v>
      </c>
      <c r="AN1751" s="161"/>
    </row>
    <row r="1752" spans="1:40">
      <c r="A1752" s="143" t="s">
        <v>2812</v>
      </c>
      <c r="B1752" s="141">
        <v>100</v>
      </c>
      <c r="C1752" s="142">
        <f>B1752*IBGE_2!C$1752/100</f>
        <v>15.28</v>
      </c>
      <c r="D1752" s="142" t="s">
        <v>3047</v>
      </c>
      <c r="E1752" s="142">
        <f>B1752*IBGE_2!E$1752/100</f>
        <v>4.0000000000000001E-3</v>
      </c>
      <c r="F1752" s="142">
        <f>B1752*IBGE_2!F$1752/100</f>
        <v>2E-3</v>
      </c>
      <c r="G1752" s="142" t="s">
        <v>3047</v>
      </c>
      <c r="H1752" s="142" t="s">
        <v>3047</v>
      </c>
      <c r="I1752" s="142" t="s">
        <v>3047</v>
      </c>
      <c r="J1752" s="142" t="s">
        <v>3047</v>
      </c>
      <c r="K1752" s="142" t="s">
        <v>3047</v>
      </c>
      <c r="L1752" s="142">
        <f>B1752*IBGE_2!L$1752/100</f>
        <v>3.9079999999999999</v>
      </c>
      <c r="M1752" s="142" t="s">
        <v>3047</v>
      </c>
      <c r="N1752" s="142">
        <f>B1752*IBGE_2!N$1752/100</f>
        <v>5.68</v>
      </c>
      <c r="O1752" s="142" t="s">
        <v>3047</v>
      </c>
      <c r="P1752" s="142">
        <f>B1752*IBGE_2!P$1752/100</f>
        <v>1E-3</v>
      </c>
      <c r="Q1752" s="142" t="s">
        <v>3047</v>
      </c>
      <c r="R1752" s="142">
        <f>B1752*IBGE_2!R$1752/100</f>
        <v>0.02</v>
      </c>
      <c r="S1752" s="142">
        <f>B1752*IBGE_2!S$1752/100</f>
        <v>1.68</v>
      </c>
      <c r="T1752" s="142">
        <f>B1752*IBGE_2!T$1752/100</f>
        <v>0.2</v>
      </c>
      <c r="U1752" s="142">
        <f>B1752*IBGE_2!U$1752/100</f>
        <v>5.0000000000000001E-3</v>
      </c>
      <c r="V1752" s="142">
        <f>B1752*IBGE_2!V$1752/100</f>
        <v>4.0000000000000001E-3</v>
      </c>
      <c r="W1752" s="142" t="s">
        <v>3047</v>
      </c>
      <c r="X1752" s="142" t="s">
        <v>3047</v>
      </c>
      <c r="Y1752" s="142">
        <f>B1752*IBGE_2!Y$1752/100</f>
        <v>1E-3</v>
      </c>
      <c r="Z1752" s="142" t="s">
        <v>3047</v>
      </c>
      <c r="AA1752" s="142">
        <f>B1752*IBGE_2!AA$1752/100</f>
        <v>1E-3</v>
      </c>
      <c r="AB1752" s="142">
        <f>B1752*IBGE_2!AB$1752/100</f>
        <v>1.4119999999999999</v>
      </c>
      <c r="AC1752" s="142">
        <f>B1752*IBGE_2!AC$1752/100</f>
        <v>1E-3</v>
      </c>
      <c r="AD1752" s="142" t="s">
        <v>3047</v>
      </c>
      <c r="AE1752" s="142" t="s">
        <v>3047</v>
      </c>
      <c r="AF1752" s="142" t="s">
        <v>3047</v>
      </c>
      <c r="AG1752" s="142" t="s">
        <v>3047</v>
      </c>
      <c r="AH1752" s="142" t="s">
        <v>3047</v>
      </c>
      <c r="AI1752" s="142" t="s">
        <v>3047</v>
      </c>
      <c r="AJ1752" s="142">
        <f>B1752*IBGE_2!AJ$1752/100</f>
        <v>2.8000000000000004E-2</v>
      </c>
      <c r="AK1752" s="142" t="s">
        <v>3047</v>
      </c>
      <c r="AL1752" s="142">
        <f>B1752*IBGE_2!AL$1752/100</f>
        <v>3.8079999999999994</v>
      </c>
      <c r="AM1752" s="142">
        <f>B1752*IBGE_2!AM$1752/100</f>
        <v>3.81</v>
      </c>
      <c r="AN1752" s="161"/>
    </row>
    <row r="1753" spans="1:40">
      <c r="A1753" s="143" t="s">
        <v>2813</v>
      </c>
      <c r="B1753" s="141">
        <v>100</v>
      </c>
      <c r="C1753" s="142">
        <f>B1753*IBGE_2!C$1753/100</f>
        <v>15.28</v>
      </c>
      <c r="D1753" s="142" t="s">
        <v>3047</v>
      </c>
      <c r="E1753" s="142">
        <f>B1753*IBGE_2!E$1753/100</f>
        <v>4.0000000000000001E-3</v>
      </c>
      <c r="F1753" s="142">
        <f>B1753*IBGE_2!F$1753/100</f>
        <v>2E-3</v>
      </c>
      <c r="G1753" s="142" t="s">
        <v>3047</v>
      </c>
      <c r="H1753" s="142" t="s">
        <v>3047</v>
      </c>
      <c r="I1753" s="142" t="s">
        <v>3047</v>
      </c>
      <c r="J1753" s="142" t="s">
        <v>3047</v>
      </c>
      <c r="K1753" s="142" t="s">
        <v>3047</v>
      </c>
      <c r="L1753" s="142">
        <f>B1753*IBGE_2!L$1753/100</f>
        <v>3.9079999999999999</v>
      </c>
      <c r="M1753" s="142" t="s">
        <v>3047</v>
      </c>
      <c r="N1753" s="142">
        <f>B1753*IBGE_2!N$1753/100</f>
        <v>5.68</v>
      </c>
      <c r="O1753" s="142" t="s">
        <v>3047</v>
      </c>
      <c r="P1753" s="142">
        <f>B1753*IBGE_2!P$1753/100</f>
        <v>1E-3</v>
      </c>
      <c r="Q1753" s="142" t="s">
        <v>3047</v>
      </c>
      <c r="R1753" s="142">
        <f>B1753*IBGE_2!R$1753/100</f>
        <v>0.02</v>
      </c>
      <c r="S1753" s="142">
        <f>B1753*IBGE_2!S$1753/100</f>
        <v>1.68</v>
      </c>
      <c r="T1753" s="142">
        <f>B1753*IBGE_2!T$1753/100</f>
        <v>0.2</v>
      </c>
      <c r="U1753" s="142">
        <f>B1753*IBGE_2!U$1753/100</f>
        <v>5.0000000000000001E-3</v>
      </c>
      <c r="V1753" s="142">
        <f>B1753*IBGE_2!V$1753/100</f>
        <v>4.0000000000000001E-3</v>
      </c>
      <c r="W1753" s="142" t="s">
        <v>3047</v>
      </c>
      <c r="X1753" s="142" t="s">
        <v>3047</v>
      </c>
      <c r="Y1753" s="142">
        <f>B1753*IBGE_2!Y$1753/100</f>
        <v>1E-3</v>
      </c>
      <c r="Z1753" s="142" t="s">
        <v>3047</v>
      </c>
      <c r="AA1753" s="142">
        <f>B1753*IBGE_2!AA$1753/100</f>
        <v>1E-3</v>
      </c>
      <c r="AB1753" s="142">
        <f>B1753*IBGE_2!AB$1753/100</f>
        <v>1.4119999999999999</v>
      </c>
      <c r="AC1753" s="142">
        <f>B1753*IBGE_2!AC$1753/100</f>
        <v>1E-3</v>
      </c>
      <c r="AD1753" s="142" t="s">
        <v>3047</v>
      </c>
      <c r="AE1753" s="142" t="s">
        <v>3047</v>
      </c>
      <c r="AF1753" s="142" t="s">
        <v>3047</v>
      </c>
      <c r="AG1753" s="142" t="s">
        <v>3047</v>
      </c>
      <c r="AH1753" s="142" t="s">
        <v>3047</v>
      </c>
      <c r="AI1753" s="142" t="s">
        <v>3047</v>
      </c>
      <c r="AJ1753" s="142">
        <f>B1753*IBGE_2!AJ$1753/100</f>
        <v>2.8000000000000004E-2</v>
      </c>
      <c r="AK1753" s="142" t="s">
        <v>3047</v>
      </c>
      <c r="AL1753" s="142">
        <f>B1753*IBGE_2!AL$1753/100</f>
        <v>3.8079999999999994</v>
      </c>
      <c r="AM1753" s="142">
        <f>B1753*IBGE_2!AM$1753/100</f>
        <v>3.81</v>
      </c>
      <c r="AN1753" s="161"/>
    </row>
    <row r="1754" spans="1:40">
      <c r="A1754" s="143" t="s">
        <v>2814</v>
      </c>
      <c r="B1754" s="141">
        <v>100</v>
      </c>
      <c r="C1754" s="142">
        <f>B1754*IBGE_2!C$1754/100</f>
        <v>12.765999999999998</v>
      </c>
      <c r="D1754" s="142">
        <f>B1754*IBGE_2!D$1754/100</f>
        <v>0.13500000000000001</v>
      </c>
      <c r="E1754" s="142">
        <f>B1754*IBGE_2!E$1754/100</f>
        <v>1.0049999999999999</v>
      </c>
      <c r="F1754" s="142">
        <f>B1754*IBGE_2!F$1754/100</f>
        <v>0.94299999999999995</v>
      </c>
      <c r="G1754" s="142">
        <f>B1754*IBGE_2!G$1754/100</f>
        <v>3.0000000000000001E-3</v>
      </c>
      <c r="H1754" s="142">
        <f>B1754*IBGE_2!H$1754/100</f>
        <v>1E-3</v>
      </c>
      <c r="I1754" s="142" t="s">
        <v>3047</v>
      </c>
      <c r="J1754" s="142" t="s">
        <v>3047</v>
      </c>
      <c r="K1754" s="142" t="s">
        <v>3047</v>
      </c>
      <c r="L1754" s="142">
        <f>B1754*IBGE_2!L$1754/100</f>
        <v>0.90799999999999992</v>
      </c>
      <c r="M1754" s="142">
        <f>B1754*IBGE_2!M$1754/100</f>
        <v>4.9000000000000002E-2</v>
      </c>
      <c r="N1754" s="142">
        <f>B1754*IBGE_2!N$1754/100</f>
        <v>3.39</v>
      </c>
      <c r="O1754" s="142">
        <f>B1754*IBGE_2!O$1754/100</f>
        <v>1.794</v>
      </c>
      <c r="P1754" s="142">
        <f>B1754*IBGE_2!P$1754/100</f>
        <v>4.0000000000000001E-3</v>
      </c>
      <c r="Q1754" s="142">
        <f>B1754*IBGE_2!Q$1754/100</f>
        <v>0.73699999999999999</v>
      </c>
      <c r="R1754" s="142">
        <f>B1754*IBGE_2!R$1754/100</f>
        <v>1.2E-2</v>
      </c>
      <c r="S1754" s="142">
        <f>B1754*IBGE_2!S$1754/100</f>
        <v>24.951000000000001</v>
      </c>
      <c r="T1754" s="142">
        <f>B1754*IBGE_2!T$1754/100</f>
        <v>8.8119999999999994</v>
      </c>
      <c r="U1754" s="142">
        <f>B1754*IBGE_2!U$1754/100</f>
        <v>0.01</v>
      </c>
      <c r="V1754" s="142">
        <f>B1754*IBGE_2!V$1754/100</f>
        <v>1.3000000000000001E-2</v>
      </c>
      <c r="W1754" s="142" t="s">
        <v>3047</v>
      </c>
      <c r="X1754" s="142" t="s">
        <v>3047</v>
      </c>
      <c r="Y1754" s="142" t="s">
        <v>3047</v>
      </c>
      <c r="Z1754" s="142" t="s">
        <v>3047</v>
      </c>
      <c r="AA1754" s="142">
        <f>B1754*IBGE_2!AA$1754/100</f>
        <v>6.9000000000000006E-2</v>
      </c>
      <c r="AB1754" s="142" t="s">
        <v>3047</v>
      </c>
      <c r="AC1754" s="142">
        <f>B1754*IBGE_2!AC$1754/100</f>
        <v>8.7999999999999995E-2</v>
      </c>
      <c r="AD1754" s="142" t="s">
        <v>3047</v>
      </c>
      <c r="AE1754" s="142" t="s">
        <v>3047</v>
      </c>
      <c r="AF1754" s="142" t="s">
        <v>3047</v>
      </c>
      <c r="AG1754" s="142">
        <f>B1754*IBGE_2!AG$1754/100</f>
        <v>7.000000000000001E-3</v>
      </c>
      <c r="AH1754" s="142">
        <f>B1754*IBGE_2!AH$1754/100</f>
        <v>3.0000000000000001E-3</v>
      </c>
      <c r="AI1754" s="142" t="s">
        <v>3047</v>
      </c>
      <c r="AJ1754" s="142">
        <f>B1754*IBGE_2!AJ$1754/100</f>
        <v>3.4000000000000002E-2</v>
      </c>
      <c r="AK1754" s="142" t="s">
        <v>3047</v>
      </c>
      <c r="AL1754" s="142">
        <f>B1754*IBGE_2!AL$1754/100</f>
        <v>0.18</v>
      </c>
      <c r="AM1754" s="142">
        <f>B1754*IBGE_2!AM$1754/100</f>
        <v>0.32200000000000001</v>
      </c>
      <c r="AN1754" s="161"/>
    </row>
    <row r="1755" spans="1:40">
      <c r="A1755" s="143" t="s">
        <v>2815</v>
      </c>
      <c r="B1755" s="141">
        <v>100</v>
      </c>
      <c r="C1755" s="142">
        <f>B1755*IBGE_2!C$1755/100</f>
        <v>12.765999999999998</v>
      </c>
      <c r="D1755" s="142">
        <f>B1755*IBGE_2!D$1755/100</f>
        <v>0.13500000000000001</v>
      </c>
      <c r="E1755" s="142">
        <f>B1755*IBGE_2!E$1755/100</f>
        <v>1.0049999999999999</v>
      </c>
      <c r="F1755" s="142">
        <f>B1755*IBGE_2!F$1755/100</f>
        <v>0.94299999999999995</v>
      </c>
      <c r="G1755" s="142">
        <f>B1755*IBGE_2!G$1755/100</f>
        <v>3.0000000000000001E-3</v>
      </c>
      <c r="H1755" s="142">
        <f>B1755*IBGE_2!H$1755/100</f>
        <v>1E-3</v>
      </c>
      <c r="I1755" s="142" t="s">
        <v>3047</v>
      </c>
      <c r="J1755" s="142" t="s">
        <v>3047</v>
      </c>
      <c r="K1755" s="142" t="s">
        <v>3047</v>
      </c>
      <c r="L1755" s="142">
        <f>B1755*IBGE_2!L$1755/100</f>
        <v>0.90799999999999992</v>
      </c>
      <c r="M1755" s="142">
        <f>B1755*IBGE_2!M$1755/100</f>
        <v>4.9000000000000002E-2</v>
      </c>
      <c r="N1755" s="142">
        <f>B1755*IBGE_2!N$1755/100</f>
        <v>3.39</v>
      </c>
      <c r="O1755" s="142">
        <f>B1755*IBGE_2!O$1755/100</f>
        <v>1.794</v>
      </c>
      <c r="P1755" s="142">
        <f>B1755*IBGE_2!P$1755/100</f>
        <v>4.0000000000000001E-3</v>
      </c>
      <c r="Q1755" s="142">
        <f>B1755*IBGE_2!Q$1755/100</f>
        <v>0.73699999999999999</v>
      </c>
      <c r="R1755" s="142">
        <f>B1755*IBGE_2!R$1755/100</f>
        <v>1.2E-2</v>
      </c>
      <c r="S1755" s="142">
        <f>B1755*IBGE_2!S$1755/100</f>
        <v>24.951000000000001</v>
      </c>
      <c r="T1755" s="142">
        <f>B1755*IBGE_2!T$1755/100</f>
        <v>8.8119999999999994</v>
      </c>
      <c r="U1755" s="142">
        <f>B1755*IBGE_2!U$1755/100</f>
        <v>0.01</v>
      </c>
      <c r="V1755" s="142">
        <f>B1755*IBGE_2!V$1755/100</f>
        <v>1.3000000000000001E-2</v>
      </c>
      <c r="W1755" s="142" t="s">
        <v>3047</v>
      </c>
      <c r="X1755" s="142" t="s">
        <v>3047</v>
      </c>
      <c r="Y1755" s="142" t="s">
        <v>3047</v>
      </c>
      <c r="Z1755" s="142" t="s">
        <v>3047</v>
      </c>
      <c r="AA1755" s="142">
        <f>B1755*IBGE_2!AA$1755/100</f>
        <v>6.9000000000000006E-2</v>
      </c>
      <c r="AB1755" s="142" t="s">
        <v>3047</v>
      </c>
      <c r="AC1755" s="142">
        <f>B1755*IBGE_2!AC$1755/100</f>
        <v>8.7999999999999995E-2</v>
      </c>
      <c r="AD1755" s="142" t="s">
        <v>3047</v>
      </c>
      <c r="AE1755" s="142" t="s">
        <v>3047</v>
      </c>
      <c r="AF1755" s="142" t="s">
        <v>3047</v>
      </c>
      <c r="AG1755" s="142">
        <f>B1755*IBGE_2!AG$1755/100</f>
        <v>7.000000000000001E-3</v>
      </c>
      <c r="AH1755" s="142">
        <f>B1755*IBGE_2!AH$1755/100</f>
        <v>3.0000000000000001E-3</v>
      </c>
      <c r="AI1755" s="142" t="s">
        <v>3047</v>
      </c>
      <c r="AJ1755" s="142">
        <f>B1755*IBGE_2!AJ$1755/100</f>
        <v>3.4000000000000002E-2</v>
      </c>
      <c r="AK1755" s="142" t="s">
        <v>3047</v>
      </c>
      <c r="AL1755" s="142">
        <f>B1755*IBGE_2!AL$1755/100</f>
        <v>0.18</v>
      </c>
      <c r="AM1755" s="142">
        <f>B1755*IBGE_2!AM$1755/100</f>
        <v>0.32200000000000001</v>
      </c>
      <c r="AN1755" s="161"/>
    </row>
    <row r="1756" spans="1:40">
      <c r="A1756" s="143" t="s">
        <v>2816</v>
      </c>
      <c r="B1756" s="141">
        <v>100</v>
      </c>
      <c r="C1756" s="142">
        <f>B1756*IBGE_2!C$1756/100</f>
        <v>40.017000000000003</v>
      </c>
      <c r="D1756" s="142">
        <f>B1756*IBGE_2!D$1756/100</f>
        <v>0.05</v>
      </c>
      <c r="E1756" s="142">
        <f>B1756*IBGE_2!E$1756/100</f>
        <v>0.02</v>
      </c>
      <c r="F1756" s="142" t="s">
        <v>3047</v>
      </c>
      <c r="G1756" s="142" t="s">
        <v>3047</v>
      </c>
      <c r="H1756" s="142" t="s">
        <v>3047</v>
      </c>
      <c r="I1756" s="142" t="s">
        <v>3047</v>
      </c>
      <c r="J1756" s="142" t="s">
        <v>3047</v>
      </c>
      <c r="K1756" s="142" t="s">
        <v>3047</v>
      </c>
      <c r="L1756" s="142">
        <f>B1756*IBGE_2!L$1756/100</f>
        <v>10.144</v>
      </c>
      <c r="M1756" s="142" t="s">
        <v>3047</v>
      </c>
      <c r="N1756" s="142">
        <f>B1756*IBGE_2!N$1756/100</f>
        <v>2.0009999999999999</v>
      </c>
      <c r="O1756" s="142">
        <f>B1756*IBGE_2!O$1756/100</f>
        <v>1</v>
      </c>
      <c r="P1756" s="142">
        <f>B1756*IBGE_2!P$1756/100</f>
        <v>2E-3</v>
      </c>
      <c r="Q1756" s="142" t="s">
        <v>3047</v>
      </c>
      <c r="R1756" s="142">
        <f>B1756*IBGE_2!R$1756/100</f>
        <v>0.11</v>
      </c>
      <c r="S1756" s="142">
        <f>B1756*IBGE_2!S$1756/100</f>
        <v>9.0039999999999996</v>
      </c>
      <c r="T1756" s="142">
        <f>B1756*IBGE_2!T$1756/100</f>
        <v>1</v>
      </c>
      <c r="U1756" s="142">
        <f>B1756*IBGE_2!U$1756/100</f>
        <v>1E-3</v>
      </c>
      <c r="V1756" s="142">
        <f>B1756*IBGE_2!V$1756/100</f>
        <v>0.04</v>
      </c>
      <c r="W1756" s="142" t="s">
        <v>3047</v>
      </c>
      <c r="X1756" s="142" t="s">
        <v>3047</v>
      </c>
      <c r="Y1756" s="142" t="s">
        <v>3047</v>
      </c>
      <c r="Z1756" s="142" t="s">
        <v>3047</v>
      </c>
      <c r="AA1756" s="142">
        <f>B1756*IBGE_2!AA$1756/100</f>
        <v>1.4999999999999999E-2</v>
      </c>
      <c r="AB1756" s="142" t="s">
        <v>3047</v>
      </c>
      <c r="AC1756" s="142">
        <f>B1756*IBGE_2!AC$1756/100</f>
        <v>1.4999999999999999E-2</v>
      </c>
      <c r="AD1756" s="142" t="s">
        <v>3047</v>
      </c>
      <c r="AE1756" s="142" t="s">
        <v>3047</v>
      </c>
      <c r="AF1756" s="142" t="s">
        <v>3047</v>
      </c>
      <c r="AG1756" s="142" t="s">
        <v>3047</v>
      </c>
      <c r="AH1756" s="142" t="s">
        <v>3047</v>
      </c>
      <c r="AI1756" s="142" t="s">
        <v>3047</v>
      </c>
      <c r="AJ1756" s="145" t="s">
        <v>3047</v>
      </c>
      <c r="AK1756" s="142" t="s">
        <v>3047</v>
      </c>
      <c r="AL1756" s="142">
        <f>B1756*IBGE_2!AL$1756/100</f>
        <v>9.0739999999999998</v>
      </c>
      <c r="AM1756" s="142">
        <f>B1756*IBGE_2!AM$1756/100</f>
        <v>10.144</v>
      </c>
      <c r="AN1756" s="161"/>
    </row>
    <row r="1757" spans="1:40">
      <c r="A1757" s="143" t="s">
        <v>2817</v>
      </c>
      <c r="B1757" s="141">
        <v>100</v>
      </c>
      <c r="C1757" s="142">
        <f>B1757*IBGE_2!C$1757/100</f>
        <v>40.017000000000003</v>
      </c>
      <c r="D1757" s="142">
        <f>B1757*IBGE_2!D$1757/100</f>
        <v>0.05</v>
      </c>
      <c r="E1757" s="142">
        <f>B1757*IBGE_2!E$1757/100</f>
        <v>0.02</v>
      </c>
      <c r="F1757" s="142" t="s">
        <v>3047</v>
      </c>
      <c r="G1757" s="142" t="s">
        <v>3047</v>
      </c>
      <c r="H1757" s="142" t="s">
        <v>3047</v>
      </c>
      <c r="I1757" s="142" t="s">
        <v>3047</v>
      </c>
      <c r="J1757" s="142" t="s">
        <v>3047</v>
      </c>
      <c r="K1757" s="142" t="s">
        <v>3047</v>
      </c>
      <c r="L1757" s="142">
        <f>B1757*IBGE_2!L$1757/100</f>
        <v>10.144</v>
      </c>
      <c r="M1757" s="142" t="s">
        <v>3047</v>
      </c>
      <c r="N1757" s="142">
        <f>B1757*IBGE_2!N$1757/100</f>
        <v>2.0009999999999999</v>
      </c>
      <c r="O1757" s="142">
        <f>B1757*IBGE_2!O$1757/100</f>
        <v>1</v>
      </c>
      <c r="P1757" s="142">
        <f>B1757*IBGE_2!P$1757/100</f>
        <v>2E-3</v>
      </c>
      <c r="Q1757" s="142" t="s">
        <v>3047</v>
      </c>
      <c r="R1757" s="142">
        <f>B1757*IBGE_2!R$1757/100</f>
        <v>0.11</v>
      </c>
      <c r="S1757" s="142">
        <f>B1757*IBGE_2!S$1757/100</f>
        <v>9.0039999999999996</v>
      </c>
      <c r="T1757" s="142">
        <f>B1757*IBGE_2!T$1757/100</f>
        <v>1</v>
      </c>
      <c r="U1757" s="142">
        <f>B1757*IBGE_2!U$1757/100</f>
        <v>1E-3</v>
      </c>
      <c r="V1757" s="142">
        <f>B1757*IBGE_2!V$1757/100</f>
        <v>0.04</v>
      </c>
      <c r="W1757" s="142" t="s">
        <v>3047</v>
      </c>
      <c r="X1757" s="142" t="s">
        <v>3047</v>
      </c>
      <c r="Y1757" s="142" t="s">
        <v>3047</v>
      </c>
      <c r="Z1757" s="142" t="s">
        <v>3047</v>
      </c>
      <c r="AA1757" s="142">
        <f>B1757*IBGE_2!AA$1757/100</f>
        <v>1.4999999999999999E-2</v>
      </c>
      <c r="AB1757" s="142" t="s">
        <v>3047</v>
      </c>
      <c r="AC1757" s="142">
        <f>B1757*IBGE_2!AC$1757/100</f>
        <v>1.4999999999999999E-2</v>
      </c>
      <c r="AD1757" s="142" t="s">
        <v>3047</v>
      </c>
      <c r="AE1757" s="142" t="s">
        <v>3047</v>
      </c>
      <c r="AF1757" s="142" t="s">
        <v>3047</v>
      </c>
      <c r="AG1757" s="142" t="s">
        <v>3047</v>
      </c>
      <c r="AH1757" s="142" t="s">
        <v>3047</v>
      </c>
      <c r="AI1757" s="142" t="s">
        <v>3047</v>
      </c>
      <c r="AJ1757" s="145" t="s">
        <v>3047</v>
      </c>
      <c r="AK1757" s="142" t="s">
        <v>3047</v>
      </c>
      <c r="AL1757" s="142">
        <f>B1757*IBGE_2!AL$1757/100</f>
        <v>9.0739999999999998</v>
      </c>
      <c r="AM1757" s="142">
        <f>B1757*IBGE_2!AM$1757/100</f>
        <v>10.144</v>
      </c>
      <c r="AN1757" s="161"/>
    </row>
    <row r="1758" spans="1:40">
      <c r="A1758" s="143" t="s">
        <v>2818</v>
      </c>
      <c r="B1758" s="141">
        <v>100</v>
      </c>
      <c r="C1758" s="142">
        <f>B1758*IBGE_2!C$1758/100</f>
        <v>2.8029999999999999</v>
      </c>
      <c r="D1758" s="142">
        <f>B1758*IBGE_2!D$1758/100</f>
        <v>0.25</v>
      </c>
      <c r="E1758" s="142" t="s">
        <v>3047</v>
      </c>
      <c r="F1758" s="142" t="s">
        <v>3047</v>
      </c>
      <c r="G1758" s="142" t="s">
        <v>3047</v>
      </c>
      <c r="H1758" s="142" t="s">
        <v>3047</v>
      </c>
      <c r="I1758" s="142" t="s">
        <v>3047</v>
      </c>
      <c r="J1758" s="142" t="s">
        <v>3047</v>
      </c>
      <c r="K1758" s="142" t="s">
        <v>3047</v>
      </c>
      <c r="L1758" s="142">
        <f>B1758*IBGE_2!L$1758/100</f>
        <v>2.3119999999999998</v>
      </c>
      <c r="M1758" s="142">
        <f>B1758*IBGE_2!M$1758/100</f>
        <v>1.8620000000000001</v>
      </c>
      <c r="N1758" s="142">
        <f>B1758*IBGE_2!N$1758/100</f>
        <v>4.7039999999999997</v>
      </c>
      <c r="O1758" s="142">
        <f>B1758*IBGE_2!O$1758/100</f>
        <v>1.125</v>
      </c>
      <c r="P1758" s="142">
        <f>B1758*IBGE_2!P$1758/100</f>
        <v>38.335000000000001</v>
      </c>
      <c r="Q1758" s="142">
        <f>B1758*IBGE_2!Q$1758/100</f>
        <v>0.88099999999999989</v>
      </c>
      <c r="R1758" s="142">
        <f>B1758*IBGE_2!R$1758/100</f>
        <v>0.15</v>
      </c>
      <c r="S1758" s="142">
        <f>B1758*IBGE_2!S$1758/100</f>
        <v>0.26900000000000002</v>
      </c>
      <c r="T1758" s="142">
        <f>B1758*IBGE_2!T$1758/100</f>
        <v>11.01</v>
      </c>
      <c r="U1758" s="142">
        <f>B1758*IBGE_2!U$1758/100</f>
        <v>0.3</v>
      </c>
      <c r="V1758" s="142">
        <f>B1758*IBGE_2!V$1758/100</f>
        <v>1.3009999999999999</v>
      </c>
      <c r="W1758" s="142" t="s">
        <v>3047</v>
      </c>
      <c r="X1758" s="142">
        <f>B1758*IBGE_2!X$1758/100</f>
        <v>2.8000000000000004E-2</v>
      </c>
      <c r="Y1758" s="142">
        <f>B1758*IBGE_2!Y$1758/100</f>
        <v>1.4000000000000002E-2</v>
      </c>
      <c r="Z1758" s="142">
        <f>B1758*IBGE_2!Z$1758/100</f>
        <v>1.7999999999999999E-2</v>
      </c>
      <c r="AA1758" s="142">
        <f>B1758*IBGE_2!AA$1758/100</f>
        <v>2.4E-2</v>
      </c>
      <c r="AB1758" s="142">
        <f>B1758*IBGE_2!AB$1758/100</f>
        <v>0.16</v>
      </c>
      <c r="AC1758" s="142">
        <f>B1758*IBGE_2!AC$1758/100</f>
        <v>7.3999999999999996E-2</v>
      </c>
      <c r="AD1758" s="142" t="s">
        <v>3047</v>
      </c>
      <c r="AE1758" s="142">
        <f>B1758*IBGE_2!AE$1758/100</f>
        <v>1.0009999999999999</v>
      </c>
      <c r="AF1758" s="142" t="s">
        <v>3047</v>
      </c>
      <c r="AG1758" s="142" t="s">
        <v>3047</v>
      </c>
      <c r="AH1758" s="142" t="s">
        <v>3047</v>
      </c>
      <c r="AI1758" s="142" t="s">
        <v>3047</v>
      </c>
      <c r="AJ1758" s="142">
        <f>B1758*IBGE_2!AJ$1758/100</f>
        <v>7.3999999999999996E-2</v>
      </c>
      <c r="AK1758" s="142" t="s">
        <v>3047</v>
      </c>
      <c r="AL1758" s="142">
        <f>B1758*IBGE_2!AL$1758/100</f>
        <v>6.4000000000000001E-2</v>
      </c>
      <c r="AM1758" s="142" t="s">
        <v>3047</v>
      </c>
      <c r="AN1758" s="161"/>
    </row>
    <row r="1759" spans="1:40">
      <c r="A1759" s="143" t="s">
        <v>2819</v>
      </c>
      <c r="B1759" s="141">
        <v>100</v>
      </c>
      <c r="C1759" s="142">
        <f>B1759*IBGE_2!C$1759/100</f>
        <v>2.8029999999999999</v>
      </c>
      <c r="D1759" s="142">
        <f>B1759*IBGE_2!D$1759/100</f>
        <v>0.25</v>
      </c>
      <c r="E1759" s="142" t="s">
        <v>3047</v>
      </c>
      <c r="F1759" s="142" t="s">
        <v>3047</v>
      </c>
      <c r="G1759" s="142" t="s">
        <v>3047</v>
      </c>
      <c r="H1759" s="142" t="s">
        <v>3047</v>
      </c>
      <c r="I1759" s="142" t="s">
        <v>3047</v>
      </c>
      <c r="J1759" s="142" t="s">
        <v>3047</v>
      </c>
      <c r="K1759" s="142" t="s">
        <v>3047</v>
      </c>
      <c r="L1759" s="142">
        <f>B1759*IBGE_2!L$1759/100</f>
        <v>2.3119999999999998</v>
      </c>
      <c r="M1759" s="142">
        <f>B1759*IBGE_2!M$1759/100</f>
        <v>1.8620000000000001</v>
      </c>
      <c r="N1759" s="142">
        <f>B1759*IBGE_2!N$1759/100</f>
        <v>4.7039999999999997</v>
      </c>
      <c r="O1759" s="142">
        <f>B1759*IBGE_2!O$1759/100</f>
        <v>1.125</v>
      </c>
      <c r="P1759" s="142">
        <f>B1759*IBGE_2!P$1759/100</f>
        <v>38.335000000000001</v>
      </c>
      <c r="Q1759" s="142">
        <f>B1759*IBGE_2!Q$1759/100</f>
        <v>0.88099999999999989</v>
      </c>
      <c r="R1759" s="142">
        <f>B1759*IBGE_2!R$1759/100</f>
        <v>0.15</v>
      </c>
      <c r="S1759" s="142">
        <f>B1759*IBGE_2!S$1759/100</f>
        <v>0.26900000000000002</v>
      </c>
      <c r="T1759" s="142">
        <f>B1759*IBGE_2!T$1759/100</f>
        <v>11.01</v>
      </c>
      <c r="U1759" s="142">
        <f>B1759*IBGE_2!U$1759/100</f>
        <v>0.3</v>
      </c>
      <c r="V1759" s="142">
        <f>B1759*IBGE_2!V$1759/100</f>
        <v>1.3009999999999999</v>
      </c>
      <c r="W1759" s="142" t="s">
        <v>3047</v>
      </c>
      <c r="X1759" s="142">
        <f>B1759*IBGE_2!X$1759/100</f>
        <v>2.8000000000000004E-2</v>
      </c>
      <c r="Y1759" s="142">
        <f>B1759*IBGE_2!Y$1759/100</f>
        <v>1.4000000000000002E-2</v>
      </c>
      <c r="Z1759" s="142">
        <f>B1759*IBGE_2!Z$1759/100</f>
        <v>1.7999999999999999E-2</v>
      </c>
      <c r="AA1759" s="142">
        <f>B1759*IBGE_2!AA$1759/100</f>
        <v>2.4E-2</v>
      </c>
      <c r="AB1759" s="142">
        <f>B1759*IBGE_2!AB$1759/100</f>
        <v>0.16</v>
      </c>
      <c r="AC1759" s="142">
        <f>B1759*IBGE_2!AC$1759/100</f>
        <v>7.3999999999999996E-2</v>
      </c>
      <c r="AD1759" s="142" t="s">
        <v>3047</v>
      </c>
      <c r="AE1759" s="142">
        <f>B1759*IBGE_2!AE$1759/100</f>
        <v>1.0009999999999999</v>
      </c>
      <c r="AF1759" s="142" t="s">
        <v>3047</v>
      </c>
      <c r="AG1759" s="142" t="s">
        <v>3047</v>
      </c>
      <c r="AH1759" s="142" t="s">
        <v>3047</v>
      </c>
      <c r="AI1759" s="142" t="s">
        <v>3047</v>
      </c>
      <c r="AJ1759" s="142">
        <f>B1759*IBGE_2!AJ$1759/100</f>
        <v>7.3999999999999996E-2</v>
      </c>
      <c r="AK1759" s="142" t="s">
        <v>3047</v>
      </c>
      <c r="AL1759" s="142">
        <f>B1759*IBGE_2!AL$1759/100</f>
        <v>6.4000000000000001E-2</v>
      </c>
      <c r="AM1759" s="142" t="s">
        <v>3047</v>
      </c>
      <c r="AN1759" s="161"/>
    </row>
    <row r="1760" spans="1:40">
      <c r="A1760" s="143" t="s">
        <v>2820</v>
      </c>
      <c r="B1760" s="141">
        <v>100</v>
      </c>
      <c r="C1760" s="142">
        <f>B1760*IBGE_2!C$1760/100</f>
        <v>1.8730000000000002</v>
      </c>
      <c r="D1760" s="142">
        <f>B1760*IBGE_2!D$1760/100</f>
        <v>0.24199999999999999</v>
      </c>
      <c r="E1760" s="142">
        <f>B1760*IBGE_2!E$1760/100</f>
        <v>2.1000000000000001E-2</v>
      </c>
      <c r="F1760" s="142">
        <f>B1760*IBGE_2!F$1760/100</f>
        <v>4.0000000000000001E-3</v>
      </c>
      <c r="G1760" s="142" t="s">
        <v>3047</v>
      </c>
      <c r="H1760" s="142">
        <f>B1760*IBGE_2!H$1760/100</f>
        <v>8.9999999999999993E-3</v>
      </c>
      <c r="I1760" s="142">
        <f>B1760*IBGE_2!I$1760/100</f>
        <v>1E-3</v>
      </c>
      <c r="J1760" s="142">
        <f>B1760*IBGE_2!J$1760/100</f>
        <v>7.000000000000001E-3</v>
      </c>
      <c r="K1760" s="142" t="s">
        <v>3047</v>
      </c>
      <c r="L1760" s="142">
        <f>B1760*IBGE_2!L$1760/100</f>
        <v>0.30499999999999999</v>
      </c>
      <c r="M1760" s="142">
        <f>B1760*IBGE_2!M$1760/100</f>
        <v>0.19500000000000001</v>
      </c>
      <c r="N1760" s="142">
        <f>B1760*IBGE_2!N$1760/100</f>
        <v>12.974</v>
      </c>
      <c r="O1760" s="142">
        <f>B1760*IBGE_2!O$1760/100</f>
        <v>7.5259999999999998</v>
      </c>
      <c r="P1760" s="142">
        <f>B1760*IBGE_2!P$1760/100</f>
        <v>7.5999999999999998E-2</v>
      </c>
      <c r="Q1760" s="142">
        <f>B1760*IBGE_2!Q$1760/100</f>
        <v>4.5609999999999999</v>
      </c>
      <c r="R1760" s="142">
        <f>B1760*IBGE_2!R$1760/100</f>
        <v>0.29099999999999998</v>
      </c>
      <c r="S1760" s="142">
        <f>B1760*IBGE_2!S$1760/100</f>
        <v>52.143999999999998</v>
      </c>
      <c r="T1760" s="142">
        <f>B1760*IBGE_2!T$1760/100</f>
        <v>37.966000000000001</v>
      </c>
      <c r="U1760" s="142">
        <f>B1760*IBGE_2!U$1760/100</f>
        <v>1.4000000000000002E-2</v>
      </c>
      <c r="V1760" s="142">
        <f>B1760*IBGE_2!V$1760/100</f>
        <v>6.2E-2</v>
      </c>
      <c r="W1760" s="142" t="s">
        <v>3047</v>
      </c>
      <c r="X1760" s="142">
        <f>B1760*IBGE_2!X$1760/100</f>
        <v>8.0000000000000002E-3</v>
      </c>
      <c r="Y1760" s="142">
        <f>B1760*IBGE_2!Y$1760/100</f>
        <v>1.9E-2</v>
      </c>
      <c r="Z1760" s="142">
        <f>B1760*IBGE_2!Z$1760/100</f>
        <v>0.02</v>
      </c>
      <c r="AA1760" s="142">
        <f>B1760*IBGE_2!AA$1760/100</f>
        <v>0.04</v>
      </c>
      <c r="AB1760" s="142">
        <f>B1760*IBGE_2!AB$1760/100</f>
        <v>0.79800000000000015</v>
      </c>
      <c r="AC1760" s="142">
        <f>B1760*IBGE_2!AC$1760/100</f>
        <v>9.4E-2</v>
      </c>
      <c r="AD1760" s="142" t="s">
        <v>3047</v>
      </c>
      <c r="AE1760" s="142">
        <f>B1760*IBGE_2!AE$1760/100</f>
        <v>11.892000000000001</v>
      </c>
      <c r="AF1760" s="142" t="s">
        <v>3047</v>
      </c>
      <c r="AG1760" s="142">
        <f>B1760*IBGE_2!AG$1760/100</f>
        <v>0.16900000000000001</v>
      </c>
      <c r="AH1760" s="142" t="s">
        <v>3047</v>
      </c>
      <c r="AI1760" s="142" t="s">
        <v>3047</v>
      </c>
      <c r="AJ1760" s="142">
        <f>B1760*IBGE_2!AJ$1760/100</f>
        <v>0.122</v>
      </c>
      <c r="AK1760" s="142">
        <f>B1760*IBGE_2!AK$1760/100</f>
        <v>42.680999999999997</v>
      </c>
      <c r="AL1760" s="142">
        <f>B1760*IBGE_2!AL$1760/100</f>
        <v>7.1999999999999995E-2</v>
      </c>
      <c r="AM1760" s="142" t="s">
        <v>3047</v>
      </c>
      <c r="AN1760" s="161"/>
    </row>
    <row r="1761" spans="1:40">
      <c r="A1761" s="143" t="s">
        <v>2821</v>
      </c>
      <c r="B1761" s="141">
        <v>100</v>
      </c>
      <c r="C1761" s="142">
        <f>B1761*IBGE_2!C$1761/100</f>
        <v>181.00049999999999</v>
      </c>
      <c r="D1761" s="142">
        <f>B1761*IBGE_2!D$1761/100</f>
        <v>0.86</v>
      </c>
      <c r="E1761" s="142">
        <f>B1761*IBGE_2!E$1761/100</f>
        <v>0.16</v>
      </c>
      <c r="F1761" s="142">
        <f>B1761*IBGE_2!F$1761/100</f>
        <v>5.1000000000000004E-2</v>
      </c>
      <c r="G1761" s="142">
        <f>B1761*IBGE_2!G$1761/100</f>
        <v>5.7500000000000002E-2</v>
      </c>
      <c r="H1761" s="142">
        <f>B1761*IBGE_2!H$1761/100</f>
        <v>5.0000000000000001E-4</v>
      </c>
      <c r="I1761" s="142">
        <f>B1761*IBGE_2!I$1761/100</f>
        <v>1.55E-2</v>
      </c>
      <c r="J1761" s="142">
        <f>B1761*IBGE_2!J$1761/100</f>
        <v>5.0000000000000001E-3</v>
      </c>
      <c r="K1761" s="142" t="s">
        <v>3047</v>
      </c>
      <c r="L1761" s="142">
        <f>B1761*IBGE_2!L$1761/100</f>
        <v>44.185000000000002</v>
      </c>
      <c r="M1761" s="142">
        <f>B1761*IBGE_2!M$1761/100</f>
        <v>3.4350000000000001</v>
      </c>
      <c r="N1761" s="142">
        <f>B1761*IBGE_2!N$1761/100</f>
        <v>33.500999999999998</v>
      </c>
      <c r="O1761" s="142">
        <f>B1761*IBGE_2!O$1761/100</f>
        <v>20.0015</v>
      </c>
      <c r="P1761" s="142">
        <f>B1761*IBGE_2!P$1761/100</f>
        <v>1.15E-2</v>
      </c>
      <c r="Q1761" s="142">
        <f>B1761*IBGE_2!Q$1761/100</f>
        <v>22.5015</v>
      </c>
      <c r="R1761" s="142">
        <f>B1761*IBGE_2!R$1761/100</f>
        <v>0.55500000000000005</v>
      </c>
      <c r="S1761" s="142">
        <f>B1761*IBGE_2!S$1761/100</f>
        <v>1.5009999999999999</v>
      </c>
      <c r="T1761" s="142">
        <f>B1761*IBGE_2!T$1761/100</f>
        <v>194.52250000000001</v>
      </c>
      <c r="U1761" s="142">
        <f>B1761*IBGE_2!U$1761/100</f>
        <v>4.1000000000000009E-2</v>
      </c>
      <c r="V1761" s="142">
        <f>B1761*IBGE_2!V$1761/100</f>
        <v>0.21</v>
      </c>
      <c r="W1761" s="142" t="s">
        <v>3047</v>
      </c>
      <c r="X1761" s="142">
        <f>B1761*IBGE_2!X$1761/100</f>
        <v>7.7000000000000013E-2</v>
      </c>
      <c r="Y1761" s="142">
        <f>B1761*IBGE_2!Y$1761/100</f>
        <v>3.7999999999999999E-2</v>
      </c>
      <c r="Z1761" s="142">
        <f>B1761*IBGE_2!Z$1761/100</f>
        <v>5.0000000000000001E-4</v>
      </c>
      <c r="AA1761" s="142">
        <f>B1761*IBGE_2!AA$1761/100</f>
        <v>9.5500000000000002E-2</v>
      </c>
      <c r="AB1761" s="142" t="s">
        <v>3047</v>
      </c>
      <c r="AC1761" s="142">
        <f>B1761*IBGE_2!AC$1761/100</f>
        <v>9.5500000000000002E-2</v>
      </c>
      <c r="AD1761" s="142" t="s">
        <v>3047</v>
      </c>
      <c r="AE1761" s="142">
        <f>B1761*IBGE_2!AE$1761/100</f>
        <v>1.0009999999999999</v>
      </c>
      <c r="AF1761" s="142" t="s">
        <v>3047</v>
      </c>
      <c r="AG1761" s="142">
        <f>B1761*IBGE_2!AG$1761/100</f>
        <v>5.0000000000000001E-3</v>
      </c>
      <c r="AH1761" s="142" t="s">
        <v>3047</v>
      </c>
      <c r="AI1761" s="142" t="s">
        <v>3047</v>
      </c>
      <c r="AJ1761" s="145" t="s">
        <v>3047</v>
      </c>
      <c r="AK1761" s="142" t="s">
        <v>3047</v>
      </c>
      <c r="AL1761" s="142" t="s">
        <v>3047</v>
      </c>
      <c r="AM1761" s="142" t="s">
        <v>3047</v>
      </c>
      <c r="AN1761" s="161"/>
    </row>
    <row r="1762" spans="1:40">
      <c r="A1762" s="143" t="s">
        <v>2822</v>
      </c>
      <c r="B1762" s="141">
        <v>100</v>
      </c>
      <c r="C1762" s="142">
        <f>B1762*IBGE_2!C$1762/100</f>
        <v>43.185000000000002</v>
      </c>
      <c r="D1762" s="142">
        <f>B1762*IBGE_2!D$1762/100</f>
        <v>0.46200000000000002</v>
      </c>
      <c r="E1762" s="142" t="s">
        <v>3047</v>
      </c>
      <c r="F1762" s="142" t="s">
        <v>3047</v>
      </c>
      <c r="G1762" s="142" t="s">
        <v>3047</v>
      </c>
      <c r="H1762" s="142" t="s">
        <v>3047</v>
      </c>
      <c r="I1762" s="142" t="s">
        <v>3047</v>
      </c>
      <c r="J1762" s="142" t="s">
        <v>3047</v>
      </c>
      <c r="K1762" s="142" t="s">
        <v>3047</v>
      </c>
      <c r="L1762" s="142">
        <f>B1762*IBGE_2!L$1762/100</f>
        <v>3.5649999999999999</v>
      </c>
      <c r="M1762" s="142" t="s">
        <v>3047</v>
      </c>
      <c r="N1762" s="142">
        <f>B1762*IBGE_2!N$1762/100</f>
        <v>4.0170000000000003</v>
      </c>
      <c r="O1762" s="142">
        <f>B1762*IBGE_2!O$1762/100</f>
        <v>6.0259999999999998</v>
      </c>
      <c r="P1762" s="142">
        <f>B1762*IBGE_2!P$1762/100</f>
        <v>8.0000000000000002E-3</v>
      </c>
      <c r="Q1762" s="142">
        <f>B1762*IBGE_2!Q$1762/100</f>
        <v>14.06</v>
      </c>
      <c r="R1762" s="142">
        <f>B1762*IBGE_2!R$1762/100</f>
        <v>0.02</v>
      </c>
      <c r="S1762" s="142">
        <f>B1762*IBGE_2!S$1762/100</f>
        <v>4.0170000000000003</v>
      </c>
      <c r="T1762" s="142">
        <f>B1762*IBGE_2!T$1762/100</f>
        <v>27.116</v>
      </c>
      <c r="U1762" s="142">
        <f>B1762*IBGE_2!U$1762/100</f>
        <v>5.0000000000000001E-3</v>
      </c>
      <c r="V1762" s="142">
        <f>B1762*IBGE_2!V$1762/100</f>
        <v>0.01</v>
      </c>
      <c r="W1762" s="142" t="s">
        <v>3047</v>
      </c>
      <c r="X1762" s="142">
        <f>B1762*IBGE_2!X$1762/100</f>
        <v>5.0000000000000001E-3</v>
      </c>
      <c r="Y1762" s="142">
        <f>B1762*IBGE_2!Y$1762/100</f>
        <v>2.5000000000000001E-2</v>
      </c>
      <c r="Z1762" s="142">
        <f>B1762*IBGE_2!Z$1762/100</f>
        <v>4.5999999999999999E-2</v>
      </c>
      <c r="AA1762" s="142">
        <f>B1762*IBGE_2!AA$1762/100</f>
        <v>0.51500000000000001</v>
      </c>
      <c r="AB1762" s="142" t="s">
        <v>3047</v>
      </c>
      <c r="AC1762" s="142">
        <f>B1762*IBGE_2!AC$1762/100</f>
        <v>0.51500000000000001</v>
      </c>
      <c r="AD1762" s="142">
        <f>B1762*IBGE_2!AD$1762/100</f>
        <v>0.02</v>
      </c>
      <c r="AE1762" s="142">
        <f>B1762*IBGE_2!AE$1762/100</f>
        <v>6.0259999999999998</v>
      </c>
      <c r="AF1762" s="142" t="s">
        <v>3047</v>
      </c>
      <c r="AG1762" s="142" t="s">
        <v>3047</v>
      </c>
      <c r="AH1762" s="142" t="s">
        <v>3047</v>
      </c>
      <c r="AI1762" s="142" t="s">
        <v>3047</v>
      </c>
      <c r="AJ1762" s="142">
        <f>B1762*IBGE_2!AJ$1762/100</f>
        <v>0.60299999999999998</v>
      </c>
      <c r="AK1762" s="142" t="s">
        <v>3047</v>
      </c>
      <c r="AL1762" s="145" t="s">
        <v>3047</v>
      </c>
      <c r="AM1762" s="142" t="s">
        <v>3047</v>
      </c>
      <c r="AN1762" s="161"/>
    </row>
    <row r="1763" spans="1:40">
      <c r="A1763" s="143" t="s">
        <v>2823</v>
      </c>
      <c r="B1763" s="141">
        <v>100</v>
      </c>
      <c r="C1763" s="142">
        <f>B1763*IBGE_2!C$1763/100</f>
        <v>43.185000000000002</v>
      </c>
      <c r="D1763" s="142">
        <f>B1763*IBGE_2!D$1763/100</f>
        <v>0.46200000000000002</v>
      </c>
      <c r="E1763" s="142" t="s">
        <v>3047</v>
      </c>
      <c r="F1763" s="142" t="s">
        <v>3047</v>
      </c>
      <c r="G1763" s="142" t="s">
        <v>3047</v>
      </c>
      <c r="H1763" s="142" t="s">
        <v>3047</v>
      </c>
      <c r="I1763" s="142" t="s">
        <v>3047</v>
      </c>
      <c r="J1763" s="142" t="s">
        <v>3047</v>
      </c>
      <c r="K1763" s="142" t="s">
        <v>3047</v>
      </c>
      <c r="L1763" s="142">
        <f>B1763*IBGE_2!L$1763/100</f>
        <v>3.5649999999999999</v>
      </c>
      <c r="M1763" s="142" t="s">
        <v>3047</v>
      </c>
      <c r="N1763" s="142">
        <f>B1763*IBGE_2!N$1763/100</f>
        <v>4.0170000000000003</v>
      </c>
      <c r="O1763" s="142">
        <f>B1763*IBGE_2!O$1763/100</f>
        <v>6.0259999999999998</v>
      </c>
      <c r="P1763" s="142">
        <f>B1763*IBGE_2!P$1763/100</f>
        <v>8.0000000000000002E-3</v>
      </c>
      <c r="Q1763" s="142">
        <f>B1763*IBGE_2!Q$1763/100</f>
        <v>14.06</v>
      </c>
      <c r="R1763" s="142">
        <f>B1763*IBGE_2!R$1763/100</f>
        <v>0.02</v>
      </c>
      <c r="S1763" s="142">
        <f>B1763*IBGE_2!S$1763/100</f>
        <v>4.0170000000000003</v>
      </c>
      <c r="T1763" s="142">
        <f>B1763*IBGE_2!T$1763/100</f>
        <v>27.116</v>
      </c>
      <c r="U1763" s="142">
        <f>B1763*IBGE_2!U$1763/100</f>
        <v>5.0000000000000001E-3</v>
      </c>
      <c r="V1763" s="142">
        <f>B1763*IBGE_2!V$1763/100</f>
        <v>0.01</v>
      </c>
      <c r="W1763" s="142" t="s">
        <v>3047</v>
      </c>
      <c r="X1763" s="142">
        <f>B1763*IBGE_2!X$1763/100</f>
        <v>5.0000000000000001E-3</v>
      </c>
      <c r="Y1763" s="142">
        <f>B1763*IBGE_2!Y$1763/100</f>
        <v>2.5000000000000001E-2</v>
      </c>
      <c r="Z1763" s="142">
        <f>B1763*IBGE_2!Z$1763/100</f>
        <v>4.5999999999999999E-2</v>
      </c>
      <c r="AA1763" s="142">
        <f>B1763*IBGE_2!AA$1763/100</f>
        <v>0.51500000000000001</v>
      </c>
      <c r="AB1763" s="142" t="s">
        <v>3047</v>
      </c>
      <c r="AC1763" s="142">
        <f>B1763*IBGE_2!AC$1763/100</f>
        <v>0.51500000000000001</v>
      </c>
      <c r="AD1763" s="142">
        <f>B1763*IBGE_2!AD$1763/100</f>
        <v>0.02</v>
      </c>
      <c r="AE1763" s="142">
        <f>B1763*IBGE_2!AE$1763/100</f>
        <v>6.0259999999999998</v>
      </c>
      <c r="AF1763" s="142" t="s">
        <v>3047</v>
      </c>
      <c r="AG1763" s="142" t="s">
        <v>3047</v>
      </c>
      <c r="AH1763" s="142" t="s">
        <v>3047</v>
      </c>
      <c r="AI1763" s="142" t="s">
        <v>3047</v>
      </c>
      <c r="AJ1763" s="142">
        <f>B1763*IBGE_2!AJ$1763/100</f>
        <v>0.60299999999999998</v>
      </c>
      <c r="AK1763" s="142" t="s">
        <v>3047</v>
      </c>
      <c r="AL1763" s="145" t="s">
        <v>3047</v>
      </c>
      <c r="AM1763" s="142" t="s">
        <v>3047</v>
      </c>
      <c r="AN1763" s="161"/>
    </row>
    <row r="1764" spans="1:40">
      <c r="A1764" s="143" t="s">
        <v>2824</v>
      </c>
      <c r="B1764" s="141">
        <v>100</v>
      </c>
      <c r="C1764" s="142">
        <f>B1764*IBGE_2!C$1764/100</f>
        <v>216</v>
      </c>
      <c r="D1764" s="142" t="s">
        <v>3047</v>
      </c>
      <c r="E1764" s="142" t="s">
        <v>3047</v>
      </c>
      <c r="F1764" s="142" t="s">
        <v>3047</v>
      </c>
      <c r="G1764" s="142" t="s">
        <v>3047</v>
      </c>
      <c r="H1764" s="142" t="s">
        <v>3047</v>
      </c>
      <c r="I1764" s="142" t="s">
        <v>3047</v>
      </c>
      <c r="J1764" s="142" t="s">
        <v>3047</v>
      </c>
      <c r="K1764" s="142" t="s">
        <v>3047</v>
      </c>
      <c r="L1764" s="142" t="s">
        <v>3047</v>
      </c>
      <c r="M1764" s="142" t="s">
        <v>3047</v>
      </c>
      <c r="N1764" s="142" t="s">
        <v>3047</v>
      </c>
      <c r="O1764" s="142" t="s">
        <v>3047</v>
      </c>
      <c r="P1764" s="142" t="s">
        <v>3047</v>
      </c>
      <c r="Q1764" s="142" t="s">
        <v>3047</v>
      </c>
      <c r="R1764" s="142" t="s">
        <v>3047</v>
      </c>
      <c r="S1764" s="142">
        <f>B1764*IBGE_2!S$1764/100</f>
        <v>3</v>
      </c>
      <c r="T1764" s="142" t="s">
        <v>3047</v>
      </c>
      <c r="U1764" s="142">
        <f>B1764*IBGE_2!U$1764/100</f>
        <v>0.06</v>
      </c>
      <c r="V1764" s="142" t="s">
        <v>3047</v>
      </c>
      <c r="W1764" s="142" t="s">
        <v>3047</v>
      </c>
      <c r="X1764" s="142" t="s">
        <v>3047</v>
      </c>
      <c r="Y1764" s="142" t="s">
        <v>3047</v>
      </c>
      <c r="Z1764" s="142" t="s">
        <v>3047</v>
      </c>
      <c r="AA1764" s="142" t="s">
        <v>3047</v>
      </c>
      <c r="AB1764" s="142" t="s">
        <v>3047</v>
      </c>
      <c r="AC1764" s="142" t="s">
        <v>3047</v>
      </c>
      <c r="AD1764" s="142" t="s">
        <v>3047</v>
      </c>
      <c r="AE1764" s="142" t="s">
        <v>3047</v>
      </c>
      <c r="AF1764" s="142" t="s">
        <v>3047</v>
      </c>
      <c r="AG1764" s="142" t="s">
        <v>3047</v>
      </c>
      <c r="AH1764" s="142" t="s">
        <v>3047</v>
      </c>
      <c r="AI1764" s="142" t="s">
        <v>3047</v>
      </c>
      <c r="AJ1764" s="142" t="s">
        <v>3047</v>
      </c>
      <c r="AK1764" s="142" t="s">
        <v>3047</v>
      </c>
      <c r="AL1764" s="142" t="s">
        <v>3047</v>
      </c>
      <c r="AM1764" s="142" t="s">
        <v>3047</v>
      </c>
      <c r="AN1764" s="161"/>
    </row>
    <row r="1765" spans="1:40">
      <c r="A1765" s="143" t="s">
        <v>2825</v>
      </c>
      <c r="B1765" s="141">
        <v>100</v>
      </c>
      <c r="C1765" s="142">
        <f>B1765*IBGE_2!C$1765/100</f>
        <v>216</v>
      </c>
      <c r="D1765" s="142" t="s">
        <v>3047</v>
      </c>
      <c r="E1765" s="142" t="s">
        <v>3047</v>
      </c>
      <c r="F1765" s="142" t="s">
        <v>3047</v>
      </c>
      <c r="G1765" s="142" t="s">
        <v>3047</v>
      </c>
      <c r="H1765" s="142" t="s">
        <v>3047</v>
      </c>
      <c r="I1765" s="142" t="s">
        <v>3047</v>
      </c>
      <c r="J1765" s="142" t="s">
        <v>3047</v>
      </c>
      <c r="K1765" s="142" t="s">
        <v>3047</v>
      </c>
      <c r="L1765" s="142" t="s">
        <v>3047</v>
      </c>
      <c r="M1765" s="142" t="s">
        <v>3047</v>
      </c>
      <c r="N1765" s="142" t="s">
        <v>3047</v>
      </c>
      <c r="O1765" s="142" t="s">
        <v>3047</v>
      </c>
      <c r="P1765" s="142" t="s">
        <v>3047</v>
      </c>
      <c r="Q1765" s="142" t="s">
        <v>3047</v>
      </c>
      <c r="R1765" s="142" t="s">
        <v>3047</v>
      </c>
      <c r="S1765" s="142">
        <f>B1765*IBGE_2!S$1765/100</f>
        <v>3</v>
      </c>
      <c r="T1765" s="142" t="s">
        <v>3047</v>
      </c>
      <c r="U1765" s="142">
        <f>B1765*IBGE_2!U$1765/100</f>
        <v>0.06</v>
      </c>
      <c r="V1765" s="142" t="s">
        <v>3047</v>
      </c>
      <c r="W1765" s="142" t="s">
        <v>3047</v>
      </c>
      <c r="X1765" s="142" t="s">
        <v>3047</v>
      </c>
      <c r="Y1765" s="142" t="s">
        <v>3047</v>
      </c>
      <c r="Z1765" s="142" t="s">
        <v>3047</v>
      </c>
      <c r="AA1765" s="142" t="s">
        <v>3047</v>
      </c>
      <c r="AB1765" s="142" t="s">
        <v>3047</v>
      </c>
      <c r="AC1765" s="142" t="s">
        <v>3047</v>
      </c>
      <c r="AD1765" s="142" t="s">
        <v>3047</v>
      </c>
      <c r="AE1765" s="142" t="s">
        <v>3047</v>
      </c>
      <c r="AF1765" s="142" t="s">
        <v>3047</v>
      </c>
      <c r="AG1765" s="142" t="s">
        <v>3047</v>
      </c>
      <c r="AH1765" s="142" t="s">
        <v>3047</v>
      </c>
      <c r="AI1765" s="142" t="s">
        <v>3047</v>
      </c>
      <c r="AJ1765" s="142" t="s">
        <v>3047</v>
      </c>
      <c r="AK1765" s="142" t="s">
        <v>3047</v>
      </c>
      <c r="AL1765" s="142" t="s">
        <v>3047</v>
      </c>
      <c r="AM1765" s="142" t="s">
        <v>3047</v>
      </c>
      <c r="AN1765" s="161"/>
    </row>
    <row r="1766" spans="1:40">
      <c r="A1766" s="143" t="s">
        <v>2826</v>
      </c>
      <c r="B1766" s="141">
        <v>100</v>
      </c>
      <c r="C1766" s="142">
        <f>B1766*IBGE_2!C$1766/100</f>
        <v>187.38</v>
      </c>
      <c r="D1766" s="142">
        <f>B1766*IBGE_2!D$1766/100</f>
        <v>0.54100000000000004</v>
      </c>
      <c r="E1766" s="142">
        <f>B1766*IBGE_2!E$1766/100</f>
        <v>3.6930000000000001</v>
      </c>
      <c r="F1766" s="142">
        <f>B1766*IBGE_2!F$1766/100</f>
        <v>3.2320000000000007</v>
      </c>
      <c r="G1766" s="142">
        <f>B1766*IBGE_2!G$1766/100</f>
        <v>0.161</v>
      </c>
      <c r="H1766" s="142">
        <f>B1766*IBGE_2!H$1766/100</f>
        <v>5.800000000000001E-2</v>
      </c>
      <c r="I1766" s="142">
        <f>B1766*IBGE_2!I$1766/100</f>
        <v>0.05</v>
      </c>
      <c r="J1766" s="142">
        <f>B1766*IBGE_2!J$1766/100</f>
        <v>8.0000000000000002E-3</v>
      </c>
      <c r="K1766" s="142" t="s">
        <v>3047</v>
      </c>
      <c r="L1766" s="142">
        <f>B1766*IBGE_2!L$1766/100</f>
        <v>22.143999999999995</v>
      </c>
      <c r="M1766" s="142">
        <f>B1766*IBGE_2!M$1766/100</f>
        <v>0.32</v>
      </c>
      <c r="N1766" s="142">
        <f>B1766*IBGE_2!N$1766/100</f>
        <v>7.0739999999999998</v>
      </c>
      <c r="O1766" s="142">
        <f>B1766*IBGE_2!O$1766/100</f>
        <v>8.2579999999999991</v>
      </c>
      <c r="P1766" s="142">
        <f>B1766*IBGE_2!P$1766/100</f>
        <v>0.36599999999999999</v>
      </c>
      <c r="Q1766" s="142">
        <f>B1766*IBGE_2!Q$1766/100</f>
        <v>17.535</v>
      </c>
      <c r="R1766" s="142">
        <f>B1766*IBGE_2!R$1766/100</f>
        <v>0.39</v>
      </c>
      <c r="S1766" s="142">
        <f>B1766*IBGE_2!S$1766/100</f>
        <v>1.6020000000000001</v>
      </c>
      <c r="T1766" s="142">
        <f>B1766*IBGE_2!T$1766/100</f>
        <v>92.64400000000002</v>
      </c>
      <c r="U1766" s="142">
        <f>B1766*IBGE_2!U$1766/100</f>
        <v>7.5999999999999998E-2</v>
      </c>
      <c r="V1766" s="142">
        <f>B1766*IBGE_2!V$1766/100</f>
        <v>0.161</v>
      </c>
      <c r="W1766" s="142" t="s">
        <v>3047</v>
      </c>
      <c r="X1766" s="142">
        <f>B1766*IBGE_2!X$1766/100</f>
        <v>3.1E-2</v>
      </c>
      <c r="Y1766" s="142">
        <f>B1766*IBGE_2!Y$1766/100</f>
        <v>1.3000000000000001E-2</v>
      </c>
      <c r="Z1766" s="142">
        <f>B1766*IBGE_2!Z$1766/100</f>
        <v>0.05</v>
      </c>
      <c r="AA1766" s="142">
        <f>B1766*IBGE_2!AA$1766/100</f>
        <v>0.185</v>
      </c>
      <c r="AB1766" s="142">
        <f>B1766*IBGE_2!AB$1766/100</f>
        <v>4.7270000000000003</v>
      </c>
      <c r="AC1766" s="142">
        <f>B1766*IBGE_2!AC$1766/100</f>
        <v>0.25900000000000001</v>
      </c>
      <c r="AD1766" s="142" t="s">
        <v>3047</v>
      </c>
      <c r="AE1766" s="142">
        <f>B1766*IBGE_2!AE$1766/100</f>
        <v>10.393000000000002</v>
      </c>
      <c r="AF1766" s="142" t="s">
        <v>3047</v>
      </c>
      <c r="AG1766" s="142">
        <f>B1766*IBGE_2!AG$1766/100</f>
        <v>2.5000000000000001E-2</v>
      </c>
      <c r="AH1766" s="142" t="s">
        <v>3047</v>
      </c>
      <c r="AI1766" s="142" t="s">
        <v>3047</v>
      </c>
      <c r="AJ1766" s="142">
        <f>B1766*IBGE_2!AJ$1766/100</f>
        <v>0.24399999999999999</v>
      </c>
      <c r="AK1766" s="142">
        <f>B1766*IBGE_2!AK$1766/100</f>
        <v>0.111</v>
      </c>
      <c r="AL1766" s="142">
        <f>B1766*IBGE_2!AL$1766/100</f>
        <v>20.777999999999999</v>
      </c>
      <c r="AM1766" s="142">
        <f>B1766*IBGE_2!AM$1766/100</f>
        <v>15.742000000000001</v>
      </c>
      <c r="AN1766" s="161"/>
    </row>
    <row r="1767" spans="1:40">
      <c r="A1767" s="143" t="s">
        <v>2827</v>
      </c>
      <c r="B1767" s="141">
        <v>100</v>
      </c>
      <c r="C1767" s="142">
        <f>B1767*IBGE_2!C$1767/100</f>
        <v>230.18199999999996</v>
      </c>
      <c r="D1767" s="142" t="s">
        <v>3047</v>
      </c>
      <c r="E1767" s="142" t="s">
        <v>3047</v>
      </c>
      <c r="F1767" s="142" t="s">
        <v>3047</v>
      </c>
      <c r="G1767" s="142" t="s">
        <v>3047</v>
      </c>
      <c r="H1767" s="142" t="s">
        <v>3047</v>
      </c>
      <c r="I1767" s="142" t="s">
        <v>3047</v>
      </c>
      <c r="J1767" s="142" t="s">
        <v>3047</v>
      </c>
      <c r="K1767" s="142" t="s">
        <v>3047</v>
      </c>
      <c r="L1767" s="142" t="s">
        <v>3047</v>
      </c>
      <c r="M1767" s="142" t="s">
        <v>3047</v>
      </c>
      <c r="N1767" s="142" t="s">
        <v>3047</v>
      </c>
      <c r="O1767" s="142" t="s">
        <v>3047</v>
      </c>
      <c r="P1767" s="142">
        <f>B1767*IBGE_2!P$1767/100</f>
        <v>1.7999999999999999E-2</v>
      </c>
      <c r="Q1767" s="142">
        <f>B1767*IBGE_2!Q$1767/100</f>
        <v>3.9860000000000002</v>
      </c>
      <c r="R1767" s="142">
        <f>B1767*IBGE_2!R$1767/100</f>
        <v>0.04</v>
      </c>
      <c r="S1767" s="142">
        <f>B1767*IBGE_2!S$1767/100</f>
        <v>0.996</v>
      </c>
      <c r="T1767" s="142">
        <f>B1767*IBGE_2!T$1767/100</f>
        <v>1.9930000000000001</v>
      </c>
      <c r="U1767" s="142">
        <f>B1767*IBGE_2!U$1767/100</f>
        <v>2.1000000000000001E-2</v>
      </c>
      <c r="V1767" s="142">
        <f>B1767*IBGE_2!V$1767/100</f>
        <v>0.04</v>
      </c>
      <c r="W1767" s="142" t="s">
        <v>3047</v>
      </c>
      <c r="X1767" s="142">
        <f>B1767*IBGE_2!X$1767/100</f>
        <v>6.0000000000000001E-3</v>
      </c>
      <c r="Y1767" s="142">
        <f>B1767*IBGE_2!Y$1767/100</f>
        <v>4.0000000000000001E-3</v>
      </c>
      <c r="Z1767" s="142">
        <f>B1767*IBGE_2!Z$1767/100</f>
        <v>1E-3</v>
      </c>
      <c r="AA1767" s="142">
        <f>B1767*IBGE_2!AA$1767/100</f>
        <v>1.3000000000000001E-2</v>
      </c>
      <c r="AB1767" s="142" t="s">
        <v>3047</v>
      </c>
      <c r="AC1767" s="142">
        <f>B1767*IBGE_2!AC$1767/100</f>
        <v>1.3000000000000001E-2</v>
      </c>
      <c r="AD1767" s="142" t="s">
        <v>3047</v>
      </c>
      <c r="AE1767" s="142" t="s">
        <v>3047</v>
      </c>
      <c r="AF1767" s="142" t="s">
        <v>3047</v>
      </c>
      <c r="AG1767" s="142" t="s">
        <v>3047</v>
      </c>
      <c r="AH1767" s="142" t="s">
        <v>3047</v>
      </c>
      <c r="AI1767" s="142" t="s">
        <v>3047</v>
      </c>
      <c r="AJ1767" s="142" t="s">
        <v>3047</v>
      </c>
      <c r="AK1767" s="142" t="s">
        <v>3047</v>
      </c>
      <c r="AL1767" s="142" t="s">
        <v>3047</v>
      </c>
      <c r="AM1767" s="142" t="s">
        <v>3047</v>
      </c>
      <c r="AN1767" s="161"/>
    </row>
    <row r="1768" spans="1:40">
      <c r="A1768" s="143" t="s">
        <v>2828</v>
      </c>
      <c r="B1768" s="141">
        <v>100</v>
      </c>
      <c r="C1768" s="142">
        <f>B1768*IBGE_2!C$1768/100</f>
        <v>217.15299999999999</v>
      </c>
      <c r="D1768" s="142" t="s">
        <v>3047</v>
      </c>
      <c r="E1768" s="142" t="s">
        <v>3047</v>
      </c>
      <c r="F1768" s="142" t="s">
        <v>3047</v>
      </c>
      <c r="G1768" s="142" t="s">
        <v>3047</v>
      </c>
      <c r="H1768" s="142" t="s">
        <v>3047</v>
      </c>
      <c r="I1768" s="142" t="s">
        <v>3047</v>
      </c>
      <c r="J1768" s="142" t="s">
        <v>3047</v>
      </c>
      <c r="K1768" s="142" t="s">
        <v>3047</v>
      </c>
      <c r="L1768" s="142" t="s">
        <v>3047</v>
      </c>
      <c r="M1768" s="142" t="s">
        <v>3047</v>
      </c>
      <c r="N1768" s="142" t="s">
        <v>3047</v>
      </c>
      <c r="O1768" s="142" t="s">
        <v>3047</v>
      </c>
      <c r="P1768" s="142">
        <f>B1768*IBGE_2!P$1768/100</f>
        <v>1.7000000000000001E-2</v>
      </c>
      <c r="Q1768" s="142">
        <f>B1768*IBGE_2!Q$1768/100</f>
        <v>3.76</v>
      </c>
      <c r="R1768" s="142">
        <f>B1768*IBGE_2!R$1768/100</f>
        <v>3.7999999999999999E-2</v>
      </c>
      <c r="S1768" s="142">
        <f>B1768*IBGE_2!S$1768/100</f>
        <v>0.94</v>
      </c>
      <c r="T1768" s="142">
        <f>B1768*IBGE_2!T$1768/100</f>
        <v>1.88</v>
      </c>
      <c r="U1768" s="142">
        <f>B1768*IBGE_2!U$1768/100</f>
        <v>0.02</v>
      </c>
      <c r="V1768" s="142">
        <f>B1768*IBGE_2!V$1768/100</f>
        <v>3.7999999999999999E-2</v>
      </c>
      <c r="W1768" s="142" t="s">
        <v>3047</v>
      </c>
      <c r="X1768" s="142">
        <f>B1768*IBGE_2!X$1768/100</f>
        <v>6.0000000000000001E-3</v>
      </c>
      <c r="Y1768" s="142">
        <f>B1768*IBGE_2!Y$1768/100</f>
        <v>4.0000000000000001E-3</v>
      </c>
      <c r="Z1768" s="142">
        <f>B1768*IBGE_2!Z$1768/100</f>
        <v>1E-3</v>
      </c>
      <c r="AA1768" s="142">
        <f>B1768*IBGE_2!AA$1768/100</f>
        <v>1.2E-2</v>
      </c>
      <c r="AB1768" s="142" t="s">
        <v>3047</v>
      </c>
      <c r="AC1768" s="142">
        <f>B1768*IBGE_2!AC$1768/100</f>
        <v>1.2E-2</v>
      </c>
      <c r="AD1768" s="142" t="s">
        <v>3047</v>
      </c>
      <c r="AE1768" s="142" t="s">
        <v>3047</v>
      </c>
      <c r="AF1768" s="142" t="s">
        <v>3047</v>
      </c>
      <c r="AG1768" s="142" t="s">
        <v>3047</v>
      </c>
      <c r="AH1768" s="142" t="s">
        <v>3047</v>
      </c>
      <c r="AI1768" s="142" t="s">
        <v>3047</v>
      </c>
      <c r="AJ1768" s="142" t="s">
        <v>3047</v>
      </c>
      <c r="AK1768" s="142" t="s">
        <v>3047</v>
      </c>
      <c r="AL1768" s="142" t="s">
        <v>3047</v>
      </c>
      <c r="AM1768" s="142" t="s">
        <v>3047</v>
      </c>
      <c r="AN1768" s="161"/>
    </row>
    <row r="1769" spans="1:40">
      <c r="A1769" s="143" t="s">
        <v>2829</v>
      </c>
      <c r="B1769" s="141">
        <v>100</v>
      </c>
      <c r="C1769" s="142">
        <f>B1769*IBGE_2!C$1769/100</f>
        <v>230.18199999999996</v>
      </c>
      <c r="D1769" s="142" t="s">
        <v>3047</v>
      </c>
      <c r="E1769" s="142" t="s">
        <v>3047</v>
      </c>
      <c r="F1769" s="142" t="s">
        <v>3047</v>
      </c>
      <c r="G1769" s="142" t="s">
        <v>3047</v>
      </c>
      <c r="H1769" s="142" t="s">
        <v>3047</v>
      </c>
      <c r="I1769" s="142" t="s">
        <v>3047</v>
      </c>
      <c r="J1769" s="142" t="s">
        <v>3047</v>
      </c>
      <c r="K1769" s="142" t="s">
        <v>3047</v>
      </c>
      <c r="L1769" s="142" t="s">
        <v>3047</v>
      </c>
      <c r="M1769" s="142" t="s">
        <v>3047</v>
      </c>
      <c r="N1769" s="142" t="s">
        <v>3047</v>
      </c>
      <c r="O1769" s="142" t="s">
        <v>3047</v>
      </c>
      <c r="P1769" s="142">
        <f>B1769*IBGE_2!P$1769/100</f>
        <v>1.7999999999999999E-2</v>
      </c>
      <c r="Q1769" s="142">
        <f>B1769*IBGE_2!Q$1769/100</f>
        <v>3.9860000000000002</v>
      </c>
      <c r="R1769" s="142">
        <f>B1769*IBGE_2!R$1769/100</f>
        <v>0.04</v>
      </c>
      <c r="S1769" s="142">
        <f>B1769*IBGE_2!S$1769/100</f>
        <v>0.996</v>
      </c>
      <c r="T1769" s="142">
        <f>B1769*IBGE_2!T$1769/100</f>
        <v>1.9930000000000001</v>
      </c>
      <c r="U1769" s="142">
        <f>B1769*IBGE_2!U$1769/100</f>
        <v>2.1000000000000001E-2</v>
      </c>
      <c r="V1769" s="142">
        <f>B1769*IBGE_2!V$1769/100</f>
        <v>0.04</v>
      </c>
      <c r="W1769" s="142" t="s">
        <v>3047</v>
      </c>
      <c r="X1769" s="142">
        <f>B1769*IBGE_2!X$1769/100</f>
        <v>6.0000000000000001E-3</v>
      </c>
      <c r="Y1769" s="142">
        <f>B1769*IBGE_2!Y$1769/100</f>
        <v>4.0000000000000001E-3</v>
      </c>
      <c r="Z1769" s="142">
        <f>B1769*IBGE_2!Z$1769/100</f>
        <v>1E-3</v>
      </c>
      <c r="AA1769" s="142">
        <f>B1769*IBGE_2!AA$1769/100</f>
        <v>1.3000000000000001E-2</v>
      </c>
      <c r="AB1769" s="142" t="s">
        <v>3047</v>
      </c>
      <c r="AC1769" s="142">
        <f>B1769*IBGE_2!AC$1769/100</f>
        <v>1.3000000000000001E-2</v>
      </c>
      <c r="AD1769" s="142" t="s">
        <v>3047</v>
      </c>
      <c r="AE1769" s="142" t="s">
        <v>3047</v>
      </c>
      <c r="AF1769" s="142" t="s">
        <v>3047</v>
      </c>
      <c r="AG1769" s="142" t="s">
        <v>3047</v>
      </c>
      <c r="AH1769" s="142" t="s">
        <v>3047</v>
      </c>
      <c r="AI1769" s="142" t="s">
        <v>3047</v>
      </c>
      <c r="AJ1769" s="142" t="s">
        <v>3047</v>
      </c>
      <c r="AK1769" s="142" t="s">
        <v>3047</v>
      </c>
      <c r="AL1769" s="142" t="s">
        <v>3047</v>
      </c>
      <c r="AM1769" s="142" t="s">
        <v>3047</v>
      </c>
      <c r="AN1769" s="161"/>
    </row>
    <row r="1770" spans="1:40">
      <c r="A1770" s="143" t="s">
        <v>2830</v>
      </c>
      <c r="B1770" s="141">
        <v>100</v>
      </c>
      <c r="C1770" s="142">
        <f>B1770*IBGE_2!C$1770/100</f>
        <v>230.18199999999996</v>
      </c>
      <c r="D1770" s="142" t="s">
        <v>3047</v>
      </c>
      <c r="E1770" s="142" t="s">
        <v>3047</v>
      </c>
      <c r="F1770" s="142" t="s">
        <v>3047</v>
      </c>
      <c r="G1770" s="142" t="s">
        <v>3047</v>
      </c>
      <c r="H1770" s="142" t="s">
        <v>3047</v>
      </c>
      <c r="I1770" s="142" t="s">
        <v>3047</v>
      </c>
      <c r="J1770" s="142" t="s">
        <v>3047</v>
      </c>
      <c r="K1770" s="142" t="s">
        <v>3047</v>
      </c>
      <c r="L1770" s="142" t="s">
        <v>3047</v>
      </c>
      <c r="M1770" s="142" t="s">
        <v>3047</v>
      </c>
      <c r="N1770" s="142" t="s">
        <v>3047</v>
      </c>
      <c r="O1770" s="142" t="s">
        <v>3047</v>
      </c>
      <c r="P1770" s="142">
        <f>B1770*IBGE_2!P$1770/100</f>
        <v>1.7999999999999999E-2</v>
      </c>
      <c r="Q1770" s="142">
        <f>B1770*IBGE_2!Q$1770/100</f>
        <v>3.9860000000000002</v>
      </c>
      <c r="R1770" s="142">
        <f>B1770*IBGE_2!R$1770/100</f>
        <v>0.04</v>
      </c>
      <c r="S1770" s="142">
        <f>B1770*IBGE_2!S$1770/100</f>
        <v>0.996</v>
      </c>
      <c r="T1770" s="142">
        <f>B1770*IBGE_2!T$1770/100</f>
        <v>1.9930000000000001</v>
      </c>
      <c r="U1770" s="142">
        <f>B1770*IBGE_2!U$1770/100</f>
        <v>2.1000000000000001E-2</v>
      </c>
      <c r="V1770" s="142">
        <f>B1770*IBGE_2!V$1770/100</f>
        <v>0.04</v>
      </c>
      <c r="W1770" s="142" t="s">
        <v>3047</v>
      </c>
      <c r="X1770" s="142">
        <f>B1770*IBGE_2!X$1770/100</f>
        <v>6.0000000000000001E-3</v>
      </c>
      <c r="Y1770" s="142">
        <f>B1770*IBGE_2!Y$1770/100</f>
        <v>4.0000000000000001E-3</v>
      </c>
      <c r="Z1770" s="142">
        <f>B1770*IBGE_2!Z$1770/100</f>
        <v>1E-3</v>
      </c>
      <c r="AA1770" s="142">
        <f>B1770*IBGE_2!AA$1770/100</f>
        <v>1.3000000000000001E-2</v>
      </c>
      <c r="AB1770" s="142" t="s">
        <v>3047</v>
      </c>
      <c r="AC1770" s="142">
        <f>B1770*IBGE_2!AC$1770/100</f>
        <v>1.3000000000000001E-2</v>
      </c>
      <c r="AD1770" s="142" t="s">
        <v>3047</v>
      </c>
      <c r="AE1770" s="142" t="s">
        <v>3047</v>
      </c>
      <c r="AF1770" s="142" t="s">
        <v>3047</v>
      </c>
      <c r="AG1770" s="142" t="s">
        <v>3047</v>
      </c>
      <c r="AH1770" s="142" t="s">
        <v>3047</v>
      </c>
      <c r="AI1770" s="142" t="s">
        <v>3047</v>
      </c>
      <c r="AJ1770" s="142" t="s">
        <v>3047</v>
      </c>
      <c r="AK1770" s="142" t="s">
        <v>3047</v>
      </c>
      <c r="AL1770" s="142" t="s">
        <v>3047</v>
      </c>
      <c r="AM1770" s="142" t="s">
        <v>3047</v>
      </c>
      <c r="AN1770" s="161"/>
    </row>
    <row r="1771" spans="1:40">
      <c r="A1771" s="143" t="s">
        <v>2831</v>
      </c>
      <c r="B1771" s="141">
        <v>100</v>
      </c>
      <c r="C1771" s="142">
        <f>B1771*IBGE_2!C$1771/100</f>
        <v>82</v>
      </c>
      <c r="D1771" s="142">
        <f>B1771*IBGE_2!D$1771/100</f>
        <v>7.0000000000000007E-2</v>
      </c>
      <c r="E1771" s="142" t="s">
        <v>3047</v>
      </c>
      <c r="F1771" s="142" t="s">
        <v>3047</v>
      </c>
      <c r="G1771" s="142" t="s">
        <v>3047</v>
      </c>
      <c r="H1771" s="142" t="s">
        <v>3047</v>
      </c>
      <c r="I1771" s="142" t="s">
        <v>3047</v>
      </c>
      <c r="J1771" s="142" t="s">
        <v>3047</v>
      </c>
      <c r="K1771" s="142" t="s">
        <v>3047</v>
      </c>
      <c r="L1771" s="142">
        <f>B1771*IBGE_2!L$1771/100</f>
        <v>2.6</v>
      </c>
      <c r="M1771" s="142" t="s">
        <v>3047</v>
      </c>
      <c r="N1771" s="142">
        <f>B1771*IBGE_2!N$1771/100</f>
        <v>9</v>
      </c>
      <c r="O1771" s="142">
        <f>B1771*IBGE_2!O$1771/100</f>
        <v>10</v>
      </c>
      <c r="P1771" s="142">
        <f>B1771*IBGE_2!P$1771/100</f>
        <v>0.11700000000000001</v>
      </c>
      <c r="Q1771" s="142">
        <f>B1771*IBGE_2!Q$1771/100</f>
        <v>18</v>
      </c>
      <c r="R1771" s="142">
        <f>B1771*IBGE_2!R$1771/100</f>
        <v>0.27</v>
      </c>
      <c r="S1771" s="142">
        <f>B1771*IBGE_2!S$1771/100</f>
        <v>5</v>
      </c>
      <c r="T1771" s="142">
        <f>B1771*IBGE_2!T$1771/100</f>
        <v>71</v>
      </c>
      <c r="U1771" s="142">
        <f>B1771*IBGE_2!U$1771/100</f>
        <v>4.0000000000000001E-3</v>
      </c>
      <c r="V1771" s="142">
        <f>B1771*IBGE_2!V$1771/100</f>
        <v>0.12</v>
      </c>
      <c r="W1771" s="142" t="s">
        <v>3047</v>
      </c>
      <c r="X1771" s="142">
        <f>B1771*IBGE_2!X$1771/100</f>
        <v>5.0000000000000001E-3</v>
      </c>
      <c r="Y1771" s="142">
        <f>B1771*IBGE_2!Y$1771/100</f>
        <v>1.4999999999999999E-2</v>
      </c>
      <c r="Z1771" s="142">
        <f>B1771*IBGE_2!Z$1771/100</f>
        <v>0.05</v>
      </c>
      <c r="AA1771" s="142">
        <f>B1771*IBGE_2!AA$1771/100</f>
        <v>0.10800000000000001</v>
      </c>
      <c r="AB1771" s="142" t="s">
        <v>3047</v>
      </c>
      <c r="AC1771" s="142">
        <f>B1771*IBGE_2!AC$1771/100</f>
        <v>0.10800000000000001</v>
      </c>
      <c r="AD1771" s="142" t="s">
        <v>3047</v>
      </c>
      <c r="AE1771" s="142">
        <f>B1771*IBGE_2!AE$1771/100</f>
        <v>1</v>
      </c>
      <c r="AF1771" s="142" t="s">
        <v>3047</v>
      </c>
      <c r="AG1771" s="142" t="s">
        <v>3047</v>
      </c>
      <c r="AH1771" s="142" t="s">
        <v>3047</v>
      </c>
      <c r="AI1771" s="142" t="s">
        <v>3047</v>
      </c>
      <c r="AJ1771" s="142">
        <f>B1771*IBGE_2!AJ$1771/100</f>
        <v>0.1</v>
      </c>
      <c r="AK1771" s="142" t="s">
        <v>3047</v>
      </c>
      <c r="AL1771" s="142">
        <f>B1771*IBGE_2!AL$1771/100</f>
        <v>7.0000000000000007E-2</v>
      </c>
      <c r="AM1771" s="142" t="s">
        <v>3047</v>
      </c>
      <c r="AN1771" s="161"/>
    </row>
    <row r="1772" spans="1:40">
      <c r="A1772" s="143" t="s">
        <v>2832</v>
      </c>
      <c r="B1772" s="141">
        <v>100</v>
      </c>
      <c r="C1772" s="142">
        <f>B1772*IBGE_2!C$1772/100</f>
        <v>82</v>
      </c>
      <c r="D1772" s="142">
        <f>B1772*IBGE_2!D$1772/100</f>
        <v>7.0000000000000007E-2</v>
      </c>
      <c r="E1772" s="142" t="s">
        <v>3047</v>
      </c>
      <c r="F1772" s="142" t="s">
        <v>3047</v>
      </c>
      <c r="G1772" s="142" t="s">
        <v>3047</v>
      </c>
      <c r="H1772" s="142" t="s">
        <v>3047</v>
      </c>
      <c r="I1772" s="142" t="s">
        <v>3047</v>
      </c>
      <c r="J1772" s="142" t="s">
        <v>3047</v>
      </c>
      <c r="K1772" s="142" t="s">
        <v>3047</v>
      </c>
      <c r="L1772" s="142">
        <f>B1772*IBGE_2!L$1772/100</f>
        <v>2.6</v>
      </c>
      <c r="M1772" s="142" t="s">
        <v>3047</v>
      </c>
      <c r="N1772" s="142">
        <f>B1772*IBGE_2!N$1772/100</f>
        <v>9</v>
      </c>
      <c r="O1772" s="142">
        <f>B1772*IBGE_2!O$1772/100</f>
        <v>10</v>
      </c>
      <c r="P1772" s="142">
        <f>B1772*IBGE_2!P$1772/100</f>
        <v>0.11700000000000001</v>
      </c>
      <c r="Q1772" s="142">
        <f>B1772*IBGE_2!Q$1772/100</f>
        <v>18</v>
      </c>
      <c r="R1772" s="142">
        <f>B1772*IBGE_2!R$1772/100</f>
        <v>0.27</v>
      </c>
      <c r="S1772" s="142">
        <f>B1772*IBGE_2!S$1772/100</f>
        <v>5</v>
      </c>
      <c r="T1772" s="142">
        <f>B1772*IBGE_2!T$1772/100</f>
        <v>71</v>
      </c>
      <c r="U1772" s="142">
        <f>B1772*IBGE_2!U$1772/100</f>
        <v>4.0000000000000001E-3</v>
      </c>
      <c r="V1772" s="142">
        <f>B1772*IBGE_2!V$1772/100</f>
        <v>0.12</v>
      </c>
      <c r="W1772" s="142" t="s">
        <v>3047</v>
      </c>
      <c r="X1772" s="142">
        <f>B1772*IBGE_2!X$1772/100</f>
        <v>5.0000000000000001E-3</v>
      </c>
      <c r="Y1772" s="142">
        <f>B1772*IBGE_2!Y$1772/100</f>
        <v>1.4999999999999999E-2</v>
      </c>
      <c r="Z1772" s="142">
        <f>B1772*IBGE_2!Z$1772/100</f>
        <v>0.05</v>
      </c>
      <c r="AA1772" s="142">
        <f>B1772*IBGE_2!AA$1772/100</f>
        <v>0.10800000000000001</v>
      </c>
      <c r="AB1772" s="142" t="s">
        <v>3047</v>
      </c>
      <c r="AC1772" s="142">
        <f>B1772*IBGE_2!AC$1772/100</f>
        <v>0.10800000000000001</v>
      </c>
      <c r="AD1772" s="142" t="s">
        <v>3047</v>
      </c>
      <c r="AE1772" s="142">
        <f>B1772*IBGE_2!AE$1772/100</f>
        <v>1</v>
      </c>
      <c r="AF1772" s="142" t="s">
        <v>3047</v>
      </c>
      <c r="AG1772" s="142" t="s">
        <v>3047</v>
      </c>
      <c r="AH1772" s="142" t="s">
        <v>3047</v>
      </c>
      <c r="AI1772" s="142" t="s">
        <v>3047</v>
      </c>
      <c r="AJ1772" s="142">
        <f>B1772*IBGE_2!AJ$1772/100</f>
        <v>0.1</v>
      </c>
      <c r="AK1772" s="142" t="s">
        <v>3047</v>
      </c>
      <c r="AL1772" s="142">
        <f>B1772*IBGE_2!AL$1772/100</f>
        <v>7.0000000000000007E-2</v>
      </c>
      <c r="AM1772" s="142" t="s">
        <v>3047</v>
      </c>
      <c r="AN1772" s="161"/>
    </row>
    <row r="1773" spans="1:40">
      <c r="A1773" s="143" t="s">
        <v>2833</v>
      </c>
      <c r="B1773" s="141">
        <v>100</v>
      </c>
      <c r="C1773" s="142">
        <f>B1773*IBGE_2!C$1773/100</f>
        <v>194.43600000000004</v>
      </c>
      <c r="D1773" s="142">
        <f>B1773*IBGE_2!D$1773/100</f>
        <v>1.4000000000000002E-2</v>
      </c>
      <c r="E1773" s="142" t="s">
        <v>3047</v>
      </c>
      <c r="F1773" s="142" t="s">
        <v>3047</v>
      </c>
      <c r="G1773" s="142" t="s">
        <v>3047</v>
      </c>
      <c r="H1773" s="142" t="s">
        <v>3047</v>
      </c>
      <c r="I1773" s="142" t="s">
        <v>3047</v>
      </c>
      <c r="J1773" s="142" t="s">
        <v>3047</v>
      </c>
      <c r="K1773" s="142" t="s">
        <v>3047</v>
      </c>
      <c r="L1773" s="142">
        <f>B1773*IBGE_2!L$1773/100</f>
        <v>0.52900000000000003</v>
      </c>
      <c r="M1773" s="142" t="s">
        <v>3047</v>
      </c>
      <c r="N1773" s="142">
        <f>B1773*IBGE_2!N$1773/100</f>
        <v>1.6220000000000001</v>
      </c>
      <c r="O1773" s="142">
        <f>B1773*IBGE_2!O$1773/100</f>
        <v>2.4340000000000002</v>
      </c>
      <c r="P1773" s="142">
        <f>B1773*IBGE_2!P$1773/100</f>
        <v>4.1000000000000009E-2</v>
      </c>
      <c r="Q1773" s="142">
        <f>B1773*IBGE_2!Q$1773/100</f>
        <v>7.7329999999999997</v>
      </c>
      <c r="R1773" s="142">
        <f>B1773*IBGE_2!R$1773/100</f>
        <v>0.124</v>
      </c>
      <c r="S1773" s="142">
        <f>B1773*IBGE_2!S$1773/100</f>
        <v>1.5780000000000001</v>
      </c>
      <c r="T1773" s="142">
        <f>B1773*IBGE_2!T$1773/100</f>
        <v>27.291</v>
      </c>
      <c r="U1773" s="142">
        <f>B1773*IBGE_2!U$1773/100</f>
        <v>1.7999999999999999E-2</v>
      </c>
      <c r="V1773" s="142">
        <f>B1773*IBGE_2!V$1773/100</f>
        <v>5.8999999999999997E-2</v>
      </c>
      <c r="W1773" s="142" t="s">
        <v>3047</v>
      </c>
      <c r="X1773" s="142">
        <f>B1773*IBGE_2!X$1773/100</f>
        <v>6.0000000000000001E-3</v>
      </c>
      <c r="Y1773" s="142">
        <f>B1773*IBGE_2!Y$1773/100</f>
        <v>8.9999999999999993E-3</v>
      </c>
      <c r="Z1773" s="142">
        <f>B1773*IBGE_2!Z$1773/100</f>
        <v>1.2E-2</v>
      </c>
      <c r="AA1773" s="142">
        <f>B1773*IBGE_2!AA$1773/100</f>
        <v>5.5E-2</v>
      </c>
      <c r="AB1773" s="142" t="s">
        <v>3047</v>
      </c>
      <c r="AC1773" s="142">
        <f>B1773*IBGE_2!AC$1773/100</f>
        <v>5.5E-2</v>
      </c>
      <c r="AD1773" s="142" t="s">
        <v>3047</v>
      </c>
      <c r="AE1773" s="142">
        <f>B1773*IBGE_2!AE$1773/100</f>
        <v>0.20300000000000001</v>
      </c>
      <c r="AF1773" s="142" t="s">
        <v>3047</v>
      </c>
      <c r="AG1773" s="142" t="s">
        <v>3047</v>
      </c>
      <c r="AH1773" s="142" t="s">
        <v>3047</v>
      </c>
      <c r="AI1773" s="142" t="s">
        <v>3047</v>
      </c>
      <c r="AJ1773" s="142">
        <f>B1773*IBGE_2!AJ$1773/100</f>
        <v>4.1000000000000009E-2</v>
      </c>
      <c r="AK1773" s="142">
        <f>B1773*IBGE_2!AK$1773/100</f>
        <v>1.7000000000000001E-2</v>
      </c>
      <c r="AL1773" s="142">
        <f>B1773*IBGE_2!AL$1773/100</f>
        <v>5.0000000000000001E-3</v>
      </c>
      <c r="AM1773" s="142" t="s">
        <v>3047</v>
      </c>
      <c r="AN1773" s="161"/>
    </row>
    <row r="1774" spans="1:40">
      <c r="A1774" s="143" t="s">
        <v>2834</v>
      </c>
      <c r="B1774" s="141">
        <v>100</v>
      </c>
      <c r="C1774" s="142">
        <f>B1774*IBGE_2!C$1774/100</f>
        <v>231</v>
      </c>
      <c r="D1774" s="142" t="s">
        <v>3047</v>
      </c>
      <c r="E1774" s="142" t="s">
        <v>3047</v>
      </c>
      <c r="F1774" s="142" t="s">
        <v>3047</v>
      </c>
      <c r="G1774" s="142" t="s">
        <v>3047</v>
      </c>
      <c r="H1774" s="142" t="s">
        <v>3047</v>
      </c>
      <c r="I1774" s="142" t="s">
        <v>3047</v>
      </c>
      <c r="J1774" s="142" t="s">
        <v>3047</v>
      </c>
      <c r="K1774" s="142" t="s">
        <v>3047</v>
      </c>
      <c r="L1774" s="142" t="s">
        <v>3047</v>
      </c>
      <c r="M1774" s="142" t="s">
        <v>3047</v>
      </c>
      <c r="N1774" s="142" t="s">
        <v>3047</v>
      </c>
      <c r="O1774" s="142" t="s">
        <v>3047</v>
      </c>
      <c r="P1774" s="142">
        <f>B1774*IBGE_2!P$1774/100</f>
        <v>1.7999999999999999E-2</v>
      </c>
      <c r="Q1774" s="142">
        <f>B1774*IBGE_2!Q$1774/100</f>
        <v>4</v>
      </c>
      <c r="R1774" s="142">
        <f>B1774*IBGE_2!R$1774/100</f>
        <v>0.04</v>
      </c>
      <c r="S1774" s="142">
        <f>B1774*IBGE_2!S$1774/100</f>
        <v>1</v>
      </c>
      <c r="T1774" s="142">
        <f>B1774*IBGE_2!T$1774/100</f>
        <v>2</v>
      </c>
      <c r="U1774" s="142">
        <f>B1774*IBGE_2!U$1774/100</f>
        <v>2.1000000000000001E-2</v>
      </c>
      <c r="V1774" s="142">
        <f>B1774*IBGE_2!V$1774/100</f>
        <v>0.04</v>
      </c>
      <c r="W1774" s="142" t="s">
        <v>3047</v>
      </c>
      <c r="X1774" s="142">
        <f>B1774*IBGE_2!X$1774/100</f>
        <v>6.0000000000000001E-3</v>
      </c>
      <c r="Y1774" s="142">
        <f>B1774*IBGE_2!Y$1774/100</f>
        <v>4.0000000000000001E-3</v>
      </c>
      <c r="Z1774" s="142">
        <f>B1774*IBGE_2!Z$1774/100</f>
        <v>1E-3</v>
      </c>
      <c r="AA1774" s="142">
        <f>B1774*IBGE_2!AA$1774/100</f>
        <v>1.3000000000000001E-2</v>
      </c>
      <c r="AB1774" s="142" t="s">
        <v>3047</v>
      </c>
      <c r="AC1774" s="142">
        <f>B1774*IBGE_2!AC$1774/100</f>
        <v>1.3000000000000001E-2</v>
      </c>
      <c r="AD1774" s="142" t="s">
        <v>3047</v>
      </c>
      <c r="AE1774" s="142" t="s">
        <v>3047</v>
      </c>
      <c r="AF1774" s="142" t="s">
        <v>3047</v>
      </c>
      <c r="AG1774" s="142" t="s">
        <v>3047</v>
      </c>
      <c r="AH1774" s="142" t="s">
        <v>3047</v>
      </c>
      <c r="AI1774" s="142" t="s">
        <v>3047</v>
      </c>
      <c r="AJ1774" s="142" t="s">
        <v>3047</v>
      </c>
      <c r="AK1774" s="142" t="s">
        <v>3047</v>
      </c>
      <c r="AL1774" s="142" t="s">
        <v>3047</v>
      </c>
      <c r="AM1774" s="142" t="s">
        <v>3047</v>
      </c>
      <c r="AN1774" s="161"/>
    </row>
    <row r="1775" spans="1:40">
      <c r="A1775" s="143" t="s">
        <v>2835</v>
      </c>
      <c r="B1775" s="141">
        <v>100</v>
      </c>
      <c r="C1775" s="142">
        <f>B1775*IBGE_2!C$1775/100</f>
        <v>216</v>
      </c>
      <c r="D1775" s="142" t="s">
        <v>3047</v>
      </c>
      <c r="E1775" s="142" t="s">
        <v>3047</v>
      </c>
      <c r="F1775" s="142" t="s">
        <v>3047</v>
      </c>
      <c r="G1775" s="142" t="s">
        <v>3047</v>
      </c>
      <c r="H1775" s="142" t="s">
        <v>3047</v>
      </c>
      <c r="I1775" s="142" t="s">
        <v>3047</v>
      </c>
      <c r="J1775" s="142" t="s">
        <v>3047</v>
      </c>
      <c r="K1775" s="142" t="s">
        <v>3047</v>
      </c>
      <c r="L1775" s="142" t="s">
        <v>3047</v>
      </c>
      <c r="M1775" s="142" t="s">
        <v>3047</v>
      </c>
      <c r="N1775" s="142" t="s">
        <v>3047</v>
      </c>
      <c r="O1775" s="142" t="s">
        <v>3047</v>
      </c>
      <c r="P1775" s="142" t="s">
        <v>3047</v>
      </c>
      <c r="Q1775" s="142" t="s">
        <v>3047</v>
      </c>
      <c r="R1775" s="142" t="s">
        <v>3047</v>
      </c>
      <c r="S1775" s="142">
        <f>B1775*IBGE_2!S$1775/100</f>
        <v>3</v>
      </c>
      <c r="T1775" s="142" t="s">
        <v>3047</v>
      </c>
      <c r="U1775" s="142">
        <f>B1775*IBGE_2!U$1775/100</f>
        <v>0.06</v>
      </c>
      <c r="V1775" s="142" t="s">
        <v>3047</v>
      </c>
      <c r="W1775" s="142" t="s">
        <v>3047</v>
      </c>
      <c r="X1775" s="142" t="s">
        <v>3047</v>
      </c>
      <c r="Y1775" s="142" t="s">
        <v>3047</v>
      </c>
      <c r="Z1775" s="142" t="s">
        <v>3047</v>
      </c>
      <c r="AA1775" s="142" t="s">
        <v>3047</v>
      </c>
      <c r="AB1775" s="142" t="s">
        <v>3047</v>
      </c>
      <c r="AC1775" s="142" t="s">
        <v>3047</v>
      </c>
      <c r="AD1775" s="142" t="s">
        <v>3047</v>
      </c>
      <c r="AE1775" s="142" t="s">
        <v>3047</v>
      </c>
      <c r="AF1775" s="142" t="s">
        <v>3047</v>
      </c>
      <c r="AG1775" s="142" t="s">
        <v>3047</v>
      </c>
      <c r="AH1775" s="142" t="s">
        <v>3047</v>
      </c>
      <c r="AI1775" s="142" t="s">
        <v>3047</v>
      </c>
      <c r="AJ1775" s="142" t="s">
        <v>3047</v>
      </c>
      <c r="AK1775" s="142" t="s">
        <v>3047</v>
      </c>
      <c r="AL1775" s="142" t="s">
        <v>3047</v>
      </c>
      <c r="AM1775" s="142" t="s">
        <v>3047</v>
      </c>
      <c r="AN1775" s="161"/>
    </row>
    <row r="1776" spans="1:40">
      <c r="A1776" s="143" t="s">
        <v>2836</v>
      </c>
      <c r="B1776" s="141">
        <v>100</v>
      </c>
      <c r="C1776" s="142">
        <f>B1776*IBGE_2!C$1776/100</f>
        <v>282.649</v>
      </c>
      <c r="D1776" s="142" t="s">
        <v>3047</v>
      </c>
      <c r="E1776" s="142" t="s">
        <v>3047</v>
      </c>
      <c r="F1776" s="142" t="s">
        <v>3047</v>
      </c>
      <c r="G1776" s="142" t="s">
        <v>3047</v>
      </c>
      <c r="H1776" s="142" t="s">
        <v>3047</v>
      </c>
      <c r="I1776" s="142" t="s">
        <v>3047</v>
      </c>
      <c r="J1776" s="142" t="s">
        <v>3047</v>
      </c>
      <c r="K1776" s="142" t="s">
        <v>3047</v>
      </c>
      <c r="L1776" s="142">
        <f>B1776*IBGE_2!L$1776/100</f>
        <v>33.639000000000003</v>
      </c>
      <c r="M1776" s="142" t="s">
        <v>3047</v>
      </c>
      <c r="N1776" s="142">
        <f>B1776*IBGE_2!N$1776/100</f>
        <v>0.995</v>
      </c>
      <c r="O1776" s="142" t="s">
        <v>3047</v>
      </c>
      <c r="P1776" s="142">
        <f>B1776*IBGE_2!P$1776/100</f>
        <v>1.6E-2</v>
      </c>
      <c r="Q1776" s="142">
        <f>B1776*IBGE_2!Q$1776/100</f>
        <v>0.995</v>
      </c>
      <c r="R1776" s="142">
        <f>B1776*IBGE_2!R$1776/100</f>
        <v>0.06</v>
      </c>
      <c r="S1776" s="142">
        <f>B1776*IBGE_2!S$1776/100</f>
        <v>1.99</v>
      </c>
      <c r="T1776" s="142">
        <f>B1776*IBGE_2!T$1776/100</f>
        <v>1.99</v>
      </c>
      <c r="U1776" s="142">
        <f>B1776*IBGE_2!U$1776/100</f>
        <v>0.08</v>
      </c>
      <c r="V1776" s="142">
        <f>B1776*IBGE_2!V$1776/100</f>
        <v>7.0000000000000007E-2</v>
      </c>
      <c r="W1776" s="142" t="s">
        <v>3047</v>
      </c>
      <c r="X1776" s="142" t="s">
        <v>3047</v>
      </c>
      <c r="Y1776" s="142" t="s">
        <v>3047</v>
      </c>
      <c r="Z1776" s="142" t="s">
        <v>3047</v>
      </c>
      <c r="AA1776" s="142" t="s">
        <v>3047</v>
      </c>
      <c r="AB1776" s="142" t="s">
        <v>3047</v>
      </c>
      <c r="AC1776" s="142" t="s">
        <v>3047</v>
      </c>
      <c r="AD1776" s="142" t="s">
        <v>3047</v>
      </c>
      <c r="AE1776" s="142" t="s">
        <v>3047</v>
      </c>
      <c r="AF1776" s="142" t="s">
        <v>3047</v>
      </c>
      <c r="AG1776" s="142" t="s">
        <v>3047</v>
      </c>
      <c r="AH1776" s="142" t="s">
        <v>3047</v>
      </c>
      <c r="AI1776" s="142" t="s">
        <v>3047</v>
      </c>
      <c r="AJ1776" s="142">
        <f>B1776*IBGE_2!AJ$1776/100</f>
        <v>0.498</v>
      </c>
      <c r="AK1776" s="142" t="s">
        <v>3047</v>
      </c>
      <c r="AL1776" s="142">
        <f>B1776*IBGE_2!AL$1776/100</f>
        <v>28.265000000000001</v>
      </c>
      <c r="AM1776" s="142" t="s">
        <v>3047</v>
      </c>
      <c r="AN1776" s="161"/>
    </row>
    <row r="1777" spans="1:40">
      <c r="A1777" s="143" t="s">
        <v>2837</v>
      </c>
      <c r="B1777" s="141">
        <v>100</v>
      </c>
      <c r="C1777" s="142">
        <f>B1777*IBGE_2!C$1777/100</f>
        <v>45</v>
      </c>
      <c r="D1777" s="142">
        <f>B1777*IBGE_2!D$1777/100</f>
        <v>0.8</v>
      </c>
      <c r="E1777" s="142" t="s">
        <v>3047</v>
      </c>
      <c r="F1777" s="142" t="s">
        <v>3047</v>
      </c>
      <c r="G1777" s="142" t="s">
        <v>3047</v>
      </c>
      <c r="H1777" s="142" t="s">
        <v>3047</v>
      </c>
      <c r="I1777" s="142" t="s">
        <v>3047</v>
      </c>
      <c r="J1777" s="142" t="s">
        <v>3047</v>
      </c>
      <c r="K1777" s="142" t="s">
        <v>3047</v>
      </c>
      <c r="L1777" s="142">
        <f>B1777*IBGE_2!L$1777/100</f>
        <v>11.5</v>
      </c>
      <c r="M1777" s="142">
        <f>B1777*IBGE_2!M$1777/100</f>
        <v>1.5</v>
      </c>
      <c r="N1777" s="142" t="s">
        <v>3047</v>
      </c>
      <c r="O1777" s="142" t="s">
        <v>3047</v>
      </c>
      <c r="P1777" s="142" t="s">
        <v>3047</v>
      </c>
      <c r="Q1777" s="142" t="s">
        <v>3047</v>
      </c>
      <c r="R1777" s="142" t="s">
        <v>3047</v>
      </c>
      <c r="S1777" s="142">
        <f>B1777*IBGE_2!S$1777/100</f>
        <v>15</v>
      </c>
      <c r="T1777" s="142" t="s">
        <v>3047</v>
      </c>
      <c r="U1777" s="142" t="s">
        <v>3047</v>
      </c>
      <c r="V1777" s="142" t="s">
        <v>3047</v>
      </c>
      <c r="W1777" s="142" t="s">
        <v>3047</v>
      </c>
      <c r="X1777" s="142" t="s">
        <v>3047</v>
      </c>
      <c r="Y1777" s="142" t="s">
        <v>3047</v>
      </c>
      <c r="Z1777" s="142" t="s">
        <v>3047</v>
      </c>
      <c r="AA1777" s="142" t="s">
        <v>3047</v>
      </c>
      <c r="AB1777" s="142" t="s">
        <v>3047</v>
      </c>
      <c r="AC1777" s="142" t="s">
        <v>3047</v>
      </c>
      <c r="AD1777" s="142" t="s">
        <v>3047</v>
      </c>
      <c r="AE1777" s="142" t="s">
        <v>3047</v>
      </c>
      <c r="AF1777" s="142" t="s">
        <v>3047</v>
      </c>
      <c r="AG1777" s="142" t="s">
        <v>3047</v>
      </c>
      <c r="AH1777" s="142" t="s">
        <v>3047</v>
      </c>
      <c r="AI1777" s="142" t="s">
        <v>3047</v>
      </c>
      <c r="AJ1777" s="145" t="s">
        <v>3047</v>
      </c>
      <c r="AK1777" s="142" t="s">
        <v>3047</v>
      </c>
      <c r="AL1777" s="145" t="s">
        <v>3047</v>
      </c>
      <c r="AM1777" s="142" t="s">
        <v>3047</v>
      </c>
      <c r="AN1777" s="161"/>
    </row>
    <row r="1778" spans="1:40">
      <c r="A1778" s="143" t="s">
        <v>2838</v>
      </c>
      <c r="B1778" s="141">
        <v>100</v>
      </c>
      <c r="C1778" s="142">
        <f>B1778*IBGE_2!C$1778/100</f>
        <v>84.503999999999991</v>
      </c>
      <c r="D1778" s="142">
        <f>B1778*IBGE_2!D$1778/100</f>
        <v>7.0000000000000007E-2</v>
      </c>
      <c r="E1778" s="142" t="s">
        <v>3047</v>
      </c>
      <c r="F1778" s="142" t="s">
        <v>3047</v>
      </c>
      <c r="G1778" s="142" t="s">
        <v>3047</v>
      </c>
      <c r="H1778" s="142" t="s">
        <v>3047</v>
      </c>
      <c r="I1778" s="142" t="s">
        <v>3047</v>
      </c>
      <c r="J1778" s="142" t="s">
        <v>3047</v>
      </c>
      <c r="K1778" s="142" t="s">
        <v>3047</v>
      </c>
      <c r="L1778" s="142">
        <f>B1778*IBGE_2!L$1778/100</f>
        <v>2.5950000000000002</v>
      </c>
      <c r="M1778" s="142" t="s">
        <v>3047</v>
      </c>
      <c r="N1778" s="142">
        <f>B1778*IBGE_2!N$1778/100</f>
        <v>7.9530000000000003</v>
      </c>
      <c r="O1778" s="142">
        <f>B1778*IBGE_2!O$1778/100</f>
        <v>11.93</v>
      </c>
      <c r="P1778" s="142">
        <f>B1778*IBGE_2!P$1778/100</f>
        <v>0.13100000000000001</v>
      </c>
      <c r="Q1778" s="142">
        <f>B1778*IBGE_2!Q$1778/100</f>
        <v>22.866</v>
      </c>
      <c r="R1778" s="142">
        <f>B1778*IBGE_2!R$1778/100</f>
        <v>0.45700000000000002</v>
      </c>
      <c r="S1778" s="142">
        <f>B1778*IBGE_2!S$1778/100</f>
        <v>3.9769999999999999</v>
      </c>
      <c r="T1778" s="142">
        <f>B1778*IBGE_2!T$1778/100</f>
        <v>126.258</v>
      </c>
      <c r="U1778" s="142">
        <f>B1778*IBGE_2!U$1778/100</f>
        <v>1.0999999999999999E-2</v>
      </c>
      <c r="V1778" s="142">
        <f>B1778*IBGE_2!V$1778/100</f>
        <v>0.13900000000000001</v>
      </c>
      <c r="W1778" s="142" t="s">
        <v>3047</v>
      </c>
      <c r="X1778" s="142">
        <f>B1778*IBGE_2!X$1778/100</f>
        <v>5.0000000000000001E-3</v>
      </c>
      <c r="Y1778" s="142">
        <f>B1778*IBGE_2!Y$1778/100</f>
        <v>3.1E-2</v>
      </c>
      <c r="Z1778" s="142">
        <f>B1778*IBGE_2!Z$1778/100</f>
        <v>5.7000000000000002E-2</v>
      </c>
      <c r="AA1778" s="142">
        <f>B1778*IBGE_2!AA$1778/100</f>
        <v>0.223</v>
      </c>
      <c r="AB1778" s="142" t="s">
        <v>3047</v>
      </c>
      <c r="AC1778" s="142">
        <f>B1778*IBGE_2!AC$1778/100</f>
        <v>0.223</v>
      </c>
      <c r="AD1778" s="142" t="s">
        <v>3047</v>
      </c>
      <c r="AE1778" s="142">
        <f>B1778*IBGE_2!AE$1778/100</f>
        <v>0.99400000000000011</v>
      </c>
      <c r="AF1778" s="142" t="s">
        <v>3047</v>
      </c>
      <c r="AG1778" s="142" t="s">
        <v>3047</v>
      </c>
      <c r="AH1778" s="142" t="s">
        <v>3047</v>
      </c>
      <c r="AI1778" s="142" t="s">
        <v>3047</v>
      </c>
      <c r="AJ1778" s="142">
        <f>B1778*IBGE_2!AJ$1778/100</f>
        <v>0.19900000000000001</v>
      </c>
      <c r="AK1778" s="142">
        <f>B1778*IBGE_2!AK$1778/100</f>
        <v>8.3000000000000004E-2</v>
      </c>
      <c r="AL1778" s="142">
        <f>B1778*IBGE_2!AL$1778/100</f>
        <v>2.3E-2</v>
      </c>
      <c r="AM1778" s="142" t="s">
        <v>3047</v>
      </c>
      <c r="AN1778" s="161"/>
    </row>
    <row r="1779" spans="1:40">
      <c r="A1779" s="143" t="s">
        <v>2839</v>
      </c>
      <c r="B1779" s="141">
        <v>100</v>
      </c>
      <c r="C1779" s="142">
        <f>B1779*IBGE_2!C$1779/100</f>
        <v>216</v>
      </c>
      <c r="D1779" s="142" t="s">
        <v>3047</v>
      </c>
      <c r="E1779" s="142" t="s">
        <v>3047</v>
      </c>
      <c r="F1779" s="142" t="s">
        <v>3047</v>
      </c>
      <c r="G1779" s="142" t="s">
        <v>3047</v>
      </c>
      <c r="H1779" s="142" t="s">
        <v>3047</v>
      </c>
      <c r="I1779" s="142" t="s">
        <v>3047</v>
      </c>
      <c r="J1779" s="142" t="s">
        <v>3047</v>
      </c>
      <c r="K1779" s="142" t="s">
        <v>3047</v>
      </c>
      <c r="L1779" s="142" t="s">
        <v>3047</v>
      </c>
      <c r="M1779" s="142" t="s">
        <v>3047</v>
      </c>
      <c r="N1779" s="142" t="s">
        <v>3047</v>
      </c>
      <c r="O1779" s="142" t="s">
        <v>3047</v>
      </c>
      <c r="P1779" s="142" t="s">
        <v>3047</v>
      </c>
      <c r="Q1779" s="142" t="s">
        <v>3047</v>
      </c>
      <c r="R1779" s="142" t="s">
        <v>3047</v>
      </c>
      <c r="S1779" s="142">
        <f>B1779*IBGE_2!S$1779/100</f>
        <v>3</v>
      </c>
      <c r="T1779" s="142" t="s">
        <v>3047</v>
      </c>
      <c r="U1779" s="142">
        <f>B1779*IBGE_2!U$1779/100</f>
        <v>0.06</v>
      </c>
      <c r="V1779" s="142" t="s">
        <v>3047</v>
      </c>
      <c r="W1779" s="142" t="s">
        <v>3047</v>
      </c>
      <c r="X1779" s="142" t="s">
        <v>3047</v>
      </c>
      <c r="Y1779" s="142" t="s">
        <v>3047</v>
      </c>
      <c r="Z1779" s="142" t="s">
        <v>3047</v>
      </c>
      <c r="AA1779" s="142" t="s">
        <v>3047</v>
      </c>
      <c r="AB1779" s="142" t="s">
        <v>3047</v>
      </c>
      <c r="AC1779" s="142" t="s">
        <v>3047</v>
      </c>
      <c r="AD1779" s="142" t="s">
        <v>3047</v>
      </c>
      <c r="AE1779" s="142" t="s">
        <v>3047</v>
      </c>
      <c r="AF1779" s="142" t="s">
        <v>3047</v>
      </c>
      <c r="AG1779" s="142" t="s">
        <v>3047</v>
      </c>
      <c r="AH1779" s="142" t="s">
        <v>3047</v>
      </c>
      <c r="AI1779" s="142" t="s">
        <v>3047</v>
      </c>
      <c r="AJ1779" s="145" t="s">
        <v>3047</v>
      </c>
      <c r="AK1779" s="145" t="s">
        <v>3047</v>
      </c>
      <c r="AL1779" s="145" t="s">
        <v>3047</v>
      </c>
      <c r="AM1779" s="142" t="s">
        <v>3047</v>
      </c>
      <c r="AN1779" s="161"/>
    </row>
    <row r="1780" spans="1:40">
      <c r="A1780" s="143" t="s">
        <v>2840</v>
      </c>
      <c r="B1780" s="141">
        <v>100</v>
      </c>
      <c r="C1780" s="142">
        <f>B1780*IBGE_2!C$1780/100</f>
        <v>187.38</v>
      </c>
      <c r="D1780" s="142">
        <f>B1780*IBGE_2!D$1780/100</f>
        <v>0.54100000000000004</v>
      </c>
      <c r="E1780" s="142">
        <f>B1780*IBGE_2!E$1780/100</f>
        <v>3.6930000000000001</v>
      </c>
      <c r="F1780" s="142">
        <f>B1780*IBGE_2!F$1780/100</f>
        <v>3.2320000000000007</v>
      </c>
      <c r="G1780" s="142">
        <f>B1780*IBGE_2!G$1780/100</f>
        <v>0.161</v>
      </c>
      <c r="H1780" s="142">
        <f>B1780*IBGE_2!H$1780/100</f>
        <v>5.800000000000001E-2</v>
      </c>
      <c r="I1780" s="142">
        <f>B1780*IBGE_2!I$1780/100</f>
        <v>0.05</v>
      </c>
      <c r="J1780" s="142">
        <f>B1780*IBGE_2!J$1780/100</f>
        <v>8.0000000000000002E-3</v>
      </c>
      <c r="K1780" s="142" t="s">
        <v>3047</v>
      </c>
      <c r="L1780" s="142">
        <f>B1780*IBGE_2!L$1780/100</f>
        <v>22.143999999999995</v>
      </c>
      <c r="M1780" s="142">
        <f>B1780*IBGE_2!M$1780/100</f>
        <v>0.32</v>
      </c>
      <c r="N1780" s="142">
        <f>B1780*IBGE_2!N$1780/100</f>
        <v>7.0739999999999998</v>
      </c>
      <c r="O1780" s="142">
        <f>B1780*IBGE_2!O$1780/100</f>
        <v>8.2579999999999991</v>
      </c>
      <c r="P1780" s="142">
        <f>B1780*IBGE_2!P$1780/100</f>
        <v>0.36599999999999999</v>
      </c>
      <c r="Q1780" s="142">
        <f>B1780*IBGE_2!Q$1780/100</f>
        <v>17.535</v>
      </c>
      <c r="R1780" s="142">
        <f>B1780*IBGE_2!R$1780/100</f>
        <v>0.39</v>
      </c>
      <c r="S1780" s="142">
        <f>B1780*IBGE_2!S$1780/100</f>
        <v>1.6020000000000001</v>
      </c>
      <c r="T1780" s="142">
        <f>B1780*IBGE_2!T$1780/100</f>
        <v>92.64400000000002</v>
      </c>
      <c r="U1780" s="142">
        <f>B1780*IBGE_2!U$1780/100</f>
        <v>7.5999999999999998E-2</v>
      </c>
      <c r="V1780" s="142">
        <f>B1780*IBGE_2!V$1780/100</f>
        <v>0.161</v>
      </c>
      <c r="W1780" s="142" t="s">
        <v>3047</v>
      </c>
      <c r="X1780" s="142">
        <f>B1780*IBGE_2!X$1780/100</f>
        <v>3.1E-2</v>
      </c>
      <c r="Y1780" s="142">
        <f>B1780*IBGE_2!Y$1780/100</f>
        <v>1.3000000000000001E-2</v>
      </c>
      <c r="Z1780" s="142">
        <f>B1780*IBGE_2!Z$1780/100</f>
        <v>0.05</v>
      </c>
      <c r="AA1780" s="142">
        <f>B1780*IBGE_2!AA$1780/100</f>
        <v>0.185</v>
      </c>
      <c r="AB1780" s="142">
        <f>B1780*IBGE_2!AB$1780/100</f>
        <v>4.7270000000000003</v>
      </c>
      <c r="AC1780" s="142">
        <f>B1780*IBGE_2!AC$1780/100</f>
        <v>0.25900000000000001</v>
      </c>
      <c r="AD1780" s="142" t="s">
        <v>3047</v>
      </c>
      <c r="AE1780" s="142">
        <f>B1780*IBGE_2!AE$1780/100</f>
        <v>10.393000000000002</v>
      </c>
      <c r="AF1780" s="142" t="s">
        <v>3047</v>
      </c>
      <c r="AG1780" s="142">
        <f>B1780*IBGE_2!AG$1780/100</f>
        <v>2.5000000000000001E-2</v>
      </c>
      <c r="AH1780" s="142" t="s">
        <v>3047</v>
      </c>
      <c r="AI1780" s="142" t="s">
        <v>3047</v>
      </c>
      <c r="AJ1780" s="142">
        <f>B1780*IBGE_2!AJ$1780/100</f>
        <v>0.24399999999999999</v>
      </c>
      <c r="AK1780" s="142">
        <f>B1780*IBGE_2!AK$1780/100</f>
        <v>0.111</v>
      </c>
      <c r="AL1780" s="142">
        <f>B1780*IBGE_2!AL$1780/100</f>
        <v>20.777999999999999</v>
      </c>
      <c r="AM1780" s="142">
        <f>B1780*IBGE_2!AM$1780/100</f>
        <v>15.742000000000001</v>
      </c>
      <c r="AN1780" s="161"/>
    </row>
    <row r="1781" spans="1:40">
      <c r="A1781" s="143" t="s">
        <v>2841</v>
      </c>
      <c r="B1781" s="141">
        <v>100</v>
      </c>
      <c r="C1781" s="142">
        <f>B1781*IBGE_2!C$1781/100</f>
        <v>143.899</v>
      </c>
      <c r="D1781" s="142">
        <f>B1781*IBGE_2!D$1781/100</f>
        <v>0.10400000000000001</v>
      </c>
      <c r="E1781" s="142">
        <f>B1781*IBGE_2!E$1781/100</f>
        <v>0.1</v>
      </c>
      <c r="F1781" s="142">
        <f>B1781*IBGE_2!F$1781/100</f>
        <v>0.01</v>
      </c>
      <c r="G1781" s="142">
        <f>B1781*IBGE_2!G$1781/100</f>
        <v>3.0000000000000001E-3</v>
      </c>
      <c r="H1781" s="142">
        <f>B1781*IBGE_2!H$1781/100</f>
        <v>2.1999999999999999E-2</v>
      </c>
      <c r="I1781" s="142">
        <f>B1781*IBGE_2!I$1781/100</f>
        <v>1.6E-2</v>
      </c>
      <c r="J1781" s="142">
        <f>B1781*IBGE_2!J$1781/100</f>
        <v>6.0000000000000001E-3</v>
      </c>
      <c r="K1781" s="142" t="s">
        <v>3047</v>
      </c>
      <c r="L1781" s="142">
        <f>B1781*IBGE_2!L$1781/100</f>
        <v>37.896999999999998</v>
      </c>
      <c r="M1781" s="142">
        <f>B1781*IBGE_2!M$1781/100</f>
        <v>0.10400000000000001</v>
      </c>
      <c r="N1781" s="142">
        <f>B1781*IBGE_2!N$1781/100</f>
        <v>5.7470000000000008</v>
      </c>
      <c r="O1781" s="142">
        <f>B1781*IBGE_2!O$1781/100</f>
        <v>2.5470000000000002</v>
      </c>
      <c r="P1781" s="142">
        <f>B1781*IBGE_2!P$1781/100</f>
        <v>5.0000000000000001E-3</v>
      </c>
      <c r="Q1781" s="142">
        <f>B1781*IBGE_2!Q$1781/100</f>
        <v>2.339</v>
      </c>
      <c r="R1781" s="142">
        <f>B1781*IBGE_2!R$1781/100</f>
        <v>3.5999999999999997E-2</v>
      </c>
      <c r="S1781" s="142">
        <f>B1781*IBGE_2!S$1781/100</f>
        <v>14.382</v>
      </c>
      <c r="T1781" s="142">
        <f>B1781*IBGE_2!T$1781/100</f>
        <v>27.169</v>
      </c>
      <c r="U1781" s="142">
        <f>B1781*IBGE_2!U$1781/100</f>
        <v>1.3000000000000001E-2</v>
      </c>
      <c r="V1781" s="142">
        <f>B1781*IBGE_2!V$1781/100</f>
        <v>7.2999999999999995E-2</v>
      </c>
      <c r="W1781" s="142" t="s">
        <v>3047</v>
      </c>
      <c r="X1781" s="142">
        <f>B1781*IBGE_2!X$1781/100</f>
        <v>1.7999999999999999E-2</v>
      </c>
      <c r="Y1781" s="142">
        <f>B1781*IBGE_2!Y$1781/100</f>
        <v>7.000000000000001E-3</v>
      </c>
      <c r="Z1781" s="142">
        <f>B1781*IBGE_2!Z$1781/100</f>
        <v>1.0999999999999999E-2</v>
      </c>
      <c r="AA1781" s="142">
        <f>B1781*IBGE_2!AA$1781/100</f>
        <v>5.0999999999999997E-2</v>
      </c>
      <c r="AB1781" s="142">
        <f>B1781*IBGE_2!AB$1781/100</f>
        <v>6.4460000000000006</v>
      </c>
      <c r="AC1781" s="142">
        <f>B1781*IBGE_2!AC$1781/100</f>
        <v>5.0999999999999997E-2</v>
      </c>
      <c r="AD1781" s="142" t="s">
        <v>3047</v>
      </c>
      <c r="AE1781" s="142">
        <f>B1781*IBGE_2!AE$1781/100</f>
        <v>2.5990000000000002</v>
      </c>
      <c r="AF1781" s="142" t="s">
        <v>3047</v>
      </c>
      <c r="AG1781" s="142">
        <f>B1781*IBGE_2!AG$1781/100</f>
        <v>3.9E-2</v>
      </c>
      <c r="AH1781" s="142" t="s">
        <v>3047</v>
      </c>
      <c r="AI1781" s="142" t="s">
        <v>3047</v>
      </c>
      <c r="AJ1781" s="142">
        <f>B1781*IBGE_2!AJ$1781/100</f>
        <v>0.27200000000000002</v>
      </c>
      <c r="AK1781" s="142">
        <f>B1781*IBGE_2!AK$1781/100</f>
        <v>0.184</v>
      </c>
      <c r="AL1781" s="142">
        <f>B1781*IBGE_2!AL$1781/100</f>
        <v>32.076000000000001</v>
      </c>
      <c r="AM1781" s="142">
        <f>B1781*IBGE_2!AM$1781/100</f>
        <v>36.213000000000001</v>
      </c>
      <c r="AN1781" s="161"/>
    </row>
    <row r="1782" spans="1:40">
      <c r="A1782" s="143" t="s">
        <v>2842</v>
      </c>
      <c r="B1782" s="141">
        <v>100</v>
      </c>
      <c r="C1782" s="142">
        <f>B1782*IBGE_2!C$1782/100</f>
        <v>216</v>
      </c>
      <c r="D1782" s="142" t="s">
        <v>3047</v>
      </c>
      <c r="E1782" s="142" t="s">
        <v>3047</v>
      </c>
      <c r="F1782" s="142" t="s">
        <v>3047</v>
      </c>
      <c r="G1782" s="142" t="s">
        <v>3047</v>
      </c>
      <c r="H1782" s="142" t="s">
        <v>3047</v>
      </c>
      <c r="I1782" s="142" t="s">
        <v>3047</v>
      </c>
      <c r="J1782" s="142" t="s">
        <v>3047</v>
      </c>
      <c r="K1782" s="142" t="s">
        <v>3047</v>
      </c>
      <c r="L1782" s="142" t="s">
        <v>3047</v>
      </c>
      <c r="M1782" s="142" t="s">
        <v>3047</v>
      </c>
      <c r="N1782" s="142" t="s">
        <v>3047</v>
      </c>
      <c r="O1782" s="142" t="s">
        <v>3047</v>
      </c>
      <c r="P1782" s="142" t="s">
        <v>3047</v>
      </c>
      <c r="Q1782" s="142" t="s">
        <v>3047</v>
      </c>
      <c r="R1782" s="142" t="s">
        <v>3047</v>
      </c>
      <c r="S1782" s="142">
        <f>B1782*IBGE_2!S$1782/100</f>
        <v>3</v>
      </c>
      <c r="T1782" s="142" t="s">
        <v>3047</v>
      </c>
      <c r="U1782" s="142">
        <f>B1782*IBGE_2!U$1782/100</f>
        <v>0.06</v>
      </c>
      <c r="V1782" s="142" t="s">
        <v>3047</v>
      </c>
      <c r="W1782" s="142" t="s">
        <v>3047</v>
      </c>
      <c r="X1782" s="142" t="s">
        <v>3047</v>
      </c>
      <c r="Y1782" s="142" t="s">
        <v>3047</v>
      </c>
      <c r="Z1782" s="142" t="s">
        <v>3047</v>
      </c>
      <c r="AA1782" s="142" t="s">
        <v>3047</v>
      </c>
      <c r="AB1782" s="142" t="s">
        <v>3047</v>
      </c>
      <c r="AC1782" s="142" t="s">
        <v>3047</v>
      </c>
      <c r="AD1782" s="142" t="s">
        <v>3047</v>
      </c>
      <c r="AE1782" s="142" t="s">
        <v>3047</v>
      </c>
      <c r="AF1782" s="142" t="s">
        <v>3047</v>
      </c>
      <c r="AG1782" s="142" t="s">
        <v>3047</v>
      </c>
      <c r="AH1782" s="142" t="s">
        <v>3047</v>
      </c>
      <c r="AI1782" s="142" t="s">
        <v>3047</v>
      </c>
      <c r="AJ1782" s="145" t="s">
        <v>3047</v>
      </c>
      <c r="AK1782" s="145" t="s">
        <v>3047</v>
      </c>
      <c r="AL1782" s="145" t="s">
        <v>3047</v>
      </c>
      <c r="AM1782" s="142" t="s">
        <v>3047</v>
      </c>
      <c r="AN1782" s="161"/>
    </row>
    <row r="1783" spans="1:40">
      <c r="A1783" s="143" t="s">
        <v>2843</v>
      </c>
      <c r="B1783" s="141">
        <v>100</v>
      </c>
      <c r="C1783" s="142">
        <f>B1783*IBGE_2!C$1783/100</f>
        <v>84.503999999999991</v>
      </c>
      <c r="D1783" s="142">
        <f>B1783*IBGE_2!D$1783/100</f>
        <v>7.0000000000000007E-2</v>
      </c>
      <c r="E1783" s="142" t="s">
        <v>3047</v>
      </c>
      <c r="F1783" s="142" t="s">
        <v>3047</v>
      </c>
      <c r="G1783" s="142" t="s">
        <v>3047</v>
      </c>
      <c r="H1783" s="142" t="s">
        <v>3047</v>
      </c>
      <c r="I1783" s="142" t="s">
        <v>3047</v>
      </c>
      <c r="J1783" s="142" t="s">
        <v>3047</v>
      </c>
      <c r="K1783" s="142" t="s">
        <v>3047</v>
      </c>
      <c r="L1783" s="142">
        <f>B1783*IBGE_2!L$1783/100</f>
        <v>2.5950000000000002</v>
      </c>
      <c r="M1783" s="142" t="s">
        <v>3047</v>
      </c>
      <c r="N1783" s="142">
        <f>B1783*IBGE_2!N$1783/100</f>
        <v>7.9530000000000003</v>
      </c>
      <c r="O1783" s="142">
        <f>B1783*IBGE_2!O$1783/100</f>
        <v>11.93</v>
      </c>
      <c r="P1783" s="142">
        <f>B1783*IBGE_2!P$1783/100</f>
        <v>0.13100000000000001</v>
      </c>
      <c r="Q1783" s="142">
        <f>B1783*IBGE_2!Q$1783/100</f>
        <v>22.866</v>
      </c>
      <c r="R1783" s="142">
        <f>B1783*IBGE_2!R$1783/100</f>
        <v>0.45700000000000002</v>
      </c>
      <c r="S1783" s="142">
        <f>B1783*IBGE_2!S$1783/100</f>
        <v>3.9769999999999999</v>
      </c>
      <c r="T1783" s="142">
        <f>B1783*IBGE_2!T$1783/100</f>
        <v>126.258</v>
      </c>
      <c r="U1783" s="142">
        <f>B1783*IBGE_2!U$1783/100</f>
        <v>1.0999999999999999E-2</v>
      </c>
      <c r="V1783" s="142">
        <f>B1783*IBGE_2!V$1783/100</f>
        <v>0.13900000000000001</v>
      </c>
      <c r="W1783" s="142" t="s">
        <v>3047</v>
      </c>
      <c r="X1783" s="142">
        <f>B1783*IBGE_2!X$1783/100</f>
        <v>5.0000000000000001E-3</v>
      </c>
      <c r="Y1783" s="142">
        <f>B1783*IBGE_2!Y$1783/100</f>
        <v>3.1E-2</v>
      </c>
      <c r="Z1783" s="142">
        <f>B1783*IBGE_2!Z$1783/100</f>
        <v>5.7000000000000002E-2</v>
      </c>
      <c r="AA1783" s="142">
        <f>B1783*IBGE_2!AA$1783/100</f>
        <v>0.223</v>
      </c>
      <c r="AB1783" s="142" t="s">
        <v>3047</v>
      </c>
      <c r="AC1783" s="142">
        <f>B1783*IBGE_2!AC$1783/100</f>
        <v>0.223</v>
      </c>
      <c r="AD1783" s="142" t="s">
        <v>3047</v>
      </c>
      <c r="AE1783" s="142">
        <f>B1783*IBGE_2!AE$1783/100</f>
        <v>0.99400000000000011</v>
      </c>
      <c r="AF1783" s="142" t="s">
        <v>3047</v>
      </c>
      <c r="AG1783" s="142" t="s">
        <v>3047</v>
      </c>
      <c r="AH1783" s="142" t="s">
        <v>3047</v>
      </c>
      <c r="AI1783" s="142" t="s">
        <v>3047</v>
      </c>
      <c r="AJ1783" s="142">
        <f>B1783*IBGE_2!AJ$1783/100</f>
        <v>0.19900000000000001</v>
      </c>
      <c r="AK1783" s="142">
        <f>B1783*IBGE_2!AK$1783/100</f>
        <v>8.3000000000000004E-2</v>
      </c>
      <c r="AL1783" s="142">
        <f>B1783*IBGE_2!AL$1783/100</f>
        <v>2.3E-2</v>
      </c>
      <c r="AM1783" s="142" t="s">
        <v>3047</v>
      </c>
      <c r="AN1783" s="161"/>
    </row>
    <row r="1784" spans="1:40">
      <c r="A1784" s="143" t="s">
        <v>2844</v>
      </c>
      <c r="B1784" s="141">
        <v>100</v>
      </c>
      <c r="C1784" s="142">
        <f>B1784*IBGE_2!C$1784/100</f>
        <v>29</v>
      </c>
      <c r="D1784" s="142">
        <f>B1784*IBGE_2!D$1784/100</f>
        <v>0.24</v>
      </c>
      <c r="E1784" s="142" t="s">
        <v>3047</v>
      </c>
      <c r="F1784" s="142" t="s">
        <v>3047</v>
      </c>
      <c r="G1784" s="142" t="s">
        <v>3047</v>
      </c>
      <c r="H1784" s="142" t="s">
        <v>3047</v>
      </c>
      <c r="I1784" s="142" t="s">
        <v>3047</v>
      </c>
      <c r="J1784" s="142" t="s">
        <v>3047</v>
      </c>
      <c r="K1784" s="142" t="s">
        <v>3047</v>
      </c>
      <c r="L1784" s="142">
        <f>B1784*IBGE_2!L$1784/100</f>
        <v>1.64</v>
      </c>
      <c r="M1784" s="142" t="s">
        <v>3047</v>
      </c>
      <c r="N1784" s="142">
        <f>B1784*IBGE_2!N$1784/100</f>
        <v>4</v>
      </c>
      <c r="O1784" s="142">
        <f>B1784*IBGE_2!O$1784/100</f>
        <v>5</v>
      </c>
      <c r="P1784" s="142">
        <f>B1784*IBGE_2!P$1784/100</f>
        <v>6.0000000000000001E-3</v>
      </c>
      <c r="Q1784" s="142">
        <f>B1784*IBGE_2!Q$1784/100</f>
        <v>12</v>
      </c>
      <c r="R1784" s="142">
        <f>B1784*IBGE_2!R$1784/100</f>
        <v>0.03</v>
      </c>
      <c r="S1784" s="142">
        <f>B1784*IBGE_2!S$1784/100</f>
        <v>4</v>
      </c>
      <c r="T1784" s="142">
        <f>B1784*IBGE_2!T$1784/100</f>
        <v>21</v>
      </c>
      <c r="U1784" s="142">
        <f>B1784*IBGE_2!U$1784/100</f>
        <v>6.0000000000000001E-3</v>
      </c>
      <c r="V1784" s="142">
        <f>B1784*IBGE_2!V$1784/100</f>
        <v>0.01</v>
      </c>
      <c r="W1784" s="142" t="s">
        <v>3047</v>
      </c>
      <c r="X1784" s="142">
        <f>B1784*IBGE_2!X$1784/100</f>
        <v>5.0000000000000001E-3</v>
      </c>
      <c r="Y1784" s="142">
        <f>B1784*IBGE_2!Y$1784/100</f>
        <v>1.4999999999999999E-2</v>
      </c>
      <c r="Z1784" s="142">
        <f>B1784*IBGE_2!Z$1784/100</f>
        <v>3.4000000000000002E-2</v>
      </c>
      <c r="AA1784" s="142">
        <f>B1784*IBGE_2!AA$1784/100</f>
        <v>0.39100000000000001</v>
      </c>
      <c r="AB1784" s="142" t="s">
        <v>3047</v>
      </c>
      <c r="AC1784" s="142">
        <f>B1784*IBGE_2!AC$1784/100</f>
        <v>0.39100000000000001</v>
      </c>
      <c r="AD1784" s="142">
        <f>B1784*IBGE_2!AD$1784/100</f>
        <v>0.02</v>
      </c>
      <c r="AE1784" s="142">
        <f>B1784*IBGE_2!AE$1784/100</f>
        <v>6</v>
      </c>
      <c r="AF1784" s="142" t="s">
        <v>3047</v>
      </c>
      <c r="AG1784" s="142" t="s">
        <v>3047</v>
      </c>
      <c r="AH1784" s="142" t="s">
        <v>3047</v>
      </c>
      <c r="AI1784" s="142" t="s">
        <v>3047</v>
      </c>
      <c r="AJ1784" s="142">
        <f>B1784*IBGE_2!AJ$1784/100</f>
        <v>0.4</v>
      </c>
      <c r="AK1784" s="142" t="s">
        <v>3047</v>
      </c>
      <c r="AL1784" s="142">
        <f>B1784*IBGE_2!AL$1784/100</f>
        <v>0.09</v>
      </c>
      <c r="AM1784" s="142" t="s">
        <v>3047</v>
      </c>
      <c r="AN1784" s="161"/>
    </row>
    <row r="1785" spans="1:40">
      <c r="A1785" s="143" t="s">
        <v>2845</v>
      </c>
      <c r="B1785" s="141">
        <v>100</v>
      </c>
      <c r="C1785" s="142">
        <f>B1785*IBGE_2!C$1785/100</f>
        <v>216</v>
      </c>
      <c r="D1785" s="142" t="s">
        <v>3047</v>
      </c>
      <c r="E1785" s="142" t="s">
        <v>3047</v>
      </c>
      <c r="F1785" s="142" t="s">
        <v>3047</v>
      </c>
      <c r="G1785" s="142" t="s">
        <v>3047</v>
      </c>
      <c r="H1785" s="142" t="s">
        <v>3047</v>
      </c>
      <c r="I1785" s="142" t="s">
        <v>3047</v>
      </c>
      <c r="J1785" s="142" t="s">
        <v>3047</v>
      </c>
      <c r="K1785" s="142" t="s">
        <v>3047</v>
      </c>
      <c r="L1785" s="142" t="s">
        <v>3047</v>
      </c>
      <c r="M1785" s="142" t="s">
        <v>3047</v>
      </c>
      <c r="N1785" s="142" t="s">
        <v>3047</v>
      </c>
      <c r="O1785" s="142" t="s">
        <v>3047</v>
      </c>
      <c r="P1785" s="142" t="s">
        <v>3047</v>
      </c>
      <c r="Q1785" s="142" t="s">
        <v>3047</v>
      </c>
      <c r="R1785" s="142" t="s">
        <v>3047</v>
      </c>
      <c r="S1785" s="142">
        <f>B1785*IBGE_2!S$1785/100</f>
        <v>3</v>
      </c>
      <c r="T1785" s="142" t="s">
        <v>3047</v>
      </c>
      <c r="U1785" s="142">
        <f>B1785*IBGE_2!U$1785/100</f>
        <v>0.06</v>
      </c>
      <c r="V1785" s="142" t="s">
        <v>3047</v>
      </c>
      <c r="W1785" s="142" t="s">
        <v>3047</v>
      </c>
      <c r="X1785" s="142" t="s">
        <v>3047</v>
      </c>
      <c r="Y1785" s="142" t="s">
        <v>3047</v>
      </c>
      <c r="Z1785" s="142" t="s">
        <v>3047</v>
      </c>
      <c r="AA1785" s="142" t="s">
        <v>3047</v>
      </c>
      <c r="AB1785" s="142" t="s">
        <v>3047</v>
      </c>
      <c r="AC1785" s="142" t="s">
        <v>3047</v>
      </c>
      <c r="AD1785" s="142" t="s">
        <v>3047</v>
      </c>
      <c r="AE1785" s="142" t="s">
        <v>3047</v>
      </c>
      <c r="AF1785" s="142" t="s">
        <v>3047</v>
      </c>
      <c r="AG1785" s="142" t="s">
        <v>3047</v>
      </c>
      <c r="AH1785" s="142" t="s">
        <v>3047</v>
      </c>
      <c r="AI1785" s="142" t="s">
        <v>3047</v>
      </c>
      <c r="AJ1785" s="142" t="s">
        <v>3047</v>
      </c>
      <c r="AK1785" s="142" t="s">
        <v>3047</v>
      </c>
      <c r="AL1785" s="142" t="s">
        <v>3047</v>
      </c>
      <c r="AM1785" s="142" t="s">
        <v>3047</v>
      </c>
      <c r="AN1785" s="161"/>
    </row>
    <row r="1786" spans="1:40">
      <c r="A1786" s="143" t="s">
        <v>2846</v>
      </c>
      <c r="B1786" s="141">
        <v>100</v>
      </c>
      <c r="C1786" s="142">
        <f>B1786*IBGE_2!C$1786/100</f>
        <v>887.80499999999995</v>
      </c>
      <c r="D1786" s="142" t="s">
        <v>3047</v>
      </c>
      <c r="E1786" s="142">
        <f>B1786*IBGE_2!E$1786/100</f>
        <v>100.43</v>
      </c>
      <c r="F1786" s="142">
        <f>B1786*IBGE_2!F$1786/100</f>
        <v>13.867000000000001</v>
      </c>
      <c r="G1786" s="142">
        <f>B1786*IBGE_2!G$1786/100</f>
        <v>73.275000000000006</v>
      </c>
      <c r="H1786" s="142">
        <f>B1786*IBGE_2!H$1786/100</f>
        <v>10.568</v>
      </c>
      <c r="I1786" s="142">
        <f>B1786*IBGE_2!I$1786/100</f>
        <v>9.8040000000000003</v>
      </c>
      <c r="J1786" s="142">
        <f>B1786*IBGE_2!J$1786/100</f>
        <v>0.76400000000000001</v>
      </c>
      <c r="K1786" s="142" t="s">
        <v>3047</v>
      </c>
      <c r="L1786" s="142" t="s">
        <v>3047</v>
      </c>
      <c r="M1786" s="142" t="s">
        <v>3047</v>
      </c>
      <c r="N1786" s="142">
        <f>B1786*IBGE_2!N$1786/100</f>
        <v>1.004</v>
      </c>
      <c r="O1786" s="142" t="s">
        <v>3047</v>
      </c>
      <c r="P1786" s="142" t="s">
        <v>3047</v>
      </c>
      <c r="Q1786" s="142" t="s">
        <v>3047</v>
      </c>
      <c r="R1786" s="142">
        <f>B1786*IBGE_2!R$1786/100</f>
        <v>0.56200000000000006</v>
      </c>
      <c r="S1786" s="142">
        <f>B1786*IBGE_2!S$1786/100</f>
        <v>2.0089999999999999</v>
      </c>
      <c r="T1786" s="142">
        <f>B1786*IBGE_2!T$1786/100</f>
        <v>1.004</v>
      </c>
      <c r="U1786" s="142" t="s">
        <v>3047</v>
      </c>
      <c r="V1786" s="142" t="s">
        <v>3047</v>
      </c>
      <c r="W1786" s="142" t="s">
        <v>3047</v>
      </c>
      <c r="X1786" s="142" t="s">
        <v>3047</v>
      </c>
      <c r="Y1786" s="142" t="s">
        <v>3047</v>
      </c>
      <c r="Z1786" s="142" t="s">
        <v>3047</v>
      </c>
      <c r="AA1786" s="142" t="s">
        <v>3047</v>
      </c>
      <c r="AB1786" s="142" t="s">
        <v>3047</v>
      </c>
      <c r="AC1786" s="142" t="s">
        <v>3047</v>
      </c>
      <c r="AD1786" s="142" t="s">
        <v>3047</v>
      </c>
      <c r="AE1786" s="142" t="s">
        <v>3047</v>
      </c>
      <c r="AF1786" s="142" t="s">
        <v>3047</v>
      </c>
      <c r="AG1786" s="142">
        <f>B1786*IBGE_2!AG$1786/100</f>
        <v>14.412000000000001</v>
      </c>
      <c r="AH1786" s="142">
        <f>B1786*IBGE_2!AH$1786/100</f>
        <v>0.161</v>
      </c>
      <c r="AI1786" s="142" t="s">
        <v>3047</v>
      </c>
      <c r="AJ1786" s="142" t="s">
        <v>3047</v>
      </c>
      <c r="AK1786" s="142" t="s">
        <v>3047</v>
      </c>
      <c r="AL1786" s="142" t="s">
        <v>3047</v>
      </c>
      <c r="AM1786" s="142" t="s">
        <v>3047</v>
      </c>
      <c r="AN1786" s="161"/>
    </row>
    <row r="1787" spans="1:40">
      <c r="A1787" s="143" t="s">
        <v>2847</v>
      </c>
      <c r="B1787" s="141">
        <v>100</v>
      </c>
      <c r="C1787" s="142">
        <f>B1787*IBGE_2!C$1787/100</f>
        <v>879.73400000000004</v>
      </c>
      <c r="D1787" s="142" t="s">
        <v>3047</v>
      </c>
      <c r="E1787" s="142">
        <f>B1787*IBGE_2!E$1787/100</f>
        <v>99.516999999999996</v>
      </c>
      <c r="F1787" s="142">
        <f>B1787*IBGE_2!F$1787/100</f>
        <v>15.574000000000002</v>
      </c>
      <c r="G1787" s="142">
        <f>B1787*IBGE_2!G$1787/100</f>
        <v>22.672999999999998</v>
      </c>
      <c r="H1787" s="142">
        <f>B1787*IBGE_2!H$1787/100</f>
        <v>57.460999999999991</v>
      </c>
      <c r="I1787" s="142">
        <f>B1787*IBGE_2!I$1787/100</f>
        <v>50.706000000000003</v>
      </c>
      <c r="J1787" s="142">
        <f>B1787*IBGE_2!J$1787/100</f>
        <v>6.7560000000000002</v>
      </c>
      <c r="K1787" s="142" t="s">
        <v>3047</v>
      </c>
      <c r="L1787" s="142" t="s">
        <v>3047</v>
      </c>
      <c r="M1787" s="142" t="s">
        <v>3047</v>
      </c>
      <c r="N1787" s="142" t="s">
        <v>3047</v>
      </c>
      <c r="O1787" s="142" t="s">
        <v>3047</v>
      </c>
      <c r="P1787" s="142" t="s">
        <v>3047</v>
      </c>
      <c r="Q1787" s="142" t="s">
        <v>3047</v>
      </c>
      <c r="R1787" s="142">
        <f>B1787*IBGE_2!R$1787/100</f>
        <v>0.05</v>
      </c>
      <c r="S1787" s="142" t="s">
        <v>3047</v>
      </c>
      <c r="T1787" s="142" t="s">
        <v>3047</v>
      </c>
      <c r="U1787" s="142" t="s">
        <v>3047</v>
      </c>
      <c r="V1787" s="142">
        <f>B1787*IBGE_2!V$1787/100</f>
        <v>0.01</v>
      </c>
      <c r="W1787" s="142" t="s">
        <v>3047</v>
      </c>
      <c r="X1787" s="142" t="s">
        <v>3047</v>
      </c>
      <c r="Y1787" s="142" t="s">
        <v>3047</v>
      </c>
      <c r="Z1787" s="142" t="s">
        <v>3047</v>
      </c>
      <c r="AA1787" s="142" t="s">
        <v>3047</v>
      </c>
      <c r="AB1787" s="142" t="s">
        <v>3047</v>
      </c>
      <c r="AC1787" s="142" t="s">
        <v>3047</v>
      </c>
      <c r="AD1787" s="142" t="s">
        <v>3047</v>
      </c>
      <c r="AE1787" s="142" t="s">
        <v>3047</v>
      </c>
      <c r="AF1787" s="142" t="s">
        <v>3047</v>
      </c>
      <c r="AG1787" s="142">
        <f>B1787*IBGE_2!AG$1787/100</f>
        <v>8.141</v>
      </c>
      <c r="AH1787" s="142">
        <f>B1787*IBGE_2!AH$1787/100</f>
        <v>0.53</v>
      </c>
      <c r="AI1787" s="142" t="s">
        <v>3047</v>
      </c>
      <c r="AJ1787" s="142">
        <f>B1787*IBGE_2!AJ$1787/100</f>
        <v>45.609000000000009</v>
      </c>
      <c r="AK1787" s="142" t="s">
        <v>3047</v>
      </c>
      <c r="AL1787" s="142" t="s">
        <v>3047</v>
      </c>
      <c r="AM1787" s="142" t="s">
        <v>3047</v>
      </c>
      <c r="AN1787" s="161"/>
    </row>
    <row r="1788" spans="1:40">
      <c r="A1788" s="143" t="s">
        <v>2848</v>
      </c>
      <c r="B1788" s="141">
        <v>100</v>
      </c>
      <c r="C1788" s="142">
        <f>B1788*IBGE_2!C$1788/100</f>
        <v>902</v>
      </c>
      <c r="D1788" s="142" t="s">
        <v>3047</v>
      </c>
      <c r="E1788" s="142">
        <f>B1788*IBGE_2!E$1788/100</f>
        <v>100</v>
      </c>
      <c r="F1788" s="142">
        <f>B1788*IBGE_2!F$1788/100</f>
        <v>39.200000000000003</v>
      </c>
      <c r="G1788" s="142">
        <f>B1788*IBGE_2!G$1788/100</f>
        <v>45.1</v>
      </c>
      <c r="H1788" s="142">
        <f>B1788*IBGE_2!H$1788/100</f>
        <v>11.2</v>
      </c>
      <c r="I1788" s="142">
        <f>B1788*IBGE_2!I$1788/100</f>
        <v>10.199999999999999</v>
      </c>
      <c r="J1788" s="142">
        <f>B1788*IBGE_2!J$1788/100</f>
        <v>1</v>
      </c>
      <c r="K1788" s="142">
        <f>B1788*IBGE_2!K$1788/100</f>
        <v>95</v>
      </c>
      <c r="L1788" s="142" t="s">
        <v>3047</v>
      </c>
      <c r="M1788" s="142" t="s">
        <v>3047</v>
      </c>
      <c r="N1788" s="142" t="s">
        <v>3047</v>
      </c>
      <c r="O1788" s="142" t="s">
        <v>3047</v>
      </c>
      <c r="P1788" s="142" t="s">
        <v>3047</v>
      </c>
      <c r="Q1788" s="142" t="s">
        <v>3047</v>
      </c>
      <c r="R1788" s="142" t="s">
        <v>3047</v>
      </c>
      <c r="S1788" s="142" t="s">
        <v>3047</v>
      </c>
      <c r="T1788" s="142" t="s">
        <v>3047</v>
      </c>
      <c r="U1788" s="142">
        <f>B1788*IBGE_2!U$1788/100</f>
        <v>7.0000000000000007E-2</v>
      </c>
      <c r="V1788" s="142">
        <f>B1788*IBGE_2!V$1788/100</f>
        <v>0.11</v>
      </c>
      <c r="W1788" s="142" t="s">
        <v>3047</v>
      </c>
      <c r="X1788" s="142" t="s">
        <v>3047</v>
      </c>
      <c r="Y1788" s="142" t="s">
        <v>3047</v>
      </c>
      <c r="Z1788" s="142" t="s">
        <v>3047</v>
      </c>
      <c r="AA1788" s="142" t="s">
        <v>3047</v>
      </c>
      <c r="AB1788" s="142" t="s">
        <v>3047</v>
      </c>
      <c r="AC1788" s="142" t="s">
        <v>3047</v>
      </c>
      <c r="AD1788" s="142" t="s">
        <v>3047</v>
      </c>
      <c r="AE1788" s="142" t="s">
        <v>3047</v>
      </c>
      <c r="AF1788" s="142" t="s">
        <v>3047</v>
      </c>
      <c r="AG1788" s="142">
        <f>B1788*IBGE_2!AG$1788/100</f>
        <v>0.6</v>
      </c>
      <c r="AH1788" s="142">
        <f>B1788*IBGE_2!AH$1788/100</f>
        <v>1.08</v>
      </c>
      <c r="AI1788" s="142" t="s">
        <v>3047</v>
      </c>
      <c r="AJ1788" s="142">
        <f>B1788*IBGE_2!AJ$1788/100</f>
        <v>0.2</v>
      </c>
      <c r="AK1788" s="142" t="s">
        <v>3047</v>
      </c>
      <c r="AL1788" s="142" t="s">
        <v>3047</v>
      </c>
      <c r="AM1788" s="142" t="s">
        <v>3047</v>
      </c>
      <c r="AN1788" s="161"/>
    </row>
    <row r="1789" spans="1:40">
      <c r="A1789" s="143" t="s">
        <v>2849</v>
      </c>
      <c r="B1789" s="141">
        <v>100</v>
      </c>
      <c r="C1789" s="142">
        <f>B1789*IBGE_2!C$1789/100</f>
        <v>680</v>
      </c>
      <c r="D1789" s="142">
        <f>B1789*IBGE_2!D$1789/100</f>
        <v>10.65</v>
      </c>
      <c r="E1789" s="142">
        <f>B1789*IBGE_2!E$1789/100</f>
        <v>70.33</v>
      </c>
      <c r="F1789" s="142">
        <f>B1789*IBGE_2!F$1789/100</f>
        <v>28.5</v>
      </c>
      <c r="G1789" s="142">
        <f>B1789*IBGE_2!G$1789/100</f>
        <v>30.45</v>
      </c>
      <c r="H1789" s="142">
        <f>B1789*IBGE_2!H$1789/100</f>
        <v>2.66</v>
      </c>
      <c r="I1789" s="142">
        <f>B1789*IBGE_2!I$1789/100</f>
        <v>1.62</v>
      </c>
      <c r="J1789" s="142">
        <f>B1789*IBGE_2!J$1789/100</f>
        <v>1.04</v>
      </c>
      <c r="K1789" s="142">
        <f>B1789*IBGE_2!K$1789/100</f>
        <v>95</v>
      </c>
      <c r="L1789" s="142" t="s">
        <v>3047</v>
      </c>
      <c r="M1789" s="142" t="s">
        <v>3047</v>
      </c>
      <c r="N1789" s="142">
        <f>B1789*IBGE_2!N$1789/100</f>
        <v>19</v>
      </c>
      <c r="O1789" s="142">
        <f>B1789*IBGE_2!O$1789/100</f>
        <v>6</v>
      </c>
      <c r="P1789" s="142" t="s">
        <v>3047</v>
      </c>
      <c r="Q1789" s="142">
        <f>B1789*IBGE_2!Q$1789/100</f>
        <v>64</v>
      </c>
      <c r="R1789" s="142">
        <f>B1789*IBGE_2!R$1789/100</f>
        <v>1.08</v>
      </c>
      <c r="S1789" s="142">
        <f>B1789*IBGE_2!S$1789/100</f>
        <v>23</v>
      </c>
      <c r="T1789" s="142">
        <f>B1789*IBGE_2!T$1789/100</f>
        <v>99</v>
      </c>
      <c r="U1789" s="142">
        <f>B1789*IBGE_2!U$1789/100</f>
        <v>0.04</v>
      </c>
      <c r="V1789" s="142">
        <f>B1789*IBGE_2!V$1789/100</f>
        <v>1.24</v>
      </c>
      <c r="W1789" s="142" t="s">
        <v>3047</v>
      </c>
      <c r="X1789" s="142">
        <f>B1789*IBGE_2!X$1789/100</f>
        <v>0.03</v>
      </c>
      <c r="Y1789" s="142">
        <f>B1789*IBGE_2!Y$1789/100</f>
        <v>4.5999999999999999E-2</v>
      </c>
      <c r="Z1789" s="142">
        <f>B1789*IBGE_2!Z$1789/100</f>
        <v>0.14000000000000001</v>
      </c>
      <c r="AA1789" s="142">
        <f>B1789*IBGE_2!AA$1789/100</f>
        <v>1.528</v>
      </c>
      <c r="AB1789" s="142" t="s">
        <v>3047</v>
      </c>
      <c r="AC1789" s="142">
        <f>B1789*IBGE_2!AC$1789/100</f>
        <v>2.6949999999999998</v>
      </c>
      <c r="AD1789" s="142">
        <f>B1789*IBGE_2!AD$1789/100</f>
        <v>0.9</v>
      </c>
      <c r="AE1789" s="142" t="s">
        <v>3047</v>
      </c>
      <c r="AF1789" s="142" t="s">
        <v>3047</v>
      </c>
      <c r="AG1789" s="145" t="s">
        <v>3047</v>
      </c>
      <c r="AH1789" s="142">
        <f>B1789*IBGE_2!AH$1789/100</f>
        <v>3.38</v>
      </c>
      <c r="AI1789" s="142" t="s">
        <v>3047</v>
      </c>
      <c r="AJ1789" s="142">
        <f>B1789*IBGE_2!AJ$1789/100</f>
        <v>8.3000000000000007</v>
      </c>
      <c r="AK1789" s="142" t="s">
        <v>3047</v>
      </c>
      <c r="AL1789" s="142" t="s">
        <v>3047</v>
      </c>
      <c r="AM1789" s="142" t="s">
        <v>3047</v>
      </c>
      <c r="AN1789" s="161"/>
    </row>
    <row r="1790" spans="1:40">
      <c r="A1790" s="143" t="s">
        <v>2850</v>
      </c>
      <c r="B1790" s="141">
        <v>100</v>
      </c>
      <c r="C1790" s="142">
        <f>B1790*IBGE_2!C$1790/100</f>
        <v>879.73400000000004</v>
      </c>
      <c r="D1790" s="142" t="s">
        <v>3047</v>
      </c>
      <c r="E1790" s="142">
        <f>B1790*IBGE_2!E$1790/100</f>
        <v>99.516999999999996</v>
      </c>
      <c r="F1790" s="142">
        <f>B1790*IBGE_2!F$1790/100</f>
        <v>15.574000000000002</v>
      </c>
      <c r="G1790" s="142">
        <f>B1790*IBGE_2!G$1790/100</f>
        <v>22.672999999999998</v>
      </c>
      <c r="H1790" s="142">
        <f>B1790*IBGE_2!H$1790/100</f>
        <v>57.460999999999991</v>
      </c>
      <c r="I1790" s="142">
        <f>B1790*IBGE_2!I$1790/100</f>
        <v>50.706000000000003</v>
      </c>
      <c r="J1790" s="142">
        <f>B1790*IBGE_2!J$1790/100</f>
        <v>6.7560000000000002</v>
      </c>
      <c r="K1790" s="142" t="s">
        <v>3047</v>
      </c>
      <c r="L1790" s="142" t="s">
        <v>3047</v>
      </c>
      <c r="M1790" s="142" t="s">
        <v>3047</v>
      </c>
      <c r="N1790" s="142" t="s">
        <v>3047</v>
      </c>
      <c r="O1790" s="142" t="s">
        <v>3047</v>
      </c>
      <c r="P1790" s="142" t="s">
        <v>3047</v>
      </c>
      <c r="Q1790" s="142" t="s">
        <v>3047</v>
      </c>
      <c r="R1790" s="142">
        <f>B1790*IBGE_2!R$1790/100</f>
        <v>0.05</v>
      </c>
      <c r="S1790" s="142" t="s">
        <v>3047</v>
      </c>
      <c r="T1790" s="142" t="s">
        <v>3047</v>
      </c>
      <c r="U1790" s="142" t="s">
        <v>3047</v>
      </c>
      <c r="V1790" s="142">
        <f>B1790*IBGE_2!V$1790/100</f>
        <v>0.01</v>
      </c>
      <c r="W1790" s="142" t="s">
        <v>3047</v>
      </c>
      <c r="X1790" s="142" t="s">
        <v>3047</v>
      </c>
      <c r="Y1790" s="142" t="s">
        <v>3047</v>
      </c>
      <c r="Z1790" s="142" t="s">
        <v>3047</v>
      </c>
      <c r="AA1790" s="142" t="s">
        <v>3047</v>
      </c>
      <c r="AB1790" s="142" t="s">
        <v>3047</v>
      </c>
      <c r="AC1790" s="142" t="s">
        <v>3047</v>
      </c>
      <c r="AD1790" s="142" t="s">
        <v>3047</v>
      </c>
      <c r="AE1790" s="142" t="s">
        <v>3047</v>
      </c>
      <c r="AF1790" s="142" t="s">
        <v>3047</v>
      </c>
      <c r="AG1790" s="142">
        <f>B1790*IBGE_2!AG$1790/100</f>
        <v>8.141</v>
      </c>
      <c r="AH1790" s="142">
        <f>B1790*IBGE_2!AH$1790/100</f>
        <v>0.53</v>
      </c>
      <c r="AI1790" s="142" t="s">
        <v>3047</v>
      </c>
      <c r="AJ1790" s="142">
        <f>B1790*IBGE_2!AJ$1790/100</f>
        <v>45.609000000000009</v>
      </c>
      <c r="AK1790" s="142" t="s">
        <v>3047</v>
      </c>
      <c r="AL1790" s="142" t="s">
        <v>3047</v>
      </c>
      <c r="AM1790" s="142" t="s">
        <v>3047</v>
      </c>
      <c r="AN1790" s="161"/>
    </row>
    <row r="1791" spans="1:40">
      <c r="A1791" s="143" t="s">
        <v>2851</v>
      </c>
      <c r="B1791" s="141">
        <v>100</v>
      </c>
      <c r="C1791" s="142">
        <f>B1791*IBGE_2!C$1791/100</f>
        <v>857.84</v>
      </c>
      <c r="D1791" s="142" t="s">
        <v>3047</v>
      </c>
      <c r="E1791" s="142">
        <f>B1791*IBGE_2!E$1791/100</f>
        <v>99.516999999999996</v>
      </c>
      <c r="F1791" s="142">
        <f>B1791*IBGE_2!F$1791/100</f>
        <v>81.106999999999999</v>
      </c>
      <c r="G1791" s="142">
        <f>B1791*IBGE_2!G$1791/100</f>
        <v>11.345000000000001</v>
      </c>
      <c r="H1791" s="142">
        <f>B1791*IBGE_2!H$1791/100</f>
        <v>1.5920000000000001</v>
      </c>
      <c r="I1791" s="142">
        <f>B1791*IBGE_2!I$1791/100</f>
        <v>1.5920000000000001</v>
      </c>
      <c r="J1791" s="142" t="s">
        <v>3047</v>
      </c>
      <c r="K1791" s="142" t="s">
        <v>3047</v>
      </c>
      <c r="L1791" s="142" t="s">
        <v>3047</v>
      </c>
      <c r="M1791" s="142" t="s">
        <v>3047</v>
      </c>
      <c r="N1791" s="142" t="s">
        <v>3047</v>
      </c>
      <c r="O1791" s="142" t="s">
        <v>3047</v>
      </c>
      <c r="P1791" s="142" t="s">
        <v>3047</v>
      </c>
      <c r="Q1791" s="142" t="s">
        <v>3047</v>
      </c>
      <c r="R1791" s="142" t="s">
        <v>3047</v>
      </c>
      <c r="S1791" s="142" t="s">
        <v>3047</v>
      </c>
      <c r="T1791" s="142" t="s">
        <v>3047</v>
      </c>
      <c r="U1791" s="142">
        <f>B1791*IBGE_2!U$1791/100</f>
        <v>0.1</v>
      </c>
      <c r="V1791" s="142" t="s">
        <v>3047</v>
      </c>
      <c r="W1791" s="142" t="s">
        <v>3047</v>
      </c>
      <c r="X1791" s="142" t="s">
        <v>3047</v>
      </c>
      <c r="Y1791" s="142" t="s">
        <v>3047</v>
      </c>
      <c r="Z1791" s="142" t="s">
        <v>3047</v>
      </c>
      <c r="AA1791" s="142" t="s">
        <v>3047</v>
      </c>
      <c r="AB1791" s="142" t="s">
        <v>3047</v>
      </c>
      <c r="AC1791" s="142" t="s">
        <v>3047</v>
      </c>
      <c r="AD1791" s="142" t="s">
        <v>3047</v>
      </c>
      <c r="AE1791" s="142" t="s">
        <v>3047</v>
      </c>
      <c r="AF1791" s="142" t="s">
        <v>3047</v>
      </c>
      <c r="AG1791" s="142">
        <f>B1791*IBGE_2!AG$1791/100</f>
        <v>3.7919999999999998</v>
      </c>
      <c r="AH1791" s="142">
        <f>B1791*IBGE_2!AH$1791/100</f>
        <v>0.17399999999999999</v>
      </c>
      <c r="AI1791" s="142" t="s">
        <v>3047</v>
      </c>
      <c r="AJ1791" s="145" t="s">
        <v>3047</v>
      </c>
      <c r="AK1791" s="142" t="s">
        <v>3047</v>
      </c>
      <c r="AL1791" s="142" t="s">
        <v>3047</v>
      </c>
      <c r="AM1791" s="142" t="s">
        <v>3047</v>
      </c>
      <c r="AN1791" s="161"/>
    </row>
    <row r="1792" spans="1:40">
      <c r="A1792" s="143" t="s">
        <v>2852</v>
      </c>
      <c r="B1792" s="141">
        <v>100</v>
      </c>
      <c r="C1792" s="142">
        <f>B1792*IBGE_2!C$1792/100</f>
        <v>274.60000000000002</v>
      </c>
      <c r="D1792" s="142">
        <f>B1792*IBGE_2!D$1792/100</f>
        <v>13.409000000000001</v>
      </c>
      <c r="E1792" s="142">
        <f>B1792*IBGE_2!E$1792/100</f>
        <v>16.878</v>
      </c>
      <c r="F1792" s="142">
        <f>B1792*IBGE_2!F$1792/100</f>
        <v>4.6059999999999999</v>
      </c>
      <c r="G1792" s="142">
        <f>B1792*IBGE_2!G$1792/100</f>
        <v>5.4889999999999999</v>
      </c>
      <c r="H1792" s="142">
        <f>B1792*IBGE_2!H$1792/100</f>
        <v>5.3659999999999988</v>
      </c>
      <c r="I1792" s="142">
        <f>B1792*IBGE_2!I$1792/100</f>
        <v>4.7169999999999996</v>
      </c>
      <c r="J1792" s="142">
        <f>B1792*IBGE_2!J$1792/100</f>
        <v>0.59299999999999997</v>
      </c>
      <c r="K1792" s="142">
        <f>B1792*IBGE_2!K$1792/100</f>
        <v>107.652</v>
      </c>
      <c r="L1792" s="142">
        <f>B1792*IBGE_2!L$1792/100</f>
        <v>16.544</v>
      </c>
      <c r="M1792" s="142">
        <f>B1792*IBGE_2!M$1792/100</f>
        <v>0.87599999999999989</v>
      </c>
      <c r="N1792" s="142">
        <f>B1792*IBGE_2!N$1792/100</f>
        <v>84.477999999999994</v>
      </c>
      <c r="O1792" s="142">
        <f>B1792*IBGE_2!O$1792/100</f>
        <v>19.5</v>
      </c>
      <c r="P1792" s="142">
        <f>B1792*IBGE_2!P$1792/100</f>
        <v>0.184</v>
      </c>
      <c r="Q1792" s="142">
        <f>B1792*IBGE_2!Q$1792/100</f>
        <v>154.245</v>
      </c>
      <c r="R1792" s="142">
        <f>B1792*IBGE_2!R$1792/100</f>
        <v>2.0489999999999999</v>
      </c>
      <c r="S1792" s="142">
        <f>B1792*IBGE_2!S$1792/100</f>
        <v>165.15899999999999</v>
      </c>
      <c r="T1792" s="142">
        <f>B1792*IBGE_2!T$1792/100</f>
        <v>213.10499999999999</v>
      </c>
      <c r="U1792" s="142">
        <f>B1792*IBGE_2!U$1792/100</f>
        <v>0.08</v>
      </c>
      <c r="V1792" s="142">
        <f>B1792*IBGE_2!V$1792/100</f>
        <v>2.4849999999999999</v>
      </c>
      <c r="W1792" s="142">
        <f>B1792*IBGE_2!W$1792/100</f>
        <v>43.722999999999999</v>
      </c>
      <c r="X1792" s="142">
        <f>B1792*IBGE_2!X$1792/100</f>
        <v>0.22500000000000001</v>
      </c>
      <c r="Y1792" s="142">
        <f>B1792*IBGE_2!Y$1792/100</f>
        <v>0.26500000000000001</v>
      </c>
      <c r="Z1792" s="142">
        <f>B1792*IBGE_2!Z$1792/100</f>
        <v>0.19</v>
      </c>
      <c r="AA1792" s="142">
        <f>B1792*IBGE_2!AA$1792/100</f>
        <v>3.0110000000000001</v>
      </c>
      <c r="AB1792" s="142">
        <f>B1792*IBGE_2!AB$1792/100</f>
        <v>1.6469999999999998</v>
      </c>
      <c r="AC1792" s="142">
        <f>B1792*IBGE_2!AC$1792/100</f>
        <v>4.6230000000000002</v>
      </c>
      <c r="AD1792" s="142">
        <f>B1792*IBGE_2!AD$1792/100</f>
        <v>1.27</v>
      </c>
      <c r="AE1792" s="142">
        <f>B1792*IBGE_2!AE$1792/100</f>
        <v>50.527999999999999</v>
      </c>
      <c r="AF1792" s="142">
        <f>B1792*IBGE_2!AF$1792/100</f>
        <v>0.64400000000000002</v>
      </c>
      <c r="AG1792" s="142">
        <f>B1792*IBGE_2!AG$1792/100</f>
        <v>1.008</v>
      </c>
      <c r="AH1792" s="142">
        <f>B1792*IBGE_2!AH$1792/100</f>
        <v>0.43200000000000005</v>
      </c>
      <c r="AI1792" s="142" t="s">
        <v>3047</v>
      </c>
      <c r="AJ1792" s="142">
        <f>B1792*IBGE_2!AJ$1792/100</f>
        <v>21.361000000000001</v>
      </c>
      <c r="AK1792" s="142">
        <f>B1792*IBGE_2!AK$1792/100</f>
        <v>48.167999999999999</v>
      </c>
      <c r="AL1792" s="142">
        <f>B1792*IBGE_2!AL$1792/100</f>
        <v>2.6789999999999998</v>
      </c>
      <c r="AM1792" s="142">
        <f>B1792*IBGE_2!AM$1792/100</f>
        <v>1.819</v>
      </c>
      <c r="AN1792" s="161"/>
    </row>
    <row r="1793" spans="1:40">
      <c r="A1793" s="143" t="s">
        <v>2853</v>
      </c>
      <c r="B1793" s="141">
        <v>100</v>
      </c>
      <c r="C1793" s="142">
        <f>B1793*IBGE_2!C$1793/100</f>
        <v>319.80700000000002</v>
      </c>
      <c r="D1793" s="142">
        <f>B1793*IBGE_2!D$1793/100</f>
        <v>10.384</v>
      </c>
      <c r="E1793" s="142">
        <f>B1793*IBGE_2!E$1793/100</f>
        <v>15.675999999999998</v>
      </c>
      <c r="F1793" s="142">
        <f>B1793*IBGE_2!F$1793/100</f>
        <v>3.161</v>
      </c>
      <c r="G1793" s="142">
        <f>B1793*IBGE_2!G$1793/100</f>
        <v>4.2439999999999998</v>
      </c>
      <c r="H1793" s="142">
        <f>B1793*IBGE_2!H$1793/100</f>
        <v>7.28</v>
      </c>
      <c r="I1793" s="142">
        <f>B1793*IBGE_2!I$1793/100</f>
        <v>6.4120000000000008</v>
      </c>
      <c r="J1793" s="142">
        <f>B1793*IBGE_2!J$1793/100</f>
        <v>0.80900000000000005</v>
      </c>
      <c r="K1793" s="142">
        <f>B1793*IBGE_2!K$1793/100</f>
        <v>61.192</v>
      </c>
      <c r="L1793" s="142">
        <f>B1793*IBGE_2!L$1793/100</f>
        <v>33.512999999999998</v>
      </c>
      <c r="M1793" s="142">
        <f>B1793*IBGE_2!M$1793/100</f>
        <v>1.4470000000000001</v>
      </c>
      <c r="N1793" s="142">
        <f>B1793*IBGE_2!N$1793/100</f>
        <v>18.338999999999999</v>
      </c>
      <c r="O1793" s="142">
        <f>B1793*IBGE_2!O$1793/100</f>
        <v>16.773</v>
      </c>
      <c r="P1793" s="142">
        <f>B1793*IBGE_2!P$1793/100</f>
        <v>0.31</v>
      </c>
      <c r="Q1793" s="142">
        <f>B1793*IBGE_2!Q$1793/100</f>
        <v>108.94799999999999</v>
      </c>
      <c r="R1793" s="142">
        <f>B1793*IBGE_2!R$1793/100</f>
        <v>2.4750000000000001</v>
      </c>
      <c r="S1793" s="142">
        <f>B1793*IBGE_2!S$1793/100</f>
        <v>413.19499999999999</v>
      </c>
      <c r="T1793" s="142">
        <f>B1793*IBGE_2!T$1793/100</f>
        <v>127.61199999999999</v>
      </c>
      <c r="U1793" s="142">
        <f>B1793*IBGE_2!U$1793/100</f>
        <v>9.4E-2</v>
      </c>
      <c r="V1793" s="142">
        <f>B1793*IBGE_2!V$1793/100</f>
        <v>0.92500000000000004</v>
      </c>
      <c r="W1793" s="142">
        <f>B1793*IBGE_2!W$1793/100</f>
        <v>19.178000000000001</v>
      </c>
      <c r="X1793" s="142">
        <f>B1793*IBGE_2!X$1793/100</f>
        <v>0.42100000000000004</v>
      </c>
      <c r="Y1793" s="142">
        <f>B1793*IBGE_2!Y$1793/100</f>
        <v>0.30299999999999999</v>
      </c>
      <c r="Z1793" s="142">
        <f>B1793*IBGE_2!Z$1793/100</f>
        <v>0.1</v>
      </c>
      <c r="AA1793" s="142">
        <f>B1793*IBGE_2!AA$1793/100</f>
        <v>3.33</v>
      </c>
      <c r="AB1793" s="142">
        <f>B1793*IBGE_2!AB$1793/100</f>
        <v>1.1850000000000001</v>
      </c>
      <c r="AC1793" s="142">
        <f>B1793*IBGE_2!AC$1793/100</f>
        <v>5.4640000000000013</v>
      </c>
      <c r="AD1793" s="142">
        <f>B1793*IBGE_2!AD$1793/100</f>
        <v>0.28000000000000003</v>
      </c>
      <c r="AE1793" s="142">
        <f>B1793*IBGE_2!AE$1793/100</f>
        <v>92.195999999999998</v>
      </c>
      <c r="AF1793" s="142">
        <f>B1793*IBGE_2!AF$1793/100</f>
        <v>0.49099999999999999</v>
      </c>
      <c r="AG1793" s="142">
        <f>B1793*IBGE_2!AG$1793/100</f>
        <v>1.212</v>
      </c>
      <c r="AH1793" s="142">
        <f>B1793*IBGE_2!AH$1793/100</f>
        <v>6.8000000000000005E-2</v>
      </c>
      <c r="AI1793" s="142">
        <f>B1793*IBGE_2!AI$1793/100</f>
        <v>100</v>
      </c>
      <c r="AJ1793" s="142">
        <f>B1793*IBGE_2!AJ$1793/100</f>
        <v>30.805999999999997</v>
      </c>
      <c r="AK1793" s="142">
        <f>B1793*IBGE_2!AK$1793/100</f>
        <v>20.353000000000002</v>
      </c>
      <c r="AL1793" s="142">
        <f>B1793*IBGE_2!AL$1793/100</f>
        <v>0.36299999999999999</v>
      </c>
      <c r="AM1793" s="145" t="s">
        <v>3047</v>
      </c>
      <c r="AN1793" s="161"/>
    </row>
    <row r="1794" spans="1:40">
      <c r="A1794" s="143" t="s">
        <v>2854</v>
      </c>
      <c r="B1794" s="141">
        <v>100</v>
      </c>
      <c r="C1794" s="142">
        <f>B1794*IBGE_2!C$1794/100</f>
        <v>274.60000000000002</v>
      </c>
      <c r="D1794" s="142">
        <f>B1794*IBGE_2!D$1794/100</f>
        <v>13.409000000000001</v>
      </c>
      <c r="E1794" s="142">
        <f>B1794*IBGE_2!E$1794/100</f>
        <v>16.878</v>
      </c>
      <c r="F1794" s="142">
        <f>B1794*IBGE_2!F$1794/100</f>
        <v>4.6059999999999999</v>
      </c>
      <c r="G1794" s="142">
        <f>B1794*IBGE_2!G$1794/100</f>
        <v>5.4889999999999999</v>
      </c>
      <c r="H1794" s="142">
        <f>B1794*IBGE_2!H$1794/100</f>
        <v>5.3659999999999988</v>
      </c>
      <c r="I1794" s="142">
        <f>B1794*IBGE_2!I$1794/100</f>
        <v>4.7169999999999996</v>
      </c>
      <c r="J1794" s="142">
        <f>B1794*IBGE_2!J$1794/100</f>
        <v>0.59299999999999997</v>
      </c>
      <c r="K1794" s="142">
        <f>B1794*IBGE_2!K$1794/100</f>
        <v>107.652</v>
      </c>
      <c r="L1794" s="142">
        <f>B1794*IBGE_2!L$1794/100</f>
        <v>16.544</v>
      </c>
      <c r="M1794" s="142">
        <f>B1794*IBGE_2!M$1794/100</f>
        <v>0.87599999999999989</v>
      </c>
      <c r="N1794" s="142">
        <f>B1794*IBGE_2!N$1794/100</f>
        <v>84.477999999999994</v>
      </c>
      <c r="O1794" s="142">
        <f>B1794*IBGE_2!O$1794/100</f>
        <v>19.5</v>
      </c>
      <c r="P1794" s="142">
        <f>B1794*IBGE_2!P$1794/100</f>
        <v>0.184</v>
      </c>
      <c r="Q1794" s="142">
        <f>B1794*IBGE_2!Q$1794/100</f>
        <v>154.245</v>
      </c>
      <c r="R1794" s="142">
        <f>B1794*IBGE_2!R$1794/100</f>
        <v>2.0489999999999999</v>
      </c>
      <c r="S1794" s="142">
        <f>B1794*IBGE_2!S$1794/100</f>
        <v>165.15899999999999</v>
      </c>
      <c r="T1794" s="142">
        <f>B1794*IBGE_2!T$1794/100</f>
        <v>213.10499999999999</v>
      </c>
      <c r="U1794" s="142">
        <f>B1794*IBGE_2!U$1794/100</f>
        <v>0.08</v>
      </c>
      <c r="V1794" s="142">
        <f>B1794*IBGE_2!V$1794/100</f>
        <v>2.4849999999999999</v>
      </c>
      <c r="W1794" s="142">
        <f>B1794*IBGE_2!W$1794/100</f>
        <v>43.722999999999999</v>
      </c>
      <c r="X1794" s="142">
        <f>B1794*IBGE_2!X$1794/100</f>
        <v>0.22500000000000001</v>
      </c>
      <c r="Y1794" s="142">
        <f>B1794*IBGE_2!Y$1794/100</f>
        <v>0.26500000000000001</v>
      </c>
      <c r="Z1794" s="142">
        <f>B1794*IBGE_2!Z$1794/100</f>
        <v>0.19</v>
      </c>
      <c r="AA1794" s="142">
        <f>B1794*IBGE_2!AA$1794/100</f>
        <v>3.0110000000000001</v>
      </c>
      <c r="AB1794" s="142">
        <f>B1794*IBGE_2!AB$1794/100</f>
        <v>1.6469999999999998</v>
      </c>
      <c r="AC1794" s="142">
        <f>B1794*IBGE_2!AC$1794/100</f>
        <v>4.6230000000000002</v>
      </c>
      <c r="AD1794" s="142">
        <f>B1794*IBGE_2!AD$1794/100</f>
        <v>1.27</v>
      </c>
      <c r="AE1794" s="142">
        <f>B1794*IBGE_2!AE$1794/100</f>
        <v>50.527999999999999</v>
      </c>
      <c r="AF1794" s="142">
        <f>B1794*IBGE_2!AF$1794/100</f>
        <v>0.64400000000000002</v>
      </c>
      <c r="AG1794" s="142">
        <f>B1794*IBGE_2!AG$1794/100</f>
        <v>1.008</v>
      </c>
      <c r="AH1794" s="142">
        <f>B1794*IBGE_2!AH$1794/100</f>
        <v>0.43200000000000005</v>
      </c>
      <c r="AI1794" s="142" t="s">
        <v>3047</v>
      </c>
      <c r="AJ1794" s="142">
        <f>B1794*IBGE_2!AJ$1794/100</f>
        <v>21.361000000000001</v>
      </c>
      <c r="AK1794" s="142">
        <f>B1794*IBGE_2!AK$1794/100</f>
        <v>48.167999999999999</v>
      </c>
      <c r="AL1794" s="142">
        <f>B1794*IBGE_2!AL$1794/100</f>
        <v>2.6789999999999998</v>
      </c>
      <c r="AM1794" s="142">
        <f>B1794*IBGE_2!AM$1794/100</f>
        <v>1.819</v>
      </c>
      <c r="AN1794" s="161"/>
    </row>
    <row r="1795" spans="1:40">
      <c r="A1795" s="143" t="s">
        <v>2855</v>
      </c>
      <c r="B1795" s="141">
        <v>100</v>
      </c>
      <c r="C1795" s="142">
        <f>B1795*IBGE_2!C$1795/100</f>
        <v>274.60000000000002</v>
      </c>
      <c r="D1795" s="142">
        <f>B1795*IBGE_2!D$1795/100</f>
        <v>13.409000000000001</v>
      </c>
      <c r="E1795" s="142">
        <f>B1795*IBGE_2!E$1795/100</f>
        <v>16.878</v>
      </c>
      <c r="F1795" s="142">
        <f>B1795*IBGE_2!F$1795/100</f>
        <v>4.6059999999999999</v>
      </c>
      <c r="G1795" s="142">
        <f>B1795*IBGE_2!G$1795/100</f>
        <v>5.4889999999999999</v>
      </c>
      <c r="H1795" s="142">
        <f>B1795*IBGE_2!H$1795/100</f>
        <v>5.3659999999999988</v>
      </c>
      <c r="I1795" s="142">
        <f>B1795*IBGE_2!I$1795/100</f>
        <v>4.7169999999999996</v>
      </c>
      <c r="J1795" s="142">
        <f>B1795*IBGE_2!J$1795/100</f>
        <v>0.59299999999999997</v>
      </c>
      <c r="K1795" s="142">
        <f>B1795*IBGE_2!K$1795/100</f>
        <v>107.652</v>
      </c>
      <c r="L1795" s="142">
        <f>B1795*IBGE_2!L$1795/100</f>
        <v>16.544</v>
      </c>
      <c r="M1795" s="142">
        <f>B1795*IBGE_2!M$1795/100</f>
        <v>0.87599999999999989</v>
      </c>
      <c r="N1795" s="142">
        <f>B1795*IBGE_2!N$1795/100</f>
        <v>84.477999999999994</v>
      </c>
      <c r="O1795" s="142">
        <f>B1795*IBGE_2!O$1795/100</f>
        <v>19.5</v>
      </c>
      <c r="P1795" s="142">
        <f>B1795*IBGE_2!P$1795/100</f>
        <v>0.184</v>
      </c>
      <c r="Q1795" s="142">
        <f>B1795*IBGE_2!Q$1795/100</f>
        <v>154.245</v>
      </c>
      <c r="R1795" s="142">
        <f>B1795*IBGE_2!R$1795/100</f>
        <v>2.0489999999999999</v>
      </c>
      <c r="S1795" s="142">
        <f>B1795*IBGE_2!S$1795/100</f>
        <v>165.15899999999999</v>
      </c>
      <c r="T1795" s="142">
        <f>B1795*IBGE_2!T$1795/100</f>
        <v>213.10499999999999</v>
      </c>
      <c r="U1795" s="142">
        <f>B1795*IBGE_2!U$1795/100</f>
        <v>0.08</v>
      </c>
      <c r="V1795" s="142">
        <f>B1795*IBGE_2!V$1795/100</f>
        <v>2.4849999999999999</v>
      </c>
      <c r="W1795" s="142">
        <f>B1795*IBGE_2!W$1795/100</f>
        <v>43.722999999999999</v>
      </c>
      <c r="X1795" s="142">
        <f>B1795*IBGE_2!X$1795/100</f>
        <v>0.22500000000000001</v>
      </c>
      <c r="Y1795" s="142">
        <f>B1795*IBGE_2!Y$1795/100</f>
        <v>0.26500000000000001</v>
      </c>
      <c r="Z1795" s="142">
        <f>B1795*IBGE_2!Z$1795/100</f>
        <v>0.19</v>
      </c>
      <c r="AA1795" s="142">
        <f>B1795*IBGE_2!AA$1795/100</f>
        <v>3.0110000000000001</v>
      </c>
      <c r="AB1795" s="142">
        <f>B1795*IBGE_2!AB$1795/100</f>
        <v>1.6469999999999998</v>
      </c>
      <c r="AC1795" s="142">
        <f>B1795*IBGE_2!AC$1795/100</f>
        <v>4.6230000000000002</v>
      </c>
      <c r="AD1795" s="142">
        <f>B1795*IBGE_2!AD$1795/100</f>
        <v>1.27</v>
      </c>
      <c r="AE1795" s="142">
        <f>B1795*IBGE_2!AE$1795/100</f>
        <v>50.527999999999999</v>
      </c>
      <c r="AF1795" s="142">
        <f>B1795*IBGE_2!AF$1795/100</f>
        <v>0.64400000000000002</v>
      </c>
      <c r="AG1795" s="142">
        <f>B1795*IBGE_2!AG$1795/100</f>
        <v>1.008</v>
      </c>
      <c r="AH1795" s="142">
        <f>B1795*IBGE_2!AH$1795/100</f>
        <v>0.43200000000000005</v>
      </c>
      <c r="AI1795" s="142" t="s">
        <v>3047</v>
      </c>
      <c r="AJ1795" s="142">
        <f>B1795*IBGE_2!AJ$1795/100</f>
        <v>21.361000000000001</v>
      </c>
      <c r="AK1795" s="142">
        <f>B1795*IBGE_2!AK$1795/100</f>
        <v>48.167999999999999</v>
      </c>
      <c r="AL1795" s="142">
        <f>B1795*IBGE_2!AL$1795/100</f>
        <v>2.6789999999999998</v>
      </c>
      <c r="AM1795" s="142">
        <f>B1795*IBGE_2!AM$1795/100</f>
        <v>1.819</v>
      </c>
      <c r="AN1795" s="161"/>
    </row>
    <row r="1796" spans="1:40">
      <c r="A1796" s="143" t="s">
        <v>2856</v>
      </c>
      <c r="B1796" s="141">
        <v>100</v>
      </c>
      <c r="C1796" s="142">
        <f>B1796*IBGE_2!C$1796/100</f>
        <v>153.96299999999999</v>
      </c>
      <c r="D1796" s="142">
        <f>B1796*IBGE_2!D$1796/100</f>
        <v>7.8869999999999996</v>
      </c>
      <c r="E1796" s="142">
        <f>B1796*IBGE_2!E$1796/100</f>
        <v>7.9080000000000004</v>
      </c>
      <c r="F1796" s="142">
        <f>B1796*IBGE_2!F$1796/100</f>
        <v>2.7069999999999999</v>
      </c>
      <c r="G1796" s="142">
        <f>B1796*IBGE_2!G$1796/100</f>
        <v>3.109</v>
      </c>
      <c r="H1796" s="142">
        <f>B1796*IBGE_2!H$1796/100</f>
        <v>1.589</v>
      </c>
      <c r="I1796" s="142">
        <f>B1796*IBGE_2!I$1796/100</f>
        <v>1.462</v>
      </c>
      <c r="J1796" s="142">
        <f>B1796*IBGE_2!J$1796/100</f>
        <v>8.7999999999999995E-2</v>
      </c>
      <c r="K1796" s="142">
        <f>B1796*IBGE_2!K$1796/100</f>
        <v>17.315999999999999</v>
      </c>
      <c r="L1796" s="142">
        <f>B1796*IBGE_2!L$1796/100</f>
        <v>12.470999999999998</v>
      </c>
      <c r="M1796" s="142">
        <f>B1796*IBGE_2!M$1796/100</f>
        <v>1.03</v>
      </c>
      <c r="N1796" s="142">
        <f>B1796*IBGE_2!N$1796/100</f>
        <v>12.562000000000001</v>
      </c>
      <c r="O1796" s="142">
        <f>B1796*IBGE_2!O$1796/100</f>
        <v>11.321</v>
      </c>
      <c r="P1796" s="142">
        <f>B1796*IBGE_2!P$1796/100</f>
        <v>0.188</v>
      </c>
      <c r="Q1796" s="142">
        <f>B1796*IBGE_2!Q$1796/100</f>
        <v>74.337000000000003</v>
      </c>
      <c r="R1796" s="142">
        <f>B1796*IBGE_2!R$1796/100</f>
        <v>1.056</v>
      </c>
      <c r="S1796" s="142">
        <f>B1796*IBGE_2!S$1796/100</f>
        <v>193.95400000000001</v>
      </c>
      <c r="T1796" s="142">
        <f>B1796*IBGE_2!T$1796/100</f>
        <v>136.56299999999999</v>
      </c>
      <c r="U1796" s="142">
        <f>B1796*IBGE_2!U$1796/100</f>
        <v>7.0999999999999994E-2</v>
      </c>
      <c r="V1796" s="142">
        <f>B1796*IBGE_2!V$1796/100</f>
        <v>0.43</v>
      </c>
      <c r="W1796" s="142">
        <f>B1796*IBGE_2!W$1796/100</f>
        <v>1.4370000000000003</v>
      </c>
      <c r="X1796" s="142">
        <f>B1796*IBGE_2!X$1796/100</f>
        <v>0.153</v>
      </c>
      <c r="Y1796" s="142">
        <f>B1796*IBGE_2!Y$1796/100</f>
        <v>0.109</v>
      </c>
      <c r="Z1796" s="142">
        <f>B1796*IBGE_2!Z$1796/100</f>
        <v>0.13200000000000001</v>
      </c>
      <c r="AA1796" s="142">
        <f>B1796*IBGE_2!AA$1796/100</f>
        <v>3.6240000000000006</v>
      </c>
      <c r="AB1796" s="142">
        <f>B1796*IBGE_2!AB$1796/100</f>
        <v>1.7829999999999999</v>
      </c>
      <c r="AC1796" s="142">
        <f>B1796*IBGE_2!AC$1796/100</f>
        <v>5.024</v>
      </c>
      <c r="AD1796" s="142">
        <f>B1796*IBGE_2!AD$1796/100</f>
        <v>0.10400000000000001</v>
      </c>
      <c r="AE1796" s="142">
        <f>B1796*IBGE_2!AE$1796/100</f>
        <v>33.268000000000001</v>
      </c>
      <c r="AF1796" s="142">
        <f>B1796*IBGE_2!AF$1796/100</f>
        <v>3.2000000000000001E-2</v>
      </c>
      <c r="AG1796" s="142">
        <f>B1796*IBGE_2!AG$1796/100</f>
        <v>0.21600000000000003</v>
      </c>
      <c r="AH1796" s="142">
        <f>B1796*IBGE_2!AH$1796/100</f>
        <v>0.7340000000000001</v>
      </c>
      <c r="AI1796" s="142" t="s">
        <v>3047</v>
      </c>
      <c r="AJ1796" s="142">
        <f>B1796*IBGE_2!AJ$1796/100</f>
        <v>8.4640000000000004</v>
      </c>
      <c r="AK1796" s="142">
        <f>B1796*IBGE_2!AK$1796/100</f>
        <v>80.471000000000004</v>
      </c>
      <c r="AL1796" s="142">
        <f>B1796*IBGE_2!AL$1796/100</f>
        <v>1.2170000000000001</v>
      </c>
      <c r="AM1796" s="145" t="s">
        <v>3047</v>
      </c>
      <c r="AN1796" s="161"/>
    </row>
    <row r="1797" spans="1:40">
      <c r="A1797" s="143" t="s">
        <v>2857</v>
      </c>
      <c r="B1797" s="141">
        <v>100</v>
      </c>
      <c r="C1797" s="142">
        <f>B1797*IBGE_2!C$1797/100</f>
        <v>274.60000000000002</v>
      </c>
      <c r="D1797" s="142">
        <f>B1797*IBGE_2!D$1797/100</f>
        <v>13.409000000000001</v>
      </c>
      <c r="E1797" s="142">
        <f>B1797*IBGE_2!E$1797/100</f>
        <v>16.878</v>
      </c>
      <c r="F1797" s="142">
        <f>B1797*IBGE_2!F$1797/100</f>
        <v>4.6059999999999999</v>
      </c>
      <c r="G1797" s="142">
        <f>B1797*IBGE_2!G$1797/100</f>
        <v>5.4889999999999999</v>
      </c>
      <c r="H1797" s="142">
        <f>B1797*IBGE_2!H$1797/100</f>
        <v>5.3659999999999988</v>
      </c>
      <c r="I1797" s="142">
        <f>B1797*IBGE_2!I$1797/100</f>
        <v>4.7169999999999996</v>
      </c>
      <c r="J1797" s="142">
        <f>B1797*IBGE_2!J$1797/100</f>
        <v>0.59299999999999997</v>
      </c>
      <c r="K1797" s="142">
        <f>B1797*IBGE_2!K$1797/100</f>
        <v>107.652</v>
      </c>
      <c r="L1797" s="142">
        <f>B1797*IBGE_2!L$1797/100</f>
        <v>16.544</v>
      </c>
      <c r="M1797" s="142">
        <f>B1797*IBGE_2!M$1797/100</f>
        <v>0.87599999999999989</v>
      </c>
      <c r="N1797" s="142">
        <f>B1797*IBGE_2!N$1797/100</f>
        <v>84.477999999999994</v>
      </c>
      <c r="O1797" s="142">
        <f>B1797*IBGE_2!O$1797/100</f>
        <v>19.5</v>
      </c>
      <c r="P1797" s="142">
        <f>B1797*IBGE_2!P$1797/100</f>
        <v>0.184</v>
      </c>
      <c r="Q1797" s="142">
        <f>B1797*IBGE_2!Q$1797/100</f>
        <v>154.245</v>
      </c>
      <c r="R1797" s="142">
        <f>B1797*IBGE_2!R$1797/100</f>
        <v>2.0489999999999999</v>
      </c>
      <c r="S1797" s="142">
        <f>B1797*IBGE_2!S$1797/100</f>
        <v>165.15899999999999</v>
      </c>
      <c r="T1797" s="142">
        <f>B1797*IBGE_2!T$1797/100</f>
        <v>213.10499999999999</v>
      </c>
      <c r="U1797" s="142">
        <f>B1797*IBGE_2!U$1797/100</f>
        <v>0.08</v>
      </c>
      <c r="V1797" s="142">
        <f>B1797*IBGE_2!V$1797/100</f>
        <v>2.4849999999999999</v>
      </c>
      <c r="W1797" s="142">
        <f>B1797*IBGE_2!W$1797/100</f>
        <v>43.722999999999999</v>
      </c>
      <c r="X1797" s="142">
        <f>B1797*IBGE_2!X$1797/100</f>
        <v>0.22500000000000001</v>
      </c>
      <c r="Y1797" s="142">
        <f>B1797*IBGE_2!Y$1797/100</f>
        <v>0.26500000000000001</v>
      </c>
      <c r="Z1797" s="142">
        <f>B1797*IBGE_2!Z$1797/100</f>
        <v>0.19</v>
      </c>
      <c r="AA1797" s="142">
        <f>B1797*IBGE_2!AA$1797/100</f>
        <v>3.0110000000000001</v>
      </c>
      <c r="AB1797" s="142">
        <f>B1797*IBGE_2!AB$1797/100</f>
        <v>1.6469999999999998</v>
      </c>
      <c r="AC1797" s="142">
        <f>B1797*IBGE_2!AC$1797/100</f>
        <v>4.6230000000000002</v>
      </c>
      <c r="AD1797" s="142">
        <f>B1797*IBGE_2!AD$1797/100</f>
        <v>1.27</v>
      </c>
      <c r="AE1797" s="142">
        <f>B1797*IBGE_2!AE$1797/100</f>
        <v>50.527999999999999</v>
      </c>
      <c r="AF1797" s="142">
        <f>B1797*IBGE_2!AF$1797/100</f>
        <v>0.64400000000000002</v>
      </c>
      <c r="AG1797" s="142">
        <f>B1797*IBGE_2!AG$1797/100</f>
        <v>1.008</v>
      </c>
      <c r="AH1797" s="142">
        <f>B1797*IBGE_2!AH$1797/100</f>
        <v>0.43200000000000005</v>
      </c>
      <c r="AI1797" s="142" t="s">
        <v>3047</v>
      </c>
      <c r="AJ1797" s="142">
        <f>B1797*IBGE_2!AJ$1797/100</f>
        <v>21.361000000000001</v>
      </c>
      <c r="AK1797" s="142">
        <f>B1797*IBGE_2!AK$1797/100</f>
        <v>48.167999999999999</v>
      </c>
      <c r="AL1797" s="142">
        <f>B1797*IBGE_2!AL$1797/100</f>
        <v>2.6789999999999998</v>
      </c>
      <c r="AM1797" s="142">
        <f>B1797*IBGE_2!AM$1797/100</f>
        <v>1.819</v>
      </c>
      <c r="AN1797" s="161"/>
    </row>
    <row r="1798" spans="1:40">
      <c r="A1798" s="143" t="s">
        <v>2858</v>
      </c>
      <c r="B1798" s="141">
        <v>100</v>
      </c>
      <c r="C1798" s="142">
        <f>B1798*IBGE_2!C$1798/100</f>
        <v>289</v>
      </c>
      <c r="D1798" s="142">
        <f>B1798*IBGE_2!D$1798/100</f>
        <v>8.3000000000000007</v>
      </c>
      <c r="E1798" s="142">
        <f>B1798*IBGE_2!E$1798/100</f>
        <v>19.899999999999999</v>
      </c>
      <c r="F1798" s="142">
        <f>B1798*IBGE_2!F$1798/100</f>
        <v>9.1</v>
      </c>
      <c r="G1798" s="142">
        <f>B1798*IBGE_2!G$1798/100</f>
        <v>7.8</v>
      </c>
      <c r="H1798" s="142">
        <f>B1798*IBGE_2!H$1798/100</f>
        <v>2.1</v>
      </c>
      <c r="I1798" s="142">
        <f>B1798*IBGE_2!I$1798/100</f>
        <v>2.0099999999999998</v>
      </c>
      <c r="J1798" s="142">
        <f>B1798*IBGE_2!J$1798/100</f>
        <v>0.12</v>
      </c>
      <c r="K1798" s="142">
        <f>B1798*IBGE_2!K$1798/100</f>
        <v>25</v>
      </c>
      <c r="L1798" s="142">
        <f>B1798*IBGE_2!L$1798/100</f>
        <v>19.100000000000001</v>
      </c>
      <c r="M1798" s="142">
        <f>B1798*IBGE_2!M$1798/100</f>
        <v>9.4</v>
      </c>
      <c r="N1798" s="142">
        <f>B1798*IBGE_2!N$1798/100</f>
        <v>124</v>
      </c>
      <c r="O1798" s="142">
        <f>B1798*IBGE_2!O$1798/100</f>
        <v>51</v>
      </c>
      <c r="P1798" s="142">
        <f>B1798*IBGE_2!P$1798/100</f>
        <v>0.59</v>
      </c>
      <c r="Q1798" s="142">
        <f>B1798*IBGE_2!Q$1798/100</f>
        <v>142</v>
      </c>
      <c r="R1798" s="142">
        <f>B1798*IBGE_2!R$1798/100</f>
        <v>1.9</v>
      </c>
      <c r="S1798" s="142">
        <f>B1798*IBGE_2!S$1798/100</f>
        <v>305</v>
      </c>
      <c r="T1798" s="142">
        <f>B1798*IBGE_2!T$1798/100</f>
        <v>354</v>
      </c>
      <c r="U1798" s="142">
        <f>B1798*IBGE_2!U$1798/100</f>
        <v>0.23</v>
      </c>
      <c r="V1798" s="142">
        <f>B1798*IBGE_2!V$1798/100</f>
        <v>1.2</v>
      </c>
      <c r="W1798" s="142" t="s">
        <v>3047</v>
      </c>
      <c r="X1798" s="142">
        <f>B1798*IBGE_2!X$1798/100</f>
        <v>0.06</v>
      </c>
      <c r="Y1798" s="142" t="s">
        <v>3047</v>
      </c>
      <c r="Z1798" s="142" t="s">
        <v>3047</v>
      </c>
      <c r="AA1798" s="142" t="s">
        <v>3047</v>
      </c>
      <c r="AB1798" s="142" t="s">
        <v>3047</v>
      </c>
      <c r="AC1798" s="142" t="s">
        <v>3047</v>
      </c>
      <c r="AD1798" s="142" t="s">
        <v>3047</v>
      </c>
      <c r="AE1798" s="142" t="s">
        <v>3047</v>
      </c>
      <c r="AF1798" s="142" t="s">
        <v>3047</v>
      </c>
      <c r="AG1798" s="142" t="s">
        <v>3047</v>
      </c>
      <c r="AH1798" s="142" t="s">
        <v>3047</v>
      </c>
      <c r="AI1798" s="142" t="s">
        <v>3047</v>
      </c>
      <c r="AJ1798" s="142" t="s">
        <v>3047</v>
      </c>
      <c r="AK1798" s="142" t="s">
        <v>3047</v>
      </c>
      <c r="AL1798" s="142" t="s">
        <v>3047</v>
      </c>
      <c r="AM1798" s="142" t="s">
        <v>3047</v>
      </c>
      <c r="AN1798" s="161"/>
    </row>
    <row r="1799" spans="1:40">
      <c r="A1799" s="143" t="s">
        <v>2859</v>
      </c>
      <c r="B1799" s="141">
        <v>100</v>
      </c>
      <c r="C1799" s="142">
        <f>B1799*IBGE_2!C$1799/100</f>
        <v>544</v>
      </c>
      <c r="D1799" s="142">
        <f>B1799*IBGE_2!D$1799/100</f>
        <v>61.3</v>
      </c>
      <c r="E1799" s="142">
        <f>B1799*IBGE_2!E$1799/100</f>
        <v>31.3</v>
      </c>
      <c r="F1799" s="142">
        <f>B1799*IBGE_2!F$1799/100</f>
        <v>11.37</v>
      </c>
      <c r="G1799" s="142">
        <f>B1799*IBGE_2!G$1799/100</f>
        <v>14.78</v>
      </c>
      <c r="H1799" s="142">
        <f>B1799*IBGE_2!H$1799/100</f>
        <v>3.64</v>
      </c>
      <c r="I1799" s="142">
        <f>B1799*IBGE_2!I$1799/100</f>
        <v>3.35</v>
      </c>
      <c r="J1799" s="142">
        <f>B1799*IBGE_2!J$1799/100</f>
        <v>0.26</v>
      </c>
      <c r="K1799" s="142">
        <f>B1799*IBGE_2!K$1799/100</f>
        <v>95</v>
      </c>
      <c r="L1799" s="142" t="s">
        <v>3047</v>
      </c>
      <c r="M1799" s="142" t="s">
        <v>3047</v>
      </c>
      <c r="N1799" s="142">
        <f>B1799*IBGE_2!N$1799/100</f>
        <v>30</v>
      </c>
      <c r="O1799" s="142">
        <f>B1799*IBGE_2!O$1799/100</f>
        <v>11</v>
      </c>
      <c r="P1799" s="142">
        <f>B1799*IBGE_2!P$1799/100</f>
        <v>6.9000000000000006E-2</v>
      </c>
      <c r="Q1799" s="142">
        <f>B1799*IBGE_2!Q$1799/100</f>
        <v>85</v>
      </c>
      <c r="R1799" s="142">
        <f>B1799*IBGE_2!R$1799/100</f>
        <v>0.88</v>
      </c>
      <c r="S1799" s="142">
        <f>B1799*IBGE_2!S$1799/100</f>
        <v>1838</v>
      </c>
      <c r="T1799" s="142">
        <f>B1799*IBGE_2!T$1799/100</f>
        <v>127</v>
      </c>
      <c r="U1799" s="142">
        <f>B1799*IBGE_2!U$1799/100</f>
        <v>9.4E-2</v>
      </c>
      <c r="V1799" s="142">
        <f>B1799*IBGE_2!V$1799/100</f>
        <v>0.56000000000000005</v>
      </c>
      <c r="W1799" s="142">
        <f>B1799*IBGE_2!W$1799/100</f>
        <v>12</v>
      </c>
      <c r="X1799" s="142">
        <f>B1799*IBGE_2!X$1799/100</f>
        <v>9.9000000000000005E-2</v>
      </c>
      <c r="Y1799" s="142">
        <f>B1799*IBGE_2!Y$1799/100</f>
        <v>0.28299999999999997</v>
      </c>
      <c r="Z1799" s="142">
        <f>B1799*IBGE_2!Z$1799/100</f>
        <v>2.3E-2</v>
      </c>
      <c r="AA1799" s="142">
        <f>B1799*IBGE_2!AA$1799/100</f>
        <v>1.5490000000000002</v>
      </c>
      <c r="AB1799" s="142">
        <f>B1799*IBGE_2!AB$1799/100</f>
        <v>0.5</v>
      </c>
      <c r="AC1799" s="142">
        <f>B1799*IBGE_2!AC$1799/100</f>
        <v>3.516</v>
      </c>
      <c r="AD1799" s="142">
        <f>B1799*IBGE_2!AD$1799/100</f>
        <v>0.64</v>
      </c>
      <c r="AE1799" s="142" t="s">
        <v>3047</v>
      </c>
      <c r="AF1799" s="142" t="s">
        <v>3047</v>
      </c>
      <c r="AG1799" s="142">
        <f>B1799*IBGE_2!AG$1799/100</f>
        <v>0.53</v>
      </c>
      <c r="AH1799" s="142">
        <f>B1799*IBGE_2!AH$1799/100</f>
        <v>0.31</v>
      </c>
      <c r="AI1799" s="142" t="s">
        <v>3047</v>
      </c>
      <c r="AJ1799" s="142">
        <f>B1799*IBGE_2!AJ$1799/100</f>
        <v>41</v>
      </c>
      <c r="AK1799" s="142">
        <f>B1799*IBGE_2!AK$1799/100</f>
        <v>12</v>
      </c>
      <c r="AL1799" s="145" t="s">
        <v>3047</v>
      </c>
      <c r="AM1799" s="145" t="s">
        <v>3047</v>
      </c>
      <c r="AN1799" s="161"/>
    </row>
    <row r="1800" spans="1:40">
      <c r="A1800" s="143" t="s">
        <v>2860</v>
      </c>
      <c r="B1800" s="141">
        <v>100</v>
      </c>
      <c r="C1800" s="142">
        <f>B1800*IBGE_2!C$1800/100</f>
        <v>274.60000000000002</v>
      </c>
      <c r="D1800" s="142">
        <f>B1800*IBGE_2!D$1800/100</f>
        <v>13.409000000000001</v>
      </c>
      <c r="E1800" s="142">
        <f>B1800*IBGE_2!E$1800/100</f>
        <v>16.878</v>
      </c>
      <c r="F1800" s="142">
        <f>B1800*IBGE_2!F$1800/100</f>
        <v>4.6059999999999999</v>
      </c>
      <c r="G1800" s="142">
        <f>B1800*IBGE_2!G$1800/100</f>
        <v>5.4889999999999999</v>
      </c>
      <c r="H1800" s="142">
        <f>B1800*IBGE_2!H$1800/100</f>
        <v>5.3659999999999988</v>
      </c>
      <c r="I1800" s="142">
        <f>B1800*IBGE_2!I$1800/100</f>
        <v>4.7169999999999996</v>
      </c>
      <c r="J1800" s="142">
        <f>B1800*IBGE_2!J$1800/100</f>
        <v>0.59299999999999997</v>
      </c>
      <c r="K1800" s="142">
        <f>B1800*IBGE_2!K$1800/100</f>
        <v>107.652</v>
      </c>
      <c r="L1800" s="142">
        <f>B1800*IBGE_2!L$1800/100</f>
        <v>16.544</v>
      </c>
      <c r="M1800" s="142">
        <f>B1800*IBGE_2!M$1800/100</f>
        <v>0.87599999999999989</v>
      </c>
      <c r="N1800" s="142">
        <f>B1800*IBGE_2!N$1800/100</f>
        <v>84.477999999999994</v>
      </c>
      <c r="O1800" s="142">
        <f>B1800*IBGE_2!O$1800/100</f>
        <v>19.5</v>
      </c>
      <c r="P1800" s="142">
        <f>B1800*IBGE_2!P$1800/100</f>
        <v>0.184</v>
      </c>
      <c r="Q1800" s="142">
        <f>B1800*IBGE_2!Q$1800/100</f>
        <v>154.245</v>
      </c>
      <c r="R1800" s="142">
        <f>B1800*IBGE_2!R$1800/100</f>
        <v>2.0489999999999999</v>
      </c>
      <c r="S1800" s="142">
        <f>B1800*IBGE_2!S$1800/100</f>
        <v>165.15899999999999</v>
      </c>
      <c r="T1800" s="142">
        <f>B1800*IBGE_2!T$1800/100</f>
        <v>213.10499999999999</v>
      </c>
      <c r="U1800" s="142">
        <f>B1800*IBGE_2!U$1800/100</f>
        <v>0.08</v>
      </c>
      <c r="V1800" s="142">
        <f>B1800*IBGE_2!V$1800/100</f>
        <v>2.4849999999999999</v>
      </c>
      <c r="W1800" s="142">
        <f>B1800*IBGE_2!W$1800/100</f>
        <v>43.722999999999999</v>
      </c>
      <c r="X1800" s="142">
        <f>B1800*IBGE_2!X$1800/100</f>
        <v>0.22500000000000001</v>
      </c>
      <c r="Y1800" s="142">
        <f>B1800*IBGE_2!Y$1800/100</f>
        <v>0.26500000000000001</v>
      </c>
      <c r="Z1800" s="142">
        <f>B1800*IBGE_2!Z$1800/100</f>
        <v>0.19</v>
      </c>
      <c r="AA1800" s="142">
        <f>B1800*IBGE_2!AA$1800/100</f>
        <v>3.0110000000000001</v>
      </c>
      <c r="AB1800" s="142">
        <f>B1800*IBGE_2!AB$1800/100</f>
        <v>1.6469999999999998</v>
      </c>
      <c r="AC1800" s="142">
        <f>B1800*IBGE_2!AC$1800/100</f>
        <v>4.6230000000000002</v>
      </c>
      <c r="AD1800" s="142">
        <f>B1800*IBGE_2!AD$1800/100</f>
        <v>1.27</v>
      </c>
      <c r="AE1800" s="142">
        <f>B1800*IBGE_2!AE$1800/100</f>
        <v>50.527999999999999</v>
      </c>
      <c r="AF1800" s="142">
        <f>B1800*IBGE_2!AF$1800/100</f>
        <v>0.64400000000000002</v>
      </c>
      <c r="AG1800" s="142">
        <f>B1800*IBGE_2!AG$1800/100</f>
        <v>1.008</v>
      </c>
      <c r="AH1800" s="142">
        <f>B1800*IBGE_2!AH$1800/100</f>
        <v>0.43200000000000005</v>
      </c>
      <c r="AI1800" s="142" t="s">
        <v>3047</v>
      </c>
      <c r="AJ1800" s="142">
        <f>B1800*IBGE_2!AJ$1800/100</f>
        <v>21.361000000000001</v>
      </c>
      <c r="AK1800" s="142">
        <f>B1800*IBGE_2!AK$1800/100</f>
        <v>48.167999999999999</v>
      </c>
      <c r="AL1800" s="142">
        <f>B1800*IBGE_2!AL$1800/100</f>
        <v>2.6789999999999998</v>
      </c>
      <c r="AM1800" s="142">
        <f>B1800*IBGE_2!AM$1800/100</f>
        <v>1.819</v>
      </c>
      <c r="AN1800" s="161"/>
    </row>
    <row r="1801" spans="1:40">
      <c r="A1801" s="143" t="s">
        <v>2861</v>
      </c>
      <c r="B1801" s="141">
        <v>100</v>
      </c>
      <c r="C1801" s="142">
        <f>B1801*IBGE_2!C$1801/100</f>
        <v>289</v>
      </c>
      <c r="D1801" s="142">
        <f>B1801*IBGE_2!D$1801/100</f>
        <v>8.3000000000000007</v>
      </c>
      <c r="E1801" s="142">
        <f>B1801*IBGE_2!E$1801/100</f>
        <v>19.899999999999999</v>
      </c>
      <c r="F1801" s="142">
        <f>B1801*IBGE_2!F$1801/100</f>
        <v>9.1</v>
      </c>
      <c r="G1801" s="142">
        <f>B1801*IBGE_2!G$1801/100</f>
        <v>7.8</v>
      </c>
      <c r="H1801" s="142">
        <f>B1801*IBGE_2!H$1801/100</f>
        <v>2.1</v>
      </c>
      <c r="I1801" s="142">
        <f>B1801*IBGE_2!I$1801/100</f>
        <v>2.0099999999999998</v>
      </c>
      <c r="J1801" s="142">
        <f>B1801*IBGE_2!J$1801/100</f>
        <v>0.12</v>
      </c>
      <c r="K1801" s="142">
        <f>B1801*IBGE_2!K$1801/100</f>
        <v>25</v>
      </c>
      <c r="L1801" s="142">
        <f>B1801*IBGE_2!L$1801/100</f>
        <v>19.100000000000001</v>
      </c>
      <c r="M1801" s="142">
        <f>B1801*IBGE_2!M$1801/100</f>
        <v>9.4</v>
      </c>
      <c r="N1801" s="142">
        <f>B1801*IBGE_2!N$1801/100</f>
        <v>124</v>
      </c>
      <c r="O1801" s="142">
        <f>B1801*IBGE_2!O$1801/100</f>
        <v>51</v>
      </c>
      <c r="P1801" s="142">
        <f>B1801*IBGE_2!P$1801/100</f>
        <v>0.59</v>
      </c>
      <c r="Q1801" s="142">
        <f>B1801*IBGE_2!Q$1801/100</f>
        <v>142</v>
      </c>
      <c r="R1801" s="142">
        <f>B1801*IBGE_2!R$1801/100</f>
        <v>1.9</v>
      </c>
      <c r="S1801" s="142">
        <f>B1801*IBGE_2!S$1801/100</f>
        <v>305</v>
      </c>
      <c r="T1801" s="142">
        <f>B1801*IBGE_2!T$1801/100</f>
        <v>354</v>
      </c>
      <c r="U1801" s="142">
        <f>B1801*IBGE_2!U$1801/100</f>
        <v>0.23</v>
      </c>
      <c r="V1801" s="142">
        <f>B1801*IBGE_2!V$1801/100</f>
        <v>1.2</v>
      </c>
      <c r="W1801" s="142" t="s">
        <v>3047</v>
      </c>
      <c r="X1801" s="142">
        <f>B1801*IBGE_2!X$1801/100</f>
        <v>0.06</v>
      </c>
      <c r="Y1801" s="142" t="s">
        <v>3047</v>
      </c>
      <c r="Z1801" s="142" t="s">
        <v>3047</v>
      </c>
      <c r="AA1801" s="142" t="s">
        <v>3047</v>
      </c>
      <c r="AB1801" s="142" t="s">
        <v>3047</v>
      </c>
      <c r="AC1801" s="142" t="s">
        <v>3047</v>
      </c>
      <c r="AD1801" s="142" t="s">
        <v>3047</v>
      </c>
      <c r="AE1801" s="142" t="s">
        <v>3047</v>
      </c>
      <c r="AF1801" s="142" t="s">
        <v>3047</v>
      </c>
      <c r="AG1801" s="142" t="s">
        <v>3047</v>
      </c>
      <c r="AH1801" s="142" t="s">
        <v>3047</v>
      </c>
      <c r="AI1801" s="142" t="s">
        <v>3047</v>
      </c>
      <c r="AJ1801" s="142" t="s">
        <v>3047</v>
      </c>
      <c r="AK1801" s="142" t="s">
        <v>3047</v>
      </c>
      <c r="AL1801" s="142" t="s">
        <v>3047</v>
      </c>
      <c r="AM1801" s="142" t="s">
        <v>3047</v>
      </c>
      <c r="AN1801" s="161"/>
    </row>
    <row r="1802" spans="1:40">
      <c r="A1802" s="143" t="s">
        <v>2862</v>
      </c>
      <c r="B1802" s="141">
        <v>100</v>
      </c>
      <c r="C1802" s="142">
        <f>B1802*IBGE_2!C$1802/100</f>
        <v>354.00202000000007</v>
      </c>
      <c r="D1802" s="142">
        <f>B1802*IBGE_2!D$1802/100</f>
        <v>13.443</v>
      </c>
      <c r="E1802" s="142">
        <f>B1802*IBGE_2!E$1802/100</f>
        <v>13.428509999999999</v>
      </c>
      <c r="F1802" s="142">
        <f>B1802*IBGE_2!F$1802/100</f>
        <v>5.4522199999999996</v>
      </c>
      <c r="G1802" s="142">
        <f>B1802*IBGE_2!G$1802/100</f>
        <v>4.6311900000000001</v>
      </c>
      <c r="H1802" s="142">
        <f>B1802*IBGE_2!H$1802/100</f>
        <v>1.9118299999999999</v>
      </c>
      <c r="I1802" s="142">
        <f>B1802*IBGE_2!I$1802/100</f>
        <v>1.6489799999999999</v>
      </c>
      <c r="J1802" s="142">
        <f>B1802*IBGE_2!J$1802/100</f>
        <v>0.24528</v>
      </c>
      <c r="K1802" s="142">
        <f>B1802*IBGE_2!K$1802/100</f>
        <v>47</v>
      </c>
      <c r="L1802" s="142">
        <f>B1802*IBGE_2!L$1802/100</f>
        <v>43.95</v>
      </c>
      <c r="M1802" s="142">
        <f>B1802*IBGE_2!M$1802/100</f>
        <v>3.2</v>
      </c>
      <c r="N1802" s="142">
        <f>B1802*IBGE_2!N$1802/100</f>
        <v>38.61</v>
      </c>
      <c r="O1802" s="142">
        <f>B1802*IBGE_2!O$1802/100</f>
        <v>24.14</v>
      </c>
      <c r="P1802" s="142">
        <f>B1802*IBGE_2!P$1802/100</f>
        <v>9.4000000000000004E-3</v>
      </c>
      <c r="Q1802" s="142">
        <f>B1802*IBGE_2!Q$1802/100</f>
        <v>59.54</v>
      </c>
      <c r="R1802" s="142">
        <f>B1802*IBGE_2!R$1802/100</f>
        <v>1.4444999999999999</v>
      </c>
      <c r="S1802" s="142">
        <f>B1802*IBGE_2!S$1802/100</f>
        <v>913.71</v>
      </c>
      <c r="T1802" s="142">
        <f>B1802*IBGE_2!T$1802/100</f>
        <v>210.42</v>
      </c>
      <c r="U1802" s="142">
        <f>B1802*IBGE_2!U$1802/100</f>
        <v>5.4099999999999995E-2</v>
      </c>
      <c r="V1802" s="142">
        <f>B1802*IBGE_2!V$1802/100</f>
        <v>3.8193000000000001</v>
      </c>
      <c r="W1802" s="142" t="s">
        <v>3047</v>
      </c>
      <c r="X1802" s="142">
        <f>B1802*IBGE_2!X$1802/100</f>
        <v>7.0000000000000007E-2</v>
      </c>
      <c r="Y1802" s="142">
        <f>B1802*IBGE_2!Y$1802/100</f>
        <v>2.8199999999999992E-2</v>
      </c>
      <c r="Z1802" s="142" t="s">
        <v>3047</v>
      </c>
      <c r="AA1802" s="142" t="s">
        <v>3047</v>
      </c>
      <c r="AB1802" s="142" t="s">
        <v>3047</v>
      </c>
      <c r="AC1802" s="142" t="s">
        <v>3047</v>
      </c>
      <c r="AD1802" s="142" t="s">
        <v>3047</v>
      </c>
      <c r="AE1802" s="142" t="s">
        <v>3047</v>
      </c>
      <c r="AF1802" s="142" t="s">
        <v>3047</v>
      </c>
      <c r="AG1802" s="142">
        <f>B1802*IBGE_2!AG$1802/100</f>
        <v>0.24423000000000003</v>
      </c>
      <c r="AH1802" s="142">
        <f>B1802*IBGE_2!AH$1802/100</f>
        <v>1.5900000000000001E-2</v>
      </c>
      <c r="AI1802" s="142" t="s">
        <v>3047</v>
      </c>
      <c r="AJ1802" s="142">
        <f>B1802*IBGE_2!AJ$1802/100</f>
        <v>1.3682699999999999</v>
      </c>
      <c r="AK1802" s="145" t="s">
        <v>3047</v>
      </c>
      <c r="AL1802" s="145" t="s">
        <v>3047</v>
      </c>
      <c r="AM1802" s="142" t="s">
        <v>3047</v>
      </c>
      <c r="AN1802" s="161"/>
    </row>
    <row r="1803" spans="1:40">
      <c r="A1803" s="143" t="s">
        <v>2863</v>
      </c>
      <c r="B1803" s="141">
        <v>100</v>
      </c>
      <c r="C1803" s="142">
        <f>B1803*IBGE_2!C$1803/100</f>
        <v>74.596000000000004</v>
      </c>
      <c r="D1803" s="142">
        <f>B1803*IBGE_2!D$1803/100</f>
        <v>1.454</v>
      </c>
      <c r="E1803" s="142">
        <f>B1803*IBGE_2!E$1803/100</f>
        <v>1.7809999999999999</v>
      </c>
      <c r="F1803" s="142">
        <f>B1803*IBGE_2!F$1803/100</f>
        <v>1.0289999999999999</v>
      </c>
      <c r="G1803" s="142">
        <f>B1803*IBGE_2!G$1803/100</f>
        <v>0.46</v>
      </c>
      <c r="H1803" s="142">
        <f>B1803*IBGE_2!H$1803/100</f>
        <v>0.14399999999999999</v>
      </c>
      <c r="I1803" s="142">
        <f>B1803*IBGE_2!I$1803/100</f>
        <v>0.13500000000000001</v>
      </c>
      <c r="J1803" s="142">
        <f>B1803*IBGE_2!J$1803/100</f>
        <v>8.9999999999999993E-3</v>
      </c>
      <c r="K1803" s="142">
        <f>B1803*IBGE_2!K$1803/100</f>
        <v>4.202</v>
      </c>
      <c r="L1803" s="142">
        <f>B1803*IBGE_2!L$1803/100</f>
        <v>13</v>
      </c>
      <c r="M1803" s="142">
        <f>B1803*IBGE_2!M$1803/100</f>
        <v>0.26100000000000001</v>
      </c>
      <c r="N1803" s="142">
        <f>B1803*IBGE_2!N$1803/100</f>
        <v>3.43</v>
      </c>
      <c r="O1803" s="142">
        <f>B1803*IBGE_2!O$1803/100</f>
        <v>5.2839999999999998</v>
      </c>
      <c r="P1803" s="142">
        <f>B1803*IBGE_2!P$1803/100</f>
        <v>1.7999999999999999E-2</v>
      </c>
      <c r="Q1803" s="142">
        <f>B1803*IBGE_2!Q$1803/100</f>
        <v>12.39</v>
      </c>
      <c r="R1803" s="142">
        <f>B1803*IBGE_2!R$1803/100</f>
        <v>0.6409999999999999</v>
      </c>
      <c r="S1803" s="142">
        <f>B1803*IBGE_2!S$1803/100</f>
        <v>250.51499999999999</v>
      </c>
      <c r="T1803" s="142">
        <f>B1803*IBGE_2!T$1803/100</f>
        <v>22.89</v>
      </c>
      <c r="U1803" s="142">
        <f>B1803*IBGE_2!U$1803/100</f>
        <v>2.1000000000000001E-2</v>
      </c>
      <c r="V1803" s="142">
        <f>B1803*IBGE_2!V$1803/100</f>
        <v>7.8E-2</v>
      </c>
      <c r="W1803" s="142">
        <f>B1803*IBGE_2!W$1803/100</f>
        <v>13.113</v>
      </c>
      <c r="X1803" s="142">
        <f>B1803*IBGE_2!X$1803/100</f>
        <v>0.105</v>
      </c>
      <c r="Y1803" s="142">
        <f>B1803*IBGE_2!Y$1803/100</f>
        <v>6.3E-2</v>
      </c>
      <c r="Z1803" s="142">
        <f>B1803*IBGE_2!Z$1803/100</f>
        <v>2.4E-2</v>
      </c>
      <c r="AA1803" s="142">
        <f>B1803*IBGE_2!AA$1803/100</f>
        <v>0.81100000000000005</v>
      </c>
      <c r="AB1803" s="142" t="s">
        <v>3047</v>
      </c>
      <c r="AC1803" s="142">
        <f>B1803*IBGE_2!AC$1803/100</f>
        <v>0.98299999999999998</v>
      </c>
      <c r="AD1803" s="142">
        <f>B1803*IBGE_2!AD$1803/100</f>
        <v>3.0000000000000001E-3</v>
      </c>
      <c r="AE1803" s="142">
        <f>B1803*IBGE_2!AE$1803/100</f>
        <v>39.496000000000002</v>
      </c>
      <c r="AF1803" s="142">
        <f>B1803*IBGE_2!AF$1803/100</f>
        <v>2.7000000000000003E-2</v>
      </c>
      <c r="AG1803" s="142">
        <f>B1803*IBGE_2!AG$1803/100</f>
        <v>6.5000000000000002E-2</v>
      </c>
      <c r="AH1803" s="142">
        <f>B1803*IBGE_2!AH$1803/100</f>
        <v>6.4000000000000001E-2</v>
      </c>
      <c r="AI1803" s="142" t="s">
        <v>3047</v>
      </c>
      <c r="AJ1803" s="142">
        <f>B1803*IBGE_2!AJ$1803/100</f>
        <v>2.7959999999999998</v>
      </c>
      <c r="AK1803" s="142">
        <f>B1803*IBGE_2!AK$1803/100</f>
        <v>13.39</v>
      </c>
      <c r="AL1803" s="142">
        <f>B1803*IBGE_2!AL$1803/100</f>
        <v>0.52100000000000002</v>
      </c>
      <c r="AM1803" s="142" t="s">
        <v>3047</v>
      </c>
      <c r="AN1803" s="161"/>
    </row>
    <row r="1804" spans="1:40">
      <c r="A1804" s="143" t="s">
        <v>2864</v>
      </c>
      <c r="B1804" s="141">
        <v>100</v>
      </c>
      <c r="C1804" s="142">
        <f>B1804*IBGE_2!C$1804/100</f>
        <v>60.584000000000003</v>
      </c>
      <c r="D1804" s="142">
        <f>B1804*IBGE_2!D$1804/100</f>
        <v>1.4370000000000003</v>
      </c>
      <c r="E1804" s="142">
        <f>B1804*IBGE_2!E$1804/100</f>
        <v>0.19600000000000001</v>
      </c>
      <c r="F1804" s="142">
        <f>B1804*IBGE_2!F$1804/100</f>
        <v>2.5000000000000001E-2</v>
      </c>
      <c r="G1804" s="142">
        <f>B1804*IBGE_2!G$1804/100</f>
        <v>4.9000000000000002E-2</v>
      </c>
      <c r="H1804" s="142">
        <f>B1804*IBGE_2!H$1804/100</f>
        <v>8.4000000000000005E-2</v>
      </c>
      <c r="I1804" s="142">
        <f>B1804*IBGE_2!I$1804/100</f>
        <v>8.2000000000000017E-2</v>
      </c>
      <c r="J1804" s="142">
        <f>B1804*IBGE_2!J$1804/100</f>
        <v>2E-3</v>
      </c>
      <c r="K1804" s="142" t="s">
        <v>3047</v>
      </c>
      <c r="L1804" s="142">
        <f>B1804*IBGE_2!L$1804/100</f>
        <v>12.999000000000001</v>
      </c>
      <c r="M1804" s="142">
        <f>B1804*IBGE_2!M$1804/100</f>
        <v>0.26100000000000001</v>
      </c>
      <c r="N1804" s="142">
        <f>B1804*IBGE_2!N$1804/100</f>
        <v>2.9609999999999999</v>
      </c>
      <c r="O1804" s="142">
        <f>B1804*IBGE_2!O$1804/100</f>
        <v>5.2450000000000001</v>
      </c>
      <c r="P1804" s="142">
        <f>B1804*IBGE_2!P$1804/100</f>
        <v>1.7999999999999999E-2</v>
      </c>
      <c r="Q1804" s="142">
        <f>B1804*IBGE_2!Q$1804/100</f>
        <v>11.920999999999999</v>
      </c>
      <c r="R1804" s="142">
        <f>B1804*IBGE_2!R$1804/100</f>
        <v>0.6409999999999999</v>
      </c>
      <c r="S1804" s="142">
        <f>B1804*IBGE_2!S$1804/100</f>
        <v>239.25899999999999</v>
      </c>
      <c r="T1804" s="142">
        <f>B1804*IBGE_2!T$1804/100</f>
        <v>22.420999999999999</v>
      </c>
      <c r="U1804" s="142">
        <f>B1804*IBGE_2!U$1804/100</f>
        <v>2.1000000000000001E-2</v>
      </c>
      <c r="V1804" s="142">
        <f>B1804*IBGE_2!V$1804/100</f>
        <v>7.5999999999999998E-2</v>
      </c>
      <c r="W1804" s="142" t="s">
        <v>3047</v>
      </c>
      <c r="X1804" s="142">
        <f>B1804*IBGE_2!X$1804/100</f>
        <v>0.105</v>
      </c>
      <c r="Y1804" s="142">
        <f>B1804*IBGE_2!Y$1804/100</f>
        <v>6.2E-2</v>
      </c>
      <c r="Z1804" s="142">
        <f>B1804*IBGE_2!Z$1804/100</f>
        <v>2.4E-2</v>
      </c>
      <c r="AA1804" s="142">
        <f>B1804*IBGE_2!AA$1804/100</f>
        <v>0.81</v>
      </c>
      <c r="AB1804" s="142" t="s">
        <v>3047</v>
      </c>
      <c r="AC1804" s="142">
        <f>B1804*IBGE_2!AC$1804/100</f>
        <v>0.97899999999999987</v>
      </c>
      <c r="AD1804" s="142" t="s">
        <v>3047</v>
      </c>
      <c r="AE1804" s="142">
        <f>B1804*IBGE_2!AE$1804/100</f>
        <v>39.436999999999998</v>
      </c>
      <c r="AF1804" s="142" t="s">
        <v>3047</v>
      </c>
      <c r="AG1804" s="142">
        <f>B1804*IBGE_2!AG$1804/100</f>
        <v>0.02</v>
      </c>
      <c r="AH1804" s="142" t="s">
        <v>3047</v>
      </c>
      <c r="AI1804" s="142" t="s">
        <v>3047</v>
      </c>
      <c r="AJ1804" s="142">
        <f>B1804*IBGE_2!AJ$1804/100</f>
        <v>2.7769999999999997</v>
      </c>
      <c r="AK1804" s="142">
        <f>B1804*IBGE_2!AK$1804/100</f>
        <v>0.02</v>
      </c>
      <c r="AL1804" s="142">
        <f>B1804*IBGE_2!AL$1804/100</f>
        <v>0.51900000000000002</v>
      </c>
      <c r="AM1804" s="142" t="s">
        <v>3047</v>
      </c>
      <c r="AN1804" s="161"/>
    </row>
    <row r="1805" spans="1:40">
      <c r="A1805" s="143" t="s">
        <v>2865</v>
      </c>
      <c r="B1805" s="141">
        <v>100</v>
      </c>
      <c r="C1805" s="142">
        <f>B1805*IBGE_2!C$1805/100</f>
        <v>74.596000000000004</v>
      </c>
      <c r="D1805" s="142">
        <f>B1805*IBGE_2!D$1805/100</f>
        <v>1.454</v>
      </c>
      <c r="E1805" s="142">
        <f>B1805*IBGE_2!E$1805/100</f>
        <v>1.7809999999999999</v>
      </c>
      <c r="F1805" s="142">
        <f>B1805*IBGE_2!F$1805/100</f>
        <v>1.0289999999999999</v>
      </c>
      <c r="G1805" s="142">
        <f>B1805*IBGE_2!G$1805/100</f>
        <v>0.46</v>
      </c>
      <c r="H1805" s="142">
        <f>B1805*IBGE_2!H$1805/100</f>
        <v>0.14399999999999999</v>
      </c>
      <c r="I1805" s="142">
        <f>B1805*IBGE_2!I$1805/100</f>
        <v>0.13500000000000001</v>
      </c>
      <c r="J1805" s="142">
        <f>B1805*IBGE_2!J$1805/100</f>
        <v>8.9999999999999993E-3</v>
      </c>
      <c r="K1805" s="142">
        <f>B1805*IBGE_2!K$1805/100</f>
        <v>4.202</v>
      </c>
      <c r="L1805" s="142">
        <f>B1805*IBGE_2!L$1805/100</f>
        <v>13</v>
      </c>
      <c r="M1805" s="142">
        <f>B1805*IBGE_2!M$1805/100</f>
        <v>0.26100000000000001</v>
      </c>
      <c r="N1805" s="142">
        <f>B1805*IBGE_2!N$1805/100</f>
        <v>3.43</v>
      </c>
      <c r="O1805" s="142">
        <f>B1805*IBGE_2!O$1805/100</f>
        <v>5.2839999999999998</v>
      </c>
      <c r="P1805" s="142">
        <f>B1805*IBGE_2!P$1805/100</f>
        <v>1.7999999999999999E-2</v>
      </c>
      <c r="Q1805" s="142">
        <f>B1805*IBGE_2!Q$1805/100</f>
        <v>12.39</v>
      </c>
      <c r="R1805" s="142">
        <f>B1805*IBGE_2!R$1805/100</f>
        <v>0.6409999999999999</v>
      </c>
      <c r="S1805" s="142">
        <f>B1805*IBGE_2!S$1805/100</f>
        <v>250.51499999999999</v>
      </c>
      <c r="T1805" s="142">
        <f>B1805*IBGE_2!T$1805/100</f>
        <v>22.89</v>
      </c>
      <c r="U1805" s="142">
        <f>B1805*IBGE_2!U$1805/100</f>
        <v>2.1000000000000001E-2</v>
      </c>
      <c r="V1805" s="142">
        <f>B1805*IBGE_2!V$1805/100</f>
        <v>7.8E-2</v>
      </c>
      <c r="W1805" s="142">
        <f>B1805*IBGE_2!W$1805/100</f>
        <v>13.113</v>
      </c>
      <c r="X1805" s="142">
        <f>B1805*IBGE_2!X$1805/100</f>
        <v>0.105</v>
      </c>
      <c r="Y1805" s="142">
        <f>B1805*IBGE_2!Y$1805/100</f>
        <v>6.3E-2</v>
      </c>
      <c r="Z1805" s="142">
        <f>B1805*IBGE_2!Z$1805/100</f>
        <v>2.4E-2</v>
      </c>
      <c r="AA1805" s="142">
        <f>B1805*IBGE_2!AA$1805/100</f>
        <v>0.81100000000000005</v>
      </c>
      <c r="AB1805" s="142" t="s">
        <v>3047</v>
      </c>
      <c r="AC1805" s="142">
        <f>B1805*IBGE_2!AC$1805/100</f>
        <v>0.98299999999999998</v>
      </c>
      <c r="AD1805" s="142">
        <f>B1805*IBGE_2!AD$1805/100</f>
        <v>3.0000000000000001E-3</v>
      </c>
      <c r="AE1805" s="142">
        <f>B1805*IBGE_2!AE$1805/100</f>
        <v>39.496000000000002</v>
      </c>
      <c r="AF1805" s="142">
        <f>B1805*IBGE_2!AF$1805/100</f>
        <v>2.7000000000000003E-2</v>
      </c>
      <c r="AG1805" s="142">
        <f>B1805*IBGE_2!AG$1805/100</f>
        <v>6.5000000000000002E-2</v>
      </c>
      <c r="AH1805" s="142">
        <f>B1805*IBGE_2!AH$1805/100</f>
        <v>6.4000000000000001E-2</v>
      </c>
      <c r="AI1805" s="142" t="s">
        <v>3047</v>
      </c>
      <c r="AJ1805" s="142">
        <f>B1805*IBGE_2!AJ$1805/100</f>
        <v>2.7959999999999998</v>
      </c>
      <c r="AK1805" s="142">
        <f>B1805*IBGE_2!AK$1805/100</f>
        <v>13.39</v>
      </c>
      <c r="AL1805" s="142">
        <f>B1805*IBGE_2!AL$1805/100</f>
        <v>0.52100000000000002</v>
      </c>
      <c r="AM1805" s="142" t="s">
        <v>3047</v>
      </c>
      <c r="AN1805" s="161"/>
    </row>
    <row r="1806" spans="1:40">
      <c r="A1806" s="143" t="s">
        <v>2866</v>
      </c>
      <c r="B1806" s="141">
        <v>100</v>
      </c>
      <c r="C1806" s="142">
        <f>B1806*IBGE_2!C$1806/100</f>
        <v>359.42200000000003</v>
      </c>
      <c r="D1806" s="142">
        <f>B1806*IBGE_2!D$1806/100</f>
        <v>9.7579999999999991</v>
      </c>
      <c r="E1806" s="142">
        <f>B1806*IBGE_2!E$1806/100</f>
        <v>18.882000000000001</v>
      </c>
      <c r="F1806" s="142">
        <f>B1806*IBGE_2!F$1806/100</f>
        <v>11.726000000000001</v>
      </c>
      <c r="G1806" s="142">
        <f>B1806*IBGE_2!G$1806/100</f>
        <v>4.9530000000000003</v>
      </c>
      <c r="H1806" s="142">
        <f>B1806*IBGE_2!H$1806/100</f>
        <v>0.85599999999999998</v>
      </c>
      <c r="I1806" s="142">
        <f>B1806*IBGE_2!I$1806/100</f>
        <v>0.74900000000000011</v>
      </c>
      <c r="J1806" s="142">
        <f>B1806*IBGE_2!J$1806/100</f>
        <v>0.107</v>
      </c>
      <c r="K1806" s="142">
        <f>B1806*IBGE_2!K$1806/100</f>
        <v>53.944000000000003</v>
      </c>
      <c r="L1806" s="142">
        <f>B1806*IBGE_2!L$1806/100</f>
        <v>37.51</v>
      </c>
      <c r="M1806" s="142">
        <f>B1806*IBGE_2!M$1806/100</f>
        <v>1.4570000000000001</v>
      </c>
      <c r="N1806" s="142">
        <f>B1806*IBGE_2!N$1806/100</f>
        <v>240.03299999999999</v>
      </c>
      <c r="O1806" s="142">
        <f>B1806*IBGE_2!O$1806/100</f>
        <v>16.105</v>
      </c>
      <c r="P1806" s="142">
        <f>B1806*IBGE_2!P$1806/100</f>
        <v>0.32899999999999996</v>
      </c>
      <c r="Q1806" s="142">
        <f>B1806*IBGE_2!Q$1806/100</f>
        <v>183.36500000000001</v>
      </c>
      <c r="R1806" s="142">
        <f>B1806*IBGE_2!R$1806/100</f>
        <v>2.4620000000000002</v>
      </c>
      <c r="S1806" s="142">
        <f>B1806*IBGE_2!S$1806/100</f>
        <v>821.947</v>
      </c>
      <c r="T1806" s="142">
        <f>B1806*IBGE_2!T$1806/100</f>
        <v>71.721000000000004</v>
      </c>
      <c r="U1806" s="142">
        <f>B1806*IBGE_2!U$1806/100</f>
        <v>7.5999999999999998E-2</v>
      </c>
      <c r="V1806" s="142">
        <f>B1806*IBGE_2!V$1806/100</f>
        <v>0.8859999999999999</v>
      </c>
      <c r="W1806" s="142">
        <f>B1806*IBGE_2!W$1806/100</f>
        <v>149.761</v>
      </c>
      <c r="X1806" s="142">
        <f>B1806*IBGE_2!X$1806/100</f>
        <v>0.38</v>
      </c>
      <c r="Y1806" s="142">
        <f>B1806*IBGE_2!Y$1806/100</f>
        <v>0.3</v>
      </c>
      <c r="Z1806" s="142">
        <f>B1806*IBGE_2!Z$1806/100</f>
        <v>3.5000000000000003E-2</v>
      </c>
      <c r="AA1806" s="142">
        <f>B1806*IBGE_2!AA$1806/100</f>
        <v>2.8490000000000002</v>
      </c>
      <c r="AB1806" s="142" t="s">
        <v>3047</v>
      </c>
      <c r="AC1806" s="142">
        <f>B1806*IBGE_2!AC$1806/100</f>
        <v>4.9850000000000003</v>
      </c>
      <c r="AD1806" s="142">
        <f>B1806*IBGE_2!AD$1806/100</f>
        <v>0.18600000000000003</v>
      </c>
      <c r="AE1806" s="142">
        <f>B1806*IBGE_2!AE$1806/100</f>
        <v>99.732000000000014</v>
      </c>
      <c r="AF1806" s="142">
        <f>B1806*IBGE_2!AF$1806/100</f>
        <v>0.26</v>
      </c>
      <c r="AG1806" s="142">
        <f>B1806*IBGE_2!AG$1806/100</f>
        <v>0.44800000000000006</v>
      </c>
      <c r="AH1806" s="142">
        <f>B1806*IBGE_2!AH$1806/100</f>
        <v>0.65600000000000014</v>
      </c>
      <c r="AI1806" s="142" t="s">
        <v>3047</v>
      </c>
      <c r="AJ1806" s="142">
        <f>B1806*IBGE_2!AJ$1806/100</f>
        <v>19.861000000000001</v>
      </c>
      <c r="AK1806" s="142">
        <f>B1806*IBGE_2!AK$1806/100</f>
        <v>153.02099999999999</v>
      </c>
      <c r="AL1806" s="142">
        <f>B1806*IBGE_2!AL$1806/100</f>
        <v>0.7</v>
      </c>
      <c r="AM1806" s="142" t="s">
        <v>3047</v>
      </c>
      <c r="AN1806" s="161"/>
    </row>
    <row r="1807" spans="1:40">
      <c r="A1807" s="143" t="s">
        <v>2867</v>
      </c>
      <c r="B1807" s="141">
        <v>100</v>
      </c>
      <c r="C1807" s="142">
        <f>B1807*IBGE_2!C$1807/100</f>
        <v>346.452</v>
      </c>
      <c r="D1807" s="142">
        <f>B1807*IBGE_2!D$1807/100</f>
        <v>11.895</v>
      </c>
      <c r="E1807" s="142">
        <f>B1807*IBGE_2!E$1807/100</f>
        <v>21.378</v>
      </c>
      <c r="F1807" s="142">
        <f>B1807*IBGE_2!F$1807/100</f>
        <v>12.013999999999999</v>
      </c>
      <c r="G1807" s="142">
        <f>B1807*IBGE_2!G$1807/100</f>
        <v>6.6110000000000007</v>
      </c>
      <c r="H1807" s="142">
        <f>B1807*IBGE_2!H$1807/100</f>
        <v>0.875</v>
      </c>
      <c r="I1807" s="142">
        <f>B1807*IBGE_2!I$1807/100</f>
        <v>0.77400000000000002</v>
      </c>
      <c r="J1807" s="142">
        <f>B1807*IBGE_2!J$1807/100</f>
        <v>8.3000000000000004E-2</v>
      </c>
      <c r="K1807" s="142">
        <f>B1807*IBGE_2!K$1807/100</f>
        <v>67.244</v>
      </c>
      <c r="L1807" s="142">
        <f>B1807*IBGE_2!L$1807/100</f>
        <v>26.195</v>
      </c>
      <c r="M1807" s="142">
        <f>B1807*IBGE_2!M$1807/100</f>
        <v>1.075</v>
      </c>
      <c r="N1807" s="142">
        <f>B1807*IBGE_2!N$1807/100</f>
        <v>20.681999999999999</v>
      </c>
      <c r="O1807" s="142">
        <f>B1807*IBGE_2!O$1807/100</f>
        <v>14.555</v>
      </c>
      <c r="P1807" s="142">
        <f>B1807*IBGE_2!P$1807/100</f>
        <v>0.26200000000000001</v>
      </c>
      <c r="Q1807" s="142">
        <f>B1807*IBGE_2!Q$1807/100</f>
        <v>107.973</v>
      </c>
      <c r="R1807" s="142">
        <f>B1807*IBGE_2!R$1807/100</f>
        <v>2.431</v>
      </c>
      <c r="S1807" s="142">
        <f>B1807*IBGE_2!S$1807/100</f>
        <v>224.209</v>
      </c>
      <c r="T1807" s="142">
        <f>B1807*IBGE_2!T$1807/100</f>
        <v>156.62899999999999</v>
      </c>
      <c r="U1807" s="142">
        <f>B1807*IBGE_2!U$1807/100</f>
        <v>8.7999999999999995E-2</v>
      </c>
      <c r="V1807" s="142">
        <f>B1807*IBGE_2!V$1807/100</f>
        <v>2.2160000000000002</v>
      </c>
      <c r="W1807" s="142">
        <f>B1807*IBGE_2!W$1807/100</f>
        <v>127.086</v>
      </c>
      <c r="X1807" s="142">
        <f>B1807*IBGE_2!X$1807/100</f>
        <v>0.28100000000000003</v>
      </c>
      <c r="Y1807" s="142">
        <f>B1807*IBGE_2!Y$1807/100</f>
        <v>0.23200000000000004</v>
      </c>
      <c r="Z1807" s="142">
        <f>B1807*IBGE_2!Z$1807/100</f>
        <v>0.14299999999999999</v>
      </c>
      <c r="AA1807" s="142">
        <f>B1807*IBGE_2!AA$1807/100</f>
        <v>3.6459999999999995</v>
      </c>
      <c r="AB1807" s="142" t="s">
        <v>3047</v>
      </c>
      <c r="AC1807" s="142">
        <f>B1807*IBGE_2!AC$1807/100</f>
        <v>5.0469999999999997</v>
      </c>
      <c r="AD1807" s="142">
        <f>B1807*IBGE_2!AD$1807/100</f>
        <v>0.91</v>
      </c>
      <c r="AE1807" s="142">
        <f>B1807*IBGE_2!AE$1807/100</f>
        <v>72.397999999999996</v>
      </c>
      <c r="AF1807" s="142">
        <f>B1807*IBGE_2!AF$1807/100</f>
        <v>0.375</v>
      </c>
      <c r="AG1807" s="142">
        <f>B1807*IBGE_2!AG$1807/100</f>
        <v>0.60299999999999998</v>
      </c>
      <c r="AH1807" s="142">
        <f>B1807*IBGE_2!AH$1807/100</f>
        <v>0.96899999999999986</v>
      </c>
      <c r="AI1807" s="142" t="s">
        <v>3047</v>
      </c>
      <c r="AJ1807" s="142">
        <f>B1807*IBGE_2!AJ$1807/100</f>
        <v>18.097999999999999</v>
      </c>
      <c r="AK1807" s="142">
        <f>B1807*IBGE_2!AK$1807/100</f>
        <v>129.577</v>
      </c>
      <c r="AL1807" s="142">
        <f>B1807*IBGE_2!AL$1807/100</f>
        <v>0.13300000000000001</v>
      </c>
      <c r="AM1807" s="142" t="s">
        <v>3047</v>
      </c>
      <c r="AN1807" s="161"/>
    </row>
    <row r="1808" spans="1:40">
      <c r="A1808" s="143" t="s">
        <v>2868</v>
      </c>
      <c r="B1808" s="141">
        <v>100</v>
      </c>
      <c r="C1808" s="142">
        <f>B1808*IBGE_2!C$1808/100</f>
        <v>359.42200000000003</v>
      </c>
      <c r="D1808" s="142">
        <f>B1808*IBGE_2!D$1808/100</f>
        <v>9.7579999999999991</v>
      </c>
      <c r="E1808" s="142">
        <f>B1808*IBGE_2!E$1808/100</f>
        <v>18.882000000000001</v>
      </c>
      <c r="F1808" s="142">
        <f>B1808*IBGE_2!F$1808/100</f>
        <v>11.726000000000001</v>
      </c>
      <c r="G1808" s="142">
        <f>B1808*IBGE_2!G$1808/100</f>
        <v>4.9530000000000003</v>
      </c>
      <c r="H1808" s="142">
        <f>B1808*IBGE_2!H$1808/100</f>
        <v>0.85599999999999998</v>
      </c>
      <c r="I1808" s="142">
        <f>B1808*IBGE_2!I$1808/100</f>
        <v>0.74900000000000011</v>
      </c>
      <c r="J1808" s="142">
        <f>B1808*IBGE_2!J$1808/100</f>
        <v>0.107</v>
      </c>
      <c r="K1808" s="142">
        <f>B1808*IBGE_2!K$1808/100</f>
        <v>53.944000000000003</v>
      </c>
      <c r="L1808" s="142">
        <f>B1808*IBGE_2!L$1808/100</f>
        <v>37.51</v>
      </c>
      <c r="M1808" s="142">
        <f>B1808*IBGE_2!M$1808/100</f>
        <v>1.4570000000000001</v>
      </c>
      <c r="N1808" s="142">
        <f>B1808*IBGE_2!N$1808/100</f>
        <v>240.03299999999999</v>
      </c>
      <c r="O1808" s="142">
        <f>B1808*IBGE_2!O$1808/100</f>
        <v>16.105</v>
      </c>
      <c r="P1808" s="142">
        <f>B1808*IBGE_2!P$1808/100</f>
        <v>0.32899999999999996</v>
      </c>
      <c r="Q1808" s="142">
        <f>B1808*IBGE_2!Q$1808/100</f>
        <v>183.36500000000001</v>
      </c>
      <c r="R1808" s="142">
        <f>B1808*IBGE_2!R$1808/100</f>
        <v>2.4620000000000002</v>
      </c>
      <c r="S1808" s="142">
        <f>B1808*IBGE_2!S$1808/100</f>
        <v>821.947</v>
      </c>
      <c r="T1808" s="142">
        <f>B1808*IBGE_2!T$1808/100</f>
        <v>71.721000000000004</v>
      </c>
      <c r="U1808" s="142">
        <f>B1808*IBGE_2!U$1808/100</f>
        <v>7.5999999999999998E-2</v>
      </c>
      <c r="V1808" s="142">
        <f>B1808*IBGE_2!V$1808/100</f>
        <v>0.8859999999999999</v>
      </c>
      <c r="W1808" s="142">
        <f>B1808*IBGE_2!W$1808/100</f>
        <v>149.761</v>
      </c>
      <c r="X1808" s="142">
        <f>B1808*IBGE_2!X$1808/100</f>
        <v>0.38</v>
      </c>
      <c r="Y1808" s="142">
        <f>B1808*IBGE_2!Y$1808/100</f>
        <v>0.3</v>
      </c>
      <c r="Z1808" s="142">
        <f>B1808*IBGE_2!Z$1808/100</f>
        <v>3.5000000000000003E-2</v>
      </c>
      <c r="AA1808" s="142">
        <f>B1808*IBGE_2!AA$1808/100</f>
        <v>2.8490000000000002</v>
      </c>
      <c r="AB1808" s="142" t="s">
        <v>3047</v>
      </c>
      <c r="AC1808" s="142">
        <f>B1808*IBGE_2!AC$1808/100</f>
        <v>4.9850000000000003</v>
      </c>
      <c r="AD1808" s="142">
        <f>B1808*IBGE_2!AD$1808/100</f>
        <v>0.18600000000000003</v>
      </c>
      <c r="AE1808" s="142">
        <f>B1808*IBGE_2!AE$1808/100</f>
        <v>99.732000000000014</v>
      </c>
      <c r="AF1808" s="142">
        <f>B1808*IBGE_2!AF$1808/100</f>
        <v>0.26</v>
      </c>
      <c r="AG1808" s="142">
        <f>B1808*IBGE_2!AG$1808/100</f>
        <v>0.44800000000000006</v>
      </c>
      <c r="AH1808" s="142">
        <f>B1808*IBGE_2!AH$1808/100</f>
        <v>0.65600000000000014</v>
      </c>
      <c r="AI1808" s="142" t="s">
        <v>3047</v>
      </c>
      <c r="AJ1808" s="142">
        <f>B1808*IBGE_2!AJ$1808/100</f>
        <v>19.861000000000001</v>
      </c>
      <c r="AK1808" s="142">
        <f>B1808*IBGE_2!AK$1808/100</f>
        <v>153.02099999999999</v>
      </c>
      <c r="AL1808" s="142">
        <f>B1808*IBGE_2!AL$1808/100</f>
        <v>0.7</v>
      </c>
      <c r="AM1808" s="142" t="s">
        <v>3047</v>
      </c>
      <c r="AN1808" s="161"/>
    </row>
    <row r="1809" spans="1:40">
      <c r="A1809" s="143" t="s">
        <v>2869</v>
      </c>
      <c r="B1809" s="141">
        <v>100</v>
      </c>
      <c r="C1809" s="142">
        <f>B1809*IBGE_2!C$1809/100</f>
        <v>320.39400000000001</v>
      </c>
      <c r="D1809" s="142">
        <f>B1809*IBGE_2!D$1809/100</f>
        <v>7.5439999999999996</v>
      </c>
      <c r="E1809" s="142">
        <f>B1809*IBGE_2!E$1809/100</f>
        <v>15.253999999999998</v>
      </c>
      <c r="F1809" s="142">
        <f>B1809*IBGE_2!F$1809/100</f>
        <v>9.42</v>
      </c>
      <c r="G1809" s="142">
        <f>B1809*IBGE_2!G$1809/100</f>
        <v>3.931</v>
      </c>
      <c r="H1809" s="142">
        <f>B1809*IBGE_2!H$1809/100</f>
        <v>0.74400000000000011</v>
      </c>
      <c r="I1809" s="142">
        <f>B1809*IBGE_2!I$1809/100</f>
        <v>0.66799999999999993</v>
      </c>
      <c r="J1809" s="142">
        <f>B1809*IBGE_2!J$1809/100</f>
        <v>7.5999999999999998E-2</v>
      </c>
      <c r="K1809" s="142">
        <f>B1809*IBGE_2!K$1809/100</f>
        <v>41.369</v>
      </c>
      <c r="L1809" s="142">
        <f>B1809*IBGE_2!L$1809/100</f>
        <v>38.088000000000001</v>
      </c>
      <c r="M1809" s="142">
        <f>B1809*IBGE_2!M$1809/100</f>
        <v>1.4570000000000001</v>
      </c>
      <c r="N1809" s="142">
        <f>B1809*IBGE_2!N$1809/100</f>
        <v>174.33600000000001</v>
      </c>
      <c r="O1809" s="142">
        <f>B1809*IBGE_2!O$1809/100</f>
        <v>14.804</v>
      </c>
      <c r="P1809" s="142">
        <f>B1809*IBGE_2!P$1809/100</f>
        <v>0.33</v>
      </c>
      <c r="Q1809" s="142">
        <f>B1809*IBGE_2!Q$1809/100</f>
        <v>133.71299999999999</v>
      </c>
      <c r="R1809" s="142">
        <f>B1809*IBGE_2!R$1809/100</f>
        <v>2.5139999999999998</v>
      </c>
      <c r="S1809" s="142">
        <f>B1809*IBGE_2!S$1809/100</f>
        <v>759.06799999999998</v>
      </c>
      <c r="T1809" s="142">
        <f>B1809*IBGE_2!T$1809/100</f>
        <v>82.561999999999983</v>
      </c>
      <c r="U1809" s="142">
        <f>B1809*IBGE_2!U$1809/100</f>
        <v>7.9000000000000001E-2</v>
      </c>
      <c r="V1809" s="142">
        <f>B1809*IBGE_2!V$1809/100</f>
        <v>0.64300000000000002</v>
      </c>
      <c r="W1809" s="142">
        <f>B1809*IBGE_2!W$1809/100</f>
        <v>130.898</v>
      </c>
      <c r="X1809" s="142">
        <f>B1809*IBGE_2!X$1809/100</f>
        <v>0.38100000000000001</v>
      </c>
      <c r="Y1809" s="142">
        <f>B1809*IBGE_2!Y$1809/100</f>
        <v>0.28199999999999997</v>
      </c>
      <c r="Z1809" s="142">
        <f>B1809*IBGE_2!Z$1809/100</f>
        <v>2.6000000000000002E-2</v>
      </c>
      <c r="AA1809" s="142">
        <f>B1809*IBGE_2!AA$1809/100</f>
        <v>2.8460000000000001</v>
      </c>
      <c r="AB1809" s="142" t="s">
        <v>3047</v>
      </c>
      <c r="AC1809" s="142">
        <f>B1809*IBGE_2!AC$1809/100</f>
        <v>4.3490000000000002</v>
      </c>
      <c r="AD1809" s="142">
        <f>B1809*IBGE_2!AD$1809/100</f>
        <v>0.09</v>
      </c>
      <c r="AE1809" s="142">
        <f>B1809*IBGE_2!AE$1809/100</f>
        <v>100.816</v>
      </c>
      <c r="AF1809" s="142">
        <f>B1809*IBGE_2!AF$1809/100</f>
        <v>0.23200000000000004</v>
      </c>
      <c r="AG1809" s="142">
        <f>B1809*IBGE_2!AG$1809/100</f>
        <v>0.41799999999999998</v>
      </c>
      <c r="AH1809" s="142">
        <f>B1809*IBGE_2!AH$1809/100</f>
        <v>0.57999999999999996</v>
      </c>
      <c r="AI1809" s="142" t="s">
        <v>3047</v>
      </c>
      <c r="AJ1809" s="142">
        <f>B1809*IBGE_2!AJ$1809/100</f>
        <v>19.991</v>
      </c>
      <c r="AK1809" s="142">
        <f>B1809*IBGE_2!AK$1809/100</f>
        <v>133.381</v>
      </c>
      <c r="AL1809" s="142">
        <f>B1809*IBGE_2!AL$1809/100</f>
        <v>0.46800000000000003</v>
      </c>
      <c r="AM1809" s="142" t="s">
        <v>3047</v>
      </c>
      <c r="AN1809" s="161"/>
    </row>
    <row r="1810" spans="1:40">
      <c r="A1810" s="143" t="s">
        <v>2870</v>
      </c>
      <c r="B1810" s="141">
        <v>100</v>
      </c>
      <c r="C1810" s="142">
        <f>B1810*IBGE_2!C$1810/100</f>
        <v>222.39099999999999</v>
      </c>
      <c r="D1810" s="142">
        <f>B1810*IBGE_2!D$1810/100</f>
        <v>9.4700000000000006</v>
      </c>
      <c r="E1810" s="142">
        <f>B1810*IBGE_2!E$1810/100</f>
        <v>12.708</v>
      </c>
      <c r="F1810" s="142">
        <f>B1810*IBGE_2!F$1810/100</f>
        <v>6.6059999999999999</v>
      </c>
      <c r="G1810" s="142">
        <f>B1810*IBGE_2!G$1810/100</f>
        <v>3.8330000000000002</v>
      </c>
      <c r="H1810" s="142">
        <f>B1810*IBGE_2!H$1810/100</f>
        <v>1.3140000000000001</v>
      </c>
      <c r="I1810" s="142">
        <f>B1810*IBGE_2!I$1810/100</f>
        <v>1.1870000000000001</v>
      </c>
      <c r="J1810" s="142">
        <f>B1810*IBGE_2!J$1810/100</f>
        <v>0.08</v>
      </c>
      <c r="K1810" s="142">
        <f>B1810*IBGE_2!K$1810/100</f>
        <v>42.424999999999997</v>
      </c>
      <c r="L1810" s="142">
        <f>B1810*IBGE_2!L$1810/100</f>
        <v>17.321999999999999</v>
      </c>
      <c r="M1810" s="142">
        <f>B1810*IBGE_2!M$1810/100</f>
        <v>0.77500000000000002</v>
      </c>
      <c r="N1810" s="142">
        <f>B1810*IBGE_2!N$1810/100</f>
        <v>18.196000000000002</v>
      </c>
      <c r="O1810" s="142">
        <f>B1810*IBGE_2!O$1810/100</f>
        <v>11.125</v>
      </c>
      <c r="P1810" s="142">
        <f>B1810*IBGE_2!P$1810/100</f>
        <v>0.22900000000000001</v>
      </c>
      <c r="Q1810" s="142">
        <f>B1810*IBGE_2!Q$1810/100</f>
        <v>82.282999999999987</v>
      </c>
      <c r="R1810" s="142">
        <f>B1810*IBGE_2!R$1810/100</f>
        <v>1.3440000000000001</v>
      </c>
      <c r="S1810" s="142">
        <f>B1810*IBGE_2!S$1810/100</f>
        <v>539.29600000000005</v>
      </c>
      <c r="T1810" s="142">
        <f>B1810*IBGE_2!T$1810/100</f>
        <v>125.583</v>
      </c>
      <c r="U1810" s="142">
        <f>B1810*IBGE_2!U$1810/100</f>
        <v>8.5000000000000006E-2</v>
      </c>
      <c r="V1810" s="142">
        <f>B1810*IBGE_2!V$1810/100</f>
        <v>0.77400000000000002</v>
      </c>
      <c r="W1810" s="142">
        <f>B1810*IBGE_2!W$1810/100</f>
        <v>76.260000000000005</v>
      </c>
      <c r="X1810" s="142">
        <f>B1810*IBGE_2!X$1810/100</f>
        <v>0.17399999999999999</v>
      </c>
      <c r="Y1810" s="142">
        <f>B1810*IBGE_2!Y$1810/100</f>
        <v>0.14399999999999999</v>
      </c>
      <c r="Z1810" s="142">
        <f>B1810*IBGE_2!Z$1810/100</f>
        <v>0.13900000000000001</v>
      </c>
      <c r="AA1810" s="142">
        <f>B1810*IBGE_2!AA$1810/100</f>
        <v>3.9590000000000005</v>
      </c>
      <c r="AB1810" s="142" t="s">
        <v>3047</v>
      </c>
      <c r="AC1810" s="142">
        <f>B1810*IBGE_2!AC$1810/100</f>
        <v>5.7759999999999998</v>
      </c>
      <c r="AD1810" s="142">
        <f>B1810*IBGE_2!AD$1810/100</f>
        <v>0.13600000000000001</v>
      </c>
      <c r="AE1810" s="142">
        <f>B1810*IBGE_2!AE$1810/100</f>
        <v>41.688999999999993</v>
      </c>
      <c r="AF1810" s="142">
        <f>B1810*IBGE_2!AF$1810/100</f>
        <v>0.19800000000000001</v>
      </c>
      <c r="AG1810" s="142">
        <f>B1810*IBGE_2!AG$1810/100</f>
        <v>0.38400000000000001</v>
      </c>
      <c r="AH1810" s="142">
        <f>B1810*IBGE_2!AH$1810/100</f>
        <v>0.41</v>
      </c>
      <c r="AI1810" s="142" t="s">
        <v>3047</v>
      </c>
      <c r="AJ1810" s="142">
        <f>B1810*IBGE_2!AJ$1810/100</f>
        <v>12.175000000000001</v>
      </c>
      <c r="AK1810" s="142">
        <f>B1810*IBGE_2!AK$1810/100</f>
        <v>77.710999999999999</v>
      </c>
      <c r="AL1810" s="142">
        <f>B1810*IBGE_2!AL$1810/100</f>
        <v>0.46200000000000002</v>
      </c>
      <c r="AM1810" s="142" t="s">
        <v>3047</v>
      </c>
      <c r="AN1810" s="161"/>
    </row>
    <row r="1811" spans="1:40">
      <c r="A1811" s="143" t="s">
        <v>2871</v>
      </c>
      <c r="B1811" s="141">
        <v>100</v>
      </c>
      <c r="C1811" s="142">
        <f>B1811*IBGE_2!C$1811/100</f>
        <v>274.60000000000002</v>
      </c>
      <c r="D1811" s="142">
        <f>B1811*IBGE_2!D$1811/100</f>
        <v>13.409000000000001</v>
      </c>
      <c r="E1811" s="142">
        <f>B1811*IBGE_2!E$1811/100</f>
        <v>16.878</v>
      </c>
      <c r="F1811" s="142">
        <f>B1811*IBGE_2!F$1811/100</f>
        <v>4.6059999999999999</v>
      </c>
      <c r="G1811" s="142">
        <f>B1811*IBGE_2!G$1811/100</f>
        <v>5.4889999999999999</v>
      </c>
      <c r="H1811" s="142">
        <f>B1811*IBGE_2!H$1811/100</f>
        <v>5.3659999999999988</v>
      </c>
      <c r="I1811" s="142">
        <f>B1811*IBGE_2!I$1811/100</f>
        <v>4.7169999999999996</v>
      </c>
      <c r="J1811" s="142">
        <f>B1811*IBGE_2!J$1811/100</f>
        <v>0.59299999999999997</v>
      </c>
      <c r="K1811" s="142">
        <f>B1811*IBGE_2!K$1811/100</f>
        <v>107.652</v>
      </c>
      <c r="L1811" s="142">
        <f>B1811*IBGE_2!L$1811/100</f>
        <v>16.544</v>
      </c>
      <c r="M1811" s="142">
        <f>B1811*IBGE_2!M$1811/100</f>
        <v>0.87599999999999989</v>
      </c>
      <c r="N1811" s="142">
        <f>B1811*IBGE_2!N$1811/100</f>
        <v>84.477999999999994</v>
      </c>
      <c r="O1811" s="142">
        <f>B1811*IBGE_2!O$1811/100</f>
        <v>19.5</v>
      </c>
      <c r="P1811" s="142">
        <f>B1811*IBGE_2!P$1811/100</f>
        <v>0.184</v>
      </c>
      <c r="Q1811" s="142">
        <f>B1811*IBGE_2!Q$1811/100</f>
        <v>154.245</v>
      </c>
      <c r="R1811" s="142">
        <f>B1811*IBGE_2!R$1811/100</f>
        <v>2.0489999999999999</v>
      </c>
      <c r="S1811" s="142">
        <f>B1811*IBGE_2!S$1811/100</f>
        <v>165.15899999999999</v>
      </c>
      <c r="T1811" s="142">
        <f>B1811*IBGE_2!T$1811/100</f>
        <v>213.10499999999999</v>
      </c>
      <c r="U1811" s="142">
        <f>B1811*IBGE_2!U$1811/100</f>
        <v>0.08</v>
      </c>
      <c r="V1811" s="142">
        <f>B1811*IBGE_2!V$1811/100</f>
        <v>2.4849999999999999</v>
      </c>
      <c r="W1811" s="142">
        <f>B1811*IBGE_2!W$1811/100</f>
        <v>43.722999999999999</v>
      </c>
      <c r="X1811" s="142">
        <f>B1811*IBGE_2!X$1811/100</f>
        <v>0.22500000000000001</v>
      </c>
      <c r="Y1811" s="142">
        <f>B1811*IBGE_2!Y$1811/100</f>
        <v>0.26500000000000001</v>
      </c>
      <c r="Z1811" s="142">
        <f>B1811*IBGE_2!Z$1811/100</f>
        <v>0.19</v>
      </c>
      <c r="AA1811" s="142">
        <f>B1811*IBGE_2!AA$1811/100</f>
        <v>3.0110000000000001</v>
      </c>
      <c r="AB1811" s="142">
        <f>B1811*IBGE_2!AB$1811/100</f>
        <v>1.6469999999999998</v>
      </c>
      <c r="AC1811" s="142">
        <f>B1811*IBGE_2!AC$1811/100</f>
        <v>4.6230000000000002</v>
      </c>
      <c r="AD1811" s="142">
        <f>B1811*IBGE_2!AD$1811/100</f>
        <v>1.27</v>
      </c>
      <c r="AE1811" s="142">
        <f>B1811*IBGE_2!AE$1811/100</f>
        <v>50.527999999999999</v>
      </c>
      <c r="AF1811" s="142">
        <f>B1811*IBGE_2!AF$1811/100</f>
        <v>0.64400000000000002</v>
      </c>
      <c r="AG1811" s="142">
        <f>B1811*IBGE_2!AG$1811/100</f>
        <v>1.008</v>
      </c>
      <c r="AH1811" s="142">
        <f>B1811*IBGE_2!AH$1811/100</f>
        <v>0.43200000000000005</v>
      </c>
      <c r="AI1811" s="142" t="s">
        <v>3047</v>
      </c>
      <c r="AJ1811" s="142">
        <f>B1811*IBGE_2!AJ$1811/100</f>
        <v>21.361000000000001</v>
      </c>
      <c r="AK1811" s="142">
        <f>B1811*IBGE_2!AK$1811/100</f>
        <v>48.167999999999999</v>
      </c>
      <c r="AL1811" s="142">
        <f>B1811*IBGE_2!AL$1811/100</f>
        <v>2.6789999999999998</v>
      </c>
      <c r="AM1811" s="142">
        <f>B1811*IBGE_2!AM$1811/100</f>
        <v>1.819</v>
      </c>
      <c r="AN1811" s="161"/>
    </row>
    <row r="1812" spans="1:40">
      <c r="A1812" s="143" t="s">
        <v>2872</v>
      </c>
      <c r="B1812" s="141">
        <v>100</v>
      </c>
      <c r="C1812" s="142">
        <f>B1812*IBGE_2!C$1812/100</f>
        <v>212.637</v>
      </c>
      <c r="D1812" s="142">
        <f>B1812*IBGE_2!D$1812/100</f>
        <v>6.28</v>
      </c>
      <c r="E1812" s="142">
        <f>B1812*IBGE_2!E$1812/100</f>
        <v>13.112</v>
      </c>
      <c r="F1812" s="142">
        <f>B1812*IBGE_2!F$1812/100</f>
        <v>2.9129999999999994</v>
      </c>
      <c r="G1812" s="142">
        <f>B1812*IBGE_2!G$1812/100</f>
        <v>3.76</v>
      </c>
      <c r="H1812" s="142">
        <f>B1812*IBGE_2!H$1812/100</f>
        <v>5.5970000000000004</v>
      </c>
      <c r="I1812" s="142">
        <f>B1812*IBGE_2!I$1812/100</f>
        <v>4.9370000000000003</v>
      </c>
      <c r="J1812" s="142">
        <f>B1812*IBGE_2!J$1812/100</f>
        <v>0.65</v>
      </c>
      <c r="K1812" s="142">
        <f>B1812*IBGE_2!K$1812/100</f>
        <v>15.914999999999999</v>
      </c>
      <c r="L1812" s="142">
        <f>B1812*IBGE_2!L$1812/100</f>
        <v>18.513999999999999</v>
      </c>
      <c r="M1812" s="142">
        <f>B1812*IBGE_2!M$1812/100</f>
        <v>2.7230000000000003</v>
      </c>
      <c r="N1812" s="142">
        <f>B1812*IBGE_2!N$1812/100</f>
        <v>29.981999999999999</v>
      </c>
      <c r="O1812" s="142">
        <f>B1812*IBGE_2!O$1812/100</f>
        <v>26.225000000000001</v>
      </c>
      <c r="P1812" s="142">
        <f>B1812*IBGE_2!P$1812/100</f>
        <v>0.28499999999999998</v>
      </c>
      <c r="Q1812" s="142">
        <f>B1812*IBGE_2!Q$1812/100</f>
        <v>89.763999999999996</v>
      </c>
      <c r="R1812" s="142">
        <f>B1812*IBGE_2!R$1812/100</f>
        <v>1.2849999999999999</v>
      </c>
      <c r="S1812" s="142">
        <f>B1812*IBGE_2!S$1812/100</f>
        <v>398.22500000000002</v>
      </c>
      <c r="T1812" s="142">
        <f>B1812*IBGE_2!T$1812/100</f>
        <v>333.125</v>
      </c>
      <c r="U1812" s="142">
        <f>B1812*IBGE_2!U$1812/100</f>
        <v>0.13</v>
      </c>
      <c r="V1812" s="142">
        <f>B1812*IBGE_2!V$1812/100</f>
        <v>1.359</v>
      </c>
      <c r="W1812" s="142">
        <f>B1812*IBGE_2!W$1812/100</f>
        <v>2.786</v>
      </c>
      <c r="X1812" s="142">
        <f>B1812*IBGE_2!X$1812/100</f>
        <v>8.5999999999999993E-2</v>
      </c>
      <c r="Y1812" s="142">
        <f>B1812*IBGE_2!Y$1812/100</f>
        <v>8.1000000000000003E-2</v>
      </c>
      <c r="Z1812" s="142">
        <f>B1812*IBGE_2!Z$1812/100</f>
        <v>0.22</v>
      </c>
      <c r="AA1812" s="142">
        <f>B1812*IBGE_2!AA$1812/100</f>
        <v>1.3159999999999998</v>
      </c>
      <c r="AB1812" s="142">
        <f>B1812*IBGE_2!AB$1812/100</f>
        <v>10.856999999999998</v>
      </c>
      <c r="AC1812" s="142">
        <f>B1812*IBGE_2!AC$1812/100</f>
        <v>2.16</v>
      </c>
      <c r="AD1812" s="142">
        <f>B1812*IBGE_2!AD$1812/100</f>
        <v>0.42</v>
      </c>
      <c r="AE1812" s="142">
        <f>B1812*IBGE_2!AE$1812/100</f>
        <v>36.213999999999999</v>
      </c>
      <c r="AF1812" s="142">
        <f>B1812*IBGE_2!AF$1812/100</f>
        <v>0.218</v>
      </c>
      <c r="AG1812" s="142">
        <f>B1812*IBGE_2!AG$1812/100</f>
        <v>1.5590000000000002</v>
      </c>
      <c r="AH1812" s="142">
        <f>B1812*IBGE_2!AH$1812/100</f>
        <v>0.16400000000000003</v>
      </c>
      <c r="AI1812" s="142" t="s">
        <v>3047</v>
      </c>
      <c r="AJ1812" s="142">
        <f>B1812*IBGE_2!AJ$1812/100</f>
        <v>9.6859999999999999</v>
      </c>
      <c r="AK1812" s="142">
        <f>B1812*IBGE_2!AK$1812/100</f>
        <v>17.802</v>
      </c>
      <c r="AL1812" s="142">
        <f>B1812*IBGE_2!AL$1812/100</f>
        <v>2.7469999999999999</v>
      </c>
      <c r="AM1812" s="145" t="s">
        <v>3047</v>
      </c>
      <c r="AN1812" s="161"/>
    </row>
    <row r="1813" spans="1:40">
      <c r="A1813" s="143" t="s">
        <v>2873</v>
      </c>
      <c r="B1813" s="141">
        <v>100</v>
      </c>
      <c r="C1813" s="142">
        <f>B1813*IBGE_2!C$1813/100</f>
        <v>214.01300000000001</v>
      </c>
      <c r="D1813" s="142">
        <f>B1813*IBGE_2!D$1813/100</f>
        <v>16.7</v>
      </c>
      <c r="E1813" s="142">
        <f>B1813*IBGE_2!E$1813/100</f>
        <v>12.746000000000002</v>
      </c>
      <c r="F1813" s="142">
        <f>B1813*IBGE_2!F$1813/100</f>
        <v>2.48</v>
      </c>
      <c r="G1813" s="142">
        <f>B1813*IBGE_2!G$1813/100</f>
        <v>3.48</v>
      </c>
      <c r="H1813" s="142">
        <f>B1813*IBGE_2!H$1813/100</f>
        <v>6.0149999999999997</v>
      </c>
      <c r="I1813" s="142">
        <f>B1813*IBGE_2!I$1813/100</f>
        <v>5.181</v>
      </c>
      <c r="J1813" s="142">
        <f>B1813*IBGE_2!J$1813/100</f>
        <v>0.65900000000000003</v>
      </c>
      <c r="K1813" s="142">
        <f>B1813*IBGE_2!K$1813/100</f>
        <v>74.796000000000006</v>
      </c>
      <c r="L1813" s="142">
        <f>B1813*IBGE_2!L$1813/100</f>
        <v>7.6859999999999999</v>
      </c>
      <c r="M1813" s="142">
        <f>B1813*IBGE_2!M$1813/100</f>
        <v>0.83399999999999996</v>
      </c>
      <c r="N1813" s="142">
        <f>B1813*IBGE_2!N$1813/100</f>
        <v>48.92</v>
      </c>
      <c r="O1813" s="142">
        <f>B1813*IBGE_2!O$1813/100</f>
        <v>25.861000000000001</v>
      </c>
      <c r="P1813" s="142">
        <f>B1813*IBGE_2!P$1813/100</f>
        <v>7.4999999999999997E-2</v>
      </c>
      <c r="Q1813" s="142">
        <f>B1813*IBGE_2!Q$1813/100</f>
        <v>184.30900000000003</v>
      </c>
      <c r="R1813" s="142">
        <f>B1813*IBGE_2!R$1813/100</f>
        <v>0.95799999999999996</v>
      </c>
      <c r="S1813" s="142">
        <f>B1813*IBGE_2!S$1813/100</f>
        <v>377.435</v>
      </c>
      <c r="T1813" s="142">
        <f>B1813*IBGE_2!T$1813/100</f>
        <v>165.21100000000001</v>
      </c>
      <c r="U1813" s="142">
        <f>B1813*IBGE_2!U$1813/100</f>
        <v>9.4E-2</v>
      </c>
      <c r="V1813" s="142">
        <f>B1813*IBGE_2!V$1813/100</f>
        <v>0.63300000000000001</v>
      </c>
      <c r="W1813" s="142">
        <f>B1813*IBGE_2!W$1813/100</f>
        <v>41.031999999999996</v>
      </c>
      <c r="X1813" s="142">
        <f>B1813*IBGE_2!X$1813/100</f>
        <v>5.5E-2</v>
      </c>
      <c r="Y1813" s="142">
        <f>B1813*IBGE_2!Y$1813/100</f>
        <v>0.13200000000000001</v>
      </c>
      <c r="Z1813" s="142">
        <f>B1813*IBGE_2!Z$1813/100</f>
        <v>0.19600000000000001</v>
      </c>
      <c r="AA1813" s="142">
        <f>B1813*IBGE_2!AA$1813/100</f>
        <v>2.0979999999999999</v>
      </c>
      <c r="AB1813" s="142">
        <f>B1813*IBGE_2!AB$1813/100</f>
        <v>4.3600000000000003</v>
      </c>
      <c r="AC1813" s="142">
        <f>B1813*IBGE_2!AC$1813/100</f>
        <v>5.2979999999999992</v>
      </c>
      <c r="AD1813" s="142">
        <f>B1813*IBGE_2!AD$1813/100</f>
        <v>0.30199999999999999</v>
      </c>
      <c r="AE1813" s="142">
        <f>B1813*IBGE_2!AE$1813/100</f>
        <v>10.481999999999998</v>
      </c>
      <c r="AF1813" s="142">
        <f>B1813*IBGE_2!AF$1813/100</f>
        <v>0.114</v>
      </c>
      <c r="AG1813" s="142">
        <f>B1813*IBGE_2!AG$1813/100</f>
        <v>1.4430000000000001</v>
      </c>
      <c r="AH1813" s="142">
        <f>B1813*IBGE_2!AH$1813/100</f>
        <v>0.626</v>
      </c>
      <c r="AI1813" s="142" t="s">
        <v>3047</v>
      </c>
      <c r="AJ1813" s="142">
        <f>B1813*IBGE_2!AJ$1813/100</f>
        <v>41.396999999999998</v>
      </c>
      <c r="AK1813" s="142">
        <f>B1813*IBGE_2!AK$1813/100</f>
        <v>46.999000000000002</v>
      </c>
      <c r="AL1813" s="142">
        <f>B1813*IBGE_2!AL$1813/100</f>
        <v>0.68</v>
      </c>
      <c r="AM1813" s="145" t="s">
        <v>3047</v>
      </c>
      <c r="AN1813" s="161"/>
    </row>
    <row r="1814" spans="1:40">
      <c r="A1814" s="143" t="s">
        <v>2874</v>
      </c>
      <c r="B1814" s="141">
        <v>100</v>
      </c>
      <c r="C1814" s="142">
        <f>B1814*IBGE_2!C$1814/100</f>
        <v>272.46899999999999</v>
      </c>
      <c r="D1814" s="142">
        <f>B1814*IBGE_2!D$1814/100</f>
        <v>8.7289999999999992</v>
      </c>
      <c r="E1814" s="142">
        <f>B1814*IBGE_2!E$1814/100</f>
        <v>15.22</v>
      </c>
      <c r="F1814" s="142">
        <f>B1814*IBGE_2!F$1814/100</f>
        <v>5.3210000000000006</v>
      </c>
      <c r="G1814" s="142">
        <f>B1814*IBGE_2!G$1814/100</f>
        <v>6.2249999999999996</v>
      </c>
      <c r="H1814" s="142">
        <f>B1814*IBGE_2!H$1814/100</f>
        <v>2.222</v>
      </c>
      <c r="I1814" s="142">
        <f>B1814*IBGE_2!I$1814/100</f>
        <v>1.9170000000000003</v>
      </c>
      <c r="J1814" s="142">
        <f>B1814*IBGE_2!J$1814/100</f>
        <v>0.24199999999999999</v>
      </c>
      <c r="K1814" s="142">
        <f>B1814*IBGE_2!K$1814/100</f>
        <v>23.59</v>
      </c>
      <c r="L1814" s="142">
        <f>B1814*IBGE_2!L$1814/100</f>
        <v>24.8</v>
      </c>
      <c r="M1814" s="142">
        <f>B1814*IBGE_2!M$1814/100</f>
        <v>1.0860000000000001</v>
      </c>
      <c r="N1814" s="142">
        <f>B1814*IBGE_2!N$1814/100</f>
        <v>70.414000000000001</v>
      </c>
      <c r="O1814" s="142">
        <f>B1814*IBGE_2!O$1814/100</f>
        <v>16.558</v>
      </c>
      <c r="P1814" s="142">
        <f>B1814*IBGE_2!P$1814/100</f>
        <v>0.15</v>
      </c>
      <c r="Q1814" s="142">
        <f>B1814*IBGE_2!Q$1814/100</f>
        <v>69.343999999999994</v>
      </c>
      <c r="R1814" s="142">
        <f>B1814*IBGE_2!R$1814/100</f>
        <v>1.8879999999999999</v>
      </c>
      <c r="S1814" s="142">
        <f>B1814*IBGE_2!S$1814/100</f>
        <v>868.33500000000004</v>
      </c>
      <c r="T1814" s="142">
        <f>B1814*IBGE_2!T$1814/100</f>
        <v>123.95300000000002</v>
      </c>
      <c r="U1814" s="142">
        <f>B1814*IBGE_2!U$1814/100</f>
        <v>0.13100000000000001</v>
      </c>
      <c r="V1814" s="142">
        <f>B1814*IBGE_2!V$1814/100</f>
        <v>0.93</v>
      </c>
      <c r="W1814" s="142">
        <f>B1814*IBGE_2!W$1814/100</f>
        <v>5.7870000000000008</v>
      </c>
      <c r="X1814" s="142">
        <f>B1814*IBGE_2!X$1814/100</f>
        <v>0.22600000000000001</v>
      </c>
      <c r="Y1814" s="142">
        <f>B1814*IBGE_2!Y$1814/100</f>
        <v>0.188</v>
      </c>
      <c r="Z1814" s="142">
        <f>B1814*IBGE_2!Z$1814/100</f>
        <v>0.105</v>
      </c>
      <c r="AA1814" s="142">
        <f>B1814*IBGE_2!AA$1814/100</f>
        <v>2.8519999999999999</v>
      </c>
      <c r="AB1814" s="142">
        <f>B1814*IBGE_2!AB$1814/100</f>
        <v>1.198</v>
      </c>
      <c r="AC1814" s="142">
        <f>B1814*IBGE_2!AC$1814/100</f>
        <v>4.3769999999999998</v>
      </c>
      <c r="AD1814" s="142">
        <f>B1814*IBGE_2!AD$1814/100</f>
        <v>0.35099999999999992</v>
      </c>
      <c r="AE1814" s="142">
        <f>B1814*IBGE_2!AE$1814/100</f>
        <v>74.198999999999998</v>
      </c>
      <c r="AF1814" s="142">
        <f>B1814*IBGE_2!AF$1814/100</f>
        <v>0.14099999999999999</v>
      </c>
      <c r="AG1814" s="142">
        <f>B1814*IBGE_2!AG$1814/100</f>
        <v>0.21899999999999997</v>
      </c>
      <c r="AH1814" s="142">
        <f>B1814*IBGE_2!AH$1814/100</f>
        <v>0.65200000000000002</v>
      </c>
      <c r="AI1814" s="142" t="s">
        <v>3047</v>
      </c>
      <c r="AJ1814" s="142">
        <f>B1814*IBGE_2!AJ$1814/100</f>
        <v>14.432</v>
      </c>
      <c r="AK1814" s="142">
        <f>B1814*IBGE_2!AK$1814/100</f>
        <v>9.4320000000000004</v>
      </c>
      <c r="AL1814" s="142">
        <f>B1814*IBGE_2!AL$1814/100</f>
        <v>5.8129999999999997</v>
      </c>
      <c r="AM1814" s="142">
        <f>B1814*IBGE_2!AM$1814/100</f>
        <v>5.5019999999999989</v>
      </c>
      <c r="AN1814" s="161"/>
    </row>
    <row r="1815" spans="1:40">
      <c r="A1815" s="143" t="s">
        <v>2875</v>
      </c>
      <c r="B1815" s="141">
        <v>100</v>
      </c>
      <c r="C1815" s="142">
        <f>B1815*IBGE_2!C$1815/100</f>
        <v>267.16399999999999</v>
      </c>
      <c r="D1815" s="142">
        <f>B1815*IBGE_2!D$1815/100</f>
        <v>13.08</v>
      </c>
      <c r="E1815" s="142">
        <f>B1815*IBGE_2!E$1815/100</f>
        <v>9.2159999999999993</v>
      </c>
      <c r="F1815" s="142">
        <f>B1815*IBGE_2!F$1815/100</f>
        <v>3.2850000000000001</v>
      </c>
      <c r="G1815" s="142">
        <f>B1815*IBGE_2!G$1815/100</f>
        <v>3.536</v>
      </c>
      <c r="H1815" s="142">
        <f>B1815*IBGE_2!H$1815/100</f>
        <v>1.409</v>
      </c>
      <c r="I1815" s="142">
        <f>B1815*IBGE_2!I$1815/100</f>
        <v>1.2010000000000001</v>
      </c>
      <c r="J1815" s="142">
        <f>B1815*IBGE_2!J$1815/100</f>
        <v>0.19800000000000001</v>
      </c>
      <c r="K1815" s="142">
        <f>B1815*IBGE_2!K$1815/100</f>
        <v>23.713999999999995</v>
      </c>
      <c r="L1815" s="142">
        <f>B1815*IBGE_2!L$1815/100</f>
        <v>32.356999999999999</v>
      </c>
      <c r="M1815" s="142">
        <f>B1815*IBGE_2!M$1815/100</f>
        <v>1.6840000000000002</v>
      </c>
      <c r="N1815" s="142">
        <f>B1815*IBGE_2!N$1815/100</f>
        <v>92.997000000000014</v>
      </c>
      <c r="O1815" s="142">
        <f>B1815*IBGE_2!O$1815/100</f>
        <v>24.305999999999997</v>
      </c>
      <c r="P1815" s="142">
        <f>B1815*IBGE_2!P$1815/100</f>
        <v>0.21600000000000003</v>
      </c>
      <c r="Q1815" s="142">
        <f>B1815*IBGE_2!Q$1815/100</f>
        <v>101.46599999999998</v>
      </c>
      <c r="R1815" s="142">
        <f>B1815*IBGE_2!R$1815/100</f>
        <v>2.7109999999999999</v>
      </c>
      <c r="S1815" s="142">
        <f>B1815*IBGE_2!S$1815/100</f>
        <v>472.53199999999998</v>
      </c>
      <c r="T1815" s="142">
        <f>B1815*IBGE_2!T$1815/100</f>
        <v>221.58</v>
      </c>
      <c r="U1815" s="142">
        <f>B1815*IBGE_2!U$1815/100</f>
        <v>0.182</v>
      </c>
      <c r="V1815" s="142">
        <f>B1815*IBGE_2!V$1815/100</f>
        <v>2.161</v>
      </c>
      <c r="W1815" s="142" t="s">
        <v>3047</v>
      </c>
      <c r="X1815" s="142">
        <f>B1815*IBGE_2!X$1815/100</f>
        <v>0.27800000000000002</v>
      </c>
      <c r="Y1815" s="142">
        <f>B1815*IBGE_2!Y$1815/100</f>
        <v>0.253</v>
      </c>
      <c r="Z1815" s="142">
        <f>B1815*IBGE_2!Z$1815/100</f>
        <v>0.18</v>
      </c>
      <c r="AA1815" s="142">
        <f>B1815*IBGE_2!AA$1815/100</f>
        <v>3.7269999999999999</v>
      </c>
      <c r="AB1815" s="142">
        <f>B1815*IBGE_2!AB$1815/100</f>
        <v>2.1779999999999999</v>
      </c>
      <c r="AC1815" s="142">
        <f>B1815*IBGE_2!AC$1815/100</f>
        <v>6.1230000000000011</v>
      </c>
      <c r="AD1815" s="142">
        <f>B1815*IBGE_2!AD$1815/100</f>
        <v>0.97099999999999997</v>
      </c>
      <c r="AE1815" s="142">
        <f>B1815*IBGE_2!AE$1815/100</f>
        <v>103.04</v>
      </c>
      <c r="AF1815" s="142">
        <f>B1815*IBGE_2!AF$1815/100</f>
        <v>0.1</v>
      </c>
      <c r="AG1815" s="142">
        <f>B1815*IBGE_2!AG$1815/100</f>
        <v>0.28999999999999998</v>
      </c>
      <c r="AH1815" s="142">
        <f>B1815*IBGE_2!AH$1815/100</f>
        <v>0.69099999999999995</v>
      </c>
      <c r="AI1815" s="142" t="s">
        <v>3047</v>
      </c>
      <c r="AJ1815" s="142">
        <f>B1815*IBGE_2!AJ$1815/100</f>
        <v>18.504000000000001</v>
      </c>
      <c r="AK1815" s="142">
        <f>B1815*IBGE_2!AK$1815/100</f>
        <v>4.09</v>
      </c>
      <c r="AL1815" s="142">
        <f>B1815*IBGE_2!AL$1815/100</f>
        <v>6.2350000000000003</v>
      </c>
      <c r="AM1815" s="142">
        <f>B1815*IBGE_2!AM$1815/100</f>
        <v>4.7679999999999998</v>
      </c>
      <c r="AN1815" s="161"/>
    </row>
    <row r="1816" spans="1:40">
      <c r="A1816" s="143" t="s">
        <v>2876</v>
      </c>
      <c r="B1816" s="141">
        <v>100</v>
      </c>
      <c r="C1816" s="142">
        <f>B1816*IBGE_2!C$1816/100</f>
        <v>279.85000000000002</v>
      </c>
      <c r="D1816" s="142">
        <f>B1816*IBGE_2!D$1816/100</f>
        <v>14.147</v>
      </c>
      <c r="E1816" s="142">
        <f>B1816*IBGE_2!E$1816/100</f>
        <v>11.808</v>
      </c>
      <c r="F1816" s="142">
        <f>B1816*IBGE_2!F$1816/100</f>
        <v>5.2149999999999999</v>
      </c>
      <c r="G1816" s="142">
        <f>B1816*IBGE_2!G$1816/100</f>
        <v>4.173</v>
      </c>
      <c r="H1816" s="142">
        <f>B1816*IBGE_2!H$1816/100</f>
        <v>1.36</v>
      </c>
      <c r="I1816" s="142">
        <f>B1816*IBGE_2!I$1816/100</f>
        <v>1.131</v>
      </c>
      <c r="J1816" s="142">
        <f>B1816*IBGE_2!J$1816/100</f>
        <v>0.22</v>
      </c>
      <c r="K1816" s="142">
        <f>B1816*IBGE_2!K$1816/100</f>
        <v>31.983000000000001</v>
      </c>
      <c r="L1816" s="142">
        <f>B1816*IBGE_2!L$1816/100</f>
        <v>28.739000000000001</v>
      </c>
      <c r="M1816" s="142">
        <f>B1816*IBGE_2!M$1816/100</f>
        <v>1.486</v>
      </c>
      <c r="N1816" s="142">
        <f>B1816*IBGE_2!N$1816/100</f>
        <v>146.99700000000001</v>
      </c>
      <c r="O1816" s="142">
        <f>B1816*IBGE_2!O$1816/100</f>
        <v>24.623000000000001</v>
      </c>
      <c r="P1816" s="142">
        <f>B1816*IBGE_2!P$1816/100</f>
        <v>0.192</v>
      </c>
      <c r="Q1816" s="142">
        <f>B1816*IBGE_2!Q$1816/100</f>
        <v>149.88200000000001</v>
      </c>
      <c r="R1816" s="142">
        <f>B1816*IBGE_2!R$1816/100</f>
        <v>2.415</v>
      </c>
      <c r="S1816" s="142">
        <f>B1816*IBGE_2!S$1816/100</f>
        <v>592.11599999999999</v>
      </c>
      <c r="T1816" s="142">
        <f>B1816*IBGE_2!T$1816/100</f>
        <v>215.39400000000001</v>
      </c>
      <c r="U1816" s="142">
        <f>B1816*IBGE_2!U$1816/100</f>
        <v>0.16300000000000001</v>
      </c>
      <c r="V1816" s="142">
        <f>B1816*IBGE_2!V$1816/100</f>
        <v>2.2410000000000001</v>
      </c>
      <c r="W1816" s="142">
        <f>B1816*IBGE_2!W$1816/100</f>
        <v>29.059000000000001</v>
      </c>
      <c r="X1816" s="142">
        <f>B1816*IBGE_2!X$1816/100</f>
        <v>0.248</v>
      </c>
      <c r="Y1816" s="142">
        <f>B1816*IBGE_2!Y$1816/100</f>
        <v>0.26500000000000001</v>
      </c>
      <c r="Z1816" s="142">
        <f>B1816*IBGE_2!Z$1816/100</f>
        <v>0.16699999999999998</v>
      </c>
      <c r="AA1816" s="142">
        <f>B1816*IBGE_2!AA$1816/100</f>
        <v>3.2969999999999997</v>
      </c>
      <c r="AB1816" s="142">
        <f>B1816*IBGE_2!AB$1816/100</f>
        <v>1.9219999999999999</v>
      </c>
      <c r="AC1816" s="142">
        <f>B1816*IBGE_2!AC$1816/100</f>
        <v>6.0439999999999996</v>
      </c>
      <c r="AD1816" s="142">
        <f>B1816*IBGE_2!AD$1816/100</f>
        <v>0.93899999999999995</v>
      </c>
      <c r="AE1816" s="142">
        <f>B1816*IBGE_2!AE$1816/100</f>
        <v>91.858999999999995</v>
      </c>
      <c r="AF1816" s="142">
        <f>B1816*IBGE_2!AF$1816/100</f>
        <v>0.113</v>
      </c>
      <c r="AG1816" s="142">
        <f>B1816*IBGE_2!AG$1816/100</f>
        <v>0.28699999999999998</v>
      </c>
      <c r="AH1816" s="142">
        <f>B1816*IBGE_2!AH$1816/100</f>
        <v>0.69899999999999995</v>
      </c>
      <c r="AI1816" s="142" t="s">
        <v>3047</v>
      </c>
      <c r="AJ1816" s="142">
        <f>B1816*IBGE_2!AJ$1816/100</f>
        <v>18.021000000000001</v>
      </c>
      <c r="AK1816" s="142">
        <f>B1816*IBGE_2!AK$1816/100</f>
        <v>33.472000000000001</v>
      </c>
      <c r="AL1816" s="142">
        <f>B1816*IBGE_2!AL$1816/100</f>
        <v>5.6529999999999996</v>
      </c>
      <c r="AM1816" s="142">
        <f>B1816*IBGE_2!AM$1816/100</f>
        <v>4.2069999999999999</v>
      </c>
      <c r="AN1816" s="161"/>
    </row>
    <row r="1817" spans="1:40">
      <c r="A1817" s="143" t="s">
        <v>2877</v>
      </c>
      <c r="B1817" s="141">
        <v>100</v>
      </c>
      <c r="C1817" s="142">
        <f>B1817*IBGE_2!C$1817/100</f>
        <v>269.43700000000001</v>
      </c>
      <c r="D1817" s="142">
        <f>B1817*IBGE_2!D$1817/100</f>
        <v>13.281000000000001</v>
      </c>
      <c r="E1817" s="142">
        <f>B1817*IBGE_2!E$1817/100</f>
        <v>16.103000000000002</v>
      </c>
      <c r="F1817" s="142">
        <f>B1817*IBGE_2!F$1817/100</f>
        <v>3.714</v>
      </c>
      <c r="G1817" s="142">
        <f>B1817*IBGE_2!G$1817/100</f>
        <v>4.859</v>
      </c>
      <c r="H1817" s="142">
        <f>B1817*IBGE_2!H$1817/100</f>
        <v>5.9520000000000008</v>
      </c>
      <c r="I1817" s="142">
        <f>B1817*IBGE_2!I$1817/100</f>
        <v>5.2549999999999999</v>
      </c>
      <c r="J1817" s="142">
        <f>B1817*IBGE_2!J$1817/100</f>
        <v>0.629</v>
      </c>
      <c r="K1817" s="142">
        <f>B1817*IBGE_2!K$1817/100</f>
        <v>148.58600000000001</v>
      </c>
      <c r="L1817" s="142">
        <f>B1817*IBGE_2!L$1817/100</f>
        <v>17.420999999999999</v>
      </c>
      <c r="M1817" s="142">
        <f>B1817*IBGE_2!M$1817/100</f>
        <v>0.63600000000000001</v>
      </c>
      <c r="N1817" s="142">
        <f>B1817*IBGE_2!N$1817/100</f>
        <v>60.167999999999999</v>
      </c>
      <c r="O1817" s="142">
        <f>B1817*IBGE_2!O$1817/100</f>
        <v>16.201000000000001</v>
      </c>
      <c r="P1817" s="142">
        <f>B1817*IBGE_2!P$1817/100</f>
        <v>0.10199999999999999</v>
      </c>
      <c r="Q1817" s="142">
        <f>B1817*IBGE_2!Q$1817/100</f>
        <v>121.63800000000001</v>
      </c>
      <c r="R1817" s="142">
        <f>B1817*IBGE_2!R$1817/100</f>
        <v>2.0960000000000001</v>
      </c>
      <c r="S1817" s="142">
        <f>B1817*IBGE_2!S$1817/100</f>
        <v>461.19400000000002</v>
      </c>
      <c r="T1817" s="142">
        <f>B1817*IBGE_2!T$1817/100</f>
        <v>177.977</v>
      </c>
      <c r="U1817" s="142">
        <f>B1817*IBGE_2!U$1817/100</f>
        <v>0.10800000000000001</v>
      </c>
      <c r="V1817" s="142">
        <f>B1817*IBGE_2!V$1817/100</f>
        <v>2.1909999999999998</v>
      </c>
      <c r="W1817" s="142">
        <f>B1817*IBGE_2!W$1817/100</f>
        <v>56.405000000000001</v>
      </c>
      <c r="X1817" s="142">
        <f>B1817*IBGE_2!X$1817/100</f>
        <v>0.14799999999999999</v>
      </c>
      <c r="Y1817" s="142">
        <f>B1817*IBGE_2!Y$1817/100</f>
        <v>0.30299999999999999</v>
      </c>
      <c r="Z1817" s="142">
        <f>B1817*IBGE_2!Z$1817/100</f>
        <v>0.21</v>
      </c>
      <c r="AA1817" s="142">
        <f>B1817*IBGE_2!AA$1817/100</f>
        <v>2.6589999999999998</v>
      </c>
      <c r="AB1817" s="142">
        <f>B1817*IBGE_2!AB$1817/100</f>
        <v>1.52</v>
      </c>
      <c r="AC1817" s="142">
        <f>B1817*IBGE_2!AC$1817/100</f>
        <v>4.5679999999999996</v>
      </c>
      <c r="AD1817" s="142">
        <f>B1817*IBGE_2!AD$1817/100</f>
        <v>1.0329999999999999</v>
      </c>
      <c r="AE1817" s="142">
        <f>B1817*IBGE_2!AE$1817/100</f>
        <v>64.858000000000004</v>
      </c>
      <c r="AF1817" s="142">
        <f>B1817*IBGE_2!AF$1817/100</f>
        <v>0.51300000000000001</v>
      </c>
      <c r="AG1817" s="142">
        <f>B1817*IBGE_2!AG$1817/100</f>
        <v>1.1859999999999999</v>
      </c>
      <c r="AH1817" s="142">
        <f>B1817*IBGE_2!AH$1817/100</f>
        <v>0.40500000000000003</v>
      </c>
      <c r="AI1817" s="142" t="s">
        <v>3047</v>
      </c>
      <c r="AJ1817" s="142">
        <f>B1817*IBGE_2!AJ$1817/100</f>
        <v>20.919</v>
      </c>
      <c r="AK1817" s="142">
        <f>B1817*IBGE_2!AK$1817/100</f>
        <v>61.556999999999995</v>
      </c>
      <c r="AL1817" s="142">
        <f>B1817*IBGE_2!AL$1817/100</f>
        <v>4.5590000000000002</v>
      </c>
      <c r="AM1817" s="142">
        <f>B1817*IBGE_2!AM$1817/100</f>
        <v>3.6880000000000002</v>
      </c>
      <c r="AN1817" s="161"/>
    </row>
    <row r="1818" spans="1:40">
      <c r="A1818" s="143" t="s">
        <v>2878</v>
      </c>
      <c r="B1818" s="141">
        <v>100</v>
      </c>
      <c r="C1818" s="142">
        <f>B1818*IBGE_2!C$1818/100</f>
        <v>229.465</v>
      </c>
      <c r="D1818" s="142">
        <f>B1818*IBGE_2!D$1818/100</f>
        <v>13.667</v>
      </c>
      <c r="E1818" s="142">
        <f>B1818*IBGE_2!E$1818/100</f>
        <v>12.997999999999999</v>
      </c>
      <c r="F1818" s="142">
        <f>B1818*IBGE_2!F$1818/100</f>
        <v>4.4779999999999998</v>
      </c>
      <c r="G1818" s="142">
        <f>B1818*IBGE_2!G$1818/100</f>
        <v>4.1790000000000003</v>
      </c>
      <c r="H1818" s="142">
        <f>B1818*IBGE_2!H$1818/100</f>
        <v>3.7460000000000004</v>
      </c>
      <c r="I1818" s="142">
        <f>B1818*IBGE_2!I$1818/100</f>
        <v>3.2669999999999999</v>
      </c>
      <c r="J1818" s="142">
        <f>B1818*IBGE_2!J$1818/100</f>
        <v>0.47799999999999998</v>
      </c>
      <c r="K1818" s="142">
        <f>B1818*IBGE_2!K$1818/100</f>
        <v>35.152000000000001</v>
      </c>
      <c r="L1818" s="142">
        <f>B1818*IBGE_2!L$1818/100</f>
        <v>13.965</v>
      </c>
      <c r="M1818" s="142">
        <f>B1818*IBGE_2!M$1818/100</f>
        <v>0.78299999999999992</v>
      </c>
      <c r="N1818" s="142">
        <f>B1818*IBGE_2!N$1818/100</f>
        <v>106.83499999999999</v>
      </c>
      <c r="O1818" s="142">
        <f>B1818*IBGE_2!O$1818/100</f>
        <v>18.643000000000001</v>
      </c>
      <c r="P1818" s="142">
        <f>B1818*IBGE_2!P$1818/100</f>
        <v>0.111</v>
      </c>
      <c r="Q1818" s="142">
        <f>B1818*IBGE_2!Q$1818/100</f>
        <v>186.113</v>
      </c>
      <c r="R1818" s="142">
        <f>B1818*IBGE_2!R$1818/100</f>
        <v>1.462</v>
      </c>
      <c r="S1818" s="142">
        <f>B1818*IBGE_2!S$1818/100</f>
        <v>890.08699999999999</v>
      </c>
      <c r="T1818" s="142">
        <f>B1818*IBGE_2!T$1818/100</f>
        <v>234.26499999999999</v>
      </c>
      <c r="U1818" s="142">
        <f>B1818*IBGE_2!U$1818/100</f>
        <v>0.12300000000000001</v>
      </c>
      <c r="V1818" s="142">
        <f>B1818*IBGE_2!V$1818/100</f>
        <v>1.46</v>
      </c>
      <c r="W1818" s="142">
        <f>B1818*IBGE_2!W$1818/100</f>
        <v>33.865000000000002</v>
      </c>
      <c r="X1818" s="142">
        <f>B1818*IBGE_2!X$1818/100</f>
        <v>0.38700000000000001</v>
      </c>
      <c r="Y1818" s="142">
        <f>B1818*IBGE_2!Y$1818/100</f>
        <v>0.254</v>
      </c>
      <c r="Z1818" s="142">
        <f>B1818*IBGE_2!Z$1818/100</f>
        <v>0.18899999999999997</v>
      </c>
      <c r="AA1818" s="142">
        <f>B1818*IBGE_2!AA$1818/100</f>
        <v>3.44</v>
      </c>
      <c r="AB1818" s="142">
        <f>B1818*IBGE_2!AB$1818/100</f>
        <v>1.6240000000000001</v>
      </c>
      <c r="AC1818" s="142">
        <f>B1818*IBGE_2!AC$1818/100</f>
        <v>6.0270000000000001</v>
      </c>
      <c r="AD1818" s="142">
        <f>B1818*IBGE_2!AD$1818/100</f>
        <v>0.41299999999999998</v>
      </c>
      <c r="AE1818" s="142">
        <f>B1818*IBGE_2!AE$1818/100</f>
        <v>50.851999999999997</v>
      </c>
      <c r="AF1818" s="142">
        <f>B1818*IBGE_2!AF$1818/100</f>
        <v>0.33900000000000008</v>
      </c>
      <c r="AG1818" s="142">
        <f>B1818*IBGE_2!AG$1818/100</f>
        <v>0.56000000000000005</v>
      </c>
      <c r="AH1818" s="142">
        <f>B1818*IBGE_2!AH$1818/100</f>
        <v>0.29599999999999999</v>
      </c>
      <c r="AI1818" s="142" t="s">
        <v>3047</v>
      </c>
      <c r="AJ1818" s="142">
        <f>B1818*IBGE_2!AJ$1818/100</f>
        <v>14.207000000000001</v>
      </c>
      <c r="AK1818" s="142">
        <f>B1818*IBGE_2!AK$1818/100</f>
        <v>41.415999999999997</v>
      </c>
      <c r="AL1818" s="142">
        <f>B1818*IBGE_2!AL$1818/100</f>
        <v>2.31</v>
      </c>
      <c r="AM1818" s="142">
        <f>B1818*IBGE_2!AM$1818/100</f>
        <v>1.7949999999999999</v>
      </c>
      <c r="AN1818" s="161"/>
    </row>
    <row r="1819" spans="1:40">
      <c r="A1819" s="143" t="s">
        <v>2879</v>
      </c>
      <c r="B1819" s="141">
        <v>100</v>
      </c>
      <c r="C1819" s="142">
        <f>B1819*IBGE_2!C$1819/100</f>
        <v>236.679</v>
      </c>
      <c r="D1819" s="142">
        <f>B1819*IBGE_2!D$1819/100</f>
        <v>10.054</v>
      </c>
      <c r="E1819" s="142">
        <f>B1819*IBGE_2!E$1819/100</f>
        <v>14.215</v>
      </c>
      <c r="F1819" s="142">
        <f>B1819*IBGE_2!F$1819/100</f>
        <v>3.96</v>
      </c>
      <c r="G1819" s="142">
        <f>B1819*IBGE_2!G$1819/100</f>
        <v>4.01</v>
      </c>
      <c r="H1819" s="142">
        <f>B1819*IBGE_2!H$1819/100</f>
        <v>5.1740000000000013</v>
      </c>
      <c r="I1819" s="142">
        <f>B1819*IBGE_2!I$1819/100</f>
        <v>4.5339999999999998</v>
      </c>
      <c r="J1819" s="142">
        <f>B1819*IBGE_2!J$1819/100</f>
        <v>0.58899999999999997</v>
      </c>
      <c r="K1819" s="142">
        <f>B1819*IBGE_2!K$1819/100</f>
        <v>127.499</v>
      </c>
      <c r="L1819" s="142">
        <f>B1819*IBGE_2!L$1819/100</f>
        <v>16.847999999999999</v>
      </c>
      <c r="M1819" s="142">
        <f>B1819*IBGE_2!M$1819/100</f>
        <v>0.996</v>
      </c>
      <c r="N1819" s="142">
        <f>B1819*IBGE_2!N$1819/100</f>
        <v>118.494</v>
      </c>
      <c r="O1819" s="142">
        <f>B1819*IBGE_2!O$1819/100</f>
        <v>16.204999999999998</v>
      </c>
      <c r="P1819" s="142">
        <f>B1819*IBGE_2!P$1819/100</f>
        <v>0.19500000000000001</v>
      </c>
      <c r="Q1819" s="142">
        <f>B1819*IBGE_2!Q$1819/100</f>
        <v>146.26599999999999</v>
      </c>
      <c r="R1819" s="142">
        <f>B1819*IBGE_2!R$1819/100</f>
        <v>1.73</v>
      </c>
      <c r="S1819" s="142">
        <f>B1819*IBGE_2!S$1819/100</f>
        <v>474.55700000000002</v>
      </c>
      <c r="T1819" s="142">
        <f>B1819*IBGE_2!T$1819/100</f>
        <v>154.095</v>
      </c>
      <c r="U1819" s="142">
        <f>B1819*IBGE_2!U$1819/100</f>
        <v>0.106</v>
      </c>
      <c r="V1819" s="142">
        <f>B1819*IBGE_2!V$1819/100</f>
        <v>1.0029999999999999</v>
      </c>
      <c r="W1819" s="142">
        <f>B1819*IBGE_2!W$1819/100</f>
        <v>62.866000000000007</v>
      </c>
      <c r="X1819" s="142">
        <f>B1819*IBGE_2!X$1819/100</f>
        <v>0.23799999999999996</v>
      </c>
      <c r="Y1819" s="142">
        <f>B1819*IBGE_2!Y$1819/100</f>
        <v>0.30499999999999999</v>
      </c>
      <c r="Z1819" s="142">
        <f>B1819*IBGE_2!Z$1819/100</f>
        <v>0.11</v>
      </c>
      <c r="AA1819" s="142">
        <f>B1819*IBGE_2!AA$1819/100</f>
        <v>2.0499999999999998</v>
      </c>
      <c r="AB1819" s="142">
        <f>B1819*IBGE_2!AB$1819/100</f>
        <v>3.093</v>
      </c>
      <c r="AC1819" s="142">
        <f>B1819*IBGE_2!AC$1819/100</f>
        <v>4.0510000000000002</v>
      </c>
      <c r="AD1819" s="142">
        <f>B1819*IBGE_2!AD$1819/100</f>
        <v>0.43</v>
      </c>
      <c r="AE1819" s="142">
        <f>B1819*IBGE_2!AE$1819/100</f>
        <v>70.808999999999997</v>
      </c>
      <c r="AF1819" s="142">
        <f>B1819*IBGE_2!AF$1819/100</f>
        <v>0.43200000000000005</v>
      </c>
      <c r="AG1819" s="142">
        <f>B1819*IBGE_2!AG$1819/100</f>
        <v>1.071</v>
      </c>
      <c r="AH1819" s="142">
        <f>B1819*IBGE_2!AH$1819/100</f>
        <v>0.28999999999999998</v>
      </c>
      <c r="AI1819" s="142" t="s">
        <v>3047</v>
      </c>
      <c r="AJ1819" s="142">
        <f>B1819*IBGE_2!AJ$1819/100</f>
        <v>20.285</v>
      </c>
      <c r="AK1819" s="142">
        <f>B1819*IBGE_2!AK$1819/100</f>
        <v>102.669</v>
      </c>
      <c r="AL1819" s="142">
        <f>B1819*IBGE_2!AL$1819/100</f>
        <v>2.254</v>
      </c>
      <c r="AM1819" s="142">
        <f>B1819*IBGE_2!AM$1819/100</f>
        <v>1.274</v>
      </c>
      <c r="AN1819" s="161"/>
    </row>
    <row r="1820" spans="1:40">
      <c r="A1820" s="143" t="s">
        <v>2880</v>
      </c>
      <c r="B1820" s="141">
        <v>100</v>
      </c>
      <c r="C1820" s="142">
        <f>B1820*IBGE_2!C$1820/100</f>
        <v>265.41699999999997</v>
      </c>
      <c r="D1820" s="142">
        <f>B1820*IBGE_2!D$1820/100</f>
        <v>16.289000000000001</v>
      </c>
      <c r="E1820" s="142">
        <f>B1820*IBGE_2!E$1820/100</f>
        <v>13.776999999999997</v>
      </c>
      <c r="F1820" s="142">
        <f>B1820*IBGE_2!F$1820/100</f>
        <v>6.0289999999999999</v>
      </c>
      <c r="G1820" s="142">
        <f>B1820*IBGE_2!G$1820/100</f>
        <v>5.1449999999999996</v>
      </c>
      <c r="H1820" s="142">
        <f>B1820*IBGE_2!H$1820/100</f>
        <v>1.9479999999999997</v>
      </c>
      <c r="I1820" s="142">
        <f>B1820*IBGE_2!I$1820/100</f>
        <v>1.6740000000000002</v>
      </c>
      <c r="J1820" s="142">
        <f>B1820*IBGE_2!J$1820/100</f>
        <v>0.27300000000000002</v>
      </c>
      <c r="K1820" s="142">
        <f>B1820*IBGE_2!K$1820/100</f>
        <v>42.625</v>
      </c>
      <c r="L1820" s="142">
        <f>B1820*IBGE_2!L$1820/100</f>
        <v>18.298999999999999</v>
      </c>
      <c r="M1820" s="142">
        <f>B1820*IBGE_2!M$1820/100</f>
        <v>0.85099999999999998</v>
      </c>
      <c r="N1820" s="142">
        <f>B1820*IBGE_2!N$1820/100</f>
        <v>168.755</v>
      </c>
      <c r="O1820" s="142">
        <f>B1820*IBGE_2!O$1820/100</f>
        <v>22.531999999999996</v>
      </c>
      <c r="P1820" s="142">
        <f>B1820*IBGE_2!P$1820/100</f>
        <v>0.188</v>
      </c>
      <c r="Q1820" s="142">
        <f>B1820*IBGE_2!Q$1820/100</f>
        <v>252.018</v>
      </c>
      <c r="R1820" s="142">
        <f>B1820*IBGE_2!R$1820/100</f>
        <v>1.903</v>
      </c>
      <c r="S1820" s="142">
        <f>B1820*IBGE_2!S$1820/100</f>
        <v>1175.6780000000001</v>
      </c>
      <c r="T1820" s="142">
        <f>B1820*IBGE_2!T$1820/100</f>
        <v>235.31599999999997</v>
      </c>
      <c r="U1820" s="142">
        <f>B1820*IBGE_2!U$1820/100</f>
        <v>0.153</v>
      </c>
      <c r="V1820" s="142">
        <f>B1820*IBGE_2!V$1820/100</f>
        <v>1.8329999999999997</v>
      </c>
      <c r="W1820" s="142">
        <f>B1820*IBGE_2!W$1820/100</f>
        <v>77.165000000000006</v>
      </c>
      <c r="X1820" s="142">
        <f>B1820*IBGE_2!X$1820/100</f>
        <v>0.46100000000000002</v>
      </c>
      <c r="Y1820" s="142">
        <f>B1820*IBGE_2!Y$1820/100</f>
        <v>0.32200000000000001</v>
      </c>
      <c r="Z1820" s="142">
        <f>B1820*IBGE_2!Z$1820/100</f>
        <v>0.16900000000000001</v>
      </c>
      <c r="AA1820" s="142">
        <f>B1820*IBGE_2!AA$1820/100</f>
        <v>4.0430000000000001</v>
      </c>
      <c r="AB1820" s="142">
        <f>B1820*IBGE_2!AB$1820/100</f>
        <v>7.000000000000001E-3</v>
      </c>
      <c r="AC1820" s="142">
        <f>B1820*IBGE_2!AC$1820/100</f>
        <v>7.2529999999999992</v>
      </c>
      <c r="AD1820" s="142">
        <f>B1820*IBGE_2!AD$1820/100</f>
        <v>0.42599999999999999</v>
      </c>
      <c r="AE1820" s="142">
        <f>B1820*IBGE_2!AE$1820/100</f>
        <v>63.486999999999995</v>
      </c>
      <c r="AF1820" s="142">
        <f>B1820*IBGE_2!AF$1820/100</f>
        <v>0.36399999999999999</v>
      </c>
      <c r="AG1820" s="142">
        <f>B1820*IBGE_2!AG$1820/100</f>
        <v>0.36099999999999999</v>
      </c>
      <c r="AH1820" s="142">
        <f>B1820*IBGE_2!AH$1820/100</f>
        <v>1.254</v>
      </c>
      <c r="AI1820" s="142" t="s">
        <v>3047</v>
      </c>
      <c r="AJ1820" s="142">
        <f>B1820*IBGE_2!AJ$1820/100</f>
        <v>16.992000000000001</v>
      </c>
      <c r="AK1820" s="142">
        <f>B1820*IBGE_2!AK$1820/100</f>
        <v>79.894000000000005</v>
      </c>
      <c r="AL1820" s="142">
        <f>B1820*IBGE_2!AL$1820/100</f>
        <v>1.8180000000000001</v>
      </c>
      <c r="AM1820" s="142">
        <f>B1820*IBGE_2!AM$1820/100</f>
        <v>1.464</v>
      </c>
      <c r="AN1820" s="161"/>
    </row>
    <row r="1821" spans="1:40">
      <c r="A1821" s="143" t="s">
        <v>2881</v>
      </c>
      <c r="B1821" s="141">
        <v>100</v>
      </c>
      <c r="C1821" s="142">
        <f>B1821*IBGE_2!C$1821/100</f>
        <v>329.29300000000001</v>
      </c>
      <c r="D1821" s="142">
        <f>B1821*IBGE_2!D$1821/100</f>
        <v>12.218999999999999</v>
      </c>
      <c r="E1821" s="142">
        <f>B1821*IBGE_2!E$1821/100</f>
        <v>17.242000000000001</v>
      </c>
      <c r="F1821" s="142">
        <f>B1821*IBGE_2!F$1821/100</f>
        <v>8.11</v>
      </c>
      <c r="G1821" s="142">
        <f>B1821*IBGE_2!G$1821/100</f>
        <v>5.706999999999999</v>
      </c>
      <c r="H1821" s="142">
        <f>B1821*IBGE_2!H$1821/100</f>
        <v>2.3450000000000002</v>
      </c>
      <c r="I1821" s="142">
        <f>B1821*IBGE_2!I$1821/100</f>
        <v>2.0449999999999999</v>
      </c>
      <c r="J1821" s="142">
        <f>B1821*IBGE_2!J$1821/100</f>
        <v>0.3</v>
      </c>
      <c r="K1821" s="142">
        <f>B1821*IBGE_2!K$1821/100</f>
        <v>32.106999999999999</v>
      </c>
      <c r="L1821" s="142">
        <f>B1821*IBGE_2!L$1821/100</f>
        <v>31.085999999999999</v>
      </c>
      <c r="M1821" s="142">
        <f>B1821*IBGE_2!M$1821/100</f>
        <v>1.446</v>
      </c>
      <c r="N1821" s="142">
        <f>B1821*IBGE_2!N$1821/100</f>
        <v>281.21499999999997</v>
      </c>
      <c r="O1821" s="142">
        <f>B1821*IBGE_2!O$1821/100</f>
        <v>23.248000000000001</v>
      </c>
      <c r="P1821" s="142">
        <f>B1821*IBGE_2!P$1821/100</f>
        <v>0.29099999999999998</v>
      </c>
      <c r="Q1821" s="142">
        <f>B1821*IBGE_2!Q$1821/100</f>
        <v>236.17</v>
      </c>
      <c r="R1821" s="142">
        <f>B1821*IBGE_2!R$1821/100</f>
        <v>2.3180000000000001</v>
      </c>
      <c r="S1821" s="142">
        <f>B1821*IBGE_2!S$1821/100</f>
        <v>972.55499999999995</v>
      </c>
      <c r="T1821" s="142">
        <f>B1821*IBGE_2!T$1821/100</f>
        <v>120.358</v>
      </c>
      <c r="U1821" s="142">
        <f>B1821*IBGE_2!U$1821/100</f>
        <v>0.16</v>
      </c>
      <c r="V1821" s="142">
        <f>B1821*IBGE_2!V$1821/100</f>
        <v>1.4270000000000003</v>
      </c>
      <c r="W1821" s="142">
        <f>B1821*IBGE_2!W$1821/100</f>
        <v>131.08699999999999</v>
      </c>
      <c r="X1821" s="142">
        <f>B1821*IBGE_2!X$1821/100</f>
        <v>0.28399999999999997</v>
      </c>
      <c r="Y1821" s="142">
        <f>B1821*IBGE_2!Y$1821/100</f>
        <v>0.32200000000000001</v>
      </c>
      <c r="Z1821" s="142">
        <f>B1821*IBGE_2!Z$1821/100</f>
        <v>7.4999999999999997E-2</v>
      </c>
      <c r="AA1821" s="142">
        <f>B1821*IBGE_2!AA$1821/100</f>
        <v>2.6659999999999995</v>
      </c>
      <c r="AB1821" s="142">
        <f>B1821*IBGE_2!AB$1821/100</f>
        <v>1.0999999999999999E-2</v>
      </c>
      <c r="AC1821" s="142">
        <f>B1821*IBGE_2!AC$1821/100</f>
        <v>5.41</v>
      </c>
      <c r="AD1821" s="142">
        <f>B1821*IBGE_2!AD$1821/100</f>
        <v>0.245</v>
      </c>
      <c r="AE1821" s="142">
        <f>B1821*IBGE_2!AE$1821/100</f>
        <v>105.80200000000001</v>
      </c>
      <c r="AF1821" s="142">
        <f>B1821*IBGE_2!AF$1821/100</f>
        <v>7.1999999999999995E-2</v>
      </c>
      <c r="AG1821" s="142">
        <f>B1821*IBGE_2!AG$1821/100</f>
        <v>0.40100000000000002</v>
      </c>
      <c r="AH1821" s="142">
        <f>B1821*IBGE_2!AH$1821/100</f>
        <v>2.1110000000000002</v>
      </c>
      <c r="AI1821" s="142" t="s">
        <v>3047</v>
      </c>
      <c r="AJ1821" s="142">
        <f>B1821*IBGE_2!AJ$1821/100</f>
        <v>15.34</v>
      </c>
      <c r="AK1821" s="142">
        <f>B1821*IBGE_2!AK$1821/100</f>
        <v>135.72399999999999</v>
      </c>
      <c r="AL1821" s="142">
        <f>B1821*IBGE_2!AL$1821/100</f>
        <v>3.0880000000000001</v>
      </c>
      <c r="AM1821" s="142">
        <f>B1821*IBGE_2!AM$1821/100</f>
        <v>2.4870000000000001</v>
      </c>
      <c r="AN1821" s="161"/>
    </row>
    <row r="1822" spans="1:40">
      <c r="A1822" s="143" t="s">
        <v>2882</v>
      </c>
      <c r="B1822" s="141">
        <v>100</v>
      </c>
      <c r="C1822" s="142">
        <f>B1822*IBGE_2!C$1822/100</f>
        <v>282.988</v>
      </c>
      <c r="D1822" s="142">
        <f>B1822*IBGE_2!D$1822/100</f>
        <v>8.9649999999999999</v>
      </c>
      <c r="E1822" s="142">
        <f>B1822*IBGE_2!E$1822/100</f>
        <v>13.744000000000002</v>
      </c>
      <c r="F1822" s="142">
        <f>B1822*IBGE_2!F$1822/100</f>
        <v>3.9790000000000005</v>
      </c>
      <c r="G1822" s="142">
        <f>B1822*IBGE_2!G$1822/100</f>
        <v>5.6760000000000002</v>
      </c>
      <c r="H1822" s="142">
        <f>B1822*IBGE_2!H$1822/100</f>
        <v>2.8330000000000002</v>
      </c>
      <c r="I1822" s="142">
        <f>B1822*IBGE_2!I$1822/100</f>
        <v>2.5739999999999998</v>
      </c>
      <c r="J1822" s="142">
        <f>B1822*IBGE_2!J$1822/100</f>
        <v>0.20699999999999999</v>
      </c>
      <c r="K1822" s="142">
        <f>B1822*IBGE_2!K$1822/100</f>
        <v>22.659000000000002</v>
      </c>
      <c r="L1822" s="142">
        <f>B1822*IBGE_2!L$1822/100</f>
        <v>30.268000000000001</v>
      </c>
      <c r="M1822" s="142">
        <f>B1822*IBGE_2!M$1822/100</f>
        <v>1.395</v>
      </c>
      <c r="N1822" s="142">
        <f>B1822*IBGE_2!N$1822/100</f>
        <v>96.691000000000003</v>
      </c>
      <c r="O1822" s="142">
        <f>B1822*IBGE_2!O$1822/100</f>
        <v>17.364000000000001</v>
      </c>
      <c r="P1822" s="142">
        <f>B1822*IBGE_2!P$1822/100</f>
        <v>0.28199999999999997</v>
      </c>
      <c r="Q1822" s="142">
        <f>B1822*IBGE_2!Q$1822/100</f>
        <v>98.272000000000006</v>
      </c>
      <c r="R1822" s="142">
        <f>B1822*IBGE_2!R$1822/100</f>
        <v>2.577</v>
      </c>
      <c r="S1822" s="142">
        <f>B1822*IBGE_2!S$1822/100</f>
        <v>839.12300000000005</v>
      </c>
      <c r="T1822" s="142">
        <f>B1822*IBGE_2!T$1822/100</f>
        <v>110.334</v>
      </c>
      <c r="U1822" s="142">
        <f>B1822*IBGE_2!U$1822/100</f>
        <v>0.17899999999999999</v>
      </c>
      <c r="V1822" s="142">
        <f>B1822*IBGE_2!V$1822/100</f>
        <v>1.1040000000000001</v>
      </c>
      <c r="W1822" s="142">
        <f>B1822*IBGE_2!W$1822/100</f>
        <v>48.834000000000003</v>
      </c>
      <c r="X1822" s="142">
        <f>B1822*IBGE_2!X$1822/100</f>
        <v>0.315</v>
      </c>
      <c r="Y1822" s="142">
        <f>B1822*IBGE_2!Y$1822/100</f>
        <v>0.26600000000000001</v>
      </c>
      <c r="Z1822" s="142">
        <f>B1822*IBGE_2!Z$1822/100</f>
        <v>0.10400000000000001</v>
      </c>
      <c r="AA1822" s="142">
        <f>B1822*IBGE_2!AA$1822/100</f>
        <v>3.5369999999999999</v>
      </c>
      <c r="AB1822" s="142">
        <f>B1822*IBGE_2!AB$1822/100</f>
        <v>1.0999999999999999E-2</v>
      </c>
      <c r="AC1822" s="142">
        <f>B1822*IBGE_2!AC$1822/100</f>
        <v>5.3019999999999996</v>
      </c>
      <c r="AD1822" s="142">
        <f>B1822*IBGE_2!AD$1822/100</f>
        <v>0.44</v>
      </c>
      <c r="AE1822" s="142">
        <f>B1822*IBGE_2!AE$1822/100</f>
        <v>100.209</v>
      </c>
      <c r="AF1822" s="142">
        <f>B1822*IBGE_2!AF$1822/100</f>
        <v>0.16300000000000001</v>
      </c>
      <c r="AG1822" s="142">
        <f>B1822*IBGE_2!AG$1822/100</f>
        <v>0.34799999999999998</v>
      </c>
      <c r="AH1822" s="142">
        <f>B1822*IBGE_2!AH$1822/100</f>
        <v>1.8759999999999999</v>
      </c>
      <c r="AI1822" s="142" t="s">
        <v>3047</v>
      </c>
      <c r="AJ1822" s="142">
        <f>B1822*IBGE_2!AJ$1822/100</f>
        <v>15.544</v>
      </c>
      <c r="AK1822" s="142">
        <f>B1822*IBGE_2!AK$1822/100</f>
        <v>51.055999999999997</v>
      </c>
      <c r="AL1822" s="142">
        <f>B1822*IBGE_2!AL$1822/100</f>
        <v>3.1640000000000001</v>
      </c>
      <c r="AM1822" s="142">
        <f>B1822*IBGE_2!AM$1822/100</f>
        <v>3.1920000000000006</v>
      </c>
      <c r="AN1822" s="161"/>
    </row>
    <row r="1823" spans="1:40">
      <c r="A1823" s="143" t="s">
        <v>2883</v>
      </c>
      <c r="B1823" s="141">
        <v>100</v>
      </c>
      <c r="C1823" s="142">
        <f>B1823*IBGE_2!C$1823/100</f>
        <v>230.333</v>
      </c>
      <c r="D1823" s="142">
        <f>B1823*IBGE_2!D$1823/100</f>
        <v>10.968</v>
      </c>
      <c r="E1823" s="142">
        <f>B1823*IBGE_2!E$1823/100</f>
        <v>12.15</v>
      </c>
      <c r="F1823" s="142">
        <f>B1823*IBGE_2!F$1823/100</f>
        <v>2.532</v>
      </c>
      <c r="G1823" s="142">
        <f>B1823*IBGE_2!G$1823/100</f>
        <v>3.74</v>
      </c>
      <c r="H1823" s="142">
        <f>B1823*IBGE_2!H$1823/100</f>
        <v>5.1279999999999992</v>
      </c>
      <c r="I1823" s="142">
        <f>B1823*IBGE_2!I$1823/100</f>
        <v>4.5350000000000001</v>
      </c>
      <c r="J1823" s="142">
        <f>B1823*IBGE_2!J$1823/100</f>
        <v>0.59299999999999997</v>
      </c>
      <c r="K1823" s="142">
        <f>B1823*IBGE_2!K$1823/100</f>
        <v>24.731999999999999</v>
      </c>
      <c r="L1823" s="142">
        <f>B1823*IBGE_2!L$1823/100</f>
        <v>18.728999999999999</v>
      </c>
      <c r="M1823" s="142">
        <f>B1823*IBGE_2!M$1823/100</f>
        <v>1.1060000000000001</v>
      </c>
      <c r="N1823" s="142">
        <f>B1823*IBGE_2!N$1823/100</f>
        <v>63.463000000000001</v>
      </c>
      <c r="O1823" s="142">
        <f>B1823*IBGE_2!O$1823/100</f>
        <v>17.849</v>
      </c>
      <c r="P1823" s="142">
        <f>B1823*IBGE_2!P$1823/100</f>
        <v>0.20100000000000001</v>
      </c>
      <c r="Q1823" s="142">
        <f>B1823*IBGE_2!Q$1823/100</f>
        <v>141.518</v>
      </c>
      <c r="R1823" s="142">
        <f>B1823*IBGE_2!R$1823/100</f>
        <v>1.857</v>
      </c>
      <c r="S1823" s="142">
        <f>B1823*IBGE_2!S$1823/100</f>
        <v>844.22</v>
      </c>
      <c r="T1823" s="142">
        <f>B1823*IBGE_2!T$1823/100</f>
        <v>223.88099999999997</v>
      </c>
      <c r="U1823" s="142">
        <f>B1823*IBGE_2!U$1823/100</f>
        <v>0.15</v>
      </c>
      <c r="V1823" s="142">
        <f>B1823*IBGE_2!V$1823/100</f>
        <v>1.18</v>
      </c>
      <c r="W1823" s="142">
        <f>B1823*IBGE_2!W$1823/100</f>
        <v>7.8010000000000002</v>
      </c>
      <c r="X1823" s="142">
        <f>B1823*IBGE_2!X$1823/100</f>
        <v>0.42799999999999999</v>
      </c>
      <c r="Y1823" s="142">
        <f>B1823*IBGE_2!Y$1823/100</f>
        <v>0.25</v>
      </c>
      <c r="Z1823" s="142">
        <f>B1823*IBGE_2!Z$1823/100</f>
        <v>0.20800000000000002</v>
      </c>
      <c r="AA1823" s="142">
        <f>B1823*IBGE_2!AA$1823/100</f>
        <v>3.798</v>
      </c>
      <c r="AB1823" s="142">
        <f>B1823*IBGE_2!AB$1823/100</f>
        <v>0.495</v>
      </c>
      <c r="AC1823" s="142">
        <f>B1823*IBGE_2!AC$1823/100</f>
        <v>5.7889999999999997</v>
      </c>
      <c r="AD1823" s="142">
        <f>B1823*IBGE_2!AD$1823/100</f>
        <v>0.28199999999999997</v>
      </c>
      <c r="AE1823" s="142">
        <f>B1823*IBGE_2!AE$1823/100</f>
        <v>67.94</v>
      </c>
      <c r="AF1823" s="142">
        <f>B1823*IBGE_2!AF$1823/100</f>
        <v>0.314</v>
      </c>
      <c r="AG1823" s="142">
        <f>B1823*IBGE_2!AG$1823/100</f>
        <v>0.7390000000000001</v>
      </c>
      <c r="AH1823" s="142">
        <f>B1823*IBGE_2!AH$1823/100</f>
        <v>0.26</v>
      </c>
      <c r="AI1823" s="142" t="s">
        <v>3047</v>
      </c>
      <c r="AJ1823" s="142">
        <f>B1823*IBGE_2!AJ$1823/100</f>
        <v>13.420999999999999</v>
      </c>
      <c r="AK1823" s="142">
        <f>B1823*IBGE_2!AK$1823/100</f>
        <v>11.461000000000002</v>
      </c>
      <c r="AL1823" s="142">
        <f>B1823*IBGE_2!AL$1823/100</f>
        <v>1.925</v>
      </c>
      <c r="AM1823" s="142">
        <f>B1823*IBGE_2!AM$1823/100</f>
        <v>1.704</v>
      </c>
      <c r="AN1823" s="161"/>
    </row>
    <row r="1824" spans="1:40">
      <c r="A1824" s="143" t="s">
        <v>2884</v>
      </c>
      <c r="B1824" s="141">
        <v>100</v>
      </c>
      <c r="C1824" s="142">
        <f>B1824*IBGE_2!C$1824/100</f>
        <v>265.41699999999997</v>
      </c>
      <c r="D1824" s="142">
        <f>B1824*IBGE_2!D$1824/100</f>
        <v>16.289000000000001</v>
      </c>
      <c r="E1824" s="142">
        <f>B1824*IBGE_2!E$1824/100</f>
        <v>13.776999999999997</v>
      </c>
      <c r="F1824" s="142">
        <f>B1824*IBGE_2!F$1824/100</f>
        <v>6.0289999999999999</v>
      </c>
      <c r="G1824" s="142">
        <f>B1824*IBGE_2!G$1824/100</f>
        <v>5.1449999999999996</v>
      </c>
      <c r="H1824" s="142">
        <f>B1824*IBGE_2!H$1824/100</f>
        <v>1.9479999999999997</v>
      </c>
      <c r="I1824" s="142">
        <f>B1824*IBGE_2!I$1824/100</f>
        <v>1.6740000000000002</v>
      </c>
      <c r="J1824" s="142">
        <f>B1824*IBGE_2!J$1824/100</f>
        <v>0.27300000000000002</v>
      </c>
      <c r="K1824" s="142">
        <f>B1824*IBGE_2!K$1824/100</f>
        <v>42.625</v>
      </c>
      <c r="L1824" s="142">
        <f>B1824*IBGE_2!L$1824/100</f>
        <v>18.298999999999999</v>
      </c>
      <c r="M1824" s="142">
        <f>B1824*IBGE_2!M$1824/100</f>
        <v>0.85099999999999998</v>
      </c>
      <c r="N1824" s="142">
        <f>B1824*IBGE_2!N$1824/100</f>
        <v>168.755</v>
      </c>
      <c r="O1824" s="142">
        <f>B1824*IBGE_2!O$1824/100</f>
        <v>22.531999999999996</v>
      </c>
      <c r="P1824" s="142">
        <f>B1824*IBGE_2!P$1824/100</f>
        <v>0.188</v>
      </c>
      <c r="Q1824" s="142">
        <f>B1824*IBGE_2!Q$1824/100</f>
        <v>252.018</v>
      </c>
      <c r="R1824" s="142">
        <f>B1824*IBGE_2!R$1824/100</f>
        <v>1.903</v>
      </c>
      <c r="S1824" s="142">
        <f>B1824*IBGE_2!S$1824/100</f>
        <v>1175.6780000000001</v>
      </c>
      <c r="T1824" s="142">
        <f>B1824*IBGE_2!T$1824/100</f>
        <v>235.31599999999997</v>
      </c>
      <c r="U1824" s="142">
        <f>B1824*IBGE_2!U$1824/100</f>
        <v>0.153</v>
      </c>
      <c r="V1824" s="142">
        <f>B1824*IBGE_2!V$1824/100</f>
        <v>1.8329999999999997</v>
      </c>
      <c r="W1824" s="142">
        <f>B1824*IBGE_2!W$1824/100</f>
        <v>77.165000000000006</v>
      </c>
      <c r="X1824" s="142">
        <f>B1824*IBGE_2!X$1824/100</f>
        <v>0.46100000000000002</v>
      </c>
      <c r="Y1824" s="142">
        <f>B1824*IBGE_2!Y$1824/100</f>
        <v>0.32200000000000001</v>
      </c>
      <c r="Z1824" s="142">
        <f>B1824*IBGE_2!Z$1824/100</f>
        <v>0.16900000000000001</v>
      </c>
      <c r="AA1824" s="142">
        <f>B1824*IBGE_2!AA$1824/100</f>
        <v>4.0430000000000001</v>
      </c>
      <c r="AB1824" s="142">
        <f>B1824*IBGE_2!AB$1824/100</f>
        <v>7.000000000000001E-3</v>
      </c>
      <c r="AC1824" s="142">
        <f>B1824*IBGE_2!AC$1824/100</f>
        <v>7.2529999999999992</v>
      </c>
      <c r="AD1824" s="142">
        <f>B1824*IBGE_2!AD$1824/100</f>
        <v>0.42599999999999999</v>
      </c>
      <c r="AE1824" s="142">
        <f>B1824*IBGE_2!AE$1824/100</f>
        <v>63.486999999999995</v>
      </c>
      <c r="AF1824" s="142">
        <f>B1824*IBGE_2!AF$1824/100</f>
        <v>0.36399999999999999</v>
      </c>
      <c r="AG1824" s="142">
        <f>B1824*IBGE_2!AG$1824/100</f>
        <v>0.36099999999999999</v>
      </c>
      <c r="AH1824" s="142">
        <f>B1824*IBGE_2!AH$1824/100</f>
        <v>1.254</v>
      </c>
      <c r="AI1824" s="142" t="s">
        <v>3047</v>
      </c>
      <c r="AJ1824" s="142">
        <f>B1824*IBGE_2!AJ$1824/100</f>
        <v>16.992000000000001</v>
      </c>
      <c r="AK1824" s="142">
        <f>B1824*IBGE_2!AK$1824/100</f>
        <v>79.894000000000005</v>
      </c>
      <c r="AL1824" s="142">
        <f>B1824*IBGE_2!AL$1824/100</f>
        <v>1.8180000000000001</v>
      </c>
      <c r="AM1824" s="142">
        <f>B1824*IBGE_2!AM$1824/100</f>
        <v>1.464</v>
      </c>
      <c r="AN1824" s="161"/>
    </row>
    <row r="1825" spans="1:40">
      <c r="A1825" s="143" t="s">
        <v>2885</v>
      </c>
      <c r="B1825" s="141">
        <v>100</v>
      </c>
      <c r="C1825" s="142">
        <f>B1825*IBGE_2!C$1825/100</f>
        <v>315.97199999999998</v>
      </c>
      <c r="D1825" s="142">
        <f>B1825*IBGE_2!D$1825/100</f>
        <v>8.6020000000000003</v>
      </c>
      <c r="E1825" s="142">
        <f>B1825*IBGE_2!E$1825/100</f>
        <v>16.559000000000001</v>
      </c>
      <c r="F1825" s="142">
        <f>B1825*IBGE_2!F$1825/100</f>
        <v>5.38</v>
      </c>
      <c r="G1825" s="142">
        <f>B1825*IBGE_2!G$1825/100</f>
        <v>7.0179999999999998</v>
      </c>
      <c r="H1825" s="142">
        <f>B1825*IBGE_2!H$1825/100</f>
        <v>2.8650000000000002</v>
      </c>
      <c r="I1825" s="142">
        <f>B1825*IBGE_2!I$1825/100</f>
        <v>2.5790000000000002</v>
      </c>
      <c r="J1825" s="142">
        <f>B1825*IBGE_2!J$1825/100</f>
        <v>0.26800000000000002</v>
      </c>
      <c r="K1825" s="142">
        <f>B1825*IBGE_2!K$1825/100</f>
        <v>25.617000000000004</v>
      </c>
      <c r="L1825" s="142">
        <f>B1825*IBGE_2!L$1825/100</f>
        <v>32.814</v>
      </c>
      <c r="M1825" s="142">
        <f>B1825*IBGE_2!M$1825/100</f>
        <v>1.446</v>
      </c>
      <c r="N1825" s="142">
        <f>B1825*IBGE_2!N$1825/100</f>
        <v>103.262</v>
      </c>
      <c r="O1825" s="142">
        <f>B1825*IBGE_2!O$1825/100</f>
        <v>18.808</v>
      </c>
      <c r="P1825" s="142">
        <f>B1825*IBGE_2!P$1825/100</f>
        <v>0.379</v>
      </c>
      <c r="Q1825" s="142">
        <f>B1825*IBGE_2!Q$1825/100</f>
        <v>104.669</v>
      </c>
      <c r="R1825" s="142">
        <f>B1825*IBGE_2!R$1825/100</f>
        <v>2.6629999999999994</v>
      </c>
      <c r="S1825" s="142">
        <f>B1825*IBGE_2!S$1825/100</f>
        <v>824.31700000000001</v>
      </c>
      <c r="T1825" s="142">
        <f>B1825*IBGE_2!T$1825/100</f>
        <v>138.46</v>
      </c>
      <c r="U1825" s="142">
        <f>B1825*IBGE_2!U$1825/100</f>
        <v>0.18600000000000003</v>
      </c>
      <c r="V1825" s="142">
        <f>B1825*IBGE_2!V$1825/100</f>
        <v>1.2150000000000001</v>
      </c>
      <c r="W1825" s="142">
        <f>B1825*IBGE_2!W$1825/100</f>
        <v>46.722000000000001</v>
      </c>
      <c r="X1825" s="142">
        <f>B1825*IBGE_2!X$1825/100</f>
        <v>0.32700000000000001</v>
      </c>
      <c r="Y1825" s="142">
        <f>B1825*IBGE_2!Y$1825/100</f>
        <v>0.253</v>
      </c>
      <c r="Z1825" s="142">
        <f>B1825*IBGE_2!Z$1825/100</f>
        <v>0.184</v>
      </c>
      <c r="AA1825" s="142">
        <f>B1825*IBGE_2!AA$1825/100</f>
        <v>3.7730000000000001</v>
      </c>
      <c r="AB1825" s="142">
        <f>B1825*IBGE_2!AB$1825/100</f>
        <v>3.7690000000000001</v>
      </c>
      <c r="AC1825" s="142">
        <f>B1825*IBGE_2!AC$1825/100</f>
        <v>5.3959999999999999</v>
      </c>
      <c r="AD1825" s="142">
        <f>B1825*IBGE_2!AD$1825/100</f>
        <v>0.375</v>
      </c>
      <c r="AE1825" s="142">
        <f>B1825*IBGE_2!AE$1825/100</f>
        <v>104.435</v>
      </c>
      <c r="AF1825" s="142">
        <f>B1825*IBGE_2!AF$1825/100</f>
        <v>0.10199999999999999</v>
      </c>
      <c r="AG1825" s="142">
        <f>B1825*IBGE_2!AG$1825/100</f>
        <v>0.309</v>
      </c>
      <c r="AH1825" s="142">
        <f>B1825*IBGE_2!AH$1825/100</f>
        <v>2.0459999999999998</v>
      </c>
      <c r="AI1825" s="142" t="s">
        <v>3047</v>
      </c>
      <c r="AJ1825" s="142">
        <f>B1825*IBGE_2!AJ$1825/100</f>
        <v>14.657</v>
      </c>
      <c r="AK1825" s="142">
        <f>B1825*IBGE_2!AK$1825/100</f>
        <v>49.024999999999999</v>
      </c>
      <c r="AL1825" s="142">
        <f>B1825*IBGE_2!AL$1825/100</f>
        <v>3.4660000000000002</v>
      </c>
      <c r="AM1825" s="142">
        <f>B1825*IBGE_2!AM$1825/100</f>
        <v>4.7619999999999996</v>
      </c>
      <c r="AN1825" s="161"/>
    </row>
    <row r="1826" spans="1:40">
      <c r="A1826" s="143" t="s">
        <v>2886</v>
      </c>
      <c r="B1826" s="141">
        <v>100</v>
      </c>
      <c r="C1826" s="142">
        <f>B1826*IBGE_2!C$1826/100</f>
        <v>329.29300000000001</v>
      </c>
      <c r="D1826" s="142">
        <f>B1826*IBGE_2!D$1826/100</f>
        <v>12.218999999999999</v>
      </c>
      <c r="E1826" s="142">
        <f>B1826*IBGE_2!E$1826/100</f>
        <v>17.242000000000001</v>
      </c>
      <c r="F1826" s="142">
        <f>B1826*IBGE_2!F$1826/100</f>
        <v>8.11</v>
      </c>
      <c r="G1826" s="142">
        <f>B1826*IBGE_2!G$1826/100</f>
        <v>5.706999999999999</v>
      </c>
      <c r="H1826" s="142">
        <f>B1826*IBGE_2!H$1826/100</f>
        <v>2.3450000000000002</v>
      </c>
      <c r="I1826" s="142">
        <f>B1826*IBGE_2!I$1826/100</f>
        <v>2.0449999999999999</v>
      </c>
      <c r="J1826" s="142">
        <f>B1826*IBGE_2!J$1826/100</f>
        <v>0.3</v>
      </c>
      <c r="K1826" s="142">
        <f>B1826*IBGE_2!K$1826/100</f>
        <v>32.106999999999999</v>
      </c>
      <c r="L1826" s="142">
        <f>B1826*IBGE_2!L$1826/100</f>
        <v>31.085999999999999</v>
      </c>
      <c r="M1826" s="142">
        <f>B1826*IBGE_2!M$1826/100</f>
        <v>1.446</v>
      </c>
      <c r="N1826" s="142">
        <f>B1826*IBGE_2!N$1826/100</f>
        <v>281.21499999999997</v>
      </c>
      <c r="O1826" s="142">
        <f>B1826*IBGE_2!O$1826/100</f>
        <v>23.248000000000001</v>
      </c>
      <c r="P1826" s="142">
        <f>B1826*IBGE_2!P$1826/100</f>
        <v>0.29099999999999998</v>
      </c>
      <c r="Q1826" s="142">
        <f>B1826*IBGE_2!Q$1826/100</f>
        <v>236.17</v>
      </c>
      <c r="R1826" s="142">
        <f>B1826*IBGE_2!R$1826/100</f>
        <v>2.3180000000000001</v>
      </c>
      <c r="S1826" s="142">
        <f>B1826*IBGE_2!S$1826/100</f>
        <v>972.55499999999995</v>
      </c>
      <c r="T1826" s="142">
        <f>B1826*IBGE_2!T$1826/100</f>
        <v>120.358</v>
      </c>
      <c r="U1826" s="142">
        <f>B1826*IBGE_2!U$1826/100</f>
        <v>0.16</v>
      </c>
      <c r="V1826" s="142">
        <f>B1826*IBGE_2!V$1826/100</f>
        <v>1.4270000000000003</v>
      </c>
      <c r="W1826" s="142">
        <f>B1826*IBGE_2!W$1826/100</f>
        <v>131.08699999999999</v>
      </c>
      <c r="X1826" s="142">
        <f>B1826*IBGE_2!X$1826/100</f>
        <v>0.28399999999999997</v>
      </c>
      <c r="Y1826" s="142">
        <f>B1826*IBGE_2!Y$1826/100</f>
        <v>0.32200000000000001</v>
      </c>
      <c r="Z1826" s="142">
        <f>B1826*IBGE_2!Z$1826/100</f>
        <v>7.4999999999999997E-2</v>
      </c>
      <c r="AA1826" s="142">
        <f>B1826*IBGE_2!AA$1826/100</f>
        <v>2.6659999999999995</v>
      </c>
      <c r="AB1826" s="142">
        <f>B1826*IBGE_2!AB$1826/100</f>
        <v>1.0999999999999999E-2</v>
      </c>
      <c r="AC1826" s="142">
        <f>B1826*IBGE_2!AC$1826/100</f>
        <v>5.41</v>
      </c>
      <c r="AD1826" s="142">
        <f>B1826*IBGE_2!AD$1826/100</f>
        <v>0.245</v>
      </c>
      <c r="AE1826" s="142">
        <f>B1826*IBGE_2!AE$1826/100</f>
        <v>105.80200000000001</v>
      </c>
      <c r="AF1826" s="142">
        <f>B1826*IBGE_2!AF$1826/100</f>
        <v>7.1999999999999995E-2</v>
      </c>
      <c r="AG1826" s="142">
        <f>B1826*IBGE_2!AG$1826/100</f>
        <v>0.40100000000000002</v>
      </c>
      <c r="AH1826" s="142">
        <f>B1826*IBGE_2!AH$1826/100</f>
        <v>2.1110000000000002</v>
      </c>
      <c r="AI1826" s="142" t="s">
        <v>3047</v>
      </c>
      <c r="AJ1826" s="142">
        <f>B1826*IBGE_2!AJ$1826/100</f>
        <v>15.34</v>
      </c>
      <c r="AK1826" s="142">
        <f>B1826*IBGE_2!AK$1826/100</f>
        <v>135.72399999999999</v>
      </c>
      <c r="AL1826" s="142">
        <f>B1826*IBGE_2!AL$1826/100</f>
        <v>3.0880000000000001</v>
      </c>
      <c r="AM1826" s="142">
        <f>B1826*IBGE_2!AM$1826/100</f>
        <v>2.4870000000000001</v>
      </c>
      <c r="AN1826" s="161"/>
    </row>
    <row r="1827" spans="1:40">
      <c r="A1827" s="143" t="s">
        <v>2887</v>
      </c>
      <c r="B1827" s="141">
        <v>100</v>
      </c>
      <c r="C1827" s="142">
        <f>B1827*IBGE_2!C$1827/100</f>
        <v>279.85000000000002</v>
      </c>
      <c r="D1827" s="142">
        <f>B1827*IBGE_2!D$1827/100</f>
        <v>14.147</v>
      </c>
      <c r="E1827" s="142">
        <f>B1827*IBGE_2!E$1827/100</f>
        <v>11.808</v>
      </c>
      <c r="F1827" s="142">
        <f>B1827*IBGE_2!F$1827/100</f>
        <v>5.2149999999999999</v>
      </c>
      <c r="G1827" s="142">
        <f>B1827*IBGE_2!G$1827/100</f>
        <v>4.173</v>
      </c>
      <c r="H1827" s="142">
        <f>B1827*IBGE_2!H$1827/100</f>
        <v>1.36</v>
      </c>
      <c r="I1827" s="142">
        <f>B1827*IBGE_2!I$1827/100</f>
        <v>1.131</v>
      </c>
      <c r="J1827" s="142">
        <f>B1827*IBGE_2!J$1827/100</f>
        <v>0.22</v>
      </c>
      <c r="K1827" s="142">
        <f>B1827*IBGE_2!K$1827/100</f>
        <v>31.983000000000001</v>
      </c>
      <c r="L1827" s="142">
        <f>B1827*IBGE_2!L$1827/100</f>
        <v>28.739000000000001</v>
      </c>
      <c r="M1827" s="142">
        <f>B1827*IBGE_2!M$1827/100</f>
        <v>1.486</v>
      </c>
      <c r="N1827" s="142">
        <f>B1827*IBGE_2!N$1827/100</f>
        <v>146.99700000000001</v>
      </c>
      <c r="O1827" s="142">
        <f>B1827*IBGE_2!O$1827/100</f>
        <v>24.623000000000001</v>
      </c>
      <c r="P1827" s="142">
        <f>B1827*IBGE_2!P$1827/100</f>
        <v>0.192</v>
      </c>
      <c r="Q1827" s="142">
        <f>B1827*IBGE_2!Q$1827/100</f>
        <v>149.88200000000001</v>
      </c>
      <c r="R1827" s="142">
        <f>B1827*IBGE_2!R$1827/100</f>
        <v>2.415</v>
      </c>
      <c r="S1827" s="142">
        <f>B1827*IBGE_2!S$1827/100</f>
        <v>592.11599999999999</v>
      </c>
      <c r="T1827" s="142">
        <f>B1827*IBGE_2!T$1827/100</f>
        <v>215.39400000000001</v>
      </c>
      <c r="U1827" s="142">
        <f>B1827*IBGE_2!U$1827/100</f>
        <v>0.16300000000000001</v>
      </c>
      <c r="V1827" s="142">
        <f>B1827*IBGE_2!V$1827/100</f>
        <v>2.2410000000000001</v>
      </c>
      <c r="W1827" s="142">
        <f>B1827*IBGE_2!W$1827/100</f>
        <v>29.059000000000001</v>
      </c>
      <c r="X1827" s="142">
        <f>B1827*IBGE_2!X$1827/100</f>
        <v>0.248</v>
      </c>
      <c r="Y1827" s="142">
        <f>B1827*IBGE_2!Y$1827/100</f>
        <v>0.26500000000000001</v>
      </c>
      <c r="Z1827" s="142">
        <f>B1827*IBGE_2!Z$1827/100</f>
        <v>0.16699999999999998</v>
      </c>
      <c r="AA1827" s="142">
        <f>B1827*IBGE_2!AA$1827/100</f>
        <v>3.2969999999999997</v>
      </c>
      <c r="AB1827" s="142">
        <f>B1827*IBGE_2!AB$1827/100</f>
        <v>1.9219999999999999</v>
      </c>
      <c r="AC1827" s="142">
        <f>B1827*IBGE_2!AC$1827/100</f>
        <v>6.0439999999999996</v>
      </c>
      <c r="AD1827" s="142">
        <f>B1827*IBGE_2!AD$1827/100</f>
        <v>0.93899999999999995</v>
      </c>
      <c r="AE1827" s="142">
        <f>B1827*IBGE_2!AE$1827/100</f>
        <v>91.858999999999995</v>
      </c>
      <c r="AF1827" s="142">
        <f>B1827*IBGE_2!AF$1827/100</f>
        <v>0.113</v>
      </c>
      <c r="AG1827" s="142">
        <f>B1827*IBGE_2!AG$1827/100</f>
        <v>0.28699999999999998</v>
      </c>
      <c r="AH1827" s="142">
        <f>B1827*IBGE_2!AH$1827/100</f>
        <v>0.69899999999999995</v>
      </c>
      <c r="AI1827" s="142" t="s">
        <v>3047</v>
      </c>
      <c r="AJ1827" s="142">
        <f>B1827*IBGE_2!AJ$1827/100</f>
        <v>18.021000000000001</v>
      </c>
      <c r="AK1827" s="142">
        <f>B1827*IBGE_2!AK$1827/100</f>
        <v>33.472000000000001</v>
      </c>
      <c r="AL1827" s="142">
        <f>B1827*IBGE_2!AL$1827/100</f>
        <v>5.6529999999999996</v>
      </c>
      <c r="AM1827" s="142">
        <f>B1827*IBGE_2!AM$1827/100</f>
        <v>4.2069999999999999</v>
      </c>
      <c r="AN1827" s="161"/>
    </row>
    <row r="1828" spans="1:40">
      <c r="A1828" s="143" t="s">
        <v>2888</v>
      </c>
      <c r="B1828" s="141">
        <v>100</v>
      </c>
      <c r="C1828" s="142">
        <f>B1828*IBGE_2!C$1828/100</f>
        <v>279.85000000000002</v>
      </c>
      <c r="D1828" s="142">
        <f>B1828*IBGE_2!D$1828/100</f>
        <v>14.147</v>
      </c>
      <c r="E1828" s="142">
        <f>B1828*IBGE_2!E$1828/100</f>
        <v>11.808</v>
      </c>
      <c r="F1828" s="142">
        <f>B1828*IBGE_2!F$1828/100</f>
        <v>5.2149999999999999</v>
      </c>
      <c r="G1828" s="142">
        <f>B1828*IBGE_2!G$1828/100</f>
        <v>4.173</v>
      </c>
      <c r="H1828" s="142">
        <f>B1828*IBGE_2!H$1828/100</f>
        <v>1.36</v>
      </c>
      <c r="I1828" s="142">
        <f>B1828*IBGE_2!I$1828/100</f>
        <v>1.131</v>
      </c>
      <c r="J1828" s="142">
        <f>B1828*IBGE_2!J$1828/100</f>
        <v>0.22</v>
      </c>
      <c r="K1828" s="142">
        <f>B1828*IBGE_2!K$1828/100</f>
        <v>31.983000000000001</v>
      </c>
      <c r="L1828" s="142">
        <f>B1828*IBGE_2!L$1828/100</f>
        <v>28.739000000000001</v>
      </c>
      <c r="M1828" s="142">
        <f>B1828*IBGE_2!M$1828/100</f>
        <v>1.486</v>
      </c>
      <c r="N1828" s="142">
        <f>B1828*IBGE_2!N$1828/100</f>
        <v>146.99700000000001</v>
      </c>
      <c r="O1828" s="142">
        <f>B1828*IBGE_2!O$1828/100</f>
        <v>24.623000000000001</v>
      </c>
      <c r="P1828" s="142">
        <f>B1828*IBGE_2!P$1828/100</f>
        <v>0.192</v>
      </c>
      <c r="Q1828" s="142">
        <f>B1828*IBGE_2!Q$1828/100</f>
        <v>149.88200000000001</v>
      </c>
      <c r="R1828" s="142">
        <f>B1828*IBGE_2!R$1828/100</f>
        <v>2.415</v>
      </c>
      <c r="S1828" s="142">
        <f>B1828*IBGE_2!S$1828/100</f>
        <v>592.11599999999999</v>
      </c>
      <c r="T1828" s="142">
        <f>B1828*IBGE_2!T$1828/100</f>
        <v>215.39400000000001</v>
      </c>
      <c r="U1828" s="142">
        <f>B1828*IBGE_2!U$1828/100</f>
        <v>0.16300000000000001</v>
      </c>
      <c r="V1828" s="142">
        <f>B1828*IBGE_2!V$1828/100</f>
        <v>2.2410000000000001</v>
      </c>
      <c r="W1828" s="142">
        <f>B1828*IBGE_2!W$1828/100</f>
        <v>29.059000000000001</v>
      </c>
      <c r="X1828" s="142">
        <f>B1828*IBGE_2!X$1828/100</f>
        <v>0.248</v>
      </c>
      <c r="Y1828" s="142">
        <f>B1828*IBGE_2!Y$1828/100</f>
        <v>0.26500000000000001</v>
      </c>
      <c r="Z1828" s="142">
        <f>B1828*IBGE_2!Z$1828/100</f>
        <v>0.16699999999999998</v>
      </c>
      <c r="AA1828" s="142">
        <f>B1828*IBGE_2!AA$1828/100</f>
        <v>3.2969999999999997</v>
      </c>
      <c r="AB1828" s="142">
        <f>B1828*IBGE_2!AB$1828/100</f>
        <v>1.9219999999999999</v>
      </c>
      <c r="AC1828" s="142">
        <f>B1828*IBGE_2!AC$1828/100</f>
        <v>6.0439999999999996</v>
      </c>
      <c r="AD1828" s="142">
        <f>B1828*IBGE_2!AD$1828/100</f>
        <v>0.93899999999999995</v>
      </c>
      <c r="AE1828" s="142">
        <f>B1828*IBGE_2!AE$1828/100</f>
        <v>91.858999999999995</v>
      </c>
      <c r="AF1828" s="142">
        <f>B1828*IBGE_2!AF$1828/100</f>
        <v>0.113</v>
      </c>
      <c r="AG1828" s="142">
        <f>B1828*IBGE_2!AG$1828/100</f>
        <v>0.28699999999999998</v>
      </c>
      <c r="AH1828" s="142">
        <f>B1828*IBGE_2!AH$1828/100</f>
        <v>0.69899999999999995</v>
      </c>
      <c r="AI1828" s="142" t="s">
        <v>3047</v>
      </c>
      <c r="AJ1828" s="142">
        <f>B1828*IBGE_2!AJ$1828/100</f>
        <v>18.021000000000001</v>
      </c>
      <c r="AK1828" s="142">
        <f>B1828*IBGE_2!AK$1828/100</f>
        <v>33.472000000000001</v>
      </c>
      <c r="AL1828" s="142">
        <f>B1828*IBGE_2!AL$1828/100</f>
        <v>5.6529999999999996</v>
      </c>
      <c r="AM1828" s="142">
        <f>B1828*IBGE_2!AM$1828/100</f>
        <v>4.2069999999999999</v>
      </c>
      <c r="AN1828" s="161"/>
    </row>
    <row r="1829" spans="1:40">
      <c r="A1829" s="143" t="s">
        <v>2889</v>
      </c>
      <c r="B1829" s="141">
        <v>100</v>
      </c>
      <c r="C1829" s="142">
        <f>B1829*IBGE_2!C$1829/100</f>
        <v>245.583</v>
      </c>
      <c r="D1829" s="142">
        <f>B1829*IBGE_2!D$1829/100</f>
        <v>11.212999999999999</v>
      </c>
      <c r="E1829" s="142">
        <f>B1829*IBGE_2!E$1829/100</f>
        <v>10.837999999999999</v>
      </c>
      <c r="F1829" s="142">
        <f>B1829*IBGE_2!F$1829/100</f>
        <v>1.9579999999999997</v>
      </c>
      <c r="G1829" s="142">
        <f>B1829*IBGE_2!G$1829/100</f>
        <v>2.85</v>
      </c>
      <c r="H1829" s="142">
        <f>B1829*IBGE_2!H$1829/100</f>
        <v>4.9989999999999997</v>
      </c>
      <c r="I1829" s="142">
        <f>B1829*IBGE_2!I$1829/100</f>
        <v>4.4089999999999998</v>
      </c>
      <c r="J1829" s="142">
        <f>B1829*IBGE_2!J$1829/100</f>
        <v>0.52500000000000002</v>
      </c>
      <c r="K1829" s="142">
        <f>B1829*IBGE_2!K$1829/100</f>
        <v>26.281999999999996</v>
      </c>
      <c r="L1829" s="142">
        <f>B1829*IBGE_2!L$1829/100</f>
        <v>25.576000000000001</v>
      </c>
      <c r="M1829" s="142">
        <f>B1829*IBGE_2!M$1829/100</f>
        <v>1.4710000000000003</v>
      </c>
      <c r="N1829" s="142">
        <f>B1829*IBGE_2!N$1829/100</f>
        <v>81.834000000000003</v>
      </c>
      <c r="O1829" s="142">
        <f>B1829*IBGE_2!O$1829/100</f>
        <v>20.068000000000001</v>
      </c>
      <c r="P1829" s="142">
        <f>B1829*IBGE_2!P$1829/100</f>
        <v>0.249</v>
      </c>
      <c r="Q1829" s="142">
        <f>B1829*IBGE_2!Q$1829/100</f>
        <v>103.37200000000001</v>
      </c>
      <c r="R1829" s="142">
        <f>B1829*IBGE_2!R$1829/100</f>
        <v>2.218</v>
      </c>
      <c r="S1829" s="142">
        <f>B1829*IBGE_2!S$1829/100</f>
        <v>436.02699999999999</v>
      </c>
      <c r="T1829" s="142">
        <f>B1829*IBGE_2!T$1829/100</f>
        <v>147.941</v>
      </c>
      <c r="U1829" s="142">
        <f>B1829*IBGE_2!U$1829/100</f>
        <v>0.14799999999999999</v>
      </c>
      <c r="V1829" s="142">
        <f>B1829*IBGE_2!V$1829/100</f>
        <v>0.94099999999999995</v>
      </c>
      <c r="W1829" s="142">
        <f>B1829*IBGE_2!W$1829/100</f>
        <v>11.496000000000002</v>
      </c>
      <c r="X1829" s="142">
        <f>B1829*IBGE_2!X$1829/100</f>
        <v>0.23799999999999996</v>
      </c>
      <c r="Y1829" s="142">
        <f>B1829*IBGE_2!Y$1829/100</f>
        <v>0.21199999999999999</v>
      </c>
      <c r="Z1829" s="142">
        <f>B1829*IBGE_2!Z$1829/100</f>
        <v>0.222</v>
      </c>
      <c r="AA1829" s="142">
        <f>B1829*IBGE_2!AA$1829/100</f>
        <v>4.4160000000000004</v>
      </c>
      <c r="AB1829" s="142">
        <f>B1829*IBGE_2!AB$1829/100</f>
        <v>2.125</v>
      </c>
      <c r="AC1829" s="142">
        <f>B1829*IBGE_2!AC$1829/100</f>
        <v>6.5939999999999994</v>
      </c>
      <c r="AD1829" s="142">
        <f>B1829*IBGE_2!AD$1829/100</f>
        <v>0.115</v>
      </c>
      <c r="AE1829" s="142">
        <f>B1829*IBGE_2!AE$1829/100</f>
        <v>86.721000000000004</v>
      </c>
      <c r="AF1829" s="142">
        <f>B1829*IBGE_2!AF$1829/100</f>
        <v>0.13</v>
      </c>
      <c r="AG1829" s="142">
        <f>B1829*IBGE_2!AG$1829/100</f>
        <v>0.73699999999999999</v>
      </c>
      <c r="AH1829" s="142">
        <f>B1829*IBGE_2!AH$1829/100</f>
        <v>0.373</v>
      </c>
      <c r="AI1829" s="142" t="s">
        <v>3047</v>
      </c>
      <c r="AJ1829" s="142">
        <f>B1829*IBGE_2!AJ$1829/100</f>
        <v>14.148</v>
      </c>
      <c r="AK1829" s="142">
        <f>B1829*IBGE_2!AK$1829/100</f>
        <v>18.898</v>
      </c>
      <c r="AL1829" s="142">
        <f>B1829*IBGE_2!AL$1829/100</f>
        <v>3.8110000000000004</v>
      </c>
      <c r="AM1829" s="142">
        <f>B1829*IBGE_2!AM$1829/100</f>
        <v>3.319</v>
      </c>
      <c r="AN1829" s="161"/>
    </row>
    <row r="1830" spans="1:40">
      <c r="A1830" s="143" t="s">
        <v>2890</v>
      </c>
      <c r="B1830" s="141">
        <v>100</v>
      </c>
      <c r="C1830" s="142">
        <f>B1830*IBGE_2!C$1830/100</f>
        <v>41.826000000000001</v>
      </c>
      <c r="D1830" s="142">
        <f>B1830*IBGE_2!D$1830/100</f>
        <v>0.58799999999999997</v>
      </c>
      <c r="E1830" s="142">
        <f>B1830*IBGE_2!E$1830/100</f>
        <v>0.13900000000000001</v>
      </c>
      <c r="F1830" s="142">
        <f>B1830*IBGE_2!F$1830/100</f>
        <v>1.7999999999999999E-2</v>
      </c>
      <c r="G1830" s="142">
        <f>B1830*IBGE_2!G$1830/100</f>
        <v>2.5000000000000001E-2</v>
      </c>
      <c r="H1830" s="142">
        <f>B1830*IBGE_2!H$1830/100</f>
        <v>3.4000000000000002E-2</v>
      </c>
      <c r="I1830" s="142">
        <f>B1830*IBGE_2!I$1830/100</f>
        <v>2.7000000000000003E-2</v>
      </c>
      <c r="J1830" s="142">
        <f>B1830*IBGE_2!J$1830/100</f>
        <v>7.000000000000001E-3</v>
      </c>
      <c r="K1830" s="142" t="s">
        <v>3047</v>
      </c>
      <c r="L1830" s="142">
        <f>B1830*IBGE_2!L$1830/100</f>
        <v>9.8089999999999993</v>
      </c>
      <c r="M1830" s="142">
        <f>B1830*IBGE_2!M$1830/100</f>
        <v>0.309</v>
      </c>
      <c r="N1830" s="142">
        <f>B1830*IBGE_2!N$1830/100</f>
        <v>7.9669999999999996</v>
      </c>
      <c r="O1830" s="142">
        <f>B1830*IBGE_2!O$1830/100</f>
        <v>10.954000000000001</v>
      </c>
      <c r="P1830" s="142">
        <f>B1830*IBGE_2!P$1830/100</f>
        <v>1.4000000000000002E-2</v>
      </c>
      <c r="Q1830" s="142">
        <f>B1830*IBGE_2!Q$1830/100</f>
        <v>13.942</v>
      </c>
      <c r="R1830" s="142">
        <f>B1830*IBGE_2!R$1830/100</f>
        <v>0.43799999999999994</v>
      </c>
      <c r="S1830" s="142">
        <f>B1830*IBGE_2!S$1830/100</f>
        <v>1.992</v>
      </c>
      <c r="T1830" s="142">
        <f>B1830*IBGE_2!T$1830/100</f>
        <v>174.274</v>
      </c>
      <c r="U1830" s="142">
        <f>B1830*IBGE_2!U$1830/100</f>
        <v>5.7000000000000002E-2</v>
      </c>
      <c r="V1830" s="142">
        <f>B1830*IBGE_2!V$1830/100</f>
        <v>7.0000000000000007E-2</v>
      </c>
      <c r="W1830" s="142" t="s">
        <v>3047</v>
      </c>
      <c r="X1830" s="142">
        <f>B1830*IBGE_2!X$1830/100</f>
        <v>0.06</v>
      </c>
      <c r="Y1830" s="142">
        <f>B1830*IBGE_2!Y$1830/100</f>
        <v>2.8000000000000004E-2</v>
      </c>
      <c r="Z1830" s="142">
        <f>B1830*IBGE_2!Z$1830/100</f>
        <v>8.7999999999999995E-2</v>
      </c>
      <c r="AA1830" s="142">
        <f>B1830*IBGE_2!AA$1830/100</f>
        <v>0.313</v>
      </c>
      <c r="AB1830" s="142">
        <f>B1830*IBGE_2!AB$1830/100</f>
        <v>34.256999999999998</v>
      </c>
      <c r="AC1830" s="142">
        <f>B1830*IBGE_2!AC$1830/100</f>
        <v>0.34599999999999992</v>
      </c>
      <c r="AD1830" s="142" t="s">
        <v>3047</v>
      </c>
      <c r="AE1830" s="142">
        <f>B1830*IBGE_2!AE$1830/100</f>
        <v>17.925000000000001</v>
      </c>
      <c r="AF1830" s="142" t="s">
        <v>3047</v>
      </c>
      <c r="AG1830" s="142">
        <f>B1830*IBGE_2!AG$1830/100</f>
        <v>0.19900000000000001</v>
      </c>
      <c r="AH1830" s="142" t="s">
        <v>3047</v>
      </c>
      <c r="AI1830" s="142" t="s">
        <v>3047</v>
      </c>
      <c r="AJ1830" s="142">
        <f>B1830*IBGE_2!AJ$1830/100</f>
        <v>0.1</v>
      </c>
      <c r="AK1830" s="142">
        <f>B1830*IBGE_2!AK$1830/100</f>
        <v>8.7550000000000008</v>
      </c>
      <c r="AL1830" s="142">
        <f>B1830*IBGE_2!AL$1830/100</f>
        <v>8.1159999999999997</v>
      </c>
      <c r="AM1830" s="145" t="s">
        <v>3047</v>
      </c>
      <c r="AN1830" s="161"/>
    </row>
    <row r="1831" spans="1:40">
      <c r="A1831" s="143" t="s">
        <v>2891</v>
      </c>
      <c r="B1831" s="141">
        <v>100</v>
      </c>
      <c r="C1831" s="142">
        <f>B1831*IBGE_2!C$1831/100</f>
        <v>53.206000000000003</v>
      </c>
      <c r="D1831" s="142">
        <f>B1831*IBGE_2!D$1831/100</f>
        <v>0.36099999999999999</v>
      </c>
      <c r="E1831" s="142">
        <f>B1831*IBGE_2!E$1831/100</f>
        <v>0.12</v>
      </c>
      <c r="F1831" s="142">
        <f>B1831*IBGE_2!F$1831/100</f>
        <v>8.0000000000000002E-3</v>
      </c>
      <c r="G1831" s="142">
        <f>B1831*IBGE_2!G$1831/100</f>
        <v>1.4000000000000002E-2</v>
      </c>
      <c r="H1831" s="142">
        <f>B1831*IBGE_2!H$1831/100</f>
        <v>4.2000000000000003E-2</v>
      </c>
      <c r="I1831" s="142">
        <f>B1831*IBGE_2!I$1831/100</f>
        <v>2.4E-2</v>
      </c>
      <c r="J1831" s="142">
        <f>B1831*IBGE_2!J$1831/100</f>
        <v>1.7999999999999999E-2</v>
      </c>
      <c r="K1831" s="142" t="s">
        <v>3047</v>
      </c>
      <c r="L1831" s="142">
        <f>B1831*IBGE_2!L$1831/100</f>
        <v>12.92</v>
      </c>
      <c r="M1831" s="142">
        <f>B1831*IBGE_2!M$1831/100</f>
        <v>0.20100000000000001</v>
      </c>
      <c r="N1831" s="142">
        <f>B1831*IBGE_2!N$1831/100</f>
        <v>13.05</v>
      </c>
      <c r="O1831" s="142">
        <f>B1831*IBGE_2!O$1831/100</f>
        <v>12.047000000000001</v>
      </c>
      <c r="P1831" s="142">
        <f>B1831*IBGE_2!P$1831/100</f>
        <v>0.50600000000000001</v>
      </c>
      <c r="Q1831" s="142">
        <f>B1831*IBGE_2!Q$1831/100</f>
        <v>8.0310000000000006</v>
      </c>
      <c r="R1831" s="142">
        <f>B1831*IBGE_2!R$1831/100</f>
        <v>0.311</v>
      </c>
      <c r="S1831" s="142">
        <f>B1831*IBGE_2!S$1831/100</f>
        <v>2.008</v>
      </c>
      <c r="T1831" s="142">
        <f>B1831*IBGE_2!T$1831/100</f>
        <v>130.505</v>
      </c>
      <c r="U1831" s="142">
        <f>B1831*IBGE_2!U$1831/100</f>
        <v>6.9000000000000006E-2</v>
      </c>
      <c r="V1831" s="142">
        <f>B1831*IBGE_2!V$1831/100</f>
        <v>0.11</v>
      </c>
      <c r="W1831" s="142" t="s">
        <v>3047</v>
      </c>
      <c r="X1831" s="142">
        <f>B1831*IBGE_2!X$1831/100</f>
        <v>5.800000000000001E-2</v>
      </c>
      <c r="Y1831" s="142">
        <f>B1831*IBGE_2!Y$1831/100</f>
        <v>2.1000000000000001E-2</v>
      </c>
      <c r="Z1831" s="142">
        <f>B1831*IBGE_2!Z$1831/100</f>
        <v>0.1</v>
      </c>
      <c r="AA1831" s="142">
        <f>B1831*IBGE_2!AA$1831/100</f>
        <v>0.2</v>
      </c>
      <c r="AB1831" s="142">
        <f>B1831*IBGE_2!AB$1831/100</f>
        <v>10.039</v>
      </c>
      <c r="AC1831" s="142">
        <f>B1831*IBGE_2!AC$1831/100</f>
        <v>0.2</v>
      </c>
      <c r="AD1831" s="142" t="s">
        <v>3047</v>
      </c>
      <c r="AE1831" s="142">
        <f>B1831*IBGE_2!AE$1831/100</f>
        <v>18.07</v>
      </c>
      <c r="AF1831" s="142" t="s">
        <v>3047</v>
      </c>
      <c r="AG1831" s="142">
        <f>B1831*IBGE_2!AG$1831/100</f>
        <v>0.02</v>
      </c>
      <c r="AH1831" s="142" t="s">
        <v>3047</v>
      </c>
      <c r="AI1831" s="142" t="s">
        <v>3047</v>
      </c>
      <c r="AJ1831" s="142">
        <f>B1831*IBGE_2!AJ$1831/100</f>
        <v>0.1</v>
      </c>
      <c r="AK1831" s="142">
        <f>B1831*IBGE_2!AK$1831/100</f>
        <v>0.251</v>
      </c>
      <c r="AL1831" s="142">
        <f>B1831*IBGE_2!AL$1831/100</f>
        <v>10.029</v>
      </c>
      <c r="AM1831" s="145" t="s">
        <v>3047</v>
      </c>
      <c r="AN1831" s="161"/>
    </row>
    <row r="1832" spans="1:40">
      <c r="A1832" s="143" t="s">
        <v>2892</v>
      </c>
      <c r="B1832" s="141">
        <v>100</v>
      </c>
      <c r="C1832" s="142">
        <f>B1832*IBGE_2!C$1832/100</f>
        <v>23.055999999999997</v>
      </c>
      <c r="D1832" s="142">
        <f>B1832*IBGE_2!D$1832/100</f>
        <v>0.40100000000000002</v>
      </c>
      <c r="E1832" s="142">
        <f>B1832*IBGE_2!E$1832/100</f>
        <v>0.30099999999999999</v>
      </c>
      <c r="F1832" s="142">
        <f>B1832*IBGE_2!F$1832/100</f>
        <v>6.8000000000000005E-2</v>
      </c>
      <c r="G1832" s="142">
        <f>B1832*IBGE_2!G$1832/100</f>
        <v>8.2000000000000017E-2</v>
      </c>
      <c r="H1832" s="142">
        <f>B1832*IBGE_2!H$1832/100</f>
        <v>0.09</v>
      </c>
      <c r="I1832" s="142">
        <f>B1832*IBGE_2!I$1832/100</f>
        <v>4.5999999999999999E-2</v>
      </c>
      <c r="J1832" s="142">
        <f>B1832*IBGE_2!J$1832/100</f>
        <v>4.3999999999999997E-2</v>
      </c>
      <c r="K1832" s="142" t="s">
        <v>3047</v>
      </c>
      <c r="L1832" s="142">
        <f>B1832*IBGE_2!L$1832/100</f>
        <v>4.8120000000000003</v>
      </c>
      <c r="M1832" s="142">
        <f>B1832*IBGE_2!M$1832/100</f>
        <v>0.30099999999999999</v>
      </c>
      <c r="N1832" s="142">
        <f>B1832*IBGE_2!N$1832/100</f>
        <v>10.023999999999999</v>
      </c>
      <c r="O1832" s="142">
        <f>B1832*IBGE_2!O$1832/100</f>
        <v>12.029000000000002</v>
      </c>
      <c r="P1832" s="142">
        <f>B1832*IBGE_2!P$1832/100</f>
        <v>6.6000000000000003E-2</v>
      </c>
      <c r="Q1832" s="142">
        <f>B1832*IBGE_2!Q$1832/100</f>
        <v>9.0220000000000002</v>
      </c>
      <c r="R1832" s="142">
        <f>B1832*IBGE_2!R$1832/100</f>
        <v>0.501</v>
      </c>
      <c r="S1832" s="142">
        <f>B1832*IBGE_2!S$1832/100</f>
        <v>3.0069999999999997</v>
      </c>
      <c r="T1832" s="142">
        <f>B1832*IBGE_2!T$1832/100</f>
        <v>97.236999999999995</v>
      </c>
      <c r="U1832" s="142">
        <f>B1832*IBGE_2!U$1832/100</f>
        <v>8.5999999999999993E-2</v>
      </c>
      <c r="V1832" s="142">
        <f>B1832*IBGE_2!V$1832/100</f>
        <v>0.1</v>
      </c>
      <c r="W1832" s="142" t="s">
        <v>3047</v>
      </c>
      <c r="X1832" s="142">
        <f>B1832*IBGE_2!X$1832/100</f>
        <v>0.02</v>
      </c>
      <c r="Y1832" s="142">
        <f>B1832*IBGE_2!Y$1832/100</f>
        <v>0.06</v>
      </c>
      <c r="Z1832" s="142">
        <f>B1832*IBGE_2!Z$1832/100</f>
        <v>4.0000000000000001E-3</v>
      </c>
      <c r="AA1832" s="142">
        <f>B1832*IBGE_2!AA$1832/100</f>
        <v>0.40100000000000002</v>
      </c>
      <c r="AB1832" s="142">
        <f>B1832*IBGE_2!AB$1832/100</f>
        <v>1603.912</v>
      </c>
      <c r="AC1832" s="142">
        <f>B1832*IBGE_2!AC$1832/100</f>
        <v>0.40100000000000002</v>
      </c>
      <c r="AD1832" s="142" t="s">
        <v>3047</v>
      </c>
      <c r="AE1832" s="142">
        <f>B1832*IBGE_2!AE$1832/100</f>
        <v>14.034000000000001</v>
      </c>
      <c r="AF1832" s="142" t="s">
        <v>3047</v>
      </c>
      <c r="AG1832" s="142">
        <f>B1832*IBGE_2!AG$1832/100</f>
        <v>0.18</v>
      </c>
      <c r="AH1832" s="142" t="s">
        <v>3047</v>
      </c>
      <c r="AI1832" s="142" t="s">
        <v>3047</v>
      </c>
      <c r="AJ1832" s="142">
        <f>B1832*IBGE_2!AJ$1832/100</f>
        <v>0.1</v>
      </c>
      <c r="AK1832" s="142">
        <f>B1832*IBGE_2!AK$1832/100</f>
        <v>25.478999999999999</v>
      </c>
      <c r="AL1832" s="142">
        <f>B1832*IBGE_2!AL$1832/100</f>
        <v>4.4109999999999996</v>
      </c>
      <c r="AM1832" s="145" t="s">
        <v>3047</v>
      </c>
      <c r="AN1832" s="161"/>
    </row>
    <row r="1833" spans="1:40">
      <c r="A1833" s="143" t="s">
        <v>2893</v>
      </c>
      <c r="B1833" s="141">
        <v>100</v>
      </c>
      <c r="C1833" s="142">
        <f>B1833*IBGE_2!C$1833/100</f>
        <v>30.771999999999998</v>
      </c>
      <c r="D1833" s="142">
        <f>B1833*IBGE_2!D$1833/100</f>
        <v>0.81100000000000005</v>
      </c>
      <c r="E1833" s="142">
        <f>B1833*IBGE_2!E$1833/100</f>
        <v>0.11700000000000001</v>
      </c>
      <c r="F1833" s="142">
        <f>B1833*IBGE_2!F$1833/100</f>
        <v>2.1000000000000001E-2</v>
      </c>
      <c r="G1833" s="142">
        <f>B1833*IBGE_2!G$1833/100</f>
        <v>8.9999999999999993E-3</v>
      </c>
      <c r="H1833" s="142">
        <f>B1833*IBGE_2!H$1833/100</f>
        <v>5.2999999999999999E-2</v>
      </c>
      <c r="I1833" s="142">
        <f>B1833*IBGE_2!I$1833/100</f>
        <v>4.5999999999999999E-2</v>
      </c>
      <c r="J1833" s="142">
        <f>B1833*IBGE_2!J$1833/100</f>
        <v>6.0000000000000001E-3</v>
      </c>
      <c r="K1833" s="142" t="s">
        <v>3047</v>
      </c>
      <c r="L1833" s="142">
        <f>B1833*IBGE_2!L$1833/100</f>
        <v>7.1079999999999997</v>
      </c>
      <c r="M1833" s="142">
        <f>B1833*IBGE_2!M$1833/100</f>
        <v>0.75700000000000001</v>
      </c>
      <c r="N1833" s="142">
        <f>B1833*IBGE_2!N$1833/100</f>
        <v>17.143999999999998</v>
      </c>
      <c r="O1833" s="142">
        <f>B1833*IBGE_2!O$1833/100</f>
        <v>11.734000000000002</v>
      </c>
      <c r="P1833" s="142">
        <f>B1833*IBGE_2!P$1833/100</f>
        <v>0.12300000000000001</v>
      </c>
      <c r="Q1833" s="142">
        <f>B1833*IBGE_2!Q$1833/100</f>
        <v>31.27</v>
      </c>
      <c r="R1833" s="142">
        <f>B1833*IBGE_2!R$1833/100</f>
        <v>0.39</v>
      </c>
      <c r="S1833" s="142">
        <f>B1833*IBGE_2!S$1833/100</f>
        <v>28.027999999999999</v>
      </c>
      <c r="T1833" s="142">
        <f>B1833*IBGE_2!T$1833/100</f>
        <v>222.57900000000001</v>
      </c>
      <c r="U1833" s="142">
        <f>B1833*IBGE_2!U$1833/100</f>
        <v>3.7999999999999999E-2</v>
      </c>
      <c r="V1833" s="142">
        <f>B1833*IBGE_2!V$1833/100</f>
        <v>0.158</v>
      </c>
      <c r="W1833" s="142" t="s">
        <v>3047</v>
      </c>
      <c r="X1833" s="142">
        <f>B1833*IBGE_2!X$1833/100</f>
        <v>6.0999999999999999E-2</v>
      </c>
      <c r="Y1833" s="142">
        <f>B1833*IBGE_2!Y$1833/100</f>
        <v>0.04</v>
      </c>
      <c r="Z1833" s="142">
        <f>B1833*IBGE_2!Z$1833/100</f>
        <v>0.14499999999999999</v>
      </c>
      <c r="AA1833" s="142">
        <f>B1833*IBGE_2!AA$1833/100</f>
        <v>0.28499999999999998</v>
      </c>
      <c r="AB1833" s="142">
        <f>B1833*IBGE_2!AB$1833/100</f>
        <v>5.81</v>
      </c>
      <c r="AC1833" s="142">
        <f>B1833*IBGE_2!AC$1833/100</f>
        <v>0.43200000000000005</v>
      </c>
      <c r="AD1833" s="142" t="s">
        <v>3047</v>
      </c>
      <c r="AE1833" s="142">
        <f>B1833*IBGE_2!AE$1833/100</f>
        <v>12.663999999999998</v>
      </c>
      <c r="AF1833" s="142" t="s">
        <v>3047</v>
      </c>
      <c r="AG1833" s="142">
        <f>B1833*IBGE_2!AG$1833/100</f>
        <v>0.73599999999999999</v>
      </c>
      <c r="AH1833" s="142" t="s">
        <v>3047</v>
      </c>
      <c r="AI1833" s="142" t="s">
        <v>3047</v>
      </c>
      <c r="AJ1833" s="142">
        <f>B1833*IBGE_2!AJ$1833/100</f>
        <v>0.46700000000000003</v>
      </c>
      <c r="AK1833" s="142">
        <f>B1833*IBGE_2!AK$1833/100</f>
        <v>602.41899999999998</v>
      </c>
      <c r="AL1833" s="142">
        <f>B1833*IBGE_2!AL$1833/100</f>
        <v>4.7060000000000004</v>
      </c>
      <c r="AM1833" s="145" t="s">
        <v>3047</v>
      </c>
      <c r="AN1833" s="161"/>
    </row>
    <row r="1834" spans="1:40">
      <c r="A1834" s="143" t="s">
        <v>2894</v>
      </c>
      <c r="B1834" s="141">
        <v>100</v>
      </c>
      <c r="C1834" s="142">
        <f>B1834*IBGE_2!C$1834/100</f>
        <v>24.5</v>
      </c>
      <c r="D1834" s="142">
        <f>B1834*IBGE_2!D$1834/100</f>
        <v>0.6</v>
      </c>
      <c r="E1834" s="142">
        <f>B1834*IBGE_2!E$1834/100</f>
        <v>0.5</v>
      </c>
      <c r="F1834" s="142">
        <f>B1834*IBGE_2!F$1834/100</f>
        <v>0.2</v>
      </c>
      <c r="G1834" s="142">
        <f>B1834*IBGE_2!G$1834/100</f>
        <v>0.1</v>
      </c>
      <c r="H1834" s="142">
        <f>B1834*IBGE_2!H$1834/100</f>
        <v>0.05</v>
      </c>
      <c r="I1834" s="142">
        <f>B1834*IBGE_2!I$1834/100</f>
        <v>1.4999999999999999E-2</v>
      </c>
      <c r="J1834" s="142">
        <f>B1834*IBGE_2!J$1834/100</f>
        <v>4.4999999999999998E-2</v>
      </c>
      <c r="K1834" s="142" t="s">
        <v>3047</v>
      </c>
      <c r="L1834" s="142">
        <f>B1834*IBGE_2!L$1834/100</f>
        <v>5.2</v>
      </c>
      <c r="M1834" s="142">
        <f>B1834*IBGE_2!M$1834/100</f>
        <v>1.55</v>
      </c>
      <c r="N1834" s="142">
        <f>B1834*IBGE_2!N$1834/100</f>
        <v>6.5</v>
      </c>
      <c r="O1834" s="142">
        <f>B1834*IBGE_2!O$1834/100</f>
        <v>9</v>
      </c>
      <c r="P1834" s="142">
        <f>B1834*IBGE_2!P$1834/100</f>
        <v>3.5000000000000003E-2</v>
      </c>
      <c r="Q1834" s="142">
        <f>B1834*IBGE_2!Q$1834/100</f>
        <v>10.5</v>
      </c>
      <c r="R1834" s="142">
        <f>B1834*IBGE_2!R$1834/100</f>
        <v>0.25</v>
      </c>
      <c r="S1834" s="142">
        <f>B1834*IBGE_2!S$1834/100</f>
        <v>1.5</v>
      </c>
      <c r="T1834" s="142">
        <f>B1834*IBGE_2!T$1834/100</f>
        <v>165.5</v>
      </c>
      <c r="U1834" s="142">
        <f>B1834*IBGE_2!U$1834/100</f>
        <v>3.5000000000000003E-2</v>
      </c>
      <c r="V1834" s="142">
        <f>B1834*IBGE_2!V$1834/100</f>
        <v>0.15</v>
      </c>
      <c r="W1834" s="142" t="s">
        <v>3047</v>
      </c>
      <c r="X1834" s="142">
        <f>B1834*IBGE_2!X$1834/100</f>
        <v>0.185</v>
      </c>
      <c r="Y1834" s="142">
        <f>B1834*IBGE_2!Y$1834/100</f>
        <v>0.02</v>
      </c>
      <c r="Z1834" s="142">
        <f>B1834*IBGE_2!Z$1834/100</f>
        <v>3.5000000000000003E-2</v>
      </c>
      <c r="AA1834" s="142">
        <f>B1834*IBGE_2!AA$1834/100</f>
        <v>2.17</v>
      </c>
      <c r="AB1834" s="142">
        <f>B1834*IBGE_2!AB$1834/100</f>
        <v>12.25</v>
      </c>
      <c r="AC1834" s="142" t="s">
        <v>3047</v>
      </c>
      <c r="AD1834" s="142" t="s">
        <v>3047</v>
      </c>
      <c r="AE1834" s="142" t="s">
        <v>3047</v>
      </c>
      <c r="AF1834" s="142" t="s">
        <v>3047</v>
      </c>
      <c r="AG1834" s="142" t="s">
        <v>3047</v>
      </c>
      <c r="AH1834" s="142" t="s">
        <v>3047</v>
      </c>
      <c r="AI1834" s="142" t="s">
        <v>3047</v>
      </c>
      <c r="AJ1834" s="145" t="s">
        <v>3047</v>
      </c>
      <c r="AK1834" s="145" t="s">
        <v>3047</v>
      </c>
      <c r="AL1834" s="145" t="s">
        <v>3047</v>
      </c>
      <c r="AM1834" s="145" t="s">
        <v>3047</v>
      </c>
      <c r="AN1834" s="161"/>
    </row>
    <row r="1835" spans="1:40">
      <c r="A1835" s="143" t="s">
        <v>2895</v>
      </c>
      <c r="B1835" s="141">
        <v>100</v>
      </c>
      <c r="C1835" s="142">
        <f>B1835*IBGE_2!C$1835/100</f>
        <v>62.283999999999999</v>
      </c>
      <c r="D1835" s="142">
        <f>B1835*IBGE_2!D$1835/100</f>
        <v>0.371</v>
      </c>
      <c r="E1835" s="142">
        <f>B1835*IBGE_2!E$1835/100</f>
        <v>0.13800000000000001</v>
      </c>
      <c r="F1835" s="142">
        <f>B1835*IBGE_2!F$1835/100</f>
        <v>0.04</v>
      </c>
      <c r="G1835" s="142">
        <f>B1835*IBGE_2!G$1835/100</f>
        <v>1.3000000000000001E-2</v>
      </c>
      <c r="H1835" s="142">
        <f>B1835*IBGE_2!H$1835/100</f>
        <v>5.800000000000001E-2</v>
      </c>
      <c r="I1835" s="142">
        <f>B1835*IBGE_2!I$1835/100</f>
        <v>4.2000000000000003E-2</v>
      </c>
      <c r="J1835" s="142">
        <f>B1835*IBGE_2!J$1835/100</f>
        <v>1.6E-2</v>
      </c>
      <c r="K1835" s="142" t="s">
        <v>3047</v>
      </c>
      <c r="L1835" s="142">
        <f>B1835*IBGE_2!L$1835/100</f>
        <v>15.619000000000002</v>
      </c>
      <c r="M1835" s="142">
        <f>B1835*IBGE_2!M$1835/100</f>
        <v>0.78500000000000003</v>
      </c>
      <c r="N1835" s="142">
        <f>B1835*IBGE_2!N$1835/100</f>
        <v>2.7530000000000001</v>
      </c>
      <c r="O1835" s="142">
        <f>B1835*IBGE_2!O$1835/100</f>
        <v>3.1989999999999998</v>
      </c>
      <c r="P1835" s="142">
        <f>B1835*IBGE_2!P$1835/100</f>
        <v>2.1999999999999999E-2</v>
      </c>
      <c r="Q1835" s="142">
        <f>B1835*IBGE_2!Q$1835/100</f>
        <v>5.8170000000000002</v>
      </c>
      <c r="R1835" s="142">
        <f>B1835*IBGE_2!R$1835/100</f>
        <v>3.9E-2</v>
      </c>
      <c r="S1835" s="142">
        <f>B1835*IBGE_2!S$1835/100</f>
        <v>0.29099999999999998</v>
      </c>
      <c r="T1835" s="142">
        <f>B1835*IBGE_2!T$1835/100</f>
        <v>60.91</v>
      </c>
      <c r="U1835" s="142">
        <f>B1835*IBGE_2!U$1835/100</f>
        <v>3.3000000000000002E-2</v>
      </c>
      <c r="V1835" s="142">
        <f>B1835*IBGE_2!V$1835/100</f>
        <v>3.3000000000000002E-2</v>
      </c>
      <c r="W1835" s="142" t="s">
        <v>3047</v>
      </c>
      <c r="X1835" s="142">
        <f>B1835*IBGE_2!X$1835/100</f>
        <v>0.01</v>
      </c>
      <c r="Y1835" s="142">
        <f>B1835*IBGE_2!Y$1835/100</f>
        <v>8.0000000000000002E-3</v>
      </c>
      <c r="Z1835" s="142">
        <f>B1835*IBGE_2!Z$1835/100</f>
        <v>1.6E-2</v>
      </c>
      <c r="AA1835" s="142">
        <f>B1835*IBGE_2!AA$1835/100</f>
        <v>0.158</v>
      </c>
      <c r="AB1835" s="142">
        <f>B1835*IBGE_2!AB$1835/100</f>
        <v>33.198999999999998</v>
      </c>
      <c r="AC1835" s="142">
        <f>B1835*IBGE_2!AC$1835/100</f>
        <v>0.21099999999999997</v>
      </c>
      <c r="AD1835" s="142" t="s">
        <v>3047</v>
      </c>
      <c r="AE1835" s="142">
        <f>B1835*IBGE_2!AE$1835/100</f>
        <v>7.125</v>
      </c>
      <c r="AF1835" s="142" t="s">
        <v>3047</v>
      </c>
      <c r="AG1835" s="142">
        <f>B1835*IBGE_2!AG$1835/100</f>
        <v>0.106</v>
      </c>
      <c r="AH1835" s="142" t="s">
        <v>3047</v>
      </c>
      <c r="AI1835" s="142" t="s">
        <v>3047</v>
      </c>
      <c r="AJ1835" s="142">
        <f>B1835*IBGE_2!AJ$1835/100</f>
        <v>0.16800000000000001</v>
      </c>
      <c r="AK1835" s="142">
        <f>B1835*IBGE_2!AK$1835/100</f>
        <v>4.532</v>
      </c>
      <c r="AL1835" s="142">
        <f>B1835*IBGE_2!AL$1835/100</f>
        <v>14.808999999999999</v>
      </c>
      <c r="AM1835" s="142">
        <f>B1835*IBGE_2!AM$1835/100</f>
        <v>13.536</v>
      </c>
      <c r="AN1835" s="161"/>
    </row>
    <row r="1836" spans="1:40">
      <c r="A1836" s="143" t="s">
        <v>2896</v>
      </c>
      <c r="B1836" s="141">
        <v>100</v>
      </c>
      <c r="C1836" s="142">
        <f>B1836*IBGE_2!C$1836/100</f>
        <v>41.826000000000001</v>
      </c>
      <c r="D1836" s="142">
        <f>B1836*IBGE_2!D$1836/100</f>
        <v>0.58799999999999997</v>
      </c>
      <c r="E1836" s="142">
        <f>B1836*IBGE_2!E$1836/100</f>
        <v>0.13900000000000001</v>
      </c>
      <c r="F1836" s="142">
        <f>B1836*IBGE_2!F$1836/100</f>
        <v>1.7999999999999999E-2</v>
      </c>
      <c r="G1836" s="142">
        <f>B1836*IBGE_2!G$1836/100</f>
        <v>2.5000000000000001E-2</v>
      </c>
      <c r="H1836" s="142">
        <f>B1836*IBGE_2!H$1836/100</f>
        <v>3.4000000000000002E-2</v>
      </c>
      <c r="I1836" s="142">
        <f>B1836*IBGE_2!I$1836/100</f>
        <v>2.7000000000000003E-2</v>
      </c>
      <c r="J1836" s="142">
        <f>B1836*IBGE_2!J$1836/100</f>
        <v>7.000000000000001E-3</v>
      </c>
      <c r="K1836" s="142" t="s">
        <v>3047</v>
      </c>
      <c r="L1836" s="142">
        <f>B1836*IBGE_2!L$1836/100</f>
        <v>9.8089999999999993</v>
      </c>
      <c r="M1836" s="142">
        <f>B1836*IBGE_2!M$1836/100</f>
        <v>0.309</v>
      </c>
      <c r="N1836" s="142">
        <f>B1836*IBGE_2!N$1836/100</f>
        <v>7.9669999999999996</v>
      </c>
      <c r="O1836" s="142">
        <f>B1836*IBGE_2!O$1836/100</f>
        <v>10.954000000000001</v>
      </c>
      <c r="P1836" s="142">
        <f>B1836*IBGE_2!P$1836/100</f>
        <v>1.4000000000000002E-2</v>
      </c>
      <c r="Q1836" s="142">
        <f>B1836*IBGE_2!Q$1836/100</f>
        <v>13.942</v>
      </c>
      <c r="R1836" s="142">
        <f>B1836*IBGE_2!R$1836/100</f>
        <v>0.43799999999999994</v>
      </c>
      <c r="S1836" s="142">
        <f>B1836*IBGE_2!S$1836/100</f>
        <v>1.992</v>
      </c>
      <c r="T1836" s="142">
        <f>B1836*IBGE_2!T$1836/100</f>
        <v>174.274</v>
      </c>
      <c r="U1836" s="142">
        <f>B1836*IBGE_2!U$1836/100</f>
        <v>5.7000000000000002E-2</v>
      </c>
      <c r="V1836" s="142">
        <f>B1836*IBGE_2!V$1836/100</f>
        <v>7.0000000000000007E-2</v>
      </c>
      <c r="W1836" s="142" t="s">
        <v>3047</v>
      </c>
      <c r="X1836" s="142">
        <f>B1836*IBGE_2!X$1836/100</f>
        <v>0.06</v>
      </c>
      <c r="Y1836" s="142">
        <f>B1836*IBGE_2!Y$1836/100</f>
        <v>2.8000000000000004E-2</v>
      </c>
      <c r="Z1836" s="142">
        <f>B1836*IBGE_2!Z$1836/100</f>
        <v>8.7999999999999995E-2</v>
      </c>
      <c r="AA1836" s="142">
        <f>B1836*IBGE_2!AA$1836/100</f>
        <v>0.313</v>
      </c>
      <c r="AB1836" s="142">
        <f>B1836*IBGE_2!AB$1836/100</f>
        <v>34.256999999999998</v>
      </c>
      <c r="AC1836" s="142">
        <f>B1836*IBGE_2!AC$1836/100</f>
        <v>0.34599999999999992</v>
      </c>
      <c r="AD1836" s="142" t="s">
        <v>3047</v>
      </c>
      <c r="AE1836" s="142">
        <f>B1836*IBGE_2!AE$1836/100</f>
        <v>17.925000000000001</v>
      </c>
      <c r="AF1836" s="142" t="s">
        <v>3047</v>
      </c>
      <c r="AG1836" s="142">
        <f>B1836*IBGE_2!AG$1836/100</f>
        <v>0.19900000000000001</v>
      </c>
      <c r="AH1836" s="142" t="s">
        <v>3047</v>
      </c>
      <c r="AI1836" s="142" t="s">
        <v>3047</v>
      </c>
      <c r="AJ1836" s="142">
        <f>B1836*IBGE_2!AJ$1836/100</f>
        <v>0.1</v>
      </c>
      <c r="AK1836" s="142">
        <f>B1836*IBGE_2!AK$1836/100</f>
        <v>8.7550000000000008</v>
      </c>
      <c r="AL1836" s="142">
        <f>B1836*IBGE_2!AL$1836/100</f>
        <v>8.1159999999999997</v>
      </c>
      <c r="AM1836" s="142" t="s">
        <v>3047</v>
      </c>
      <c r="AN1836" s="161"/>
    </row>
    <row r="1837" spans="1:40">
      <c r="A1837" s="143" t="s">
        <v>2897</v>
      </c>
      <c r="B1837" s="141">
        <v>100</v>
      </c>
      <c r="C1837" s="142">
        <f>B1837*IBGE_2!C$1837/100</f>
        <v>56.798999999999999</v>
      </c>
      <c r="D1837" s="142">
        <f>B1837*IBGE_2!D$1837/100</f>
        <v>0.75599999999999989</v>
      </c>
      <c r="E1837" s="142">
        <f>B1837*IBGE_2!E$1837/100</f>
        <v>0.19800000000000001</v>
      </c>
      <c r="F1837" s="142">
        <f>B1837*IBGE_2!F$1837/100</f>
        <v>4.3999999999999997E-2</v>
      </c>
      <c r="G1837" s="142">
        <f>B1837*IBGE_2!G$1837/100</f>
        <v>2.8000000000000004E-2</v>
      </c>
      <c r="H1837" s="142">
        <f>B1837*IBGE_2!H$1837/100</f>
        <v>4.5999999999999999E-2</v>
      </c>
      <c r="I1837" s="142">
        <f>B1837*IBGE_2!I$1837/100</f>
        <v>3.4000000000000002E-2</v>
      </c>
      <c r="J1837" s="142">
        <f>B1837*IBGE_2!J$1837/100</f>
        <v>1.3000000000000001E-2</v>
      </c>
      <c r="K1837" s="142" t="s">
        <v>3047</v>
      </c>
      <c r="L1837" s="142">
        <f>B1837*IBGE_2!L$1837/100</f>
        <v>13.84</v>
      </c>
      <c r="M1837" s="142">
        <f>B1837*IBGE_2!M$1837/100</f>
        <v>0.93300000000000016</v>
      </c>
      <c r="N1837" s="142">
        <f>B1837*IBGE_2!N$1837/100</f>
        <v>7.6609999999999987</v>
      </c>
      <c r="O1837" s="142">
        <f>B1837*IBGE_2!O$1837/100</f>
        <v>15.851000000000001</v>
      </c>
      <c r="P1837" s="142">
        <f>B1837*IBGE_2!P$1837/100</f>
        <v>8.2000000000000017E-2</v>
      </c>
      <c r="Q1837" s="142">
        <f>B1837*IBGE_2!Q$1837/100</f>
        <v>16.907</v>
      </c>
      <c r="R1837" s="142">
        <f>B1837*IBGE_2!R$1837/100</f>
        <v>0.41699999999999998</v>
      </c>
      <c r="S1837" s="142">
        <f>B1837*IBGE_2!S$1837/100</f>
        <v>1.849</v>
      </c>
      <c r="T1837" s="142">
        <f>B1837*IBGE_2!T$1837/100</f>
        <v>233.27</v>
      </c>
      <c r="U1837" s="142">
        <f>B1837*IBGE_2!U$1837/100</f>
        <v>6.6000000000000003E-2</v>
      </c>
      <c r="V1837" s="142">
        <f>B1837*IBGE_2!V$1837/100</f>
        <v>9.5000000000000001E-2</v>
      </c>
      <c r="W1837" s="142" t="s">
        <v>3047</v>
      </c>
      <c r="X1837" s="142">
        <f>B1837*IBGE_2!X$1837/100</f>
        <v>5.6000000000000008E-2</v>
      </c>
      <c r="Y1837" s="142">
        <f>B1837*IBGE_2!Y$1837/100</f>
        <v>4.1000000000000009E-2</v>
      </c>
      <c r="Z1837" s="142">
        <f>B1837*IBGE_2!Z$1837/100</f>
        <v>0.16699999999999998</v>
      </c>
      <c r="AA1837" s="142">
        <f>B1837*IBGE_2!AA$1837/100</f>
        <v>0.42499999999999999</v>
      </c>
      <c r="AB1837" s="142">
        <f>B1837*IBGE_2!AB$1837/100</f>
        <v>29.562000000000001</v>
      </c>
      <c r="AC1837" s="142">
        <f>B1837*IBGE_2!AC$1837/100</f>
        <v>0.49099999999999999</v>
      </c>
      <c r="AD1837" s="142" t="s">
        <v>3047</v>
      </c>
      <c r="AE1837" s="142">
        <f>B1837*IBGE_2!AE$1837/100</f>
        <v>19.548999999999999</v>
      </c>
      <c r="AF1837" s="142" t="s">
        <v>3047</v>
      </c>
      <c r="AG1837" s="142">
        <f>B1837*IBGE_2!AG$1837/100</f>
        <v>0.193</v>
      </c>
      <c r="AH1837" s="142" t="s">
        <v>3047</v>
      </c>
      <c r="AI1837" s="142" t="s">
        <v>3047</v>
      </c>
      <c r="AJ1837" s="142">
        <f>B1837*IBGE_2!AJ$1837/100</f>
        <v>0.34300000000000003</v>
      </c>
      <c r="AK1837" s="142">
        <f>B1837*IBGE_2!AK$1837/100</f>
        <v>7.8150000000000004</v>
      </c>
      <c r="AL1837" s="142">
        <f>B1837*IBGE_2!AL$1837/100</f>
        <v>9.69</v>
      </c>
      <c r="AM1837" s="142" t="s">
        <v>3047</v>
      </c>
      <c r="AN1837" s="161"/>
    </row>
    <row r="1838" spans="1:40">
      <c r="A1838" s="143" t="s">
        <v>2898</v>
      </c>
      <c r="B1838" s="141">
        <v>100</v>
      </c>
      <c r="C1838" s="142">
        <f>B1838*IBGE_2!C$1838/100</f>
        <v>30.771999999999998</v>
      </c>
      <c r="D1838" s="142">
        <f>B1838*IBGE_2!D$1838/100</f>
        <v>0.81100000000000005</v>
      </c>
      <c r="E1838" s="142">
        <f>B1838*IBGE_2!E$1838/100</f>
        <v>0.11700000000000001</v>
      </c>
      <c r="F1838" s="142">
        <f>B1838*IBGE_2!F$1838/100</f>
        <v>2.1000000000000001E-2</v>
      </c>
      <c r="G1838" s="142">
        <f>B1838*IBGE_2!G$1838/100</f>
        <v>8.9999999999999993E-3</v>
      </c>
      <c r="H1838" s="142">
        <f>B1838*IBGE_2!H$1838/100</f>
        <v>5.2999999999999999E-2</v>
      </c>
      <c r="I1838" s="142">
        <f>B1838*IBGE_2!I$1838/100</f>
        <v>4.5999999999999999E-2</v>
      </c>
      <c r="J1838" s="142">
        <f>B1838*IBGE_2!J$1838/100</f>
        <v>6.0000000000000001E-3</v>
      </c>
      <c r="K1838" s="142" t="s">
        <v>3047</v>
      </c>
      <c r="L1838" s="142">
        <f>B1838*IBGE_2!L$1838/100</f>
        <v>7.1079999999999997</v>
      </c>
      <c r="M1838" s="142">
        <f>B1838*IBGE_2!M$1838/100</f>
        <v>0.75700000000000001</v>
      </c>
      <c r="N1838" s="142">
        <f>B1838*IBGE_2!N$1838/100</f>
        <v>17.143999999999998</v>
      </c>
      <c r="O1838" s="142">
        <f>B1838*IBGE_2!O$1838/100</f>
        <v>11.734000000000002</v>
      </c>
      <c r="P1838" s="142">
        <f>B1838*IBGE_2!P$1838/100</f>
        <v>0.12300000000000001</v>
      </c>
      <c r="Q1838" s="142">
        <f>B1838*IBGE_2!Q$1838/100</f>
        <v>31.27</v>
      </c>
      <c r="R1838" s="142">
        <f>B1838*IBGE_2!R$1838/100</f>
        <v>0.39</v>
      </c>
      <c r="S1838" s="142">
        <f>B1838*IBGE_2!S$1838/100</f>
        <v>28.027999999999999</v>
      </c>
      <c r="T1838" s="142">
        <f>B1838*IBGE_2!T$1838/100</f>
        <v>222.57900000000001</v>
      </c>
      <c r="U1838" s="142">
        <f>B1838*IBGE_2!U$1838/100</f>
        <v>3.7999999999999999E-2</v>
      </c>
      <c r="V1838" s="142">
        <f>B1838*IBGE_2!V$1838/100</f>
        <v>0.158</v>
      </c>
      <c r="W1838" s="142" t="s">
        <v>3047</v>
      </c>
      <c r="X1838" s="142">
        <f>B1838*IBGE_2!X$1838/100</f>
        <v>6.0999999999999999E-2</v>
      </c>
      <c r="Y1838" s="142">
        <f>B1838*IBGE_2!Y$1838/100</f>
        <v>0.04</v>
      </c>
      <c r="Z1838" s="142">
        <f>B1838*IBGE_2!Z$1838/100</f>
        <v>0.14499999999999999</v>
      </c>
      <c r="AA1838" s="142">
        <f>B1838*IBGE_2!AA$1838/100</f>
        <v>0.28499999999999998</v>
      </c>
      <c r="AB1838" s="142">
        <f>B1838*IBGE_2!AB$1838/100</f>
        <v>5.81</v>
      </c>
      <c r="AC1838" s="142">
        <f>B1838*IBGE_2!AC$1838/100</f>
        <v>0.43200000000000005</v>
      </c>
      <c r="AD1838" s="142" t="s">
        <v>3047</v>
      </c>
      <c r="AE1838" s="142">
        <f>B1838*IBGE_2!AE$1838/100</f>
        <v>12.663999999999998</v>
      </c>
      <c r="AF1838" s="142" t="s">
        <v>3047</v>
      </c>
      <c r="AG1838" s="142">
        <f>B1838*IBGE_2!AG$1838/100</f>
        <v>0.73599999999999999</v>
      </c>
      <c r="AH1838" s="142" t="s">
        <v>3047</v>
      </c>
      <c r="AI1838" s="142" t="s">
        <v>3047</v>
      </c>
      <c r="AJ1838" s="142">
        <f>B1838*IBGE_2!AJ$1838/100</f>
        <v>0.46700000000000003</v>
      </c>
      <c r="AK1838" s="142">
        <f>B1838*IBGE_2!AK$1838/100</f>
        <v>602.41899999999998</v>
      </c>
      <c r="AL1838" s="142">
        <f>B1838*IBGE_2!AL$1838/100</f>
        <v>4.7060000000000004</v>
      </c>
      <c r="AM1838" s="142" t="s">
        <v>3047</v>
      </c>
      <c r="AN1838" s="161"/>
    </row>
    <row r="1839" spans="1:40">
      <c r="A1839" s="143" t="s">
        <v>2899</v>
      </c>
      <c r="B1839" s="141">
        <v>100</v>
      </c>
      <c r="C1839" s="142">
        <f>B1839*IBGE_2!C$1839/100</f>
        <v>30.771999999999998</v>
      </c>
      <c r="D1839" s="142">
        <f>B1839*IBGE_2!D$1839/100</f>
        <v>0.81100000000000005</v>
      </c>
      <c r="E1839" s="142">
        <f>B1839*IBGE_2!E$1839/100</f>
        <v>0.11700000000000001</v>
      </c>
      <c r="F1839" s="142">
        <f>B1839*IBGE_2!F$1839/100</f>
        <v>2.1000000000000001E-2</v>
      </c>
      <c r="G1839" s="142">
        <f>B1839*IBGE_2!G$1839/100</f>
        <v>8.9999999999999993E-3</v>
      </c>
      <c r="H1839" s="142">
        <f>B1839*IBGE_2!H$1839/100</f>
        <v>5.2999999999999999E-2</v>
      </c>
      <c r="I1839" s="142">
        <f>B1839*IBGE_2!I$1839/100</f>
        <v>4.5999999999999999E-2</v>
      </c>
      <c r="J1839" s="142">
        <f>B1839*IBGE_2!J$1839/100</f>
        <v>6.0000000000000001E-3</v>
      </c>
      <c r="K1839" s="142" t="s">
        <v>3047</v>
      </c>
      <c r="L1839" s="142">
        <f>B1839*IBGE_2!L$1839/100</f>
        <v>7.1079999999999997</v>
      </c>
      <c r="M1839" s="142">
        <f>B1839*IBGE_2!M$1839/100</f>
        <v>0.75700000000000001</v>
      </c>
      <c r="N1839" s="142">
        <f>B1839*IBGE_2!N$1839/100</f>
        <v>17.143999999999998</v>
      </c>
      <c r="O1839" s="142">
        <f>B1839*IBGE_2!O$1839/100</f>
        <v>11.734000000000002</v>
      </c>
      <c r="P1839" s="142">
        <f>B1839*IBGE_2!P$1839/100</f>
        <v>0.12300000000000001</v>
      </c>
      <c r="Q1839" s="142">
        <f>B1839*IBGE_2!Q$1839/100</f>
        <v>31.27</v>
      </c>
      <c r="R1839" s="142">
        <f>B1839*IBGE_2!R$1839/100</f>
        <v>0.39</v>
      </c>
      <c r="S1839" s="142">
        <f>B1839*IBGE_2!S$1839/100</f>
        <v>28.027999999999999</v>
      </c>
      <c r="T1839" s="142">
        <f>B1839*IBGE_2!T$1839/100</f>
        <v>222.57900000000001</v>
      </c>
      <c r="U1839" s="142">
        <f>B1839*IBGE_2!U$1839/100</f>
        <v>3.7999999999999999E-2</v>
      </c>
      <c r="V1839" s="142">
        <f>B1839*IBGE_2!V$1839/100</f>
        <v>0.158</v>
      </c>
      <c r="W1839" s="142" t="s">
        <v>3047</v>
      </c>
      <c r="X1839" s="142">
        <f>B1839*IBGE_2!X$1839/100</f>
        <v>6.0999999999999999E-2</v>
      </c>
      <c r="Y1839" s="142">
        <f>B1839*IBGE_2!Y$1839/100</f>
        <v>0.04</v>
      </c>
      <c r="Z1839" s="142">
        <f>B1839*IBGE_2!Z$1839/100</f>
        <v>0.14499999999999999</v>
      </c>
      <c r="AA1839" s="142">
        <f>B1839*IBGE_2!AA$1839/100</f>
        <v>0.28499999999999998</v>
      </c>
      <c r="AB1839" s="142">
        <f>B1839*IBGE_2!AB$1839/100</f>
        <v>5.81</v>
      </c>
      <c r="AC1839" s="142">
        <f>B1839*IBGE_2!AC$1839/100</f>
        <v>0.43200000000000005</v>
      </c>
      <c r="AD1839" s="142" t="s">
        <v>3047</v>
      </c>
      <c r="AE1839" s="142">
        <f>B1839*IBGE_2!AE$1839/100</f>
        <v>12.663999999999998</v>
      </c>
      <c r="AF1839" s="142" t="s">
        <v>3047</v>
      </c>
      <c r="AG1839" s="142">
        <f>B1839*IBGE_2!AG$1839/100</f>
        <v>0.73599999999999999</v>
      </c>
      <c r="AH1839" s="142" t="s">
        <v>3047</v>
      </c>
      <c r="AI1839" s="142" t="s">
        <v>3047</v>
      </c>
      <c r="AJ1839" s="142">
        <f>B1839*IBGE_2!AJ$1839/100</f>
        <v>0.46700000000000003</v>
      </c>
      <c r="AK1839" s="142">
        <f>B1839*IBGE_2!AK$1839/100</f>
        <v>602.41899999999998</v>
      </c>
      <c r="AL1839" s="142">
        <f>B1839*IBGE_2!AL$1839/100</f>
        <v>4.7060000000000004</v>
      </c>
      <c r="AM1839" s="142" t="s">
        <v>3047</v>
      </c>
      <c r="AN1839" s="161"/>
    </row>
    <row r="1840" spans="1:40">
      <c r="A1840" s="143" t="s">
        <v>2900</v>
      </c>
      <c r="B1840" s="141">
        <v>100</v>
      </c>
      <c r="C1840" s="142">
        <f>B1840*IBGE_2!C$1840/100</f>
        <v>30.771999999999998</v>
      </c>
      <c r="D1840" s="142">
        <f>B1840*IBGE_2!D$1840/100</f>
        <v>0.81100000000000005</v>
      </c>
      <c r="E1840" s="142">
        <f>B1840*IBGE_2!E$1840/100</f>
        <v>0.11700000000000001</v>
      </c>
      <c r="F1840" s="142">
        <f>B1840*IBGE_2!F$1840/100</f>
        <v>2.1000000000000001E-2</v>
      </c>
      <c r="G1840" s="142">
        <f>B1840*IBGE_2!G$1840/100</f>
        <v>8.9999999999999993E-3</v>
      </c>
      <c r="H1840" s="142">
        <f>B1840*IBGE_2!H$1840/100</f>
        <v>5.2999999999999999E-2</v>
      </c>
      <c r="I1840" s="142">
        <f>B1840*IBGE_2!I$1840/100</f>
        <v>4.5999999999999999E-2</v>
      </c>
      <c r="J1840" s="142">
        <f>B1840*IBGE_2!J$1840/100</f>
        <v>6.0000000000000001E-3</v>
      </c>
      <c r="K1840" s="142" t="s">
        <v>3047</v>
      </c>
      <c r="L1840" s="142">
        <f>B1840*IBGE_2!L$1840/100</f>
        <v>7.1079999999999997</v>
      </c>
      <c r="M1840" s="142">
        <f>B1840*IBGE_2!M$1840/100</f>
        <v>0.75700000000000001</v>
      </c>
      <c r="N1840" s="142">
        <f>B1840*IBGE_2!N$1840/100</f>
        <v>17.143999999999998</v>
      </c>
      <c r="O1840" s="142">
        <f>B1840*IBGE_2!O$1840/100</f>
        <v>11.734000000000002</v>
      </c>
      <c r="P1840" s="142">
        <f>B1840*IBGE_2!P$1840/100</f>
        <v>0.12300000000000001</v>
      </c>
      <c r="Q1840" s="142">
        <f>B1840*IBGE_2!Q$1840/100</f>
        <v>31.27</v>
      </c>
      <c r="R1840" s="142">
        <f>B1840*IBGE_2!R$1840/100</f>
        <v>0.39</v>
      </c>
      <c r="S1840" s="142">
        <f>B1840*IBGE_2!S$1840/100</f>
        <v>28.027999999999999</v>
      </c>
      <c r="T1840" s="142">
        <f>B1840*IBGE_2!T$1840/100</f>
        <v>222.57900000000001</v>
      </c>
      <c r="U1840" s="142">
        <f>B1840*IBGE_2!U$1840/100</f>
        <v>3.7999999999999999E-2</v>
      </c>
      <c r="V1840" s="142">
        <f>B1840*IBGE_2!V$1840/100</f>
        <v>0.158</v>
      </c>
      <c r="W1840" s="142" t="s">
        <v>3047</v>
      </c>
      <c r="X1840" s="142">
        <f>B1840*IBGE_2!X$1840/100</f>
        <v>6.0999999999999999E-2</v>
      </c>
      <c r="Y1840" s="142">
        <f>B1840*IBGE_2!Y$1840/100</f>
        <v>0.04</v>
      </c>
      <c r="Z1840" s="142">
        <f>B1840*IBGE_2!Z$1840/100</f>
        <v>0.14499999999999999</v>
      </c>
      <c r="AA1840" s="142">
        <f>B1840*IBGE_2!AA$1840/100</f>
        <v>0.28499999999999998</v>
      </c>
      <c r="AB1840" s="142">
        <f>B1840*IBGE_2!AB$1840/100</f>
        <v>5.81</v>
      </c>
      <c r="AC1840" s="142">
        <f>B1840*IBGE_2!AC$1840/100</f>
        <v>0.43200000000000005</v>
      </c>
      <c r="AD1840" s="142" t="s">
        <v>3047</v>
      </c>
      <c r="AE1840" s="142">
        <f>B1840*IBGE_2!AE$1840/100</f>
        <v>12.663999999999998</v>
      </c>
      <c r="AF1840" s="142" t="s">
        <v>3047</v>
      </c>
      <c r="AG1840" s="142">
        <f>B1840*IBGE_2!AG$1840/100</f>
        <v>0.73599999999999999</v>
      </c>
      <c r="AH1840" s="142" t="s">
        <v>3047</v>
      </c>
      <c r="AI1840" s="142" t="s">
        <v>3047</v>
      </c>
      <c r="AJ1840" s="142">
        <f>B1840*IBGE_2!AJ$1840/100</f>
        <v>0.46700000000000003</v>
      </c>
      <c r="AK1840" s="142">
        <f>B1840*IBGE_2!AK$1840/100</f>
        <v>602.41899999999998</v>
      </c>
      <c r="AL1840" s="142">
        <f>B1840*IBGE_2!AL$1840/100</f>
        <v>4.7060000000000004</v>
      </c>
      <c r="AM1840" s="142" t="s">
        <v>3047</v>
      </c>
      <c r="AN1840" s="161"/>
    </row>
    <row r="1841" spans="1:40">
      <c r="A1841" s="143" t="s">
        <v>2901</v>
      </c>
      <c r="B1841" s="141">
        <v>100</v>
      </c>
      <c r="C1841" s="142">
        <f>B1841*IBGE_2!C$1841/100</f>
        <v>57.13</v>
      </c>
      <c r="D1841" s="142">
        <f>B1841*IBGE_2!D$1841/100</f>
        <v>0.17</v>
      </c>
      <c r="E1841" s="142">
        <f>B1841*IBGE_2!E$1841/100</f>
        <v>0.15</v>
      </c>
      <c r="F1841" s="142">
        <f>B1841*IBGE_2!F$1841/100</f>
        <v>4.7E-2</v>
      </c>
      <c r="G1841" s="142">
        <f>B1841*IBGE_2!G$1841/100</f>
        <v>4.1000000000000009E-2</v>
      </c>
      <c r="H1841" s="142">
        <f>B1841*IBGE_2!H$1841/100</f>
        <v>3.5000000000000003E-2</v>
      </c>
      <c r="I1841" s="142">
        <f>B1841*IBGE_2!I$1841/100</f>
        <v>7.000000000000001E-3</v>
      </c>
      <c r="J1841" s="142">
        <f>B1841*IBGE_2!J$1841/100</f>
        <v>2.8000000000000004E-2</v>
      </c>
      <c r="K1841" s="142" t="s">
        <v>3047</v>
      </c>
      <c r="L1841" s="142">
        <f>B1841*IBGE_2!L$1841/100</f>
        <v>14.542999999999999</v>
      </c>
      <c r="M1841" s="142">
        <f>B1841*IBGE_2!M$1841/100</f>
        <v>0.60099999999999998</v>
      </c>
      <c r="N1841" s="142">
        <f>B1841*IBGE_2!N$1841/100</f>
        <v>10.023</v>
      </c>
      <c r="O1841" s="142">
        <f>B1841*IBGE_2!O$1841/100</f>
        <v>3.0069999999999997</v>
      </c>
      <c r="P1841" s="142">
        <f>B1841*IBGE_2!P$1841/100</f>
        <v>1.3000000000000001E-2</v>
      </c>
      <c r="Q1841" s="142" t="s">
        <v>3047</v>
      </c>
      <c r="R1841" s="142">
        <f>B1841*IBGE_2!R$1841/100</f>
        <v>0.34100000000000003</v>
      </c>
      <c r="S1841" s="142">
        <f>B1841*IBGE_2!S$1841/100</f>
        <v>5.0110000000000001</v>
      </c>
      <c r="T1841" s="142">
        <f>B1841*IBGE_2!T$1841/100</f>
        <v>31.071000000000005</v>
      </c>
      <c r="U1841" s="142">
        <f>B1841*IBGE_2!U$1841/100</f>
        <v>1.3000000000000001E-2</v>
      </c>
      <c r="V1841" s="142">
        <f>B1841*IBGE_2!V$1841/100</f>
        <v>0.15</v>
      </c>
      <c r="W1841" s="142" t="s">
        <v>3047</v>
      </c>
      <c r="X1841" s="142">
        <f>B1841*IBGE_2!X$1841/100</f>
        <v>6.0000000000000001E-3</v>
      </c>
      <c r="Y1841" s="142">
        <f>B1841*IBGE_2!Y$1841/100</f>
        <v>4.0000000000000001E-3</v>
      </c>
      <c r="Z1841" s="142">
        <f>B1841*IBGE_2!Z$1841/100</f>
        <v>8.9999999999999993E-3</v>
      </c>
      <c r="AA1841" s="142">
        <f>B1841*IBGE_2!AA$1841/100</f>
        <v>0.15</v>
      </c>
      <c r="AB1841" s="142">
        <f>B1841*IBGE_2!AB$1841/100</f>
        <v>3.0069999999999997</v>
      </c>
      <c r="AC1841" s="142">
        <f>B1841*IBGE_2!AC$1841/100</f>
        <v>0.15</v>
      </c>
      <c r="AD1841" s="142" t="s">
        <v>3047</v>
      </c>
      <c r="AE1841" s="142">
        <f>B1841*IBGE_2!AE$1841/100</f>
        <v>2.0049999999999999</v>
      </c>
      <c r="AF1841" s="142" t="s">
        <v>3047</v>
      </c>
      <c r="AG1841" s="142">
        <f>B1841*IBGE_2!AG$1841/100</f>
        <v>0.24099999999999999</v>
      </c>
      <c r="AH1841" s="142" t="s">
        <v>3047</v>
      </c>
      <c r="AI1841" s="142" t="s">
        <v>3047</v>
      </c>
      <c r="AJ1841" s="142">
        <f>B1841*IBGE_2!AJ$1841/100</f>
        <v>0.30099999999999999</v>
      </c>
      <c r="AK1841" s="142">
        <f>B1841*IBGE_2!AK$1841/100</f>
        <v>18.082999999999998</v>
      </c>
      <c r="AL1841" s="142">
        <f>B1841*IBGE_2!AL$1841/100</f>
        <v>10.603999999999999</v>
      </c>
      <c r="AM1841" s="142" t="s">
        <v>3047</v>
      </c>
      <c r="AN1841" s="161"/>
    </row>
    <row r="1842" spans="1:40">
      <c r="A1842" s="143" t="s">
        <v>2902</v>
      </c>
      <c r="B1842" s="141">
        <v>100</v>
      </c>
      <c r="C1842" s="142">
        <f>B1842*IBGE_2!C$1842/100</f>
        <v>50.861999999999995</v>
      </c>
      <c r="D1842" s="142">
        <f>B1842*IBGE_2!D$1842/100</f>
        <v>0.11</v>
      </c>
      <c r="E1842" s="142">
        <f>B1842*IBGE_2!E$1842/100</f>
        <v>0.06</v>
      </c>
      <c r="F1842" s="142">
        <f>B1842*IBGE_2!F$1842/100</f>
        <v>1.4000000000000002E-2</v>
      </c>
      <c r="G1842" s="142">
        <f>B1842*IBGE_2!G$1842/100</f>
        <v>2.1999999999999999E-2</v>
      </c>
      <c r="H1842" s="142">
        <f>B1842*IBGE_2!H$1842/100</f>
        <v>1.0999999999999999E-2</v>
      </c>
      <c r="I1842" s="142">
        <f>B1842*IBGE_2!I$1842/100</f>
        <v>3.0000000000000001E-3</v>
      </c>
      <c r="J1842" s="142">
        <f>B1842*IBGE_2!J$1842/100</f>
        <v>8.0000000000000002E-3</v>
      </c>
      <c r="K1842" s="142" t="s">
        <v>3047</v>
      </c>
      <c r="L1842" s="142">
        <f>B1842*IBGE_2!L$1842/100</f>
        <v>13.083999999999998</v>
      </c>
      <c r="M1842" s="142">
        <f>B1842*IBGE_2!M$1842/100</f>
        <v>0.29899999999999999</v>
      </c>
      <c r="N1842" s="142">
        <f>B1842*IBGE_2!N$1842/100</f>
        <v>16.954000000000001</v>
      </c>
      <c r="O1842" s="142">
        <f>B1842*IBGE_2!O$1842/100</f>
        <v>2.992</v>
      </c>
      <c r="P1842" s="142">
        <f>B1842*IBGE_2!P$1842/100</f>
        <v>2.8000000000000004E-2</v>
      </c>
      <c r="Q1842" s="142">
        <f>B1842*IBGE_2!Q$1842/100</f>
        <v>1.9950000000000001</v>
      </c>
      <c r="R1842" s="142">
        <f>B1842*IBGE_2!R$1842/100</f>
        <v>0.35899999999999999</v>
      </c>
      <c r="S1842" s="142">
        <f>B1842*IBGE_2!S$1842/100</f>
        <v>4.9859999999999998</v>
      </c>
      <c r="T1842" s="142">
        <f>B1842*IBGE_2!T$1842/100</f>
        <v>23.934999999999999</v>
      </c>
      <c r="U1842" s="142">
        <f>B1842*IBGE_2!U$1842/100</f>
        <v>1.4999999999999999E-2</v>
      </c>
      <c r="V1842" s="142">
        <f>B1842*IBGE_2!V$1842/100</f>
        <v>0.02</v>
      </c>
      <c r="W1842" s="142" t="s">
        <v>3047</v>
      </c>
      <c r="X1842" s="142">
        <f>B1842*IBGE_2!X$1842/100</f>
        <v>3.0000000000000001E-3</v>
      </c>
      <c r="Y1842" s="142">
        <f>B1842*IBGE_2!Y$1842/100</f>
        <v>3.0000000000000001E-3</v>
      </c>
      <c r="Z1842" s="142">
        <f>B1842*IBGE_2!Z$1842/100</f>
        <v>1.4999999999999999E-2</v>
      </c>
      <c r="AA1842" s="142">
        <f>B1842*IBGE_2!AA$1842/100</f>
        <v>0.08</v>
      </c>
      <c r="AB1842" s="142">
        <f>B1842*IBGE_2!AB$1842/100</f>
        <v>15.159000000000001</v>
      </c>
      <c r="AC1842" s="142">
        <f>B1842*IBGE_2!AC$1842/100</f>
        <v>0.113</v>
      </c>
      <c r="AD1842" s="142" t="s">
        <v>3047</v>
      </c>
      <c r="AE1842" s="142">
        <f>B1842*IBGE_2!AE$1842/100</f>
        <v>6.9809999999999999</v>
      </c>
      <c r="AF1842" s="142" t="s">
        <v>3047</v>
      </c>
      <c r="AG1842" s="142">
        <f>B1842*IBGE_2!AG$1842/100</f>
        <v>0.20899999999999999</v>
      </c>
      <c r="AH1842" s="142" t="s">
        <v>3047</v>
      </c>
      <c r="AI1842" s="142" t="s">
        <v>3047</v>
      </c>
      <c r="AJ1842" s="142">
        <f>B1842*IBGE_2!AJ$1842/100</f>
        <v>0.39900000000000008</v>
      </c>
      <c r="AK1842" s="142">
        <f>B1842*IBGE_2!AK$1842/100</f>
        <v>34.49</v>
      </c>
      <c r="AL1842" s="142">
        <f>B1842*IBGE_2!AL$1842/100</f>
        <v>12.416000000000002</v>
      </c>
      <c r="AM1842" s="142">
        <f>B1842*IBGE_2!AM$1842/100</f>
        <v>9.4280000000000008</v>
      </c>
      <c r="AN1842" s="161"/>
    </row>
    <row r="1843" spans="1:40">
      <c r="A1843" s="143" t="s">
        <v>2903</v>
      </c>
      <c r="B1843" s="141">
        <v>100</v>
      </c>
      <c r="C1843" s="142">
        <f>B1843*IBGE_2!C$1843/100</f>
        <v>60.137</v>
      </c>
      <c r="D1843" s="142">
        <f>B1843*IBGE_2!D$1843/100</f>
        <v>0.67200000000000004</v>
      </c>
      <c r="E1843" s="142">
        <f>B1843*IBGE_2!E$1843/100</f>
        <v>0.18</v>
      </c>
      <c r="F1843" s="142">
        <f>B1843*IBGE_2!F$1843/100</f>
        <v>1.4999999999999999E-2</v>
      </c>
      <c r="G1843" s="142">
        <f>B1843*IBGE_2!G$1843/100</f>
        <v>2.1999999999999999E-2</v>
      </c>
      <c r="H1843" s="142">
        <f>B1843*IBGE_2!H$1843/100</f>
        <v>0.106</v>
      </c>
      <c r="I1843" s="142">
        <f>B1843*IBGE_2!I$1843/100</f>
        <v>0.105</v>
      </c>
      <c r="J1843" s="142" t="s">
        <v>3047</v>
      </c>
      <c r="K1843" s="142" t="s">
        <v>3047</v>
      </c>
      <c r="L1843" s="142">
        <f>B1843*IBGE_2!L$1843/100</f>
        <v>14.482999999999999</v>
      </c>
      <c r="M1843" s="142">
        <f>B1843*IBGE_2!M$1843/100</f>
        <v>0.2</v>
      </c>
      <c r="N1843" s="142">
        <f>B1843*IBGE_2!N$1843/100</f>
        <v>4.0090000000000003</v>
      </c>
      <c r="O1843" s="142">
        <f>B1843*IBGE_2!O$1843/100</f>
        <v>17.039000000000001</v>
      </c>
      <c r="P1843" s="142">
        <f>B1843*IBGE_2!P$1843/100</f>
        <v>1.3000000000000001E-2</v>
      </c>
      <c r="Q1843" s="142">
        <f>B1843*IBGE_2!Q$1843/100</f>
        <v>25.056999999999999</v>
      </c>
      <c r="R1843" s="142">
        <f>B1843*IBGE_2!R$1843/100</f>
        <v>0.36099999999999999</v>
      </c>
      <c r="S1843" s="142">
        <f>B1843*IBGE_2!S$1843/100</f>
        <v>6.0139999999999993</v>
      </c>
      <c r="T1843" s="142">
        <f>B1843*IBGE_2!T$1843/100</f>
        <v>278.63299999999998</v>
      </c>
      <c r="U1843" s="142">
        <f>B1843*IBGE_2!U$1843/100</f>
        <v>0.05</v>
      </c>
      <c r="V1843" s="142">
        <f>B1843*IBGE_2!V$1843/100</f>
        <v>0.06</v>
      </c>
      <c r="W1843" s="142" t="s">
        <v>3047</v>
      </c>
      <c r="X1843" s="142" t="s">
        <v>3047</v>
      </c>
      <c r="Y1843" s="142">
        <f>B1843*IBGE_2!Y$1843/100</f>
        <v>0.10100000000000002</v>
      </c>
      <c r="Z1843" s="142">
        <f>B1843*IBGE_2!Z$1843/100</f>
        <v>0.06</v>
      </c>
      <c r="AA1843" s="142">
        <f>B1843*IBGE_2!AA$1843/100</f>
        <v>2.2450000000000001</v>
      </c>
      <c r="AB1843" s="142">
        <f>B1843*IBGE_2!AB$1843/100</f>
        <v>18.241</v>
      </c>
      <c r="AC1843" s="142">
        <f>B1843*IBGE_2!AC$1843/100</f>
        <v>2.2450000000000001</v>
      </c>
      <c r="AD1843" s="142" t="s">
        <v>3047</v>
      </c>
      <c r="AE1843" s="142">
        <f>B1843*IBGE_2!AE$1843/100</f>
        <v>8.0180000000000007</v>
      </c>
      <c r="AF1843" s="142" t="s">
        <v>3047</v>
      </c>
      <c r="AG1843" s="142">
        <f>B1843*IBGE_2!AG$1843/100</f>
        <v>0.01</v>
      </c>
      <c r="AH1843" s="142" t="s">
        <v>3047</v>
      </c>
      <c r="AI1843" s="142" t="s">
        <v>3047</v>
      </c>
      <c r="AJ1843" s="142">
        <f>B1843*IBGE_2!AJ$1843/100</f>
        <v>0.1</v>
      </c>
      <c r="AK1843" s="142">
        <f>B1843*IBGE_2!AK$1843/100</f>
        <v>47.273999999999994</v>
      </c>
      <c r="AL1843" s="142">
        <f>B1843*IBGE_2!AL$1843/100</f>
        <v>11.436</v>
      </c>
      <c r="AM1843" s="145" t="s">
        <v>3047</v>
      </c>
      <c r="AN1843" s="161"/>
    </row>
    <row r="1844" spans="1:40">
      <c r="A1844" s="143" t="s">
        <v>2904</v>
      </c>
      <c r="B1844" s="141">
        <v>100</v>
      </c>
      <c r="C1844" s="142">
        <f>B1844*IBGE_2!C$1844/100</f>
        <v>31.79</v>
      </c>
      <c r="D1844" s="142">
        <f>B1844*IBGE_2!D$1844/100</f>
        <v>0.64600000000000013</v>
      </c>
      <c r="E1844" s="142">
        <f>B1844*IBGE_2!E$1844/100</f>
        <v>0.159</v>
      </c>
      <c r="F1844" s="142">
        <f>B1844*IBGE_2!F$1844/100</f>
        <v>1.7000000000000001E-2</v>
      </c>
      <c r="G1844" s="142">
        <f>B1844*IBGE_2!G$1844/100</f>
        <v>3.9E-2</v>
      </c>
      <c r="H1844" s="142">
        <f>B1844*IBGE_2!H$1844/100</f>
        <v>5.2999999999999999E-2</v>
      </c>
      <c r="I1844" s="142">
        <f>B1844*IBGE_2!I$1844/100</f>
        <v>5.2999999999999999E-2</v>
      </c>
      <c r="J1844" s="142" t="s">
        <v>3047</v>
      </c>
      <c r="K1844" s="142" t="s">
        <v>3047</v>
      </c>
      <c r="L1844" s="142">
        <f>B1844*IBGE_2!L$1844/100</f>
        <v>8.0009999999999994</v>
      </c>
      <c r="M1844" s="142">
        <f>B1844*IBGE_2!M$1844/100</f>
        <v>0.42399999999999999</v>
      </c>
      <c r="N1844" s="142">
        <f>B1844*IBGE_2!N$1844/100</f>
        <v>7.418000000000001</v>
      </c>
      <c r="O1844" s="142">
        <f>B1844*IBGE_2!O$1844/100</f>
        <v>10.597000000000001</v>
      </c>
      <c r="P1844" s="142">
        <f>B1844*IBGE_2!P$1844/100</f>
        <v>0.04</v>
      </c>
      <c r="Q1844" s="142">
        <f>B1844*IBGE_2!Q$1844/100</f>
        <v>11.656000000000001</v>
      </c>
      <c r="R1844" s="142">
        <f>B1844*IBGE_2!R$1844/100</f>
        <v>0.254</v>
      </c>
      <c r="S1844" s="142">
        <f>B1844*IBGE_2!S$1844/100</f>
        <v>1.06</v>
      </c>
      <c r="T1844" s="142">
        <f>B1844*IBGE_2!T$1844/100</f>
        <v>118.684</v>
      </c>
      <c r="U1844" s="142">
        <f>B1844*IBGE_2!U$1844/100</f>
        <v>4.4999999999999998E-2</v>
      </c>
      <c r="V1844" s="142">
        <f>B1844*IBGE_2!V$1844/100</f>
        <v>0.106</v>
      </c>
      <c r="W1844" s="142" t="s">
        <v>3047</v>
      </c>
      <c r="X1844" s="142">
        <f>B1844*IBGE_2!X$1844/100</f>
        <v>3.5000000000000003E-2</v>
      </c>
      <c r="Y1844" s="142">
        <f>B1844*IBGE_2!Y$1844/100</f>
        <v>2.1999999999999999E-2</v>
      </c>
      <c r="Z1844" s="142">
        <f>B1844*IBGE_2!Z$1844/100</f>
        <v>4.8000000000000001E-2</v>
      </c>
      <c r="AA1844" s="142">
        <f>B1844*IBGE_2!AA$1844/100</f>
        <v>0.18899999999999997</v>
      </c>
      <c r="AB1844" s="142">
        <f>B1844*IBGE_2!AB$1844/100</f>
        <v>8.5830000000000002</v>
      </c>
      <c r="AC1844" s="142">
        <f>B1844*IBGE_2!AC$1844/100</f>
        <v>0.312</v>
      </c>
      <c r="AD1844" s="142" t="s">
        <v>3047</v>
      </c>
      <c r="AE1844" s="142">
        <f>B1844*IBGE_2!AE$1844/100</f>
        <v>3.1789999999999998</v>
      </c>
      <c r="AF1844" s="142" t="s">
        <v>3047</v>
      </c>
      <c r="AG1844" s="142">
        <f>B1844*IBGE_2!AG$1844/100</f>
        <v>5.2999999999999999E-2</v>
      </c>
      <c r="AH1844" s="142" t="s">
        <v>3047</v>
      </c>
      <c r="AI1844" s="142" t="s">
        <v>3047</v>
      </c>
      <c r="AJ1844" s="142">
        <f>B1844*IBGE_2!AJ$1844/100</f>
        <v>0.42399999999999999</v>
      </c>
      <c r="AK1844" s="142">
        <f>B1844*IBGE_2!AK$1844/100</f>
        <v>9.0660000000000007</v>
      </c>
      <c r="AL1844" s="142">
        <f>B1844*IBGE_2!AL$1844/100</f>
        <v>6.5810000000000004</v>
      </c>
      <c r="AM1844" s="145" t="s">
        <v>3047</v>
      </c>
      <c r="AN1844" s="161"/>
    </row>
    <row r="1845" spans="1:40">
      <c r="A1845" s="143" t="s">
        <v>2905</v>
      </c>
      <c r="B1845" s="141">
        <v>100</v>
      </c>
      <c r="C1845" s="142">
        <f>B1845*IBGE_2!C$1845/100</f>
        <v>59.209000000000003</v>
      </c>
      <c r="D1845" s="142">
        <f>B1845*IBGE_2!D$1845/100</f>
        <v>0.56899999999999995</v>
      </c>
      <c r="E1845" s="142">
        <f>B1845*IBGE_2!E$1845/100</f>
        <v>9.5000000000000001E-2</v>
      </c>
      <c r="F1845" s="142">
        <f>B1845*IBGE_2!F$1845/100</f>
        <v>2.4E-2</v>
      </c>
      <c r="G1845" s="142">
        <f>B1845*IBGE_2!G$1845/100</f>
        <v>6.0000000000000001E-3</v>
      </c>
      <c r="H1845" s="142">
        <f>B1845*IBGE_2!H$1845/100</f>
        <v>3.1E-2</v>
      </c>
      <c r="I1845" s="142">
        <f>B1845*IBGE_2!I$1845/100</f>
        <v>2.1999999999999999E-2</v>
      </c>
      <c r="J1845" s="142">
        <f>B1845*IBGE_2!J$1845/100</f>
        <v>8.9999999999999993E-3</v>
      </c>
      <c r="K1845" s="142" t="s">
        <v>3047</v>
      </c>
      <c r="L1845" s="142">
        <f>B1845*IBGE_2!L$1845/100</f>
        <v>14.509</v>
      </c>
      <c r="M1845" s="142">
        <f>B1845*IBGE_2!M$1845/100</f>
        <v>0.22800000000000001</v>
      </c>
      <c r="N1845" s="142">
        <f>B1845*IBGE_2!N$1845/100</f>
        <v>9.4920000000000009</v>
      </c>
      <c r="O1845" s="142">
        <f>B1845*IBGE_2!O$1845/100</f>
        <v>10.227</v>
      </c>
      <c r="P1845" s="142">
        <f>B1845*IBGE_2!P$1845/100</f>
        <v>0.36299999999999999</v>
      </c>
      <c r="Q1845" s="142">
        <f>B1845*IBGE_2!Q$1845/100</f>
        <v>11.9</v>
      </c>
      <c r="R1845" s="142">
        <f>B1845*IBGE_2!R$1845/100</f>
        <v>0.252</v>
      </c>
      <c r="S1845" s="142">
        <f>B1845*IBGE_2!S$1845/100</f>
        <v>2.8730000000000002</v>
      </c>
      <c r="T1845" s="142">
        <f>B1845*IBGE_2!T$1845/100</f>
        <v>133.74299999999999</v>
      </c>
      <c r="U1845" s="142">
        <f>B1845*IBGE_2!U$1845/100</f>
        <v>2.9000000000000005E-2</v>
      </c>
      <c r="V1845" s="142">
        <f>B1845*IBGE_2!V$1845/100</f>
        <v>5.6000000000000008E-2</v>
      </c>
      <c r="W1845" s="142" t="s">
        <v>3047</v>
      </c>
      <c r="X1845" s="142">
        <f>B1845*IBGE_2!X$1845/100</f>
        <v>2.6000000000000002E-2</v>
      </c>
      <c r="Y1845" s="142">
        <f>B1845*IBGE_2!Y$1845/100</f>
        <v>3.5999999999999997E-2</v>
      </c>
      <c r="Z1845" s="142">
        <f>B1845*IBGE_2!Z$1845/100</f>
        <v>6.4000000000000001E-2</v>
      </c>
      <c r="AA1845" s="142">
        <f>B1845*IBGE_2!AA$1845/100</f>
        <v>0.27100000000000002</v>
      </c>
      <c r="AB1845" s="142">
        <f>B1845*IBGE_2!AB$1845/100</f>
        <v>4.0380000000000003</v>
      </c>
      <c r="AC1845" s="142">
        <f>B1845*IBGE_2!AC$1845/100</f>
        <v>0.28000000000000003</v>
      </c>
      <c r="AD1845" s="142" t="s">
        <v>3047</v>
      </c>
      <c r="AE1845" s="142">
        <f>B1845*IBGE_2!AE$1845/100</f>
        <v>4.4160000000000004</v>
      </c>
      <c r="AF1845" s="142" t="s">
        <v>3047</v>
      </c>
      <c r="AG1845" s="142">
        <f>B1845*IBGE_2!AG$1845/100</f>
        <v>1.9E-2</v>
      </c>
      <c r="AH1845" s="142" t="s">
        <v>3047</v>
      </c>
      <c r="AI1845" s="142" t="s">
        <v>3047</v>
      </c>
      <c r="AJ1845" s="142">
        <f>B1845*IBGE_2!AJ$1845/100</f>
        <v>0.12</v>
      </c>
      <c r="AK1845" s="142">
        <f>B1845*IBGE_2!AK$1845/100</f>
        <v>0.42899999999999999</v>
      </c>
      <c r="AL1845" s="142">
        <f>B1845*IBGE_2!AL$1845/100</f>
        <v>14.454000000000001</v>
      </c>
      <c r="AM1845" s="145" t="s">
        <v>3047</v>
      </c>
      <c r="AN1845" s="161"/>
    </row>
    <row r="1846" spans="1:40">
      <c r="A1846" s="143" t="s">
        <v>2906</v>
      </c>
      <c r="B1846" s="141">
        <v>100</v>
      </c>
      <c r="C1846" s="142">
        <f>B1846*IBGE_2!C$1846/100</f>
        <v>53.993000000000002</v>
      </c>
      <c r="D1846" s="142">
        <f>B1846*IBGE_2!D$1846/100</f>
        <v>0.27</v>
      </c>
      <c r="E1846" s="142">
        <f>B1846*IBGE_2!E$1846/100</f>
        <v>0.02</v>
      </c>
      <c r="F1846" s="142">
        <f>B1846*IBGE_2!F$1846/100</f>
        <v>2E-3</v>
      </c>
      <c r="G1846" s="142">
        <f>B1846*IBGE_2!G$1846/100</f>
        <v>8.0000000000000002E-3</v>
      </c>
      <c r="H1846" s="142">
        <f>B1846*IBGE_2!H$1846/100</f>
        <v>1.0999999999999999E-2</v>
      </c>
      <c r="I1846" s="142">
        <f>B1846*IBGE_2!I$1846/100</f>
        <v>0.01</v>
      </c>
      <c r="J1846" s="142" t="s">
        <v>3047</v>
      </c>
      <c r="K1846" s="142" t="s">
        <v>3047</v>
      </c>
      <c r="L1846" s="142">
        <f>B1846*IBGE_2!L$1846/100</f>
        <v>13.917999999999999</v>
      </c>
      <c r="M1846" s="142">
        <f>B1846*IBGE_2!M$1846/100</f>
        <v>0.6</v>
      </c>
      <c r="N1846" s="142">
        <f>B1846*IBGE_2!N$1846/100</f>
        <v>4.9989999999999997</v>
      </c>
      <c r="O1846" s="142">
        <f>B1846*IBGE_2!O$1846/100</f>
        <v>3.9990000000000006</v>
      </c>
      <c r="P1846" s="142">
        <f>B1846*IBGE_2!P$1846/100</f>
        <v>1.9E-2</v>
      </c>
      <c r="Q1846" s="142">
        <f>B1846*IBGE_2!Q$1846/100</f>
        <v>5.9989999999999997</v>
      </c>
      <c r="R1846" s="142">
        <f>B1846*IBGE_2!R$1846/100</f>
        <v>0.19</v>
      </c>
      <c r="S1846" s="142">
        <f>B1846*IBGE_2!S$1846/100</f>
        <v>6.9989999999999997</v>
      </c>
      <c r="T1846" s="142">
        <f>B1846*IBGE_2!T$1846/100</f>
        <v>39.994999999999997</v>
      </c>
      <c r="U1846" s="142">
        <f>B1846*IBGE_2!U$1846/100</f>
        <v>6.9000000000000006E-2</v>
      </c>
      <c r="V1846" s="142">
        <f>B1846*IBGE_2!V$1846/100</f>
        <v>0.08</v>
      </c>
      <c r="W1846" s="142" t="s">
        <v>3047</v>
      </c>
      <c r="X1846" s="142">
        <f>B1846*IBGE_2!X$1846/100</f>
        <v>3.0000000000000001E-3</v>
      </c>
      <c r="Y1846" s="142">
        <f>B1846*IBGE_2!Y$1846/100</f>
        <v>1.4000000000000002E-2</v>
      </c>
      <c r="Z1846" s="142">
        <f>B1846*IBGE_2!Z$1846/100</f>
        <v>7.000000000000001E-3</v>
      </c>
      <c r="AA1846" s="142">
        <f>B1846*IBGE_2!AA$1846/100</f>
        <v>0.28799999999999998</v>
      </c>
      <c r="AB1846" s="142">
        <f>B1846*IBGE_2!AB$1846/100</f>
        <v>5.2990000000000013</v>
      </c>
      <c r="AC1846" s="142">
        <f>B1846*IBGE_2!AC$1846/100</f>
        <v>0.28799999999999998</v>
      </c>
      <c r="AD1846" s="142" t="s">
        <v>3047</v>
      </c>
      <c r="AE1846" s="142">
        <f>B1846*IBGE_2!AE$1846/100</f>
        <v>1</v>
      </c>
      <c r="AF1846" s="142" t="s">
        <v>3047</v>
      </c>
      <c r="AG1846" s="142">
        <f>B1846*IBGE_2!AG$1846/100</f>
        <v>0.28999999999999998</v>
      </c>
      <c r="AH1846" s="142" t="s">
        <v>3047</v>
      </c>
      <c r="AI1846" s="142" t="s">
        <v>3047</v>
      </c>
      <c r="AJ1846" s="142">
        <f>B1846*IBGE_2!AJ$1846/100</f>
        <v>0.2</v>
      </c>
      <c r="AK1846" s="142">
        <f>B1846*IBGE_2!AK$1846/100</f>
        <v>12.872999999999999</v>
      </c>
      <c r="AL1846" s="142">
        <f>B1846*IBGE_2!AL$1846/100</f>
        <v>13.238</v>
      </c>
      <c r="AM1846" s="142">
        <f>B1846*IBGE_2!AM$1846/100</f>
        <v>9.2970000000000006</v>
      </c>
      <c r="AN1846" s="161"/>
    </row>
    <row r="1847" spans="1:40">
      <c r="A1847" s="143" t="s">
        <v>2907</v>
      </c>
      <c r="B1847" s="141">
        <v>100</v>
      </c>
      <c r="C1847" s="142">
        <f>B1847*IBGE_2!C$1847/100</f>
        <v>53.993000000000002</v>
      </c>
      <c r="D1847" s="142">
        <f>B1847*IBGE_2!D$1847/100</f>
        <v>0.27</v>
      </c>
      <c r="E1847" s="142">
        <f>B1847*IBGE_2!E$1847/100</f>
        <v>0.02</v>
      </c>
      <c r="F1847" s="142">
        <f>B1847*IBGE_2!F$1847/100</f>
        <v>2E-3</v>
      </c>
      <c r="G1847" s="142">
        <f>B1847*IBGE_2!G$1847/100</f>
        <v>8.0000000000000002E-3</v>
      </c>
      <c r="H1847" s="142">
        <f>B1847*IBGE_2!H$1847/100</f>
        <v>1.0999999999999999E-2</v>
      </c>
      <c r="I1847" s="142">
        <f>B1847*IBGE_2!I$1847/100</f>
        <v>0.01</v>
      </c>
      <c r="J1847" s="142" t="s">
        <v>3047</v>
      </c>
      <c r="K1847" s="142" t="s">
        <v>3047</v>
      </c>
      <c r="L1847" s="142">
        <f>B1847*IBGE_2!L$1847/100</f>
        <v>13.917999999999999</v>
      </c>
      <c r="M1847" s="142">
        <f>B1847*IBGE_2!M$1847/100</f>
        <v>0.6</v>
      </c>
      <c r="N1847" s="142">
        <f>B1847*IBGE_2!N$1847/100</f>
        <v>4.9989999999999997</v>
      </c>
      <c r="O1847" s="142">
        <f>B1847*IBGE_2!O$1847/100</f>
        <v>3.9990000000000006</v>
      </c>
      <c r="P1847" s="142">
        <f>B1847*IBGE_2!P$1847/100</f>
        <v>1.9E-2</v>
      </c>
      <c r="Q1847" s="142">
        <f>B1847*IBGE_2!Q$1847/100</f>
        <v>5.9989999999999997</v>
      </c>
      <c r="R1847" s="142">
        <f>B1847*IBGE_2!R$1847/100</f>
        <v>0.19</v>
      </c>
      <c r="S1847" s="142">
        <f>B1847*IBGE_2!S$1847/100</f>
        <v>6.9989999999999997</v>
      </c>
      <c r="T1847" s="142">
        <f>B1847*IBGE_2!T$1847/100</f>
        <v>39.994999999999997</v>
      </c>
      <c r="U1847" s="142">
        <f>B1847*IBGE_2!U$1847/100</f>
        <v>6.9000000000000006E-2</v>
      </c>
      <c r="V1847" s="142">
        <f>B1847*IBGE_2!V$1847/100</f>
        <v>0.08</v>
      </c>
      <c r="W1847" s="142" t="s">
        <v>3047</v>
      </c>
      <c r="X1847" s="142">
        <f>B1847*IBGE_2!X$1847/100</f>
        <v>3.0000000000000001E-3</v>
      </c>
      <c r="Y1847" s="142">
        <f>B1847*IBGE_2!Y$1847/100</f>
        <v>1.4000000000000002E-2</v>
      </c>
      <c r="Z1847" s="142">
        <f>B1847*IBGE_2!Z$1847/100</f>
        <v>7.000000000000001E-3</v>
      </c>
      <c r="AA1847" s="142">
        <f>B1847*IBGE_2!AA$1847/100</f>
        <v>0.28799999999999998</v>
      </c>
      <c r="AB1847" s="142">
        <f>B1847*IBGE_2!AB$1847/100</f>
        <v>5.2990000000000013</v>
      </c>
      <c r="AC1847" s="142">
        <f>B1847*IBGE_2!AC$1847/100</f>
        <v>0.28799999999999998</v>
      </c>
      <c r="AD1847" s="142" t="s">
        <v>3047</v>
      </c>
      <c r="AE1847" s="142">
        <f>B1847*IBGE_2!AE$1847/100</f>
        <v>1</v>
      </c>
      <c r="AF1847" s="142" t="s">
        <v>3047</v>
      </c>
      <c r="AG1847" s="142">
        <f>B1847*IBGE_2!AG$1847/100</f>
        <v>0.28999999999999998</v>
      </c>
      <c r="AH1847" s="142" t="s">
        <v>3047</v>
      </c>
      <c r="AI1847" s="142" t="s">
        <v>3047</v>
      </c>
      <c r="AJ1847" s="142">
        <f>B1847*IBGE_2!AJ$1847/100</f>
        <v>0.2</v>
      </c>
      <c r="AK1847" s="142">
        <f>B1847*IBGE_2!AK$1847/100</f>
        <v>12.872999999999999</v>
      </c>
      <c r="AL1847" s="142">
        <f>B1847*IBGE_2!AL$1847/100</f>
        <v>13.238</v>
      </c>
      <c r="AM1847" s="142">
        <f>B1847*IBGE_2!AM$1847/100</f>
        <v>9.2970000000000006</v>
      </c>
      <c r="AN1847" s="161"/>
    </row>
    <row r="1848" spans="1:40">
      <c r="A1848" s="143" t="s">
        <v>2908</v>
      </c>
      <c r="B1848" s="141">
        <v>100</v>
      </c>
      <c r="C1848" s="142">
        <f>B1848*IBGE_2!C$1848/100</f>
        <v>92.781000000000006</v>
      </c>
      <c r="D1848" s="142">
        <f>B1848*IBGE_2!D$1848/100</f>
        <v>2.472</v>
      </c>
      <c r="E1848" s="142">
        <f>B1848*IBGE_2!E$1848/100</f>
        <v>2.3109999999999999</v>
      </c>
      <c r="F1848" s="142">
        <f>B1848*IBGE_2!F$1848/100</f>
        <v>1.3069999999999999</v>
      </c>
      <c r="G1848" s="142">
        <f>B1848*IBGE_2!G$1848/100</f>
        <v>0.56499999999999995</v>
      </c>
      <c r="H1848" s="142">
        <f>B1848*IBGE_2!H$1848/100</f>
        <v>0.151</v>
      </c>
      <c r="I1848" s="142">
        <f>B1848*IBGE_2!I$1848/100</f>
        <v>9.3000000000000013E-2</v>
      </c>
      <c r="J1848" s="142">
        <f>B1848*IBGE_2!J$1848/100</f>
        <v>5.800000000000001E-2</v>
      </c>
      <c r="K1848" s="142">
        <f>B1848*IBGE_2!K$1848/100</f>
        <v>6.8670000000000009</v>
      </c>
      <c r="L1848" s="142">
        <f>B1848*IBGE_2!L$1848/100</f>
        <v>16.393000000000001</v>
      </c>
      <c r="M1848" s="142">
        <f>B1848*IBGE_2!M$1848/100</f>
        <v>0.621</v>
      </c>
      <c r="N1848" s="142">
        <f>B1848*IBGE_2!N$1848/100</f>
        <v>78.870999999999995</v>
      </c>
      <c r="O1848" s="142">
        <f>B1848*IBGE_2!O$1848/100</f>
        <v>13.318</v>
      </c>
      <c r="P1848" s="142">
        <f>B1848*IBGE_2!P$1848/100</f>
        <v>6.7000000000000004E-2</v>
      </c>
      <c r="Q1848" s="142">
        <f>B1848*IBGE_2!Q$1848/100</f>
        <v>67.747</v>
      </c>
      <c r="R1848" s="142">
        <f>B1848*IBGE_2!R$1848/100</f>
        <v>8.4000000000000005E-2</v>
      </c>
      <c r="S1848" s="142">
        <f>B1848*IBGE_2!S$1848/100</f>
        <v>27.707000000000004</v>
      </c>
      <c r="T1848" s="142">
        <f>B1848*IBGE_2!T$1848/100</f>
        <v>183.88900000000001</v>
      </c>
      <c r="U1848" s="142">
        <f>B1848*IBGE_2!U$1848/100</f>
        <v>2.6000000000000002E-2</v>
      </c>
      <c r="V1848" s="142">
        <f>B1848*IBGE_2!V$1848/100</f>
        <v>0.311</v>
      </c>
      <c r="W1848" s="142">
        <f>B1848*IBGE_2!W$1848/100</f>
        <v>19.228000000000002</v>
      </c>
      <c r="X1848" s="142">
        <f>B1848*IBGE_2!X$1848/100</f>
        <v>3.7999999999999999E-2</v>
      </c>
      <c r="Y1848" s="142">
        <f>B1848*IBGE_2!Y$1848/100</f>
        <v>0.14499999999999999</v>
      </c>
      <c r="Z1848" s="142">
        <f>B1848*IBGE_2!Z$1848/100</f>
        <v>0.11200000000000002</v>
      </c>
      <c r="AA1848" s="142">
        <f>B1848*IBGE_2!AA$1848/100</f>
        <v>0.23200000000000004</v>
      </c>
      <c r="AB1848" s="142">
        <f>B1848*IBGE_2!AB$1848/100</f>
        <v>2.0790000000000002</v>
      </c>
      <c r="AC1848" s="142">
        <f>B1848*IBGE_2!AC$1848/100</f>
        <v>1.127</v>
      </c>
      <c r="AD1848" s="142">
        <f>B1848*IBGE_2!AD$1848/100</f>
        <v>0.30199999999999999</v>
      </c>
      <c r="AE1848" s="142">
        <f>B1848*IBGE_2!AE$1848/100</f>
        <v>8.2119999999999997</v>
      </c>
      <c r="AF1848" s="142">
        <f>B1848*IBGE_2!AF$1848/100</f>
        <v>0.68700000000000006</v>
      </c>
      <c r="AG1848" s="142">
        <f>B1848*IBGE_2!AG$1848/100</f>
        <v>7.1999999999999995E-2</v>
      </c>
      <c r="AH1848" s="142">
        <f>B1848*IBGE_2!AH$1848/100</f>
        <v>0.08</v>
      </c>
      <c r="AI1848" s="142" t="s">
        <v>3047</v>
      </c>
      <c r="AJ1848" s="142">
        <f>B1848*IBGE_2!AJ$1848/100</f>
        <v>2.827</v>
      </c>
      <c r="AK1848" s="142">
        <f>B1848*IBGE_2!AK$1848/100</f>
        <v>20.280999999999999</v>
      </c>
      <c r="AL1848" s="142">
        <f>B1848*IBGE_2!AL$1848/100</f>
        <v>14.36</v>
      </c>
      <c r="AM1848" s="142">
        <f>B1848*IBGE_2!AM$1848/100</f>
        <v>7.831999999999999</v>
      </c>
      <c r="AN1848" s="161"/>
    </row>
    <row r="1849" spans="1:40">
      <c r="A1849" s="143" t="s">
        <v>2909</v>
      </c>
      <c r="B1849" s="141">
        <v>100</v>
      </c>
      <c r="C1849" s="142">
        <f>B1849*IBGE_2!C$1849/100</f>
        <v>92.781000000000006</v>
      </c>
      <c r="D1849" s="142">
        <f>B1849*IBGE_2!D$1849/100</f>
        <v>2.472</v>
      </c>
      <c r="E1849" s="142">
        <f>B1849*IBGE_2!E$1849/100</f>
        <v>2.3109999999999999</v>
      </c>
      <c r="F1849" s="142">
        <f>B1849*IBGE_2!F$1849/100</f>
        <v>1.3069999999999999</v>
      </c>
      <c r="G1849" s="142">
        <f>B1849*IBGE_2!G$1849/100</f>
        <v>0.56499999999999995</v>
      </c>
      <c r="H1849" s="142">
        <f>B1849*IBGE_2!H$1849/100</f>
        <v>0.151</v>
      </c>
      <c r="I1849" s="142">
        <f>B1849*IBGE_2!I$1849/100</f>
        <v>9.3000000000000013E-2</v>
      </c>
      <c r="J1849" s="142">
        <f>B1849*IBGE_2!J$1849/100</f>
        <v>5.800000000000001E-2</v>
      </c>
      <c r="K1849" s="142">
        <f>B1849*IBGE_2!K$1849/100</f>
        <v>6.8670000000000009</v>
      </c>
      <c r="L1849" s="142">
        <f>B1849*IBGE_2!L$1849/100</f>
        <v>16.393000000000001</v>
      </c>
      <c r="M1849" s="142">
        <f>B1849*IBGE_2!M$1849/100</f>
        <v>0.621</v>
      </c>
      <c r="N1849" s="142">
        <f>B1849*IBGE_2!N$1849/100</f>
        <v>78.870999999999995</v>
      </c>
      <c r="O1849" s="142">
        <f>B1849*IBGE_2!O$1849/100</f>
        <v>13.318</v>
      </c>
      <c r="P1849" s="142">
        <f>B1849*IBGE_2!P$1849/100</f>
        <v>6.7000000000000004E-2</v>
      </c>
      <c r="Q1849" s="142">
        <f>B1849*IBGE_2!Q$1849/100</f>
        <v>67.747</v>
      </c>
      <c r="R1849" s="142">
        <f>B1849*IBGE_2!R$1849/100</f>
        <v>8.4000000000000005E-2</v>
      </c>
      <c r="S1849" s="142">
        <f>B1849*IBGE_2!S$1849/100</f>
        <v>27.707000000000004</v>
      </c>
      <c r="T1849" s="142">
        <f>B1849*IBGE_2!T$1849/100</f>
        <v>183.88900000000001</v>
      </c>
      <c r="U1849" s="142">
        <f>B1849*IBGE_2!U$1849/100</f>
        <v>2.6000000000000002E-2</v>
      </c>
      <c r="V1849" s="142">
        <f>B1849*IBGE_2!V$1849/100</f>
        <v>0.311</v>
      </c>
      <c r="W1849" s="142">
        <f>B1849*IBGE_2!W$1849/100</f>
        <v>19.228000000000002</v>
      </c>
      <c r="X1849" s="142">
        <f>B1849*IBGE_2!X$1849/100</f>
        <v>3.7999999999999999E-2</v>
      </c>
      <c r="Y1849" s="142">
        <f>B1849*IBGE_2!Y$1849/100</f>
        <v>0.14499999999999999</v>
      </c>
      <c r="Z1849" s="142">
        <f>B1849*IBGE_2!Z$1849/100</f>
        <v>0.11200000000000002</v>
      </c>
      <c r="AA1849" s="142">
        <f>B1849*IBGE_2!AA$1849/100</f>
        <v>0.23200000000000004</v>
      </c>
      <c r="AB1849" s="142">
        <f>B1849*IBGE_2!AB$1849/100</f>
        <v>2.0790000000000002</v>
      </c>
      <c r="AC1849" s="142">
        <f>B1849*IBGE_2!AC$1849/100</f>
        <v>1.127</v>
      </c>
      <c r="AD1849" s="142">
        <f>B1849*IBGE_2!AD$1849/100</f>
        <v>0.30199999999999999</v>
      </c>
      <c r="AE1849" s="142">
        <f>B1849*IBGE_2!AE$1849/100</f>
        <v>8.2119999999999997</v>
      </c>
      <c r="AF1849" s="142">
        <f>B1849*IBGE_2!AF$1849/100</f>
        <v>0.68700000000000006</v>
      </c>
      <c r="AG1849" s="142">
        <f>B1849*IBGE_2!AG$1849/100</f>
        <v>7.1999999999999995E-2</v>
      </c>
      <c r="AH1849" s="142">
        <f>B1849*IBGE_2!AH$1849/100</f>
        <v>0.08</v>
      </c>
      <c r="AI1849" s="142" t="s">
        <v>3047</v>
      </c>
      <c r="AJ1849" s="142">
        <f>B1849*IBGE_2!AJ$1849/100</f>
        <v>2.827</v>
      </c>
      <c r="AK1849" s="142">
        <f>B1849*IBGE_2!AK$1849/100</f>
        <v>20.280999999999999</v>
      </c>
      <c r="AL1849" s="142">
        <f>B1849*IBGE_2!AL$1849/100</f>
        <v>14.36</v>
      </c>
      <c r="AM1849" s="142">
        <f>B1849*IBGE_2!AM$1849/100</f>
        <v>7.831999999999999</v>
      </c>
      <c r="AN1849" s="161"/>
    </row>
    <row r="1850" spans="1:40">
      <c r="A1850" s="143" t="s">
        <v>2910</v>
      </c>
      <c r="B1850" s="141">
        <v>100</v>
      </c>
      <c r="C1850" s="142">
        <f>B1850*IBGE_2!C$1850/100</f>
        <v>108.45699999999999</v>
      </c>
      <c r="D1850" s="142">
        <f>B1850*IBGE_2!D$1850/100</f>
        <v>3.0579999999999994</v>
      </c>
      <c r="E1850" s="142">
        <f>B1850*IBGE_2!E$1850/100</f>
        <v>2.5390000000000001</v>
      </c>
      <c r="F1850" s="142">
        <f>B1850*IBGE_2!F$1850/100</f>
        <v>1.294</v>
      </c>
      <c r="G1850" s="142">
        <f>B1850*IBGE_2!G$1850/100</f>
        <v>0.64300000000000002</v>
      </c>
      <c r="H1850" s="142">
        <f>B1850*IBGE_2!H$1850/100</f>
        <v>0.27</v>
      </c>
      <c r="I1850" s="142">
        <f>B1850*IBGE_2!I$1850/100</f>
        <v>0.21</v>
      </c>
      <c r="J1850" s="142">
        <f>B1850*IBGE_2!J$1850/100</f>
        <v>0.06</v>
      </c>
      <c r="K1850" s="142">
        <f>B1850*IBGE_2!K$1850/100</f>
        <v>6.4740000000000002</v>
      </c>
      <c r="L1850" s="142">
        <f>B1850*IBGE_2!L$1850/100</f>
        <v>19.202999999999999</v>
      </c>
      <c r="M1850" s="142">
        <f>B1850*IBGE_2!M$1850/100</f>
        <v>1.145</v>
      </c>
      <c r="N1850" s="142">
        <f>B1850*IBGE_2!N$1850/100</f>
        <v>77.233000000000004</v>
      </c>
      <c r="O1850" s="142">
        <f>B1850*IBGE_2!O$1850/100</f>
        <v>20.198</v>
      </c>
      <c r="P1850" s="142">
        <f>B1850*IBGE_2!P$1850/100</f>
        <v>0.26400000000000001</v>
      </c>
      <c r="Q1850" s="142">
        <f>B1850*IBGE_2!Q$1850/100</f>
        <v>86.573999999999998</v>
      </c>
      <c r="R1850" s="142">
        <f>B1850*IBGE_2!R$1850/100</f>
        <v>0.314</v>
      </c>
      <c r="S1850" s="142">
        <f>B1850*IBGE_2!S$1850/100</f>
        <v>26.452999999999996</v>
      </c>
      <c r="T1850" s="142">
        <f>B1850*IBGE_2!T$1850/100</f>
        <v>193.40400000000002</v>
      </c>
      <c r="U1850" s="142">
        <f>B1850*IBGE_2!U$1850/100</f>
        <v>4.5999999999999999E-2</v>
      </c>
      <c r="V1850" s="142">
        <f>B1850*IBGE_2!V$1850/100</f>
        <v>0.49399999999999999</v>
      </c>
      <c r="W1850" s="142">
        <f>B1850*IBGE_2!W$1850/100</f>
        <v>18.126000000000001</v>
      </c>
      <c r="X1850" s="142">
        <f>B1850*IBGE_2!X$1850/100</f>
        <v>6.0999999999999999E-2</v>
      </c>
      <c r="Y1850" s="142">
        <f>B1850*IBGE_2!Y$1850/100</f>
        <v>0.14499999999999999</v>
      </c>
      <c r="Z1850" s="142">
        <f>B1850*IBGE_2!Z$1850/100</f>
        <v>0.11200000000000002</v>
      </c>
      <c r="AA1850" s="142">
        <f>B1850*IBGE_2!AA$1850/100</f>
        <v>0.28100000000000003</v>
      </c>
      <c r="AB1850" s="142">
        <f>B1850*IBGE_2!AB$1850/100</f>
        <v>1.96</v>
      </c>
      <c r="AC1850" s="142">
        <f>B1850*IBGE_2!AC$1850/100</f>
        <v>1.2920000000000003</v>
      </c>
      <c r="AD1850" s="142">
        <f>B1850*IBGE_2!AD$1850/100</f>
        <v>0.28499999999999998</v>
      </c>
      <c r="AE1850" s="142">
        <f>B1850*IBGE_2!AE$1850/100</f>
        <v>9.5139999999999993</v>
      </c>
      <c r="AF1850" s="142">
        <f>B1850*IBGE_2!AF$1850/100</f>
        <v>0.64700000000000002</v>
      </c>
      <c r="AG1850" s="142">
        <f>B1850*IBGE_2!AG$1850/100</f>
        <v>9.0999999999999998E-2</v>
      </c>
      <c r="AH1850" s="142">
        <f>B1850*IBGE_2!AH$1850/100</f>
        <v>7.4999999999999997E-2</v>
      </c>
      <c r="AI1850" s="142" t="s">
        <v>3047</v>
      </c>
      <c r="AJ1850" s="142">
        <f>B1850*IBGE_2!AJ$1850/100</f>
        <v>4.2649999999999997</v>
      </c>
      <c r="AK1850" s="142">
        <f>B1850*IBGE_2!AK$1850/100</f>
        <v>19.119</v>
      </c>
      <c r="AL1850" s="142">
        <f>B1850*IBGE_2!AL$1850/100</f>
        <v>13.593</v>
      </c>
      <c r="AM1850" s="142">
        <f>B1850*IBGE_2!AM$1850/100</f>
        <v>7.3829999999999991</v>
      </c>
      <c r="AN1850" s="161"/>
    </row>
    <row r="1851" spans="1:40">
      <c r="A1851" s="143" t="s">
        <v>2911</v>
      </c>
      <c r="B1851" s="141">
        <v>100</v>
      </c>
      <c r="C1851" s="142">
        <f>B1851*IBGE_2!C$1851/100</f>
        <v>80.590999999999994</v>
      </c>
      <c r="D1851" s="142">
        <f>B1851*IBGE_2!D$1851/100</f>
        <v>2.42</v>
      </c>
      <c r="E1851" s="142">
        <f>B1851*IBGE_2!E$1851/100</f>
        <v>2.3420000000000001</v>
      </c>
      <c r="F1851" s="142">
        <f>B1851*IBGE_2!F$1851/100</f>
        <v>1.3359999999999999</v>
      </c>
      <c r="G1851" s="142">
        <f>B1851*IBGE_2!G$1851/100</f>
        <v>0.58599999999999997</v>
      </c>
      <c r="H1851" s="142">
        <f>B1851*IBGE_2!H$1851/100</f>
        <v>0.14499999999999999</v>
      </c>
      <c r="I1851" s="142">
        <f>B1851*IBGE_2!I$1851/100</f>
        <v>8.6999999999999994E-2</v>
      </c>
      <c r="J1851" s="142">
        <f>B1851*IBGE_2!J$1851/100</f>
        <v>5.8999999999999997E-2</v>
      </c>
      <c r="K1851" s="142">
        <f>B1851*IBGE_2!K$1851/100</f>
        <v>7.1159999999999988</v>
      </c>
      <c r="L1851" s="142">
        <f>B1851*IBGE_2!L$1851/100</f>
        <v>12.95</v>
      </c>
      <c r="M1851" s="142">
        <f>B1851*IBGE_2!M$1851/100</f>
        <v>0.379</v>
      </c>
      <c r="N1851" s="142">
        <f>B1851*IBGE_2!N$1851/100</f>
        <v>85.552000000000007</v>
      </c>
      <c r="O1851" s="142">
        <f>B1851*IBGE_2!O$1851/100</f>
        <v>9.2249999999999996</v>
      </c>
      <c r="P1851" s="142">
        <f>B1851*IBGE_2!P$1851/100</f>
        <v>4.0000000000000001E-3</v>
      </c>
      <c r="Q1851" s="142">
        <f>B1851*IBGE_2!Q$1851/100</f>
        <v>65.813000000000002</v>
      </c>
      <c r="R1851" s="142">
        <f>B1851*IBGE_2!R$1851/100</f>
        <v>4.2999999999999997E-2</v>
      </c>
      <c r="S1851" s="142">
        <f>B1851*IBGE_2!S$1851/100</f>
        <v>29.097999999999999</v>
      </c>
      <c r="T1851" s="142">
        <f>B1851*IBGE_2!T$1851/100</f>
        <v>156.101</v>
      </c>
      <c r="U1851" s="142">
        <f>B1851*IBGE_2!U$1851/100</f>
        <v>1.0999999999999999E-2</v>
      </c>
      <c r="V1851" s="142">
        <f>B1851*IBGE_2!V$1851/100</f>
        <v>0.29899999999999999</v>
      </c>
      <c r="W1851" s="142">
        <f>B1851*IBGE_2!W$1851/100</f>
        <v>19.925999999999998</v>
      </c>
      <c r="X1851" s="142">
        <f>B1851*IBGE_2!X$1851/100</f>
        <v>3.6999999999999998E-2</v>
      </c>
      <c r="Y1851" s="142">
        <f>B1851*IBGE_2!Y$1851/100</f>
        <v>0.13800000000000001</v>
      </c>
      <c r="Z1851" s="142">
        <f>B1851*IBGE_2!Z$1851/100</f>
        <v>0.03</v>
      </c>
      <c r="AA1851" s="142">
        <f>B1851*IBGE_2!AA$1851/100</f>
        <v>0.14699999999999999</v>
      </c>
      <c r="AB1851" s="142">
        <f>B1851*IBGE_2!AB$1851/100</f>
        <v>13.029000000000002</v>
      </c>
      <c r="AC1851" s="142">
        <f>B1851*IBGE_2!AC$1851/100</f>
        <v>1.0649999999999999</v>
      </c>
      <c r="AD1851" s="142">
        <f>B1851*IBGE_2!AD$1851/100</f>
        <v>0.313</v>
      </c>
      <c r="AE1851" s="142">
        <f>B1851*IBGE_2!AE$1851/100</f>
        <v>11.57</v>
      </c>
      <c r="AF1851" s="142">
        <f>B1851*IBGE_2!AF$1851/100</f>
        <v>0.71200000000000008</v>
      </c>
      <c r="AG1851" s="142">
        <f>B1851*IBGE_2!AG$1851/100</f>
        <v>0.19699999999999998</v>
      </c>
      <c r="AH1851" s="142">
        <f>B1851*IBGE_2!AH$1851/100</f>
        <v>8.3000000000000004E-2</v>
      </c>
      <c r="AI1851" s="142" t="s">
        <v>3047</v>
      </c>
      <c r="AJ1851" s="142">
        <f>B1851*IBGE_2!AJ$1851/100</f>
        <v>2.806</v>
      </c>
      <c r="AK1851" s="142">
        <f>B1851*IBGE_2!AK$1851/100</f>
        <v>31.757000000000001</v>
      </c>
      <c r="AL1851" s="142">
        <f>B1851*IBGE_2!AL$1851/100</f>
        <v>12.428000000000003</v>
      </c>
      <c r="AM1851" s="142">
        <f>B1851*IBGE_2!AM$1851/100</f>
        <v>7.665</v>
      </c>
      <c r="AN1851" s="161"/>
    </row>
    <row r="1852" spans="1:40">
      <c r="A1852" s="143" t="s">
        <v>2912</v>
      </c>
      <c r="B1852" s="141">
        <v>100</v>
      </c>
      <c r="C1852" s="142">
        <f>B1852*IBGE_2!C$1852/100</f>
        <v>100.18800000000002</v>
      </c>
      <c r="D1852" s="142">
        <f>B1852*IBGE_2!D$1852/100</f>
        <v>2.7440000000000002</v>
      </c>
      <c r="E1852" s="142">
        <f>B1852*IBGE_2!E$1852/100</f>
        <v>4.6349999999999998</v>
      </c>
      <c r="F1852" s="142">
        <f>B1852*IBGE_2!F$1852/100</f>
        <v>1.7490000000000001</v>
      </c>
      <c r="G1852" s="142">
        <f>B1852*IBGE_2!G$1852/100</f>
        <v>1.875</v>
      </c>
      <c r="H1852" s="142">
        <f>B1852*IBGE_2!H$1852/100</f>
        <v>0.53400000000000003</v>
      </c>
      <c r="I1852" s="142">
        <f>B1852*IBGE_2!I$1852/100</f>
        <v>0.46</v>
      </c>
      <c r="J1852" s="142">
        <f>B1852*IBGE_2!J$1852/100</f>
        <v>7.3999999999999996E-2</v>
      </c>
      <c r="K1852" s="142">
        <f>B1852*IBGE_2!K$1852/100</f>
        <v>6.8670000000000009</v>
      </c>
      <c r="L1852" s="142">
        <f>B1852*IBGE_2!L$1852/100</f>
        <v>12.804</v>
      </c>
      <c r="M1852" s="142">
        <f>B1852*IBGE_2!M$1852/100</f>
        <v>1.3380000000000001</v>
      </c>
      <c r="N1852" s="142">
        <f>B1852*IBGE_2!N$1852/100</f>
        <v>80.066000000000003</v>
      </c>
      <c r="O1852" s="142">
        <f>B1852*IBGE_2!O$1852/100</f>
        <v>12.601000000000001</v>
      </c>
      <c r="P1852" s="142">
        <f>B1852*IBGE_2!P$1852/100</f>
        <v>2.5000000000000001E-2</v>
      </c>
      <c r="Q1852" s="142">
        <f>B1852*IBGE_2!Q$1852/100</f>
        <v>72.046999999999997</v>
      </c>
      <c r="R1852" s="142">
        <f>B1852*IBGE_2!R$1852/100</f>
        <v>6.2E-2</v>
      </c>
      <c r="S1852" s="142">
        <f>B1852*IBGE_2!S$1852/100</f>
        <v>27.946000000000005</v>
      </c>
      <c r="T1852" s="142">
        <f>B1852*IBGE_2!T$1852/100</f>
        <v>182.21600000000001</v>
      </c>
      <c r="U1852" s="142">
        <f>B1852*IBGE_2!U$1852/100</f>
        <v>8.2000000000000017E-2</v>
      </c>
      <c r="V1852" s="142">
        <f>B1852*IBGE_2!V$1852/100</f>
        <v>0.37</v>
      </c>
      <c r="W1852" s="142">
        <f>B1852*IBGE_2!W$1852/100</f>
        <v>19.228000000000002</v>
      </c>
      <c r="X1852" s="142">
        <f>B1852*IBGE_2!X$1852/100</f>
        <v>3.5000000000000003E-2</v>
      </c>
      <c r="Y1852" s="142">
        <f>B1852*IBGE_2!Y$1852/100</f>
        <v>0.14000000000000001</v>
      </c>
      <c r="Z1852" s="142">
        <f>B1852*IBGE_2!Z$1852/100</f>
        <v>4.2999999999999997E-2</v>
      </c>
      <c r="AA1852" s="142">
        <f>B1852*IBGE_2!AA$1852/100</f>
        <v>0.23400000000000001</v>
      </c>
      <c r="AB1852" s="142">
        <f>B1852*IBGE_2!AB$1852/100</f>
        <v>4.157</v>
      </c>
      <c r="AC1852" s="142">
        <f>B1852*IBGE_2!AC$1852/100</f>
        <v>1.204</v>
      </c>
      <c r="AD1852" s="142">
        <f>B1852*IBGE_2!AD$1852/100</f>
        <v>0.30199999999999999</v>
      </c>
      <c r="AE1852" s="142">
        <f>B1852*IBGE_2!AE$1852/100</f>
        <v>11.795999999999999</v>
      </c>
      <c r="AF1852" s="142">
        <f>B1852*IBGE_2!AF$1852/100</f>
        <v>0.68700000000000006</v>
      </c>
      <c r="AG1852" s="142">
        <f>B1852*IBGE_2!AG$1852/100</f>
        <v>0.67700000000000005</v>
      </c>
      <c r="AH1852" s="142">
        <f>B1852*IBGE_2!AH$1852/100</f>
        <v>0.08</v>
      </c>
      <c r="AI1852" s="142" t="s">
        <v>3047</v>
      </c>
      <c r="AJ1852" s="142">
        <f>B1852*IBGE_2!AJ$1852/100</f>
        <v>2.6829999999999994</v>
      </c>
      <c r="AK1852" s="142">
        <f>B1852*IBGE_2!AK$1852/100</f>
        <v>21.196000000000005</v>
      </c>
      <c r="AL1852" s="142">
        <f>B1852*IBGE_2!AL$1852/100</f>
        <v>12.017000000000001</v>
      </c>
      <c r="AM1852" s="142">
        <f>B1852*IBGE_2!AM$1852/100</f>
        <v>7.831999999999999</v>
      </c>
      <c r="AN1852" s="161"/>
    </row>
    <row r="1853" spans="1:40">
      <c r="A1853" s="143" t="s">
        <v>2913</v>
      </c>
      <c r="B1853" s="141">
        <v>100</v>
      </c>
      <c r="C1853" s="142">
        <f>B1853*IBGE_2!C$1853/100</f>
        <v>74.606999999999999</v>
      </c>
      <c r="D1853" s="142">
        <f>B1853*IBGE_2!D$1853/100</f>
        <v>1.9590000000000001</v>
      </c>
      <c r="E1853" s="142">
        <f>B1853*IBGE_2!E$1853/100</f>
        <v>1.827</v>
      </c>
      <c r="F1853" s="142">
        <f>B1853*IBGE_2!F$1853/100</f>
        <v>0.98499999999999999</v>
      </c>
      <c r="G1853" s="142">
        <f>B1853*IBGE_2!G$1853/100</f>
        <v>0.44400000000000001</v>
      </c>
      <c r="H1853" s="142">
        <f>B1853*IBGE_2!H$1853/100</f>
        <v>0.16400000000000003</v>
      </c>
      <c r="I1853" s="142">
        <f>B1853*IBGE_2!I$1853/100</f>
        <v>9.9000000000000005E-2</v>
      </c>
      <c r="J1853" s="142">
        <f>B1853*IBGE_2!J$1853/100</f>
        <v>6.5000000000000002E-2</v>
      </c>
      <c r="K1853" s="142">
        <f>B1853*IBGE_2!K$1853/100</f>
        <v>5.2510000000000003</v>
      </c>
      <c r="L1853" s="142">
        <f>B1853*IBGE_2!L$1853/100</f>
        <v>13.273999999999999</v>
      </c>
      <c r="M1853" s="142">
        <f>B1853*IBGE_2!M$1853/100</f>
        <v>0.79900000000000004</v>
      </c>
      <c r="N1853" s="142">
        <f>B1853*IBGE_2!N$1853/100</f>
        <v>65.81</v>
      </c>
      <c r="O1853" s="142">
        <f>B1853*IBGE_2!O$1853/100</f>
        <v>10.445</v>
      </c>
      <c r="P1853" s="142">
        <f>B1853*IBGE_2!P$1853/100</f>
        <v>0.156</v>
      </c>
      <c r="Q1853" s="142">
        <f>B1853*IBGE_2!Q$1853/100</f>
        <v>57.375</v>
      </c>
      <c r="R1853" s="142">
        <f>B1853*IBGE_2!R$1853/100</f>
        <v>0.18</v>
      </c>
      <c r="S1853" s="142">
        <f>B1853*IBGE_2!S$1853/100</f>
        <v>21.405000000000001</v>
      </c>
      <c r="T1853" s="142">
        <f>B1853*IBGE_2!T$1853/100</f>
        <v>136.374</v>
      </c>
      <c r="U1853" s="142">
        <f>B1853*IBGE_2!U$1853/100</f>
        <v>2.5000000000000001E-2</v>
      </c>
      <c r="V1853" s="142">
        <f>B1853*IBGE_2!V$1853/100</f>
        <v>0.26600000000000001</v>
      </c>
      <c r="W1853" s="142">
        <f>B1853*IBGE_2!W$1853/100</f>
        <v>14.704000000000001</v>
      </c>
      <c r="X1853" s="142">
        <f>B1853*IBGE_2!X$1853/100</f>
        <v>3.3000000000000002E-2</v>
      </c>
      <c r="Y1853" s="142">
        <f>B1853*IBGE_2!Y$1853/100</f>
        <v>0.106</v>
      </c>
      <c r="Z1853" s="142">
        <f>B1853*IBGE_2!Z$1853/100</f>
        <v>3.7999999999999999E-2</v>
      </c>
      <c r="AA1853" s="142">
        <f>B1853*IBGE_2!AA$1853/100</f>
        <v>0.21</v>
      </c>
      <c r="AB1853" s="142">
        <f>B1853*IBGE_2!AB$1853/100</f>
        <v>23.491</v>
      </c>
      <c r="AC1853" s="142">
        <f>B1853*IBGE_2!AC$1853/100</f>
        <v>0.92</v>
      </c>
      <c r="AD1853" s="142">
        <f>B1853*IBGE_2!AD$1853/100</f>
        <v>0.23100000000000001</v>
      </c>
      <c r="AE1853" s="142">
        <f>B1853*IBGE_2!AE$1853/100</f>
        <v>12.214</v>
      </c>
      <c r="AF1853" s="142">
        <f>B1853*IBGE_2!AF$1853/100</f>
        <v>0.52500000000000002</v>
      </c>
      <c r="AG1853" s="142">
        <f>B1853*IBGE_2!AG$1853/100</f>
        <v>0.14299999999999999</v>
      </c>
      <c r="AH1853" s="142">
        <f>B1853*IBGE_2!AH$1853/100</f>
        <v>6.0999999999999999E-2</v>
      </c>
      <c r="AI1853" s="142" t="s">
        <v>3047</v>
      </c>
      <c r="AJ1853" s="142">
        <f>B1853*IBGE_2!AJ$1853/100</f>
        <v>2.15</v>
      </c>
      <c r="AK1853" s="142">
        <f>B1853*IBGE_2!AK$1853/100</f>
        <v>15.156000000000001</v>
      </c>
      <c r="AL1853" s="142">
        <f>B1853*IBGE_2!AL$1853/100</f>
        <v>12.545999999999999</v>
      </c>
      <c r="AM1853" s="142">
        <f>B1853*IBGE_2!AM$1853/100</f>
        <v>7.831999999999999</v>
      </c>
      <c r="AN1853" s="161"/>
    </row>
    <row r="1854" spans="1:40">
      <c r="A1854" s="143" t="s">
        <v>2914</v>
      </c>
      <c r="B1854" s="141">
        <v>100</v>
      </c>
      <c r="C1854" s="142">
        <f>B1854*IBGE_2!C$1854/100</f>
        <v>83.164000000000001</v>
      </c>
      <c r="D1854" s="142">
        <f>B1854*IBGE_2!D$1854/100</f>
        <v>1.8049999999999999</v>
      </c>
      <c r="E1854" s="142">
        <f>B1854*IBGE_2!E$1854/100</f>
        <v>1.651</v>
      </c>
      <c r="F1854" s="142">
        <f>B1854*IBGE_2!F$1854/100</f>
        <v>0.92300000000000015</v>
      </c>
      <c r="G1854" s="142">
        <f>B1854*IBGE_2!G$1854/100</f>
        <v>0.40200000000000002</v>
      </c>
      <c r="H1854" s="142">
        <f>B1854*IBGE_2!H$1854/100</f>
        <v>0.113</v>
      </c>
      <c r="I1854" s="142">
        <f>B1854*IBGE_2!I$1854/100</f>
        <v>7.0000000000000007E-2</v>
      </c>
      <c r="J1854" s="142">
        <f>B1854*IBGE_2!J$1854/100</f>
        <v>4.3999999999999997E-2</v>
      </c>
      <c r="K1854" s="142">
        <f>B1854*IBGE_2!K$1854/100</f>
        <v>4.8360000000000003</v>
      </c>
      <c r="L1854" s="142">
        <f>B1854*IBGE_2!L$1854/100</f>
        <v>16.199000000000002</v>
      </c>
      <c r="M1854" s="142">
        <f>B1854*IBGE_2!M$1854/100</f>
        <v>0.76900000000000002</v>
      </c>
      <c r="N1854" s="142">
        <f>B1854*IBGE_2!N$1854/100</f>
        <v>59.341000000000001</v>
      </c>
      <c r="O1854" s="142">
        <f>B1854*IBGE_2!O$1854/100</f>
        <v>9.7609999999999992</v>
      </c>
      <c r="P1854" s="142">
        <f>B1854*IBGE_2!P$1854/100</f>
        <v>3.9E-2</v>
      </c>
      <c r="Q1854" s="142">
        <f>B1854*IBGE_2!Q$1854/100</f>
        <v>49.206000000000003</v>
      </c>
      <c r="R1854" s="142">
        <f>B1854*IBGE_2!R$1854/100</f>
        <v>7.0000000000000007E-2</v>
      </c>
      <c r="S1854" s="142">
        <f>B1854*IBGE_2!S$1854/100</f>
        <v>19.831</v>
      </c>
      <c r="T1854" s="142">
        <f>B1854*IBGE_2!T$1854/100</f>
        <v>158.11000000000001</v>
      </c>
      <c r="U1854" s="142">
        <f>B1854*IBGE_2!U$1854/100</f>
        <v>2.1999999999999999E-2</v>
      </c>
      <c r="V1854" s="142">
        <f>B1854*IBGE_2!V$1854/100</f>
        <v>0.22800000000000001</v>
      </c>
      <c r="W1854" s="142">
        <f>B1854*IBGE_2!W$1854/100</f>
        <v>13.54</v>
      </c>
      <c r="X1854" s="142">
        <f>B1854*IBGE_2!X$1854/100</f>
        <v>3.2000000000000001E-2</v>
      </c>
      <c r="Y1854" s="142">
        <f>B1854*IBGE_2!Y$1854/100</f>
        <v>0.107</v>
      </c>
      <c r="Z1854" s="142">
        <f>B1854*IBGE_2!Z$1854/100</f>
        <v>6.6000000000000003E-2</v>
      </c>
      <c r="AA1854" s="142">
        <f>B1854*IBGE_2!AA$1854/100</f>
        <v>0.183</v>
      </c>
      <c r="AB1854" s="142">
        <f>B1854*IBGE_2!AB$1854/100</f>
        <v>9.6340000000000003</v>
      </c>
      <c r="AC1854" s="142">
        <f>B1854*IBGE_2!AC$1854/100</f>
        <v>0.82399999999999995</v>
      </c>
      <c r="AD1854" s="142">
        <f>B1854*IBGE_2!AD$1854/100</f>
        <v>0.21299999999999999</v>
      </c>
      <c r="AE1854" s="142">
        <f>B1854*IBGE_2!AE$1854/100</f>
        <v>9.3699999999999992</v>
      </c>
      <c r="AF1854" s="142">
        <f>B1854*IBGE_2!AF$1854/100</f>
        <v>0.48399999999999999</v>
      </c>
      <c r="AG1854" s="142">
        <f>B1854*IBGE_2!AG$1854/100</f>
        <v>0.14599999999999999</v>
      </c>
      <c r="AH1854" s="142">
        <f>B1854*IBGE_2!AH$1854/100</f>
        <v>5.6000000000000008E-2</v>
      </c>
      <c r="AI1854" s="142" t="s">
        <v>3047</v>
      </c>
      <c r="AJ1854" s="142">
        <f>B1854*IBGE_2!AJ$1854/100</f>
        <v>2.0169999999999999</v>
      </c>
      <c r="AK1854" s="142">
        <f>B1854*IBGE_2!AK$1854/100</f>
        <v>21.475000000000001</v>
      </c>
      <c r="AL1854" s="142">
        <f>B1854*IBGE_2!AL$1854/100</f>
        <v>14.263999999999999</v>
      </c>
      <c r="AM1854" s="142">
        <f>B1854*IBGE_2!AM$1854/100</f>
        <v>7.7480000000000011</v>
      </c>
      <c r="AN1854" s="161"/>
    </row>
    <row r="1855" spans="1:40">
      <c r="A1855" s="143" t="s">
        <v>2915</v>
      </c>
      <c r="B1855" s="141">
        <v>100</v>
      </c>
      <c r="C1855" s="142">
        <f>B1855*IBGE_2!C$1855/100</f>
        <v>82.986000000000004</v>
      </c>
      <c r="D1855" s="142">
        <f>B1855*IBGE_2!D$1855/100</f>
        <v>2.2759999999999998</v>
      </c>
      <c r="E1855" s="142">
        <f>B1855*IBGE_2!E$1855/100</f>
        <v>2.2629999999999999</v>
      </c>
      <c r="F1855" s="142">
        <f>B1855*IBGE_2!F$1855/100</f>
        <v>1.286</v>
      </c>
      <c r="G1855" s="142">
        <f>B1855*IBGE_2!G$1855/100</f>
        <v>0.55900000000000005</v>
      </c>
      <c r="H1855" s="142">
        <f>B1855*IBGE_2!H$1855/100</f>
        <v>0.14299999999999999</v>
      </c>
      <c r="I1855" s="142">
        <f>B1855*IBGE_2!I$1855/100</f>
        <v>0.09</v>
      </c>
      <c r="J1855" s="142">
        <f>B1855*IBGE_2!J$1855/100</f>
        <v>5.2999999999999999E-2</v>
      </c>
      <c r="K1855" s="142">
        <f>B1855*IBGE_2!K$1855/100</f>
        <v>6.8670000000000009</v>
      </c>
      <c r="L1855" s="142">
        <f>B1855*IBGE_2!L$1855/100</f>
        <v>13.984000000000002</v>
      </c>
      <c r="M1855" s="142">
        <f>B1855*IBGE_2!M$1855/100</f>
        <v>0.311</v>
      </c>
      <c r="N1855" s="142">
        <f>B1855*IBGE_2!N$1855/100</f>
        <v>78.870999999999995</v>
      </c>
      <c r="O1855" s="142">
        <f>B1855*IBGE_2!O$1855/100</f>
        <v>7.8230000000000004</v>
      </c>
      <c r="P1855" s="142">
        <f>B1855*IBGE_2!P$1855/100</f>
        <v>1.0999999999999999E-2</v>
      </c>
      <c r="Q1855" s="142">
        <f>B1855*IBGE_2!Q$1855/100</f>
        <v>65.119</v>
      </c>
      <c r="R1855" s="142">
        <f>B1855*IBGE_2!R$1855/100</f>
        <v>3.7999999999999999E-2</v>
      </c>
      <c r="S1855" s="142">
        <f>B1855*IBGE_2!S$1855/100</f>
        <v>27.468000000000004</v>
      </c>
      <c r="T1855" s="142">
        <f>B1855*IBGE_2!T$1855/100</f>
        <v>119.85899999999999</v>
      </c>
      <c r="U1855" s="142">
        <f>B1855*IBGE_2!U$1855/100</f>
        <v>1.4999999999999999E-2</v>
      </c>
      <c r="V1855" s="142">
        <f>B1855*IBGE_2!V$1855/100</f>
        <v>0.28699999999999998</v>
      </c>
      <c r="W1855" s="142">
        <f>B1855*IBGE_2!W$1855/100</f>
        <v>19.228000000000002</v>
      </c>
      <c r="X1855" s="142">
        <f>B1855*IBGE_2!X$1855/100</f>
        <v>3.5000000000000003E-2</v>
      </c>
      <c r="Y1855" s="142">
        <f>B1855*IBGE_2!Y$1855/100</f>
        <v>0.13400000000000001</v>
      </c>
      <c r="Z1855" s="142">
        <f>B1855*IBGE_2!Z$1855/100</f>
        <v>3.4000000000000002E-2</v>
      </c>
      <c r="AA1855" s="142">
        <f>B1855*IBGE_2!AA$1855/100</f>
        <v>9.5000000000000001E-2</v>
      </c>
      <c r="AB1855" s="142">
        <f>B1855*IBGE_2!AB$1855/100</f>
        <v>0.95599999999999996</v>
      </c>
      <c r="AC1855" s="142">
        <f>B1855*IBGE_2!AC$1855/100</f>
        <v>0.95799999999999996</v>
      </c>
      <c r="AD1855" s="142">
        <f>B1855*IBGE_2!AD$1855/100</f>
        <v>0.30199999999999999</v>
      </c>
      <c r="AE1855" s="142">
        <f>B1855*IBGE_2!AE$1855/100</f>
        <v>3.4340000000000002</v>
      </c>
      <c r="AF1855" s="142">
        <f>B1855*IBGE_2!AF$1855/100</f>
        <v>0.68700000000000006</v>
      </c>
      <c r="AG1855" s="142">
        <f>B1855*IBGE_2!AG$1855/100</f>
        <v>5.2999999999999999E-2</v>
      </c>
      <c r="AH1855" s="142">
        <f>B1855*IBGE_2!AH$1855/100</f>
        <v>0.08</v>
      </c>
      <c r="AI1855" s="142" t="s">
        <v>3047</v>
      </c>
      <c r="AJ1855" s="142">
        <f>B1855*IBGE_2!AJ$1855/100</f>
        <v>2.5880000000000001</v>
      </c>
      <c r="AK1855" s="142">
        <f>B1855*IBGE_2!AK$1855/100</f>
        <v>19.981999999999999</v>
      </c>
      <c r="AL1855" s="142">
        <f>B1855*IBGE_2!AL$1855/100</f>
        <v>13.853</v>
      </c>
      <c r="AM1855" s="142">
        <f>B1855*IBGE_2!AM$1855/100</f>
        <v>7.831999999999999</v>
      </c>
      <c r="AN1855" s="161"/>
    </row>
    <row r="1856" spans="1:40">
      <c r="A1856" s="143" t="s">
        <v>2916</v>
      </c>
      <c r="B1856" s="141">
        <v>100</v>
      </c>
      <c r="C1856" s="142">
        <f>B1856*IBGE_2!C$1856/100</f>
        <v>46.805</v>
      </c>
      <c r="D1856" s="142" t="s">
        <v>3047</v>
      </c>
      <c r="E1856" s="142" t="s">
        <v>3047</v>
      </c>
      <c r="F1856" s="142">
        <f>B1856*IBGE_2!F$1856/100</f>
        <v>1E-3</v>
      </c>
      <c r="G1856" s="142">
        <f>B1856*IBGE_2!G$1856/100</f>
        <v>2E-3</v>
      </c>
      <c r="H1856" s="142">
        <f>B1856*IBGE_2!H$1856/100</f>
        <v>3.0000000000000001E-3</v>
      </c>
      <c r="I1856" s="142">
        <f>B1856*IBGE_2!I$1856/100</f>
        <v>2E-3</v>
      </c>
      <c r="J1856" s="142">
        <f>B1856*IBGE_2!J$1856/100</f>
        <v>1E-3</v>
      </c>
      <c r="K1856" s="142" t="s">
        <v>3047</v>
      </c>
      <c r="L1856" s="142">
        <f>B1856*IBGE_2!L$1856/100</f>
        <v>11.92</v>
      </c>
      <c r="M1856" s="142">
        <f>B1856*IBGE_2!M$1856/100</f>
        <v>0.19900000000000001</v>
      </c>
      <c r="N1856" s="142">
        <f>B1856*IBGE_2!N$1856/100</f>
        <v>7.9669999999999996</v>
      </c>
      <c r="O1856" s="142">
        <f>B1856*IBGE_2!O$1856/100</f>
        <v>2.988</v>
      </c>
      <c r="P1856" s="142">
        <f>B1856*IBGE_2!P$1856/100</f>
        <v>8.4000000000000005E-2</v>
      </c>
      <c r="Q1856" s="142">
        <f>B1856*IBGE_2!Q$1856/100</f>
        <v>2.988</v>
      </c>
      <c r="R1856" s="142">
        <f>B1856*IBGE_2!R$1856/100</f>
        <v>0.09</v>
      </c>
      <c r="S1856" s="142">
        <f>B1856*IBGE_2!S$1856/100</f>
        <v>37.841999999999999</v>
      </c>
      <c r="T1856" s="142">
        <f>B1856*IBGE_2!T$1856/100</f>
        <v>30.870999999999999</v>
      </c>
      <c r="U1856" s="142">
        <f>B1856*IBGE_2!U$1856/100</f>
        <v>0.01</v>
      </c>
      <c r="V1856" s="142">
        <f>B1856*IBGE_2!V$1856/100</f>
        <v>0.01</v>
      </c>
      <c r="W1856" s="142" t="s">
        <v>3047</v>
      </c>
      <c r="X1856" s="142">
        <f>B1856*IBGE_2!X$1856/100</f>
        <v>5.0000000000000001E-3</v>
      </c>
      <c r="Y1856" s="142">
        <f>B1856*IBGE_2!Y$1856/100</f>
        <v>2.3E-2</v>
      </c>
      <c r="Z1856" s="142">
        <f>B1856*IBGE_2!Z$1856/100</f>
        <v>1.0999999999999999E-2</v>
      </c>
      <c r="AA1856" s="142">
        <f>B1856*IBGE_2!AA$1856/100</f>
        <v>2.1000000000000001E-2</v>
      </c>
      <c r="AB1856" s="142">
        <f>B1856*IBGE_2!AB$1856/100</f>
        <v>22.675999999999998</v>
      </c>
      <c r="AC1856" s="142">
        <f>B1856*IBGE_2!AC$1856/100</f>
        <v>2.1000000000000001E-2</v>
      </c>
      <c r="AD1856" s="142" t="s">
        <v>3047</v>
      </c>
      <c r="AE1856" s="142">
        <f>B1856*IBGE_2!AE$1856/100</f>
        <v>0.996</v>
      </c>
      <c r="AF1856" s="142" t="s">
        <v>3047</v>
      </c>
      <c r="AG1856" s="142">
        <f>B1856*IBGE_2!AG$1856/100</f>
        <v>0.01</v>
      </c>
      <c r="AH1856" s="142" t="s">
        <v>3047</v>
      </c>
      <c r="AI1856" s="142" t="s">
        <v>3047</v>
      </c>
      <c r="AJ1856" s="142">
        <f>B1856*IBGE_2!AJ$1856/100</f>
        <v>0.19900000000000001</v>
      </c>
      <c r="AK1856" s="142">
        <f>B1856*IBGE_2!AK$1856/100</f>
        <v>1.3280000000000001</v>
      </c>
      <c r="AL1856" s="142">
        <f>B1856*IBGE_2!AL$1856/100</f>
        <v>10.755000000000001</v>
      </c>
      <c r="AM1856" s="142">
        <f>B1856*IBGE_2!AM$1856/100</f>
        <v>11.865</v>
      </c>
      <c r="AN1856" s="161"/>
    </row>
    <row r="1857" spans="1:40">
      <c r="A1857" s="143" t="s">
        <v>2917</v>
      </c>
      <c r="B1857" s="141">
        <v>100</v>
      </c>
      <c r="C1857" s="142">
        <f>B1857*IBGE_2!C$1857/100</f>
        <v>46.805</v>
      </c>
      <c r="D1857" s="142" t="s">
        <v>3047</v>
      </c>
      <c r="E1857" s="142" t="s">
        <v>3047</v>
      </c>
      <c r="F1857" s="142">
        <f>B1857*IBGE_2!F$1857/100</f>
        <v>1E-3</v>
      </c>
      <c r="G1857" s="142">
        <f>B1857*IBGE_2!G$1857/100</f>
        <v>2E-3</v>
      </c>
      <c r="H1857" s="142">
        <f>B1857*IBGE_2!H$1857/100</f>
        <v>3.0000000000000001E-3</v>
      </c>
      <c r="I1857" s="142">
        <f>B1857*IBGE_2!I$1857/100</f>
        <v>2E-3</v>
      </c>
      <c r="J1857" s="142">
        <f>B1857*IBGE_2!J$1857/100</f>
        <v>1E-3</v>
      </c>
      <c r="K1857" s="142" t="s">
        <v>3047</v>
      </c>
      <c r="L1857" s="142">
        <f>B1857*IBGE_2!L$1857/100</f>
        <v>11.92</v>
      </c>
      <c r="M1857" s="142">
        <f>B1857*IBGE_2!M$1857/100</f>
        <v>0.19900000000000001</v>
      </c>
      <c r="N1857" s="142">
        <f>B1857*IBGE_2!N$1857/100</f>
        <v>7.9669999999999996</v>
      </c>
      <c r="O1857" s="142">
        <f>B1857*IBGE_2!O$1857/100</f>
        <v>2.988</v>
      </c>
      <c r="P1857" s="142">
        <f>B1857*IBGE_2!P$1857/100</f>
        <v>8.4000000000000005E-2</v>
      </c>
      <c r="Q1857" s="142">
        <f>B1857*IBGE_2!Q$1857/100</f>
        <v>2.988</v>
      </c>
      <c r="R1857" s="142">
        <f>B1857*IBGE_2!R$1857/100</f>
        <v>0.09</v>
      </c>
      <c r="S1857" s="142">
        <f>B1857*IBGE_2!S$1857/100</f>
        <v>37.841999999999999</v>
      </c>
      <c r="T1857" s="142">
        <f>B1857*IBGE_2!T$1857/100</f>
        <v>30.870999999999999</v>
      </c>
      <c r="U1857" s="142">
        <f>B1857*IBGE_2!U$1857/100</f>
        <v>0.01</v>
      </c>
      <c r="V1857" s="142">
        <f>B1857*IBGE_2!V$1857/100</f>
        <v>0.01</v>
      </c>
      <c r="W1857" s="142" t="s">
        <v>3047</v>
      </c>
      <c r="X1857" s="142">
        <f>B1857*IBGE_2!X$1857/100</f>
        <v>5.0000000000000001E-3</v>
      </c>
      <c r="Y1857" s="142">
        <f>B1857*IBGE_2!Y$1857/100</f>
        <v>2.3E-2</v>
      </c>
      <c r="Z1857" s="142">
        <f>B1857*IBGE_2!Z$1857/100</f>
        <v>1.0999999999999999E-2</v>
      </c>
      <c r="AA1857" s="142">
        <f>B1857*IBGE_2!AA$1857/100</f>
        <v>2.1000000000000001E-2</v>
      </c>
      <c r="AB1857" s="142">
        <f>B1857*IBGE_2!AB$1857/100</f>
        <v>22.675999999999998</v>
      </c>
      <c r="AC1857" s="142">
        <f>B1857*IBGE_2!AC$1857/100</f>
        <v>2.1000000000000001E-2</v>
      </c>
      <c r="AD1857" s="142" t="s">
        <v>3047</v>
      </c>
      <c r="AE1857" s="142">
        <f>B1857*IBGE_2!AE$1857/100</f>
        <v>0.996</v>
      </c>
      <c r="AF1857" s="142" t="s">
        <v>3047</v>
      </c>
      <c r="AG1857" s="142">
        <f>B1857*IBGE_2!AG$1857/100</f>
        <v>0.01</v>
      </c>
      <c r="AH1857" s="142" t="s">
        <v>3047</v>
      </c>
      <c r="AI1857" s="142" t="s">
        <v>3047</v>
      </c>
      <c r="AJ1857" s="142">
        <f>B1857*IBGE_2!AJ$1857/100</f>
        <v>0.19900000000000001</v>
      </c>
      <c r="AK1857" s="142">
        <f>B1857*IBGE_2!AK$1857/100</f>
        <v>1.3280000000000001</v>
      </c>
      <c r="AL1857" s="142">
        <f>B1857*IBGE_2!AL$1857/100</f>
        <v>10.755000000000001</v>
      </c>
      <c r="AM1857" s="142">
        <f>B1857*IBGE_2!AM$1857/100</f>
        <v>11.865</v>
      </c>
      <c r="AN1857" s="161"/>
    </row>
    <row r="1858" spans="1:40">
      <c r="A1858" s="143" t="s">
        <v>2918</v>
      </c>
      <c r="B1858" s="141">
        <v>100</v>
      </c>
      <c r="C1858" s="142">
        <f>B1858*IBGE_2!C$1858/100</f>
        <v>46.805</v>
      </c>
      <c r="D1858" s="142" t="s">
        <v>3047</v>
      </c>
      <c r="E1858" s="142" t="s">
        <v>3047</v>
      </c>
      <c r="F1858" s="142">
        <f>B1858*IBGE_2!F$1858/100</f>
        <v>1E-3</v>
      </c>
      <c r="G1858" s="142">
        <f>B1858*IBGE_2!G$1858/100</f>
        <v>2E-3</v>
      </c>
      <c r="H1858" s="142">
        <f>B1858*IBGE_2!H$1858/100</f>
        <v>3.0000000000000001E-3</v>
      </c>
      <c r="I1858" s="142">
        <f>B1858*IBGE_2!I$1858/100</f>
        <v>2E-3</v>
      </c>
      <c r="J1858" s="142">
        <f>B1858*IBGE_2!J$1858/100</f>
        <v>1E-3</v>
      </c>
      <c r="K1858" s="142" t="s">
        <v>3047</v>
      </c>
      <c r="L1858" s="142">
        <f>B1858*IBGE_2!L$1858/100</f>
        <v>11.92</v>
      </c>
      <c r="M1858" s="142">
        <f>B1858*IBGE_2!M$1858/100</f>
        <v>0.19900000000000001</v>
      </c>
      <c r="N1858" s="142">
        <f>B1858*IBGE_2!N$1858/100</f>
        <v>7.9669999999999996</v>
      </c>
      <c r="O1858" s="142">
        <f>B1858*IBGE_2!O$1858/100</f>
        <v>2.988</v>
      </c>
      <c r="P1858" s="142">
        <f>B1858*IBGE_2!P$1858/100</f>
        <v>8.4000000000000005E-2</v>
      </c>
      <c r="Q1858" s="142">
        <f>B1858*IBGE_2!Q$1858/100</f>
        <v>2.988</v>
      </c>
      <c r="R1858" s="142">
        <f>B1858*IBGE_2!R$1858/100</f>
        <v>0.09</v>
      </c>
      <c r="S1858" s="142">
        <f>B1858*IBGE_2!S$1858/100</f>
        <v>37.841999999999999</v>
      </c>
      <c r="T1858" s="142">
        <f>B1858*IBGE_2!T$1858/100</f>
        <v>30.870999999999999</v>
      </c>
      <c r="U1858" s="142">
        <f>B1858*IBGE_2!U$1858/100</f>
        <v>0.01</v>
      </c>
      <c r="V1858" s="142">
        <f>B1858*IBGE_2!V$1858/100</f>
        <v>0.01</v>
      </c>
      <c r="W1858" s="142" t="s">
        <v>3047</v>
      </c>
      <c r="X1858" s="142">
        <f>B1858*IBGE_2!X$1858/100</f>
        <v>5.0000000000000001E-3</v>
      </c>
      <c r="Y1858" s="142">
        <f>B1858*IBGE_2!Y$1858/100</f>
        <v>2.3E-2</v>
      </c>
      <c r="Z1858" s="142">
        <f>B1858*IBGE_2!Z$1858/100</f>
        <v>1.0999999999999999E-2</v>
      </c>
      <c r="AA1858" s="142">
        <f>B1858*IBGE_2!AA$1858/100</f>
        <v>2.1000000000000001E-2</v>
      </c>
      <c r="AB1858" s="142">
        <f>B1858*IBGE_2!AB$1858/100</f>
        <v>22.675999999999998</v>
      </c>
      <c r="AC1858" s="142">
        <f>B1858*IBGE_2!AC$1858/100</f>
        <v>2.1000000000000001E-2</v>
      </c>
      <c r="AD1858" s="142" t="s">
        <v>3047</v>
      </c>
      <c r="AE1858" s="142">
        <f>B1858*IBGE_2!AE$1858/100</f>
        <v>0.996</v>
      </c>
      <c r="AF1858" s="142" t="s">
        <v>3047</v>
      </c>
      <c r="AG1858" s="142">
        <f>B1858*IBGE_2!AG$1858/100</f>
        <v>0.01</v>
      </c>
      <c r="AH1858" s="142" t="s">
        <v>3047</v>
      </c>
      <c r="AI1858" s="142" t="s">
        <v>3047</v>
      </c>
      <c r="AJ1858" s="142">
        <f>B1858*IBGE_2!AJ$1858/100</f>
        <v>0.19900000000000001</v>
      </c>
      <c r="AK1858" s="142">
        <f>B1858*IBGE_2!AK$1858/100</f>
        <v>1.3280000000000001</v>
      </c>
      <c r="AL1858" s="142">
        <f>B1858*IBGE_2!AL$1858/100</f>
        <v>10.755000000000001</v>
      </c>
      <c r="AM1858" s="142">
        <f>B1858*IBGE_2!AM$1858/100</f>
        <v>11.865</v>
      </c>
      <c r="AN1858" s="161"/>
    </row>
    <row r="1859" spans="1:40">
      <c r="A1859" s="143" t="s">
        <v>2919</v>
      </c>
      <c r="B1859" s="141">
        <v>100</v>
      </c>
      <c r="C1859" s="142">
        <f>B1859*IBGE_2!C$1859/100</f>
        <v>46.805</v>
      </c>
      <c r="D1859" s="142" t="s">
        <v>3047</v>
      </c>
      <c r="E1859" s="142" t="s">
        <v>3047</v>
      </c>
      <c r="F1859" s="142">
        <f>B1859*IBGE_2!F$1859/100</f>
        <v>1E-3</v>
      </c>
      <c r="G1859" s="142">
        <f>B1859*IBGE_2!G$1859/100</f>
        <v>2E-3</v>
      </c>
      <c r="H1859" s="142">
        <f>B1859*IBGE_2!H$1859/100</f>
        <v>3.0000000000000001E-3</v>
      </c>
      <c r="I1859" s="142">
        <f>B1859*IBGE_2!I$1859/100</f>
        <v>2E-3</v>
      </c>
      <c r="J1859" s="142">
        <f>B1859*IBGE_2!J$1859/100</f>
        <v>1E-3</v>
      </c>
      <c r="K1859" s="142" t="s">
        <v>3047</v>
      </c>
      <c r="L1859" s="142">
        <f>B1859*IBGE_2!L$1859/100</f>
        <v>11.92</v>
      </c>
      <c r="M1859" s="142">
        <f>B1859*IBGE_2!M$1859/100</f>
        <v>0.19900000000000001</v>
      </c>
      <c r="N1859" s="142">
        <f>B1859*IBGE_2!N$1859/100</f>
        <v>7.9669999999999996</v>
      </c>
      <c r="O1859" s="142">
        <f>B1859*IBGE_2!O$1859/100</f>
        <v>2.988</v>
      </c>
      <c r="P1859" s="142">
        <f>B1859*IBGE_2!P$1859/100</f>
        <v>8.4000000000000005E-2</v>
      </c>
      <c r="Q1859" s="142">
        <f>B1859*IBGE_2!Q$1859/100</f>
        <v>2.988</v>
      </c>
      <c r="R1859" s="142">
        <f>B1859*IBGE_2!R$1859/100</f>
        <v>0.09</v>
      </c>
      <c r="S1859" s="142">
        <f>B1859*IBGE_2!S$1859/100</f>
        <v>37.841999999999999</v>
      </c>
      <c r="T1859" s="142">
        <f>B1859*IBGE_2!T$1859/100</f>
        <v>30.870999999999999</v>
      </c>
      <c r="U1859" s="142">
        <f>B1859*IBGE_2!U$1859/100</f>
        <v>0.01</v>
      </c>
      <c r="V1859" s="142">
        <f>B1859*IBGE_2!V$1859/100</f>
        <v>0.01</v>
      </c>
      <c r="W1859" s="142" t="s">
        <v>3047</v>
      </c>
      <c r="X1859" s="142">
        <f>B1859*IBGE_2!X$1859/100</f>
        <v>5.0000000000000001E-3</v>
      </c>
      <c r="Y1859" s="142">
        <f>B1859*IBGE_2!Y$1859/100</f>
        <v>2.3E-2</v>
      </c>
      <c r="Z1859" s="142">
        <f>B1859*IBGE_2!Z$1859/100</f>
        <v>1.0999999999999999E-2</v>
      </c>
      <c r="AA1859" s="142">
        <f>B1859*IBGE_2!AA$1859/100</f>
        <v>2.1000000000000001E-2</v>
      </c>
      <c r="AB1859" s="142">
        <f>B1859*IBGE_2!AB$1859/100</f>
        <v>22.675999999999998</v>
      </c>
      <c r="AC1859" s="142">
        <f>B1859*IBGE_2!AC$1859/100</f>
        <v>2.1000000000000001E-2</v>
      </c>
      <c r="AD1859" s="142" t="s">
        <v>3047</v>
      </c>
      <c r="AE1859" s="142">
        <f>B1859*IBGE_2!AE$1859/100</f>
        <v>0.996</v>
      </c>
      <c r="AF1859" s="142" t="s">
        <v>3047</v>
      </c>
      <c r="AG1859" s="142">
        <f>B1859*IBGE_2!AG$1859/100</f>
        <v>0.01</v>
      </c>
      <c r="AH1859" s="142" t="s">
        <v>3047</v>
      </c>
      <c r="AI1859" s="142" t="s">
        <v>3047</v>
      </c>
      <c r="AJ1859" s="142">
        <f>B1859*IBGE_2!AJ$1859/100</f>
        <v>0.19900000000000001</v>
      </c>
      <c r="AK1859" s="142">
        <f>B1859*IBGE_2!AK$1859/100</f>
        <v>1.3280000000000001</v>
      </c>
      <c r="AL1859" s="142">
        <f>B1859*IBGE_2!AL$1859/100</f>
        <v>10.755000000000001</v>
      </c>
      <c r="AM1859" s="142">
        <f>B1859*IBGE_2!AM$1859/100</f>
        <v>11.865</v>
      </c>
      <c r="AN1859" s="161"/>
    </row>
    <row r="1860" spans="1:40">
      <c r="A1860" s="143" t="s">
        <v>2920</v>
      </c>
      <c r="B1860" s="141">
        <v>100</v>
      </c>
      <c r="C1860" s="142">
        <f>B1860*IBGE_2!C$1860/100</f>
        <v>46.805</v>
      </c>
      <c r="D1860" s="142" t="s">
        <v>3047</v>
      </c>
      <c r="E1860" s="142" t="s">
        <v>3047</v>
      </c>
      <c r="F1860" s="142">
        <f>B1860*IBGE_2!F$1860/100</f>
        <v>1E-3</v>
      </c>
      <c r="G1860" s="142">
        <f>B1860*IBGE_2!G$1860/100</f>
        <v>2E-3</v>
      </c>
      <c r="H1860" s="142">
        <f>B1860*IBGE_2!H$1860/100</f>
        <v>3.0000000000000001E-3</v>
      </c>
      <c r="I1860" s="142">
        <f>B1860*IBGE_2!I$1860/100</f>
        <v>2E-3</v>
      </c>
      <c r="J1860" s="142">
        <f>B1860*IBGE_2!J$1860/100</f>
        <v>1E-3</v>
      </c>
      <c r="K1860" s="142" t="s">
        <v>3047</v>
      </c>
      <c r="L1860" s="142">
        <f>B1860*IBGE_2!L$1860/100</f>
        <v>11.92</v>
      </c>
      <c r="M1860" s="142">
        <f>B1860*IBGE_2!M$1860/100</f>
        <v>0.19900000000000001</v>
      </c>
      <c r="N1860" s="142">
        <f>B1860*IBGE_2!N$1860/100</f>
        <v>7.9669999999999996</v>
      </c>
      <c r="O1860" s="142">
        <f>B1860*IBGE_2!O$1860/100</f>
        <v>2.988</v>
      </c>
      <c r="P1860" s="142">
        <f>B1860*IBGE_2!P$1860/100</f>
        <v>8.4000000000000005E-2</v>
      </c>
      <c r="Q1860" s="142">
        <f>B1860*IBGE_2!Q$1860/100</f>
        <v>2.988</v>
      </c>
      <c r="R1860" s="142">
        <f>B1860*IBGE_2!R$1860/100</f>
        <v>0.09</v>
      </c>
      <c r="S1860" s="142">
        <f>B1860*IBGE_2!S$1860/100</f>
        <v>37.841999999999999</v>
      </c>
      <c r="T1860" s="142">
        <f>B1860*IBGE_2!T$1860/100</f>
        <v>30.870999999999999</v>
      </c>
      <c r="U1860" s="142">
        <f>B1860*IBGE_2!U$1860/100</f>
        <v>0.01</v>
      </c>
      <c r="V1860" s="142">
        <f>B1860*IBGE_2!V$1860/100</f>
        <v>0.01</v>
      </c>
      <c r="W1860" s="142" t="s">
        <v>3047</v>
      </c>
      <c r="X1860" s="142">
        <f>B1860*IBGE_2!X$1860/100</f>
        <v>5.0000000000000001E-3</v>
      </c>
      <c r="Y1860" s="142">
        <f>B1860*IBGE_2!Y$1860/100</f>
        <v>2.3E-2</v>
      </c>
      <c r="Z1860" s="142">
        <f>B1860*IBGE_2!Z$1860/100</f>
        <v>1.0999999999999999E-2</v>
      </c>
      <c r="AA1860" s="142">
        <f>B1860*IBGE_2!AA$1860/100</f>
        <v>2.1000000000000001E-2</v>
      </c>
      <c r="AB1860" s="142">
        <f>B1860*IBGE_2!AB$1860/100</f>
        <v>22.675999999999998</v>
      </c>
      <c r="AC1860" s="142">
        <f>B1860*IBGE_2!AC$1860/100</f>
        <v>2.1000000000000001E-2</v>
      </c>
      <c r="AD1860" s="142" t="s">
        <v>3047</v>
      </c>
      <c r="AE1860" s="142">
        <f>B1860*IBGE_2!AE$1860/100</f>
        <v>0.996</v>
      </c>
      <c r="AF1860" s="142" t="s">
        <v>3047</v>
      </c>
      <c r="AG1860" s="142">
        <f>B1860*IBGE_2!AG$1860/100</f>
        <v>0.01</v>
      </c>
      <c r="AH1860" s="142" t="s">
        <v>3047</v>
      </c>
      <c r="AI1860" s="142" t="s">
        <v>3047</v>
      </c>
      <c r="AJ1860" s="142">
        <f>B1860*IBGE_2!AJ$1860/100</f>
        <v>0.19900000000000001</v>
      </c>
      <c r="AK1860" s="142">
        <f>B1860*IBGE_2!AK$1860/100</f>
        <v>1.3280000000000001</v>
      </c>
      <c r="AL1860" s="142">
        <f>B1860*IBGE_2!AL$1860/100</f>
        <v>10.755000000000001</v>
      </c>
      <c r="AM1860" s="142">
        <f>B1860*IBGE_2!AM$1860/100</f>
        <v>11.865</v>
      </c>
      <c r="AN1860" s="161"/>
    </row>
    <row r="1861" spans="1:40">
      <c r="A1861" s="143" t="s">
        <v>2921</v>
      </c>
      <c r="B1861" s="141">
        <v>100</v>
      </c>
      <c r="C1861" s="142">
        <f>B1861*IBGE_2!C$1861/100</f>
        <v>46.805</v>
      </c>
      <c r="D1861" s="142" t="s">
        <v>3047</v>
      </c>
      <c r="E1861" s="142" t="s">
        <v>3047</v>
      </c>
      <c r="F1861" s="142">
        <f>B1861*IBGE_2!F$1861/100</f>
        <v>1E-3</v>
      </c>
      <c r="G1861" s="142">
        <f>B1861*IBGE_2!G$1861/100</f>
        <v>2E-3</v>
      </c>
      <c r="H1861" s="142">
        <f>B1861*IBGE_2!H$1861/100</f>
        <v>3.0000000000000001E-3</v>
      </c>
      <c r="I1861" s="142">
        <f>B1861*IBGE_2!I$1861/100</f>
        <v>2E-3</v>
      </c>
      <c r="J1861" s="142">
        <f>B1861*IBGE_2!J$1861/100</f>
        <v>1E-3</v>
      </c>
      <c r="K1861" s="142" t="s">
        <v>3047</v>
      </c>
      <c r="L1861" s="142">
        <f>B1861*IBGE_2!L$1861/100</f>
        <v>11.92</v>
      </c>
      <c r="M1861" s="142">
        <f>B1861*IBGE_2!M$1861/100</f>
        <v>0.19900000000000001</v>
      </c>
      <c r="N1861" s="142">
        <f>B1861*IBGE_2!N$1861/100</f>
        <v>7.9669999999999996</v>
      </c>
      <c r="O1861" s="142">
        <f>B1861*IBGE_2!O$1861/100</f>
        <v>2.988</v>
      </c>
      <c r="P1861" s="142">
        <f>B1861*IBGE_2!P$1861/100</f>
        <v>8.4000000000000005E-2</v>
      </c>
      <c r="Q1861" s="142">
        <f>B1861*IBGE_2!Q$1861/100</f>
        <v>2.988</v>
      </c>
      <c r="R1861" s="142">
        <f>B1861*IBGE_2!R$1861/100</f>
        <v>0.09</v>
      </c>
      <c r="S1861" s="142">
        <f>B1861*IBGE_2!S$1861/100</f>
        <v>37.841999999999999</v>
      </c>
      <c r="T1861" s="142">
        <f>B1861*IBGE_2!T$1861/100</f>
        <v>30.870999999999999</v>
      </c>
      <c r="U1861" s="142">
        <f>B1861*IBGE_2!U$1861/100</f>
        <v>0.01</v>
      </c>
      <c r="V1861" s="142">
        <f>B1861*IBGE_2!V$1861/100</f>
        <v>0.01</v>
      </c>
      <c r="W1861" s="142" t="s">
        <v>3047</v>
      </c>
      <c r="X1861" s="142">
        <f>B1861*IBGE_2!X$1861/100</f>
        <v>5.0000000000000001E-3</v>
      </c>
      <c r="Y1861" s="142">
        <f>B1861*IBGE_2!Y$1861/100</f>
        <v>2.3E-2</v>
      </c>
      <c r="Z1861" s="142">
        <f>B1861*IBGE_2!Z$1861/100</f>
        <v>1.0999999999999999E-2</v>
      </c>
      <c r="AA1861" s="142">
        <f>B1861*IBGE_2!AA$1861/100</f>
        <v>2.1000000000000001E-2</v>
      </c>
      <c r="AB1861" s="142">
        <f>B1861*IBGE_2!AB$1861/100</f>
        <v>22.675999999999998</v>
      </c>
      <c r="AC1861" s="142">
        <f>B1861*IBGE_2!AC$1861/100</f>
        <v>2.1000000000000001E-2</v>
      </c>
      <c r="AD1861" s="142" t="s">
        <v>3047</v>
      </c>
      <c r="AE1861" s="142">
        <f>B1861*IBGE_2!AE$1861/100</f>
        <v>0.996</v>
      </c>
      <c r="AF1861" s="142" t="s">
        <v>3047</v>
      </c>
      <c r="AG1861" s="142">
        <f>B1861*IBGE_2!AG$1861/100</f>
        <v>0.01</v>
      </c>
      <c r="AH1861" s="142" t="s">
        <v>3047</v>
      </c>
      <c r="AI1861" s="142" t="s">
        <v>3047</v>
      </c>
      <c r="AJ1861" s="142">
        <f>B1861*IBGE_2!AJ$1861/100</f>
        <v>0.19900000000000001</v>
      </c>
      <c r="AK1861" s="142">
        <f>B1861*IBGE_2!AK$1861/100</f>
        <v>1.3280000000000001</v>
      </c>
      <c r="AL1861" s="142">
        <f>B1861*IBGE_2!AL$1861/100</f>
        <v>10.755000000000001</v>
      </c>
      <c r="AM1861" s="142">
        <f>B1861*IBGE_2!AM$1861/100</f>
        <v>11.865</v>
      </c>
      <c r="AN1861" s="161"/>
    </row>
    <row r="1862" spans="1:40">
      <c r="A1862" s="143" t="s">
        <v>2922</v>
      </c>
      <c r="B1862" s="141">
        <v>100</v>
      </c>
      <c r="C1862" s="142">
        <f>B1862*IBGE_2!C$1862/100</f>
        <v>26</v>
      </c>
      <c r="D1862" s="142">
        <f>B1862*IBGE_2!D$1862/100</f>
        <v>2.11</v>
      </c>
      <c r="E1862" s="142">
        <f>B1862*IBGE_2!E$1862/100</f>
        <v>0.36</v>
      </c>
      <c r="F1862" s="142">
        <f>B1862*IBGE_2!F$1862/100</f>
        <v>4.7E-2</v>
      </c>
      <c r="G1862" s="142">
        <f>B1862*IBGE_2!G$1862/100</f>
        <v>2.6000000000000002E-2</v>
      </c>
      <c r="H1862" s="142">
        <f>B1862*IBGE_2!H$1862/100</f>
        <v>0.17299999999999996</v>
      </c>
      <c r="I1862" s="142">
        <f>B1862*IBGE_2!I$1862/100</f>
        <v>7.0000000000000007E-2</v>
      </c>
      <c r="J1862" s="142">
        <f>B1862*IBGE_2!J$1862/100</f>
        <v>9.3000000000000013E-2</v>
      </c>
      <c r="K1862" s="142" t="s">
        <v>3047</v>
      </c>
      <c r="L1862" s="142">
        <f>B1862*IBGE_2!L$1862/100</f>
        <v>4.91</v>
      </c>
      <c r="M1862" s="142">
        <f>B1862*IBGE_2!M$1862/100</f>
        <v>2.8</v>
      </c>
      <c r="N1862" s="142">
        <f>B1862*IBGE_2!N$1862/100</f>
        <v>140</v>
      </c>
      <c r="O1862" s="142">
        <f>B1862*IBGE_2!O$1862/100</f>
        <v>20</v>
      </c>
      <c r="P1862" s="142">
        <f>B1862*IBGE_2!P$1862/100</f>
        <v>0.436</v>
      </c>
      <c r="Q1862" s="142">
        <f>B1862*IBGE_2!Q$1862/100</f>
        <v>30</v>
      </c>
      <c r="R1862" s="142">
        <f>B1862*IBGE_2!R$1862/100</f>
        <v>1.1599999999999999</v>
      </c>
      <c r="S1862" s="142">
        <f>B1862*IBGE_2!S$1862/100</f>
        <v>16</v>
      </c>
      <c r="T1862" s="142">
        <f>B1862*IBGE_2!T$1862/100</f>
        <v>116</v>
      </c>
      <c r="U1862" s="142">
        <f>B1862*IBGE_2!U$1862/100</f>
        <v>3.7999999999999999E-2</v>
      </c>
      <c r="V1862" s="142">
        <f>B1862*IBGE_2!V$1862/100</f>
        <v>0.23</v>
      </c>
      <c r="W1862" s="142" t="s">
        <v>3047</v>
      </c>
      <c r="X1862" s="142">
        <f>B1862*IBGE_2!X$1862/100</f>
        <v>0.04</v>
      </c>
      <c r="Y1862" s="142">
        <f>B1862*IBGE_2!Y$1862/100</f>
        <v>0.106</v>
      </c>
      <c r="Z1862" s="142">
        <f>B1862*IBGE_2!Z$1862/100</f>
        <v>0.128</v>
      </c>
      <c r="AA1862" s="142">
        <f>B1862*IBGE_2!AA$1862/100</f>
        <v>0.57499999999999996</v>
      </c>
      <c r="AB1862" s="142">
        <f>B1862*IBGE_2!AB$1862/100</f>
        <v>18.2</v>
      </c>
      <c r="AC1862" s="142">
        <f>B1862*IBGE_2!AC$1862/100</f>
        <v>1.0249999999999999</v>
      </c>
      <c r="AD1862" s="142" t="s">
        <v>3047</v>
      </c>
      <c r="AE1862" s="142">
        <f>B1862*IBGE_2!AE$1862/100</f>
        <v>93</v>
      </c>
      <c r="AF1862" s="142" t="s">
        <v>3047</v>
      </c>
      <c r="AG1862" s="142">
        <f>B1862*IBGE_2!AG$1862/100</f>
        <v>0.88</v>
      </c>
      <c r="AH1862" s="142" t="s">
        <v>3047</v>
      </c>
      <c r="AI1862" s="142">
        <f>B1862*IBGE_2!AI$1862/100</f>
        <v>199</v>
      </c>
      <c r="AJ1862" s="142">
        <f>B1862*IBGE_2!AJ$1862/100</f>
        <v>0.5</v>
      </c>
      <c r="AK1862" s="142">
        <f>B1862*IBGE_2!AK$1862/100</f>
        <v>405.75</v>
      </c>
      <c r="AL1862" s="142">
        <f>B1862*IBGE_2!AL$1862/100</f>
        <v>1.41</v>
      </c>
      <c r="AM1862" s="145" t="s">
        <v>3047</v>
      </c>
      <c r="AN1862" s="161"/>
    </row>
    <row r="1863" spans="1:40">
      <c r="A1863" s="143" t="s">
        <v>2923</v>
      </c>
      <c r="B1863" s="141">
        <v>100</v>
      </c>
      <c r="C1863" s="142">
        <f>B1863*IBGE_2!C$1863/100</f>
        <v>209.79400000000001</v>
      </c>
      <c r="D1863" s="142">
        <f>B1863*IBGE_2!D$1863/100</f>
        <v>2.7130000000000001</v>
      </c>
      <c r="E1863" s="142">
        <f>B1863*IBGE_2!E$1863/100</f>
        <v>16.824999999999999</v>
      </c>
      <c r="F1863" s="142">
        <f>B1863*IBGE_2!F$1863/100</f>
        <v>2.7170000000000001</v>
      </c>
      <c r="G1863" s="142">
        <f>B1863*IBGE_2!G$1863/100</f>
        <v>4.3220000000000001</v>
      </c>
      <c r="H1863" s="142">
        <f>B1863*IBGE_2!H$1863/100</f>
        <v>8.4740000000000002</v>
      </c>
      <c r="I1863" s="142">
        <f>B1863*IBGE_2!I$1863/100</f>
        <v>7.5190000000000001</v>
      </c>
      <c r="J1863" s="142">
        <f>B1863*IBGE_2!J$1863/100</f>
        <v>0.93200000000000005</v>
      </c>
      <c r="K1863" s="142">
        <f>B1863*IBGE_2!K$1863/100</f>
        <v>56.023000000000003</v>
      </c>
      <c r="L1863" s="142">
        <f>B1863*IBGE_2!L$1863/100</f>
        <v>12.645</v>
      </c>
      <c r="M1863" s="142">
        <f>B1863*IBGE_2!M$1863/100</f>
        <v>1.375</v>
      </c>
      <c r="N1863" s="142">
        <f>B1863*IBGE_2!N$1863/100</f>
        <v>15.73</v>
      </c>
      <c r="O1863" s="142">
        <f>B1863*IBGE_2!O$1863/100</f>
        <v>14.113</v>
      </c>
      <c r="P1863" s="142">
        <f>B1863*IBGE_2!P$1863/100</f>
        <v>0.10199999999999999</v>
      </c>
      <c r="Q1863" s="142">
        <f>B1863*IBGE_2!Q$1863/100</f>
        <v>50.838000000000001</v>
      </c>
      <c r="R1863" s="142">
        <f>B1863*IBGE_2!R$1863/100</f>
        <v>0.39900000000000008</v>
      </c>
      <c r="S1863" s="142">
        <f>B1863*IBGE_2!S$1863/100</f>
        <v>281.90800000000002</v>
      </c>
      <c r="T1863" s="142">
        <f>B1863*IBGE_2!T$1863/100</f>
        <v>221.94900000000001</v>
      </c>
      <c r="U1863" s="142">
        <f>B1863*IBGE_2!U$1863/100</f>
        <v>0.105</v>
      </c>
      <c r="V1863" s="142">
        <f>B1863*IBGE_2!V$1863/100</f>
        <v>0.32700000000000001</v>
      </c>
      <c r="W1863" s="142">
        <f>B1863*IBGE_2!W$1863/100</f>
        <v>34.878</v>
      </c>
      <c r="X1863" s="142">
        <f>B1863*IBGE_2!X$1863/100</f>
        <v>7.5999999999999998E-2</v>
      </c>
      <c r="Y1863" s="142">
        <f>B1863*IBGE_2!Y$1863/100</f>
        <v>8.5000000000000006E-2</v>
      </c>
      <c r="Z1863" s="142">
        <f>B1863*IBGE_2!Z$1863/100</f>
        <v>0.28699999999999998</v>
      </c>
      <c r="AA1863" s="142">
        <f>B1863*IBGE_2!AA$1863/100</f>
        <v>0.76200000000000001</v>
      </c>
      <c r="AB1863" s="142">
        <f>B1863*IBGE_2!AB$1863/100</f>
        <v>4.7469999999999999</v>
      </c>
      <c r="AC1863" s="142">
        <f>B1863*IBGE_2!AC$1863/100</f>
        <v>1.3819999999999999</v>
      </c>
      <c r="AD1863" s="142">
        <f>B1863*IBGE_2!AD$1863/100</f>
        <v>0.192</v>
      </c>
      <c r="AE1863" s="142">
        <f>B1863*IBGE_2!AE$1863/100</f>
        <v>14.012</v>
      </c>
      <c r="AF1863" s="142">
        <f>B1863*IBGE_2!AF$1863/100</f>
        <v>0.20499999999999999</v>
      </c>
      <c r="AG1863" s="142">
        <f>B1863*IBGE_2!AG$1863/100</f>
        <v>1.1879999999999999</v>
      </c>
      <c r="AH1863" s="142">
        <f>B1863*IBGE_2!AH$1863/100</f>
        <v>5.4000000000000006E-2</v>
      </c>
      <c r="AI1863" s="142" t="s">
        <v>3047</v>
      </c>
      <c r="AJ1863" s="142">
        <f>B1863*IBGE_2!AJ$1863/100</f>
        <v>4.3890000000000002</v>
      </c>
      <c r="AK1863" s="142">
        <f>B1863*IBGE_2!AK$1863/100</f>
        <v>36.368000000000002</v>
      </c>
      <c r="AL1863" s="142">
        <f>B1863*IBGE_2!AL$1863/100</f>
        <v>1.2010000000000001</v>
      </c>
      <c r="AM1863" s="142">
        <f>B1863*IBGE_2!AM$1863/100</f>
        <v>0.48</v>
      </c>
      <c r="AN1863" s="161"/>
    </row>
    <row r="1864" spans="1:40">
      <c r="A1864" s="143" t="s">
        <v>2924</v>
      </c>
      <c r="B1864" s="141">
        <v>100</v>
      </c>
      <c r="C1864" s="142">
        <f>B1864*IBGE_2!C$1864/100</f>
        <v>281.19799999999998</v>
      </c>
      <c r="D1864" s="142">
        <f>B1864*IBGE_2!D$1864/100</f>
        <v>14.597000000000001</v>
      </c>
      <c r="E1864" s="142">
        <f>B1864*IBGE_2!E$1864/100</f>
        <v>11.349</v>
      </c>
      <c r="F1864" s="142">
        <f>B1864*IBGE_2!F$1864/100</f>
        <v>5.57</v>
      </c>
      <c r="G1864" s="142">
        <f>B1864*IBGE_2!G$1864/100</f>
        <v>3.0150000000000001</v>
      </c>
      <c r="H1864" s="142">
        <f>B1864*IBGE_2!H$1864/100</f>
        <v>2.1040000000000001</v>
      </c>
      <c r="I1864" s="142">
        <f>B1864*IBGE_2!I$1864/100</f>
        <v>1.8180000000000001</v>
      </c>
      <c r="J1864" s="142">
        <f>B1864*IBGE_2!J$1864/100</f>
        <v>0.28499999999999998</v>
      </c>
      <c r="K1864" s="142">
        <f>B1864*IBGE_2!K$1864/100</f>
        <v>21.884</v>
      </c>
      <c r="L1864" s="142">
        <f>B1864*IBGE_2!L$1864/100</f>
        <v>29.819000000000003</v>
      </c>
      <c r="M1864" s="142">
        <f>B1864*IBGE_2!M$1864/100</f>
        <v>1.7390000000000001</v>
      </c>
      <c r="N1864" s="142">
        <f>B1864*IBGE_2!N$1864/100</f>
        <v>308.76799999999997</v>
      </c>
      <c r="O1864" s="142">
        <f>B1864*IBGE_2!O$1864/100</f>
        <v>24.059000000000001</v>
      </c>
      <c r="P1864" s="142">
        <f>B1864*IBGE_2!P$1864/100</f>
        <v>0.28799999999999998</v>
      </c>
      <c r="Q1864" s="142">
        <f>B1864*IBGE_2!Q$1864/100</f>
        <v>264.19099999999997</v>
      </c>
      <c r="R1864" s="142">
        <f>B1864*IBGE_2!R$1864/100</f>
        <v>2.161</v>
      </c>
      <c r="S1864" s="142">
        <f>B1864*IBGE_2!S$1864/100</f>
        <v>736.75400000000013</v>
      </c>
      <c r="T1864" s="142">
        <f>B1864*IBGE_2!T$1864/100</f>
        <v>184.62</v>
      </c>
      <c r="U1864" s="142">
        <f>B1864*IBGE_2!U$1864/100</f>
        <v>0.106</v>
      </c>
      <c r="V1864" s="142">
        <f>B1864*IBGE_2!V$1864/100</f>
        <v>1.5960000000000003</v>
      </c>
      <c r="W1864" s="142">
        <f>B1864*IBGE_2!W$1864/100</f>
        <v>51.246000000000002</v>
      </c>
      <c r="X1864" s="142">
        <f>B1864*IBGE_2!X$1864/100</f>
        <v>0.32600000000000001</v>
      </c>
      <c r="Y1864" s="142">
        <f>B1864*IBGE_2!Y$1864/100</f>
        <v>0.35499999999999998</v>
      </c>
      <c r="Z1864" s="142">
        <f>B1864*IBGE_2!Z$1864/100</f>
        <v>9.7000000000000017E-2</v>
      </c>
      <c r="AA1864" s="142">
        <f>B1864*IBGE_2!AA$1864/100</f>
        <v>2.5659999999999998</v>
      </c>
      <c r="AB1864" s="142">
        <f>B1864*IBGE_2!AB$1864/100</f>
        <v>2.1680000000000001</v>
      </c>
      <c r="AC1864" s="142">
        <f>B1864*IBGE_2!AC$1864/100</f>
        <v>7.2629999999999999</v>
      </c>
      <c r="AD1864" s="142">
        <f>B1864*IBGE_2!AD$1864/100</f>
        <v>0.89600000000000013</v>
      </c>
      <c r="AE1864" s="142">
        <f>B1864*IBGE_2!AE$1864/100</f>
        <v>93.332999999999998</v>
      </c>
      <c r="AF1864" s="142">
        <f>B1864*IBGE_2!AF$1864/100</f>
        <v>0.08</v>
      </c>
      <c r="AG1864" s="142">
        <f>B1864*IBGE_2!AG$1864/100</f>
        <v>0.78299999999999992</v>
      </c>
      <c r="AH1864" s="142">
        <f>B1864*IBGE_2!AH$1864/100</f>
        <v>0.183</v>
      </c>
      <c r="AI1864" s="142" t="s">
        <v>3047</v>
      </c>
      <c r="AJ1864" s="142">
        <f>B1864*IBGE_2!AJ$1864/100</f>
        <v>19.309000000000001</v>
      </c>
      <c r="AK1864" s="142">
        <f>B1864*IBGE_2!AK$1864/100</f>
        <v>57.591999999999999</v>
      </c>
      <c r="AL1864" s="142">
        <f>B1864*IBGE_2!AL$1864/100</f>
        <v>2.194</v>
      </c>
      <c r="AM1864" s="142">
        <f>B1864*IBGE_2!AM$1864/100</f>
        <v>0.44299999999999995</v>
      </c>
      <c r="AN1864" s="161"/>
    </row>
    <row r="1865" spans="1:40">
      <c r="A1865" s="143" t="s">
        <v>2925</v>
      </c>
      <c r="B1865" s="141">
        <v>100</v>
      </c>
      <c r="C1865" s="142">
        <f>B1865*IBGE_2!C$1865/100</f>
        <v>158.63300000000001</v>
      </c>
      <c r="D1865" s="142">
        <f>B1865*IBGE_2!D$1865/100</f>
        <v>10.782</v>
      </c>
      <c r="E1865" s="142">
        <f>B1865*IBGE_2!E$1865/100</f>
        <v>7.3140000000000001</v>
      </c>
      <c r="F1865" s="142">
        <f>B1865*IBGE_2!F$1865/100</f>
        <v>3.8170000000000006</v>
      </c>
      <c r="G1865" s="142">
        <f>B1865*IBGE_2!G$1865/100</f>
        <v>2.5</v>
      </c>
      <c r="H1865" s="142">
        <f>B1865*IBGE_2!H$1865/100</f>
        <v>0.33800000000000002</v>
      </c>
      <c r="I1865" s="142">
        <f>B1865*IBGE_2!I$1865/100</f>
        <v>0.27300000000000002</v>
      </c>
      <c r="J1865" s="142">
        <f>B1865*IBGE_2!J$1865/100</f>
        <v>5.5E-2</v>
      </c>
      <c r="K1865" s="142">
        <f>B1865*IBGE_2!K$1865/100</f>
        <v>28.56</v>
      </c>
      <c r="L1865" s="142">
        <f>B1865*IBGE_2!L$1865/100</f>
        <v>12.336000000000002</v>
      </c>
      <c r="M1865" s="142">
        <f>B1865*IBGE_2!M$1865/100</f>
        <v>1.1140000000000001</v>
      </c>
      <c r="N1865" s="142">
        <f>B1865*IBGE_2!N$1865/100</f>
        <v>150.19200000000001</v>
      </c>
      <c r="O1865" s="142">
        <f>B1865*IBGE_2!O$1865/100</f>
        <v>19.885999999999999</v>
      </c>
      <c r="P1865" s="142">
        <f>B1865*IBGE_2!P$1865/100</f>
        <v>0.16200000000000001</v>
      </c>
      <c r="Q1865" s="142">
        <f>B1865*IBGE_2!Q$1865/100</f>
        <v>145.82300000000001</v>
      </c>
      <c r="R1865" s="142">
        <f>B1865*IBGE_2!R$1865/100</f>
        <v>1.456</v>
      </c>
      <c r="S1865" s="142">
        <f>B1865*IBGE_2!S$1865/100</f>
        <v>319</v>
      </c>
      <c r="T1865" s="142">
        <f>B1865*IBGE_2!T$1865/100</f>
        <v>206.387</v>
      </c>
      <c r="U1865" s="142">
        <f>B1865*IBGE_2!U$1865/100</f>
        <v>9.1999999999999998E-2</v>
      </c>
      <c r="V1865" s="142">
        <f>B1865*IBGE_2!V$1865/100</f>
        <v>1.6539999999999997</v>
      </c>
      <c r="W1865" s="142">
        <f>B1865*IBGE_2!W$1865/100</f>
        <v>40.68</v>
      </c>
      <c r="X1865" s="142">
        <f>B1865*IBGE_2!X$1865/100</f>
        <v>0.10400000000000001</v>
      </c>
      <c r="Y1865" s="142">
        <f>B1865*IBGE_2!Y$1865/100</f>
        <v>0.161</v>
      </c>
      <c r="Z1865" s="142">
        <f>B1865*IBGE_2!Z$1865/100</f>
        <v>0.13300000000000001</v>
      </c>
      <c r="AA1865" s="142">
        <f>B1865*IBGE_2!AA$1865/100</f>
        <v>1.5740000000000001</v>
      </c>
      <c r="AB1865" s="142">
        <f>B1865*IBGE_2!AB$1865/100</f>
        <v>3.556</v>
      </c>
      <c r="AC1865" s="142">
        <f>B1865*IBGE_2!AC$1865/100</f>
        <v>3.3510000000000004</v>
      </c>
      <c r="AD1865" s="142">
        <f>B1865*IBGE_2!AD$1865/100</f>
        <v>0.57999999999999996</v>
      </c>
      <c r="AE1865" s="142">
        <f>B1865*IBGE_2!AE$1865/100</f>
        <v>43.921999999999997</v>
      </c>
      <c r="AF1865" s="142">
        <f>B1865*IBGE_2!AF$1865/100</f>
        <v>0.09</v>
      </c>
      <c r="AG1865" s="142">
        <f>B1865*IBGE_2!AG$1865/100</f>
        <v>0.53300000000000003</v>
      </c>
      <c r="AH1865" s="142">
        <f>B1865*IBGE_2!AH$1865/100</f>
        <v>0.27400000000000002</v>
      </c>
      <c r="AI1865" s="142" t="s">
        <v>3047</v>
      </c>
      <c r="AJ1865" s="142">
        <f>B1865*IBGE_2!AJ$1865/100</f>
        <v>15.599</v>
      </c>
      <c r="AK1865" s="142">
        <f>B1865*IBGE_2!AK$1865/100</f>
        <v>47.148000000000003</v>
      </c>
      <c r="AL1865" s="142">
        <f>B1865*IBGE_2!AL$1865/100</f>
        <v>2.266</v>
      </c>
      <c r="AM1865" s="142">
        <f>B1865*IBGE_2!AM$1865/100</f>
        <v>0.17499999999999999</v>
      </c>
      <c r="AN1865" s="161"/>
    </row>
    <row r="1866" spans="1:40">
      <c r="A1866" s="143" t="s">
        <v>2926</v>
      </c>
      <c r="B1866" s="141">
        <v>100</v>
      </c>
      <c r="C1866" s="142">
        <f>B1866*IBGE_2!C$1866/100</f>
        <v>190.542</v>
      </c>
      <c r="D1866" s="142">
        <f>B1866*IBGE_2!D$1866/100</f>
        <v>9.3079999999999998</v>
      </c>
      <c r="E1866" s="142">
        <f>B1866*IBGE_2!E$1866/100</f>
        <v>13.18</v>
      </c>
      <c r="F1866" s="142">
        <f>B1866*IBGE_2!F$1866/100</f>
        <v>4.5179999999999998</v>
      </c>
      <c r="G1866" s="142">
        <f>B1866*IBGE_2!G$1866/100</f>
        <v>3.5190000000000001</v>
      </c>
      <c r="H1866" s="142">
        <f>B1866*IBGE_2!H$1866/100</f>
        <v>4.34</v>
      </c>
      <c r="I1866" s="142">
        <f>B1866*IBGE_2!I$1866/100</f>
        <v>3.8050000000000002</v>
      </c>
      <c r="J1866" s="142">
        <f>B1866*IBGE_2!J$1866/100</f>
        <v>0.50800000000000001</v>
      </c>
      <c r="K1866" s="142">
        <f>B1866*IBGE_2!K$1866/100</f>
        <v>70.213999999999999</v>
      </c>
      <c r="L1866" s="142">
        <f>B1866*IBGE_2!L$1866/100</f>
        <v>8.4849999999999994</v>
      </c>
      <c r="M1866" s="142">
        <f>B1866*IBGE_2!M$1866/100</f>
        <v>0.25900000000000001</v>
      </c>
      <c r="N1866" s="142">
        <f>B1866*IBGE_2!N$1866/100</f>
        <v>190.1</v>
      </c>
      <c r="O1866" s="142">
        <f>B1866*IBGE_2!O$1866/100</f>
        <v>11.303000000000003</v>
      </c>
      <c r="P1866" s="142">
        <f>B1866*IBGE_2!P$1866/100</f>
        <v>7.1999999999999995E-2</v>
      </c>
      <c r="Q1866" s="142">
        <f>B1866*IBGE_2!Q$1866/100</f>
        <v>151.28200000000001</v>
      </c>
      <c r="R1866" s="142">
        <f>B1866*IBGE_2!R$1866/100</f>
        <v>0.75800000000000001</v>
      </c>
      <c r="S1866" s="142">
        <f>B1866*IBGE_2!S$1866/100</f>
        <v>196.30099999999999</v>
      </c>
      <c r="T1866" s="142">
        <f>B1866*IBGE_2!T$1866/100</f>
        <v>72.180999999999997</v>
      </c>
      <c r="U1866" s="142">
        <f>B1866*IBGE_2!U$1866/100</f>
        <v>4.9000000000000002E-2</v>
      </c>
      <c r="V1866" s="142">
        <f>B1866*IBGE_2!V$1866/100</f>
        <v>0.94</v>
      </c>
      <c r="W1866" s="142">
        <f>B1866*IBGE_2!W$1866/100</f>
        <v>61.89</v>
      </c>
      <c r="X1866" s="142">
        <f>B1866*IBGE_2!X$1866/100</f>
        <v>8.4000000000000005E-2</v>
      </c>
      <c r="Y1866" s="142">
        <f>B1866*IBGE_2!Y$1866/100</f>
        <v>0.20499999999999999</v>
      </c>
      <c r="Z1866" s="142">
        <f>B1866*IBGE_2!Z$1866/100</f>
        <v>2.9000000000000005E-2</v>
      </c>
      <c r="AA1866" s="142">
        <f>B1866*IBGE_2!AA$1866/100</f>
        <v>0.54400000000000004</v>
      </c>
      <c r="AB1866" s="142" t="s">
        <v>3047</v>
      </c>
      <c r="AC1866" s="142">
        <f>B1866*IBGE_2!AC$1866/100</f>
        <v>2.4569999999999999</v>
      </c>
      <c r="AD1866" s="142">
        <f>B1866*IBGE_2!AD$1866/100</f>
        <v>0.434</v>
      </c>
      <c r="AE1866" s="142">
        <f>B1866*IBGE_2!AE$1866/100</f>
        <v>27.531999999999996</v>
      </c>
      <c r="AF1866" s="142">
        <f>B1866*IBGE_2!AF$1866/100</f>
        <v>0.245</v>
      </c>
      <c r="AG1866" s="142">
        <f>B1866*IBGE_2!AG$1866/100</f>
        <v>0.73699999999999999</v>
      </c>
      <c r="AH1866" s="142">
        <f>B1866*IBGE_2!AH$1866/100</f>
        <v>0.17199999999999999</v>
      </c>
      <c r="AI1866" s="142" t="s">
        <v>3047</v>
      </c>
      <c r="AJ1866" s="142">
        <f>B1866*IBGE_2!AJ$1866/100</f>
        <v>16.288</v>
      </c>
      <c r="AK1866" s="142">
        <f>B1866*IBGE_2!AK$1866/100</f>
        <v>62.773999999999994</v>
      </c>
      <c r="AL1866" s="142">
        <f>B1866*IBGE_2!AL$1866/100</f>
        <v>0.66200000000000003</v>
      </c>
      <c r="AM1866" s="145" t="s">
        <v>3047</v>
      </c>
      <c r="AN1866" s="161"/>
    </row>
    <row r="1867" spans="1:40">
      <c r="A1867" s="143" t="s">
        <v>2927</v>
      </c>
      <c r="B1867" s="141">
        <v>100</v>
      </c>
      <c r="C1867" s="142">
        <f>B1867*IBGE_2!C$1867/100</f>
        <v>120.86</v>
      </c>
      <c r="D1867" s="142">
        <f>B1867*IBGE_2!D$1867/100</f>
        <v>5.9390000000000001</v>
      </c>
      <c r="E1867" s="142">
        <f>B1867*IBGE_2!E$1867/100</f>
        <v>6.8010000000000002</v>
      </c>
      <c r="F1867" s="142">
        <f>B1867*IBGE_2!F$1867/100</f>
        <v>2.5</v>
      </c>
      <c r="G1867" s="142">
        <f>B1867*IBGE_2!G$1867/100</f>
        <v>3.0659999999999998</v>
      </c>
      <c r="H1867" s="142">
        <f>B1867*IBGE_2!H$1867/100</f>
        <v>0.68200000000000005</v>
      </c>
      <c r="I1867" s="142">
        <f>B1867*IBGE_2!I$1867/100</f>
        <v>0.59399999999999997</v>
      </c>
      <c r="J1867" s="142">
        <f>B1867*IBGE_2!J$1867/100</f>
        <v>6.9000000000000006E-2</v>
      </c>
      <c r="K1867" s="142">
        <f>B1867*IBGE_2!K$1867/100</f>
        <v>43.323999999999998</v>
      </c>
      <c r="L1867" s="142">
        <f>B1867*IBGE_2!L$1867/100</f>
        <v>9.2170000000000005</v>
      </c>
      <c r="M1867" s="142">
        <f>B1867*IBGE_2!M$1867/100</f>
        <v>1.0129999999999999</v>
      </c>
      <c r="N1867" s="142">
        <f>B1867*IBGE_2!N$1867/100</f>
        <v>66.897000000000006</v>
      </c>
      <c r="O1867" s="142">
        <f>B1867*IBGE_2!O$1867/100</f>
        <v>19.097999999999999</v>
      </c>
      <c r="P1867" s="142">
        <f>B1867*IBGE_2!P$1867/100</f>
        <v>0.17199999999999999</v>
      </c>
      <c r="Q1867" s="142">
        <f>B1867*IBGE_2!Q$1867/100</f>
        <v>84.01100000000001</v>
      </c>
      <c r="R1867" s="142">
        <f>B1867*IBGE_2!R$1867/100</f>
        <v>1.4170000000000003</v>
      </c>
      <c r="S1867" s="142">
        <f>B1867*IBGE_2!S$1867/100</f>
        <v>430.517</v>
      </c>
      <c r="T1867" s="142">
        <f>B1867*IBGE_2!T$1867/100</f>
        <v>234.52600000000001</v>
      </c>
      <c r="U1867" s="142">
        <f>B1867*IBGE_2!U$1867/100</f>
        <v>8.5999999999999993E-2</v>
      </c>
      <c r="V1867" s="142">
        <f>B1867*IBGE_2!V$1867/100</f>
        <v>1.016</v>
      </c>
      <c r="W1867" s="142">
        <f>B1867*IBGE_2!W$1867/100</f>
        <v>34.121000000000002</v>
      </c>
      <c r="X1867" s="142">
        <f>B1867*IBGE_2!X$1867/100</f>
        <v>8.7999999999999995E-2</v>
      </c>
      <c r="Y1867" s="142">
        <f>B1867*IBGE_2!Y$1867/100</f>
        <v>0.14699999999999999</v>
      </c>
      <c r="Z1867" s="142">
        <f>B1867*IBGE_2!Z$1867/100</f>
        <v>0.129</v>
      </c>
      <c r="AA1867" s="142">
        <f>B1867*IBGE_2!AA$1867/100</f>
        <v>1.36</v>
      </c>
      <c r="AB1867" s="142">
        <f>B1867*IBGE_2!AB$1867/100</f>
        <v>5.2519999999999989</v>
      </c>
      <c r="AC1867" s="142">
        <f>B1867*IBGE_2!AC$1867/100</f>
        <v>2.2170000000000001</v>
      </c>
      <c r="AD1867" s="142">
        <f>B1867*IBGE_2!AD$1867/100</f>
        <v>0.441</v>
      </c>
      <c r="AE1867" s="142">
        <f>B1867*IBGE_2!AE$1867/100</f>
        <v>31.85</v>
      </c>
      <c r="AF1867" s="142">
        <f>B1867*IBGE_2!AF$1867/100</f>
        <v>0.17800000000000002</v>
      </c>
      <c r="AG1867" s="142">
        <f>B1867*IBGE_2!AG$1867/100</f>
        <v>0.995</v>
      </c>
      <c r="AH1867" s="142">
        <f>B1867*IBGE_2!AH$1867/100</f>
        <v>0.50700000000000001</v>
      </c>
      <c r="AI1867" s="142" t="s">
        <v>3047</v>
      </c>
      <c r="AJ1867" s="142">
        <f>B1867*IBGE_2!AJ$1867/100</f>
        <v>7.3390000000000013</v>
      </c>
      <c r="AK1867" s="142">
        <f>B1867*IBGE_2!AK$1867/100</f>
        <v>78.287000000000006</v>
      </c>
      <c r="AL1867" s="142">
        <f>B1867*IBGE_2!AL$1867/100</f>
        <v>2.698</v>
      </c>
      <c r="AM1867" s="142">
        <f>B1867*IBGE_2!AM$1867/100</f>
        <v>0.18899999999999997</v>
      </c>
      <c r="AN1867" s="161"/>
    </row>
    <row r="1868" spans="1:40">
      <c r="A1868" s="143" t="s">
        <v>2928</v>
      </c>
      <c r="B1868" s="141">
        <v>100</v>
      </c>
      <c r="C1868" s="142">
        <f>B1868*IBGE_2!C$1868/100</f>
        <v>95.24</v>
      </c>
      <c r="D1868" s="142">
        <f>B1868*IBGE_2!D$1868/100</f>
        <v>5.5250000000000004</v>
      </c>
      <c r="E1868" s="142">
        <f>B1868*IBGE_2!E$1868/100</f>
        <v>2.5859999999999999</v>
      </c>
      <c r="F1868" s="142">
        <f>B1868*IBGE_2!F$1868/100</f>
        <v>0.9840000000000001</v>
      </c>
      <c r="G1868" s="142">
        <f>B1868*IBGE_2!G$1868/100</f>
        <v>0.93200000000000005</v>
      </c>
      <c r="H1868" s="142">
        <f>B1868*IBGE_2!H$1868/100</f>
        <v>0.308</v>
      </c>
      <c r="I1868" s="142">
        <f>B1868*IBGE_2!I$1868/100</f>
        <v>0.24600000000000002</v>
      </c>
      <c r="J1868" s="142">
        <f>B1868*IBGE_2!J$1868/100</f>
        <v>3.6999999999999998E-2</v>
      </c>
      <c r="K1868" s="142">
        <f>B1868*IBGE_2!K$1868/100</f>
        <v>54.491000000000007</v>
      </c>
      <c r="L1868" s="142">
        <f>B1868*IBGE_2!L$1868/100</f>
        <v>12.597000000000001</v>
      </c>
      <c r="M1868" s="142">
        <f>B1868*IBGE_2!M$1868/100</f>
        <v>1.196</v>
      </c>
      <c r="N1868" s="142">
        <f>B1868*IBGE_2!N$1868/100</f>
        <v>48.554000000000002</v>
      </c>
      <c r="O1868" s="142">
        <f>B1868*IBGE_2!O$1868/100</f>
        <v>16.713999999999999</v>
      </c>
      <c r="P1868" s="142">
        <f>B1868*IBGE_2!P$1868/100</f>
        <v>0.183</v>
      </c>
      <c r="Q1868" s="142">
        <f>B1868*IBGE_2!Q$1868/100</f>
        <v>70.192999999999998</v>
      </c>
      <c r="R1868" s="142">
        <f>B1868*IBGE_2!R$1868/100</f>
        <v>1.4770000000000001</v>
      </c>
      <c r="S1868" s="142">
        <f>B1868*IBGE_2!S$1868/100</f>
        <v>499.601</v>
      </c>
      <c r="T1868" s="142">
        <f>B1868*IBGE_2!T$1868/100</f>
        <v>176.18700000000001</v>
      </c>
      <c r="U1868" s="142">
        <f>B1868*IBGE_2!U$1868/100</f>
        <v>0.08</v>
      </c>
      <c r="V1868" s="142">
        <f>B1868*IBGE_2!V$1868/100</f>
        <v>0.82699999999999985</v>
      </c>
      <c r="W1868" s="142">
        <f>B1868*IBGE_2!W$1868/100</f>
        <v>18.667999999999999</v>
      </c>
      <c r="X1868" s="142">
        <f>B1868*IBGE_2!X$1868/100</f>
        <v>0.129</v>
      </c>
      <c r="Y1868" s="142">
        <f>B1868*IBGE_2!Y$1868/100</f>
        <v>0.158</v>
      </c>
      <c r="Z1868" s="142">
        <f>B1868*IBGE_2!Z$1868/100</f>
        <v>0.10800000000000001</v>
      </c>
      <c r="AA1868" s="142">
        <f>B1868*IBGE_2!AA$1868/100</f>
        <v>1.4630000000000001</v>
      </c>
      <c r="AB1868" s="142">
        <f>B1868*IBGE_2!AB$1868/100</f>
        <v>4.2069999999999999</v>
      </c>
      <c r="AC1868" s="142">
        <f>B1868*IBGE_2!AC$1868/100</f>
        <v>2.4260000000000002</v>
      </c>
      <c r="AD1868" s="142">
        <f>B1868*IBGE_2!AD$1868/100</f>
        <v>0.312</v>
      </c>
      <c r="AE1868" s="142">
        <f>B1868*IBGE_2!AE$1868/100</f>
        <v>42.530999999999992</v>
      </c>
      <c r="AF1868" s="142">
        <f>B1868*IBGE_2!AF$1868/100</f>
        <v>0.17</v>
      </c>
      <c r="AG1868" s="142">
        <f>B1868*IBGE_2!AG$1868/100</f>
        <v>0.75700000000000001</v>
      </c>
      <c r="AH1868" s="142">
        <f>B1868*IBGE_2!AH$1868/100</f>
        <v>5.8999999999999997E-2</v>
      </c>
      <c r="AI1868" s="142" t="s">
        <v>3047</v>
      </c>
      <c r="AJ1868" s="142">
        <f>B1868*IBGE_2!AJ$1868/100</f>
        <v>9.2140000000000004</v>
      </c>
      <c r="AK1868" s="142">
        <f>B1868*IBGE_2!AK$1868/100</f>
        <v>59.534999999999997</v>
      </c>
      <c r="AL1868" s="142">
        <f>B1868*IBGE_2!AL$1868/100</f>
        <v>2.0059999999999998</v>
      </c>
      <c r="AM1868" s="142">
        <f>B1868*IBGE_2!AM$1868/100</f>
        <v>0.26900000000000002</v>
      </c>
      <c r="AN1868" s="161"/>
    </row>
    <row r="1869" spans="1:40">
      <c r="A1869" s="143" t="s">
        <v>2929</v>
      </c>
      <c r="B1869" s="141">
        <v>100</v>
      </c>
      <c r="C1869" s="142">
        <f>B1869*IBGE_2!C$1869/100</f>
        <v>95.24</v>
      </c>
      <c r="D1869" s="142">
        <f>B1869*IBGE_2!D$1869/100</f>
        <v>5.5250000000000004</v>
      </c>
      <c r="E1869" s="142">
        <f>B1869*IBGE_2!E$1869/100</f>
        <v>2.5859999999999999</v>
      </c>
      <c r="F1869" s="142">
        <f>B1869*IBGE_2!F$1869/100</f>
        <v>0.9840000000000001</v>
      </c>
      <c r="G1869" s="142">
        <f>B1869*IBGE_2!G$1869/100</f>
        <v>0.93200000000000005</v>
      </c>
      <c r="H1869" s="142">
        <f>B1869*IBGE_2!H$1869/100</f>
        <v>0.308</v>
      </c>
      <c r="I1869" s="142">
        <f>B1869*IBGE_2!I$1869/100</f>
        <v>0.24600000000000002</v>
      </c>
      <c r="J1869" s="142">
        <f>B1869*IBGE_2!J$1869/100</f>
        <v>3.6999999999999998E-2</v>
      </c>
      <c r="K1869" s="142">
        <f>B1869*IBGE_2!K$1869/100</f>
        <v>54.491000000000007</v>
      </c>
      <c r="L1869" s="142">
        <f>B1869*IBGE_2!L$1869/100</f>
        <v>12.597000000000001</v>
      </c>
      <c r="M1869" s="142">
        <f>B1869*IBGE_2!M$1869/100</f>
        <v>1.196</v>
      </c>
      <c r="N1869" s="142">
        <f>B1869*IBGE_2!N$1869/100</f>
        <v>48.554000000000002</v>
      </c>
      <c r="O1869" s="142">
        <f>B1869*IBGE_2!O$1869/100</f>
        <v>16.713999999999999</v>
      </c>
      <c r="P1869" s="142">
        <f>B1869*IBGE_2!P$1869/100</f>
        <v>0.183</v>
      </c>
      <c r="Q1869" s="142">
        <f>B1869*IBGE_2!Q$1869/100</f>
        <v>70.192999999999998</v>
      </c>
      <c r="R1869" s="142">
        <f>B1869*IBGE_2!R$1869/100</f>
        <v>1.4770000000000001</v>
      </c>
      <c r="S1869" s="142">
        <f>B1869*IBGE_2!S$1869/100</f>
        <v>499.601</v>
      </c>
      <c r="T1869" s="142">
        <f>B1869*IBGE_2!T$1869/100</f>
        <v>176.18700000000001</v>
      </c>
      <c r="U1869" s="142">
        <f>B1869*IBGE_2!U$1869/100</f>
        <v>0.08</v>
      </c>
      <c r="V1869" s="142">
        <f>B1869*IBGE_2!V$1869/100</f>
        <v>0.82699999999999985</v>
      </c>
      <c r="W1869" s="142">
        <f>B1869*IBGE_2!W$1869/100</f>
        <v>18.667999999999999</v>
      </c>
      <c r="X1869" s="142">
        <f>B1869*IBGE_2!X$1869/100</f>
        <v>0.129</v>
      </c>
      <c r="Y1869" s="142">
        <f>B1869*IBGE_2!Y$1869/100</f>
        <v>0.158</v>
      </c>
      <c r="Z1869" s="142">
        <f>B1869*IBGE_2!Z$1869/100</f>
        <v>0.10800000000000001</v>
      </c>
      <c r="AA1869" s="142">
        <f>B1869*IBGE_2!AA$1869/100</f>
        <v>1.4630000000000001</v>
      </c>
      <c r="AB1869" s="142">
        <f>B1869*IBGE_2!AB$1869/100</f>
        <v>4.2069999999999999</v>
      </c>
      <c r="AC1869" s="142">
        <f>B1869*IBGE_2!AC$1869/100</f>
        <v>2.4260000000000002</v>
      </c>
      <c r="AD1869" s="142">
        <f>B1869*IBGE_2!AD$1869/100</f>
        <v>0.312</v>
      </c>
      <c r="AE1869" s="142">
        <f>B1869*IBGE_2!AE$1869/100</f>
        <v>42.530999999999992</v>
      </c>
      <c r="AF1869" s="142">
        <f>B1869*IBGE_2!AF$1869/100</f>
        <v>0.17</v>
      </c>
      <c r="AG1869" s="142">
        <f>B1869*IBGE_2!AG$1869/100</f>
        <v>0.75700000000000001</v>
      </c>
      <c r="AH1869" s="142">
        <f>B1869*IBGE_2!AH$1869/100</f>
        <v>5.8999999999999997E-2</v>
      </c>
      <c r="AI1869" s="142" t="s">
        <v>3047</v>
      </c>
      <c r="AJ1869" s="142">
        <f>B1869*IBGE_2!AJ$1869/100</f>
        <v>9.2140000000000004</v>
      </c>
      <c r="AK1869" s="142">
        <f>B1869*IBGE_2!AK$1869/100</f>
        <v>59.534999999999997</v>
      </c>
      <c r="AL1869" s="142">
        <f>B1869*IBGE_2!AL$1869/100</f>
        <v>2.0059999999999998</v>
      </c>
      <c r="AM1869" s="142">
        <f>B1869*IBGE_2!AM$1869/100</f>
        <v>0.26900000000000002</v>
      </c>
      <c r="AN1869" s="161"/>
    </row>
    <row r="1870" spans="1:40">
      <c r="A1870" s="143" t="s">
        <v>2930</v>
      </c>
      <c r="B1870" s="141">
        <v>100</v>
      </c>
      <c r="C1870" s="142">
        <f>B1870*IBGE_2!C$1870/100</f>
        <v>245.75</v>
      </c>
      <c r="D1870" s="142">
        <f>B1870*IBGE_2!D$1870/100</f>
        <v>12.829000000000001</v>
      </c>
      <c r="E1870" s="142">
        <f>B1870*IBGE_2!E$1870/100</f>
        <v>9.8450000000000006</v>
      </c>
      <c r="F1870" s="142">
        <f>B1870*IBGE_2!F$1870/100</f>
        <v>5.2409999999999988</v>
      </c>
      <c r="G1870" s="142">
        <f>B1870*IBGE_2!G$1870/100</f>
        <v>3.105</v>
      </c>
      <c r="H1870" s="142">
        <f>B1870*IBGE_2!H$1870/100</f>
        <v>0.70199999999999985</v>
      </c>
      <c r="I1870" s="142">
        <f>B1870*IBGE_2!I$1870/100</f>
        <v>0.59599999999999997</v>
      </c>
      <c r="J1870" s="142">
        <f>B1870*IBGE_2!J$1870/100</f>
        <v>0.08</v>
      </c>
      <c r="K1870" s="142">
        <f>B1870*IBGE_2!K$1870/100</f>
        <v>47.296999999999997</v>
      </c>
      <c r="L1870" s="142">
        <f>B1870*IBGE_2!L$1870/100</f>
        <v>25.802</v>
      </c>
      <c r="M1870" s="142">
        <f>B1870*IBGE_2!M$1870/100</f>
        <v>1.18</v>
      </c>
      <c r="N1870" s="142">
        <f>B1870*IBGE_2!N$1870/100</f>
        <v>213.03200000000001</v>
      </c>
      <c r="O1870" s="142">
        <f>B1870*IBGE_2!O$1870/100</f>
        <v>19.039000000000001</v>
      </c>
      <c r="P1870" s="142">
        <f>B1870*IBGE_2!P$1870/100</f>
        <v>0.24199999999999999</v>
      </c>
      <c r="Q1870" s="142">
        <f>B1870*IBGE_2!Q$1870/100</f>
        <v>208.42099999999999</v>
      </c>
      <c r="R1870" s="142">
        <f>B1870*IBGE_2!R$1870/100</f>
        <v>1.9330000000000001</v>
      </c>
      <c r="S1870" s="142">
        <f>B1870*IBGE_2!S$1870/100</f>
        <v>511</v>
      </c>
      <c r="T1870" s="142">
        <f>B1870*IBGE_2!T$1870/100</f>
        <v>143.54300000000001</v>
      </c>
      <c r="U1870" s="142">
        <f>B1870*IBGE_2!U$1870/100</f>
        <v>8.5000000000000006E-2</v>
      </c>
      <c r="V1870" s="142">
        <f>B1870*IBGE_2!V$1870/100</f>
        <v>1.42</v>
      </c>
      <c r="W1870" s="142">
        <f>B1870*IBGE_2!W$1870/100</f>
        <v>61.99</v>
      </c>
      <c r="X1870" s="142">
        <f>B1870*IBGE_2!X$1870/100</f>
        <v>0.3</v>
      </c>
      <c r="Y1870" s="142">
        <f>B1870*IBGE_2!Y$1870/100</f>
        <v>0.33500000000000002</v>
      </c>
      <c r="Z1870" s="142">
        <f>B1870*IBGE_2!Z$1870/100</f>
        <v>8.2000000000000017E-2</v>
      </c>
      <c r="AA1870" s="142">
        <f>B1870*IBGE_2!AA$1870/100</f>
        <v>2.4750000000000001</v>
      </c>
      <c r="AB1870" s="142">
        <f>B1870*IBGE_2!AB$1870/100</f>
        <v>3.92</v>
      </c>
      <c r="AC1870" s="142">
        <f>B1870*IBGE_2!AC$1870/100</f>
        <v>6.1319999999999997</v>
      </c>
      <c r="AD1870" s="142">
        <f>B1870*IBGE_2!AD$1870/100</f>
        <v>0.752</v>
      </c>
      <c r="AE1870" s="142">
        <f>B1870*IBGE_2!AE$1870/100</f>
        <v>86.006</v>
      </c>
      <c r="AF1870" s="142">
        <f>B1870*IBGE_2!AF$1870/100</f>
        <v>0.17499999999999999</v>
      </c>
      <c r="AG1870" s="142">
        <f>B1870*IBGE_2!AG$1870/100</f>
        <v>0.30299999999999999</v>
      </c>
      <c r="AH1870" s="142">
        <f>B1870*IBGE_2!AH$1870/100</f>
        <v>0.19600000000000001</v>
      </c>
      <c r="AI1870" s="142" t="s">
        <v>3047</v>
      </c>
      <c r="AJ1870" s="142">
        <f>B1870*IBGE_2!AJ$1870/100</f>
        <v>19.315000000000001</v>
      </c>
      <c r="AK1870" s="142">
        <f>B1870*IBGE_2!AK$1870/100</f>
        <v>70.055999999999997</v>
      </c>
      <c r="AL1870" s="142">
        <f>B1870*IBGE_2!AL$1870/100</f>
        <v>1.518</v>
      </c>
      <c r="AM1870" s="142">
        <f>B1870*IBGE_2!AM$1870/100</f>
        <v>0.66299999999999992</v>
      </c>
      <c r="AN1870" s="161"/>
    </row>
    <row r="1871" spans="1:40">
      <c r="A1871" s="143" t="s">
        <v>2931</v>
      </c>
      <c r="B1871" s="141">
        <v>100</v>
      </c>
      <c r="C1871" s="142">
        <f>B1871*IBGE_2!C$1871/100</f>
        <v>203.179</v>
      </c>
      <c r="D1871" s="142">
        <f>B1871*IBGE_2!D$1871/100</f>
        <v>13.96</v>
      </c>
      <c r="E1871" s="142">
        <f>B1871*IBGE_2!E$1871/100</f>
        <v>12.457000000000001</v>
      </c>
      <c r="F1871" s="142">
        <f>B1871*IBGE_2!F$1871/100</f>
        <v>4.8029999999999999</v>
      </c>
      <c r="G1871" s="142">
        <f>B1871*IBGE_2!G$1871/100</f>
        <v>5.1420000000000003</v>
      </c>
      <c r="H1871" s="142">
        <f>B1871*IBGE_2!H$1871/100</f>
        <v>1.258</v>
      </c>
      <c r="I1871" s="142">
        <f>B1871*IBGE_2!I$1871/100</f>
        <v>1.129</v>
      </c>
      <c r="J1871" s="142">
        <f>B1871*IBGE_2!J$1871/100</f>
        <v>8.900000000000001E-2</v>
      </c>
      <c r="K1871" s="142">
        <f>B1871*IBGE_2!K$1871/100</f>
        <v>77.230999999999995</v>
      </c>
      <c r="L1871" s="142">
        <f>B1871*IBGE_2!L$1871/100</f>
        <v>8.266</v>
      </c>
      <c r="M1871" s="142">
        <f>B1871*IBGE_2!M$1871/100</f>
        <v>0.65900000000000003</v>
      </c>
      <c r="N1871" s="142">
        <f>B1871*IBGE_2!N$1871/100</f>
        <v>91.912999999999997</v>
      </c>
      <c r="O1871" s="142">
        <f>B1871*IBGE_2!O$1871/100</f>
        <v>21.819000000000003</v>
      </c>
      <c r="P1871" s="142">
        <f>B1871*IBGE_2!P$1871/100</f>
        <v>0.13400000000000001</v>
      </c>
      <c r="Q1871" s="142">
        <f>B1871*IBGE_2!Q$1871/100</f>
        <v>162.99700000000001</v>
      </c>
      <c r="R1871" s="142">
        <f>B1871*IBGE_2!R$1871/100</f>
        <v>1.544</v>
      </c>
      <c r="S1871" s="142">
        <f>B1871*IBGE_2!S$1871/100</f>
        <v>332.45100000000008</v>
      </c>
      <c r="T1871" s="142">
        <f>B1871*IBGE_2!T$1871/100</f>
        <v>198.63900000000001</v>
      </c>
      <c r="U1871" s="142">
        <f>B1871*IBGE_2!U$1871/100</f>
        <v>8.900000000000001E-2</v>
      </c>
      <c r="V1871" s="142">
        <f>B1871*IBGE_2!V$1871/100</f>
        <v>2.698</v>
      </c>
      <c r="W1871" s="142">
        <f>B1871*IBGE_2!W$1871/100</f>
        <v>60.536000000000001</v>
      </c>
      <c r="X1871" s="142">
        <f>B1871*IBGE_2!X$1871/100</f>
        <v>9.3000000000000013E-2</v>
      </c>
      <c r="Y1871" s="142">
        <f>B1871*IBGE_2!Y$1871/100</f>
        <v>0.24199999999999999</v>
      </c>
      <c r="Z1871" s="142">
        <f>B1871*IBGE_2!Z$1871/100</f>
        <v>0.14799999999999999</v>
      </c>
      <c r="AA1871" s="142">
        <f>B1871*IBGE_2!AA$1871/100</f>
        <v>2.4260000000000002</v>
      </c>
      <c r="AB1871" s="142">
        <f>B1871*IBGE_2!AB$1871/100</f>
        <v>0.78200000000000003</v>
      </c>
      <c r="AC1871" s="142">
        <f>B1871*IBGE_2!AC$1871/100</f>
        <v>4.2489999999999997</v>
      </c>
      <c r="AD1871" s="142">
        <f>B1871*IBGE_2!AD$1871/100</f>
        <v>1.093</v>
      </c>
      <c r="AE1871" s="142">
        <f>B1871*IBGE_2!AE$1871/100</f>
        <v>24.126999999999999</v>
      </c>
      <c r="AF1871" s="142">
        <f>B1871*IBGE_2!AF$1871/100</f>
        <v>0.57299999999999995</v>
      </c>
      <c r="AG1871" s="142">
        <f>B1871*IBGE_2!AG$1871/100</f>
        <v>1.0169999999999999</v>
      </c>
      <c r="AH1871" s="142">
        <f>B1871*IBGE_2!AH$1871/100</f>
        <v>0.76400000000000001</v>
      </c>
      <c r="AI1871" s="142" t="s">
        <v>3047</v>
      </c>
      <c r="AJ1871" s="142">
        <f>B1871*IBGE_2!AJ$1871/100</f>
        <v>13.677</v>
      </c>
      <c r="AK1871" s="142">
        <f>B1871*IBGE_2!AK$1871/100</f>
        <v>67.245999999999995</v>
      </c>
      <c r="AL1871" s="142">
        <f>B1871*IBGE_2!AL$1871/100</f>
        <v>1.7509999999999999</v>
      </c>
      <c r="AM1871" s="145" t="s">
        <v>3047</v>
      </c>
      <c r="AN1871" s="161"/>
    </row>
    <row r="1872" spans="1:40">
      <c r="A1872" s="143" t="s">
        <v>2932</v>
      </c>
      <c r="B1872" s="141">
        <v>100</v>
      </c>
      <c r="C1872" s="142">
        <f>B1872*IBGE_2!C$1872/100</f>
        <v>284.72199999999998</v>
      </c>
      <c r="D1872" s="142">
        <f>B1872*IBGE_2!D$1872/100</f>
        <v>13.742000000000001</v>
      </c>
      <c r="E1872" s="142">
        <f>B1872*IBGE_2!E$1872/100</f>
        <v>12.214</v>
      </c>
      <c r="F1872" s="142">
        <f>B1872*IBGE_2!F$1872/100</f>
        <v>5.1040000000000001</v>
      </c>
      <c r="G1872" s="142">
        <f>B1872*IBGE_2!G$1872/100</f>
        <v>3.7469999999999999</v>
      </c>
      <c r="H1872" s="142">
        <f>B1872*IBGE_2!H$1872/100</f>
        <v>2.464</v>
      </c>
      <c r="I1872" s="142">
        <f>B1872*IBGE_2!I$1872/100</f>
        <v>2.149</v>
      </c>
      <c r="J1872" s="142">
        <f>B1872*IBGE_2!J$1872/100</f>
        <v>0.28000000000000003</v>
      </c>
      <c r="K1872" s="142">
        <f>B1872*IBGE_2!K$1872/100</f>
        <v>25.027999999999999</v>
      </c>
      <c r="L1872" s="142">
        <f>B1872*IBGE_2!L$1872/100</f>
        <v>29.513999999999999</v>
      </c>
      <c r="M1872" s="142">
        <f>B1872*IBGE_2!M$1872/100</f>
        <v>1.7480000000000002</v>
      </c>
      <c r="N1872" s="142">
        <f>B1872*IBGE_2!N$1872/100</f>
        <v>223.245</v>
      </c>
      <c r="O1872" s="142">
        <f>B1872*IBGE_2!O$1872/100</f>
        <v>22.972999999999999</v>
      </c>
      <c r="P1872" s="142">
        <f>B1872*IBGE_2!P$1872/100</f>
        <v>0.28799999999999998</v>
      </c>
      <c r="Q1872" s="142">
        <f>B1872*IBGE_2!Q$1872/100</f>
        <v>220.63499999999999</v>
      </c>
      <c r="R1872" s="142">
        <f>B1872*IBGE_2!R$1872/100</f>
        <v>2.2970000000000002</v>
      </c>
      <c r="S1872" s="142">
        <f>B1872*IBGE_2!S$1872/100</f>
        <v>762.04600000000005</v>
      </c>
      <c r="T1872" s="142">
        <f>B1872*IBGE_2!T$1872/100</f>
        <v>207.60299999999998</v>
      </c>
      <c r="U1872" s="142">
        <f>B1872*IBGE_2!U$1872/100</f>
        <v>0.113</v>
      </c>
      <c r="V1872" s="142">
        <f>B1872*IBGE_2!V$1872/100</f>
        <v>1.462</v>
      </c>
      <c r="W1872" s="142">
        <f>B1872*IBGE_2!W$1872/100</f>
        <v>36.756999999999998</v>
      </c>
      <c r="X1872" s="142">
        <f>B1872*IBGE_2!X$1872/100</f>
        <v>0.34899999999999998</v>
      </c>
      <c r="Y1872" s="142">
        <f>B1872*IBGE_2!Y$1872/100</f>
        <v>0.34</v>
      </c>
      <c r="Z1872" s="142">
        <f>B1872*IBGE_2!Z$1872/100</f>
        <v>0.125</v>
      </c>
      <c r="AA1872" s="142">
        <f>B1872*IBGE_2!AA$1872/100</f>
        <v>3.278</v>
      </c>
      <c r="AB1872" s="142">
        <f>B1872*IBGE_2!AB$1872/100</f>
        <v>2.2599999999999998</v>
      </c>
      <c r="AC1872" s="142">
        <f>B1872*IBGE_2!AC$1872/100</f>
        <v>7.0759999999999987</v>
      </c>
      <c r="AD1872" s="142">
        <f>B1872*IBGE_2!AD$1872/100</f>
        <v>0.755</v>
      </c>
      <c r="AE1872" s="142">
        <f>B1872*IBGE_2!AE$1872/100</f>
        <v>92.960999999999999</v>
      </c>
      <c r="AF1872" s="142">
        <f>B1872*IBGE_2!AF$1872/100</f>
        <v>6.0999999999999999E-2</v>
      </c>
      <c r="AG1872" s="142">
        <f>B1872*IBGE_2!AG$1872/100</f>
        <v>0.80500000000000005</v>
      </c>
      <c r="AH1872" s="142">
        <f>B1872*IBGE_2!AH$1872/100</f>
        <v>0.14699999999999999</v>
      </c>
      <c r="AI1872" s="142" t="s">
        <v>3047</v>
      </c>
      <c r="AJ1872" s="142">
        <f>B1872*IBGE_2!AJ$1872/100</f>
        <v>17.434999999999999</v>
      </c>
      <c r="AK1872" s="142">
        <f>B1872*IBGE_2!AK$1872/100</f>
        <v>42.693000000000005</v>
      </c>
      <c r="AL1872" s="142">
        <f>B1872*IBGE_2!AL$1872/100</f>
        <v>2.1280000000000001</v>
      </c>
      <c r="AM1872" s="142">
        <f>B1872*IBGE_2!AM$1872/100</f>
        <v>0.44600000000000001</v>
      </c>
      <c r="AN1872" s="161"/>
    </row>
    <row r="1873" spans="1:40">
      <c r="A1873" s="143" t="s">
        <v>2933</v>
      </c>
      <c r="B1873" s="141">
        <v>100</v>
      </c>
      <c r="C1873" s="142">
        <f>B1873*IBGE_2!C$1873/100</f>
        <v>281.19799999999998</v>
      </c>
      <c r="D1873" s="142">
        <f>B1873*IBGE_2!D$1873/100</f>
        <v>14.597000000000001</v>
      </c>
      <c r="E1873" s="142">
        <f>B1873*IBGE_2!E$1873/100</f>
        <v>11.349</v>
      </c>
      <c r="F1873" s="142">
        <f>B1873*IBGE_2!F$1873/100</f>
        <v>5.57</v>
      </c>
      <c r="G1873" s="142">
        <f>B1873*IBGE_2!G$1873/100</f>
        <v>3.0150000000000001</v>
      </c>
      <c r="H1873" s="142">
        <f>B1873*IBGE_2!H$1873/100</f>
        <v>2.1040000000000001</v>
      </c>
      <c r="I1873" s="142">
        <f>B1873*IBGE_2!I$1873/100</f>
        <v>1.8180000000000001</v>
      </c>
      <c r="J1873" s="142">
        <f>B1873*IBGE_2!J$1873/100</f>
        <v>0.28499999999999998</v>
      </c>
      <c r="K1873" s="142">
        <f>B1873*IBGE_2!K$1873/100</f>
        <v>21.884</v>
      </c>
      <c r="L1873" s="142">
        <f>B1873*IBGE_2!L$1873/100</f>
        <v>29.819000000000003</v>
      </c>
      <c r="M1873" s="142">
        <f>B1873*IBGE_2!M$1873/100</f>
        <v>1.7390000000000001</v>
      </c>
      <c r="N1873" s="142">
        <f>B1873*IBGE_2!N$1873/100</f>
        <v>308.76799999999997</v>
      </c>
      <c r="O1873" s="142">
        <f>B1873*IBGE_2!O$1873/100</f>
        <v>24.059000000000001</v>
      </c>
      <c r="P1873" s="142">
        <f>B1873*IBGE_2!P$1873/100</f>
        <v>0.28799999999999998</v>
      </c>
      <c r="Q1873" s="142">
        <f>B1873*IBGE_2!Q$1873/100</f>
        <v>264.19099999999997</v>
      </c>
      <c r="R1873" s="142">
        <f>B1873*IBGE_2!R$1873/100</f>
        <v>2.161</v>
      </c>
      <c r="S1873" s="142">
        <f>B1873*IBGE_2!S$1873/100</f>
        <v>736.75400000000013</v>
      </c>
      <c r="T1873" s="142">
        <f>B1873*IBGE_2!T$1873/100</f>
        <v>184.62</v>
      </c>
      <c r="U1873" s="142">
        <f>B1873*IBGE_2!U$1873/100</f>
        <v>0.106</v>
      </c>
      <c r="V1873" s="142">
        <f>B1873*IBGE_2!V$1873/100</f>
        <v>1.5960000000000003</v>
      </c>
      <c r="W1873" s="142">
        <f>B1873*IBGE_2!W$1873/100</f>
        <v>51.246000000000002</v>
      </c>
      <c r="X1873" s="142">
        <f>B1873*IBGE_2!X$1873/100</f>
        <v>0.32600000000000001</v>
      </c>
      <c r="Y1873" s="142">
        <f>B1873*IBGE_2!Y$1873/100</f>
        <v>0.35499999999999998</v>
      </c>
      <c r="Z1873" s="142">
        <f>B1873*IBGE_2!Z$1873/100</f>
        <v>9.7000000000000017E-2</v>
      </c>
      <c r="AA1873" s="142">
        <f>B1873*IBGE_2!AA$1873/100</f>
        <v>2.5659999999999998</v>
      </c>
      <c r="AB1873" s="142">
        <f>B1873*IBGE_2!AB$1873/100</f>
        <v>2.1680000000000001</v>
      </c>
      <c r="AC1873" s="142">
        <f>B1873*IBGE_2!AC$1873/100</f>
        <v>7.2629999999999999</v>
      </c>
      <c r="AD1873" s="142">
        <f>B1873*IBGE_2!AD$1873/100</f>
        <v>0.89600000000000013</v>
      </c>
      <c r="AE1873" s="142">
        <f>B1873*IBGE_2!AE$1873/100</f>
        <v>93.332999999999998</v>
      </c>
      <c r="AF1873" s="142">
        <f>B1873*IBGE_2!AF$1873/100</f>
        <v>0.08</v>
      </c>
      <c r="AG1873" s="142">
        <f>B1873*IBGE_2!AG$1873/100</f>
        <v>0.78299999999999992</v>
      </c>
      <c r="AH1873" s="142">
        <f>B1873*IBGE_2!AH$1873/100</f>
        <v>0.183</v>
      </c>
      <c r="AI1873" s="142" t="s">
        <v>3047</v>
      </c>
      <c r="AJ1873" s="142">
        <f>B1873*IBGE_2!AJ$1873/100</f>
        <v>19.309000000000001</v>
      </c>
      <c r="AK1873" s="142">
        <f>B1873*IBGE_2!AK$1873/100</f>
        <v>57.591999999999999</v>
      </c>
      <c r="AL1873" s="142">
        <f>B1873*IBGE_2!AL$1873/100</f>
        <v>2.194</v>
      </c>
      <c r="AM1873" s="142">
        <f>B1873*IBGE_2!AM$1873/100</f>
        <v>0.44299999999999995</v>
      </c>
      <c r="AN1873" s="161"/>
    </row>
    <row r="1874" spans="1:40">
      <c r="A1874" s="143" t="s">
        <v>2934</v>
      </c>
      <c r="B1874" s="141">
        <v>100</v>
      </c>
      <c r="C1874" s="142">
        <f>B1874*IBGE_2!C$1874/100</f>
        <v>284.72199999999998</v>
      </c>
      <c r="D1874" s="142">
        <f>B1874*IBGE_2!D$1874/100</f>
        <v>13.742000000000001</v>
      </c>
      <c r="E1874" s="142">
        <f>B1874*IBGE_2!E$1874/100</f>
        <v>12.214</v>
      </c>
      <c r="F1874" s="142">
        <f>B1874*IBGE_2!F$1874/100</f>
        <v>5.1040000000000001</v>
      </c>
      <c r="G1874" s="142">
        <f>B1874*IBGE_2!G$1874/100</f>
        <v>3.7469999999999999</v>
      </c>
      <c r="H1874" s="142">
        <f>B1874*IBGE_2!H$1874/100</f>
        <v>2.464</v>
      </c>
      <c r="I1874" s="142">
        <f>B1874*IBGE_2!I$1874/100</f>
        <v>2.149</v>
      </c>
      <c r="J1874" s="142">
        <f>B1874*IBGE_2!J$1874/100</f>
        <v>0.28000000000000003</v>
      </c>
      <c r="K1874" s="142">
        <f>B1874*IBGE_2!K$1874/100</f>
        <v>25.027999999999999</v>
      </c>
      <c r="L1874" s="142">
        <f>B1874*IBGE_2!L$1874/100</f>
        <v>29.513999999999999</v>
      </c>
      <c r="M1874" s="142">
        <f>B1874*IBGE_2!M$1874/100</f>
        <v>1.7480000000000002</v>
      </c>
      <c r="N1874" s="142">
        <f>B1874*IBGE_2!N$1874/100</f>
        <v>223.245</v>
      </c>
      <c r="O1874" s="142">
        <f>B1874*IBGE_2!O$1874/100</f>
        <v>22.972999999999999</v>
      </c>
      <c r="P1874" s="142">
        <f>B1874*IBGE_2!P$1874/100</f>
        <v>0.28799999999999998</v>
      </c>
      <c r="Q1874" s="142">
        <f>B1874*IBGE_2!Q$1874/100</f>
        <v>220.63499999999999</v>
      </c>
      <c r="R1874" s="142">
        <f>B1874*IBGE_2!R$1874/100</f>
        <v>2.2970000000000002</v>
      </c>
      <c r="S1874" s="142">
        <f>B1874*IBGE_2!S$1874/100</f>
        <v>762.04600000000005</v>
      </c>
      <c r="T1874" s="142">
        <f>B1874*IBGE_2!T$1874/100</f>
        <v>207.60299999999998</v>
      </c>
      <c r="U1874" s="142">
        <f>B1874*IBGE_2!U$1874/100</f>
        <v>0.113</v>
      </c>
      <c r="V1874" s="142">
        <f>B1874*IBGE_2!V$1874/100</f>
        <v>1.462</v>
      </c>
      <c r="W1874" s="142">
        <f>B1874*IBGE_2!W$1874/100</f>
        <v>36.756999999999998</v>
      </c>
      <c r="X1874" s="142">
        <f>B1874*IBGE_2!X$1874/100</f>
        <v>0.34899999999999998</v>
      </c>
      <c r="Y1874" s="142">
        <f>B1874*IBGE_2!Y$1874/100</f>
        <v>0.34</v>
      </c>
      <c r="Z1874" s="142">
        <f>B1874*IBGE_2!Z$1874/100</f>
        <v>0.125</v>
      </c>
      <c r="AA1874" s="142">
        <f>B1874*IBGE_2!AA$1874/100</f>
        <v>3.278</v>
      </c>
      <c r="AB1874" s="142">
        <f>B1874*IBGE_2!AB$1874/100</f>
        <v>2.2599999999999998</v>
      </c>
      <c r="AC1874" s="142">
        <f>B1874*IBGE_2!AC$1874/100</f>
        <v>7.0759999999999987</v>
      </c>
      <c r="AD1874" s="142">
        <f>B1874*IBGE_2!AD$1874/100</f>
        <v>0.755</v>
      </c>
      <c r="AE1874" s="142">
        <f>B1874*IBGE_2!AE$1874/100</f>
        <v>92.960999999999999</v>
      </c>
      <c r="AF1874" s="142">
        <f>B1874*IBGE_2!AF$1874/100</f>
        <v>6.0999999999999999E-2</v>
      </c>
      <c r="AG1874" s="142">
        <f>B1874*IBGE_2!AG$1874/100</f>
        <v>0.80500000000000005</v>
      </c>
      <c r="AH1874" s="142">
        <f>B1874*IBGE_2!AH$1874/100</f>
        <v>0.14699999999999999</v>
      </c>
      <c r="AI1874" s="142" t="s">
        <v>3047</v>
      </c>
      <c r="AJ1874" s="142">
        <f>B1874*IBGE_2!AJ$1874/100</f>
        <v>17.434999999999999</v>
      </c>
      <c r="AK1874" s="142">
        <f>B1874*IBGE_2!AK$1874/100</f>
        <v>42.693000000000005</v>
      </c>
      <c r="AL1874" s="142">
        <f>B1874*IBGE_2!AL$1874/100</f>
        <v>2.1280000000000001</v>
      </c>
      <c r="AM1874" s="142">
        <f>B1874*IBGE_2!AM$1874/100</f>
        <v>0.44600000000000001</v>
      </c>
      <c r="AN1874" s="161"/>
    </row>
    <row r="1875" spans="1:40">
      <c r="A1875" s="143" t="s">
        <v>2935</v>
      </c>
      <c r="B1875" s="141">
        <v>100</v>
      </c>
      <c r="C1875" s="142">
        <f>B1875*IBGE_2!C$1875/100</f>
        <v>247.48699999999999</v>
      </c>
      <c r="D1875" s="142">
        <f>B1875*IBGE_2!D$1875/100</f>
        <v>11.753</v>
      </c>
      <c r="E1875" s="142">
        <f>B1875*IBGE_2!E$1875/100</f>
        <v>12.228999999999999</v>
      </c>
      <c r="F1875" s="142">
        <f>B1875*IBGE_2!F$1875/100</f>
        <v>4.798</v>
      </c>
      <c r="G1875" s="142">
        <f>B1875*IBGE_2!G$1875/100</f>
        <v>4.048</v>
      </c>
      <c r="H1875" s="142">
        <f>B1875*IBGE_2!H$1875/100</f>
        <v>2.0230000000000001</v>
      </c>
      <c r="I1875" s="142">
        <f>B1875*IBGE_2!I$1875/100</f>
        <v>1.7729999999999999</v>
      </c>
      <c r="J1875" s="142">
        <f>B1875*IBGE_2!J$1875/100</f>
        <v>0.21199999999999999</v>
      </c>
      <c r="K1875" s="142">
        <f>B1875*IBGE_2!K$1875/100</f>
        <v>26.193000000000001</v>
      </c>
      <c r="L1875" s="142">
        <f>B1875*IBGE_2!L$1875/100</f>
        <v>22.402000000000001</v>
      </c>
      <c r="M1875" s="142">
        <f>B1875*IBGE_2!M$1875/100</f>
        <v>1.5609999999999999</v>
      </c>
      <c r="N1875" s="142">
        <f>B1875*IBGE_2!N$1875/100</f>
        <v>160.09899999999999</v>
      </c>
      <c r="O1875" s="142">
        <f>B1875*IBGE_2!O$1875/100</f>
        <v>20.309999999999999</v>
      </c>
      <c r="P1875" s="142">
        <f>B1875*IBGE_2!P$1875/100</f>
        <v>0.28199999999999997</v>
      </c>
      <c r="Q1875" s="142">
        <f>B1875*IBGE_2!Q$1875/100</f>
        <v>176.50899999999999</v>
      </c>
      <c r="R1875" s="142">
        <f>B1875*IBGE_2!R$1875/100</f>
        <v>1.865</v>
      </c>
      <c r="S1875" s="142">
        <f>B1875*IBGE_2!S$1875/100</f>
        <v>668.21500000000003</v>
      </c>
      <c r="T1875" s="142">
        <f>B1875*IBGE_2!T$1875/100</f>
        <v>214.72300000000004</v>
      </c>
      <c r="U1875" s="142">
        <f>B1875*IBGE_2!U$1875/100</f>
        <v>0.12</v>
      </c>
      <c r="V1875" s="142">
        <f>B1875*IBGE_2!V$1875/100</f>
        <v>1.2890000000000001</v>
      </c>
      <c r="W1875" s="142">
        <f>B1875*IBGE_2!W$1875/100</f>
        <v>25.495999999999999</v>
      </c>
      <c r="X1875" s="142">
        <f>B1875*IBGE_2!X$1875/100</f>
        <v>0.28499999999999998</v>
      </c>
      <c r="Y1875" s="142">
        <f>B1875*IBGE_2!Y$1875/100</f>
        <v>0.27900000000000003</v>
      </c>
      <c r="Z1875" s="142">
        <f>B1875*IBGE_2!Z$1875/100</f>
        <v>0.158</v>
      </c>
      <c r="AA1875" s="142">
        <f>B1875*IBGE_2!AA$1875/100</f>
        <v>2.8919999999999999</v>
      </c>
      <c r="AB1875" s="142">
        <f>B1875*IBGE_2!AB$1875/100</f>
        <v>10.218</v>
      </c>
      <c r="AC1875" s="142">
        <f>B1875*IBGE_2!AC$1875/100</f>
        <v>5.9779999999999998</v>
      </c>
      <c r="AD1875" s="142">
        <f>B1875*IBGE_2!AD$1875/100</f>
        <v>0.67</v>
      </c>
      <c r="AE1875" s="142">
        <f>B1875*IBGE_2!AE$1875/100</f>
        <v>68.768000000000001</v>
      </c>
      <c r="AF1875" s="142">
        <f>B1875*IBGE_2!AF$1875/100</f>
        <v>0.08</v>
      </c>
      <c r="AG1875" s="142">
        <f>B1875*IBGE_2!AG$1875/100</f>
        <v>0.61299999999999999</v>
      </c>
      <c r="AH1875" s="142">
        <f>B1875*IBGE_2!AH$1875/100</f>
        <v>0.23899999999999999</v>
      </c>
      <c r="AI1875" s="142" t="s">
        <v>3047</v>
      </c>
      <c r="AJ1875" s="142">
        <f>B1875*IBGE_2!AJ$1875/100</f>
        <v>15.557</v>
      </c>
      <c r="AK1875" s="142">
        <f>B1875*IBGE_2!AK$1875/100</f>
        <v>32.113999999999997</v>
      </c>
      <c r="AL1875" s="142">
        <f>B1875*IBGE_2!AL$1875/100</f>
        <v>2.306</v>
      </c>
      <c r="AM1875" s="142">
        <f>B1875*IBGE_2!AM$1875/100</f>
        <v>0.309</v>
      </c>
      <c r="AN1875" s="161"/>
    </row>
    <row r="1876" spans="1:40">
      <c r="A1876" s="143" t="s">
        <v>2936</v>
      </c>
      <c r="B1876" s="141">
        <v>100</v>
      </c>
      <c r="C1876" s="142">
        <f>B1876*IBGE_2!C$1876/100</f>
        <v>120.586</v>
      </c>
      <c r="D1876" s="142">
        <f>B1876*IBGE_2!D$1876/100</f>
        <v>6.2229999999999999</v>
      </c>
      <c r="E1876" s="142">
        <f>B1876*IBGE_2!E$1876/100</f>
        <v>2.7869999999999999</v>
      </c>
      <c r="F1876" s="142">
        <f>B1876*IBGE_2!F$1876/100</f>
        <v>0.74199999999999999</v>
      </c>
      <c r="G1876" s="142">
        <f>B1876*IBGE_2!G$1876/100</f>
        <v>0.82699999999999985</v>
      </c>
      <c r="H1876" s="142">
        <f>B1876*IBGE_2!H$1876/100</f>
        <v>0.82799999999999996</v>
      </c>
      <c r="I1876" s="142">
        <f>B1876*IBGE_2!I$1876/100</f>
        <v>0.73099999999999998</v>
      </c>
      <c r="J1876" s="142">
        <f>B1876*IBGE_2!J$1876/100</f>
        <v>9.0999999999999998E-2</v>
      </c>
      <c r="K1876" s="142">
        <f>B1876*IBGE_2!K$1876/100</f>
        <v>9.4309999999999992</v>
      </c>
      <c r="L1876" s="142">
        <f>B1876*IBGE_2!L$1876/100</f>
        <v>17.417999999999999</v>
      </c>
      <c r="M1876" s="142">
        <f>B1876*IBGE_2!M$1876/100</f>
        <v>1.25</v>
      </c>
      <c r="N1876" s="142">
        <f>B1876*IBGE_2!N$1876/100</f>
        <v>12.244000000000002</v>
      </c>
      <c r="O1876" s="142">
        <f>B1876*IBGE_2!O$1876/100</f>
        <v>15.385</v>
      </c>
      <c r="P1876" s="142">
        <f>B1876*IBGE_2!P$1876/100</f>
        <v>0.21</v>
      </c>
      <c r="Q1876" s="142">
        <f>B1876*IBGE_2!Q$1876/100</f>
        <v>61.222999999999999</v>
      </c>
      <c r="R1876" s="142">
        <f>B1876*IBGE_2!R$1876/100</f>
        <v>1.3380000000000001</v>
      </c>
      <c r="S1876" s="142">
        <f>B1876*IBGE_2!S$1876/100</f>
        <v>82.207999999999998</v>
      </c>
      <c r="T1876" s="142">
        <f>B1876*IBGE_2!T$1876/100</f>
        <v>137.203</v>
      </c>
      <c r="U1876" s="142">
        <f>B1876*IBGE_2!U$1876/100</f>
        <v>8.7999999999999995E-2</v>
      </c>
      <c r="V1876" s="142">
        <f>B1876*IBGE_2!V$1876/100</f>
        <v>1.054</v>
      </c>
      <c r="W1876" s="142" t="s">
        <v>3047</v>
      </c>
      <c r="X1876" s="142">
        <f>B1876*IBGE_2!X$1876/100</f>
        <v>0.156</v>
      </c>
      <c r="Y1876" s="142">
        <f>B1876*IBGE_2!Y$1876/100</f>
        <v>9.6000000000000002E-2</v>
      </c>
      <c r="Z1876" s="142">
        <f>B1876*IBGE_2!Z$1876/100</f>
        <v>9.4E-2</v>
      </c>
      <c r="AA1876" s="142">
        <f>B1876*IBGE_2!AA$1876/100</f>
        <v>1.6140000000000001</v>
      </c>
      <c r="AB1876" s="142">
        <f>B1876*IBGE_2!AB$1876/100</f>
        <v>8.9369999999999994</v>
      </c>
      <c r="AC1876" s="142">
        <f>B1876*IBGE_2!AC$1876/100</f>
        <v>2.6419999999999999</v>
      </c>
      <c r="AD1876" s="142">
        <f>B1876*IBGE_2!AD$1876/100</f>
        <v>0.27400000000000002</v>
      </c>
      <c r="AE1876" s="142">
        <f>B1876*IBGE_2!AE$1876/100</f>
        <v>69.108999999999995</v>
      </c>
      <c r="AF1876" s="142">
        <f>B1876*IBGE_2!AF$1876/100</f>
        <v>4.9000000000000002E-2</v>
      </c>
      <c r="AG1876" s="142">
        <f>B1876*IBGE_2!AG$1876/100</f>
        <v>0.34100000000000003</v>
      </c>
      <c r="AH1876" s="142">
        <f>B1876*IBGE_2!AH$1876/100</f>
        <v>8.1000000000000003E-2</v>
      </c>
      <c r="AI1876" s="142" t="s">
        <v>3047</v>
      </c>
      <c r="AJ1876" s="142">
        <f>B1876*IBGE_2!AJ$1876/100</f>
        <v>16.280999999999999</v>
      </c>
      <c r="AK1876" s="142">
        <f>B1876*IBGE_2!AK$1876/100</f>
        <v>12.706</v>
      </c>
      <c r="AL1876" s="142">
        <f>B1876*IBGE_2!AL$1876/100</f>
        <v>1.403</v>
      </c>
      <c r="AM1876" s="142">
        <f>B1876*IBGE_2!AM$1876/100</f>
        <v>0.16</v>
      </c>
      <c r="AN1876" s="161"/>
    </row>
    <row r="1877" spans="1:40">
      <c r="A1877" s="143" t="s">
        <v>2937</v>
      </c>
      <c r="B1877" s="141">
        <v>100</v>
      </c>
      <c r="C1877" s="142">
        <f>B1877*IBGE_2!C$1877/100</f>
        <v>261.65899999999999</v>
      </c>
      <c r="D1877" s="142">
        <f>B1877*IBGE_2!D$1877/100</f>
        <v>27.3</v>
      </c>
      <c r="E1877" s="142">
        <f>B1877*IBGE_2!E$1877/100</f>
        <v>16.163</v>
      </c>
      <c r="F1877" s="142">
        <f>B1877*IBGE_2!F$1877/100</f>
        <v>4.1909999999999998</v>
      </c>
      <c r="G1877" s="142">
        <f>B1877*IBGE_2!G$1877/100</f>
        <v>5.9240000000000013</v>
      </c>
      <c r="H1877" s="142">
        <f>B1877*IBGE_2!H$1877/100</f>
        <v>4.45</v>
      </c>
      <c r="I1877" s="142">
        <f>B1877*IBGE_2!I$1877/100</f>
        <v>3.8759999999999994</v>
      </c>
      <c r="J1877" s="142">
        <f>B1877*IBGE_2!J$1877/100</f>
        <v>0.28399999999999997</v>
      </c>
      <c r="K1877" s="142">
        <f>B1877*IBGE_2!K$1877/100</f>
        <v>88</v>
      </c>
      <c r="L1877" s="142" t="s">
        <v>3047</v>
      </c>
      <c r="M1877" s="142" t="s">
        <v>3047</v>
      </c>
      <c r="N1877" s="142">
        <f>B1877*IBGE_2!N$1877/100</f>
        <v>15</v>
      </c>
      <c r="O1877" s="142">
        <f>B1877*IBGE_2!O$1877/100</f>
        <v>23</v>
      </c>
      <c r="P1877" s="142">
        <f>B1877*IBGE_2!P$1877/100</f>
        <v>0.02</v>
      </c>
      <c r="Q1877" s="142">
        <f>B1877*IBGE_2!Q$1877/100</f>
        <v>182</v>
      </c>
      <c r="R1877" s="142">
        <f>B1877*IBGE_2!R$1877/100</f>
        <v>1.2609999999999999</v>
      </c>
      <c r="S1877" s="142">
        <f>B1877*IBGE_2!S$1877/100</f>
        <v>82</v>
      </c>
      <c r="T1877" s="142">
        <f>B1877*IBGE_2!T$1877/100</f>
        <v>223</v>
      </c>
      <c r="U1877" s="142">
        <f>B1877*IBGE_2!U$1877/100</f>
        <v>6.6000000000000003E-2</v>
      </c>
      <c r="V1877" s="142">
        <f>B1877*IBGE_2!V$1877/100</f>
        <v>1.94</v>
      </c>
      <c r="W1877" s="142">
        <f>B1877*IBGE_2!W$1877/100</f>
        <v>48</v>
      </c>
      <c r="X1877" s="142">
        <f>B1877*IBGE_2!X$1877/100</f>
        <v>6.3E-2</v>
      </c>
      <c r="Y1877" s="142">
        <f>B1877*IBGE_2!Y$1877/100</f>
        <v>0.16800000000000001</v>
      </c>
      <c r="Z1877" s="142">
        <f>B1877*IBGE_2!Z$1877/100</f>
        <v>0.4</v>
      </c>
      <c r="AA1877" s="142">
        <f>B1877*IBGE_2!AA$1877/100</f>
        <v>8.4870000000000001</v>
      </c>
      <c r="AB1877" s="142" t="s">
        <v>3047</v>
      </c>
      <c r="AC1877" s="142">
        <f>B1877*IBGE_2!AC$1877/100</f>
        <v>13.57</v>
      </c>
      <c r="AD1877" s="142">
        <f>B1877*IBGE_2!AD$1877/100</f>
        <v>0.3</v>
      </c>
      <c r="AE1877" s="142">
        <f>B1877*IBGE_2!AE$1877/100</f>
        <v>5</v>
      </c>
      <c r="AF1877" s="142">
        <f>B1877*IBGE_2!AF$1877/100</f>
        <v>0.3</v>
      </c>
      <c r="AG1877" s="142">
        <f>B1877*IBGE_2!AG$1877/100</f>
        <v>0.48</v>
      </c>
      <c r="AH1877" s="142">
        <f>B1877*IBGE_2!AH$1877/100</f>
        <v>0.46400000000000008</v>
      </c>
      <c r="AI1877" s="142">
        <f>B1877*IBGE_2!AI$1877/100</f>
        <v>333</v>
      </c>
      <c r="AJ1877" s="142">
        <f>B1877*IBGE_2!AJ$1877/100</f>
        <v>25.074999999999999</v>
      </c>
      <c r="AK1877" s="142">
        <f>B1877*IBGE_2!AK$1877/100</f>
        <v>48</v>
      </c>
      <c r="AL1877" s="145" t="s">
        <v>3047</v>
      </c>
      <c r="AM1877" s="145" t="s">
        <v>3047</v>
      </c>
      <c r="AN1877" s="161"/>
    </row>
    <row r="1878" spans="1:40">
      <c r="A1878" s="143" t="s">
        <v>2938</v>
      </c>
      <c r="B1878" s="141">
        <v>100</v>
      </c>
      <c r="C1878" s="142">
        <f>B1878*IBGE_2!C$1878/100</f>
        <v>365</v>
      </c>
      <c r="D1878" s="142">
        <f>B1878*IBGE_2!D$1878/100</f>
        <v>22.6</v>
      </c>
      <c r="E1878" s="142">
        <f>B1878*IBGE_2!E$1878/100</f>
        <v>29.79</v>
      </c>
      <c r="F1878" s="142">
        <f>B1878*IBGE_2!F$1878/100</f>
        <v>12.01</v>
      </c>
      <c r="G1878" s="142">
        <f>B1878*IBGE_2!G$1878/100</f>
        <v>12.8</v>
      </c>
      <c r="H1878" s="142">
        <f>B1878*IBGE_2!H$1878/100</f>
        <v>1.05</v>
      </c>
      <c r="I1878" s="142">
        <f>B1878*IBGE_2!I$1878/100</f>
        <v>0.7</v>
      </c>
      <c r="J1878" s="142">
        <f>B1878*IBGE_2!J$1878/100</f>
        <v>0.33</v>
      </c>
      <c r="K1878" s="142">
        <f>B1878*IBGE_2!K$1878/100</f>
        <v>84</v>
      </c>
      <c r="L1878" s="142" t="s">
        <v>3047</v>
      </c>
      <c r="M1878" s="142" t="s">
        <v>3047</v>
      </c>
      <c r="N1878" s="142">
        <f>B1878*IBGE_2!N$1878/100</f>
        <v>11</v>
      </c>
      <c r="O1878" s="142">
        <f>B1878*IBGE_2!O$1878/100</f>
        <v>20</v>
      </c>
      <c r="P1878" s="142">
        <f>B1878*IBGE_2!P$1878/100</f>
        <v>1.3000000000000001E-2</v>
      </c>
      <c r="Q1878" s="142">
        <f>B1878*IBGE_2!Q$1878/100</f>
        <v>176</v>
      </c>
      <c r="R1878" s="142">
        <f>B1878*IBGE_2!R$1878/100</f>
        <v>2.35</v>
      </c>
      <c r="S1878" s="142">
        <f>B1878*IBGE_2!S$1878/100</f>
        <v>64</v>
      </c>
      <c r="T1878" s="142">
        <f>B1878*IBGE_2!T$1878/100</f>
        <v>302</v>
      </c>
      <c r="U1878" s="142">
        <f>B1878*IBGE_2!U$1878/100</f>
        <v>8.4000000000000005E-2</v>
      </c>
      <c r="V1878" s="142">
        <f>B1878*IBGE_2!V$1878/100</f>
        <v>5.4</v>
      </c>
      <c r="W1878" s="142" t="s">
        <v>3047</v>
      </c>
      <c r="X1878" s="142">
        <f>B1878*IBGE_2!X$1878/100</f>
        <v>7.0000000000000007E-2</v>
      </c>
      <c r="Y1878" s="142">
        <f>B1878*IBGE_2!Y$1878/100</f>
        <v>0.17</v>
      </c>
      <c r="Z1878" s="142">
        <f>B1878*IBGE_2!Z$1878/100</f>
        <v>0.23</v>
      </c>
      <c r="AA1878" s="142">
        <f>B1878*IBGE_2!AA$1878/100</f>
        <v>3.43</v>
      </c>
      <c r="AB1878" s="142" t="s">
        <v>3047</v>
      </c>
      <c r="AC1878" s="142">
        <f>B1878*IBGE_2!AC$1878/100</f>
        <v>7.6470000000000002</v>
      </c>
      <c r="AD1878" s="142">
        <f>B1878*IBGE_2!AD$1878/100</f>
        <v>2.5499999999999998</v>
      </c>
      <c r="AE1878" s="142">
        <f>B1878*IBGE_2!AE$1878/100</f>
        <v>7</v>
      </c>
      <c r="AF1878" s="142">
        <f>B1878*IBGE_2!AF$1878/100</f>
        <v>0.6</v>
      </c>
      <c r="AG1878" s="142">
        <f>B1878*IBGE_2!AG$1878/100</f>
        <v>0.24</v>
      </c>
      <c r="AH1878" s="142">
        <f>B1878*IBGE_2!AH$1878/100</f>
        <v>1.35</v>
      </c>
      <c r="AI1878" s="142">
        <f>B1878*IBGE_2!AI$1878/100</f>
        <v>333</v>
      </c>
      <c r="AJ1878" s="142">
        <f>B1878*IBGE_2!AJ$1878/100</f>
        <v>22.4</v>
      </c>
      <c r="AK1878" s="145" t="s">
        <v>3047</v>
      </c>
      <c r="AL1878" s="145" t="s">
        <v>3047</v>
      </c>
      <c r="AM1878" s="145" t="s">
        <v>3047</v>
      </c>
      <c r="AN1878" s="161"/>
    </row>
    <row r="1879" spans="1:40">
      <c r="A1879" s="143" t="s">
        <v>2939</v>
      </c>
      <c r="B1879" s="141">
        <v>100</v>
      </c>
      <c r="C1879" s="142">
        <f>B1879*IBGE_2!C$1879/100</f>
        <v>468.154</v>
      </c>
      <c r="D1879" s="142">
        <f>B1879*IBGE_2!D$1879/100</f>
        <v>6.5919999999999996</v>
      </c>
      <c r="E1879" s="142">
        <f>B1879*IBGE_2!E$1879/100</f>
        <v>23.277000000000001</v>
      </c>
      <c r="F1879" s="142">
        <f>B1879*IBGE_2!F$1879/100</f>
        <v>5.3879999999999999</v>
      </c>
      <c r="G1879" s="142">
        <f>B1879*IBGE_2!G$1879/100</f>
        <v>12.228999999999999</v>
      </c>
      <c r="H1879" s="142">
        <f>B1879*IBGE_2!H$1879/100</f>
        <v>4.3710000000000004</v>
      </c>
      <c r="I1879" s="142">
        <f>B1879*IBGE_2!I$1879/100</f>
        <v>4.2510000000000003</v>
      </c>
      <c r="J1879" s="142">
        <f>B1879*IBGE_2!J$1879/100</f>
        <v>0.11899999999999998</v>
      </c>
      <c r="K1879" s="142">
        <f>B1879*IBGE_2!K$1879/100</f>
        <v>4.0179999999999998</v>
      </c>
      <c r="L1879" s="142">
        <f>B1879*IBGE_2!L$1879/100</f>
        <v>62.512</v>
      </c>
      <c r="M1879" s="142">
        <f>B1879*IBGE_2!M$1879/100</f>
        <v>6.0220000000000002</v>
      </c>
      <c r="N1879" s="142">
        <f>B1879*IBGE_2!N$1879/100</f>
        <v>8.6620000000000008</v>
      </c>
      <c r="O1879" s="142">
        <f>B1879*IBGE_2!O$1879/100</f>
        <v>66.932000000000002</v>
      </c>
      <c r="P1879" s="142">
        <f>B1879*IBGE_2!P$1879/100</f>
        <v>0.56999999999999995</v>
      </c>
      <c r="Q1879" s="142">
        <f>B1879*IBGE_2!Q$1879/100</f>
        <v>160.88200000000001</v>
      </c>
      <c r="R1879" s="142">
        <f>B1879*IBGE_2!R$1879/100</f>
        <v>1.3680000000000001</v>
      </c>
      <c r="S1879" s="142">
        <f>B1879*IBGE_2!S$1879/100</f>
        <v>505.54400000000004</v>
      </c>
      <c r="T1879" s="142">
        <f>B1879*IBGE_2!T$1879/100</f>
        <v>172.50799999999998</v>
      </c>
      <c r="U1879" s="142">
        <f>B1879*IBGE_2!U$1879/100</f>
        <v>0.14799999999999999</v>
      </c>
      <c r="V1879" s="142">
        <f>B1879*IBGE_2!V$1879/100</f>
        <v>1.4319999999999999</v>
      </c>
      <c r="W1879" s="142">
        <f>B1879*IBGE_2!W$1879/100</f>
        <v>17.419</v>
      </c>
      <c r="X1879" s="142">
        <f>B1879*IBGE_2!X$1879/100</f>
        <v>7.4999999999999997E-2</v>
      </c>
      <c r="Y1879" s="142">
        <f>B1879*IBGE_2!Y$1879/100</f>
        <v>4.3999999999999997E-2</v>
      </c>
      <c r="Z1879" s="142">
        <f>B1879*IBGE_2!Z$1879/100</f>
        <v>7.8E-2</v>
      </c>
      <c r="AA1879" s="142">
        <f>B1879*IBGE_2!AA$1879/100</f>
        <v>1.8460000000000003</v>
      </c>
      <c r="AB1879" s="142">
        <f>B1879*IBGE_2!AB$1879/100</f>
        <v>1E-3</v>
      </c>
      <c r="AC1879" s="142">
        <f>B1879*IBGE_2!AC$1879/100</f>
        <v>2.66</v>
      </c>
      <c r="AD1879" s="142">
        <f>B1879*IBGE_2!AD$1879/100</f>
        <v>4.0000000000000001E-3</v>
      </c>
      <c r="AE1879" s="142">
        <f>B1879*IBGE_2!AE$1879/100</f>
        <v>22.19</v>
      </c>
      <c r="AF1879" s="142">
        <f>B1879*IBGE_2!AF$1879/100</f>
        <v>2.6000000000000002E-2</v>
      </c>
      <c r="AG1879" s="142">
        <f>B1879*IBGE_2!AG$1879/100</f>
        <v>1.8120000000000003</v>
      </c>
      <c r="AH1879" s="142">
        <f>B1879*IBGE_2!AH$1879/100</f>
        <v>4.8339999999999996</v>
      </c>
      <c r="AI1879" s="145" t="s">
        <v>3047</v>
      </c>
      <c r="AJ1879" s="142">
        <f>B1879*IBGE_2!AJ$1879/100</f>
        <v>1.0429999999999999</v>
      </c>
      <c r="AK1879" s="142">
        <f>B1879*IBGE_2!AK$1879/100</f>
        <v>21.597000000000001</v>
      </c>
      <c r="AL1879" s="142">
        <f>B1879*IBGE_2!AL$1879/100</f>
        <v>29.5</v>
      </c>
      <c r="AM1879" s="142">
        <f>B1879*IBGE_2!AM$1879/100</f>
        <v>31.706</v>
      </c>
      <c r="AN1879" s="161"/>
    </row>
    <row r="1880" spans="1:40">
      <c r="A1880" s="143" t="s">
        <v>2940</v>
      </c>
      <c r="B1880" s="141">
        <v>100</v>
      </c>
      <c r="C1880" s="142">
        <f>B1880*IBGE_2!C$1880/100</f>
        <v>1.0009999999999999</v>
      </c>
      <c r="D1880" s="142">
        <f>B1880*IBGE_2!D$1880/100</f>
        <v>0.12</v>
      </c>
      <c r="E1880" s="142">
        <f>B1880*IBGE_2!E$1880/100</f>
        <v>0.02</v>
      </c>
      <c r="F1880" s="142">
        <f>B1880*IBGE_2!F$1880/100</f>
        <v>2E-3</v>
      </c>
      <c r="G1880" s="142">
        <f>B1880*IBGE_2!G$1880/100</f>
        <v>1.4999999999999999E-2</v>
      </c>
      <c r="H1880" s="142">
        <f>B1880*IBGE_2!H$1880/100</f>
        <v>1E-3</v>
      </c>
      <c r="I1880" s="142">
        <f>B1880*IBGE_2!I$1880/100</f>
        <v>1E-3</v>
      </c>
      <c r="J1880" s="142" t="s">
        <v>3047</v>
      </c>
      <c r="K1880" s="142" t="s">
        <v>3047</v>
      </c>
      <c r="L1880" s="142">
        <f>B1880*IBGE_2!L$1880/100</f>
        <v>0.47</v>
      </c>
      <c r="M1880" s="142">
        <f>B1880*IBGE_2!M$1880/100</f>
        <v>0.47</v>
      </c>
      <c r="N1880" s="142">
        <f>B1880*IBGE_2!N$1880/100</f>
        <v>2.0019999999999998</v>
      </c>
      <c r="O1880" s="142">
        <f>B1880*IBGE_2!O$1880/100</f>
        <v>3.0030000000000001</v>
      </c>
      <c r="P1880" s="142">
        <f>B1880*IBGE_2!P$1880/100</f>
        <v>2.3E-2</v>
      </c>
      <c r="Q1880" s="142">
        <f>B1880*IBGE_2!Q$1880/100</f>
        <v>3.0030000000000001</v>
      </c>
      <c r="R1880" s="142">
        <f>B1880*IBGE_2!R$1880/100</f>
        <v>0.01</v>
      </c>
      <c r="S1880" s="142">
        <f>B1880*IBGE_2!S$1880/100</f>
        <v>2.0019999999999998</v>
      </c>
      <c r="T1880" s="142">
        <f>B1880*IBGE_2!T$1880/100</f>
        <v>49.045000000000002</v>
      </c>
      <c r="U1880" s="142">
        <f>B1880*IBGE_2!U$1880/100</f>
        <v>2E-3</v>
      </c>
      <c r="V1880" s="142">
        <f>B1880*IBGE_2!V$1880/100</f>
        <v>0.02</v>
      </c>
      <c r="W1880" s="142" t="s">
        <v>3047</v>
      </c>
      <c r="X1880" s="142">
        <f>B1880*IBGE_2!X$1880/100</f>
        <v>1.4000000000000002E-2</v>
      </c>
      <c r="Y1880" s="142">
        <f>B1880*IBGE_2!Y$1880/100</f>
        <v>7.5999999999999998E-2</v>
      </c>
      <c r="Z1880" s="142">
        <f>B1880*IBGE_2!Z$1880/100</f>
        <v>1E-3</v>
      </c>
      <c r="AA1880" s="142">
        <f>B1880*IBGE_2!AA$1880/100</f>
        <v>0.191</v>
      </c>
      <c r="AB1880" s="142" t="s">
        <v>3047</v>
      </c>
      <c r="AC1880" s="142">
        <f>B1880*IBGE_2!AC$1880/100</f>
        <v>0.191</v>
      </c>
      <c r="AD1880" s="142" t="s">
        <v>3047</v>
      </c>
      <c r="AE1880" s="142">
        <f>B1880*IBGE_2!AE$1880/100</f>
        <v>2.0019999999999998</v>
      </c>
      <c r="AF1880" s="142" t="s">
        <v>3047</v>
      </c>
      <c r="AG1880" s="142">
        <f>B1880*IBGE_2!AG$1880/100</f>
        <v>0.01</v>
      </c>
      <c r="AH1880" s="142" t="s">
        <v>3047</v>
      </c>
      <c r="AI1880" s="145" t="s">
        <v>3047</v>
      </c>
      <c r="AJ1880" s="145" t="s">
        <v>3047</v>
      </c>
      <c r="AK1880" s="145" t="s">
        <v>3047</v>
      </c>
      <c r="AL1880" s="145" t="s">
        <v>3047</v>
      </c>
      <c r="AM1880" s="145" t="s">
        <v>3047</v>
      </c>
      <c r="AN1880" s="161"/>
    </row>
    <row r="1881" spans="1:40">
      <c r="A1881" s="143" t="s">
        <v>2941</v>
      </c>
      <c r="B1881" s="141">
        <v>100</v>
      </c>
      <c r="C1881" s="142">
        <f>B1881*IBGE_2!C$1881/100</f>
        <v>31.440999999999999</v>
      </c>
      <c r="D1881" s="142">
        <f>B1881*IBGE_2!D$1881/100</f>
        <v>1.7210000000000003</v>
      </c>
      <c r="E1881" s="142">
        <f>B1881*IBGE_2!E$1881/100</f>
        <v>1.6859999999999999</v>
      </c>
      <c r="F1881" s="142">
        <f>B1881*IBGE_2!F$1881/100</f>
        <v>0.96299999999999997</v>
      </c>
      <c r="G1881" s="142">
        <f>B1881*IBGE_2!G$1881/100</f>
        <v>0.42599999999999999</v>
      </c>
      <c r="H1881" s="142">
        <f>B1881*IBGE_2!H$1881/100</f>
        <v>0.10100000000000002</v>
      </c>
      <c r="I1881" s="142">
        <f>B1881*IBGE_2!I$1881/100</f>
        <v>6.2E-2</v>
      </c>
      <c r="J1881" s="142">
        <f>B1881*IBGE_2!J$1881/100</f>
        <v>3.9E-2</v>
      </c>
      <c r="K1881" s="142">
        <f>B1881*IBGE_2!K$1881/100</f>
        <v>5.157</v>
      </c>
      <c r="L1881" s="142">
        <f>B1881*IBGE_2!L$1881/100</f>
        <v>2.5659999999999998</v>
      </c>
      <c r="M1881" s="142">
        <f>B1881*IBGE_2!M$1881/100</f>
        <v>0.23499999999999999</v>
      </c>
      <c r="N1881" s="142">
        <f>B1881*IBGE_2!N$1881/100</f>
        <v>59.273000000000003</v>
      </c>
      <c r="O1881" s="142">
        <f>B1881*IBGE_2!O$1881/100</f>
        <v>6.6580000000000004</v>
      </c>
      <c r="P1881" s="142">
        <f>B1881*IBGE_2!P$1881/100</f>
        <v>1.3000000000000001E-2</v>
      </c>
      <c r="Q1881" s="142">
        <f>B1881*IBGE_2!Q$1881/100</f>
        <v>48.42799999999999</v>
      </c>
      <c r="R1881" s="142">
        <f>B1881*IBGE_2!R$1881/100</f>
        <v>0.02</v>
      </c>
      <c r="S1881" s="142">
        <f>B1881*IBGE_2!S$1881/100</f>
        <v>21.628</v>
      </c>
      <c r="T1881" s="142">
        <f>B1881*IBGE_2!T$1881/100</f>
        <v>98.265000000000001</v>
      </c>
      <c r="U1881" s="142">
        <f>B1881*IBGE_2!U$1881/100</f>
        <v>7.000000000000001E-3</v>
      </c>
      <c r="V1881" s="142">
        <f>B1881*IBGE_2!V$1881/100</f>
        <v>0.21600000000000003</v>
      </c>
      <c r="W1881" s="142">
        <f>B1881*IBGE_2!W$1881/100</f>
        <v>14.439</v>
      </c>
      <c r="X1881" s="142">
        <f>B1881*IBGE_2!X$1881/100</f>
        <v>0.03</v>
      </c>
      <c r="Y1881" s="142">
        <f>B1881*IBGE_2!Y$1881/100</f>
        <v>0.13200000000000001</v>
      </c>
      <c r="Z1881" s="142">
        <f>B1881*IBGE_2!Z$1881/100</f>
        <v>1.9E-2</v>
      </c>
      <c r="AA1881" s="142">
        <f>B1881*IBGE_2!AA$1881/100</f>
        <v>0.151</v>
      </c>
      <c r="AB1881" s="142" t="s">
        <v>3047</v>
      </c>
      <c r="AC1881" s="142">
        <f>B1881*IBGE_2!AC$1881/100</f>
        <v>0.79500000000000004</v>
      </c>
      <c r="AD1881" s="142">
        <f>B1881*IBGE_2!AD$1881/100</f>
        <v>0.22699999999999998</v>
      </c>
      <c r="AE1881" s="142">
        <f>B1881*IBGE_2!AE$1881/100</f>
        <v>3.5790000000000002</v>
      </c>
      <c r="AF1881" s="142">
        <f>B1881*IBGE_2!AF$1881/100</f>
        <v>0.51600000000000001</v>
      </c>
      <c r="AG1881" s="142">
        <f>B1881*IBGE_2!AG$1881/100</f>
        <v>3.5999999999999997E-2</v>
      </c>
      <c r="AH1881" s="142">
        <f>B1881*IBGE_2!AH$1881/100</f>
        <v>0.06</v>
      </c>
      <c r="AI1881" s="145" t="s">
        <v>3047</v>
      </c>
      <c r="AJ1881" s="142">
        <f>B1881*IBGE_2!AJ$1881/100</f>
        <v>1.9079999999999999</v>
      </c>
      <c r="AK1881" s="142">
        <f>B1881*IBGE_2!AK$1881/100</f>
        <v>14.654000000000002</v>
      </c>
      <c r="AL1881" s="142">
        <f>B1881*IBGE_2!AL$1881/100</f>
        <v>2.7120000000000006</v>
      </c>
      <c r="AM1881" s="145" t="s">
        <v>3047</v>
      </c>
      <c r="AN1881" s="161"/>
    </row>
    <row r="1882" spans="1:40">
      <c r="A1882" s="143" t="s">
        <v>2942</v>
      </c>
      <c r="B1882" s="141">
        <v>100</v>
      </c>
      <c r="C1882" s="142">
        <f>B1882*IBGE_2!C$1882/100</f>
        <v>2.4449999999999998</v>
      </c>
      <c r="D1882" s="142">
        <f>B1882*IBGE_2!D$1882/100</f>
        <v>0.124</v>
      </c>
      <c r="E1882" s="142">
        <f>B1882*IBGE_2!E$1882/100</f>
        <v>5.0000000000000001E-3</v>
      </c>
      <c r="F1882" s="142">
        <f>B1882*IBGE_2!F$1882/100</f>
        <v>2E-3</v>
      </c>
      <c r="G1882" s="142" t="s">
        <v>3047</v>
      </c>
      <c r="H1882" s="142">
        <f>B1882*IBGE_2!H$1882/100</f>
        <v>2E-3</v>
      </c>
      <c r="I1882" s="142">
        <f>B1882*IBGE_2!I$1882/100</f>
        <v>2E-3</v>
      </c>
      <c r="J1882" s="142" t="s">
        <v>3047</v>
      </c>
      <c r="K1882" s="142" t="s">
        <v>3047</v>
      </c>
      <c r="L1882" s="142">
        <f>B1882*IBGE_2!L$1882/100</f>
        <v>0.76500000000000001</v>
      </c>
      <c r="M1882" s="142">
        <f>B1882*IBGE_2!M$1882/100</f>
        <v>0.20499999999999999</v>
      </c>
      <c r="N1882" s="142">
        <f>B1882*IBGE_2!N$1882/100</f>
        <v>4.4359999999999999</v>
      </c>
      <c r="O1882" s="142">
        <f>B1882*IBGE_2!O$1882/100</f>
        <v>4.319</v>
      </c>
      <c r="P1882" s="142">
        <f>B1882*IBGE_2!P$1882/100</f>
        <v>1.7000000000000001E-2</v>
      </c>
      <c r="Q1882" s="142">
        <f>B1882*IBGE_2!Q$1882/100</f>
        <v>3.0739999999999998</v>
      </c>
      <c r="R1882" s="142">
        <f>B1882*IBGE_2!R$1882/100</f>
        <v>4.4999999999999998E-2</v>
      </c>
      <c r="S1882" s="142">
        <f>B1882*IBGE_2!S$1882/100</f>
        <v>4.3819999999999997</v>
      </c>
      <c r="T1882" s="142">
        <f>B1882*IBGE_2!T$1882/100</f>
        <v>35.860999999999997</v>
      </c>
      <c r="U1882" s="142">
        <f>B1882*IBGE_2!U$1882/100</f>
        <v>1.0999999999999999E-2</v>
      </c>
      <c r="V1882" s="142">
        <f>B1882*IBGE_2!V$1882/100</f>
        <v>1.4000000000000002E-2</v>
      </c>
      <c r="W1882" s="142" t="s">
        <v>3047</v>
      </c>
      <c r="X1882" s="142" t="s">
        <v>3047</v>
      </c>
      <c r="Y1882" s="142">
        <f>B1882*IBGE_2!Y$1882/100</f>
        <v>1E-3</v>
      </c>
      <c r="Z1882" s="142" t="s">
        <v>3047</v>
      </c>
      <c r="AA1882" s="142">
        <f>B1882*IBGE_2!AA$1882/100</f>
        <v>0.28599999999999998</v>
      </c>
      <c r="AB1882" s="142" t="s">
        <v>3047</v>
      </c>
      <c r="AC1882" s="142">
        <f>B1882*IBGE_2!AC$1882/100</f>
        <v>0.29099999999999998</v>
      </c>
      <c r="AD1882" s="142" t="s">
        <v>3047</v>
      </c>
      <c r="AE1882" s="142" t="s">
        <v>3047</v>
      </c>
      <c r="AF1882" s="142" t="s">
        <v>3047</v>
      </c>
      <c r="AG1882" s="142">
        <f>B1882*IBGE_2!AG$1882/100</f>
        <v>2.4E-2</v>
      </c>
      <c r="AH1882" s="142" t="s">
        <v>3047</v>
      </c>
      <c r="AI1882" s="145" t="s">
        <v>3047</v>
      </c>
      <c r="AJ1882" s="142">
        <f>B1882*IBGE_2!AJ$1882/100</f>
        <v>0.128</v>
      </c>
      <c r="AK1882" s="145" t="s">
        <v>3047</v>
      </c>
      <c r="AL1882" s="142">
        <f>B1882*IBGE_2!AL$1882/100</f>
        <v>5.0000000000000001E-3</v>
      </c>
      <c r="AM1882" s="145" t="s">
        <v>3047</v>
      </c>
      <c r="AN1882" s="161"/>
    </row>
    <row r="1883" spans="1:40">
      <c r="A1883" s="143" t="s">
        <v>2943</v>
      </c>
      <c r="B1883" s="141">
        <v>100</v>
      </c>
      <c r="C1883" s="142">
        <f>B1883*IBGE_2!C$1883/100</f>
        <v>27.707000000000004</v>
      </c>
      <c r="D1883" s="142">
        <f>B1883*IBGE_2!D$1883/100</f>
        <v>0.255</v>
      </c>
      <c r="E1883" s="142">
        <f>B1883*IBGE_2!E$1883/100</f>
        <v>0.84299999999999997</v>
      </c>
      <c r="F1883" s="142">
        <f>B1883*IBGE_2!F$1883/100</f>
        <v>0.78799999999999992</v>
      </c>
      <c r="G1883" s="142">
        <f>B1883*IBGE_2!G$1883/100</f>
        <v>3.0000000000000001E-3</v>
      </c>
      <c r="H1883" s="142">
        <f>B1883*IBGE_2!H$1883/100</f>
        <v>1E-3</v>
      </c>
      <c r="I1883" s="142">
        <f>B1883*IBGE_2!I$1883/100</f>
        <v>1E-3</v>
      </c>
      <c r="J1883" s="142" t="s">
        <v>3047</v>
      </c>
      <c r="K1883" s="142" t="s">
        <v>3047</v>
      </c>
      <c r="L1883" s="142">
        <f>B1883*IBGE_2!L$1883/100</f>
        <v>5.1660000000000004</v>
      </c>
      <c r="M1883" s="142">
        <f>B1883*IBGE_2!M$1883/100</f>
        <v>0.13</v>
      </c>
      <c r="N1883" s="142">
        <f>B1883*IBGE_2!N$1883/100</f>
        <v>4.0510000000000002</v>
      </c>
      <c r="O1883" s="142">
        <f>B1883*IBGE_2!O$1883/100</f>
        <v>3.1150000000000002</v>
      </c>
      <c r="P1883" s="142">
        <f>B1883*IBGE_2!P$1883/100</f>
        <v>1.0999999999999999E-2</v>
      </c>
      <c r="Q1883" s="142">
        <f>B1883*IBGE_2!Q$1883/100</f>
        <v>1.9570000000000001</v>
      </c>
      <c r="R1883" s="142">
        <f>B1883*IBGE_2!R$1883/100</f>
        <v>0.03</v>
      </c>
      <c r="S1883" s="142">
        <f>B1883*IBGE_2!S$1883/100</f>
        <v>50.095999999999997</v>
      </c>
      <c r="T1883" s="142">
        <f>B1883*IBGE_2!T$1883/100</f>
        <v>22.940999999999999</v>
      </c>
      <c r="U1883" s="142">
        <f>B1883*IBGE_2!U$1883/100</f>
        <v>1.0999999999999999E-2</v>
      </c>
      <c r="V1883" s="142">
        <f>B1883*IBGE_2!V$1883/100</f>
        <v>1.6E-2</v>
      </c>
      <c r="W1883" s="142" t="s">
        <v>3047</v>
      </c>
      <c r="X1883" s="142">
        <f>B1883*IBGE_2!X$1883/100</f>
        <v>1E-3</v>
      </c>
      <c r="Y1883" s="142">
        <f>B1883*IBGE_2!Y$1883/100</f>
        <v>1E-3</v>
      </c>
      <c r="Z1883" s="142" t="s">
        <v>3047</v>
      </c>
      <c r="AA1883" s="142">
        <f>B1883*IBGE_2!AA$1883/100</f>
        <v>0.182</v>
      </c>
      <c r="AB1883" s="142" t="s">
        <v>3047</v>
      </c>
      <c r="AC1883" s="142">
        <f>B1883*IBGE_2!AC$1883/100</f>
        <v>0.221</v>
      </c>
      <c r="AD1883" s="142" t="s">
        <v>3047</v>
      </c>
      <c r="AE1883" s="142" t="s">
        <v>3047</v>
      </c>
      <c r="AF1883" s="142" t="s">
        <v>3047</v>
      </c>
      <c r="AG1883" s="142">
        <f>B1883*IBGE_2!AG$1883/100</f>
        <v>1.6E-2</v>
      </c>
      <c r="AH1883" s="142">
        <f>B1883*IBGE_2!AH$1883/100</f>
        <v>2E-3</v>
      </c>
      <c r="AI1883" s="145" t="s">
        <v>3047</v>
      </c>
      <c r="AJ1883" s="142">
        <f>B1883*IBGE_2!AJ$1883/100</f>
        <v>0.111</v>
      </c>
      <c r="AK1883" s="145" t="s">
        <v>3047</v>
      </c>
      <c r="AL1883" s="142">
        <f>B1883*IBGE_2!AL$1883/100</f>
        <v>4.3520000000000003</v>
      </c>
      <c r="AM1883" s="142">
        <f>B1883*IBGE_2!AM$1883/100</f>
        <v>4.67</v>
      </c>
      <c r="AN1883" s="161"/>
    </row>
    <row r="1884" spans="1:40">
      <c r="A1884" s="143" t="s">
        <v>2944</v>
      </c>
      <c r="B1884" s="141">
        <v>100</v>
      </c>
      <c r="C1884" s="142">
        <f>B1884*IBGE_2!C$1884/100</f>
        <v>160.14099999999999</v>
      </c>
      <c r="D1884" s="142">
        <f>B1884*IBGE_2!D$1884/100</f>
        <v>3.32</v>
      </c>
      <c r="E1884" s="142">
        <f>B1884*IBGE_2!E$1884/100</f>
        <v>7.1779999999999999</v>
      </c>
      <c r="F1884" s="142">
        <f>B1884*IBGE_2!F$1884/100</f>
        <v>1.1200000000000001</v>
      </c>
      <c r="G1884" s="142">
        <f>B1884*IBGE_2!G$1884/100</f>
        <v>1.7180000000000002</v>
      </c>
      <c r="H1884" s="142">
        <f>B1884*IBGE_2!H$1884/100</f>
        <v>4.0090000000000003</v>
      </c>
      <c r="I1884" s="142">
        <f>B1884*IBGE_2!I$1884/100</f>
        <v>3.5910000000000002</v>
      </c>
      <c r="J1884" s="142">
        <f>B1884*IBGE_2!J$1884/100</f>
        <v>0.41799999999999998</v>
      </c>
      <c r="K1884" s="142" t="s">
        <v>3047</v>
      </c>
      <c r="L1884" s="142">
        <f>B1884*IBGE_2!L$1884/100</f>
        <v>25.11</v>
      </c>
      <c r="M1884" s="142">
        <f>B1884*IBGE_2!M$1884/100</f>
        <v>4.25</v>
      </c>
      <c r="N1884" s="142">
        <f>B1884*IBGE_2!N$1884/100</f>
        <v>3.1519999999999997</v>
      </c>
      <c r="O1884" s="142">
        <f>B1884*IBGE_2!O$1884/100</f>
        <v>26.006</v>
      </c>
      <c r="P1884" s="142">
        <f>B1884*IBGE_2!P$1884/100</f>
        <v>0.159</v>
      </c>
      <c r="Q1884" s="142">
        <f>B1884*IBGE_2!Q$1884/100</f>
        <v>75</v>
      </c>
      <c r="R1884" s="142">
        <f>B1884*IBGE_2!R$1884/100</f>
        <v>0.44500000000000001</v>
      </c>
      <c r="S1884" s="142">
        <f>B1884*IBGE_2!S$1884/100</f>
        <v>244.96400000000003</v>
      </c>
      <c r="T1884" s="142">
        <f>B1884*IBGE_2!T$1884/100</f>
        <v>212.05099999999999</v>
      </c>
      <c r="U1884" s="142">
        <f>B1884*IBGE_2!U$1884/100</f>
        <v>4.7E-2</v>
      </c>
      <c r="V1884" s="142">
        <f>B1884*IBGE_2!V$1884/100</f>
        <v>0.61099999999999999</v>
      </c>
      <c r="W1884" s="142" t="s">
        <v>3047</v>
      </c>
      <c r="X1884" s="142">
        <f>B1884*IBGE_2!X$1884/100</f>
        <v>0.215</v>
      </c>
      <c r="Y1884" s="142">
        <f>B1884*IBGE_2!Y$1884/100</f>
        <v>7.1999999999999995E-2</v>
      </c>
      <c r="Z1884" s="142">
        <f>B1884*IBGE_2!Z$1884/100</f>
        <v>0.06</v>
      </c>
      <c r="AA1884" s="142">
        <f>B1884*IBGE_2!AA$1884/100</f>
        <v>1.6140000000000001</v>
      </c>
      <c r="AB1884" s="142">
        <f>B1884*IBGE_2!AB$1884/100</f>
        <v>6.2</v>
      </c>
      <c r="AC1884" s="142">
        <f>B1884*IBGE_2!AC$1884/100</f>
        <v>1.9970000000000001</v>
      </c>
      <c r="AD1884" s="142" t="s">
        <v>3047</v>
      </c>
      <c r="AE1884" s="142">
        <f>B1884*IBGE_2!AE$1884/100</f>
        <v>46</v>
      </c>
      <c r="AF1884" s="142" t="s">
        <v>3047</v>
      </c>
      <c r="AG1884" s="142">
        <f>B1884*IBGE_2!AG$1884/100</f>
        <v>0.57199999999999995</v>
      </c>
      <c r="AH1884" s="142">
        <f>B1884*IBGE_2!AH$1884/100</f>
        <v>3.1E-2</v>
      </c>
      <c r="AI1884" s="142">
        <f>B1884*IBGE_2!AI$1884/100</f>
        <v>245</v>
      </c>
      <c r="AJ1884" s="142">
        <f>B1884*IBGE_2!AJ$1884/100</f>
        <v>2.9039999999999999</v>
      </c>
      <c r="AK1884" s="142">
        <f>B1884*IBGE_2!AK$1884/100</f>
        <v>13.167</v>
      </c>
      <c r="AL1884" s="142">
        <f>B1884*IBGE_2!AL$1884/100</f>
        <v>3.16</v>
      </c>
      <c r="AM1884" s="142" t="s">
        <v>3047</v>
      </c>
      <c r="AN1884" s="161"/>
    </row>
    <row r="1885" spans="1:40">
      <c r="A1885" s="143" t="s">
        <v>2945</v>
      </c>
      <c r="B1885" s="141">
        <v>100</v>
      </c>
      <c r="C1885" s="142">
        <f>B1885*IBGE_2!C$1885/100</f>
        <v>263.5</v>
      </c>
      <c r="D1885" s="142">
        <f>B1885*IBGE_2!D$1885/100</f>
        <v>2.8710000000000004</v>
      </c>
      <c r="E1885" s="142">
        <f>B1885*IBGE_2!E$1885/100</f>
        <v>13.64</v>
      </c>
      <c r="F1885" s="142">
        <f>B1885*IBGE_2!F$1885/100</f>
        <v>2.1520000000000001</v>
      </c>
      <c r="G1885" s="142">
        <f>B1885*IBGE_2!G$1885/100</f>
        <v>3.073</v>
      </c>
      <c r="H1885" s="142">
        <f>B1885*IBGE_2!H$1885/100</f>
        <v>7.851</v>
      </c>
      <c r="I1885" s="142">
        <f>B1885*IBGE_2!I$1885/100</f>
        <v>6.918000000000001</v>
      </c>
      <c r="J1885" s="142">
        <f>B1885*IBGE_2!J$1885/100</f>
        <v>0.93100000000000005</v>
      </c>
      <c r="K1885" s="142" t="s">
        <v>3047</v>
      </c>
      <c r="L1885" s="142">
        <f>B1885*IBGE_2!L$1885/100</f>
        <v>33.6</v>
      </c>
      <c r="M1885" s="142">
        <f>B1885*IBGE_2!M$1885/100</f>
        <v>3.4420000000000006</v>
      </c>
      <c r="N1885" s="142">
        <f>B1885*IBGE_2!N$1885/100</f>
        <v>13.433</v>
      </c>
      <c r="O1885" s="142">
        <f>B1885*IBGE_2!O$1885/100</f>
        <v>33.582999999999998</v>
      </c>
      <c r="P1885" s="142">
        <f>B1885*IBGE_2!P$1885/100</f>
        <v>0.23499999999999999</v>
      </c>
      <c r="Q1885" s="142">
        <f>B1885*IBGE_2!Q$1885/100</f>
        <v>67.165999999999997</v>
      </c>
      <c r="R1885" s="142">
        <f>B1885*IBGE_2!R$1885/100</f>
        <v>0.52700000000000002</v>
      </c>
      <c r="S1885" s="142">
        <f>B1885*IBGE_2!S$1885/100</f>
        <v>8.3960000000000008</v>
      </c>
      <c r="T1885" s="142">
        <f>B1885*IBGE_2!T$1885/100</f>
        <v>550.76400000000001</v>
      </c>
      <c r="U1885" s="142">
        <f>B1885*IBGE_2!U$1885/100</f>
        <v>0.28000000000000003</v>
      </c>
      <c r="V1885" s="142">
        <f>B1885*IBGE_2!V$1885/100</f>
        <v>0.45500000000000002</v>
      </c>
      <c r="W1885" s="142" t="s">
        <v>3047</v>
      </c>
      <c r="X1885" s="142">
        <f>B1885*IBGE_2!X$1885/100</f>
        <v>0.16500000000000001</v>
      </c>
      <c r="Y1885" s="142">
        <f>B1885*IBGE_2!Y$1885/100</f>
        <v>3.2000000000000001E-2</v>
      </c>
      <c r="Z1885" s="142">
        <f>B1885*IBGE_2!Z$1885/100</f>
        <v>0.45200000000000001</v>
      </c>
      <c r="AA1885" s="142">
        <f>B1885*IBGE_2!AA$1885/100</f>
        <v>2.2029999999999998</v>
      </c>
      <c r="AB1885" s="142">
        <f>B1885*IBGE_2!AB$1885/100</f>
        <v>12.425999999999998</v>
      </c>
      <c r="AC1885" s="142">
        <f>B1885*IBGE_2!AC$1885/100</f>
        <v>2.9590000000000005</v>
      </c>
      <c r="AD1885" s="142" t="s">
        <v>3047</v>
      </c>
      <c r="AE1885" s="142">
        <f>B1885*IBGE_2!AE$1885/100</f>
        <v>15.112</v>
      </c>
      <c r="AF1885" s="142" t="s">
        <v>3047</v>
      </c>
      <c r="AG1885" s="142">
        <f>B1885*IBGE_2!AG$1885/100</f>
        <v>1.2030000000000001</v>
      </c>
      <c r="AH1885" s="142">
        <f>B1885*IBGE_2!AH$1885/100</f>
        <v>7.1999999999999995E-2</v>
      </c>
      <c r="AI1885" s="142">
        <f>B1885*IBGE_2!AI$1885/100</f>
        <v>380</v>
      </c>
      <c r="AJ1885" s="142">
        <f>B1885*IBGE_2!AJ$1885/100</f>
        <v>6.6779999999999999</v>
      </c>
      <c r="AK1885" s="142">
        <f>B1885*IBGE_2!AK$1885/100</f>
        <v>0.28000000000000003</v>
      </c>
      <c r="AL1885" s="142">
        <f>B1885*IBGE_2!AL$1885/100</f>
        <v>1.444</v>
      </c>
      <c r="AM1885" s="142" t="s">
        <v>3047</v>
      </c>
      <c r="AN1885" s="161"/>
    </row>
    <row r="1886" spans="1:40">
      <c r="A1886" s="143" t="s">
        <v>2946</v>
      </c>
      <c r="B1886" s="141">
        <v>100</v>
      </c>
      <c r="C1886" s="142">
        <f>B1886*IBGE_2!C$1886/100</f>
        <v>545.70299999999997</v>
      </c>
      <c r="D1886" s="142">
        <f>B1886*IBGE_2!D$1886/100</f>
        <v>5.2409999999999988</v>
      </c>
      <c r="E1886" s="142">
        <f>B1886*IBGE_2!E$1886/100</f>
        <v>35.244</v>
      </c>
      <c r="F1886" s="142">
        <f>B1886*IBGE_2!F$1886/100</f>
        <v>5.55</v>
      </c>
      <c r="G1886" s="142">
        <f>B1886*IBGE_2!G$1886/100</f>
        <v>7.9580000000000011</v>
      </c>
      <c r="H1886" s="142">
        <f>B1886*IBGE_2!H$1886/100</f>
        <v>20.303000000000001</v>
      </c>
      <c r="I1886" s="142">
        <f>B1886*IBGE_2!I$1886/100</f>
        <v>17.896999999999998</v>
      </c>
      <c r="J1886" s="142">
        <f>B1886*IBGE_2!J$1886/100</f>
        <v>2.4060000000000001</v>
      </c>
      <c r="K1886" s="142" t="s">
        <v>3047</v>
      </c>
      <c r="L1886" s="142">
        <f>B1886*IBGE_2!L$1886/100</f>
        <v>54.521000000000001</v>
      </c>
      <c r="M1886" s="142">
        <f>B1886*IBGE_2!M$1886/100</f>
        <v>4.5270000000000001</v>
      </c>
      <c r="N1886" s="142">
        <f>B1886*IBGE_2!N$1886/100</f>
        <v>26.55</v>
      </c>
      <c r="O1886" s="142">
        <f>B1886*IBGE_2!O$1886/100</f>
        <v>62.501999999999995</v>
      </c>
      <c r="P1886" s="142">
        <f>B1886*IBGE_2!P$1886/100</f>
        <v>0.71599999999999997</v>
      </c>
      <c r="Q1886" s="142">
        <f>B1886*IBGE_2!Q$1886/100</f>
        <v>156.21199999999999</v>
      </c>
      <c r="R1886" s="142">
        <f>B1886*IBGE_2!R$1886/100</f>
        <v>0.71799999999999997</v>
      </c>
      <c r="S1886" s="142">
        <f>B1886*IBGE_2!S$1886/100</f>
        <v>701.60500000000002</v>
      </c>
      <c r="T1886" s="142">
        <f>B1886*IBGE_2!T$1886/100</f>
        <v>448.36900000000003</v>
      </c>
      <c r="U1886" s="142">
        <f>B1886*IBGE_2!U$1886/100</f>
        <v>6.6000000000000003E-2</v>
      </c>
      <c r="V1886" s="142">
        <f>B1886*IBGE_2!V$1886/100</f>
        <v>0.58499999999999996</v>
      </c>
      <c r="W1886" s="142" t="s">
        <v>3047</v>
      </c>
      <c r="X1886" s="142">
        <f>B1886*IBGE_2!X$1886/100</f>
        <v>0.28899999999999998</v>
      </c>
      <c r="Y1886" s="142">
        <f>B1886*IBGE_2!Y$1886/100</f>
        <v>0.161</v>
      </c>
      <c r="Z1886" s="142">
        <f>B1886*IBGE_2!Z$1886/100</f>
        <v>0.54900000000000004</v>
      </c>
      <c r="AA1886" s="142">
        <f>B1886*IBGE_2!AA$1886/100</f>
        <v>3.0379999999999994</v>
      </c>
      <c r="AB1886" s="142">
        <f>B1886*IBGE_2!AB$1886/100</f>
        <v>23.590999999999998</v>
      </c>
      <c r="AC1886" s="142">
        <f>B1886*IBGE_2!AC$1886/100</f>
        <v>3.931</v>
      </c>
      <c r="AD1886" s="142" t="s">
        <v>3047</v>
      </c>
      <c r="AE1886" s="142">
        <f>B1886*IBGE_2!AE$1886/100</f>
        <v>25.504000000000001</v>
      </c>
      <c r="AF1886" s="142" t="s">
        <v>3047</v>
      </c>
      <c r="AG1886" s="142">
        <f>B1886*IBGE_2!AG$1886/100</f>
        <v>3.0269999999999997</v>
      </c>
      <c r="AH1886" s="142">
        <f>B1886*IBGE_2!AH$1886/100</f>
        <v>0.18600000000000003</v>
      </c>
      <c r="AI1886" s="142" t="s">
        <v>3047</v>
      </c>
      <c r="AJ1886" s="142">
        <f>B1886*IBGE_2!AJ$1886/100</f>
        <v>33.274999999999999</v>
      </c>
      <c r="AK1886" s="142">
        <f>B1886*IBGE_2!AK$1886/100</f>
        <v>0.37200000000000005</v>
      </c>
      <c r="AL1886" s="142">
        <f>B1886*IBGE_2!AL$1886/100</f>
        <v>1.1990000000000001</v>
      </c>
      <c r="AM1886" s="142" t="s">
        <v>3047</v>
      </c>
      <c r="AN1886" s="161"/>
    </row>
    <row r="1887" spans="1:40">
      <c r="A1887" s="143" t="s">
        <v>2947</v>
      </c>
      <c r="B1887" s="141">
        <v>100</v>
      </c>
      <c r="C1887" s="142">
        <f>B1887*IBGE_2!C$1887/100</f>
        <v>146</v>
      </c>
      <c r="D1887" s="142">
        <f>B1887*IBGE_2!D$1887/100</f>
        <v>4</v>
      </c>
      <c r="E1887" s="142">
        <f>B1887*IBGE_2!E$1887/100</f>
        <v>3.9</v>
      </c>
      <c r="F1887" s="142" t="s">
        <v>3047</v>
      </c>
      <c r="G1887" s="142" t="s">
        <v>3047</v>
      </c>
      <c r="H1887" s="142" t="s">
        <v>3047</v>
      </c>
      <c r="I1887" s="142" t="s">
        <v>3047</v>
      </c>
      <c r="J1887" s="142" t="s">
        <v>3047</v>
      </c>
      <c r="K1887" s="142" t="s">
        <v>3047</v>
      </c>
      <c r="L1887" s="142">
        <f>B1887*IBGE_2!L$1887/100</f>
        <v>24.4</v>
      </c>
      <c r="M1887" s="142">
        <f>B1887*IBGE_2!M$1887/100</f>
        <v>2.4</v>
      </c>
      <c r="N1887" s="142" t="s">
        <v>3047</v>
      </c>
      <c r="O1887" s="142" t="s">
        <v>3047</v>
      </c>
      <c r="P1887" s="142" t="s">
        <v>3047</v>
      </c>
      <c r="Q1887" s="142" t="s">
        <v>3047</v>
      </c>
      <c r="R1887" s="142" t="s">
        <v>3047</v>
      </c>
      <c r="S1887" s="142" t="s">
        <v>3047</v>
      </c>
      <c r="T1887" s="142" t="s">
        <v>3047</v>
      </c>
      <c r="U1887" s="142" t="s">
        <v>3047</v>
      </c>
      <c r="V1887" s="142" t="s">
        <v>3047</v>
      </c>
      <c r="W1887" s="142" t="s">
        <v>3047</v>
      </c>
      <c r="X1887" s="142" t="s">
        <v>3047</v>
      </c>
      <c r="Y1887" s="142" t="s">
        <v>3047</v>
      </c>
      <c r="Z1887" s="142" t="s">
        <v>3047</v>
      </c>
      <c r="AA1887" s="142" t="s">
        <v>3047</v>
      </c>
      <c r="AB1887" s="142" t="s">
        <v>3047</v>
      </c>
      <c r="AC1887" s="142" t="s">
        <v>3047</v>
      </c>
      <c r="AD1887" s="142" t="s">
        <v>3047</v>
      </c>
      <c r="AE1887" s="142" t="s">
        <v>3047</v>
      </c>
      <c r="AF1887" s="142" t="s">
        <v>3047</v>
      </c>
      <c r="AG1887" s="142" t="s">
        <v>3047</v>
      </c>
      <c r="AH1887" s="142" t="s">
        <v>3047</v>
      </c>
      <c r="AI1887" s="142" t="s">
        <v>3047</v>
      </c>
      <c r="AJ1887" s="142" t="s">
        <v>3047</v>
      </c>
      <c r="AK1887" s="142" t="s">
        <v>3047</v>
      </c>
      <c r="AL1887" s="142" t="s">
        <v>3047</v>
      </c>
      <c r="AM1887" s="142" t="s">
        <v>3047</v>
      </c>
      <c r="AN1887" s="161"/>
    </row>
    <row r="1888" spans="1:40">
      <c r="A1888" s="143" t="s">
        <v>2948</v>
      </c>
      <c r="B1888" s="141">
        <v>100</v>
      </c>
      <c r="C1888" s="142">
        <f>B1888*IBGE_2!C$1888/100</f>
        <v>146</v>
      </c>
      <c r="D1888" s="142">
        <f>B1888*IBGE_2!D$1888/100</f>
        <v>4</v>
      </c>
      <c r="E1888" s="142">
        <f>B1888*IBGE_2!E$1888/100</f>
        <v>3.9</v>
      </c>
      <c r="F1888" s="142" t="s">
        <v>3047</v>
      </c>
      <c r="G1888" s="142" t="s">
        <v>3047</v>
      </c>
      <c r="H1888" s="142" t="s">
        <v>3047</v>
      </c>
      <c r="I1888" s="142" t="s">
        <v>3047</v>
      </c>
      <c r="J1888" s="142" t="s">
        <v>3047</v>
      </c>
      <c r="K1888" s="142" t="s">
        <v>3047</v>
      </c>
      <c r="L1888" s="142">
        <f>B1888*IBGE_2!L$1888/100</f>
        <v>24.4</v>
      </c>
      <c r="M1888" s="142">
        <f>B1888*IBGE_2!M$1888/100</f>
        <v>2.4</v>
      </c>
      <c r="N1888" s="142" t="s">
        <v>3047</v>
      </c>
      <c r="O1888" s="142" t="s">
        <v>3047</v>
      </c>
      <c r="P1888" s="142" t="s">
        <v>3047</v>
      </c>
      <c r="Q1888" s="142" t="s">
        <v>3047</v>
      </c>
      <c r="R1888" s="142" t="s">
        <v>3047</v>
      </c>
      <c r="S1888" s="142" t="s">
        <v>3047</v>
      </c>
      <c r="T1888" s="142" t="s">
        <v>3047</v>
      </c>
      <c r="U1888" s="142" t="s">
        <v>3047</v>
      </c>
      <c r="V1888" s="142" t="s">
        <v>3047</v>
      </c>
      <c r="W1888" s="142" t="s">
        <v>3047</v>
      </c>
      <c r="X1888" s="142" t="s">
        <v>3047</v>
      </c>
      <c r="Y1888" s="142" t="s">
        <v>3047</v>
      </c>
      <c r="Z1888" s="142" t="s">
        <v>3047</v>
      </c>
      <c r="AA1888" s="142" t="s">
        <v>3047</v>
      </c>
      <c r="AB1888" s="142" t="s">
        <v>3047</v>
      </c>
      <c r="AC1888" s="142" t="s">
        <v>3047</v>
      </c>
      <c r="AD1888" s="142" t="s">
        <v>3047</v>
      </c>
      <c r="AE1888" s="142" t="s">
        <v>3047</v>
      </c>
      <c r="AF1888" s="142" t="s">
        <v>3047</v>
      </c>
      <c r="AG1888" s="142" t="s">
        <v>3047</v>
      </c>
      <c r="AH1888" s="142" t="s">
        <v>3047</v>
      </c>
      <c r="AI1888" s="142" t="s">
        <v>3047</v>
      </c>
      <c r="AJ1888" s="142" t="s">
        <v>3047</v>
      </c>
      <c r="AK1888" s="142" t="s">
        <v>3047</v>
      </c>
      <c r="AL1888" s="142" t="s">
        <v>3047</v>
      </c>
      <c r="AM1888" s="142" t="s">
        <v>3047</v>
      </c>
      <c r="AN1888" s="161"/>
    </row>
    <row r="1889" spans="1:40">
      <c r="A1889" s="143" t="s">
        <v>2949</v>
      </c>
      <c r="B1889" s="141">
        <v>100</v>
      </c>
      <c r="C1889" s="142">
        <f>B1889*IBGE_2!C$1889/100</f>
        <v>78.242999999999995</v>
      </c>
      <c r="D1889" s="142">
        <f>B1889*IBGE_2!D$1889/100</f>
        <v>2.4220000000000002</v>
      </c>
      <c r="E1889" s="142">
        <f>B1889*IBGE_2!E$1889/100</f>
        <v>3.0619999999999998</v>
      </c>
      <c r="F1889" s="142">
        <f>B1889*IBGE_2!F$1889/100</f>
        <v>1.3480000000000001</v>
      </c>
      <c r="G1889" s="142">
        <f>B1889*IBGE_2!G$1889/100</f>
        <v>0.89</v>
      </c>
      <c r="H1889" s="142">
        <f>B1889*IBGE_2!H$1889/100</f>
        <v>0.55500000000000005</v>
      </c>
      <c r="I1889" s="142">
        <f>B1889*IBGE_2!I$1889/100</f>
        <v>0.498</v>
      </c>
      <c r="J1889" s="142">
        <f>B1889*IBGE_2!J$1889/100</f>
        <v>5.7000000000000002E-2</v>
      </c>
      <c r="K1889" s="142">
        <f>B1889*IBGE_2!K$1889/100</f>
        <v>6.0229999999999997</v>
      </c>
      <c r="L1889" s="142">
        <f>B1889*IBGE_2!L$1889/100</f>
        <v>10.456</v>
      </c>
      <c r="M1889" s="142">
        <f>B1889*IBGE_2!M$1889/100</f>
        <v>0.17399999999999999</v>
      </c>
      <c r="N1889" s="142">
        <f>B1889*IBGE_2!N$1889/100</f>
        <v>124.56699999999999</v>
      </c>
      <c r="O1889" s="142">
        <f>B1889*IBGE_2!O$1889/100</f>
        <v>13.224</v>
      </c>
      <c r="P1889" s="142">
        <f>B1889*IBGE_2!P$1889/100</f>
        <v>2.9000000000000005E-2</v>
      </c>
      <c r="Q1889" s="142">
        <f>B1889*IBGE_2!Q$1889/100</f>
        <v>95.381</v>
      </c>
      <c r="R1889" s="142">
        <f>B1889*IBGE_2!R$1889/100</f>
        <v>0.221</v>
      </c>
      <c r="S1889" s="142">
        <f>B1889*IBGE_2!S$1889/100</f>
        <v>319.33100000000002</v>
      </c>
      <c r="T1889" s="142">
        <f>B1889*IBGE_2!T$1889/100</f>
        <v>156.846</v>
      </c>
      <c r="U1889" s="142">
        <f>B1889*IBGE_2!U$1889/100</f>
        <v>1.4999999999999999E-2</v>
      </c>
      <c r="V1889" s="142">
        <f>B1889*IBGE_2!V$1889/100</f>
        <v>0.44900000000000001</v>
      </c>
      <c r="W1889" s="142">
        <f>B1889*IBGE_2!W$1889/100</f>
        <v>21.164999999999999</v>
      </c>
      <c r="X1889" s="142">
        <f>B1889*IBGE_2!X$1889/100</f>
        <v>6.8000000000000005E-2</v>
      </c>
      <c r="Y1889" s="142">
        <f>B1889*IBGE_2!Y$1889/100</f>
        <v>0.17699999999999999</v>
      </c>
      <c r="Z1889" s="142">
        <f>B1889*IBGE_2!Z$1889/100</f>
        <v>4.2999999999999997E-2</v>
      </c>
      <c r="AA1889" s="142">
        <f>B1889*IBGE_2!AA$1889/100</f>
        <v>0.32200000000000001</v>
      </c>
      <c r="AB1889" s="142">
        <f>B1889*IBGE_2!AB$1889/100</f>
        <v>0.14699999999999999</v>
      </c>
      <c r="AC1889" s="142">
        <f>B1889*IBGE_2!AC$1889/100</f>
        <v>1.1659999999999999</v>
      </c>
      <c r="AD1889" s="142">
        <f>B1889*IBGE_2!AD$1889/100</f>
        <v>0.30199999999999999</v>
      </c>
      <c r="AE1889" s="142">
        <f>B1889*IBGE_2!AE$1889/100</f>
        <v>11.232999999999999</v>
      </c>
      <c r="AF1889" s="142">
        <f>B1889*IBGE_2!AF$1889/100</f>
        <v>0.50800000000000001</v>
      </c>
      <c r="AG1889" s="142">
        <f>B1889*IBGE_2!AG$1889/100</f>
        <v>0.187</v>
      </c>
      <c r="AH1889" s="142">
        <f>B1889*IBGE_2!AH$1889/100</f>
        <v>0.22600000000000001</v>
      </c>
      <c r="AI1889" s="142" t="s">
        <v>3047</v>
      </c>
      <c r="AJ1889" s="142">
        <f>B1889*IBGE_2!AJ$1889/100</f>
        <v>4.0279999999999996</v>
      </c>
      <c r="AK1889" s="142">
        <f>B1889*IBGE_2!AK$1889/100</f>
        <v>30.094999999999999</v>
      </c>
      <c r="AL1889" s="142">
        <f>B1889*IBGE_2!AL$1889/100</f>
        <v>7.1960000000000006</v>
      </c>
      <c r="AM1889" s="142">
        <f>B1889*IBGE_2!AM$1889/100</f>
        <v>2.0779999999999998</v>
      </c>
      <c r="AN1889" s="161"/>
    </row>
    <row r="1890" spans="1:40">
      <c r="A1890" s="143" t="s">
        <v>2950</v>
      </c>
      <c r="B1890" s="141">
        <v>100</v>
      </c>
      <c r="C1890" s="142">
        <f>B1890*IBGE_2!C$1890/100</f>
        <v>406</v>
      </c>
      <c r="D1890" s="142">
        <f>B1890*IBGE_2!D$1890/100</f>
        <v>2.1</v>
      </c>
      <c r="E1890" s="142">
        <f>B1890*IBGE_2!E$1890/100</f>
        <v>9.1</v>
      </c>
      <c r="F1890" s="142">
        <f>B1890*IBGE_2!F$1890/100</f>
        <v>1.9</v>
      </c>
      <c r="G1890" s="142">
        <f>B1890*IBGE_2!G$1890/100</f>
        <v>2.4</v>
      </c>
      <c r="H1890" s="142">
        <f>B1890*IBGE_2!H$1890/100</f>
        <v>2.5</v>
      </c>
      <c r="I1890" s="142">
        <f>B1890*IBGE_2!I$1890/100</f>
        <v>2.29</v>
      </c>
      <c r="J1890" s="142">
        <f>B1890*IBGE_2!J$1890/100</f>
        <v>0.19</v>
      </c>
      <c r="K1890" s="142" t="s">
        <v>3047</v>
      </c>
      <c r="L1890" s="142">
        <f>B1890*IBGE_2!L$1890/100</f>
        <v>80.3</v>
      </c>
      <c r="M1890" s="142">
        <f>B1890*IBGE_2!M$1890/100</f>
        <v>7.8</v>
      </c>
      <c r="N1890" s="142">
        <f>B1890*IBGE_2!N$1890/100</f>
        <v>66</v>
      </c>
      <c r="O1890" s="142">
        <f>B1890*IBGE_2!O$1890/100</f>
        <v>34</v>
      </c>
      <c r="P1890" s="142">
        <f>B1890*IBGE_2!P$1890/100</f>
        <v>0.28999999999999998</v>
      </c>
      <c r="Q1890" s="142">
        <f>B1890*IBGE_2!Q$1890/100</f>
        <v>45</v>
      </c>
      <c r="R1890" s="142">
        <f>B1890*IBGE_2!R$1890/100</f>
        <v>1.4</v>
      </c>
      <c r="S1890" s="142">
        <f>B1890*IBGE_2!S$1890/100</f>
        <v>575</v>
      </c>
      <c r="T1890" s="142">
        <f>B1890*IBGE_2!T$1890/100</f>
        <v>201</v>
      </c>
      <c r="U1890" s="142" t="s">
        <v>3047</v>
      </c>
      <c r="V1890" s="142">
        <f>B1890*IBGE_2!V$1890/100</f>
        <v>0.2</v>
      </c>
      <c r="W1890" s="142" t="s">
        <v>3047</v>
      </c>
      <c r="X1890" s="142">
        <f>B1890*IBGE_2!X$1890/100</f>
        <v>0.1</v>
      </c>
      <c r="Y1890" s="142" t="s">
        <v>3047</v>
      </c>
      <c r="Z1890" s="142">
        <f>B1890*IBGE_2!Z$1890/100</f>
        <v>0.15</v>
      </c>
      <c r="AA1890" s="142" t="s">
        <v>3047</v>
      </c>
      <c r="AB1890" s="142" t="s">
        <v>3047</v>
      </c>
      <c r="AC1890" s="142" t="s">
        <v>3047</v>
      </c>
      <c r="AD1890" s="142" t="s">
        <v>3047</v>
      </c>
      <c r="AE1890" s="142" t="s">
        <v>3047</v>
      </c>
      <c r="AF1890" s="142" t="s">
        <v>3047</v>
      </c>
      <c r="AG1890" s="142" t="s">
        <v>3047</v>
      </c>
      <c r="AH1890" s="142" t="s">
        <v>3047</v>
      </c>
      <c r="AI1890" s="142" t="s">
        <v>3047</v>
      </c>
      <c r="AJ1890" s="142" t="s">
        <v>3047</v>
      </c>
      <c r="AK1890" s="142" t="s">
        <v>3047</v>
      </c>
      <c r="AL1890" s="142" t="s">
        <v>3047</v>
      </c>
      <c r="AM1890" s="142" t="s">
        <v>3047</v>
      </c>
      <c r="AN1890" s="161"/>
    </row>
    <row r="1891" spans="1:40">
      <c r="A1891" s="143" t="s">
        <v>2951</v>
      </c>
      <c r="B1891" s="141">
        <v>100</v>
      </c>
      <c r="C1891" s="142">
        <f>B1891*IBGE_2!C$1891/100</f>
        <v>78.242999999999995</v>
      </c>
      <c r="D1891" s="142">
        <f>B1891*IBGE_2!D$1891/100</f>
        <v>2.4220000000000002</v>
      </c>
      <c r="E1891" s="142">
        <f>B1891*IBGE_2!E$1891/100</f>
        <v>3.0619999999999998</v>
      </c>
      <c r="F1891" s="142">
        <f>B1891*IBGE_2!F$1891/100</f>
        <v>1.3480000000000001</v>
      </c>
      <c r="G1891" s="142">
        <f>B1891*IBGE_2!G$1891/100</f>
        <v>0.89</v>
      </c>
      <c r="H1891" s="142">
        <f>B1891*IBGE_2!H$1891/100</f>
        <v>0.55500000000000005</v>
      </c>
      <c r="I1891" s="142">
        <f>B1891*IBGE_2!I$1891/100</f>
        <v>0.498</v>
      </c>
      <c r="J1891" s="142">
        <f>B1891*IBGE_2!J$1891/100</f>
        <v>5.7000000000000002E-2</v>
      </c>
      <c r="K1891" s="142">
        <f>B1891*IBGE_2!K$1891/100</f>
        <v>6.0229999999999997</v>
      </c>
      <c r="L1891" s="142">
        <f>B1891*IBGE_2!L$1891/100</f>
        <v>10.456</v>
      </c>
      <c r="M1891" s="142">
        <f>B1891*IBGE_2!M$1891/100</f>
        <v>0.17399999999999999</v>
      </c>
      <c r="N1891" s="142">
        <f>B1891*IBGE_2!N$1891/100</f>
        <v>124.56699999999999</v>
      </c>
      <c r="O1891" s="142">
        <f>B1891*IBGE_2!O$1891/100</f>
        <v>13.224</v>
      </c>
      <c r="P1891" s="142">
        <f>B1891*IBGE_2!P$1891/100</f>
        <v>2.9000000000000005E-2</v>
      </c>
      <c r="Q1891" s="142">
        <f>B1891*IBGE_2!Q$1891/100</f>
        <v>95.381</v>
      </c>
      <c r="R1891" s="142">
        <f>B1891*IBGE_2!R$1891/100</f>
        <v>0.221</v>
      </c>
      <c r="S1891" s="142">
        <f>B1891*IBGE_2!S$1891/100</f>
        <v>319.33100000000002</v>
      </c>
      <c r="T1891" s="142">
        <f>B1891*IBGE_2!T$1891/100</f>
        <v>156.846</v>
      </c>
      <c r="U1891" s="142">
        <f>B1891*IBGE_2!U$1891/100</f>
        <v>1.4999999999999999E-2</v>
      </c>
      <c r="V1891" s="142">
        <f>B1891*IBGE_2!V$1891/100</f>
        <v>0.44900000000000001</v>
      </c>
      <c r="W1891" s="142">
        <f>B1891*IBGE_2!W$1891/100</f>
        <v>21.164999999999999</v>
      </c>
      <c r="X1891" s="142">
        <f>B1891*IBGE_2!X$1891/100</f>
        <v>6.8000000000000005E-2</v>
      </c>
      <c r="Y1891" s="142">
        <f>B1891*IBGE_2!Y$1891/100</f>
        <v>0.17699999999999999</v>
      </c>
      <c r="Z1891" s="142">
        <f>B1891*IBGE_2!Z$1891/100</f>
        <v>4.2999999999999997E-2</v>
      </c>
      <c r="AA1891" s="142">
        <f>B1891*IBGE_2!AA$1891/100</f>
        <v>0.32200000000000001</v>
      </c>
      <c r="AB1891" s="142">
        <f>B1891*IBGE_2!AB$1891/100</f>
        <v>0.14699999999999999</v>
      </c>
      <c r="AC1891" s="142">
        <f>B1891*IBGE_2!AC$1891/100</f>
        <v>1.1659999999999999</v>
      </c>
      <c r="AD1891" s="142">
        <f>B1891*IBGE_2!AD$1891/100</f>
        <v>0.30199999999999999</v>
      </c>
      <c r="AE1891" s="142">
        <f>B1891*IBGE_2!AE$1891/100</f>
        <v>11.232999999999999</v>
      </c>
      <c r="AF1891" s="142">
        <f>B1891*IBGE_2!AF$1891/100</f>
        <v>0.50800000000000001</v>
      </c>
      <c r="AG1891" s="142">
        <f>B1891*IBGE_2!AG$1891/100</f>
        <v>0.187</v>
      </c>
      <c r="AH1891" s="142">
        <f>B1891*IBGE_2!AH$1891/100</f>
        <v>0.22600000000000001</v>
      </c>
      <c r="AI1891" s="142" t="s">
        <v>3047</v>
      </c>
      <c r="AJ1891" s="142">
        <f>B1891*IBGE_2!AJ$1891/100</f>
        <v>4.0279999999999996</v>
      </c>
      <c r="AK1891" s="142">
        <f>B1891*IBGE_2!AK$1891/100</f>
        <v>30.094999999999999</v>
      </c>
      <c r="AL1891" s="142">
        <f>B1891*IBGE_2!AL$1891/100</f>
        <v>7.1960000000000006</v>
      </c>
      <c r="AM1891" s="142">
        <f>B1891*IBGE_2!AM$1891/100</f>
        <v>2.0779999999999998</v>
      </c>
      <c r="AN1891" s="161"/>
    </row>
    <row r="1892" spans="1:40">
      <c r="A1892" s="143" t="s">
        <v>2952</v>
      </c>
      <c r="B1892" s="141">
        <v>100</v>
      </c>
      <c r="C1892" s="142">
        <f>B1892*IBGE_2!C$1892/100</f>
        <v>16</v>
      </c>
      <c r="D1892" s="142">
        <f>B1892*IBGE_2!D$1892/100</f>
        <v>2</v>
      </c>
      <c r="E1892" s="142">
        <f>B1892*IBGE_2!E$1892/100</f>
        <v>0.6</v>
      </c>
      <c r="F1892" s="142">
        <f>B1892*IBGE_2!F$1892/100</f>
        <v>0.14199999999999999</v>
      </c>
      <c r="G1892" s="142">
        <f>B1892*IBGE_2!G$1892/100</f>
        <v>0.121</v>
      </c>
      <c r="H1892" s="142">
        <f>B1892*IBGE_2!H$1892/100</f>
        <v>0.16200000000000001</v>
      </c>
      <c r="I1892" s="142">
        <f>B1892*IBGE_2!I$1892/100</f>
        <v>6.0000000000000001E-3</v>
      </c>
      <c r="J1892" s="142">
        <f>B1892*IBGE_2!J$1892/100</f>
        <v>6.0000000000000001E-3</v>
      </c>
      <c r="K1892" s="142" t="s">
        <v>3047</v>
      </c>
      <c r="L1892" s="142">
        <f>B1892*IBGE_2!L$1892/100</f>
        <v>0.4</v>
      </c>
      <c r="M1892" s="142" t="s">
        <v>3047</v>
      </c>
      <c r="N1892" s="142">
        <f>B1892*IBGE_2!N$1892/100</f>
        <v>30</v>
      </c>
      <c r="O1892" s="142">
        <f>B1892*IBGE_2!O$1892/100</f>
        <v>1</v>
      </c>
      <c r="P1892" s="142">
        <f>B1892*IBGE_2!P$1892/100</f>
        <v>2.6000000000000002E-2</v>
      </c>
      <c r="Q1892" s="142">
        <f>B1892*IBGE_2!Q$1892/100</f>
        <v>30</v>
      </c>
      <c r="R1892" s="142">
        <f>B1892*IBGE_2!R$1892/100</f>
        <v>0.21</v>
      </c>
      <c r="S1892" s="142">
        <f>B1892*IBGE_2!S$1892/100</f>
        <v>318</v>
      </c>
      <c r="T1892" s="142">
        <f>B1892*IBGE_2!T$1892/100</f>
        <v>86</v>
      </c>
      <c r="U1892" s="142">
        <f>B1892*IBGE_2!U$1892/100</f>
        <v>5.0999999999999997E-2</v>
      </c>
      <c r="V1892" s="142">
        <f>B1892*IBGE_2!V$1892/100</f>
        <v>0.1</v>
      </c>
      <c r="W1892" s="142">
        <f>B1892*IBGE_2!W$1892/100</f>
        <v>1</v>
      </c>
      <c r="X1892" s="142" t="s">
        <v>3047</v>
      </c>
      <c r="Y1892" s="142">
        <f>B1892*IBGE_2!Y$1892/100</f>
        <v>0.03</v>
      </c>
      <c r="Z1892" s="142">
        <f>B1892*IBGE_2!Z$1892/100</f>
        <v>0.01</v>
      </c>
      <c r="AA1892" s="142">
        <f>B1892*IBGE_2!AA$1892/100</f>
        <v>1.37</v>
      </c>
      <c r="AB1892" s="142" t="s">
        <v>3047</v>
      </c>
      <c r="AC1892" s="142">
        <f>B1892*IBGE_2!AC$1892/100</f>
        <v>1.7529999999999999</v>
      </c>
      <c r="AD1892" s="142">
        <f>B1892*IBGE_2!AD$1892/100</f>
        <v>0.1</v>
      </c>
      <c r="AE1892" s="142">
        <f>B1892*IBGE_2!AE$1892/100</f>
        <v>4</v>
      </c>
      <c r="AF1892" s="142">
        <f>B1892*IBGE_2!AF$1892/100</f>
        <v>0.192</v>
      </c>
      <c r="AG1892" s="142">
        <f>B1892*IBGE_2!AG$1892/100</f>
        <v>0.15</v>
      </c>
      <c r="AH1892" s="142" t="s">
        <v>3047</v>
      </c>
      <c r="AI1892" s="142" t="s">
        <v>3047</v>
      </c>
      <c r="AJ1892" s="142">
        <f>B1892*IBGE_2!AJ$1892/100</f>
        <v>0.7</v>
      </c>
      <c r="AK1892" s="142">
        <f>B1892*IBGE_2!AK$1892/100</f>
        <v>1</v>
      </c>
      <c r="AL1892" s="142">
        <f>B1892*IBGE_2!AL$1892/100</f>
        <v>0.16200000000000001</v>
      </c>
      <c r="AM1892" s="142" t="s">
        <v>3047</v>
      </c>
      <c r="AN1892" s="161"/>
    </row>
    <row r="1893" spans="1:40">
      <c r="A1893" s="143" t="s">
        <v>2953</v>
      </c>
      <c r="B1893" s="141">
        <v>100</v>
      </c>
      <c r="C1893" s="142">
        <f>B1893*IBGE_2!C$1893/100</f>
        <v>297.322</v>
      </c>
      <c r="D1893" s="142">
        <f>B1893*IBGE_2!D$1893/100</f>
        <v>6.706999999999999</v>
      </c>
      <c r="E1893" s="142">
        <f>B1893*IBGE_2!E$1893/100</f>
        <v>5.8010000000000002</v>
      </c>
      <c r="F1893" s="142">
        <f>B1893*IBGE_2!F$1893/100</f>
        <v>2.7810000000000001</v>
      </c>
      <c r="G1893" s="142">
        <f>B1893*IBGE_2!G$1893/100</f>
        <v>1.5629999999999997</v>
      </c>
      <c r="H1893" s="142">
        <f>B1893*IBGE_2!H$1893/100</f>
        <v>0.61099999999999999</v>
      </c>
      <c r="I1893" s="142">
        <f>B1893*IBGE_2!I$1893/100</f>
        <v>0.52500000000000002</v>
      </c>
      <c r="J1893" s="142">
        <f>B1893*IBGE_2!J$1893/100</f>
        <v>1.7999999999999999E-2</v>
      </c>
      <c r="K1893" s="142">
        <f>B1893*IBGE_2!K$1893/100</f>
        <v>152.614</v>
      </c>
      <c r="L1893" s="142">
        <f>B1893*IBGE_2!L$1893/100</f>
        <v>54.893999999999998</v>
      </c>
      <c r="M1893" s="142">
        <f>B1893*IBGE_2!M$1893/100</f>
        <v>0.84699999999999998</v>
      </c>
      <c r="N1893" s="142">
        <f>B1893*IBGE_2!N$1893/100</f>
        <v>23.321000000000005</v>
      </c>
      <c r="O1893" s="142">
        <f>B1893*IBGE_2!O$1893/100</f>
        <v>12.119000000000002</v>
      </c>
      <c r="P1893" s="142">
        <f>B1893*IBGE_2!P$1893/100</f>
        <v>0.26500000000000001</v>
      </c>
      <c r="Q1893" s="142">
        <f>B1893*IBGE_2!Q$1893/100</f>
        <v>89.873999999999995</v>
      </c>
      <c r="R1893" s="142">
        <f>B1893*IBGE_2!R$1893/100</f>
        <v>1.4780000000000002</v>
      </c>
      <c r="S1893" s="142">
        <f>B1893*IBGE_2!S$1893/100</f>
        <v>58.58</v>
      </c>
      <c r="T1893" s="142">
        <f>B1893*IBGE_2!T$1893/100</f>
        <v>142.547</v>
      </c>
      <c r="U1893" s="142">
        <f>B1893*IBGE_2!U$1893/100</f>
        <v>5.800000000000001E-2</v>
      </c>
      <c r="V1893" s="142">
        <f>B1893*IBGE_2!V$1893/100</f>
        <v>0.61299999999999999</v>
      </c>
      <c r="W1893" s="142">
        <f>B1893*IBGE_2!W$1893/100</f>
        <v>60.47</v>
      </c>
      <c r="X1893" s="142">
        <f>B1893*IBGE_2!X$1893/100</f>
        <v>0.183</v>
      </c>
      <c r="Y1893" s="142">
        <f>B1893*IBGE_2!Y$1893/100</f>
        <v>0.28999999999999998</v>
      </c>
      <c r="Z1893" s="142">
        <f>B1893*IBGE_2!Z$1893/100</f>
        <v>0.08</v>
      </c>
      <c r="AA1893" s="142">
        <f>B1893*IBGE_2!AA$1893/100</f>
        <v>1.208</v>
      </c>
      <c r="AB1893" s="142">
        <f>B1893*IBGE_2!AB$1893/100</f>
        <v>5.7549999999999999</v>
      </c>
      <c r="AC1893" s="142">
        <f>B1893*IBGE_2!AC$1893/100</f>
        <v>2.5569999999999999</v>
      </c>
      <c r="AD1893" s="142">
        <f>B1893*IBGE_2!AD$1893/100</f>
        <v>0.4</v>
      </c>
      <c r="AE1893" s="142">
        <f>B1893*IBGE_2!AE$1893/100</f>
        <v>57.473999999999997</v>
      </c>
      <c r="AF1893" s="142">
        <f>B1893*IBGE_2!AF$1893/100</f>
        <v>0.46100000000000002</v>
      </c>
      <c r="AG1893" s="142">
        <f>B1893*IBGE_2!AG$1893/100</f>
        <v>0.435</v>
      </c>
      <c r="AH1893" s="142" t="s">
        <v>3047</v>
      </c>
      <c r="AI1893" s="142" t="s">
        <v>3047</v>
      </c>
      <c r="AJ1893" s="142">
        <f>B1893*IBGE_2!AJ$1893/100</f>
        <v>18.509</v>
      </c>
      <c r="AK1893" s="142">
        <f>B1893*IBGE_2!AK$1893/100</f>
        <v>62.411999999999999</v>
      </c>
      <c r="AL1893" s="142">
        <f>B1893*IBGE_2!AL$1893/100</f>
        <v>39.670999999999999</v>
      </c>
      <c r="AM1893" s="142">
        <f>B1893*IBGE_2!AM$1893/100</f>
        <v>37.768999999999998</v>
      </c>
      <c r="AN1893" s="161"/>
    </row>
    <row r="1894" spans="1:40">
      <c r="A1894" s="143" t="s">
        <v>2954</v>
      </c>
      <c r="B1894" s="141">
        <v>100</v>
      </c>
      <c r="C1894" s="142">
        <f>B1894*IBGE_2!C$1894/100</f>
        <v>113.01600000000001</v>
      </c>
      <c r="D1894" s="142">
        <f>B1894*IBGE_2!D$1894/100</f>
        <v>6.6639999999999997</v>
      </c>
      <c r="E1894" s="142">
        <f>B1894*IBGE_2!E$1894/100</f>
        <v>1.994</v>
      </c>
      <c r="F1894" s="142">
        <f>B1894*IBGE_2!F$1894/100</f>
        <v>0.41899999999999998</v>
      </c>
      <c r="G1894" s="142">
        <f>B1894*IBGE_2!G$1894/100</f>
        <v>0.65100000000000013</v>
      </c>
      <c r="H1894" s="142">
        <f>B1894*IBGE_2!H$1894/100</f>
        <v>0.69899999999999995</v>
      </c>
      <c r="I1894" s="142">
        <f>B1894*IBGE_2!I$1894/100</f>
        <v>0.61099999999999999</v>
      </c>
      <c r="J1894" s="142">
        <f>B1894*IBGE_2!J$1894/100</f>
        <v>5.4000000000000006E-2</v>
      </c>
      <c r="K1894" s="142">
        <f>B1894*IBGE_2!K$1894/100</f>
        <v>14.140999999999998</v>
      </c>
      <c r="L1894" s="142">
        <f>B1894*IBGE_2!L$1894/100</f>
        <v>17.163</v>
      </c>
      <c r="M1894" s="142">
        <f>B1894*IBGE_2!M$1894/100</f>
        <v>1.101</v>
      </c>
      <c r="N1894" s="142">
        <f>B1894*IBGE_2!N$1894/100</f>
        <v>19.366</v>
      </c>
      <c r="O1894" s="142">
        <f>B1894*IBGE_2!O$1894/100</f>
        <v>15.378999999999998</v>
      </c>
      <c r="P1894" s="142">
        <f>B1894*IBGE_2!P$1894/100</f>
        <v>0.23699999999999999</v>
      </c>
      <c r="Q1894" s="142">
        <f>B1894*IBGE_2!Q$1894/100</f>
        <v>66.147999999999996</v>
      </c>
      <c r="R1894" s="142">
        <f>B1894*IBGE_2!R$1894/100</f>
        <v>1.024</v>
      </c>
      <c r="S1894" s="142">
        <f>B1894*IBGE_2!S$1894/100</f>
        <v>307.726</v>
      </c>
      <c r="T1894" s="142">
        <f>B1894*IBGE_2!T$1894/100</f>
        <v>182.1</v>
      </c>
      <c r="U1894" s="142">
        <f>B1894*IBGE_2!U$1894/100</f>
        <v>8.2000000000000017E-2</v>
      </c>
      <c r="V1894" s="142">
        <f>B1894*IBGE_2!V$1894/100</f>
        <v>0.53300000000000003</v>
      </c>
      <c r="W1894" s="142">
        <f>B1894*IBGE_2!W$1894/100</f>
        <v>1.4970000000000001</v>
      </c>
      <c r="X1894" s="142">
        <f>B1894*IBGE_2!X$1894/100</f>
        <v>8.7999999999999995E-2</v>
      </c>
      <c r="Y1894" s="142">
        <f>B1894*IBGE_2!Y$1894/100</f>
        <v>4.7E-2</v>
      </c>
      <c r="Z1894" s="142">
        <f>B1894*IBGE_2!Z$1894/100</f>
        <v>0.17800000000000002</v>
      </c>
      <c r="AA1894" s="142">
        <f>B1894*IBGE_2!AA$1894/100</f>
        <v>2.9769999999999999</v>
      </c>
      <c r="AB1894" s="142">
        <f>B1894*IBGE_2!AB$1894/100</f>
        <v>2.8280000000000003</v>
      </c>
      <c r="AC1894" s="142">
        <f>B1894*IBGE_2!AC$1894/100</f>
        <v>4.2460000000000004</v>
      </c>
      <c r="AD1894" s="142">
        <f>B1894*IBGE_2!AD$1894/100</f>
        <v>5.7000000000000002E-2</v>
      </c>
      <c r="AE1894" s="142">
        <f>B1894*IBGE_2!AE$1894/100</f>
        <v>20.518000000000001</v>
      </c>
      <c r="AF1894" s="142">
        <f>B1894*IBGE_2!AF$1894/100</f>
        <v>3.3000000000000002E-2</v>
      </c>
      <c r="AG1894" s="142">
        <f>B1894*IBGE_2!AG$1894/100</f>
        <v>0.79600000000000004</v>
      </c>
      <c r="AH1894" s="142">
        <f>B1894*IBGE_2!AH$1894/100</f>
        <v>1.7000000000000001E-2</v>
      </c>
      <c r="AI1894" s="142" t="s">
        <v>3047</v>
      </c>
      <c r="AJ1894" s="142">
        <f>B1894*IBGE_2!AJ$1894/100</f>
        <v>7.5019999999999989</v>
      </c>
      <c r="AK1894" s="142">
        <f>B1894*IBGE_2!AK$1894/100</f>
        <v>152.80799999999999</v>
      </c>
      <c r="AL1894" s="142">
        <f>B1894*IBGE_2!AL$1894/100</f>
        <v>3.5990000000000002</v>
      </c>
      <c r="AM1894" s="142">
        <f>B1894*IBGE_2!AM$1894/100</f>
        <v>3.3650000000000002</v>
      </c>
      <c r="AN1894" s="161"/>
    </row>
    <row r="1895" spans="1:40">
      <c r="A1895" s="143" t="s">
        <v>2955</v>
      </c>
      <c r="B1895" s="141">
        <v>100</v>
      </c>
      <c r="C1895" s="142">
        <f>B1895*IBGE_2!C$1895/100</f>
        <v>226.06800000000004</v>
      </c>
      <c r="D1895" s="142">
        <f>B1895*IBGE_2!D$1895/100</f>
        <v>13.773999999999999</v>
      </c>
      <c r="E1895" s="142">
        <f>B1895*IBGE_2!E$1895/100</f>
        <v>15.61</v>
      </c>
      <c r="F1895" s="142">
        <f>B1895*IBGE_2!F$1895/100</f>
        <v>6.6329999999999991</v>
      </c>
      <c r="G1895" s="142">
        <f>B1895*IBGE_2!G$1895/100</f>
        <v>5.0259999999999998</v>
      </c>
      <c r="H1895" s="142">
        <f>B1895*IBGE_2!H$1895/100</f>
        <v>2.9329999999999994</v>
      </c>
      <c r="I1895" s="142">
        <f>B1895*IBGE_2!I$1895/100</f>
        <v>1.889</v>
      </c>
      <c r="J1895" s="142">
        <f>B1895*IBGE_2!J$1895/100</f>
        <v>0.14699999999999999</v>
      </c>
      <c r="K1895" s="142">
        <f>B1895*IBGE_2!K$1895/100</f>
        <v>40.610999999999997</v>
      </c>
      <c r="L1895" s="142">
        <f>B1895*IBGE_2!L$1895/100</f>
        <v>9.2759999999999998</v>
      </c>
      <c r="M1895" s="142">
        <f>B1895*IBGE_2!M$1895/100</f>
        <v>1.3240000000000001</v>
      </c>
      <c r="N1895" s="142">
        <f>B1895*IBGE_2!N$1895/100</f>
        <v>30.675999999999998</v>
      </c>
      <c r="O1895" s="142">
        <f>B1895*IBGE_2!O$1895/100</f>
        <v>53.585999999999991</v>
      </c>
      <c r="P1895" s="142">
        <f>B1895*IBGE_2!P$1895/100</f>
        <v>0.373</v>
      </c>
      <c r="Q1895" s="142">
        <f>B1895*IBGE_2!Q$1895/100</f>
        <v>173.179</v>
      </c>
      <c r="R1895" s="142">
        <f>B1895*IBGE_2!R$1895/100</f>
        <v>1.7030000000000001</v>
      </c>
      <c r="S1895" s="142">
        <f>B1895*IBGE_2!S$1895/100</f>
        <v>225.27500000000001</v>
      </c>
      <c r="T1895" s="142">
        <f>B1895*IBGE_2!T$1895/100</f>
        <v>391.077</v>
      </c>
      <c r="U1895" s="142">
        <f>B1895*IBGE_2!U$1895/100</f>
        <v>0.38200000000000001</v>
      </c>
      <c r="V1895" s="142">
        <f>B1895*IBGE_2!V$1895/100</f>
        <v>1.1719999999999999</v>
      </c>
      <c r="W1895" s="142">
        <f>B1895*IBGE_2!W$1895/100</f>
        <v>10.36</v>
      </c>
      <c r="X1895" s="142">
        <f>B1895*IBGE_2!X$1895/100</f>
        <v>0.18099999999999997</v>
      </c>
      <c r="Y1895" s="142">
        <f>B1895*IBGE_2!Y$1895/100</f>
        <v>0.21199999999999999</v>
      </c>
      <c r="Z1895" s="142">
        <f>B1895*IBGE_2!Z$1895/100</f>
        <v>0.39800000000000002</v>
      </c>
      <c r="AA1895" s="142">
        <f>B1895*IBGE_2!AA$1895/100</f>
        <v>5.0380000000000003</v>
      </c>
      <c r="AB1895" s="142">
        <f>B1895*IBGE_2!AB$1895/100</f>
        <v>9.7279999999999998</v>
      </c>
      <c r="AC1895" s="142">
        <f>B1895*IBGE_2!AC$1895/100</f>
        <v>7.7249999999999996</v>
      </c>
      <c r="AD1895" s="142">
        <f>B1895*IBGE_2!AD$1895/100</f>
        <v>1.121</v>
      </c>
      <c r="AE1895" s="142">
        <f>B1895*IBGE_2!AE$1895/100</f>
        <v>41.161999999999999</v>
      </c>
      <c r="AF1895" s="142">
        <f>B1895*IBGE_2!AF$1895/100</f>
        <v>10.286</v>
      </c>
      <c r="AG1895" s="142">
        <f>B1895*IBGE_2!AG$1895/100</f>
        <v>2.2770000000000001</v>
      </c>
      <c r="AH1895" s="142">
        <f>B1895*IBGE_2!AH$1895/100</f>
        <v>4.9000000000000002E-2</v>
      </c>
      <c r="AI1895" s="142" t="s">
        <v>3047</v>
      </c>
      <c r="AJ1895" s="142">
        <f>B1895*IBGE_2!AJ$1895/100</f>
        <v>21.718000000000004</v>
      </c>
      <c r="AK1895" s="142">
        <f>B1895*IBGE_2!AK$1895/100</f>
        <v>19.683</v>
      </c>
      <c r="AL1895" s="142">
        <f>B1895*IBGE_2!AL$1895/100</f>
        <v>2.2850000000000001</v>
      </c>
      <c r="AM1895" s="142">
        <f>B1895*IBGE_2!AM$1895/100</f>
        <v>0.26700000000000002</v>
      </c>
      <c r="AN1895" s="161"/>
    </row>
    <row r="1896" spans="1:40">
      <c r="A1896" s="143" t="s">
        <v>2956</v>
      </c>
      <c r="B1896" s="141">
        <v>100</v>
      </c>
      <c r="C1896" s="142">
        <f>B1896*IBGE_2!C$1896/100</f>
        <v>406</v>
      </c>
      <c r="D1896" s="142">
        <f>B1896*IBGE_2!D$1896/100</f>
        <v>2.1</v>
      </c>
      <c r="E1896" s="142">
        <f>B1896*IBGE_2!E$1896/100</f>
        <v>9.1</v>
      </c>
      <c r="F1896" s="142">
        <f>B1896*IBGE_2!F$1896/100</f>
        <v>1.9</v>
      </c>
      <c r="G1896" s="142">
        <f>B1896*IBGE_2!G$1896/100</f>
        <v>2.4</v>
      </c>
      <c r="H1896" s="142">
        <f>B1896*IBGE_2!H$1896/100</f>
        <v>2.5</v>
      </c>
      <c r="I1896" s="142">
        <f>B1896*IBGE_2!I$1896/100</f>
        <v>2.29</v>
      </c>
      <c r="J1896" s="142">
        <f>B1896*IBGE_2!J$1896/100</f>
        <v>0.19</v>
      </c>
      <c r="K1896" s="142" t="s">
        <v>3047</v>
      </c>
      <c r="L1896" s="142">
        <f>B1896*IBGE_2!L$1896/100</f>
        <v>80.3</v>
      </c>
      <c r="M1896" s="142">
        <f>B1896*IBGE_2!M$1896/100</f>
        <v>7.8</v>
      </c>
      <c r="N1896" s="142">
        <f>B1896*IBGE_2!N$1896/100</f>
        <v>66</v>
      </c>
      <c r="O1896" s="142">
        <f>B1896*IBGE_2!O$1896/100</f>
        <v>34</v>
      </c>
      <c r="P1896" s="142">
        <f>B1896*IBGE_2!P$1896/100</f>
        <v>0.28999999999999998</v>
      </c>
      <c r="Q1896" s="142">
        <f>B1896*IBGE_2!Q$1896/100</f>
        <v>45</v>
      </c>
      <c r="R1896" s="142">
        <f>B1896*IBGE_2!R$1896/100</f>
        <v>1.4</v>
      </c>
      <c r="S1896" s="142">
        <f>B1896*IBGE_2!S$1896/100</f>
        <v>575</v>
      </c>
      <c r="T1896" s="142">
        <f>B1896*IBGE_2!T$1896/100</f>
        <v>201</v>
      </c>
      <c r="U1896" s="142" t="s">
        <v>3047</v>
      </c>
      <c r="V1896" s="142">
        <f>B1896*IBGE_2!V$1896/100</f>
        <v>0.2</v>
      </c>
      <c r="W1896" s="142" t="s">
        <v>3047</v>
      </c>
      <c r="X1896" s="142">
        <f>B1896*IBGE_2!X$1896/100</f>
        <v>0.1</v>
      </c>
      <c r="Y1896" s="142" t="s">
        <v>3047</v>
      </c>
      <c r="Z1896" s="142">
        <f>B1896*IBGE_2!Z$1896/100</f>
        <v>0.15</v>
      </c>
      <c r="AA1896" s="142" t="s">
        <v>3047</v>
      </c>
      <c r="AB1896" s="142" t="s">
        <v>3047</v>
      </c>
      <c r="AC1896" s="142" t="s">
        <v>3047</v>
      </c>
      <c r="AD1896" s="142" t="s">
        <v>3047</v>
      </c>
      <c r="AE1896" s="142" t="s">
        <v>3047</v>
      </c>
      <c r="AF1896" s="142" t="s">
        <v>3047</v>
      </c>
      <c r="AG1896" s="142" t="s">
        <v>3047</v>
      </c>
      <c r="AH1896" s="142" t="s">
        <v>3047</v>
      </c>
      <c r="AI1896" s="142" t="s">
        <v>3047</v>
      </c>
      <c r="AJ1896" s="142" t="s">
        <v>3047</v>
      </c>
      <c r="AK1896" s="142" t="s">
        <v>3047</v>
      </c>
      <c r="AL1896" s="142" t="s">
        <v>3047</v>
      </c>
      <c r="AM1896" s="142" t="s">
        <v>3047</v>
      </c>
      <c r="AN1896" s="161"/>
    </row>
    <row r="1897" spans="1:40">
      <c r="A1897" s="143" t="s">
        <v>2957</v>
      </c>
      <c r="B1897" s="141">
        <v>100</v>
      </c>
      <c r="C1897" s="142">
        <f>B1897*IBGE_2!C$1897/100</f>
        <v>7.02</v>
      </c>
      <c r="D1897" s="142">
        <f>B1897*IBGE_2!D$1897/100</f>
        <v>1.361</v>
      </c>
      <c r="E1897" s="142" t="s">
        <v>3047</v>
      </c>
      <c r="F1897" s="142" t="s">
        <v>3047</v>
      </c>
      <c r="G1897" s="142" t="s">
        <v>3047</v>
      </c>
      <c r="H1897" s="142" t="s">
        <v>3047</v>
      </c>
      <c r="I1897" s="142" t="s">
        <v>3047</v>
      </c>
      <c r="J1897" s="142" t="s">
        <v>3047</v>
      </c>
      <c r="K1897" s="142" t="s">
        <v>3047</v>
      </c>
      <c r="L1897" s="142">
        <f>B1897*IBGE_2!L$1897/100</f>
        <v>0.45399999999999996</v>
      </c>
      <c r="M1897" s="142" t="s">
        <v>3047</v>
      </c>
      <c r="N1897" s="142">
        <f>B1897*IBGE_2!N$1897/100</f>
        <v>5.03</v>
      </c>
      <c r="O1897" s="142">
        <f>B1897*IBGE_2!O$1897/100</f>
        <v>2.6150000000000002</v>
      </c>
      <c r="P1897" s="142">
        <f>B1897*IBGE_2!P$1897/100</f>
        <v>0.01</v>
      </c>
      <c r="Q1897" s="142">
        <f>B1897*IBGE_2!Q$1897/100</f>
        <v>14.04</v>
      </c>
      <c r="R1897" s="142">
        <f>B1897*IBGE_2!R$1897/100</f>
        <v>0.23</v>
      </c>
      <c r="S1897" s="142">
        <f>B1897*IBGE_2!S$1897/100</f>
        <v>200.78700000000001</v>
      </c>
      <c r="T1897" s="142">
        <f>B1897*IBGE_2!T$1897/100</f>
        <v>67.456999999999994</v>
      </c>
      <c r="U1897" s="142">
        <f>B1897*IBGE_2!U$1897/100</f>
        <v>6.0000000000000001E-3</v>
      </c>
      <c r="V1897" s="142">
        <f>B1897*IBGE_2!V$1897/100</f>
        <v>0.01</v>
      </c>
      <c r="W1897" s="142" t="s">
        <v>3047</v>
      </c>
      <c r="X1897" s="142">
        <f>B1897*IBGE_2!X$1897/100</f>
        <v>8.9999999999999993E-3</v>
      </c>
      <c r="Y1897" s="142">
        <f>B1897*IBGE_2!Y$1897/100</f>
        <v>1.2E-2</v>
      </c>
      <c r="Z1897" s="142">
        <f>B1897*IBGE_2!Z$1897/100</f>
        <v>1.0999999999999999E-2</v>
      </c>
      <c r="AA1897" s="142">
        <f>B1897*IBGE_2!AA$1897/100</f>
        <v>0.313</v>
      </c>
      <c r="AB1897" s="142">
        <f>B1897*IBGE_2!AB$1897/100</f>
        <v>0.37799999999999995</v>
      </c>
      <c r="AC1897" s="142">
        <f>B1897*IBGE_2!AC$1897/100</f>
        <v>0.55600000000000005</v>
      </c>
      <c r="AD1897" s="142">
        <f>B1897*IBGE_2!AD$1897/100</f>
        <v>7.5999999999999998E-2</v>
      </c>
      <c r="AE1897" s="142">
        <f>B1897*IBGE_2!AE$1897/100</f>
        <v>2.7</v>
      </c>
      <c r="AF1897" s="142" t="s">
        <v>3047</v>
      </c>
      <c r="AG1897" s="142">
        <f>B1897*IBGE_2!AG$1897/100</f>
        <v>5.0000000000000001E-3</v>
      </c>
      <c r="AH1897" s="142" t="s">
        <v>3047</v>
      </c>
      <c r="AI1897" s="142" t="s">
        <v>3047</v>
      </c>
      <c r="AJ1897" s="142">
        <f>B1897*IBGE_2!AJ$1897/100</f>
        <v>0.75599999999999989</v>
      </c>
      <c r="AK1897" s="142" t="s">
        <v>3047</v>
      </c>
      <c r="AL1897" s="142">
        <f>B1897*IBGE_2!AL$1897/100</f>
        <v>0.16800000000000001</v>
      </c>
      <c r="AM1897" s="142" t="s">
        <v>3047</v>
      </c>
      <c r="AN1897" s="161"/>
    </row>
    <row r="1898" spans="1:40">
      <c r="A1898" s="143" t="s">
        <v>2958</v>
      </c>
      <c r="B1898" s="141">
        <v>100</v>
      </c>
      <c r="C1898" s="142">
        <f>B1898*IBGE_2!C$1898/100</f>
        <v>75.498999999999995</v>
      </c>
      <c r="D1898" s="142">
        <f>B1898*IBGE_2!D$1898/100</f>
        <v>4.7839999999999998</v>
      </c>
      <c r="E1898" s="142">
        <f>B1898*IBGE_2!E$1898/100</f>
        <v>1.7649999999999999</v>
      </c>
      <c r="F1898" s="142">
        <f>B1898*IBGE_2!F$1898/100</f>
        <v>0.57099999999999995</v>
      </c>
      <c r="G1898" s="142">
        <f>B1898*IBGE_2!G$1898/100</f>
        <v>0.73799999999999999</v>
      </c>
      <c r="H1898" s="142">
        <f>B1898*IBGE_2!H$1898/100</f>
        <v>0.23300000000000001</v>
      </c>
      <c r="I1898" s="142">
        <f>B1898*IBGE_2!I$1898/100</f>
        <v>0.188</v>
      </c>
      <c r="J1898" s="142">
        <f>B1898*IBGE_2!J$1898/100</f>
        <v>3.1E-2</v>
      </c>
      <c r="K1898" s="142">
        <f>B1898*IBGE_2!K$1898/100</f>
        <v>4.3170000000000002</v>
      </c>
      <c r="L1898" s="142">
        <f>B1898*IBGE_2!L$1898/100</f>
        <v>10.332000000000001</v>
      </c>
      <c r="M1898" s="142">
        <f>B1898*IBGE_2!M$1898/100</f>
        <v>2.1960000000000002</v>
      </c>
      <c r="N1898" s="142">
        <f>B1898*IBGE_2!N$1898/100</f>
        <v>33.667999999999999</v>
      </c>
      <c r="O1898" s="142">
        <f>B1898*IBGE_2!O$1898/100</f>
        <v>23.402999999999999</v>
      </c>
      <c r="P1898" s="142">
        <f>B1898*IBGE_2!P$1898/100</f>
        <v>0.221</v>
      </c>
      <c r="Q1898" s="142">
        <f>B1898*IBGE_2!Q$1898/100</f>
        <v>60.154000000000003</v>
      </c>
      <c r="R1898" s="142">
        <f>B1898*IBGE_2!R$1898/100</f>
        <v>1.3520000000000001</v>
      </c>
      <c r="S1898" s="142">
        <f>B1898*IBGE_2!S$1898/100</f>
        <v>401.38600000000008</v>
      </c>
      <c r="T1898" s="142">
        <f>B1898*IBGE_2!T$1898/100</f>
        <v>221.40100000000001</v>
      </c>
      <c r="U1898" s="142">
        <f>B1898*IBGE_2!U$1898/100</f>
        <v>0.107</v>
      </c>
      <c r="V1898" s="142">
        <f>B1898*IBGE_2!V$1898/100</f>
        <v>0.61199999999999999</v>
      </c>
      <c r="W1898" s="142">
        <f>B1898*IBGE_2!W$1898/100</f>
        <v>0.43200000000000005</v>
      </c>
      <c r="X1898" s="142">
        <f>B1898*IBGE_2!X$1898/100</f>
        <v>5.800000000000001E-2</v>
      </c>
      <c r="Y1898" s="142">
        <f>B1898*IBGE_2!Y$1898/100</f>
        <v>2.9000000000000005E-2</v>
      </c>
      <c r="Z1898" s="142">
        <f>B1898*IBGE_2!Z$1898/100</f>
        <v>5.0999999999999997E-2</v>
      </c>
      <c r="AA1898" s="142">
        <f>B1898*IBGE_2!AA$1898/100</f>
        <v>0.51600000000000001</v>
      </c>
      <c r="AB1898" s="142">
        <f>B1898*IBGE_2!AB$1898/100</f>
        <v>0.39399999999999996</v>
      </c>
      <c r="AC1898" s="142">
        <f>B1898*IBGE_2!AC$1898/100</f>
        <v>1.381</v>
      </c>
      <c r="AD1898" s="142">
        <f>B1898*IBGE_2!AD$1898/100</f>
        <v>4.8000000000000001E-2</v>
      </c>
      <c r="AE1898" s="142">
        <f>B1898*IBGE_2!AE$1898/100</f>
        <v>27.922999999999998</v>
      </c>
      <c r="AF1898" s="142">
        <f>B1898*IBGE_2!AF$1898/100</f>
        <v>2.7000000000000003E-2</v>
      </c>
      <c r="AG1898" s="142">
        <f>B1898*IBGE_2!AG$1898/100</f>
        <v>0.36499999999999999</v>
      </c>
      <c r="AH1898" s="142">
        <f>B1898*IBGE_2!AH$1898/100</f>
        <v>1.2E-2</v>
      </c>
      <c r="AI1898" s="142" t="s">
        <v>3047</v>
      </c>
      <c r="AJ1898" s="142">
        <f>B1898*IBGE_2!AJ$1898/100</f>
        <v>2.8879999999999999</v>
      </c>
      <c r="AK1898" s="142">
        <f>B1898*IBGE_2!AK$1898/100</f>
        <v>7.418000000000001</v>
      </c>
      <c r="AL1898" s="142">
        <f>B1898*IBGE_2!AL$1898/100</f>
        <v>1.08</v>
      </c>
      <c r="AM1898" s="142">
        <f>B1898*IBGE_2!AM$1898/100</f>
        <v>0.82299999999999995</v>
      </c>
      <c r="AN1898" s="161"/>
    </row>
    <row r="1899" spans="1:40">
      <c r="A1899" s="143" t="s">
        <v>2959</v>
      </c>
      <c r="B1899" s="141">
        <v>100</v>
      </c>
      <c r="C1899" s="142">
        <f>B1899*IBGE_2!C$1899/100</f>
        <v>7.02</v>
      </c>
      <c r="D1899" s="142">
        <f>B1899*IBGE_2!D$1899/100</f>
        <v>1.361</v>
      </c>
      <c r="E1899" s="142" t="s">
        <v>3047</v>
      </c>
      <c r="F1899" s="142" t="s">
        <v>3047</v>
      </c>
      <c r="G1899" s="142" t="s">
        <v>3047</v>
      </c>
      <c r="H1899" s="142" t="s">
        <v>3047</v>
      </c>
      <c r="I1899" s="142" t="s">
        <v>3047</v>
      </c>
      <c r="J1899" s="142" t="s">
        <v>3047</v>
      </c>
      <c r="K1899" s="142" t="s">
        <v>3047</v>
      </c>
      <c r="L1899" s="142">
        <f>B1899*IBGE_2!L$1899/100</f>
        <v>0.45399999999999996</v>
      </c>
      <c r="M1899" s="142" t="s">
        <v>3047</v>
      </c>
      <c r="N1899" s="142">
        <f>B1899*IBGE_2!N$1899/100</f>
        <v>5.03</v>
      </c>
      <c r="O1899" s="142">
        <f>B1899*IBGE_2!O$1899/100</f>
        <v>2.6150000000000002</v>
      </c>
      <c r="P1899" s="142">
        <f>B1899*IBGE_2!P$1899/100</f>
        <v>0.01</v>
      </c>
      <c r="Q1899" s="142">
        <f>B1899*IBGE_2!Q$1899/100</f>
        <v>14.04</v>
      </c>
      <c r="R1899" s="142">
        <f>B1899*IBGE_2!R$1899/100</f>
        <v>0.23</v>
      </c>
      <c r="S1899" s="142">
        <f>B1899*IBGE_2!S$1899/100</f>
        <v>200.78700000000001</v>
      </c>
      <c r="T1899" s="142">
        <f>B1899*IBGE_2!T$1899/100</f>
        <v>67.456999999999994</v>
      </c>
      <c r="U1899" s="142">
        <f>B1899*IBGE_2!U$1899/100</f>
        <v>6.0000000000000001E-3</v>
      </c>
      <c r="V1899" s="142">
        <f>B1899*IBGE_2!V$1899/100</f>
        <v>0.01</v>
      </c>
      <c r="W1899" s="142" t="s">
        <v>3047</v>
      </c>
      <c r="X1899" s="142">
        <f>B1899*IBGE_2!X$1899/100</f>
        <v>8.9999999999999993E-3</v>
      </c>
      <c r="Y1899" s="142">
        <f>B1899*IBGE_2!Y$1899/100</f>
        <v>1.2E-2</v>
      </c>
      <c r="Z1899" s="142">
        <f>B1899*IBGE_2!Z$1899/100</f>
        <v>1.0999999999999999E-2</v>
      </c>
      <c r="AA1899" s="142">
        <f>B1899*IBGE_2!AA$1899/100</f>
        <v>0.313</v>
      </c>
      <c r="AB1899" s="142">
        <f>B1899*IBGE_2!AB$1899/100</f>
        <v>0.37799999999999995</v>
      </c>
      <c r="AC1899" s="142">
        <f>B1899*IBGE_2!AC$1899/100</f>
        <v>0.55600000000000005</v>
      </c>
      <c r="AD1899" s="142">
        <f>B1899*IBGE_2!AD$1899/100</f>
        <v>7.5999999999999998E-2</v>
      </c>
      <c r="AE1899" s="142">
        <f>B1899*IBGE_2!AE$1899/100</f>
        <v>2.7</v>
      </c>
      <c r="AF1899" s="142" t="s">
        <v>3047</v>
      </c>
      <c r="AG1899" s="142">
        <f>B1899*IBGE_2!AG$1899/100</f>
        <v>5.0000000000000001E-3</v>
      </c>
      <c r="AH1899" s="142" t="s">
        <v>3047</v>
      </c>
      <c r="AI1899" s="142" t="s">
        <v>3047</v>
      </c>
      <c r="AJ1899" s="142">
        <f>B1899*IBGE_2!AJ$1899/100</f>
        <v>0.75599999999999989</v>
      </c>
      <c r="AK1899" s="142" t="s">
        <v>3047</v>
      </c>
      <c r="AL1899" s="142">
        <f>B1899*IBGE_2!AL$1899/100</f>
        <v>0.16800000000000001</v>
      </c>
      <c r="AM1899" s="142" t="s">
        <v>3047</v>
      </c>
      <c r="AN1899" s="161"/>
    </row>
    <row r="1900" spans="1:40">
      <c r="A1900" s="143" t="s">
        <v>2960</v>
      </c>
      <c r="B1900" s="141">
        <v>100</v>
      </c>
      <c r="C1900" s="142">
        <f>B1900*IBGE_2!C$1900/100</f>
        <v>136</v>
      </c>
      <c r="D1900" s="142">
        <f>B1900*IBGE_2!D$1900/100</f>
        <v>6.2</v>
      </c>
      <c r="E1900" s="142">
        <f>B1900*IBGE_2!E$1900/100</f>
        <v>3.2</v>
      </c>
      <c r="F1900" s="142">
        <f>B1900*IBGE_2!F$1900/100</f>
        <v>0.6</v>
      </c>
      <c r="G1900" s="142">
        <f>B1900*IBGE_2!G$1900/100</f>
        <v>1</v>
      </c>
      <c r="H1900" s="142">
        <f>B1900*IBGE_2!H$1900/100</f>
        <v>1.5</v>
      </c>
      <c r="I1900" s="142">
        <f>B1900*IBGE_2!I$1900/100</f>
        <v>1.36</v>
      </c>
      <c r="J1900" s="142">
        <f>B1900*IBGE_2!J$1900/100</f>
        <v>0.13</v>
      </c>
      <c r="K1900" s="142">
        <f>B1900*IBGE_2!K$1900/100</f>
        <v>4</v>
      </c>
      <c r="L1900" s="142">
        <f>B1900*IBGE_2!L$1900/100</f>
        <v>20.399999999999999</v>
      </c>
      <c r="M1900" s="142">
        <f>B1900*IBGE_2!M$1900/100</f>
        <v>5.0999999999999996</v>
      </c>
      <c r="N1900" s="142">
        <f>B1900*IBGE_2!N$1900/100</f>
        <v>33</v>
      </c>
      <c r="O1900" s="142">
        <f>B1900*IBGE_2!O$1900/100</f>
        <v>19</v>
      </c>
      <c r="P1900" s="142">
        <f>B1900*IBGE_2!P$1900/100</f>
        <v>0.27</v>
      </c>
      <c r="Q1900" s="142">
        <f>B1900*IBGE_2!Q$1900/100</f>
        <v>72</v>
      </c>
      <c r="R1900" s="142">
        <f>B1900*IBGE_2!R$1900/100</f>
        <v>0.6</v>
      </c>
      <c r="S1900" s="142">
        <f>B1900*IBGE_2!S$1900/100</f>
        <v>93</v>
      </c>
      <c r="T1900" s="142">
        <f>B1900*IBGE_2!T$1900/100</f>
        <v>157</v>
      </c>
      <c r="U1900" s="142">
        <f>B1900*IBGE_2!U$1900/100</f>
        <v>0.08</v>
      </c>
      <c r="V1900" s="142">
        <f>B1900*IBGE_2!V$1900/100</f>
        <v>0.6</v>
      </c>
      <c r="W1900" s="142" t="s">
        <v>3047</v>
      </c>
      <c r="X1900" s="142">
        <f>B1900*IBGE_2!X$1900/100</f>
        <v>0.04</v>
      </c>
      <c r="Y1900" s="142" t="s">
        <v>3047</v>
      </c>
      <c r="Z1900" s="142">
        <f>B1900*IBGE_2!Z$1900/100</f>
        <v>0.04</v>
      </c>
      <c r="AA1900" s="142" t="s">
        <v>3047</v>
      </c>
      <c r="AB1900" s="142" t="s">
        <v>3047</v>
      </c>
      <c r="AC1900" s="142" t="s">
        <v>3047</v>
      </c>
      <c r="AD1900" s="142" t="s">
        <v>3047</v>
      </c>
      <c r="AE1900" s="142" t="s">
        <v>3047</v>
      </c>
      <c r="AF1900" s="142" t="s">
        <v>3047</v>
      </c>
      <c r="AG1900" s="142" t="s">
        <v>3047</v>
      </c>
      <c r="AH1900" s="142" t="s">
        <v>3047</v>
      </c>
      <c r="AI1900" s="142" t="s">
        <v>3047</v>
      </c>
      <c r="AJ1900" s="142" t="s">
        <v>3047</v>
      </c>
      <c r="AK1900" s="142" t="s">
        <v>3047</v>
      </c>
      <c r="AL1900" s="142" t="s">
        <v>3047</v>
      </c>
      <c r="AM1900" s="142" t="s">
        <v>3047</v>
      </c>
      <c r="AN1900" s="161"/>
    </row>
    <row r="1901" spans="1:40">
      <c r="A1901" s="143" t="s">
        <v>2961</v>
      </c>
      <c r="B1901" s="141">
        <v>100</v>
      </c>
      <c r="C1901" s="142">
        <f>B1901*IBGE_2!C$1901/100</f>
        <v>204</v>
      </c>
      <c r="D1901" s="142">
        <f>B1901*IBGE_2!D$1901/100</f>
        <v>30.67</v>
      </c>
      <c r="E1901" s="142">
        <f>B1901*IBGE_2!E$1901/100</f>
        <v>9</v>
      </c>
      <c r="F1901" s="142">
        <f>B1901*IBGE_2!F$1901/100</f>
        <v>3.415</v>
      </c>
      <c r="G1901" s="142">
        <f>B1901*IBGE_2!G$1901/100</f>
        <v>3.9180000000000001</v>
      </c>
      <c r="H1901" s="142">
        <f>B1901*IBGE_2!H$1901/100</f>
        <v>0.34699999999999998</v>
      </c>
      <c r="I1901" s="142">
        <f>B1901*IBGE_2!I$1901/100</f>
        <v>0.23799999999999996</v>
      </c>
      <c r="J1901" s="142">
        <f>B1901*IBGE_2!J$1901/100</f>
        <v>8.6999999999999994E-2</v>
      </c>
      <c r="K1901" s="142">
        <f>B1901*IBGE_2!K$1901/100</f>
        <v>58</v>
      </c>
      <c r="L1901" s="142" t="s">
        <v>3047</v>
      </c>
      <c r="M1901" s="142" t="s">
        <v>3047</v>
      </c>
      <c r="N1901" s="142">
        <f>B1901*IBGE_2!N$1901/100</f>
        <v>7</v>
      </c>
      <c r="O1901" s="142">
        <f>B1901*IBGE_2!O$1901/100</f>
        <v>20</v>
      </c>
      <c r="P1901" s="142">
        <f>B1901*IBGE_2!P$1901/100</f>
        <v>1.0999999999999999E-2</v>
      </c>
      <c r="Q1901" s="142">
        <f>B1901*IBGE_2!Q$1901/100</f>
        <v>193</v>
      </c>
      <c r="R1901" s="142">
        <f>B1901*IBGE_2!R$1901/100</f>
        <v>2.5299999999999998</v>
      </c>
      <c r="S1901" s="142">
        <f>B1901*IBGE_2!S$1901/100</f>
        <v>41</v>
      </c>
      <c r="T1901" s="142">
        <f>B1901*IBGE_2!T$1901/100</f>
        <v>252</v>
      </c>
      <c r="U1901" s="142">
        <f>B1901*IBGE_2!U$1901/100</f>
        <v>7.3999999999999996E-2</v>
      </c>
      <c r="V1901" s="142">
        <f>B1901*IBGE_2!V$1901/100</f>
        <v>5.2</v>
      </c>
      <c r="W1901" s="142" t="s">
        <v>3047</v>
      </c>
      <c r="X1901" s="142">
        <f>B1901*IBGE_2!X$1901/100</f>
        <v>7.0000000000000007E-2</v>
      </c>
      <c r="Y1901" s="142">
        <f>B1901*IBGE_2!Y$1901/100</f>
        <v>0.16300000000000001</v>
      </c>
      <c r="Z1901" s="142">
        <f>B1901*IBGE_2!Z$1901/100</f>
        <v>0.40300000000000002</v>
      </c>
      <c r="AA1901" s="142">
        <f>B1901*IBGE_2!AA$1901/100</f>
        <v>5.36</v>
      </c>
      <c r="AB1901" s="142" t="s">
        <v>3047</v>
      </c>
      <c r="AC1901" s="142">
        <f>B1901*IBGE_2!AC$1901/100</f>
        <v>8.7270000000000003</v>
      </c>
      <c r="AD1901" s="142">
        <f>B1901*IBGE_2!AD$1901/100</f>
        <v>1.71</v>
      </c>
      <c r="AE1901" s="142">
        <f>B1901*IBGE_2!AE$1901/100</f>
        <v>10</v>
      </c>
      <c r="AF1901" s="142">
        <f>B1901*IBGE_2!AF$1901/100</f>
        <v>0.6</v>
      </c>
      <c r="AG1901" s="142">
        <f>B1901*IBGE_2!AG$1901/100</f>
        <v>0.43</v>
      </c>
      <c r="AH1901" s="142">
        <f>B1901*IBGE_2!AH$1901/100</f>
        <v>0.40899999999999997</v>
      </c>
      <c r="AI1901" s="142">
        <f>B1901*IBGE_2!AI$1901/100</f>
        <v>333</v>
      </c>
      <c r="AJ1901" s="142">
        <f>B1901*IBGE_2!AJ$1901/100</f>
        <v>31.7</v>
      </c>
      <c r="AK1901" s="142" t="s">
        <v>3047</v>
      </c>
      <c r="AL1901" s="142" t="s">
        <v>3047</v>
      </c>
      <c r="AM1901" s="142" t="s">
        <v>3047</v>
      </c>
      <c r="AN1901" s="161"/>
    </row>
    <row r="1902" spans="1:40">
      <c r="A1902" s="143" t="s">
        <v>2962</v>
      </c>
      <c r="B1902" s="141">
        <v>100</v>
      </c>
      <c r="C1902" s="142">
        <f>B1902*IBGE_2!C$1902/100</f>
        <v>146.77500000000001</v>
      </c>
      <c r="D1902" s="142">
        <f>B1902*IBGE_2!D$1902/100</f>
        <v>5.5570000000000004</v>
      </c>
      <c r="E1902" s="142">
        <f>B1902*IBGE_2!E$1902/100</f>
        <v>0.45</v>
      </c>
      <c r="F1902" s="142">
        <f>B1902*IBGE_2!F$1902/100</f>
        <v>0.114</v>
      </c>
      <c r="G1902" s="142">
        <f>B1902*IBGE_2!G$1902/100</f>
        <v>0.10400000000000001</v>
      </c>
      <c r="H1902" s="142">
        <f>B1902*IBGE_2!H$1902/100</f>
        <v>0.157</v>
      </c>
      <c r="I1902" s="142">
        <f>B1902*IBGE_2!I$1902/100</f>
        <v>7.2999999999999995E-2</v>
      </c>
      <c r="J1902" s="142">
        <f>B1902*IBGE_2!J$1902/100</f>
        <v>1.6E-2</v>
      </c>
      <c r="K1902" s="142">
        <f>B1902*IBGE_2!K$1902/100</f>
        <v>7.3779999999999992</v>
      </c>
      <c r="L1902" s="142">
        <f>B1902*IBGE_2!L$1902/100</f>
        <v>29.191999999999997</v>
      </c>
      <c r="M1902" s="142">
        <f>B1902*IBGE_2!M$1902/100</f>
        <v>0.91100000000000003</v>
      </c>
      <c r="N1902" s="142">
        <f>B1902*IBGE_2!N$1902/100</f>
        <v>16.78</v>
      </c>
      <c r="O1902" s="142">
        <f>B1902*IBGE_2!O$1902/100</f>
        <v>21.242000000000004</v>
      </c>
      <c r="P1902" s="142">
        <f>B1902*IBGE_2!P$1902/100</f>
        <v>0.44</v>
      </c>
      <c r="Q1902" s="142">
        <f>B1902*IBGE_2!Q$1902/100</f>
        <v>79.555000000000007</v>
      </c>
      <c r="R1902" s="142">
        <f>B1902*IBGE_2!R$1902/100</f>
        <v>1.2669999999999999</v>
      </c>
      <c r="S1902" s="142">
        <f>B1902*IBGE_2!S$1902/100</f>
        <v>216</v>
      </c>
      <c r="T1902" s="142">
        <f>B1902*IBGE_2!T$1902/100</f>
        <v>100.86199999999999</v>
      </c>
      <c r="U1902" s="142">
        <f>B1902*IBGE_2!U$1902/100</f>
        <v>8.1000000000000003E-2</v>
      </c>
      <c r="V1902" s="142">
        <f>B1902*IBGE_2!V$1902/100</f>
        <v>0.59599999999999997</v>
      </c>
      <c r="W1902" s="142">
        <f>B1902*IBGE_2!W$1902/100</f>
        <v>1.41</v>
      </c>
      <c r="X1902" s="142">
        <f>B1902*IBGE_2!X$1902/100</f>
        <v>0.17800000000000002</v>
      </c>
      <c r="Y1902" s="142">
        <f>B1902*IBGE_2!Y$1902/100</f>
        <v>4.3999999999999997E-2</v>
      </c>
      <c r="Z1902" s="142">
        <f>B1902*IBGE_2!Z$1902/100</f>
        <v>0.125</v>
      </c>
      <c r="AA1902" s="142">
        <f>B1902*IBGE_2!AA$1902/100</f>
        <v>1.6519999999999999</v>
      </c>
      <c r="AB1902" s="142">
        <f>B1902*IBGE_2!AB$1902/100</f>
        <v>1.544</v>
      </c>
      <c r="AC1902" s="142">
        <f>B1902*IBGE_2!AC$1902/100</f>
        <v>2.6579999999999999</v>
      </c>
      <c r="AD1902" s="142">
        <f>B1902*IBGE_2!AD$1902/100</f>
        <v>0.27200000000000002</v>
      </c>
      <c r="AE1902" s="142">
        <f>B1902*IBGE_2!AE$1902/100</f>
        <v>44.91</v>
      </c>
      <c r="AF1902" s="142">
        <f>B1902*IBGE_2!AF$1902/100</f>
        <v>0.21099999999999997</v>
      </c>
      <c r="AG1902" s="142">
        <f>B1902*IBGE_2!AG$1902/100</f>
        <v>0.16500000000000001</v>
      </c>
      <c r="AH1902" s="142" t="s">
        <v>3047</v>
      </c>
      <c r="AI1902" s="142" t="s">
        <v>3047</v>
      </c>
      <c r="AJ1902" s="142">
        <f>B1902*IBGE_2!AJ$1902/100</f>
        <v>12.475</v>
      </c>
      <c r="AK1902" s="142">
        <f>B1902*IBGE_2!AK$1902/100</f>
        <v>37.26</v>
      </c>
      <c r="AL1902" s="142">
        <f>B1902*IBGE_2!AL$1902/100</f>
        <v>5.6820000000000004</v>
      </c>
      <c r="AM1902" s="142">
        <f>B1902*IBGE_2!AM$1902/100</f>
        <v>4.5970000000000004</v>
      </c>
      <c r="AN1902" s="161"/>
    </row>
    <row r="1903" spans="1:40">
      <c r="A1903" s="143" t="s">
        <v>2963</v>
      </c>
      <c r="B1903" s="141">
        <v>100</v>
      </c>
      <c r="C1903" s="142">
        <f>B1903*IBGE_2!C$1903/100</f>
        <v>51.241000000000007</v>
      </c>
      <c r="D1903" s="142">
        <f>B1903*IBGE_2!D$1903/100</f>
        <v>0.622</v>
      </c>
      <c r="E1903" s="142">
        <f>B1903*IBGE_2!E$1903/100</f>
        <v>0.14199999999999999</v>
      </c>
      <c r="F1903" s="142">
        <f>B1903*IBGE_2!F$1903/100</f>
        <v>2.9000000000000005E-2</v>
      </c>
      <c r="G1903" s="142">
        <f>B1903*IBGE_2!G$1903/100</f>
        <v>1.2E-2</v>
      </c>
      <c r="H1903" s="142">
        <f>B1903*IBGE_2!H$1903/100</f>
        <v>3.9E-2</v>
      </c>
      <c r="I1903" s="142">
        <f>B1903*IBGE_2!I$1903/100</f>
        <v>3.1E-2</v>
      </c>
      <c r="J1903" s="142">
        <f>B1903*IBGE_2!J$1903/100</f>
        <v>8.0000000000000002E-3</v>
      </c>
      <c r="K1903" s="142" t="s">
        <v>3047</v>
      </c>
      <c r="L1903" s="142">
        <f>B1903*IBGE_2!L$1903/100</f>
        <v>13.312000000000001</v>
      </c>
      <c r="M1903" s="142">
        <f>B1903*IBGE_2!M$1903/100</f>
        <v>1.6840000000000002</v>
      </c>
      <c r="N1903" s="142">
        <f>B1903*IBGE_2!N$1903/100</f>
        <v>15.878</v>
      </c>
      <c r="O1903" s="142">
        <f>B1903*IBGE_2!O$1903/100</f>
        <v>7.4989999999999997</v>
      </c>
      <c r="P1903" s="142">
        <f>B1903*IBGE_2!P$1903/100</f>
        <v>3.6999999999999998E-2</v>
      </c>
      <c r="Q1903" s="142">
        <f>B1903*IBGE_2!Q$1903/100</f>
        <v>13.342000000000001</v>
      </c>
      <c r="R1903" s="142">
        <f>B1903*IBGE_2!R$1903/100</f>
        <v>0.16400000000000003</v>
      </c>
      <c r="S1903" s="142">
        <f>B1903*IBGE_2!S$1903/100</f>
        <v>0.81899999999999995</v>
      </c>
      <c r="T1903" s="142">
        <f>B1903*IBGE_2!T$1903/100</f>
        <v>154.023</v>
      </c>
      <c r="U1903" s="142">
        <f>B1903*IBGE_2!U$1903/100</f>
        <v>6.2E-2</v>
      </c>
      <c r="V1903" s="142">
        <f>B1903*IBGE_2!V$1903/100</f>
        <v>6.0999999999999999E-2</v>
      </c>
      <c r="W1903" s="142" t="s">
        <v>3047</v>
      </c>
      <c r="X1903" s="142">
        <f>B1903*IBGE_2!X$1903/100</f>
        <v>0.05</v>
      </c>
      <c r="Y1903" s="142">
        <f>B1903*IBGE_2!Y$1903/100</f>
        <v>3.9E-2</v>
      </c>
      <c r="Z1903" s="142">
        <f>B1903*IBGE_2!Z$1903/100</f>
        <v>5.7000000000000002E-2</v>
      </c>
      <c r="AA1903" s="142">
        <f>B1903*IBGE_2!AA$1903/100</f>
        <v>0.19699999999999998</v>
      </c>
      <c r="AB1903" s="142">
        <f>B1903*IBGE_2!AB$1903/100</f>
        <v>23.195</v>
      </c>
      <c r="AC1903" s="142">
        <f>B1903*IBGE_2!AC$1903/100</f>
        <v>0.308</v>
      </c>
      <c r="AD1903" s="142" t="s">
        <v>3047</v>
      </c>
      <c r="AE1903" s="142">
        <f>B1903*IBGE_2!AE$1903/100</f>
        <v>10.257</v>
      </c>
      <c r="AF1903" s="142" t="s">
        <v>3047</v>
      </c>
      <c r="AG1903" s="142">
        <f>B1903*IBGE_2!AG$1903/100</f>
        <v>0.245</v>
      </c>
      <c r="AH1903" s="142" t="s">
        <v>3047</v>
      </c>
      <c r="AI1903" s="142" t="s">
        <v>3047</v>
      </c>
      <c r="AJ1903" s="142">
        <f>B1903*IBGE_2!AJ$1903/100</f>
        <v>0.44</v>
      </c>
      <c r="AK1903" s="142">
        <f>B1903*IBGE_2!AK$1903/100</f>
        <v>4.5140000000000002</v>
      </c>
      <c r="AL1903" s="142">
        <f>B1903*IBGE_2!AL$1903/100</f>
        <v>10.260999999999999</v>
      </c>
      <c r="AM1903" s="142" t="s">
        <v>3047</v>
      </c>
      <c r="AN1903" s="161"/>
    </row>
    <row r="1904" spans="1:40">
      <c r="A1904" s="143" t="s">
        <v>2964</v>
      </c>
      <c r="B1904" s="141">
        <v>100</v>
      </c>
      <c r="C1904" s="142">
        <f>B1904*IBGE_2!C$1904/100</f>
        <v>28.776</v>
      </c>
      <c r="D1904" s="142">
        <f>B1904*IBGE_2!D$1904/100</f>
        <v>1.629</v>
      </c>
      <c r="E1904" s="142">
        <f>B1904*IBGE_2!E$1904/100</f>
        <v>0.78</v>
      </c>
      <c r="F1904" s="142">
        <f>B1904*IBGE_2!F$1904/100</f>
        <v>0.307</v>
      </c>
      <c r="G1904" s="142">
        <f>B1904*IBGE_2!G$1904/100</f>
        <v>0.32100000000000001</v>
      </c>
      <c r="H1904" s="142">
        <f>B1904*IBGE_2!H$1904/100</f>
        <v>4.9000000000000002E-2</v>
      </c>
      <c r="I1904" s="142">
        <f>B1904*IBGE_2!I$1904/100</f>
        <v>3.9E-2</v>
      </c>
      <c r="J1904" s="142">
        <f>B1904*IBGE_2!J$1904/100</f>
        <v>8.0000000000000002E-3</v>
      </c>
      <c r="K1904" s="142">
        <f>B1904*IBGE_2!K$1904/100</f>
        <v>3.4760000000000004</v>
      </c>
      <c r="L1904" s="142">
        <f>B1904*IBGE_2!L$1904/100</f>
        <v>3.81</v>
      </c>
      <c r="M1904" s="142">
        <f>B1904*IBGE_2!M$1904/100</f>
        <v>0.64300000000000002</v>
      </c>
      <c r="N1904" s="142">
        <f>B1904*IBGE_2!N$1904/100</f>
        <v>6.74</v>
      </c>
      <c r="O1904" s="142">
        <f>B1904*IBGE_2!O$1904/100</f>
        <v>5.38</v>
      </c>
      <c r="P1904" s="142">
        <f>B1904*IBGE_2!P$1904/100</f>
        <v>5.5E-2</v>
      </c>
      <c r="Q1904" s="142">
        <f>B1904*IBGE_2!Q$1904/100</f>
        <v>20.167999999999999</v>
      </c>
      <c r="R1904" s="142">
        <f>B1904*IBGE_2!R$1904/100</f>
        <v>0.21600000000000003</v>
      </c>
      <c r="S1904" s="142">
        <f>B1904*IBGE_2!S$1904/100</f>
        <v>333.11399999999992</v>
      </c>
      <c r="T1904" s="142">
        <f>B1904*IBGE_2!T$1904/100</f>
        <v>57.451000000000001</v>
      </c>
      <c r="U1904" s="142">
        <f>B1904*IBGE_2!U$1904/100</f>
        <v>2.6000000000000002E-2</v>
      </c>
      <c r="V1904" s="142">
        <f>B1904*IBGE_2!V$1904/100</f>
        <v>0.24199999999999999</v>
      </c>
      <c r="W1904" s="142" t="s">
        <v>3047</v>
      </c>
      <c r="X1904" s="142">
        <f>B1904*IBGE_2!X$1904/100</f>
        <v>1.6E-2</v>
      </c>
      <c r="Y1904" s="142">
        <f>B1904*IBGE_2!Y$1904/100</f>
        <v>1.7999999999999999E-2</v>
      </c>
      <c r="Z1904" s="142">
        <f>B1904*IBGE_2!Z$1904/100</f>
        <v>4.3999999999999997E-2</v>
      </c>
      <c r="AA1904" s="142">
        <f>B1904*IBGE_2!AA$1904/100</f>
        <v>0.69299999999999995</v>
      </c>
      <c r="AB1904" s="142">
        <f>B1904*IBGE_2!AB$1904/100</f>
        <v>0.51100000000000001</v>
      </c>
      <c r="AC1904" s="142">
        <f>B1904*IBGE_2!AC$1904/100</f>
        <v>0.94199999999999984</v>
      </c>
      <c r="AD1904" s="142">
        <f>B1904*IBGE_2!AD$1904/100</f>
        <v>7.3999999999999996E-2</v>
      </c>
      <c r="AE1904" s="142">
        <f>B1904*IBGE_2!AE$1904/100</f>
        <v>2.903</v>
      </c>
      <c r="AF1904" s="142">
        <f>B1904*IBGE_2!AF$1904/100</f>
        <v>0.02</v>
      </c>
      <c r="AG1904" s="142">
        <f>B1904*IBGE_2!AG$1904/100</f>
        <v>5.6000000000000008E-2</v>
      </c>
      <c r="AH1904" s="142">
        <f>B1904*IBGE_2!AH$1904/100</f>
        <v>3.3000000000000002E-2</v>
      </c>
      <c r="AI1904" s="142" t="s">
        <v>3047</v>
      </c>
      <c r="AJ1904" s="142">
        <f>B1904*IBGE_2!AJ$1904/100</f>
        <v>2.226</v>
      </c>
      <c r="AK1904" s="142">
        <f>B1904*IBGE_2!AK$1904/100</f>
        <v>28.687000000000001</v>
      </c>
      <c r="AL1904" s="142">
        <f>B1904*IBGE_2!AL$1904/100</f>
        <v>0.23200000000000004</v>
      </c>
      <c r="AM1904" s="142" t="s">
        <v>3047</v>
      </c>
      <c r="AN1904" s="161"/>
    </row>
    <row r="1905" spans="1:40">
      <c r="A1905" s="143" t="s">
        <v>2965</v>
      </c>
      <c r="B1905" s="141">
        <v>100</v>
      </c>
      <c r="C1905" s="142">
        <f>B1905*IBGE_2!C$1905/100</f>
        <v>202.85299999999998</v>
      </c>
      <c r="D1905" s="142">
        <f>B1905*IBGE_2!D$1905/100</f>
        <v>14.260999999999999</v>
      </c>
      <c r="E1905" s="142">
        <f>B1905*IBGE_2!E$1905/100</f>
        <v>14.413999999999998</v>
      </c>
      <c r="F1905" s="142">
        <f>B1905*IBGE_2!F$1905/100</f>
        <v>2.68</v>
      </c>
      <c r="G1905" s="142">
        <f>B1905*IBGE_2!G$1905/100</f>
        <v>4.0149999999999997</v>
      </c>
      <c r="H1905" s="142">
        <f>B1905*IBGE_2!H$1905/100</f>
        <v>6.351</v>
      </c>
      <c r="I1905" s="142">
        <f>B1905*IBGE_2!I$1905/100</f>
        <v>5.5750000000000002</v>
      </c>
      <c r="J1905" s="142">
        <f>B1905*IBGE_2!J$1905/100</f>
        <v>0.66600000000000004</v>
      </c>
      <c r="K1905" s="142">
        <f>B1905*IBGE_2!K$1905/100</f>
        <v>114.279</v>
      </c>
      <c r="L1905" s="142">
        <f>B1905*IBGE_2!L$1905/100</f>
        <v>3.9340000000000002</v>
      </c>
      <c r="M1905" s="142">
        <f>B1905*IBGE_2!M$1905/100</f>
        <v>0.55100000000000005</v>
      </c>
      <c r="N1905" s="142">
        <f>B1905*IBGE_2!N$1905/100</f>
        <v>28.292999999999996</v>
      </c>
      <c r="O1905" s="142">
        <f>B1905*IBGE_2!O$1905/100</f>
        <v>16.513000000000002</v>
      </c>
      <c r="P1905" s="142">
        <f>B1905*IBGE_2!P$1905/100</f>
        <v>4.9000000000000002E-2</v>
      </c>
      <c r="Q1905" s="142">
        <f>B1905*IBGE_2!Q$1905/100</f>
        <v>123.926</v>
      </c>
      <c r="R1905" s="142">
        <f>B1905*IBGE_2!R$1905/100</f>
        <v>0.91299999999999992</v>
      </c>
      <c r="S1905" s="142">
        <f>B1905*IBGE_2!S$1905/100</f>
        <v>202.76300000000001</v>
      </c>
      <c r="T1905" s="142">
        <f>B1905*IBGE_2!T$1905/100</f>
        <v>173.16</v>
      </c>
      <c r="U1905" s="142">
        <f>B1905*IBGE_2!U$1905/100</f>
        <v>4.3999999999999997E-2</v>
      </c>
      <c r="V1905" s="142">
        <f>B1905*IBGE_2!V$1905/100</f>
        <v>0.746</v>
      </c>
      <c r="W1905" s="142">
        <f>B1905*IBGE_2!W$1905/100</f>
        <v>44.841000000000001</v>
      </c>
      <c r="X1905" s="142">
        <f>B1905*IBGE_2!X$1905/100</f>
        <v>5.6000000000000008E-2</v>
      </c>
      <c r="Y1905" s="142">
        <f>B1905*IBGE_2!Y$1905/100</f>
        <v>0.16</v>
      </c>
      <c r="Z1905" s="142">
        <f>B1905*IBGE_2!Z$1905/100</f>
        <v>0.33800000000000002</v>
      </c>
      <c r="AA1905" s="142">
        <f>B1905*IBGE_2!AA$1905/100</f>
        <v>4.7290000000000001</v>
      </c>
      <c r="AB1905" s="142">
        <f>B1905*IBGE_2!AB$1905/100</f>
        <v>3.0810000000000004</v>
      </c>
      <c r="AC1905" s="142">
        <f>B1905*IBGE_2!AC$1905/100</f>
        <v>7.5190000000000001</v>
      </c>
      <c r="AD1905" s="142">
        <f>B1905*IBGE_2!AD$1905/100</f>
        <v>0.374</v>
      </c>
      <c r="AE1905" s="142">
        <f>B1905*IBGE_2!AE$1905/100</f>
        <v>20.356999999999999</v>
      </c>
      <c r="AF1905" s="142">
        <f>B1905*IBGE_2!AF$1905/100</f>
        <v>0.34899999999999998</v>
      </c>
      <c r="AG1905" s="142">
        <f>B1905*IBGE_2!AG$1905/100</f>
        <v>1.113</v>
      </c>
      <c r="AH1905" s="142">
        <f>B1905*IBGE_2!AH$1905/100</f>
        <v>7.0000000000000007E-2</v>
      </c>
      <c r="AI1905" s="142" t="s">
        <v>3047</v>
      </c>
      <c r="AJ1905" s="142">
        <f>B1905*IBGE_2!AJ$1905/100</f>
        <v>15.643000000000002</v>
      </c>
      <c r="AK1905" s="142">
        <f>B1905*IBGE_2!AK$1905/100</f>
        <v>55.818000000000005</v>
      </c>
      <c r="AL1905" s="142">
        <f>B1905*IBGE_2!AL$1905/100</f>
        <v>2.9089999999999998</v>
      </c>
      <c r="AM1905" s="142">
        <f>B1905*IBGE_2!AM$1905/100</f>
        <v>2.0910000000000002</v>
      </c>
      <c r="AN1905" s="161"/>
    </row>
    <row r="1906" spans="1:40">
      <c r="A1906" s="143" t="s">
        <v>2966</v>
      </c>
      <c r="B1906" s="141">
        <v>100</v>
      </c>
      <c r="C1906" s="142">
        <f>B1906*IBGE_2!C$1906/100</f>
        <v>84.911000000000001</v>
      </c>
      <c r="D1906" s="142">
        <f>B1906*IBGE_2!D$1906/100</f>
        <v>9.6259999999999994</v>
      </c>
      <c r="E1906" s="142">
        <f>B1906*IBGE_2!E$1906/100</f>
        <v>1.298</v>
      </c>
      <c r="F1906" s="142">
        <f>B1906*IBGE_2!F$1906/100</f>
        <v>0.42100000000000004</v>
      </c>
      <c r="G1906" s="142">
        <f>B1906*IBGE_2!G$1906/100</f>
        <v>0.49</v>
      </c>
      <c r="H1906" s="142">
        <f>B1906*IBGE_2!H$1906/100</f>
        <v>0.10299999999999999</v>
      </c>
      <c r="I1906" s="142">
        <f>B1906*IBGE_2!I$1906/100</f>
        <v>8.5000000000000006E-2</v>
      </c>
      <c r="J1906" s="142">
        <f>B1906*IBGE_2!J$1906/100</f>
        <v>1.0999999999999999E-2</v>
      </c>
      <c r="K1906" s="142">
        <f>B1906*IBGE_2!K$1906/100</f>
        <v>20.791</v>
      </c>
      <c r="L1906" s="142">
        <f>B1906*IBGE_2!L$1906/100</f>
        <v>8.7530000000000001</v>
      </c>
      <c r="M1906" s="142">
        <f>B1906*IBGE_2!M$1906/100</f>
        <v>1.196</v>
      </c>
      <c r="N1906" s="142">
        <f>B1906*IBGE_2!N$1906/100</f>
        <v>19.306000000000001</v>
      </c>
      <c r="O1906" s="142">
        <f>B1906*IBGE_2!O$1906/100</f>
        <v>17.969000000000001</v>
      </c>
      <c r="P1906" s="142">
        <f>B1906*IBGE_2!P$1906/100</f>
        <v>0.16500000000000001</v>
      </c>
      <c r="Q1906" s="142">
        <f>B1906*IBGE_2!Q$1906/100</f>
        <v>79.98</v>
      </c>
      <c r="R1906" s="142">
        <f>B1906*IBGE_2!R$1906/100</f>
        <v>1.385</v>
      </c>
      <c r="S1906" s="142">
        <f>B1906*IBGE_2!S$1906/100</f>
        <v>415.85</v>
      </c>
      <c r="T1906" s="142">
        <f>B1906*IBGE_2!T$1906/100</f>
        <v>255.667</v>
      </c>
      <c r="U1906" s="142">
        <f>B1906*IBGE_2!U$1906/100</f>
        <v>0.10100000000000002</v>
      </c>
      <c r="V1906" s="142">
        <f>B1906*IBGE_2!V$1906/100</f>
        <v>1.2849999999999999</v>
      </c>
      <c r="W1906" s="142" t="s">
        <v>3047</v>
      </c>
      <c r="X1906" s="142">
        <f>B1906*IBGE_2!X$1906/100</f>
        <v>6.7000000000000004E-2</v>
      </c>
      <c r="Y1906" s="142">
        <f>B1906*IBGE_2!Y$1906/100</f>
        <v>9.3000000000000013E-2</v>
      </c>
      <c r="Z1906" s="142">
        <f>B1906*IBGE_2!Z$1906/100</f>
        <v>0.14699999999999999</v>
      </c>
      <c r="AA1906" s="142">
        <f>B1906*IBGE_2!AA$1906/100</f>
        <v>1.5620000000000003</v>
      </c>
      <c r="AB1906" s="142">
        <f>B1906*IBGE_2!AB$1906/100</f>
        <v>10.503999999999998</v>
      </c>
      <c r="AC1906" s="142">
        <f>B1906*IBGE_2!AC$1906/100</f>
        <v>2.6819999999999999</v>
      </c>
      <c r="AD1906" s="142">
        <f>B1906*IBGE_2!AD$1906/100</f>
        <v>0.624</v>
      </c>
      <c r="AE1906" s="142">
        <f>B1906*IBGE_2!AE$1906/100</f>
        <v>19.510999999999999</v>
      </c>
      <c r="AF1906" s="142">
        <f>B1906*IBGE_2!AF$1906/100</f>
        <v>0.19</v>
      </c>
      <c r="AG1906" s="142">
        <f>B1906*IBGE_2!AG$1906/100</f>
        <v>0.55600000000000005</v>
      </c>
      <c r="AH1906" s="142">
        <f>B1906*IBGE_2!AH$1906/100</f>
        <v>5.2000000000000005E-2</v>
      </c>
      <c r="AI1906" s="142" t="s">
        <v>3047</v>
      </c>
      <c r="AJ1906" s="142">
        <f>B1906*IBGE_2!AJ$1906/100</f>
        <v>9.1080000000000005</v>
      </c>
      <c r="AK1906" s="142">
        <f>B1906*IBGE_2!AK$1906/100</f>
        <v>6.8129999999999997</v>
      </c>
      <c r="AL1906" s="142">
        <f>B1906*IBGE_2!AL$1906/100</f>
        <v>2.8090000000000002</v>
      </c>
      <c r="AM1906" s="142">
        <f>B1906*IBGE_2!AM$1906/100</f>
        <v>0.33700000000000002</v>
      </c>
      <c r="AN1906" s="161"/>
    </row>
    <row r="1907" spans="1:40">
      <c r="A1907" s="143" t="s">
        <v>2967</v>
      </c>
      <c r="B1907" s="141">
        <v>100</v>
      </c>
      <c r="C1907" s="142">
        <f>B1907*IBGE_2!C$1907/100</f>
        <v>92.004999999999995</v>
      </c>
      <c r="D1907" s="142">
        <f>B1907*IBGE_2!D$1907/100</f>
        <v>2.165</v>
      </c>
      <c r="E1907" s="142">
        <f>B1907*IBGE_2!E$1907/100</f>
        <v>1.6870000000000003</v>
      </c>
      <c r="F1907" s="142">
        <f>B1907*IBGE_2!F$1907/100</f>
        <v>0.27800000000000002</v>
      </c>
      <c r="G1907" s="142">
        <f>B1907*IBGE_2!G$1907/100</f>
        <v>0.38299999999999995</v>
      </c>
      <c r="H1907" s="142">
        <f>B1907*IBGE_2!H$1907/100</f>
        <v>0.91100000000000003</v>
      </c>
      <c r="I1907" s="142">
        <f>B1907*IBGE_2!I$1907/100</f>
        <v>0.80500000000000005</v>
      </c>
      <c r="J1907" s="142">
        <f>B1907*IBGE_2!J$1907/100</f>
        <v>0.105</v>
      </c>
      <c r="K1907" s="142" t="s">
        <v>3047</v>
      </c>
      <c r="L1907" s="142">
        <f>B1907*IBGE_2!L$1907/100</f>
        <v>17.466000000000001</v>
      </c>
      <c r="M1907" s="142">
        <f>B1907*IBGE_2!M$1907/100</f>
        <v>1.0009999999999999</v>
      </c>
      <c r="N1907" s="142">
        <f>B1907*IBGE_2!N$1907/100</f>
        <v>16.893000000000001</v>
      </c>
      <c r="O1907" s="142">
        <f>B1907*IBGE_2!O$1907/100</f>
        <v>14.616</v>
      </c>
      <c r="P1907" s="142">
        <f>B1907*IBGE_2!P$1907/100</f>
        <v>0.32300000000000006</v>
      </c>
      <c r="Q1907" s="142">
        <f>B1907*IBGE_2!Q$1907/100</f>
        <v>46.654000000000003</v>
      </c>
      <c r="R1907" s="142">
        <f>B1907*IBGE_2!R$1907/100</f>
        <v>1.179</v>
      </c>
      <c r="S1907" s="142">
        <f>B1907*IBGE_2!S$1907/100</f>
        <v>179.393</v>
      </c>
      <c r="T1907" s="142">
        <f>B1907*IBGE_2!T$1907/100</f>
        <v>222.66300000000004</v>
      </c>
      <c r="U1907" s="142">
        <f>B1907*IBGE_2!U$1907/100</f>
        <v>0.10299999999999999</v>
      </c>
      <c r="V1907" s="142">
        <f>B1907*IBGE_2!V$1907/100</f>
        <v>0.36299999999999999</v>
      </c>
      <c r="W1907" s="142" t="s">
        <v>3047</v>
      </c>
      <c r="X1907" s="142">
        <f>B1907*IBGE_2!X$1907/100</f>
        <v>0.109</v>
      </c>
      <c r="Y1907" s="142">
        <f>B1907*IBGE_2!Y$1907/100</f>
        <v>0.03</v>
      </c>
      <c r="Z1907" s="142">
        <f>B1907*IBGE_2!Z$1907/100</f>
        <v>0.14299999999999999</v>
      </c>
      <c r="AA1907" s="142">
        <f>B1907*IBGE_2!AA$1907/100</f>
        <v>1.1479999999999999</v>
      </c>
      <c r="AB1907" s="142">
        <f>B1907*IBGE_2!AB$1907/100</f>
        <v>24.315999999999999</v>
      </c>
      <c r="AC1907" s="142">
        <f>B1907*IBGE_2!AC$1907/100</f>
        <v>1.5269999999999999</v>
      </c>
      <c r="AD1907" s="142" t="s">
        <v>3047</v>
      </c>
      <c r="AE1907" s="142">
        <f>B1907*IBGE_2!AE$1907/100</f>
        <v>31.768999999999995</v>
      </c>
      <c r="AF1907" s="142" t="s">
        <v>3047</v>
      </c>
      <c r="AG1907" s="142">
        <f>B1907*IBGE_2!AG$1907/100</f>
        <v>0.66700000000000004</v>
      </c>
      <c r="AH1907" s="142">
        <f>B1907*IBGE_2!AH$1907/100</f>
        <v>7.000000000000001E-3</v>
      </c>
      <c r="AI1907" s="142" t="s">
        <v>3047</v>
      </c>
      <c r="AJ1907" s="142">
        <f>B1907*IBGE_2!AJ$1907/100</f>
        <v>4.4619999999999997</v>
      </c>
      <c r="AK1907" s="142">
        <f>B1907*IBGE_2!AK$1907/100</f>
        <v>25.36</v>
      </c>
      <c r="AL1907" s="142">
        <f>B1907*IBGE_2!AL$1907/100</f>
        <v>3.0430000000000001</v>
      </c>
      <c r="AM1907" s="142">
        <f>B1907*IBGE_2!AM$1907/100</f>
        <v>0.42899999999999999</v>
      </c>
      <c r="AN1907" s="161"/>
    </row>
    <row r="1908" spans="1:40">
      <c r="A1908" s="143" t="s">
        <v>2968</v>
      </c>
      <c r="B1908" s="141">
        <v>100</v>
      </c>
      <c r="C1908" s="142">
        <f>B1908*IBGE_2!C$1908/100</f>
        <v>198.85599999999999</v>
      </c>
      <c r="D1908" s="142">
        <f>B1908*IBGE_2!D$1908/100</f>
        <v>9.3339999999999996</v>
      </c>
      <c r="E1908" s="142">
        <f>B1908*IBGE_2!E$1908/100</f>
        <v>8.4659999999999993</v>
      </c>
      <c r="F1908" s="142">
        <f>B1908*IBGE_2!F$1908/100</f>
        <v>2.9670000000000001</v>
      </c>
      <c r="G1908" s="142">
        <f>B1908*IBGE_2!G$1908/100</f>
        <v>3.1419999999999999</v>
      </c>
      <c r="H1908" s="142">
        <f>B1908*IBGE_2!H$1908/100</f>
        <v>1.5069999999999999</v>
      </c>
      <c r="I1908" s="142">
        <f>B1908*IBGE_2!I$1908/100</f>
        <v>1.296</v>
      </c>
      <c r="J1908" s="142">
        <f>B1908*IBGE_2!J$1908/100</f>
        <v>0.157</v>
      </c>
      <c r="K1908" s="142">
        <f>B1908*IBGE_2!K$1908/100</f>
        <v>19.413</v>
      </c>
      <c r="L1908" s="142">
        <f>B1908*IBGE_2!L$1908/100</f>
        <v>21.725000000000001</v>
      </c>
      <c r="M1908" s="142">
        <f>B1908*IBGE_2!M$1908/100</f>
        <v>3.4670000000000001</v>
      </c>
      <c r="N1908" s="142">
        <f>B1908*IBGE_2!N$1908/100</f>
        <v>57.813000000000002</v>
      </c>
      <c r="O1908" s="142">
        <f>B1908*IBGE_2!O$1908/100</f>
        <v>36.444000000000003</v>
      </c>
      <c r="P1908" s="142">
        <f>B1908*IBGE_2!P$1908/100</f>
        <v>0.371</v>
      </c>
      <c r="Q1908" s="142">
        <f>B1908*IBGE_2!Q$1908/100</f>
        <v>114.56399999999999</v>
      </c>
      <c r="R1908" s="142">
        <f>B1908*IBGE_2!R$1908/100</f>
        <v>2.2200000000000002</v>
      </c>
      <c r="S1908" s="142">
        <f>B1908*IBGE_2!S$1908/100</f>
        <v>478.42099999999999</v>
      </c>
      <c r="T1908" s="142">
        <f>B1908*IBGE_2!T$1908/100</f>
        <v>375.01299999999998</v>
      </c>
      <c r="U1908" s="142">
        <f>B1908*IBGE_2!U$1908/100</f>
        <v>0.17699999999999999</v>
      </c>
      <c r="V1908" s="142">
        <f>B1908*IBGE_2!V$1908/100</f>
        <v>1.1439999999999999</v>
      </c>
      <c r="W1908" s="142">
        <f>B1908*IBGE_2!W$1908/100</f>
        <v>13.46</v>
      </c>
      <c r="X1908" s="142">
        <f>B1908*IBGE_2!X$1908/100</f>
        <v>0.124</v>
      </c>
      <c r="Y1908" s="142">
        <f>B1908*IBGE_2!Y$1908/100</f>
        <v>7.0999999999999994E-2</v>
      </c>
      <c r="Z1908" s="142">
        <f>B1908*IBGE_2!Z$1908/100</f>
        <v>0.13400000000000001</v>
      </c>
      <c r="AA1908" s="142">
        <f>B1908*IBGE_2!AA$1908/100</f>
        <v>1.5349999999999999</v>
      </c>
      <c r="AB1908" s="142">
        <f>B1908*IBGE_2!AB$1908/100</f>
        <v>6.6989999999999998</v>
      </c>
      <c r="AC1908" s="142">
        <f>B1908*IBGE_2!AC$1908/100</f>
        <v>3.1230000000000002</v>
      </c>
      <c r="AD1908" s="142">
        <f>B1908*IBGE_2!AD$1908/100</f>
        <v>0.2</v>
      </c>
      <c r="AE1908" s="142">
        <f>B1908*IBGE_2!AE$1908/100</f>
        <v>42.61</v>
      </c>
      <c r="AF1908" s="142">
        <f>B1908*IBGE_2!AF$1908/100</f>
        <v>7.5999999999999998E-2</v>
      </c>
      <c r="AG1908" s="142">
        <f>B1908*IBGE_2!AG$1908/100</f>
        <v>0.7390000000000001</v>
      </c>
      <c r="AH1908" s="142">
        <f>B1908*IBGE_2!AH$1908/100</f>
        <v>9.6000000000000002E-2</v>
      </c>
      <c r="AI1908" s="142" t="s">
        <v>3047</v>
      </c>
      <c r="AJ1908" s="142">
        <f>B1908*IBGE_2!AJ$1908/100</f>
        <v>6.06</v>
      </c>
      <c r="AK1908" s="142">
        <f>B1908*IBGE_2!AK$1908/100</f>
        <v>94.406999999999982</v>
      </c>
      <c r="AL1908" s="142">
        <f>B1908*IBGE_2!AL$1908/100</f>
        <v>1.028</v>
      </c>
      <c r="AM1908" s="142">
        <f>B1908*IBGE_2!AM$1908/100</f>
        <v>0.107</v>
      </c>
      <c r="AN1908" s="161"/>
    </row>
    <row r="1909" spans="1:40">
      <c r="A1909" s="143" t="s">
        <v>2969</v>
      </c>
      <c r="B1909" s="141">
        <v>100</v>
      </c>
      <c r="C1909" s="142">
        <f>B1909*IBGE_2!C$1909/100</f>
        <v>72.099999999999994</v>
      </c>
      <c r="D1909" s="142">
        <f>B1909*IBGE_2!D$1909/100</f>
        <v>2.6309999999999998</v>
      </c>
      <c r="E1909" s="142">
        <f>B1909*IBGE_2!E$1909/100</f>
        <v>4.42</v>
      </c>
      <c r="F1909" s="142">
        <f>B1909*IBGE_2!F$1909/100</f>
        <v>1.69</v>
      </c>
      <c r="G1909" s="142">
        <f>B1909*IBGE_2!G$1909/100</f>
        <v>1.2170000000000001</v>
      </c>
      <c r="H1909" s="142">
        <f>B1909*IBGE_2!H$1909/100</f>
        <v>1.1819999999999999</v>
      </c>
      <c r="I1909" s="142">
        <f>B1909*IBGE_2!I$1909/100</f>
        <v>1.0920000000000001</v>
      </c>
      <c r="J1909" s="142">
        <f>B1909*IBGE_2!J$1909/100</f>
        <v>7.4999999999999997E-2</v>
      </c>
      <c r="K1909" s="142">
        <f>B1909*IBGE_2!K$1909/100</f>
        <v>12.984000000000002</v>
      </c>
      <c r="L1909" s="142">
        <f>B1909*IBGE_2!L$1909/100</f>
        <v>5.476</v>
      </c>
      <c r="M1909" s="142">
        <f>B1909*IBGE_2!M$1909/100</f>
        <v>0.154</v>
      </c>
      <c r="N1909" s="142">
        <f>B1909*IBGE_2!N$1909/100</f>
        <v>62.244</v>
      </c>
      <c r="O1909" s="142">
        <f>B1909*IBGE_2!O$1909/100</f>
        <v>8.2070000000000007</v>
      </c>
      <c r="P1909" s="142">
        <f>B1909*IBGE_2!P$1909/100</f>
        <v>2.7000000000000003E-2</v>
      </c>
      <c r="Q1909" s="142">
        <f>B1909*IBGE_2!Q$1909/100</f>
        <v>56.011000000000003</v>
      </c>
      <c r="R1909" s="142">
        <f>B1909*IBGE_2!R$1909/100</f>
        <v>0.28699999999999998</v>
      </c>
      <c r="S1909" s="142">
        <f>B1909*IBGE_2!S$1909/100</f>
        <v>381.15100000000001</v>
      </c>
      <c r="T1909" s="142">
        <f>B1909*IBGE_2!T$1909/100</f>
        <v>106.068</v>
      </c>
      <c r="U1909" s="142">
        <f>B1909*IBGE_2!U$1909/100</f>
        <v>2.9000000000000005E-2</v>
      </c>
      <c r="V1909" s="142">
        <f>B1909*IBGE_2!V$1909/100</f>
        <v>0.29199999999999998</v>
      </c>
      <c r="W1909" s="142">
        <f>B1909*IBGE_2!W$1909/100</f>
        <v>21.375999999999998</v>
      </c>
      <c r="X1909" s="142">
        <f>B1909*IBGE_2!X$1909/100</f>
        <v>4.2000000000000003E-2</v>
      </c>
      <c r="Y1909" s="142">
        <f>B1909*IBGE_2!Y$1909/100</f>
        <v>0.11</v>
      </c>
      <c r="Z1909" s="142">
        <f>B1909*IBGE_2!Z$1909/100</f>
        <v>2.9000000000000005E-2</v>
      </c>
      <c r="AA1909" s="142">
        <f>B1909*IBGE_2!AA$1909/100</f>
        <v>0.33100000000000002</v>
      </c>
      <c r="AB1909" s="142">
        <f>B1909*IBGE_2!AB$1909/100</f>
        <v>0.56499999999999995</v>
      </c>
      <c r="AC1909" s="142">
        <f>B1909*IBGE_2!AC$1909/100</f>
        <v>1.173</v>
      </c>
      <c r="AD1909" s="142">
        <f>B1909*IBGE_2!AD$1909/100</f>
        <v>0.26900000000000002</v>
      </c>
      <c r="AE1909" s="142">
        <f>B1909*IBGE_2!AE$1909/100</f>
        <v>7.3210000000000006</v>
      </c>
      <c r="AF1909" s="142">
        <f>B1909*IBGE_2!AF$1909/100</f>
        <v>0.624</v>
      </c>
      <c r="AG1909" s="142">
        <f>B1909*IBGE_2!AG$1909/100</f>
        <v>0.59899999999999998</v>
      </c>
      <c r="AH1909" s="142">
        <f>B1909*IBGE_2!AH$1909/100</f>
        <v>0.184</v>
      </c>
      <c r="AI1909" s="142" t="s">
        <v>3047</v>
      </c>
      <c r="AJ1909" s="142">
        <f>B1909*IBGE_2!AJ$1909/100</f>
        <v>4.4809999999999999</v>
      </c>
      <c r="AK1909" s="142">
        <f>B1909*IBGE_2!AK$1909/100</f>
        <v>23.32</v>
      </c>
      <c r="AL1909" s="142">
        <f>B1909*IBGE_2!AL$1909/100</f>
        <v>3.0089999999999999</v>
      </c>
      <c r="AM1909" s="142" t="s">
        <v>3047</v>
      </c>
      <c r="AN1909" s="161"/>
    </row>
    <row r="1910" spans="1:40">
      <c r="A1910" s="143" t="s">
        <v>2970</v>
      </c>
      <c r="B1910" s="141">
        <v>100</v>
      </c>
      <c r="C1910" s="142">
        <f>B1910*IBGE_2!C$1910/100</f>
        <v>215.87</v>
      </c>
      <c r="D1910" s="142">
        <f>B1910*IBGE_2!D$1910/100</f>
        <v>6.07</v>
      </c>
      <c r="E1910" s="142">
        <f>B1910*IBGE_2!E$1910/100</f>
        <v>20.07</v>
      </c>
      <c r="F1910" s="142">
        <f>B1910*IBGE_2!F$1910/100</f>
        <v>9.8000000000000007</v>
      </c>
      <c r="G1910" s="142">
        <f>B1910*IBGE_2!G$1910/100</f>
        <v>7.34</v>
      </c>
      <c r="H1910" s="142">
        <f>B1910*IBGE_2!H$1910/100</f>
        <v>1.96</v>
      </c>
      <c r="I1910" s="142" t="s">
        <v>3047</v>
      </c>
      <c r="J1910" s="142" t="s">
        <v>3047</v>
      </c>
      <c r="K1910" s="142">
        <f>B1910*IBGE_2!K$1910/100</f>
        <v>47.04</v>
      </c>
      <c r="L1910" s="142">
        <f>B1910*IBGE_2!L$1910/100</f>
        <v>4.07</v>
      </c>
      <c r="M1910" s="142">
        <f>B1910*IBGE_2!M$1910/100</f>
        <v>1.41</v>
      </c>
      <c r="N1910" s="142">
        <f>B1910*IBGE_2!N$1910/100</f>
        <v>44.86</v>
      </c>
      <c r="O1910" s="142">
        <f>B1910*IBGE_2!O$1910/100</f>
        <v>40.28</v>
      </c>
      <c r="P1910" s="142" t="s">
        <v>3047</v>
      </c>
      <c r="Q1910" s="142">
        <f>B1910*IBGE_2!Q$1910/100</f>
        <v>64.599999999999994</v>
      </c>
      <c r="R1910" s="142">
        <f>B1910*IBGE_2!R$1910/100</f>
        <v>1</v>
      </c>
      <c r="S1910" s="142">
        <f>B1910*IBGE_2!S$1910/100</f>
        <v>59.85</v>
      </c>
      <c r="T1910" s="142">
        <f>B1910*IBGE_2!T$1910/100</f>
        <v>225.69</v>
      </c>
      <c r="U1910" s="142">
        <f>B1910*IBGE_2!U$1910/100</f>
        <v>0.09</v>
      </c>
      <c r="V1910" s="142">
        <f>B1910*IBGE_2!V$1910/100</f>
        <v>0.69</v>
      </c>
      <c r="W1910" s="142">
        <f>B1910*IBGE_2!W$1910/100</f>
        <v>48.23</v>
      </c>
      <c r="X1910" s="142">
        <f>B1910*IBGE_2!X$1910/100</f>
        <v>0.08</v>
      </c>
      <c r="Y1910" s="142">
        <f>B1910*IBGE_2!Y$1910/100</f>
        <v>0.04</v>
      </c>
      <c r="Z1910" s="142">
        <f>B1910*IBGE_2!Z$1910/100</f>
        <v>0.13</v>
      </c>
      <c r="AA1910" s="142" t="s">
        <v>3047</v>
      </c>
      <c r="AB1910" s="142">
        <f>B1910*IBGE_2!AB$1910/100</f>
        <v>9.6999999999999993</v>
      </c>
      <c r="AC1910" s="142" t="s">
        <v>3047</v>
      </c>
      <c r="AD1910" s="142">
        <f>B1910*IBGE_2!AD$1910/100</f>
        <v>0.36</v>
      </c>
      <c r="AE1910" s="142" t="s">
        <v>3047</v>
      </c>
      <c r="AF1910" s="142">
        <f>B1910*IBGE_2!AF$1910/100</f>
        <v>0.86</v>
      </c>
      <c r="AG1910" s="142">
        <f>B1910*IBGE_2!AG$1910/100</f>
        <v>7.55</v>
      </c>
      <c r="AH1910" s="142" t="s">
        <v>3047</v>
      </c>
      <c r="AI1910" s="142" t="s">
        <v>3047</v>
      </c>
      <c r="AJ1910" s="142">
        <f>B1910*IBGE_2!AJ$1910/100</f>
        <v>9.83</v>
      </c>
      <c r="AK1910" s="142" t="s">
        <v>3047</v>
      </c>
      <c r="AL1910" s="142" t="s">
        <v>3047</v>
      </c>
      <c r="AM1910" s="142" t="s">
        <v>3047</v>
      </c>
      <c r="AN1910" s="161"/>
    </row>
    <row r="1911" spans="1:40">
      <c r="A1911" s="143" t="s">
        <v>2971</v>
      </c>
      <c r="B1911" s="141">
        <v>100</v>
      </c>
      <c r="C1911" s="142">
        <f>B1911*IBGE_2!C$1911/100</f>
        <v>142</v>
      </c>
      <c r="D1911" s="142">
        <f>B1911*IBGE_2!D$1911/100</f>
        <v>2.6</v>
      </c>
      <c r="E1911" s="142">
        <f>B1911*IBGE_2!E$1911/100</f>
        <v>4.5999999999999996</v>
      </c>
      <c r="F1911" s="142">
        <f>B1911*IBGE_2!F$1911/100</f>
        <v>1.8</v>
      </c>
      <c r="G1911" s="142">
        <f>B1911*IBGE_2!G$1911/100</f>
        <v>1.8</v>
      </c>
      <c r="H1911" s="142">
        <f>B1911*IBGE_2!H$1911/100</f>
        <v>0.8</v>
      </c>
      <c r="I1911" s="142">
        <f>B1911*IBGE_2!I$1911/100</f>
        <v>0.69</v>
      </c>
      <c r="J1911" s="142">
        <f>B1911*IBGE_2!J$1911/100</f>
        <v>0.1</v>
      </c>
      <c r="K1911" s="142">
        <f>B1911*IBGE_2!K$1911/100</f>
        <v>15</v>
      </c>
      <c r="L1911" s="142">
        <f>B1911*IBGE_2!L$1911/100</f>
        <v>22.5</v>
      </c>
      <c r="M1911" s="142">
        <f>B1911*IBGE_2!M$1911/100</f>
        <v>2.4</v>
      </c>
      <c r="N1911" s="142">
        <f>B1911*IBGE_2!N$1911/100</f>
        <v>14</v>
      </c>
      <c r="O1911" s="142">
        <f>B1911*IBGE_2!O$1911/100</f>
        <v>5</v>
      </c>
      <c r="P1911" s="142">
        <f>B1911*IBGE_2!P$1911/100</f>
        <v>0.06</v>
      </c>
      <c r="Q1911" s="142">
        <f>B1911*IBGE_2!Q$1911/100</f>
        <v>26</v>
      </c>
      <c r="R1911" s="142">
        <f>B1911*IBGE_2!R$1911/100</f>
        <v>0.3</v>
      </c>
      <c r="S1911" s="142">
        <f>B1911*IBGE_2!S$1911/100</f>
        <v>236</v>
      </c>
      <c r="T1911" s="142">
        <f>B1911*IBGE_2!T$1911/100</f>
        <v>53</v>
      </c>
      <c r="U1911" s="142">
        <f>B1911*IBGE_2!U$1911/100</f>
        <v>0.05</v>
      </c>
      <c r="V1911" s="142">
        <f>B1911*IBGE_2!V$1911/100</f>
        <v>0.2</v>
      </c>
      <c r="W1911" s="142" t="s">
        <v>3047</v>
      </c>
      <c r="X1911" s="142" t="s">
        <v>3047</v>
      </c>
      <c r="Y1911" s="142" t="s">
        <v>3047</v>
      </c>
      <c r="Z1911" s="142" t="s">
        <v>3047</v>
      </c>
      <c r="AA1911" s="142">
        <f>B1911*IBGE_2!AA$1911/100</f>
        <v>0.93</v>
      </c>
      <c r="AB1911" s="142" t="s">
        <v>3047</v>
      </c>
      <c r="AC1911" s="142" t="s">
        <v>3047</v>
      </c>
      <c r="AD1911" s="142" t="s">
        <v>3047</v>
      </c>
      <c r="AE1911" s="142" t="s">
        <v>3047</v>
      </c>
      <c r="AF1911" s="142" t="s">
        <v>3047</v>
      </c>
      <c r="AG1911" s="142" t="s">
        <v>3047</v>
      </c>
      <c r="AH1911" s="142" t="s">
        <v>3047</v>
      </c>
      <c r="AI1911" s="142" t="s">
        <v>3047</v>
      </c>
      <c r="AJ1911" s="142" t="s">
        <v>3047</v>
      </c>
      <c r="AK1911" s="142" t="s">
        <v>3047</v>
      </c>
      <c r="AL1911" s="142" t="s">
        <v>3047</v>
      </c>
      <c r="AM1911" s="142" t="s">
        <v>3047</v>
      </c>
      <c r="AN1911" s="161"/>
    </row>
    <row r="1912" spans="1:40">
      <c r="A1912" s="143" t="s">
        <v>2972</v>
      </c>
      <c r="B1912" s="141">
        <v>100</v>
      </c>
      <c r="C1912" s="142">
        <f>B1912*IBGE_2!C$1912/100</f>
        <v>153.96299999999999</v>
      </c>
      <c r="D1912" s="142">
        <f>B1912*IBGE_2!D$1912/100</f>
        <v>7.8869999999999996</v>
      </c>
      <c r="E1912" s="142">
        <f>B1912*IBGE_2!E$1912/100</f>
        <v>7.9080000000000004</v>
      </c>
      <c r="F1912" s="142">
        <f>B1912*IBGE_2!F$1912/100</f>
        <v>2.7069999999999999</v>
      </c>
      <c r="G1912" s="142">
        <f>B1912*IBGE_2!G$1912/100</f>
        <v>3.109</v>
      </c>
      <c r="H1912" s="142">
        <f>B1912*IBGE_2!H$1912/100</f>
        <v>1.589</v>
      </c>
      <c r="I1912" s="142">
        <f>B1912*IBGE_2!I$1912/100</f>
        <v>1.462</v>
      </c>
      <c r="J1912" s="142">
        <f>B1912*IBGE_2!J$1912/100</f>
        <v>8.7999999999999995E-2</v>
      </c>
      <c r="K1912" s="142">
        <f>B1912*IBGE_2!K$1912/100</f>
        <v>17.315999999999999</v>
      </c>
      <c r="L1912" s="142">
        <f>B1912*IBGE_2!L$1912/100</f>
        <v>12.470999999999998</v>
      </c>
      <c r="M1912" s="142">
        <f>B1912*IBGE_2!M$1912/100</f>
        <v>1.03</v>
      </c>
      <c r="N1912" s="142">
        <f>B1912*IBGE_2!N$1912/100</f>
        <v>12.562000000000001</v>
      </c>
      <c r="O1912" s="142">
        <f>B1912*IBGE_2!O$1912/100</f>
        <v>11.321</v>
      </c>
      <c r="P1912" s="142">
        <f>B1912*IBGE_2!P$1912/100</f>
        <v>0.188</v>
      </c>
      <c r="Q1912" s="142">
        <f>B1912*IBGE_2!Q$1912/100</f>
        <v>74.337000000000003</v>
      </c>
      <c r="R1912" s="142">
        <f>B1912*IBGE_2!R$1912/100</f>
        <v>1.056</v>
      </c>
      <c r="S1912" s="142">
        <f>B1912*IBGE_2!S$1912/100</f>
        <v>193.95400000000001</v>
      </c>
      <c r="T1912" s="142">
        <f>B1912*IBGE_2!T$1912/100</f>
        <v>136.56299999999999</v>
      </c>
      <c r="U1912" s="142">
        <f>B1912*IBGE_2!U$1912/100</f>
        <v>7.0999999999999994E-2</v>
      </c>
      <c r="V1912" s="142">
        <f>B1912*IBGE_2!V$1912/100</f>
        <v>0.43</v>
      </c>
      <c r="W1912" s="142">
        <f>B1912*IBGE_2!W$1912/100</f>
        <v>1.4370000000000003</v>
      </c>
      <c r="X1912" s="142">
        <f>B1912*IBGE_2!X$1912/100</f>
        <v>0.153</v>
      </c>
      <c r="Y1912" s="142">
        <f>B1912*IBGE_2!Y$1912/100</f>
        <v>0.109</v>
      </c>
      <c r="Z1912" s="142">
        <f>B1912*IBGE_2!Z$1912/100</f>
        <v>0.13200000000000001</v>
      </c>
      <c r="AA1912" s="142">
        <f>B1912*IBGE_2!AA$1912/100</f>
        <v>3.6240000000000006</v>
      </c>
      <c r="AB1912" s="142">
        <f>B1912*IBGE_2!AB$1912/100</f>
        <v>1.7829999999999999</v>
      </c>
      <c r="AC1912" s="142">
        <f>B1912*IBGE_2!AC$1912/100</f>
        <v>5.024</v>
      </c>
      <c r="AD1912" s="142">
        <f>B1912*IBGE_2!AD$1912/100</f>
        <v>0.10400000000000001</v>
      </c>
      <c r="AE1912" s="142">
        <f>B1912*IBGE_2!AE$1912/100</f>
        <v>33.268000000000001</v>
      </c>
      <c r="AF1912" s="142">
        <f>B1912*IBGE_2!AF$1912/100</f>
        <v>3.2000000000000001E-2</v>
      </c>
      <c r="AG1912" s="142">
        <f>B1912*IBGE_2!AG$1912/100</f>
        <v>0.21600000000000003</v>
      </c>
      <c r="AH1912" s="142">
        <f>B1912*IBGE_2!AH$1912/100</f>
        <v>0.7340000000000001</v>
      </c>
      <c r="AI1912" s="142" t="s">
        <v>3047</v>
      </c>
      <c r="AJ1912" s="142">
        <f>B1912*IBGE_2!AJ$1912/100</f>
        <v>8.4640000000000004</v>
      </c>
      <c r="AK1912" s="142">
        <f>B1912*IBGE_2!AK$1912/100</f>
        <v>80.471000000000004</v>
      </c>
      <c r="AL1912" s="142">
        <f>B1912*IBGE_2!AL$1912/100</f>
        <v>1.2170000000000001</v>
      </c>
      <c r="AM1912" s="142" t="s">
        <v>3047</v>
      </c>
      <c r="AN1912" s="161"/>
    </row>
    <row r="1913" spans="1:40">
      <c r="A1913" s="143" t="s">
        <v>2973</v>
      </c>
      <c r="B1913" s="141">
        <v>100</v>
      </c>
      <c r="C1913" s="142">
        <f>B1913*IBGE_2!C$1913/100</f>
        <v>309.55250000000001</v>
      </c>
      <c r="D1913" s="142">
        <f>B1913*IBGE_2!D$1913/100</f>
        <v>1.6579999999999999</v>
      </c>
      <c r="E1913" s="142">
        <f>B1913*IBGE_2!E$1913/100</f>
        <v>11.173</v>
      </c>
      <c r="F1913" s="142">
        <f>B1913*IBGE_2!F$1913/100</f>
        <v>2.02</v>
      </c>
      <c r="G1913" s="142">
        <f>B1913*IBGE_2!G$1913/100</f>
        <v>2.6850000000000001</v>
      </c>
      <c r="H1913" s="142">
        <f>B1913*IBGE_2!H$1913/100</f>
        <v>5.0084999999999997</v>
      </c>
      <c r="I1913" s="142">
        <f>B1913*IBGE_2!I$1913/100</f>
        <v>4.4515000000000002</v>
      </c>
      <c r="J1913" s="142">
        <f>B1913*IBGE_2!J$1913/100</f>
        <v>0.54700000000000004</v>
      </c>
      <c r="K1913" s="142" t="s">
        <v>3047</v>
      </c>
      <c r="L1913" s="142">
        <f>B1913*IBGE_2!L$1913/100</f>
        <v>52.887</v>
      </c>
      <c r="M1913" s="142">
        <f>B1913*IBGE_2!M$1913/100</f>
        <v>5.35</v>
      </c>
      <c r="N1913" s="142">
        <f>B1913*IBGE_2!N$1913/100</f>
        <v>35.788499999999999</v>
      </c>
      <c r="O1913" s="142">
        <f>B1913*IBGE_2!O$1913/100</f>
        <v>32.0565</v>
      </c>
      <c r="P1913" s="142">
        <f>B1913*IBGE_2!P$1913/100</f>
        <v>0.29549999999999998</v>
      </c>
      <c r="Q1913" s="142">
        <f>B1913*IBGE_2!Q$1913/100</f>
        <v>34.768500000000003</v>
      </c>
      <c r="R1913" s="142">
        <f>B1913*IBGE_2!R$1913/100</f>
        <v>0.84799999999999998</v>
      </c>
      <c r="S1913" s="142">
        <f>B1913*IBGE_2!S$1913/100</f>
        <v>288.0575</v>
      </c>
      <c r="T1913" s="142">
        <f>B1913*IBGE_2!T$1913/100</f>
        <v>300.14099999999996</v>
      </c>
      <c r="U1913" s="142">
        <f>B1913*IBGE_2!U$1913/100</f>
        <v>4.3499999999999997E-2</v>
      </c>
      <c r="V1913" s="142">
        <f>B1913*IBGE_2!V$1913/100</f>
        <v>0.1845</v>
      </c>
      <c r="W1913" s="142">
        <f>B1913*IBGE_2!W$1913/100</f>
        <v>3.5785</v>
      </c>
      <c r="X1913" s="142">
        <f>B1913*IBGE_2!X$1913/100</f>
        <v>6.7500000000000004E-2</v>
      </c>
      <c r="Y1913" s="142">
        <f>B1913*IBGE_2!Y$1913/100</f>
        <v>4.0500000000000001E-2</v>
      </c>
      <c r="Z1913" s="142">
        <f>B1913*IBGE_2!Z$1913/100</f>
        <v>0.27949999999999997</v>
      </c>
      <c r="AA1913" s="142">
        <f>B1913*IBGE_2!AA$1913/100</f>
        <v>0.371</v>
      </c>
      <c r="AB1913" s="142">
        <f>B1913*IBGE_2!AB$1913/100</f>
        <v>4.8514999999999997</v>
      </c>
      <c r="AC1913" s="142" t="s">
        <v>3047</v>
      </c>
      <c r="AD1913" s="142" t="s">
        <v>3047</v>
      </c>
      <c r="AE1913" s="142" t="s">
        <v>3047</v>
      </c>
      <c r="AF1913" s="142" t="s">
        <v>3047</v>
      </c>
      <c r="AG1913" s="142" t="s">
        <v>3047</v>
      </c>
      <c r="AH1913" s="142" t="s">
        <v>3047</v>
      </c>
      <c r="AI1913" s="142" t="s">
        <v>3047</v>
      </c>
      <c r="AJ1913" s="142" t="s">
        <v>3047</v>
      </c>
      <c r="AK1913" s="142" t="s">
        <v>3047</v>
      </c>
      <c r="AL1913" s="142" t="s">
        <v>3047</v>
      </c>
      <c r="AM1913" s="142" t="s">
        <v>3047</v>
      </c>
      <c r="AN1913" s="161"/>
    </row>
    <row r="1914" spans="1:40">
      <c r="A1914" s="143" t="s">
        <v>2974</v>
      </c>
      <c r="B1914" s="141">
        <v>100</v>
      </c>
      <c r="C1914" s="142">
        <f>B1914*IBGE_2!C$1914/100</f>
        <v>198.85599999999999</v>
      </c>
      <c r="D1914" s="142">
        <f>B1914*IBGE_2!D$1914/100</f>
        <v>9.3339999999999996</v>
      </c>
      <c r="E1914" s="142">
        <f>B1914*IBGE_2!E$1914/100</f>
        <v>8.4659999999999993</v>
      </c>
      <c r="F1914" s="142">
        <f>B1914*IBGE_2!F$1914/100</f>
        <v>2.9670000000000001</v>
      </c>
      <c r="G1914" s="142">
        <f>B1914*IBGE_2!G$1914/100</f>
        <v>3.1419999999999999</v>
      </c>
      <c r="H1914" s="142">
        <f>B1914*IBGE_2!H$1914/100</f>
        <v>1.5069999999999999</v>
      </c>
      <c r="I1914" s="142">
        <f>B1914*IBGE_2!I$1914/100</f>
        <v>1.296</v>
      </c>
      <c r="J1914" s="142">
        <f>B1914*IBGE_2!J$1914/100</f>
        <v>0.157</v>
      </c>
      <c r="K1914" s="142">
        <f>B1914*IBGE_2!K$1914/100</f>
        <v>19.413</v>
      </c>
      <c r="L1914" s="142">
        <f>B1914*IBGE_2!L$1914/100</f>
        <v>21.725000000000001</v>
      </c>
      <c r="M1914" s="142">
        <f>B1914*IBGE_2!M$1914/100</f>
        <v>3.4670000000000001</v>
      </c>
      <c r="N1914" s="142">
        <f>B1914*IBGE_2!N$1914/100</f>
        <v>57.813000000000002</v>
      </c>
      <c r="O1914" s="142">
        <f>B1914*IBGE_2!O$1914/100</f>
        <v>36.444000000000003</v>
      </c>
      <c r="P1914" s="142">
        <f>B1914*IBGE_2!P$1914/100</f>
        <v>0.371</v>
      </c>
      <c r="Q1914" s="142">
        <f>B1914*IBGE_2!Q$1914/100</f>
        <v>114.56399999999999</v>
      </c>
      <c r="R1914" s="142">
        <f>B1914*IBGE_2!R$1914/100</f>
        <v>2.2200000000000002</v>
      </c>
      <c r="S1914" s="142">
        <f>B1914*IBGE_2!S$1914/100</f>
        <v>478.42099999999999</v>
      </c>
      <c r="T1914" s="142">
        <f>B1914*IBGE_2!T$1914/100</f>
        <v>375.01299999999998</v>
      </c>
      <c r="U1914" s="142">
        <f>B1914*IBGE_2!U$1914/100</f>
        <v>0.17699999999999999</v>
      </c>
      <c r="V1914" s="142">
        <f>B1914*IBGE_2!V$1914/100</f>
        <v>1.1439999999999999</v>
      </c>
      <c r="W1914" s="142">
        <f>B1914*IBGE_2!W$1914/100</f>
        <v>13.46</v>
      </c>
      <c r="X1914" s="142">
        <f>B1914*IBGE_2!X$1914/100</f>
        <v>0.124</v>
      </c>
      <c r="Y1914" s="142">
        <f>B1914*IBGE_2!Y$1914/100</f>
        <v>7.0999999999999994E-2</v>
      </c>
      <c r="Z1914" s="142">
        <f>B1914*IBGE_2!Z$1914/100</f>
        <v>0.13400000000000001</v>
      </c>
      <c r="AA1914" s="142">
        <f>B1914*IBGE_2!AA$1914/100</f>
        <v>1.5349999999999999</v>
      </c>
      <c r="AB1914" s="142">
        <f>B1914*IBGE_2!AB$1914/100</f>
        <v>6.6989999999999998</v>
      </c>
      <c r="AC1914" s="142">
        <f>B1914*IBGE_2!AC$1914/100</f>
        <v>3.1230000000000002</v>
      </c>
      <c r="AD1914" s="142">
        <f>B1914*IBGE_2!AD$1914/100</f>
        <v>0.2</v>
      </c>
      <c r="AE1914" s="142">
        <f>B1914*IBGE_2!AE$1914/100</f>
        <v>42.61</v>
      </c>
      <c r="AF1914" s="142">
        <f>B1914*IBGE_2!AF$1914/100</f>
        <v>7.5999999999999998E-2</v>
      </c>
      <c r="AG1914" s="142">
        <f>B1914*IBGE_2!AG$1914/100</f>
        <v>0.7390000000000001</v>
      </c>
      <c r="AH1914" s="142">
        <f>B1914*IBGE_2!AH$1914/100</f>
        <v>9.6000000000000002E-2</v>
      </c>
      <c r="AI1914" s="142" t="s">
        <v>3047</v>
      </c>
      <c r="AJ1914" s="142">
        <f>B1914*IBGE_2!AJ$1914/100</f>
        <v>6.06</v>
      </c>
      <c r="AK1914" s="142">
        <f>B1914*IBGE_2!AK$1914/100</f>
        <v>94.406999999999982</v>
      </c>
      <c r="AL1914" s="142">
        <f>B1914*IBGE_2!AL$1914/100</f>
        <v>1.028</v>
      </c>
      <c r="AM1914" s="142">
        <f>B1914*IBGE_2!AM$1914/100</f>
        <v>0.107</v>
      </c>
      <c r="AN1914" s="161"/>
    </row>
    <row r="1915" spans="1:40">
      <c r="A1915" s="143" t="s">
        <v>2975</v>
      </c>
      <c r="B1915" s="141">
        <v>100</v>
      </c>
      <c r="C1915" s="142">
        <f>B1915*IBGE_2!C$1915/100</f>
        <v>143.501</v>
      </c>
      <c r="D1915" s="142">
        <f>B1915*IBGE_2!D$1915/100</f>
        <v>4.4649999999999999</v>
      </c>
      <c r="E1915" s="142">
        <f>B1915*IBGE_2!E$1915/100</f>
        <v>3.073</v>
      </c>
      <c r="F1915" s="142">
        <f>B1915*IBGE_2!F$1915/100</f>
        <v>0.54700000000000004</v>
      </c>
      <c r="G1915" s="142">
        <f>B1915*IBGE_2!G$1915/100</f>
        <v>0.752</v>
      </c>
      <c r="H1915" s="142">
        <f>B1915*IBGE_2!H$1915/100</f>
        <v>1.5880000000000001</v>
      </c>
      <c r="I1915" s="142">
        <f>B1915*IBGE_2!I$1915/100</f>
        <v>1.393</v>
      </c>
      <c r="J1915" s="142">
        <f>B1915*IBGE_2!J$1915/100</f>
        <v>0.182</v>
      </c>
      <c r="K1915" s="142">
        <f>B1915*IBGE_2!K$1915/100</f>
        <v>5.34</v>
      </c>
      <c r="L1915" s="142">
        <f>B1915*IBGE_2!L$1915/100</f>
        <v>23.925999999999998</v>
      </c>
      <c r="M1915" s="142">
        <f>B1915*IBGE_2!M$1915/100</f>
        <v>0.65</v>
      </c>
      <c r="N1915" s="142">
        <f>B1915*IBGE_2!N$1915/100</f>
        <v>16.956</v>
      </c>
      <c r="O1915" s="142">
        <f>B1915*IBGE_2!O$1915/100</f>
        <v>14.277999999999999</v>
      </c>
      <c r="P1915" s="142">
        <f>B1915*IBGE_2!P$1915/100</f>
        <v>0.41299999999999998</v>
      </c>
      <c r="Q1915" s="142">
        <f>B1915*IBGE_2!Q$1915/100</f>
        <v>58.718000000000004</v>
      </c>
      <c r="R1915" s="142">
        <f>B1915*IBGE_2!R$1915/100</f>
        <v>1.1759999999999999</v>
      </c>
      <c r="S1915" s="142">
        <f>B1915*IBGE_2!S$1915/100</f>
        <v>534.10299999999995</v>
      </c>
      <c r="T1915" s="142">
        <f>B1915*IBGE_2!T$1915/100</f>
        <v>99.561999999999983</v>
      </c>
      <c r="U1915" s="142">
        <f>B1915*IBGE_2!U$1915/100</f>
        <v>9.0999999999999998E-2</v>
      </c>
      <c r="V1915" s="142">
        <f>B1915*IBGE_2!V$1915/100</f>
        <v>0.53500000000000003</v>
      </c>
      <c r="W1915" s="142">
        <f>B1915*IBGE_2!W$1915/100</f>
        <v>0.55200000000000005</v>
      </c>
      <c r="X1915" s="142">
        <f>B1915*IBGE_2!X$1915/100</f>
        <v>0.14399999999999999</v>
      </c>
      <c r="Y1915" s="142">
        <f>B1915*IBGE_2!Y$1915/100</f>
        <v>0.04</v>
      </c>
      <c r="Z1915" s="142">
        <f>B1915*IBGE_2!Z$1915/100</f>
        <v>0.14099999999999999</v>
      </c>
      <c r="AA1915" s="142">
        <f>B1915*IBGE_2!AA$1915/100</f>
        <v>2.177</v>
      </c>
      <c r="AB1915" s="142">
        <f>B1915*IBGE_2!AB$1915/100</f>
        <v>1.325</v>
      </c>
      <c r="AC1915" s="142">
        <f>B1915*IBGE_2!AC$1915/100</f>
        <v>3.0249999999999999</v>
      </c>
      <c r="AD1915" s="142">
        <f>B1915*IBGE_2!AD$1915/100</f>
        <v>2.4E-2</v>
      </c>
      <c r="AE1915" s="142">
        <f>B1915*IBGE_2!AE$1915/100</f>
        <v>37.396000000000001</v>
      </c>
      <c r="AF1915" s="142">
        <f>B1915*IBGE_2!AF$1915/100</f>
        <v>3.5000000000000003E-2</v>
      </c>
      <c r="AG1915" s="142">
        <f>B1915*IBGE_2!AG$1915/100</f>
        <v>0.27100000000000002</v>
      </c>
      <c r="AH1915" s="142">
        <f>B1915*IBGE_2!AH$1915/100</f>
        <v>0.02</v>
      </c>
      <c r="AI1915" s="142" t="s">
        <v>3047</v>
      </c>
      <c r="AJ1915" s="142">
        <f>B1915*IBGE_2!AJ$1915/100</f>
        <v>9.4220000000000006</v>
      </c>
      <c r="AK1915" s="142">
        <f>B1915*IBGE_2!AK$1915/100</f>
        <v>1.8779999999999999</v>
      </c>
      <c r="AL1915" s="142">
        <f>B1915*IBGE_2!AL$1915/100</f>
        <v>0.82799999999999996</v>
      </c>
      <c r="AM1915" s="142">
        <f>B1915*IBGE_2!AM$1915/100</f>
        <v>3.9E-2</v>
      </c>
      <c r="AN1915" s="161"/>
    </row>
    <row r="1916" spans="1:40">
      <c r="A1916" s="143" t="s">
        <v>2976</v>
      </c>
      <c r="B1916" s="141">
        <v>100</v>
      </c>
      <c r="C1916" s="142">
        <f>B1916*IBGE_2!C$1916/100</f>
        <v>143.501</v>
      </c>
      <c r="D1916" s="142">
        <f>B1916*IBGE_2!D$1916/100</f>
        <v>4.4649999999999999</v>
      </c>
      <c r="E1916" s="142">
        <f>B1916*IBGE_2!E$1916/100</f>
        <v>3.073</v>
      </c>
      <c r="F1916" s="142">
        <f>B1916*IBGE_2!F$1916/100</f>
        <v>0.54700000000000004</v>
      </c>
      <c r="G1916" s="142">
        <f>B1916*IBGE_2!G$1916/100</f>
        <v>0.752</v>
      </c>
      <c r="H1916" s="142">
        <f>B1916*IBGE_2!H$1916/100</f>
        <v>1.5880000000000001</v>
      </c>
      <c r="I1916" s="142">
        <f>B1916*IBGE_2!I$1916/100</f>
        <v>1.393</v>
      </c>
      <c r="J1916" s="142">
        <f>B1916*IBGE_2!J$1916/100</f>
        <v>0.182</v>
      </c>
      <c r="K1916" s="142">
        <f>B1916*IBGE_2!K$1916/100</f>
        <v>5.34</v>
      </c>
      <c r="L1916" s="142">
        <f>B1916*IBGE_2!L$1916/100</f>
        <v>23.925999999999998</v>
      </c>
      <c r="M1916" s="142">
        <f>B1916*IBGE_2!M$1916/100</f>
        <v>0.65</v>
      </c>
      <c r="N1916" s="142">
        <f>B1916*IBGE_2!N$1916/100</f>
        <v>16.956</v>
      </c>
      <c r="O1916" s="142">
        <f>B1916*IBGE_2!O$1916/100</f>
        <v>14.277999999999999</v>
      </c>
      <c r="P1916" s="142">
        <f>B1916*IBGE_2!P$1916/100</f>
        <v>0.41299999999999998</v>
      </c>
      <c r="Q1916" s="142">
        <f>B1916*IBGE_2!Q$1916/100</f>
        <v>58.718000000000004</v>
      </c>
      <c r="R1916" s="142">
        <f>B1916*IBGE_2!R$1916/100</f>
        <v>1.1759999999999999</v>
      </c>
      <c r="S1916" s="142">
        <f>B1916*IBGE_2!S$1916/100</f>
        <v>534.10299999999995</v>
      </c>
      <c r="T1916" s="142">
        <f>B1916*IBGE_2!T$1916/100</f>
        <v>99.561999999999983</v>
      </c>
      <c r="U1916" s="142">
        <f>B1916*IBGE_2!U$1916/100</f>
        <v>9.0999999999999998E-2</v>
      </c>
      <c r="V1916" s="142">
        <f>B1916*IBGE_2!V$1916/100</f>
        <v>0.53500000000000003</v>
      </c>
      <c r="W1916" s="142">
        <f>B1916*IBGE_2!W$1916/100</f>
        <v>0.55200000000000005</v>
      </c>
      <c r="X1916" s="142">
        <f>B1916*IBGE_2!X$1916/100</f>
        <v>0.14399999999999999</v>
      </c>
      <c r="Y1916" s="142">
        <f>B1916*IBGE_2!Y$1916/100</f>
        <v>0.04</v>
      </c>
      <c r="Z1916" s="142">
        <f>B1916*IBGE_2!Z$1916/100</f>
        <v>0.14099999999999999</v>
      </c>
      <c r="AA1916" s="142">
        <f>B1916*IBGE_2!AA$1916/100</f>
        <v>2.177</v>
      </c>
      <c r="AB1916" s="142">
        <f>B1916*IBGE_2!AB$1916/100</f>
        <v>1.325</v>
      </c>
      <c r="AC1916" s="142">
        <f>B1916*IBGE_2!AC$1916/100</f>
        <v>3.0249999999999999</v>
      </c>
      <c r="AD1916" s="142">
        <f>B1916*IBGE_2!AD$1916/100</f>
        <v>2.4E-2</v>
      </c>
      <c r="AE1916" s="142">
        <f>B1916*IBGE_2!AE$1916/100</f>
        <v>37.396000000000001</v>
      </c>
      <c r="AF1916" s="142">
        <f>B1916*IBGE_2!AF$1916/100</f>
        <v>3.5000000000000003E-2</v>
      </c>
      <c r="AG1916" s="142">
        <f>B1916*IBGE_2!AG$1916/100</f>
        <v>0.27100000000000002</v>
      </c>
      <c r="AH1916" s="142">
        <f>B1916*IBGE_2!AH$1916/100</f>
        <v>0.02</v>
      </c>
      <c r="AI1916" s="142" t="s">
        <v>3047</v>
      </c>
      <c r="AJ1916" s="142">
        <f>B1916*IBGE_2!AJ$1916/100</f>
        <v>9.4220000000000006</v>
      </c>
      <c r="AK1916" s="142">
        <f>B1916*IBGE_2!AK$1916/100</f>
        <v>1.8779999999999999</v>
      </c>
      <c r="AL1916" s="142">
        <f>B1916*IBGE_2!AL$1916/100</f>
        <v>0.82799999999999996</v>
      </c>
      <c r="AM1916" s="142">
        <f>B1916*IBGE_2!AM$1916/100</f>
        <v>3.9E-2</v>
      </c>
      <c r="AN1916" s="161"/>
    </row>
    <row r="1917" spans="1:40">
      <c r="A1917" s="143" t="s">
        <v>2977</v>
      </c>
      <c r="B1917" s="141">
        <v>100</v>
      </c>
      <c r="C1917" s="142">
        <f>B1917*IBGE_2!C$1917/100</f>
        <v>130.13</v>
      </c>
      <c r="D1917" s="142">
        <f>B1917*IBGE_2!D$1917/100</f>
        <v>13.618</v>
      </c>
      <c r="E1917" s="142">
        <f>B1917*IBGE_2!E$1917/100</f>
        <v>7.5359999999999987</v>
      </c>
      <c r="F1917" s="142">
        <f>B1917*IBGE_2!F$1917/100</f>
        <v>5.0990000000000002</v>
      </c>
      <c r="G1917" s="142">
        <f>B1917*IBGE_2!G$1917/100</f>
        <v>1.079</v>
      </c>
      <c r="H1917" s="142">
        <f>B1917*IBGE_2!H$1917/100</f>
        <v>0.51300000000000001</v>
      </c>
      <c r="I1917" s="142">
        <f>B1917*IBGE_2!I$1917/100</f>
        <v>0.122</v>
      </c>
      <c r="J1917" s="142">
        <f>B1917*IBGE_2!J$1917/100</f>
        <v>6.0000000000000001E-3</v>
      </c>
      <c r="K1917" s="142">
        <f>B1917*IBGE_2!K$1917/100</f>
        <v>41.655999999999992</v>
      </c>
      <c r="L1917" s="142">
        <f>B1917*IBGE_2!L$1917/100</f>
        <v>1.6640000000000001</v>
      </c>
      <c r="M1917" s="142">
        <f>B1917*IBGE_2!M$1917/100</f>
        <v>0.16800000000000001</v>
      </c>
      <c r="N1917" s="142">
        <f>B1917*IBGE_2!N$1917/100</f>
        <v>39.939</v>
      </c>
      <c r="O1917" s="142">
        <f>B1917*IBGE_2!O$1917/100</f>
        <v>24.913</v>
      </c>
      <c r="P1917" s="142">
        <f>B1917*IBGE_2!P$1917/100</f>
        <v>0.14099999999999999</v>
      </c>
      <c r="Q1917" s="142">
        <f>B1917*IBGE_2!Q$1917/100</f>
        <v>171.452</v>
      </c>
      <c r="R1917" s="142">
        <f>B1917*IBGE_2!R$1917/100</f>
        <v>3.3490000000000002</v>
      </c>
      <c r="S1917" s="142">
        <f>B1917*IBGE_2!S$1917/100</f>
        <v>242.18600000000004</v>
      </c>
      <c r="T1917" s="142">
        <f>B1917*IBGE_2!T$1917/100</f>
        <v>309.45</v>
      </c>
      <c r="U1917" s="142">
        <f>B1917*IBGE_2!U$1917/100</f>
        <v>0.249</v>
      </c>
      <c r="V1917" s="142">
        <f>B1917*IBGE_2!V$1917/100</f>
        <v>0.92900000000000005</v>
      </c>
      <c r="W1917" s="142">
        <f>B1917*IBGE_2!W$1917/100</f>
        <v>29.9</v>
      </c>
      <c r="X1917" s="142">
        <f>B1917*IBGE_2!X$1917/100</f>
        <v>0.11</v>
      </c>
      <c r="Y1917" s="142">
        <f>B1917*IBGE_2!Y$1917/100</f>
        <v>9.9000000000000005E-2</v>
      </c>
      <c r="Z1917" s="142">
        <f>B1917*IBGE_2!Z$1917/100</f>
        <v>0.11700000000000001</v>
      </c>
      <c r="AA1917" s="142">
        <f>B1917*IBGE_2!AA$1917/100</f>
        <v>1.8259999999999998</v>
      </c>
      <c r="AB1917" s="142">
        <f>B1917*IBGE_2!AB$1917/100</f>
        <v>5.9039999999999999</v>
      </c>
      <c r="AC1917" s="142">
        <f>B1917*IBGE_2!AC$1917/100</f>
        <v>4.4589999999999996</v>
      </c>
      <c r="AD1917" s="142">
        <f>B1917*IBGE_2!AD$1917/100</f>
        <v>10.402999999999999</v>
      </c>
      <c r="AE1917" s="142">
        <f>B1917*IBGE_2!AE$1917/100</f>
        <v>11.304</v>
      </c>
      <c r="AF1917" s="142">
        <f>B1917*IBGE_2!AF$1917/100</f>
        <v>1.7350000000000001</v>
      </c>
      <c r="AG1917" s="142">
        <f>B1917*IBGE_2!AG$1917/100</f>
        <v>0.88099999999999989</v>
      </c>
      <c r="AH1917" s="142">
        <f>B1917*IBGE_2!AH$1917/100</f>
        <v>1.0999999999999999E-2</v>
      </c>
      <c r="AI1917" s="142" t="s">
        <v>3047</v>
      </c>
      <c r="AJ1917" s="142">
        <f>B1917*IBGE_2!AJ$1917/100</f>
        <v>26.569000000000003</v>
      </c>
      <c r="AK1917" s="142">
        <f>B1917*IBGE_2!AK$1917/100</f>
        <v>35.218000000000004</v>
      </c>
      <c r="AL1917" s="142">
        <f>B1917*IBGE_2!AL$1917/100</f>
        <v>0.54500000000000004</v>
      </c>
      <c r="AM1917" s="142" t="s">
        <v>3047</v>
      </c>
      <c r="AN1917" s="161"/>
    </row>
    <row r="1918" spans="1:40">
      <c r="A1918" s="143" t="s">
        <v>2978</v>
      </c>
      <c r="B1918" s="141">
        <v>100</v>
      </c>
      <c r="C1918" s="142">
        <f>B1918*IBGE_2!C$1918/100</f>
        <v>241.61799999999999</v>
      </c>
      <c r="D1918" s="142">
        <f>B1918*IBGE_2!D$1918/100</f>
        <v>11.035</v>
      </c>
      <c r="E1918" s="142">
        <f>B1918*IBGE_2!E$1918/100</f>
        <v>21.259</v>
      </c>
      <c r="F1918" s="142">
        <f>B1918*IBGE_2!F$1918/100</f>
        <v>4.7359999999999998</v>
      </c>
      <c r="G1918" s="142">
        <f>B1918*IBGE_2!G$1918/100</f>
        <v>6.2990000000000013</v>
      </c>
      <c r="H1918" s="142">
        <f>B1918*IBGE_2!H$1918/100</f>
        <v>8.141</v>
      </c>
      <c r="I1918" s="142">
        <f>B1918*IBGE_2!I$1918/100</f>
        <v>7.1319999999999997</v>
      </c>
      <c r="J1918" s="142">
        <f>B1918*IBGE_2!J$1918/100</f>
        <v>0.84200000000000008</v>
      </c>
      <c r="K1918" s="142">
        <f>B1918*IBGE_2!K$1918/100</f>
        <v>371.93</v>
      </c>
      <c r="L1918" s="142">
        <f>B1918*IBGE_2!L$1918/100</f>
        <v>0.98199999999999998</v>
      </c>
      <c r="M1918" s="142" t="s">
        <v>3047</v>
      </c>
      <c r="N1918" s="142">
        <f>B1918*IBGE_2!N$1918/100</f>
        <v>44.402999999999999</v>
      </c>
      <c r="O1918" s="142">
        <f>B1918*IBGE_2!O$1918/100</f>
        <v>8.9079999999999995</v>
      </c>
      <c r="P1918" s="142">
        <f>B1918*IBGE_2!P$1918/100</f>
        <v>2.3E-2</v>
      </c>
      <c r="Q1918" s="142">
        <f>B1918*IBGE_2!Q$1918/100</f>
        <v>150.87700000000001</v>
      </c>
      <c r="R1918" s="142">
        <f>B1918*IBGE_2!R$1918/100</f>
        <v>1.052</v>
      </c>
      <c r="S1918" s="142">
        <f>B1918*IBGE_2!S$1918/100</f>
        <v>357.47900000000004</v>
      </c>
      <c r="T1918" s="142">
        <f>B1918*IBGE_2!T$1918/100</f>
        <v>110.57800000000002</v>
      </c>
      <c r="U1918" s="142">
        <f>B1918*IBGE_2!U$1918/100</f>
        <v>1.3000000000000001E-2</v>
      </c>
      <c r="V1918" s="142">
        <f>B1918*IBGE_2!V$1918/100</f>
        <v>0.92400000000000004</v>
      </c>
      <c r="W1918" s="142">
        <f>B1918*IBGE_2!W$1918/100</f>
        <v>147.36799999999999</v>
      </c>
      <c r="X1918" s="142">
        <f>B1918*IBGE_2!X$1918/100</f>
        <v>5.800000000000001E-2</v>
      </c>
      <c r="Y1918" s="142">
        <f>B1918*IBGE_2!Y$1918/100</f>
        <v>0.45</v>
      </c>
      <c r="Z1918" s="142">
        <f>B1918*IBGE_2!Z$1918/100</f>
        <v>0.106</v>
      </c>
      <c r="AA1918" s="142">
        <f>B1918*IBGE_2!AA$1918/100</f>
        <v>5.6000000000000008E-2</v>
      </c>
      <c r="AB1918" s="142" t="s">
        <v>3047</v>
      </c>
      <c r="AC1918" s="142">
        <f>B1918*IBGE_2!AC$1918/100</f>
        <v>2.2930000000000001</v>
      </c>
      <c r="AD1918" s="142">
        <f>B1918*IBGE_2!AD$1918/100</f>
        <v>0.97399999999999987</v>
      </c>
      <c r="AE1918" s="142">
        <f>B1918*IBGE_2!AE$1918/100</f>
        <v>38.595999999999997</v>
      </c>
      <c r="AF1918" s="142">
        <f>B1918*IBGE_2!AF$1918/100</f>
        <v>1.123</v>
      </c>
      <c r="AG1918" s="142">
        <f>B1918*IBGE_2!AG$1918/100</f>
        <v>1.881</v>
      </c>
      <c r="AH1918" s="142">
        <f>B1918*IBGE_2!AH$1918/100</f>
        <v>6.4000000000000001E-2</v>
      </c>
      <c r="AI1918" s="142" t="s">
        <v>3047</v>
      </c>
      <c r="AJ1918" s="142">
        <f>B1918*IBGE_2!AJ$1918/100</f>
        <v>32.496000000000002</v>
      </c>
      <c r="AK1918" s="142">
        <f>B1918*IBGE_2!AK$1918/100</f>
        <v>148.53800000000001</v>
      </c>
      <c r="AL1918" s="142">
        <f>B1918*IBGE_2!AL$1918/100</f>
        <v>1.07</v>
      </c>
      <c r="AM1918" s="142" t="s">
        <v>3047</v>
      </c>
      <c r="AN1918" s="161"/>
    </row>
    <row r="1919" spans="1:40">
      <c r="A1919" s="143" t="s">
        <v>2979</v>
      </c>
      <c r="B1919" s="141">
        <v>100</v>
      </c>
      <c r="C1919" s="142">
        <f>B1919*IBGE_2!C$1919/100</f>
        <v>119.648</v>
      </c>
      <c r="D1919" s="142">
        <f>B1919*IBGE_2!D$1919/100</f>
        <v>8.0510000000000002</v>
      </c>
      <c r="E1919" s="142">
        <f>B1919*IBGE_2!E$1919/100</f>
        <v>5.7610000000000001</v>
      </c>
      <c r="F1919" s="142">
        <f>B1919*IBGE_2!F$1919/100</f>
        <v>2.835</v>
      </c>
      <c r="G1919" s="142">
        <f>B1919*IBGE_2!G$1919/100</f>
        <v>1.5880000000000001</v>
      </c>
      <c r="H1919" s="142">
        <f>B1919*IBGE_2!H$1919/100</f>
        <v>0.90500000000000003</v>
      </c>
      <c r="I1919" s="142">
        <f>B1919*IBGE_2!I$1919/100</f>
        <v>0.624</v>
      </c>
      <c r="J1919" s="142">
        <f>B1919*IBGE_2!J$1919/100</f>
        <v>0.13600000000000001</v>
      </c>
      <c r="K1919" s="142">
        <f>B1919*IBGE_2!K$1919/100</f>
        <v>30.161000000000005</v>
      </c>
      <c r="L1919" s="142">
        <f>B1919*IBGE_2!L$1919/100</f>
        <v>8.9</v>
      </c>
      <c r="M1919" s="142">
        <f>B1919*IBGE_2!M$1919/100</f>
        <v>0.753</v>
      </c>
      <c r="N1919" s="142">
        <f>B1919*IBGE_2!N$1919/100</f>
        <v>61.417000000000002</v>
      </c>
      <c r="O1919" s="142">
        <f>B1919*IBGE_2!O$1919/100</f>
        <v>24.896999999999998</v>
      </c>
      <c r="P1919" s="142">
        <f>B1919*IBGE_2!P$1919/100</f>
        <v>6.8000000000000005E-2</v>
      </c>
      <c r="Q1919" s="142">
        <f>B1919*IBGE_2!Q$1919/100</f>
        <v>128.38300000000001</v>
      </c>
      <c r="R1919" s="142">
        <f>B1919*IBGE_2!R$1919/100</f>
        <v>0.30499999999999999</v>
      </c>
      <c r="S1919" s="142">
        <f>B1919*IBGE_2!S$1919/100</f>
        <v>128.846</v>
      </c>
      <c r="T1919" s="142">
        <f>B1919*IBGE_2!T$1919/100</f>
        <v>255.101</v>
      </c>
      <c r="U1919" s="142">
        <f>B1919*IBGE_2!U$1919/100</f>
        <v>6.3E-2</v>
      </c>
      <c r="V1919" s="142">
        <f>B1919*IBGE_2!V$1919/100</f>
        <v>0.45</v>
      </c>
      <c r="W1919" s="142">
        <f>B1919*IBGE_2!W$1919/100</f>
        <v>39.600999999999999</v>
      </c>
      <c r="X1919" s="142">
        <f>B1919*IBGE_2!X$1919/100</f>
        <v>7.9000000000000001E-2</v>
      </c>
      <c r="Y1919" s="142">
        <f>B1919*IBGE_2!Y$1919/100</f>
        <v>0.124</v>
      </c>
      <c r="Z1919" s="142">
        <f>B1919*IBGE_2!Z$1919/100</f>
        <v>0.157</v>
      </c>
      <c r="AA1919" s="142">
        <f>B1919*IBGE_2!AA$1919/100</f>
        <v>1.079</v>
      </c>
      <c r="AB1919" s="142">
        <f>B1919*IBGE_2!AB$1919/100</f>
        <v>2.5390000000000001</v>
      </c>
      <c r="AC1919" s="142">
        <f>B1919*IBGE_2!AC$1919/100</f>
        <v>2.8290000000000002</v>
      </c>
      <c r="AD1919" s="142">
        <f>B1919*IBGE_2!AD$1919/100</f>
        <v>0.76200000000000001</v>
      </c>
      <c r="AE1919" s="142">
        <f>B1919*IBGE_2!AE$1919/100</f>
        <v>10.113</v>
      </c>
      <c r="AF1919" s="142">
        <f>B1919*IBGE_2!AF$1919/100</f>
        <v>0.68100000000000005</v>
      </c>
      <c r="AG1919" s="142">
        <f>B1919*IBGE_2!AG$1919/100</f>
        <v>0.38200000000000001</v>
      </c>
      <c r="AH1919" s="142">
        <f>B1919*IBGE_2!AH$1919/100</f>
        <v>0.152</v>
      </c>
      <c r="AI1919" s="142" t="s">
        <v>3047</v>
      </c>
      <c r="AJ1919" s="142">
        <f>B1919*IBGE_2!AJ$1919/100</f>
        <v>16.196999999999999</v>
      </c>
      <c r="AK1919" s="142">
        <f>B1919*IBGE_2!AK$1919/100</f>
        <v>67.823999999999998</v>
      </c>
      <c r="AL1919" s="142">
        <f>B1919*IBGE_2!AL$1919/100</f>
        <v>3.0369999999999999</v>
      </c>
      <c r="AM1919" s="142">
        <f>B1919*IBGE_2!AM$1919/100</f>
        <v>7.4999999999999997E-2</v>
      </c>
      <c r="AN1919" s="161"/>
    </row>
    <row r="1920" spans="1:40">
      <c r="A1920" s="143" t="s">
        <v>2980</v>
      </c>
      <c r="B1920" s="141">
        <v>100</v>
      </c>
      <c r="C1920" s="142">
        <f>B1920*IBGE_2!C$1920/100</f>
        <v>36.387</v>
      </c>
      <c r="D1920" s="142">
        <f>B1920*IBGE_2!D$1920/100</f>
        <v>0.72</v>
      </c>
      <c r="E1920" s="142">
        <f>B1920*IBGE_2!E$1920/100</f>
        <v>1.9240000000000002</v>
      </c>
      <c r="F1920" s="142">
        <f>B1920*IBGE_2!F$1920/100</f>
        <v>0.32700000000000001</v>
      </c>
      <c r="G1920" s="142">
        <f>B1920*IBGE_2!G$1920/100</f>
        <v>0.43099999999999999</v>
      </c>
      <c r="H1920" s="142">
        <f>B1920*IBGE_2!H$1920/100</f>
        <v>1.0740000000000001</v>
      </c>
      <c r="I1920" s="142">
        <f>B1920*IBGE_2!I$1920/100</f>
        <v>0.94699999999999984</v>
      </c>
      <c r="J1920" s="142">
        <f>B1920*IBGE_2!J$1920/100</f>
        <v>0.128</v>
      </c>
      <c r="K1920" s="142" t="s">
        <v>3047</v>
      </c>
      <c r="L1920" s="142">
        <f>B1920*IBGE_2!L$1920/100</f>
        <v>4.9000000000000004</v>
      </c>
      <c r="M1920" s="142">
        <f>B1920*IBGE_2!M$1920/100</f>
        <v>1.1000000000000001</v>
      </c>
      <c r="N1920" s="142">
        <f>B1920*IBGE_2!N$1920/100</f>
        <v>15</v>
      </c>
      <c r="O1920" s="142">
        <f>B1920*IBGE_2!O$1920/100</f>
        <v>9</v>
      </c>
      <c r="P1920" s="142">
        <f>B1920*IBGE_2!P$1920/100</f>
        <v>8.900000000000001E-2</v>
      </c>
      <c r="Q1920" s="142">
        <f>B1920*IBGE_2!Q$1920/100</f>
        <v>30</v>
      </c>
      <c r="R1920" s="142">
        <f>B1920*IBGE_2!R$1920/100</f>
        <v>0.57099999999999995</v>
      </c>
      <c r="S1920" s="142">
        <f>B1920*IBGE_2!S$1920/100</f>
        <v>1</v>
      </c>
      <c r="T1920" s="142">
        <f>B1920*IBGE_2!T$1920/100</f>
        <v>230</v>
      </c>
      <c r="U1920" s="142">
        <f>B1920*IBGE_2!U$1920/100</f>
        <v>9.0999999999999998E-2</v>
      </c>
      <c r="V1920" s="142">
        <f>B1920*IBGE_2!V$1920/100</f>
        <v>0.23</v>
      </c>
      <c r="W1920" s="142" t="s">
        <v>3047</v>
      </c>
      <c r="X1920" s="142">
        <f>B1920*IBGE_2!X$1920/100</f>
        <v>3.1E-2</v>
      </c>
      <c r="Y1920" s="142">
        <f>B1920*IBGE_2!Y$1920/100</f>
        <v>7.8E-2</v>
      </c>
      <c r="Z1920" s="142">
        <f>B1920*IBGE_2!Z$1920/100</f>
        <v>4.3999999999999997E-2</v>
      </c>
      <c r="AA1920" s="142">
        <f>B1920*IBGE_2!AA$1920/100</f>
        <v>0.41299999999999998</v>
      </c>
      <c r="AB1920" s="142">
        <f>B1920*IBGE_2!AB$1920/100</f>
        <v>4.7</v>
      </c>
      <c r="AC1920" s="142">
        <f>B1920*IBGE_2!AC$1920/100</f>
        <v>0.56299999999999994</v>
      </c>
      <c r="AD1920" s="142" t="s">
        <v>3047</v>
      </c>
      <c r="AE1920" s="142">
        <f>B1920*IBGE_2!AE$1920/100</f>
        <v>9</v>
      </c>
      <c r="AF1920" s="142" t="s">
        <v>3047</v>
      </c>
      <c r="AG1920" s="142">
        <f>B1920*IBGE_2!AG$1920/100</f>
        <v>0.95199999999999985</v>
      </c>
      <c r="AH1920" s="142">
        <f>B1920*IBGE_2!AH$1920/100</f>
        <v>0.01</v>
      </c>
      <c r="AI1920" s="142">
        <f>B1920*IBGE_2!AI$1920/100</f>
        <v>154</v>
      </c>
      <c r="AJ1920" s="142">
        <f>B1920*IBGE_2!AJ$1920/100</f>
        <v>1.05</v>
      </c>
      <c r="AK1920" s="142">
        <f>B1920*IBGE_2!AK$1920/100</f>
        <v>249.583</v>
      </c>
      <c r="AL1920" s="142">
        <f>B1920*IBGE_2!AL$1920/100</f>
        <v>3.3</v>
      </c>
      <c r="AM1920" s="142" t="s">
        <v>3047</v>
      </c>
      <c r="AN1920" s="161"/>
    </row>
    <row r="1921" spans="1:40">
      <c r="A1921" s="143" t="s">
        <v>2981</v>
      </c>
      <c r="B1921" s="141">
        <v>100</v>
      </c>
      <c r="C1921" s="142">
        <f>B1921*IBGE_2!C$1921/100</f>
        <v>282.726</v>
      </c>
      <c r="D1921" s="142">
        <f>B1921*IBGE_2!D$1921/100</f>
        <v>10.340999999999999</v>
      </c>
      <c r="E1921" s="142">
        <f>B1921*IBGE_2!E$1921/100</f>
        <v>20.442</v>
      </c>
      <c r="F1921" s="142">
        <f>B1921*IBGE_2!F$1921/100</f>
        <v>8.6750000000000007</v>
      </c>
      <c r="G1921" s="142">
        <f>B1921*IBGE_2!G$1921/100</f>
        <v>7.706999999999999</v>
      </c>
      <c r="H1921" s="142">
        <f>B1921*IBGE_2!H$1921/100</f>
        <v>2.6230000000000002</v>
      </c>
      <c r="I1921" s="142">
        <f>B1921*IBGE_2!I$1921/100</f>
        <v>2.3730000000000002</v>
      </c>
      <c r="J1921" s="142">
        <f>B1921*IBGE_2!J$1921/100</f>
        <v>0.19500000000000001</v>
      </c>
      <c r="K1921" s="142">
        <f>B1921*IBGE_2!K$1921/100</f>
        <v>97.703000000000017</v>
      </c>
      <c r="L1921" s="142">
        <f>B1921*IBGE_2!L$1921/100</f>
        <v>13.845999999999998</v>
      </c>
      <c r="M1921" s="142">
        <f>B1921*IBGE_2!M$1921/100</f>
        <v>0.55900000000000005</v>
      </c>
      <c r="N1921" s="142">
        <f>B1921*IBGE_2!N$1921/100</f>
        <v>156.434</v>
      </c>
      <c r="O1921" s="142">
        <f>B1921*IBGE_2!O$1921/100</f>
        <v>14.823</v>
      </c>
      <c r="P1921" s="142">
        <f>B1921*IBGE_2!P$1921/100</f>
        <v>0.11799999999999999</v>
      </c>
      <c r="Q1921" s="142">
        <f>B1921*IBGE_2!Q$1921/100</f>
        <v>177.965</v>
      </c>
      <c r="R1921" s="142">
        <f>B1921*IBGE_2!R$1921/100</f>
        <v>0.97</v>
      </c>
      <c r="S1921" s="142">
        <f>B1921*IBGE_2!S$1921/100</f>
        <v>408.79300000000001</v>
      </c>
      <c r="T1921" s="142">
        <f>B1921*IBGE_2!T$1921/100</f>
        <v>145.809</v>
      </c>
      <c r="U1921" s="142">
        <f>B1921*IBGE_2!U$1921/100</f>
        <v>4.4999999999999998E-2</v>
      </c>
      <c r="V1921" s="142">
        <f>B1921*IBGE_2!V$1921/100</f>
        <v>1.0389999999999999</v>
      </c>
      <c r="W1921" s="142">
        <f>B1921*IBGE_2!W$1921/100</f>
        <v>70.83</v>
      </c>
      <c r="X1921" s="142">
        <f>B1921*IBGE_2!X$1921/100</f>
        <v>0.161</v>
      </c>
      <c r="Y1921" s="142">
        <f>B1921*IBGE_2!Y$1921/100</f>
        <v>0.27900000000000003</v>
      </c>
      <c r="Z1921" s="142">
        <f>B1921*IBGE_2!Z$1921/100</f>
        <v>7.9000000000000001E-2</v>
      </c>
      <c r="AA1921" s="142">
        <f>B1921*IBGE_2!AA$1921/100</f>
        <v>1.4419999999999999</v>
      </c>
      <c r="AB1921" s="142">
        <f>B1921*IBGE_2!AB$1921/100</f>
        <v>0.51</v>
      </c>
      <c r="AC1921" s="142">
        <f>B1921*IBGE_2!AC$1921/100</f>
        <v>3.78</v>
      </c>
      <c r="AD1921" s="142">
        <f>B1921*IBGE_2!AD$1921/100</f>
        <v>0.52700000000000002</v>
      </c>
      <c r="AE1921" s="142">
        <f>B1921*IBGE_2!AE$1921/100</f>
        <v>39.621000000000002</v>
      </c>
      <c r="AF1921" s="142">
        <f>B1921*IBGE_2!AF$1921/100</f>
        <v>0.63900000000000001</v>
      </c>
      <c r="AG1921" s="142">
        <f>B1921*IBGE_2!AG$1921/100</f>
        <v>0.34300000000000003</v>
      </c>
      <c r="AH1921" s="142">
        <f>B1921*IBGE_2!AH$1921/100</f>
        <v>1.0860000000000001</v>
      </c>
      <c r="AI1921" s="142" t="s">
        <v>3047</v>
      </c>
      <c r="AJ1921" s="142">
        <f>B1921*IBGE_2!AJ$1921/100</f>
        <v>16.768999999999998</v>
      </c>
      <c r="AK1921" s="142">
        <f>B1921*IBGE_2!AK$1921/100</f>
        <v>72.128</v>
      </c>
      <c r="AL1921" s="142">
        <f>B1921*IBGE_2!AL$1921/100</f>
        <v>3.14</v>
      </c>
      <c r="AM1921" s="142">
        <f>B1921*IBGE_2!AM$1921/100</f>
        <v>7.0999999999999994E-2</v>
      </c>
      <c r="AN1921" s="161"/>
    </row>
    <row r="1922" spans="1:40">
      <c r="A1922" s="143" t="s">
        <v>2982</v>
      </c>
      <c r="B1922" s="141">
        <v>100</v>
      </c>
      <c r="C1922" s="142">
        <f>B1922*IBGE_2!C$1922/100</f>
        <v>126.098</v>
      </c>
      <c r="D1922" s="142">
        <f>B1922*IBGE_2!D$1922/100</f>
        <v>5.1130000000000004</v>
      </c>
      <c r="E1922" s="142">
        <f>B1922*IBGE_2!E$1922/100</f>
        <v>9.1739999999999995</v>
      </c>
      <c r="F1922" s="142">
        <f>B1922*IBGE_2!F$1922/100</f>
        <v>5.0140000000000002</v>
      </c>
      <c r="G1922" s="142">
        <f>B1922*IBGE_2!G$1922/100</f>
        <v>2.5920000000000001</v>
      </c>
      <c r="H1922" s="142">
        <f>B1922*IBGE_2!H$1922/100</f>
        <v>0.61899999999999999</v>
      </c>
      <c r="I1922" s="142">
        <f>B1922*IBGE_2!I$1922/100</f>
        <v>0.49099999999999999</v>
      </c>
      <c r="J1922" s="142">
        <f>B1922*IBGE_2!J$1922/100</f>
        <v>9.0999999999999998E-2</v>
      </c>
      <c r="K1922" s="142">
        <f>B1922*IBGE_2!K$1922/100</f>
        <v>100.956</v>
      </c>
      <c r="L1922" s="142">
        <f>B1922*IBGE_2!L$1922/100</f>
        <v>6.4020000000000001</v>
      </c>
      <c r="M1922" s="142">
        <f>B1922*IBGE_2!M$1922/100</f>
        <v>1.0960000000000001</v>
      </c>
      <c r="N1922" s="142">
        <f>B1922*IBGE_2!N$1922/100</f>
        <v>101.62899999999999</v>
      </c>
      <c r="O1922" s="142">
        <f>B1922*IBGE_2!O$1922/100</f>
        <v>40.895000000000003</v>
      </c>
      <c r="P1922" s="142">
        <f>B1922*IBGE_2!P$1922/100</f>
        <v>0.40500000000000003</v>
      </c>
      <c r="Q1922" s="142">
        <f>B1922*IBGE_2!Q$1922/100</f>
        <v>90.537000000000006</v>
      </c>
      <c r="R1922" s="142">
        <f>B1922*IBGE_2!R$1922/100</f>
        <v>1.8460000000000003</v>
      </c>
      <c r="S1922" s="142">
        <f>B1922*IBGE_2!S$1922/100</f>
        <v>487</v>
      </c>
      <c r="T1922" s="142">
        <f>B1922*IBGE_2!T$1922/100</f>
        <v>444.31200000000007</v>
      </c>
      <c r="U1922" s="142">
        <f>B1922*IBGE_2!U$1922/100</f>
        <v>8.2000000000000017E-2</v>
      </c>
      <c r="V1922" s="142">
        <f>B1922*IBGE_2!V$1922/100</f>
        <v>0.66600000000000004</v>
      </c>
      <c r="W1922" s="142">
        <f>B1922*IBGE_2!W$1922/100</f>
        <v>90.46599999999998</v>
      </c>
      <c r="X1922" s="142">
        <f>B1922*IBGE_2!X$1922/100</f>
        <v>9.7000000000000017E-2</v>
      </c>
      <c r="Y1922" s="142">
        <f>B1922*IBGE_2!Y$1922/100</f>
        <v>0.27200000000000002</v>
      </c>
      <c r="Z1922" s="142">
        <f>B1922*IBGE_2!Z$1922/100</f>
        <v>0.13300000000000001</v>
      </c>
      <c r="AA1922" s="142">
        <f>B1922*IBGE_2!AA$1922/100</f>
        <v>0.48199999999999998</v>
      </c>
      <c r="AB1922" s="142">
        <f>B1922*IBGE_2!AB$1922/100</f>
        <v>3.9079999999999999</v>
      </c>
      <c r="AC1922" s="142">
        <f>B1922*IBGE_2!AC$1922/100</f>
        <v>1.734</v>
      </c>
      <c r="AD1922" s="142">
        <f>B1922*IBGE_2!AD$1922/100</f>
        <v>0.36599999999999999</v>
      </c>
      <c r="AE1922" s="142">
        <f>B1922*IBGE_2!AE$1922/100</f>
        <v>75.983999999999995</v>
      </c>
      <c r="AF1922" s="142">
        <f>B1922*IBGE_2!AF$1922/100</f>
        <v>0.66500000000000004</v>
      </c>
      <c r="AG1922" s="142">
        <f>B1922*IBGE_2!AG$1922/100</f>
        <v>1.2070000000000001</v>
      </c>
      <c r="AH1922" s="142">
        <f>B1922*IBGE_2!AH$1922/100</f>
        <v>0.27700000000000002</v>
      </c>
      <c r="AI1922" s="142" t="s">
        <v>3047</v>
      </c>
      <c r="AJ1922" s="142">
        <f>B1922*IBGE_2!AJ$1922/100</f>
        <v>9.1630000000000003</v>
      </c>
      <c r="AK1922" s="142">
        <f>B1922*IBGE_2!AK$1922/100</f>
        <v>297.30700000000002</v>
      </c>
      <c r="AL1922" s="142">
        <f>B1922*IBGE_2!AL$1922/100</f>
        <v>2.3159999999999998</v>
      </c>
      <c r="AM1922" s="142" t="s">
        <v>3047</v>
      </c>
      <c r="AN1922" s="161"/>
    </row>
    <row r="1923" spans="1:40">
      <c r="A1923" s="143" t="s">
        <v>2983</v>
      </c>
      <c r="B1923" s="141">
        <v>100</v>
      </c>
      <c r="C1923" s="142">
        <f>B1923*IBGE_2!C$1923/100</f>
        <v>123.76450000000001</v>
      </c>
      <c r="D1923" s="142">
        <f>B1923*IBGE_2!D$1923/100</f>
        <v>5.4141999999999992</v>
      </c>
      <c r="E1923" s="142">
        <f>B1923*IBGE_2!E$1923/100</f>
        <v>1.6446000000000001</v>
      </c>
      <c r="F1923" s="142">
        <f>B1923*IBGE_2!F$1923/100</f>
        <v>0.28270000000000001</v>
      </c>
      <c r="G1923" s="142">
        <f>B1923*IBGE_2!G$1923/100</f>
        <v>0.35200000000000004</v>
      </c>
      <c r="H1923" s="142">
        <f>B1923*IBGE_2!H$1923/100</f>
        <v>0.90539999999999987</v>
      </c>
      <c r="I1923" s="142">
        <f>B1923*IBGE_2!I$1923/100</f>
        <v>0.77429999999999988</v>
      </c>
      <c r="J1923" s="142">
        <f>B1923*IBGE_2!J$1923/100</f>
        <v>0.1351</v>
      </c>
      <c r="K1923" s="142" t="s">
        <v>3047</v>
      </c>
      <c r="L1923" s="142">
        <f>B1923*IBGE_2!L$1923/100</f>
        <v>22.3386</v>
      </c>
      <c r="M1923" s="142">
        <f>B1923*IBGE_2!M$1923/100</f>
        <v>4.0419999999999998</v>
      </c>
      <c r="N1923" s="142">
        <f>B1923*IBGE_2!N$1923/100</f>
        <v>56.181800000000003</v>
      </c>
      <c r="O1923" s="142">
        <f>B1923*IBGE_2!O$1923/100</f>
        <v>38.080900000000007</v>
      </c>
      <c r="P1923" s="142">
        <f>B1923*IBGE_2!P$1923/100</f>
        <v>0.34380000000000005</v>
      </c>
      <c r="Q1923" s="142">
        <f>B1923*IBGE_2!Q$1923/100</f>
        <v>65.22</v>
      </c>
      <c r="R1923" s="142">
        <f>B1923*IBGE_2!R$1923/100</f>
        <v>2.1089000000000002</v>
      </c>
      <c r="S1923" s="142">
        <f>B1923*IBGE_2!S$1923/100</f>
        <v>4.7827000000000002</v>
      </c>
      <c r="T1923" s="142">
        <f>B1923*IBGE_2!T$1923/100</f>
        <v>336.94</v>
      </c>
      <c r="U1923" s="142">
        <f>B1923*IBGE_2!U$1923/100</f>
        <v>0.16639999999999999</v>
      </c>
      <c r="V1923" s="142">
        <f>B1923*IBGE_2!V$1923/100</f>
        <v>0.78880000000000006</v>
      </c>
      <c r="W1923" s="142" t="s">
        <v>3047</v>
      </c>
      <c r="X1923" s="142">
        <f>B1923*IBGE_2!X$1923/100</f>
        <v>7.7899999999999997E-2</v>
      </c>
      <c r="Y1923" s="142">
        <f>B1923*IBGE_2!Y$1923/100</f>
        <v>2.52E-2</v>
      </c>
      <c r="Z1923" s="142">
        <f>B1923*IBGE_2!Z$1923/100</f>
        <v>5.04E-2</v>
      </c>
      <c r="AA1923" s="142">
        <f>B1923*IBGE_2!AA$1923/100</f>
        <v>7.5600000000000001E-2</v>
      </c>
      <c r="AB1923" s="142" t="s">
        <v>3047</v>
      </c>
      <c r="AC1923" s="142">
        <f>B1923*IBGE_2!AC$1923/100</f>
        <v>1.1106</v>
      </c>
      <c r="AD1923" s="142" t="s">
        <v>3047</v>
      </c>
      <c r="AE1923" s="142">
        <f>B1923*IBGE_2!AE$1923/100</f>
        <v>43.74</v>
      </c>
      <c r="AF1923" s="142" t="s">
        <v>3047</v>
      </c>
      <c r="AG1923" s="142">
        <f>B1923*IBGE_2!AG$1923/100</f>
        <v>0.62459999999999993</v>
      </c>
      <c r="AH1923" s="142">
        <f>B1923*IBGE_2!AH$1923/100</f>
        <v>7.2000000000000007E-3</v>
      </c>
      <c r="AI1923" s="142">
        <f>B1923*IBGE_2!AI$1923/100</f>
        <v>197.1</v>
      </c>
      <c r="AJ1923" s="142">
        <f>B1923*IBGE_2!AJ$1923/100</f>
        <v>1.3553999999999999</v>
      </c>
      <c r="AK1923" s="142" t="s">
        <v>3047</v>
      </c>
      <c r="AL1923" s="142">
        <f>B1923*IBGE_2!AL$1923/100</f>
        <v>0.27</v>
      </c>
      <c r="AM1923" s="142" t="s">
        <v>3047</v>
      </c>
      <c r="AN1923" s="161"/>
    </row>
    <row r="1924" spans="1:40">
      <c r="A1924" s="143" t="s">
        <v>2984</v>
      </c>
      <c r="B1924" s="141">
        <v>100</v>
      </c>
      <c r="C1924" s="142">
        <f>B1924*IBGE_2!C$1924/100</f>
        <v>100.524</v>
      </c>
      <c r="D1924" s="142">
        <f>B1924*IBGE_2!D$1924/100</f>
        <v>14.335000000000001</v>
      </c>
      <c r="E1924" s="142">
        <f>B1924*IBGE_2!E$1924/100</f>
        <v>3.6640000000000001</v>
      </c>
      <c r="F1924" s="142">
        <f>B1924*IBGE_2!F$1924/100</f>
        <v>0.86699999999999999</v>
      </c>
      <c r="G1924" s="142">
        <f>B1924*IBGE_2!G$1924/100</f>
        <v>0.82599999999999996</v>
      </c>
      <c r="H1924" s="142">
        <f>B1924*IBGE_2!H$1924/100</f>
        <v>1.3420000000000001</v>
      </c>
      <c r="I1924" s="142">
        <f>B1924*IBGE_2!I$1924/100</f>
        <v>0.82499999999999996</v>
      </c>
      <c r="J1924" s="142">
        <f>B1924*IBGE_2!J$1924/100</f>
        <v>0.11200000000000002</v>
      </c>
      <c r="K1924" s="142">
        <f>B1924*IBGE_2!K$1924/100</f>
        <v>43.847999999999999</v>
      </c>
      <c r="L1924" s="142">
        <f>B1924*IBGE_2!L$1924/100</f>
        <v>1.7509999999999999</v>
      </c>
      <c r="M1924" s="142">
        <f>B1924*IBGE_2!M$1924/100</f>
        <v>0.17699999999999999</v>
      </c>
      <c r="N1924" s="142">
        <f>B1924*IBGE_2!N$1924/100</f>
        <v>42.040999999999997</v>
      </c>
      <c r="O1924" s="142">
        <f>B1924*IBGE_2!O$1924/100</f>
        <v>26.224</v>
      </c>
      <c r="P1924" s="142">
        <f>B1924*IBGE_2!P$1924/100</f>
        <v>0.14899999999999999</v>
      </c>
      <c r="Q1924" s="142">
        <f>B1924*IBGE_2!Q$1924/100</f>
        <v>180.47499999999999</v>
      </c>
      <c r="R1924" s="142">
        <f>B1924*IBGE_2!R$1924/100</f>
        <v>3.5259999999999998</v>
      </c>
      <c r="S1924" s="142">
        <f>B1924*IBGE_2!S$1924/100</f>
        <v>254.93299999999999</v>
      </c>
      <c r="T1924" s="142">
        <f>B1924*IBGE_2!T$1924/100</f>
        <v>325.73599999999999</v>
      </c>
      <c r="U1924" s="142">
        <f>B1924*IBGE_2!U$1924/100</f>
        <v>0.25600000000000001</v>
      </c>
      <c r="V1924" s="142">
        <f>B1924*IBGE_2!V$1924/100</f>
        <v>0.97799999999999998</v>
      </c>
      <c r="W1924" s="142">
        <f>B1924*IBGE_2!W$1924/100</f>
        <v>31.474</v>
      </c>
      <c r="X1924" s="142">
        <f>B1924*IBGE_2!X$1924/100</f>
        <v>0.11600000000000002</v>
      </c>
      <c r="Y1924" s="142">
        <f>B1924*IBGE_2!Y$1924/100</f>
        <v>0.10400000000000001</v>
      </c>
      <c r="Z1924" s="142">
        <f>B1924*IBGE_2!Z$1924/100</f>
        <v>0.12300000000000001</v>
      </c>
      <c r="AA1924" s="142">
        <f>B1924*IBGE_2!AA$1924/100</f>
        <v>1.9219999999999999</v>
      </c>
      <c r="AB1924" s="142">
        <f>B1924*IBGE_2!AB$1924/100</f>
        <v>6.2149999999999999</v>
      </c>
      <c r="AC1924" s="142">
        <f>B1924*IBGE_2!AC$1924/100</f>
        <v>4.6929999999999996</v>
      </c>
      <c r="AD1924" s="142">
        <f>B1924*IBGE_2!AD$1924/100</f>
        <v>10.951000000000001</v>
      </c>
      <c r="AE1924" s="142">
        <f>B1924*IBGE_2!AE$1924/100</f>
        <v>11.898999999999999</v>
      </c>
      <c r="AF1924" s="142">
        <f>B1924*IBGE_2!AF$1924/100</f>
        <v>1.8259999999999998</v>
      </c>
      <c r="AG1924" s="142">
        <f>B1924*IBGE_2!AG$1924/100</f>
        <v>0.83200000000000007</v>
      </c>
      <c r="AH1924" s="142">
        <f>B1924*IBGE_2!AH$1924/100</f>
        <v>8.9999999999999993E-3</v>
      </c>
      <c r="AI1924" s="142" t="s">
        <v>3047</v>
      </c>
      <c r="AJ1924" s="142">
        <f>B1924*IBGE_2!AJ$1924/100</f>
        <v>28.678000000000001</v>
      </c>
      <c r="AK1924" s="142">
        <f>B1924*IBGE_2!AK$1924/100</f>
        <v>37.070999999999998</v>
      </c>
      <c r="AL1924" s="142">
        <f>B1924*IBGE_2!AL$1924/100</f>
        <v>0.57399999999999995</v>
      </c>
      <c r="AM1924" s="142" t="s">
        <v>3047</v>
      </c>
      <c r="AN1924" s="161"/>
    </row>
    <row r="1925" spans="1:40">
      <c r="A1925" s="143" t="s">
        <v>2985</v>
      </c>
      <c r="B1925" s="141">
        <v>100</v>
      </c>
      <c r="C1925" s="142">
        <f>B1925*IBGE_2!C$1925/100</f>
        <v>181.84899999999999</v>
      </c>
      <c r="D1925" s="142">
        <f>B1925*IBGE_2!D$1925/100</f>
        <v>15.087</v>
      </c>
      <c r="E1925" s="142">
        <f>B1925*IBGE_2!E$1925/100</f>
        <v>12.163</v>
      </c>
      <c r="F1925" s="142">
        <f>B1925*IBGE_2!F$1925/100</f>
        <v>3.7769999999999997</v>
      </c>
      <c r="G1925" s="142">
        <f>B1925*IBGE_2!G$1925/100</f>
        <v>4.9029999999999996</v>
      </c>
      <c r="H1925" s="142">
        <f>B1925*IBGE_2!H$1925/100</f>
        <v>2.2490000000000001</v>
      </c>
      <c r="I1925" s="142">
        <f>B1925*IBGE_2!I$1925/100</f>
        <v>1.952</v>
      </c>
      <c r="J1925" s="142">
        <f>B1925*IBGE_2!J$1925/100</f>
        <v>0.20800000000000002</v>
      </c>
      <c r="K1925" s="142">
        <f>B1925*IBGE_2!K$1925/100</f>
        <v>47.476999999999997</v>
      </c>
      <c r="L1925" s="142">
        <f>B1925*IBGE_2!L$1925/100</f>
        <v>2.9239999999999999</v>
      </c>
      <c r="M1925" s="142">
        <f>B1925*IBGE_2!M$1925/100</f>
        <v>1.3129999999999997</v>
      </c>
      <c r="N1925" s="142">
        <f>B1925*IBGE_2!N$1925/100</f>
        <v>74.710999999999999</v>
      </c>
      <c r="O1925" s="142">
        <f>B1925*IBGE_2!O$1925/100</f>
        <v>20.789000000000001</v>
      </c>
      <c r="P1925" s="142">
        <f>B1925*IBGE_2!P$1925/100</f>
        <v>0.22699999999999998</v>
      </c>
      <c r="Q1925" s="142">
        <f>B1925*IBGE_2!Q$1925/100</f>
        <v>130.078</v>
      </c>
      <c r="R1925" s="142">
        <f>B1925*IBGE_2!R$1925/100</f>
        <v>1.345</v>
      </c>
      <c r="S1925" s="142">
        <f>B1925*IBGE_2!S$1925/100</f>
        <v>508.51900000000001</v>
      </c>
      <c r="T1925" s="142">
        <f>B1925*IBGE_2!T$1925/100</f>
        <v>228.63399999999999</v>
      </c>
      <c r="U1925" s="142">
        <f>B1925*IBGE_2!U$1925/100</f>
        <v>0.06</v>
      </c>
      <c r="V1925" s="142">
        <f>B1925*IBGE_2!V$1925/100</f>
        <v>1.829</v>
      </c>
      <c r="W1925" s="142">
        <f>B1925*IBGE_2!W$1925/100</f>
        <v>2.8650000000000002</v>
      </c>
      <c r="X1925" s="142">
        <f>B1925*IBGE_2!X$1925/100</f>
        <v>0.22699999999999998</v>
      </c>
      <c r="Y1925" s="142">
        <f>B1925*IBGE_2!Y$1925/100</f>
        <v>0.188</v>
      </c>
      <c r="Z1925" s="142">
        <f>B1925*IBGE_2!Z$1925/100</f>
        <v>0.26600000000000001</v>
      </c>
      <c r="AA1925" s="142">
        <f>B1925*IBGE_2!AA$1925/100</f>
        <v>3.3809999999999998</v>
      </c>
      <c r="AB1925" s="142">
        <f>B1925*IBGE_2!AB$1925/100</f>
        <v>8.9350000000000005</v>
      </c>
      <c r="AC1925" s="142">
        <f>B1925*IBGE_2!AC$1925/100</f>
        <v>5.9689999999999994</v>
      </c>
      <c r="AD1925" s="142">
        <f>B1925*IBGE_2!AD$1925/100</f>
        <v>0.54400000000000004</v>
      </c>
      <c r="AE1925" s="142">
        <f>B1925*IBGE_2!AE$1925/100</f>
        <v>46.058</v>
      </c>
      <c r="AF1925" s="142">
        <f>B1925*IBGE_2!AF$1925/100</f>
        <v>0.24299999999999999</v>
      </c>
      <c r="AG1925" s="142">
        <f>B1925*IBGE_2!AG$1925/100</f>
        <v>0.76900000000000002</v>
      </c>
      <c r="AH1925" s="142">
        <f>B1925*IBGE_2!AH$1925/100</f>
        <v>6.3E-2</v>
      </c>
      <c r="AI1925" s="142" t="s">
        <v>3047</v>
      </c>
      <c r="AJ1925" s="142">
        <f>B1925*IBGE_2!AJ$1925/100</f>
        <v>15.829000000000001</v>
      </c>
      <c r="AK1925" s="142">
        <f>B1925*IBGE_2!AK$1925/100</f>
        <v>189.51499999999999</v>
      </c>
      <c r="AL1925" s="142">
        <f>B1925*IBGE_2!AL$1925/100</f>
        <v>0.91200000000000003</v>
      </c>
      <c r="AM1925" s="142">
        <f>B1925*IBGE_2!AM$1925/100</f>
        <v>0.26600000000000001</v>
      </c>
      <c r="AN1925" s="161"/>
    </row>
    <row r="1926" spans="1:40">
      <c r="A1926" s="143" t="s">
        <v>2986</v>
      </c>
      <c r="B1926" s="141">
        <v>100</v>
      </c>
      <c r="C1926" s="142">
        <f>B1926*IBGE_2!C$1926/100</f>
        <v>94.918000000000006</v>
      </c>
      <c r="D1926" s="142">
        <f>B1926*IBGE_2!D$1926/100</f>
        <v>3.5289999999999999</v>
      </c>
      <c r="E1926" s="142">
        <f>B1926*IBGE_2!E$1926/100</f>
        <v>2.895</v>
      </c>
      <c r="F1926" s="142">
        <f>B1926*IBGE_2!F$1926/100</f>
        <v>0.90900000000000003</v>
      </c>
      <c r="G1926" s="142">
        <f>B1926*IBGE_2!G$1926/100</f>
        <v>1.2030000000000001</v>
      </c>
      <c r="H1926" s="142">
        <f>B1926*IBGE_2!H$1926/100</f>
        <v>0.433</v>
      </c>
      <c r="I1926" s="142">
        <f>B1926*IBGE_2!I$1926/100</f>
        <v>0.35699999999999998</v>
      </c>
      <c r="J1926" s="142">
        <f>B1926*IBGE_2!J$1926/100</f>
        <v>4.3999999999999997E-2</v>
      </c>
      <c r="K1926" s="142">
        <f>B1926*IBGE_2!K$1926/100</f>
        <v>8.0939999999999994</v>
      </c>
      <c r="L1926" s="142">
        <f>B1926*IBGE_2!L$1926/100</f>
        <v>14.186</v>
      </c>
      <c r="M1926" s="142">
        <f>B1926*IBGE_2!M$1926/100</f>
        <v>2.137</v>
      </c>
      <c r="N1926" s="142">
        <f>B1926*IBGE_2!N$1926/100</f>
        <v>40.01</v>
      </c>
      <c r="O1926" s="142">
        <f>B1926*IBGE_2!O$1926/100</f>
        <v>16.599</v>
      </c>
      <c r="P1926" s="142">
        <f>B1926*IBGE_2!P$1926/100</f>
        <v>0.156</v>
      </c>
      <c r="Q1926" s="142">
        <f>B1926*IBGE_2!Q$1926/100</f>
        <v>43.753</v>
      </c>
      <c r="R1926" s="142">
        <f>B1926*IBGE_2!R$1926/100</f>
        <v>0.38400000000000001</v>
      </c>
      <c r="S1926" s="142">
        <f>B1926*IBGE_2!S$1926/100</f>
        <v>1291.1110000000001</v>
      </c>
      <c r="T1926" s="142">
        <f>B1926*IBGE_2!T$1926/100</f>
        <v>278.27300000000002</v>
      </c>
      <c r="U1926" s="142">
        <f>B1926*IBGE_2!U$1926/100</f>
        <v>0.126</v>
      </c>
      <c r="V1926" s="142">
        <f>B1926*IBGE_2!V$1926/100</f>
        <v>0.40699999999999997</v>
      </c>
      <c r="W1926" s="142">
        <f>B1926*IBGE_2!W$1926/100</f>
        <v>1.1559999999999999</v>
      </c>
      <c r="X1926" s="142">
        <f>B1926*IBGE_2!X$1926/100</f>
        <v>0.10400000000000001</v>
      </c>
      <c r="Y1926" s="142">
        <f>B1926*IBGE_2!Y$1926/100</f>
        <v>6.0999999999999999E-2</v>
      </c>
      <c r="Z1926" s="142">
        <f>B1926*IBGE_2!Z$1926/100</f>
        <v>0.24199999999999999</v>
      </c>
      <c r="AA1926" s="142">
        <f>B1926*IBGE_2!AA$1926/100</f>
        <v>1.617</v>
      </c>
      <c r="AB1926" s="142">
        <f>B1926*IBGE_2!AB$1926/100</f>
        <v>12.835000000000001</v>
      </c>
      <c r="AC1926" s="142">
        <f>B1926*IBGE_2!AC$1926/100</f>
        <v>2.2730000000000001</v>
      </c>
      <c r="AD1926" s="142">
        <f>B1926*IBGE_2!AD$1926/100</f>
        <v>0.114</v>
      </c>
      <c r="AE1926" s="142">
        <f>B1926*IBGE_2!AE$1926/100</f>
        <v>43.698999999999998</v>
      </c>
      <c r="AF1926" s="142" t="s">
        <v>3047</v>
      </c>
      <c r="AG1926" s="142">
        <f>B1926*IBGE_2!AG$1926/100</f>
        <v>0.60399999999999998</v>
      </c>
      <c r="AH1926" s="142">
        <f>B1926*IBGE_2!AH$1926/100</f>
        <v>1.0999999999999999E-2</v>
      </c>
      <c r="AI1926" s="142" t="s">
        <v>3047</v>
      </c>
      <c r="AJ1926" s="142">
        <f>B1926*IBGE_2!AJ$1926/100</f>
        <v>0.49099999999999999</v>
      </c>
      <c r="AK1926" s="142">
        <f>B1926*IBGE_2!AK$1926/100</f>
        <v>76.802999999999997</v>
      </c>
      <c r="AL1926" s="142">
        <f>B1926*IBGE_2!AL$1926/100</f>
        <v>0.93700000000000006</v>
      </c>
      <c r="AM1926" s="142" t="s">
        <v>3047</v>
      </c>
      <c r="AN1926" s="161"/>
    </row>
    <row r="1927" spans="1:40">
      <c r="A1927" s="143" t="s">
        <v>2987</v>
      </c>
      <c r="B1927" s="141">
        <v>100</v>
      </c>
      <c r="C1927" s="142">
        <f>B1927*IBGE_2!C$1927/100</f>
        <v>102.73606199499331</v>
      </c>
      <c r="D1927" s="142">
        <f>B1927*IBGE_2!D$1927/100</f>
        <v>2.380278864333333</v>
      </c>
      <c r="E1927" s="142">
        <f>B1927*IBGE_2!E$1927/100</f>
        <v>0.94802940000000002</v>
      </c>
      <c r="F1927" s="142">
        <f>B1927*IBGE_2!F$1927/100</f>
        <v>0.26046564</v>
      </c>
      <c r="G1927" s="142">
        <f>B1927*IBGE_2!G$1927/100</f>
        <v>0.16453677999999999</v>
      </c>
      <c r="H1927" s="142">
        <f>B1927*IBGE_2!H$1927/100</f>
        <v>0.44518246</v>
      </c>
      <c r="I1927" s="142">
        <f>B1927*IBGE_2!I$1927/100</f>
        <v>0.41043156000000003</v>
      </c>
      <c r="J1927" s="142">
        <f>B1927*IBGE_2!J$1927/100</f>
        <v>7.3346159999999994E-2</v>
      </c>
      <c r="K1927" s="142" t="s">
        <v>3047</v>
      </c>
      <c r="L1927" s="142">
        <f>B1927*IBGE_2!L$1927/100</f>
        <v>20.922404428999993</v>
      </c>
      <c r="M1927" s="142">
        <f>B1927*IBGE_2!M$1927/100</f>
        <v>1.9219915399999996</v>
      </c>
      <c r="N1927" s="142">
        <f>B1927*IBGE_2!N$1927/100</f>
        <v>44.456719206666669</v>
      </c>
      <c r="O1927" s="142">
        <f>B1927*IBGE_2!O$1927/100</f>
        <v>7.5618754666666668</v>
      </c>
      <c r="P1927" s="142">
        <f>B1927*IBGE_2!P$1927/100</f>
        <v>0.33763153333333329</v>
      </c>
      <c r="Q1927" s="142">
        <f>B1927*IBGE_2!Q$1927/100</f>
        <v>21.438397299999998</v>
      </c>
      <c r="R1927" s="142">
        <f>B1927*IBGE_2!R$1927/100</f>
        <v>0.40148373333333331</v>
      </c>
      <c r="S1927" s="142">
        <f>B1927*IBGE_2!S$1927/100</f>
        <v>5.6322300933333329</v>
      </c>
      <c r="T1927" s="142">
        <f>B1927*IBGE_2!T$1927/100</f>
        <v>44.970905313333333</v>
      </c>
      <c r="U1927" s="142">
        <f>B1927*IBGE_2!U$1927/100</f>
        <v>2.2397099999999996E-2</v>
      </c>
      <c r="V1927" s="142">
        <f>B1927*IBGE_2!V$1927/100</f>
        <v>0.40963138666666665</v>
      </c>
      <c r="W1927" s="142" t="s">
        <v>3047</v>
      </c>
      <c r="X1927" s="142">
        <f>B1927*IBGE_2!X$1927/100</f>
        <v>1.2E-2</v>
      </c>
      <c r="Y1927" s="142">
        <f>B1927*IBGE_2!Y$1927/100</f>
        <v>3.3000000000000002E-2</v>
      </c>
      <c r="Z1927" s="142">
        <f>B1927*IBGE_2!Z$1927/100</f>
        <v>3.9E-2</v>
      </c>
      <c r="AA1927" s="142">
        <f>B1927*IBGE_2!AA$1927/100</f>
        <v>0.17399999999999999</v>
      </c>
      <c r="AB1927" s="142">
        <f>B1927*IBGE_2!AB$1927/100</f>
        <v>5.46</v>
      </c>
      <c r="AC1927" s="142">
        <f>B1927*IBGE_2!AC$1927/100</f>
        <v>0.309</v>
      </c>
      <c r="AD1927" s="142" t="s">
        <v>3047</v>
      </c>
      <c r="AE1927" s="142">
        <f>B1927*IBGE_2!AE$1927/100</f>
        <v>27.9</v>
      </c>
      <c r="AF1927" s="142" t="s">
        <v>3047</v>
      </c>
      <c r="AG1927" s="142">
        <f>B1927*IBGE_2!AG$1927/100</f>
        <v>0.26400000000000001</v>
      </c>
      <c r="AH1927" s="142" t="s">
        <v>3047</v>
      </c>
      <c r="AI1927" s="142">
        <f>B1927*IBGE_2!AI$1927/100</f>
        <v>327.10000000000002</v>
      </c>
      <c r="AJ1927" s="142">
        <f>B1927*IBGE_2!AJ$1927/100</f>
        <v>0.15</v>
      </c>
      <c r="AK1927" s="142">
        <f>B1927*IBGE_2!AK$1927/100</f>
        <v>121.72499999999999</v>
      </c>
      <c r="AL1927" s="142">
        <f>B1927*IBGE_2!AL$1927/100</f>
        <v>0.42299999999999999</v>
      </c>
      <c r="AM1927" s="142" t="s">
        <v>3047</v>
      </c>
      <c r="AN1927" s="161"/>
    </row>
    <row r="1928" spans="1:40">
      <c r="A1928" s="143" t="s">
        <v>2988</v>
      </c>
      <c r="B1928" s="141">
        <v>100</v>
      </c>
      <c r="C1928" s="142">
        <f>B1928*IBGE_2!C$1928/100</f>
        <v>125.337</v>
      </c>
      <c r="D1928" s="142">
        <f>B1928*IBGE_2!D$1928/100</f>
        <v>9.01</v>
      </c>
      <c r="E1928" s="142">
        <f>B1928*IBGE_2!E$1928/100</f>
        <v>5.7519999999999989</v>
      </c>
      <c r="F1928" s="142">
        <f>B1928*IBGE_2!F$1928/100</f>
        <v>1.7849999999999999</v>
      </c>
      <c r="G1928" s="142">
        <f>B1928*IBGE_2!G$1928/100</f>
        <v>1.851</v>
      </c>
      <c r="H1928" s="142">
        <f>B1928*IBGE_2!H$1928/100</f>
        <v>1.2709999999999999</v>
      </c>
      <c r="I1928" s="142">
        <f>B1928*IBGE_2!I$1928/100</f>
        <v>1.0349999999999999</v>
      </c>
      <c r="J1928" s="142">
        <f>B1928*IBGE_2!J$1928/100</f>
        <v>0.14799999999999999</v>
      </c>
      <c r="K1928" s="142">
        <f>B1928*IBGE_2!K$1928/100</f>
        <v>69.2</v>
      </c>
      <c r="L1928" s="142">
        <f>B1928*IBGE_2!L$1928/100</f>
        <v>8.8650000000000002</v>
      </c>
      <c r="M1928" s="142">
        <f>B1928*IBGE_2!M$1928/100</f>
        <v>0.307</v>
      </c>
      <c r="N1928" s="142">
        <f>B1928*IBGE_2!N$1928/100</f>
        <v>5.3379999999999992</v>
      </c>
      <c r="O1928" s="142">
        <f>B1928*IBGE_2!O$1928/100</f>
        <v>10.949000000000002</v>
      </c>
      <c r="P1928" s="142">
        <f>B1928*IBGE_2!P$1928/100</f>
        <v>6.2E-2</v>
      </c>
      <c r="Q1928" s="142">
        <f>B1928*IBGE_2!Q$1928/100</f>
        <v>102.45300000000002</v>
      </c>
      <c r="R1928" s="142">
        <f>B1928*IBGE_2!R$1928/100</f>
        <v>2.0150000000000001</v>
      </c>
      <c r="S1928" s="142">
        <f>B1928*IBGE_2!S$1928/100</f>
        <v>315.95699999999999</v>
      </c>
      <c r="T1928" s="142">
        <f>B1928*IBGE_2!T$1928/100</f>
        <v>133.87299999999999</v>
      </c>
      <c r="U1928" s="142">
        <f>B1928*IBGE_2!U$1928/100</f>
        <v>1.5169999999999999</v>
      </c>
      <c r="V1928" s="142">
        <f>B1928*IBGE_2!V$1928/100</f>
        <v>1.423</v>
      </c>
      <c r="W1928" s="142">
        <f>B1928*IBGE_2!W$1928/100</f>
        <v>942.8</v>
      </c>
      <c r="X1928" s="142">
        <f>B1928*IBGE_2!X$1928/100</f>
        <v>0.10199999999999999</v>
      </c>
      <c r="Y1928" s="142">
        <f>B1928*IBGE_2!Y$1928/100</f>
        <v>0.52400000000000002</v>
      </c>
      <c r="Z1928" s="142">
        <f>B1928*IBGE_2!Z$1928/100</f>
        <v>0.17299999999999996</v>
      </c>
      <c r="AA1928" s="142">
        <f>B1928*IBGE_2!AA$1928/100</f>
        <v>3.347</v>
      </c>
      <c r="AB1928" s="142">
        <f>B1928*IBGE_2!AB$1928/100</f>
        <v>0.89</v>
      </c>
      <c r="AC1928" s="142">
        <f>B1928*IBGE_2!AC$1928/100</f>
        <v>5.0369999999999999</v>
      </c>
      <c r="AD1928" s="142">
        <f>B1928*IBGE_2!AD$1928/100</f>
        <v>8.3930000000000007</v>
      </c>
      <c r="AE1928" s="142">
        <f>B1928*IBGE_2!AE$1928/100</f>
        <v>51.262</v>
      </c>
      <c r="AF1928" s="142">
        <f>B1928*IBGE_2!AF$1928/100</f>
        <v>0.1</v>
      </c>
      <c r="AG1928" s="142">
        <f>B1928*IBGE_2!AG$1928/100</f>
        <v>0.39200000000000002</v>
      </c>
      <c r="AH1928" s="142">
        <f>B1928*IBGE_2!AH$1928/100</f>
        <v>0.18099999999999997</v>
      </c>
      <c r="AI1928" s="142" t="s">
        <v>3047</v>
      </c>
      <c r="AJ1928" s="142">
        <f>B1928*IBGE_2!AJ$1928/100</f>
        <v>12.177</v>
      </c>
      <c r="AK1928" s="142">
        <f>B1928*IBGE_2!AK$1928/100</f>
        <v>945.99599999999987</v>
      </c>
      <c r="AL1928" s="142">
        <f>B1928*IBGE_2!AL$1928/100</f>
        <v>0.73699999999999999</v>
      </c>
      <c r="AM1928" s="142" t="s">
        <v>3047</v>
      </c>
      <c r="AN1928" s="161"/>
    </row>
    <row r="1929" spans="1:40">
      <c r="A1929" s="143" t="s">
        <v>2989</v>
      </c>
      <c r="B1929" s="141">
        <v>100</v>
      </c>
      <c r="C1929" s="142">
        <f>B1929*IBGE_2!C$1929/100</f>
        <v>535</v>
      </c>
      <c r="D1929" s="142">
        <f>B1929*IBGE_2!D$1929/100</f>
        <v>7.65</v>
      </c>
      <c r="E1929" s="142">
        <f>B1929*IBGE_2!E$1929/100</f>
        <v>29.66</v>
      </c>
      <c r="F1929" s="142">
        <f>B1929*IBGE_2!F$1929/100</f>
        <v>20.78</v>
      </c>
      <c r="G1929" s="142">
        <f>B1929*IBGE_2!G$1929/100</f>
        <v>15.869000000000002</v>
      </c>
      <c r="H1929" s="142">
        <f>B1929*IBGE_2!H$1929/100</f>
        <v>1.256</v>
      </c>
      <c r="I1929" s="142">
        <f>B1929*IBGE_2!I$1929/100</f>
        <v>1.0629999999999999</v>
      </c>
      <c r="J1929" s="142">
        <f>B1929*IBGE_2!J$1929/100</f>
        <v>0.122</v>
      </c>
      <c r="K1929" s="142">
        <f>B1929*IBGE_2!K$1929/100</f>
        <v>23</v>
      </c>
      <c r="L1929" s="142">
        <f>B1929*IBGE_2!L$1929/100</f>
        <v>59.4</v>
      </c>
      <c r="M1929" s="142">
        <f>B1929*IBGE_2!M$1929/100</f>
        <v>3.4</v>
      </c>
      <c r="N1929" s="142">
        <f>B1929*IBGE_2!N$1929/100</f>
        <v>189</v>
      </c>
      <c r="O1929" s="142">
        <f>B1929*IBGE_2!O$1929/100</f>
        <v>63</v>
      </c>
      <c r="P1929" s="142">
        <f>B1929*IBGE_2!P$1929/100</f>
        <v>0.47099999999999992</v>
      </c>
      <c r="Q1929" s="142">
        <f>B1929*IBGE_2!Q$1929/100</f>
        <v>208</v>
      </c>
      <c r="R1929" s="142">
        <f>B1929*IBGE_2!R$1929/100</f>
        <v>2.35</v>
      </c>
      <c r="S1929" s="142">
        <f>B1929*IBGE_2!S$1929/100</f>
        <v>79</v>
      </c>
      <c r="T1929" s="142">
        <f>B1929*IBGE_2!T$1929/100</f>
        <v>372</v>
      </c>
      <c r="U1929" s="142">
        <f>B1929*IBGE_2!U$1929/100</f>
        <v>0.49099999999999999</v>
      </c>
      <c r="V1929" s="142">
        <f>B1929*IBGE_2!V$1929/100</f>
        <v>2.2999999999999998</v>
      </c>
      <c r="W1929" s="142">
        <f>B1929*IBGE_2!W$1929/100</f>
        <v>56</v>
      </c>
      <c r="X1929" s="142">
        <f>B1929*IBGE_2!X$1929/100</f>
        <v>0.11200000000000002</v>
      </c>
      <c r="Y1929" s="142">
        <f>B1929*IBGE_2!Y$1929/100</f>
        <v>0.29799999999999999</v>
      </c>
      <c r="Z1929" s="142">
        <f>B1929*IBGE_2!Z$1929/100</f>
        <v>3.5999999999999997E-2</v>
      </c>
      <c r="AA1929" s="142">
        <f>B1929*IBGE_2!AA$1929/100</f>
        <v>0.38600000000000001</v>
      </c>
      <c r="AB1929" s="142" t="s">
        <v>3047</v>
      </c>
      <c r="AC1929" s="142">
        <f>B1929*IBGE_2!AC$1929/100</f>
        <v>1.869</v>
      </c>
      <c r="AD1929" s="142">
        <f>B1929*IBGE_2!AD$1929/100</f>
        <v>0.75</v>
      </c>
      <c r="AE1929" s="142">
        <f>B1929*IBGE_2!AE$1929/100</f>
        <v>11</v>
      </c>
      <c r="AF1929" s="142" t="s">
        <v>3047</v>
      </c>
      <c r="AG1929" s="142">
        <f>B1929*IBGE_2!AG$1929/100</f>
        <v>0.51</v>
      </c>
      <c r="AH1929" s="142">
        <f>B1929*IBGE_2!AH$1929/100</f>
        <v>0.09</v>
      </c>
      <c r="AI1929" s="142" t="s">
        <v>3047</v>
      </c>
      <c r="AJ1929" s="142">
        <f>B1929*IBGE_2!AJ$1929/100</f>
        <v>4.5</v>
      </c>
      <c r="AK1929" s="142">
        <f>B1929*IBGE_2!AK$1929/100</f>
        <v>56.667000000000002</v>
      </c>
      <c r="AL1929" s="142">
        <f>B1929*IBGE_2!AL$1929/100</f>
        <v>54.8</v>
      </c>
      <c r="AM1929" s="142">
        <f>B1929*IBGE_2!AM$1929/100</f>
        <v>46.991000000000007</v>
      </c>
      <c r="AN1929" s="161"/>
    </row>
    <row r="1930" spans="1:40">
      <c r="A1930" s="143" t="s">
        <v>2990</v>
      </c>
      <c r="B1930" s="141">
        <v>100</v>
      </c>
      <c r="C1930" s="142">
        <f>B1930*IBGE_2!C$1930/100</f>
        <v>134.79400000000001</v>
      </c>
      <c r="D1930" s="142">
        <f>B1930*IBGE_2!D$1930/100</f>
        <v>3.8039999999999998</v>
      </c>
      <c r="E1930" s="142">
        <f>B1930*IBGE_2!E$1930/100</f>
        <v>7.4689999999999994</v>
      </c>
      <c r="F1930" s="142">
        <f>B1930*IBGE_2!F$1930/100</f>
        <v>4.4359999999999999</v>
      </c>
      <c r="G1930" s="142">
        <f>B1930*IBGE_2!G$1930/100</f>
        <v>2.23</v>
      </c>
      <c r="H1930" s="142">
        <f>B1930*IBGE_2!H$1930/100</f>
        <v>0.33800000000000002</v>
      </c>
      <c r="I1930" s="142">
        <f>B1930*IBGE_2!I$1930/100</f>
        <v>0.22699999999999998</v>
      </c>
      <c r="J1930" s="142">
        <f>B1930*IBGE_2!J$1930/100</f>
        <v>0.10100000000000002</v>
      </c>
      <c r="K1930" s="142">
        <f>B1930*IBGE_2!K$1930/100</f>
        <v>58.91</v>
      </c>
      <c r="L1930" s="142">
        <f>B1930*IBGE_2!L$1930/100</f>
        <v>13.519</v>
      </c>
      <c r="M1930" s="142" t="s">
        <v>3047</v>
      </c>
      <c r="N1930" s="142">
        <f>B1930*IBGE_2!N$1930/100</f>
        <v>129.80099999999999</v>
      </c>
      <c r="O1930" s="142">
        <f>B1930*IBGE_2!O$1930/100</f>
        <v>18.971</v>
      </c>
      <c r="P1930" s="142">
        <f>B1930*IBGE_2!P$1930/100</f>
        <v>5.0000000000000001E-3</v>
      </c>
      <c r="Q1930" s="142">
        <f>B1930*IBGE_2!Q$1930/100</f>
        <v>108.833</v>
      </c>
      <c r="R1930" s="142">
        <f>B1930*IBGE_2!R$1930/100</f>
        <v>0.2</v>
      </c>
      <c r="S1930" s="142">
        <f>B1930*IBGE_2!S$1930/100</f>
        <v>53.917000000000002</v>
      </c>
      <c r="T1930" s="142">
        <f>B1930*IBGE_2!T$1930/100</f>
        <v>164.74799999999999</v>
      </c>
      <c r="U1930" s="142">
        <f>B1930*IBGE_2!U$1930/100</f>
        <v>1.3000000000000001E-2</v>
      </c>
      <c r="V1930" s="142">
        <f>B1930*IBGE_2!V$1930/100</f>
        <v>0.45899999999999996</v>
      </c>
      <c r="W1930" s="142">
        <f>B1930*IBGE_2!W$1930/100</f>
        <v>44.930999999999997</v>
      </c>
      <c r="X1930" s="142">
        <f>B1930*IBGE_2!X$1930/100</f>
        <v>3.4000000000000002E-2</v>
      </c>
      <c r="Y1930" s="142">
        <f>B1930*IBGE_2!Y$1930/100</f>
        <v>0.19</v>
      </c>
      <c r="Z1930" s="142">
        <f>B1930*IBGE_2!Z$1930/100</f>
        <v>0.05</v>
      </c>
      <c r="AA1930" s="142">
        <f>B1930*IBGE_2!AA$1930/100</f>
        <v>0.105</v>
      </c>
      <c r="AB1930" s="142">
        <f>B1930*IBGE_2!AB$1930/100</f>
        <v>1.4980000000000002</v>
      </c>
      <c r="AC1930" s="142">
        <f>B1930*IBGE_2!AC$1930/100</f>
        <v>1.0029999999999999</v>
      </c>
      <c r="AD1930" s="142">
        <f>B1930*IBGE_2!AD$1930/100</f>
        <v>0.44900000000000001</v>
      </c>
      <c r="AE1930" s="142">
        <f>B1930*IBGE_2!AE$1930/100</f>
        <v>0.998</v>
      </c>
      <c r="AF1930" s="142">
        <f>B1930*IBGE_2!AF$1930/100</f>
        <v>0.98499999999999999</v>
      </c>
      <c r="AG1930" s="142">
        <f>B1930*IBGE_2!AG$1930/100</f>
        <v>0.2</v>
      </c>
      <c r="AH1930" s="142">
        <f>B1930*IBGE_2!AH$1930/100</f>
        <v>0.19</v>
      </c>
      <c r="AI1930" s="142" t="s">
        <v>3047</v>
      </c>
      <c r="AJ1930" s="142">
        <f>B1930*IBGE_2!AJ$1930/100</f>
        <v>4.194</v>
      </c>
      <c r="AK1930" s="142">
        <f>B1930*IBGE_2!AK$1930/100</f>
        <v>45.472000000000001</v>
      </c>
      <c r="AL1930" s="142">
        <f>B1930*IBGE_2!AL$1930/100</f>
        <v>4.2930000000000001</v>
      </c>
      <c r="AM1930" s="142" t="s">
        <v>3047</v>
      </c>
      <c r="AN1930" s="161"/>
    </row>
    <row r="1931" spans="1:40">
      <c r="A1931" s="143" t="s">
        <v>2991</v>
      </c>
      <c r="B1931" s="141">
        <v>100</v>
      </c>
      <c r="C1931" s="142">
        <f>B1931*IBGE_2!C$1931/100</f>
        <v>110</v>
      </c>
      <c r="D1931" s="142">
        <f>B1931*IBGE_2!D$1931/100</f>
        <v>0.7</v>
      </c>
      <c r="E1931" s="142">
        <f>B1931*IBGE_2!E$1931/100</f>
        <v>3.7</v>
      </c>
      <c r="F1931" s="142">
        <f>B1931*IBGE_2!F$1931/100</f>
        <v>0.7</v>
      </c>
      <c r="G1931" s="142">
        <f>B1931*IBGE_2!G$1931/100</f>
        <v>1.9</v>
      </c>
      <c r="H1931" s="142">
        <f>B1931*IBGE_2!H$1931/100</f>
        <v>0.3</v>
      </c>
      <c r="I1931" s="142">
        <f>B1931*IBGE_2!I$1931/100</f>
        <v>0.3</v>
      </c>
      <c r="J1931" s="142">
        <f>B1931*IBGE_2!J$1931/100</f>
        <v>0.02</v>
      </c>
      <c r="K1931" s="142" t="s">
        <v>3047</v>
      </c>
      <c r="L1931" s="142">
        <f>B1931*IBGE_2!L$1931/100</f>
        <v>21.5</v>
      </c>
      <c r="M1931" s="142">
        <f>B1931*IBGE_2!M$1931/100</f>
        <v>1.7</v>
      </c>
      <c r="N1931" s="142">
        <f>B1931*IBGE_2!N$1931/100</f>
        <v>22</v>
      </c>
      <c r="O1931" s="142">
        <f>B1931*IBGE_2!O$1931/100</f>
        <v>13</v>
      </c>
      <c r="P1931" s="142">
        <f>B1931*IBGE_2!P$1931/100</f>
        <v>3.29</v>
      </c>
      <c r="Q1931" s="142">
        <f>B1931*IBGE_2!Q$1931/100</f>
        <v>11</v>
      </c>
      <c r="R1931" s="142">
        <f>B1931*IBGE_2!R$1931/100</f>
        <v>0.3</v>
      </c>
      <c r="S1931" s="142">
        <f>B1931*IBGE_2!S$1931/100</f>
        <v>15</v>
      </c>
      <c r="T1931" s="142">
        <f>B1931*IBGE_2!T$1931/100</f>
        <v>75</v>
      </c>
      <c r="U1931" s="142">
        <f>B1931*IBGE_2!U$1931/100</f>
        <v>0.14000000000000001</v>
      </c>
      <c r="V1931" s="142">
        <f>B1931*IBGE_2!V$1931/100</f>
        <v>0.2</v>
      </c>
      <c r="W1931" s="142" t="s">
        <v>3047</v>
      </c>
      <c r="X1931" s="142" t="s">
        <v>3047</v>
      </c>
      <c r="Y1931" s="142" t="s">
        <v>3047</v>
      </c>
      <c r="Z1931" s="142">
        <f>B1931*IBGE_2!Z$1931/100</f>
        <v>7.0000000000000007E-2</v>
      </c>
      <c r="AA1931" s="142" t="s">
        <v>3047</v>
      </c>
      <c r="AB1931" s="142">
        <f>B1931*IBGE_2!AB$1931/100</f>
        <v>10.3</v>
      </c>
      <c r="AC1931" s="142" t="s">
        <v>3047</v>
      </c>
      <c r="AD1931" s="142" t="s">
        <v>3047</v>
      </c>
      <c r="AE1931" s="142" t="s">
        <v>3047</v>
      </c>
      <c r="AF1931" s="142" t="s">
        <v>3047</v>
      </c>
      <c r="AG1931" s="142" t="s">
        <v>3047</v>
      </c>
      <c r="AH1931" s="142" t="s">
        <v>3047</v>
      </c>
      <c r="AI1931" s="142" t="s">
        <v>3047</v>
      </c>
      <c r="AJ1931" s="142" t="s">
        <v>3047</v>
      </c>
      <c r="AK1931" s="142" t="s">
        <v>3047</v>
      </c>
      <c r="AL1931" s="142" t="s">
        <v>3047</v>
      </c>
      <c r="AM1931" s="142" t="s">
        <v>3047</v>
      </c>
      <c r="AN1931" s="161"/>
    </row>
    <row r="1932" spans="1:40">
      <c r="A1932" s="143" t="s">
        <v>2992</v>
      </c>
      <c r="B1932" s="141">
        <v>100</v>
      </c>
      <c r="C1932" s="142">
        <f>B1932*IBGE_2!C$1932/100</f>
        <v>41.826000000000001</v>
      </c>
      <c r="D1932" s="142">
        <f>B1932*IBGE_2!D$1932/100</f>
        <v>0.58799999999999997</v>
      </c>
      <c r="E1932" s="142">
        <f>B1932*IBGE_2!E$1932/100</f>
        <v>0.13900000000000001</v>
      </c>
      <c r="F1932" s="142">
        <f>B1932*IBGE_2!F$1932/100</f>
        <v>1.7999999999999999E-2</v>
      </c>
      <c r="G1932" s="142">
        <f>B1932*IBGE_2!G$1932/100</f>
        <v>2.5000000000000001E-2</v>
      </c>
      <c r="H1932" s="142">
        <f>B1932*IBGE_2!H$1932/100</f>
        <v>3.4000000000000002E-2</v>
      </c>
      <c r="I1932" s="142">
        <f>B1932*IBGE_2!I$1932/100</f>
        <v>2.7000000000000003E-2</v>
      </c>
      <c r="J1932" s="142">
        <f>B1932*IBGE_2!J$1932/100</f>
        <v>7.000000000000001E-3</v>
      </c>
      <c r="K1932" s="142" t="s">
        <v>3047</v>
      </c>
      <c r="L1932" s="142">
        <f>B1932*IBGE_2!L$1932/100</f>
        <v>9.8089999999999993</v>
      </c>
      <c r="M1932" s="142">
        <f>B1932*IBGE_2!M$1932/100</f>
        <v>0.309</v>
      </c>
      <c r="N1932" s="142">
        <f>B1932*IBGE_2!N$1932/100</f>
        <v>7.9669999999999996</v>
      </c>
      <c r="O1932" s="142">
        <f>B1932*IBGE_2!O$1932/100</f>
        <v>10.954000000000001</v>
      </c>
      <c r="P1932" s="142">
        <f>B1932*IBGE_2!P$1932/100</f>
        <v>1.4000000000000002E-2</v>
      </c>
      <c r="Q1932" s="142">
        <f>B1932*IBGE_2!Q$1932/100</f>
        <v>13.942</v>
      </c>
      <c r="R1932" s="142">
        <f>B1932*IBGE_2!R$1932/100</f>
        <v>0.43799999999999994</v>
      </c>
      <c r="S1932" s="142">
        <f>B1932*IBGE_2!S$1932/100</f>
        <v>1.992</v>
      </c>
      <c r="T1932" s="142">
        <f>B1932*IBGE_2!T$1932/100</f>
        <v>174.274</v>
      </c>
      <c r="U1932" s="142">
        <f>B1932*IBGE_2!U$1932/100</f>
        <v>5.7000000000000002E-2</v>
      </c>
      <c r="V1932" s="142">
        <f>B1932*IBGE_2!V$1932/100</f>
        <v>7.0000000000000007E-2</v>
      </c>
      <c r="W1932" s="142" t="s">
        <v>3047</v>
      </c>
      <c r="X1932" s="142">
        <f>B1932*IBGE_2!X$1932/100</f>
        <v>0.06</v>
      </c>
      <c r="Y1932" s="142">
        <f>B1932*IBGE_2!Y$1932/100</f>
        <v>2.8000000000000004E-2</v>
      </c>
      <c r="Z1932" s="142">
        <f>B1932*IBGE_2!Z$1932/100</f>
        <v>8.7999999999999995E-2</v>
      </c>
      <c r="AA1932" s="142">
        <f>B1932*IBGE_2!AA$1932/100</f>
        <v>0.313</v>
      </c>
      <c r="AB1932" s="142">
        <f>B1932*IBGE_2!AB$1932/100</f>
        <v>34.256999999999998</v>
      </c>
      <c r="AC1932" s="142">
        <f>B1932*IBGE_2!AC$1932/100</f>
        <v>0.34599999999999992</v>
      </c>
      <c r="AD1932" s="142" t="s">
        <v>3047</v>
      </c>
      <c r="AE1932" s="142">
        <f>B1932*IBGE_2!AE$1932/100</f>
        <v>17.925000000000001</v>
      </c>
      <c r="AF1932" s="142" t="s">
        <v>3047</v>
      </c>
      <c r="AG1932" s="142">
        <f>B1932*IBGE_2!AG$1932/100</f>
        <v>0.19900000000000001</v>
      </c>
      <c r="AH1932" s="142" t="s">
        <v>3047</v>
      </c>
      <c r="AI1932" s="142" t="s">
        <v>3047</v>
      </c>
      <c r="AJ1932" s="142">
        <f>B1932*IBGE_2!AJ$1932/100</f>
        <v>0.1</v>
      </c>
      <c r="AK1932" s="142">
        <f>B1932*IBGE_2!AK$1932/100</f>
        <v>8.7550000000000008</v>
      </c>
      <c r="AL1932" s="142">
        <f>B1932*IBGE_2!AL$1932/100</f>
        <v>8.1159999999999997</v>
      </c>
      <c r="AM1932" s="142" t="s">
        <v>3047</v>
      </c>
      <c r="AN1932" s="161"/>
    </row>
    <row r="1933" spans="1:40">
      <c r="A1933" s="143" t="s">
        <v>2993</v>
      </c>
      <c r="B1933" s="141">
        <v>100</v>
      </c>
      <c r="C1933" s="142">
        <f>B1933*IBGE_2!C$1933/100</f>
        <v>53.206000000000003</v>
      </c>
      <c r="D1933" s="142">
        <f>B1933*IBGE_2!D$1933/100</f>
        <v>0.36099999999999999</v>
      </c>
      <c r="E1933" s="142">
        <f>B1933*IBGE_2!E$1933/100</f>
        <v>0.12</v>
      </c>
      <c r="F1933" s="142">
        <f>B1933*IBGE_2!F$1933/100</f>
        <v>8.0000000000000002E-3</v>
      </c>
      <c r="G1933" s="142">
        <f>B1933*IBGE_2!G$1933/100</f>
        <v>1.4000000000000002E-2</v>
      </c>
      <c r="H1933" s="142">
        <f>B1933*IBGE_2!H$1933/100</f>
        <v>4.2000000000000003E-2</v>
      </c>
      <c r="I1933" s="142">
        <f>B1933*IBGE_2!I$1933/100</f>
        <v>2.4E-2</v>
      </c>
      <c r="J1933" s="142">
        <f>B1933*IBGE_2!J$1933/100</f>
        <v>1.7999999999999999E-2</v>
      </c>
      <c r="K1933" s="142" t="s">
        <v>3047</v>
      </c>
      <c r="L1933" s="142">
        <f>B1933*IBGE_2!L$1933/100</f>
        <v>12.92</v>
      </c>
      <c r="M1933" s="142">
        <f>B1933*IBGE_2!M$1933/100</f>
        <v>0.20100000000000001</v>
      </c>
      <c r="N1933" s="142">
        <f>B1933*IBGE_2!N$1933/100</f>
        <v>13.05</v>
      </c>
      <c r="O1933" s="142">
        <f>B1933*IBGE_2!O$1933/100</f>
        <v>12.047000000000001</v>
      </c>
      <c r="P1933" s="142">
        <f>B1933*IBGE_2!P$1933/100</f>
        <v>0.50600000000000001</v>
      </c>
      <c r="Q1933" s="142">
        <f>B1933*IBGE_2!Q$1933/100</f>
        <v>8.0310000000000006</v>
      </c>
      <c r="R1933" s="142">
        <f>B1933*IBGE_2!R$1933/100</f>
        <v>0.311</v>
      </c>
      <c r="S1933" s="142">
        <f>B1933*IBGE_2!S$1933/100</f>
        <v>2.008</v>
      </c>
      <c r="T1933" s="142">
        <f>B1933*IBGE_2!T$1933/100</f>
        <v>130.505</v>
      </c>
      <c r="U1933" s="142">
        <f>B1933*IBGE_2!U$1933/100</f>
        <v>6.9000000000000006E-2</v>
      </c>
      <c r="V1933" s="142">
        <f>B1933*IBGE_2!V$1933/100</f>
        <v>0.11</v>
      </c>
      <c r="W1933" s="142" t="s">
        <v>3047</v>
      </c>
      <c r="X1933" s="142">
        <f>B1933*IBGE_2!X$1933/100</f>
        <v>5.800000000000001E-2</v>
      </c>
      <c r="Y1933" s="142">
        <f>B1933*IBGE_2!Y$1933/100</f>
        <v>2.1000000000000001E-2</v>
      </c>
      <c r="Z1933" s="142">
        <f>B1933*IBGE_2!Z$1933/100</f>
        <v>0.1</v>
      </c>
      <c r="AA1933" s="142">
        <f>B1933*IBGE_2!AA$1933/100</f>
        <v>0.2</v>
      </c>
      <c r="AB1933" s="142">
        <f>B1933*IBGE_2!AB$1933/100</f>
        <v>10.039</v>
      </c>
      <c r="AC1933" s="142">
        <f>B1933*IBGE_2!AC$1933/100</f>
        <v>0.2</v>
      </c>
      <c r="AD1933" s="142" t="s">
        <v>3047</v>
      </c>
      <c r="AE1933" s="142">
        <f>B1933*IBGE_2!AE$1933/100</f>
        <v>18.07</v>
      </c>
      <c r="AF1933" s="142" t="s">
        <v>3047</v>
      </c>
      <c r="AG1933" s="142">
        <f>B1933*IBGE_2!AG$1933/100</f>
        <v>0.02</v>
      </c>
      <c r="AH1933" s="142" t="s">
        <v>3047</v>
      </c>
      <c r="AI1933" s="142" t="s">
        <v>3047</v>
      </c>
      <c r="AJ1933" s="142">
        <f>B1933*IBGE_2!AJ$1933/100</f>
        <v>0.1</v>
      </c>
      <c r="AK1933" s="142">
        <f>B1933*IBGE_2!AK$1933/100</f>
        <v>0.251</v>
      </c>
      <c r="AL1933" s="142">
        <f>B1933*IBGE_2!AL$1933/100</f>
        <v>10.029</v>
      </c>
      <c r="AM1933" s="142" t="s">
        <v>3047</v>
      </c>
      <c r="AN1933" s="161"/>
    </row>
    <row r="1934" spans="1:40">
      <c r="A1934" s="143" t="s">
        <v>2994</v>
      </c>
      <c r="B1934" s="141">
        <v>100</v>
      </c>
      <c r="C1934" s="142">
        <f>B1934*IBGE_2!C$1934/100</f>
        <v>23.055999999999997</v>
      </c>
      <c r="D1934" s="142">
        <f>B1934*IBGE_2!D$1934/100</f>
        <v>0.40100000000000002</v>
      </c>
      <c r="E1934" s="142">
        <f>B1934*IBGE_2!E$1934/100</f>
        <v>0.30099999999999999</v>
      </c>
      <c r="F1934" s="142">
        <f>B1934*IBGE_2!F$1934/100</f>
        <v>6.8000000000000005E-2</v>
      </c>
      <c r="G1934" s="142">
        <f>B1934*IBGE_2!G$1934/100</f>
        <v>8.2000000000000017E-2</v>
      </c>
      <c r="H1934" s="142">
        <f>B1934*IBGE_2!H$1934/100</f>
        <v>0.09</v>
      </c>
      <c r="I1934" s="142">
        <f>B1934*IBGE_2!I$1934/100</f>
        <v>4.5999999999999999E-2</v>
      </c>
      <c r="J1934" s="142">
        <f>B1934*IBGE_2!J$1934/100</f>
        <v>4.3999999999999997E-2</v>
      </c>
      <c r="K1934" s="142" t="s">
        <v>3047</v>
      </c>
      <c r="L1934" s="142">
        <f>B1934*IBGE_2!L$1934/100</f>
        <v>4.8120000000000003</v>
      </c>
      <c r="M1934" s="142">
        <f>B1934*IBGE_2!M$1934/100</f>
        <v>0.30099999999999999</v>
      </c>
      <c r="N1934" s="142">
        <f>B1934*IBGE_2!N$1934/100</f>
        <v>10.023999999999999</v>
      </c>
      <c r="O1934" s="142">
        <f>B1934*IBGE_2!O$1934/100</f>
        <v>12.029000000000002</v>
      </c>
      <c r="P1934" s="142">
        <f>B1934*IBGE_2!P$1934/100</f>
        <v>6.6000000000000003E-2</v>
      </c>
      <c r="Q1934" s="142">
        <f>B1934*IBGE_2!Q$1934/100</f>
        <v>9.0220000000000002</v>
      </c>
      <c r="R1934" s="142">
        <f>B1934*IBGE_2!R$1934/100</f>
        <v>0.501</v>
      </c>
      <c r="S1934" s="142">
        <f>B1934*IBGE_2!S$1934/100</f>
        <v>3.0069999999999997</v>
      </c>
      <c r="T1934" s="142">
        <f>B1934*IBGE_2!T$1934/100</f>
        <v>97.236999999999995</v>
      </c>
      <c r="U1934" s="142">
        <f>B1934*IBGE_2!U$1934/100</f>
        <v>8.5999999999999993E-2</v>
      </c>
      <c r="V1934" s="142">
        <f>B1934*IBGE_2!V$1934/100</f>
        <v>0.1</v>
      </c>
      <c r="W1934" s="142" t="s">
        <v>3047</v>
      </c>
      <c r="X1934" s="142">
        <f>B1934*IBGE_2!X$1934/100</f>
        <v>0.02</v>
      </c>
      <c r="Y1934" s="142">
        <f>B1934*IBGE_2!Y$1934/100</f>
        <v>0.06</v>
      </c>
      <c r="Z1934" s="142">
        <f>B1934*IBGE_2!Z$1934/100</f>
        <v>4.0000000000000001E-3</v>
      </c>
      <c r="AA1934" s="142">
        <f>B1934*IBGE_2!AA$1934/100</f>
        <v>0.40100000000000002</v>
      </c>
      <c r="AB1934" s="142">
        <f>B1934*IBGE_2!AB$1934/100</f>
        <v>1603.912</v>
      </c>
      <c r="AC1934" s="142">
        <f>B1934*IBGE_2!AC$1934/100</f>
        <v>0.40100000000000002</v>
      </c>
      <c r="AD1934" s="142" t="s">
        <v>3047</v>
      </c>
      <c r="AE1934" s="142">
        <f>B1934*IBGE_2!AE$1934/100</f>
        <v>14.034000000000001</v>
      </c>
      <c r="AF1934" s="142" t="s">
        <v>3047</v>
      </c>
      <c r="AG1934" s="142">
        <f>B1934*IBGE_2!AG$1934/100</f>
        <v>0.18</v>
      </c>
      <c r="AH1934" s="142" t="s">
        <v>3047</v>
      </c>
      <c r="AI1934" s="142" t="s">
        <v>3047</v>
      </c>
      <c r="AJ1934" s="142">
        <f>B1934*IBGE_2!AJ$1934/100</f>
        <v>0.1</v>
      </c>
      <c r="AK1934" s="142">
        <f>B1934*IBGE_2!AK$1934/100</f>
        <v>25.478999999999999</v>
      </c>
      <c r="AL1934" s="142">
        <f>B1934*IBGE_2!AL$1934/100</f>
        <v>4.4109999999999996</v>
      </c>
      <c r="AM1934" s="142" t="s">
        <v>3047</v>
      </c>
      <c r="AN1934" s="161"/>
    </row>
    <row r="1935" spans="1:40">
      <c r="A1935" s="143" t="s">
        <v>2995</v>
      </c>
      <c r="B1935" s="141">
        <v>100</v>
      </c>
      <c r="C1935" s="142">
        <f>B1935*IBGE_2!C$1935/100</f>
        <v>62.283999999999999</v>
      </c>
      <c r="D1935" s="142">
        <f>B1935*IBGE_2!D$1935/100</f>
        <v>0.371</v>
      </c>
      <c r="E1935" s="142">
        <f>B1935*IBGE_2!E$1935/100</f>
        <v>0.13800000000000001</v>
      </c>
      <c r="F1935" s="142">
        <f>B1935*IBGE_2!F$1935/100</f>
        <v>0.04</v>
      </c>
      <c r="G1935" s="142">
        <f>B1935*IBGE_2!G$1935/100</f>
        <v>1.3000000000000001E-2</v>
      </c>
      <c r="H1935" s="142">
        <f>B1935*IBGE_2!H$1935/100</f>
        <v>5.800000000000001E-2</v>
      </c>
      <c r="I1935" s="142">
        <f>B1935*IBGE_2!I$1935/100</f>
        <v>4.2000000000000003E-2</v>
      </c>
      <c r="J1935" s="142">
        <f>B1935*IBGE_2!J$1935/100</f>
        <v>1.6E-2</v>
      </c>
      <c r="K1935" s="142" t="s">
        <v>3047</v>
      </c>
      <c r="L1935" s="142">
        <f>B1935*IBGE_2!L$1935/100</f>
        <v>15.619000000000002</v>
      </c>
      <c r="M1935" s="142">
        <f>B1935*IBGE_2!M$1935/100</f>
        <v>0.78500000000000003</v>
      </c>
      <c r="N1935" s="142">
        <f>B1935*IBGE_2!N$1935/100</f>
        <v>2.7530000000000001</v>
      </c>
      <c r="O1935" s="142">
        <f>B1935*IBGE_2!O$1935/100</f>
        <v>3.1989999999999998</v>
      </c>
      <c r="P1935" s="142">
        <f>B1935*IBGE_2!P$1935/100</f>
        <v>2.1999999999999999E-2</v>
      </c>
      <c r="Q1935" s="142">
        <f>B1935*IBGE_2!Q$1935/100</f>
        <v>5.8170000000000002</v>
      </c>
      <c r="R1935" s="142">
        <f>B1935*IBGE_2!R$1935/100</f>
        <v>3.9E-2</v>
      </c>
      <c r="S1935" s="142">
        <f>B1935*IBGE_2!S$1935/100</f>
        <v>0.29099999999999998</v>
      </c>
      <c r="T1935" s="142">
        <f>B1935*IBGE_2!T$1935/100</f>
        <v>60.91</v>
      </c>
      <c r="U1935" s="142">
        <f>B1935*IBGE_2!U$1935/100</f>
        <v>3.3000000000000002E-2</v>
      </c>
      <c r="V1935" s="142">
        <f>B1935*IBGE_2!V$1935/100</f>
        <v>3.3000000000000002E-2</v>
      </c>
      <c r="W1935" s="142" t="s">
        <v>3047</v>
      </c>
      <c r="X1935" s="142">
        <f>B1935*IBGE_2!X$1935/100</f>
        <v>0.01</v>
      </c>
      <c r="Y1935" s="142">
        <f>B1935*IBGE_2!Y$1935/100</f>
        <v>8.0000000000000002E-3</v>
      </c>
      <c r="Z1935" s="142">
        <f>B1935*IBGE_2!Z$1935/100</f>
        <v>1.6E-2</v>
      </c>
      <c r="AA1935" s="142">
        <f>B1935*IBGE_2!AA$1935/100</f>
        <v>0.158</v>
      </c>
      <c r="AB1935" s="142">
        <f>B1935*IBGE_2!AB$1935/100</f>
        <v>33.198999999999998</v>
      </c>
      <c r="AC1935" s="142">
        <f>B1935*IBGE_2!AC$1935/100</f>
        <v>0.21099999999999997</v>
      </c>
      <c r="AD1935" s="142" t="s">
        <v>3047</v>
      </c>
      <c r="AE1935" s="142">
        <f>B1935*IBGE_2!AE$1935/100</f>
        <v>7.125</v>
      </c>
      <c r="AF1935" s="142" t="s">
        <v>3047</v>
      </c>
      <c r="AG1935" s="142">
        <f>B1935*IBGE_2!AG$1935/100</f>
        <v>0.106</v>
      </c>
      <c r="AH1935" s="142" t="s">
        <v>3047</v>
      </c>
      <c r="AI1935" s="142" t="s">
        <v>3047</v>
      </c>
      <c r="AJ1935" s="142">
        <f>B1935*IBGE_2!AJ$1935/100</f>
        <v>0.16800000000000001</v>
      </c>
      <c r="AK1935" s="142">
        <f>B1935*IBGE_2!AK$1935/100</f>
        <v>4.532</v>
      </c>
      <c r="AL1935" s="142">
        <f>B1935*IBGE_2!AL$1935/100</f>
        <v>14.808999999999999</v>
      </c>
      <c r="AM1935" s="142">
        <f>B1935*IBGE_2!AM$1935/100</f>
        <v>13.536</v>
      </c>
      <c r="AN1935" s="161"/>
    </row>
    <row r="1936" spans="1:40">
      <c r="A1936" s="143" t="s">
        <v>2996</v>
      </c>
      <c r="B1936" s="141">
        <v>100</v>
      </c>
      <c r="C1936" s="142">
        <f>B1936*IBGE_2!C$1936/100</f>
        <v>41.826000000000001</v>
      </c>
      <c r="D1936" s="142">
        <f>B1936*IBGE_2!D$1936/100</f>
        <v>0.58799999999999997</v>
      </c>
      <c r="E1936" s="142">
        <f>B1936*IBGE_2!E$1936/100</f>
        <v>0.13900000000000001</v>
      </c>
      <c r="F1936" s="142">
        <f>B1936*IBGE_2!F$1936/100</f>
        <v>1.7999999999999999E-2</v>
      </c>
      <c r="G1936" s="142">
        <f>B1936*IBGE_2!G$1936/100</f>
        <v>2.5000000000000001E-2</v>
      </c>
      <c r="H1936" s="142">
        <f>B1936*IBGE_2!H$1936/100</f>
        <v>3.4000000000000002E-2</v>
      </c>
      <c r="I1936" s="142">
        <f>B1936*IBGE_2!I$1936/100</f>
        <v>2.7000000000000003E-2</v>
      </c>
      <c r="J1936" s="142">
        <f>B1936*IBGE_2!J$1936/100</f>
        <v>7.000000000000001E-3</v>
      </c>
      <c r="K1936" s="142" t="s">
        <v>3047</v>
      </c>
      <c r="L1936" s="142">
        <f>B1936*IBGE_2!L$1936/100</f>
        <v>9.8089999999999993</v>
      </c>
      <c r="M1936" s="142">
        <f>B1936*IBGE_2!M$1936/100</f>
        <v>0.309</v>
      </c>
      <c r="N1936" s="142">
        <f>B1936*IBGE_2!N$1936/100</f>
        <v>7.9669999999999996</v>
      </c>
      <c r="O1936" s="142">
        <f>B1936*IBGE_2!O$1936/100</f>
        <v>10.954000000000001</v>
      </c>
      <c r="P1936" s="142">
        <f>B1936*IBGE_2!P$1936/100</f>
        <v>1.4000000000000002E-2</v>
      </c>
      <c r="Q1936" s="142">
        <f>B1936*IBGE_2!Q$1936/100</f>
        <v>13.942</v>
      </c>
      <c r="R1936" s="142">
        <f>B1936*IBGE_2!R$1936/100</f>
        <v>0.43799999999999994</v>
      </c>
      <c r="S1936" s="142">
        <f>B1936*IBGE_2!S$1936/100</f>
        <v>1.992</v>
      </c>
      <c r="T1936" s="142">
        <f>B1936*IBGE_2!T$1936/100</f>
        <v>174.274</v>
      </c>
      <c r="U1936" s="142">
        <f>B1936*IBGE_2!U$1936/100</f>
        <v>5.7000000000000002E-2</v>
      </c>
      <c r="V1936" s="142">
        <f>B1936*IBGE_2!V$1936/100</f>
        <v>7.0000000000000007E-2</v>
      </c>
      <c r="W1936" s="142" t="s">
        <v>3047</v>
      </c>
      <c r="X1936" s="142">
        <f>B1936*IBGE_2!X$1936/100</f>
        <v>0.06</v>
      </c>
      <c r="Y1936" s="142">
        <f>B1936*IBGE_2!Y$1936/100</f>
        <v>2.8000000000000004E-2</v>
      </c>
      <c r="Z1936" s="142">
        <f>B1936*IBGE_2!Z$1936/100</f>
        <v>8.7999999999999995E-2</v>
      </c>
      <c r="AA1936" s="142">
        <f>B1936*IBGE_2!AA$1936/100</f>
        <v>0.313</v>
      </c>
      <c r="AB1936" s="142">
        <f>B1936*IBGE_2!AB$1936/100</f>
        <v>34.256999999999998</v>
      </c>
      <c r="AC1936" s="142">
        <f>B1936*IBGE_2!AC$1936/100</f>
        <v>0.34599999999999992</v>
      </c>
      <c r="AD1936" s="142" t="s">
        <v>3047</v>
      </c>
      <c r="AE1936" s="142">
        <f>B1936*IBGE_2!AE$1936/100</f>
        <v>17.925000000000001</v>
      </c>
      <c r="AF1936" s="142" t="s">
        <v>3047</v>
      </c>
      <c r="AG1936" s="142">
        <f>B1936*IBGE_2!AG$1936/100</f>
        <v>0.19900000000000001</v>
      </c>
      <c r="AH1936" s="142" t="s">
        <v>3047</v>
      </c>
      <c r="AI1936" s="142" t="s">
        <v>3047</v>
      </c>
      <c r="AJ1936" s="142">
        <f>B1936*IBGE_2!AJ$1936/100</f>
        <v>0.1</v>
      </c>
      <c r="AK1936" s="142">
        <f>B1936*IBGE_2!AK$1936/100</f>
        <v>8.7550000000000008</v>
      </c>
      <c r="AL1936" s="142">
        <f>B1936*IBGE_2!AL$1936/100</f>
        <v>8.1159999999999997</v>
      </c>
      <c r="AM1936" s="142" t="s">
        <v>3047</v>
      </c>
      <c r="AN1936" s="161"/>
    </row>
    <row r="1937" spans="1:40">
      <c r="A1937" s="143" t="s">
        <v>2997</v>
      </c>
      <c r="B1937" s="141">
        <v>100</v>
      </c>
      <c r="C1937" s="142">
        <f>B1937*IBGE_2!C$1937/100</f>
        <v>30.771999999999998</v>
      </c>
      <c r="D1937" s="142">
        <f>B1937*IBGE_2!D$1937/100</f>
        <v>0.81100000000000005</v>
      </c>
      <c r="E1937" s="142">
        <f>B1937*IBGE_2!E$1937/100</f>
        <v>0.11700000000000001</v>
      </c>
      <c r="F1937" s="142">
        <f>B1937*IBGE_2!F$1937/100</f>
        <v>2.1000000000000001E-2</v>
      </c>
      <c r="G1937" s="142">
        <f>B1937*IBGE_2!G$1937/100</f>
        <v>8.9999999999999993E-3</v>
      </c>
      <c r="H1937" s="142">
        <f>B1937*IBGE_2!H$1937/100</f>
        <v>5.2999999999999999E-2</v>
      </c>
      <c r="I1937" s="142">
        <f>B1937*IBGE_2!I$1937/100</f>
        <v>4.5999999999999999E-2</v>
      </c>
      <c r="J1937" s="142">
        <f>B1937*IBGE_2!J$1937/100</f>
        <v>6.0000000000000001E-3</v>
      </c>
      <c r="K1937" s="142" t="s">
        <v>3047</v>
      </c>
      <c r="L1937" s="142">
        <f>B1937*IBGE_2!L$1937/100</f>
        <v>7.1079999999999997</v>
      </c>
      <c r="M1937" s="142">
        <f>B1937*IBGE_2!M$1937/100</f>
        <v>0.75700000000000001</v>
      </c>
      <c r="N1937" s="142">
        <f>B1937*IBGE_2!N$1937/100</f>
        <v>17.143999999999998</v>
      </c>
      <c r="O1937" s="142">
        <f>B1937*IBGE_2!O$1937/100</f>
        <v>11.734000000000002</v>
      </c>
      <c r="P1937" s="142">
        <f>B1937*IBGE_2!P$1937/100</f>
        <v>0.12300000000000001</v>
      </c>
      <c r="Q1937" s="142">
        <f>B1937*IBGE_2!Q$1937/100</f>
        <v>31.27</v>
      </c>
      <c r="R1937" s="142">
        <f>B1937*IBGE_2!R$1937/100</f>
        <v>0.39</v>
      </c>
      <c r="S1937" s="142">
        <f>B1937*IBGE_2!S$1937/100</f>
        <v>28.027999999999999</v>
      </c>
      <c r="T1937" s="142">
        <f>B1937*IBGE_2!T$1937/100</f>
        <v>222.57900000000001</v>
      </c>
      <c r="U1937" s="142">
        <f>B1937*IBGE_2!U$1937/100</f>
        <v>3.7999999999999999E-2</v>
      </c>
      <c r="V1937" s="142">
        <f>B1937*IBGE_2!V$1937/100</f>
        <v>0.158</v>
      </c>
      <c r="W1937" s="142" t="s">
        <v>3047</v>
      </c>
      <c r="X1937" s="142">
        <f>B1937*IBGE_2!X$1937/100</f>
        <v>6.0999999999999999E-2</v>
      </c>
      <c r="Y1937" s="142">
        <f>B1937*IBGE_2!Y$1937/100</f>
        <v>0.04</v>
      </c>
      <c r="Z1937" s="142">
        <f>B1937*IBGE_2!Z$1937/100</f>
        <v>0.14499999999999999</v>
      </c>
      <c r="AA1937" s="142">
        <f>B1937*IBGE_2!AA$1937/100</f>
        <v>0.28499999999999998</v>
      </c>
      <c r="AB1937" s="142">
        <f>B1937*IBGE_2!AB$1937/100</f>
        <v>5.81</v>
      </c>
      <c r="AC1937" s="142">
        <f>B1937*IBGE_2!AC$1937/100</f>
        <v>0.43200000000000005</v>
      </c>
      <c r="AD1937" s="142" t="s">
        <v>3047</v>
      </c>
      <c r="AE1937" s="142">
        <f>B1937*IBGE_2!AE$1937/100</f>
        <v>12.663999999999998</v>
      </c>
      <c r="AF1937" s="142" t="s">
        <v>3047</v>
      </c>
      <c r="AG1937" s="142">
        <f>B1937*IBGE_2!AG$1937/100</f>
        <v>0.73599999999999999</v>
      </c>
      <c r="AH1937" s="142" t="s">
        <v>3047</v>
      </c>
      <c r="AI1937" s="142" t="s">
        <v>3047</v>
      </c>
      <c r="AJ1937" s="142">
        <f>B1937*IBGE_2!AJ$1937/100</f>
        <v>0.46700000000000003</v>
      </c>
      <c r="AK1937" s="142">
        <f>B1937*IBGE_2!AK$1937/100</f>
        <v>602.41899999999998</v>
      </c>
      <c r="AL1937" s="142">
        <f>B1937*IBGE_2!AL$1937/100</f>
        <v>4.7060000000000004</v>
      </c>
      <c r="AM1937" s="142" t="s">
        <v>3047</v>
      </c>
      <c r="AN1937" s="161"/>
    </row>
    <row r="1938" spans="1:40">
      <c r="A1938" s="143" t="s">
        <v>2998</v>
      </c>
      <c r="B1938" s="141">
        <v>100</v>
      </c>
      <c r="C1938" s="142">
        <f>B1938*IBGE_2!C$1938/100</f>
        <v>50.861999999999995</v>
      </c>
      <c r="D1938" s="142">
        <f>B1938*IBGE_2!D$1938/100</f>
        <v>0.11</v>
      </c>
      <c r="E1938" s="142">
        <f>B1938*IBGE_2!E$1938/100</f>
        <v>0.06</v>
      </c>
      <c r="F1938" s="142">
        <f>B1938*IBGE_2!F$1938/100</f>
        <v>1.4000000000000002E-2</v>
      </c>
      <c r="G1938" s="142">
        <f>B1938*IBGE_2!G$1938/100</f>
        <v>2.1999999999999999E-2</v>
      </c>
      <c r="H1938" s="142">
        <f>B1938*IBGE_2!H$1938/100</f>
        <v>1.0999999999999999E-2</v>
      </c>
      <c r="I1938" s="142">
        <f>B1938*IBGE_2!I$1938/100</f>
        <v>3.0000000000000001E-3</v>
      </c>
      <c r="J1938" s="142">
        <f>B1938*IBGE_2!J$1938/100</f>
        <v>8.0000000000000002E-3</v>
      </c>
      <c r="K1938" s="142" t="s">
        <v>3047</v>
      </c>
      <c r="L1938" s="142">
        <f>B1938*IBGE_2!L$1938/100</f>
        <v>13.083999999999998</v>
      </c>
      <c r="M1938" s="142">
        <f>B1938*IBGE_2!M$1938/100</f>
        <v>0.29899999999999999</v>
      </c>
      <c r="N1938" s="142">
        <f>B1938*IBGE_2!N$1938/100</f>
        <v>16.954000000000001</v>
      </c>
      <c r="O1938" s="142">
        <f>B1938*IBGE_2!O$1938/100</f>
        <v>2.992</v>
      </c>
      <c r="P1938" s="142">
        <f>B1938*IBGE_2!P$1938/100</f>
        <v>2.8000000000000004E-2</v>
      </c>
      <c r="Q1938" s="142">
        <f>B1938*IBGE_2!Q$1938/100</f>
        <v>1.9950000000000001</v>
      </c>
      <c r="R1938" s="142">
        <f>B1938*IBGE_2!R$1938/100</f>
        <v>0.35899999999999999</v>
      </c>
      <c r="S1938" s="142">
        <f>B1938*IBGE_2!S$1938/100</f>
        <v>4.9859999999999998</v>
      </c>
      <c r="T1938" s="142">
        <f>B1938*IBGE_2!T$1938/100</f>
        <v>23.934999999999999</v>
      </c>
      <c r="U1938" s="142">
        <f>B1938*IBGE_2!U$1938/100</f>
        <v>1.4999999999999999E-2</v>
      </c>
      <c r="V1938" s="142">
        <f>B1938*IBGE_2!V$1938/100</f>
        <v>0.02</v>
      </c>
      <c r="W1938" s="142" t="s">
        <v>3047</v>
      </c>
      <c r="X1938" s="142">
        <f>B1938*IBGE_2!X$1938/100</f>
        <v>3.0000000000000001E-3</v>
      </c>
      <c r="Y1938" s="142">
        <f>B1938*IBGE_2!Y$1938/100</f>
        <v>3.0000000000000001E-3</v>
      </c>
      <c r="Z1938" s="142">
        <f>B1938*IBGE_2!Z$1938/100</f>
        <v>1.4999999999999999E-2</v>
      </c>
      <c r="AA1938" s="142">
        <f>B1938*IBGE_2!AA$1938/100</f>
        <v>0.08</v>
      </c>
      <c r="AB1938" s="142">
        <f>B1938*IBGE_2!AB$1938/100</f>
        <v>15.159000000000001</v>
      </c>
      <c r="AC1938" s="142">
        <f>B1938*IBGE_2!AC$1938/100</f>
        <v>0.113</v>
      </c>
      <c r="AD1938" s="142" t="s">
        <v>3047</v>
      </c>
      <c r="AE1938" s="142">
        <f>B1938*IBGE_2!AE$1938/100</f>
        <v>6.9809999999999999</v>
      </c>
      <c r="AF1938" s="142" t="s">
        <v>3047</v>
      </c>
      <c r="AG1938" s="142">
        <f>B1938*IBGE_2!AG$1938/100</f>
        <v>0.20899999999999999</v>
      </c>
      <c r="AH1938" s="142" t="s">
        <v>3047</v>
      </c>
      <c r="AI1938" s="142" t="s">
        <v>3047</v>
      </c>
      <c r="AJ1938" s="142">
        <f>B1938*IBGE_2!AJ$1938/100</f>
        <v>0.39900000000000008</v>
      </c>
      <c r="AK1938" s="142">
        <f>B1938*IBGE_2!AK$1938/100</f>
        <v>34.49</v>
      </c>
      <c r="AL1938" s="142">
        <f>B1938*IBGE_2!AL$1938/100</f>
        <v>12.416000000000002</v>
      </c>
      <c r="AM1938" s="142">
        <f>B1938*IBGE_2!AM$1938/100</f>
        <v>9.4280000000000008</v>
      </c>
      <c r="AN1938" s="161"/>
    </row>
    <row r="1939" spans="1:40">
      <c r="A1939" s="143" t="s">
        <v>2999</v>
      </c>
      <c r="B1939" s="141">
        <v>100</v>
      </c>
      <c r="C1939" s="142">
        <f>B1939*IBGE_2!C$1939/100</f>
        <v>60.137</v>
      </c>
      <c r="D1939" s="142">
        <f>B1939*IBGE_2!D$1939/100</f>
        <v>0.67200000000000004</v>
      </c>
      <c r="E1939" s="142">
        <f>B1939*IBGE_2!E$1939/100</f>
        <v>0.18</v>
      </c>
      <c r="F1939" s="142">
        <f>B1939*IBGE_2!F$1939/100</f>
        <v>1.4999999999999999E-2</v>
      </c>
      <c r="G1939" s="142">
        <f>B1939*IBGE_2!G$1939/100</f>
        <v>2.1999999999999999E-2</v>
      </c>
      <c r="H1939" s="142">
        <f>B1939*IBGE_2!H$1939/100</f>
        <v>0.106</v>
      </c>
      <c r="I1939" s="142">
        <f>B1939*IBGE_2!I$1939/100</f>
        <v>0.105</v>
      </c>
      <c r="J1939" s="142" t="s">
        <v>3047</v>
      </c>
      <c r="K1939" s="142" t="s">
        <v>3047</v>
      </c>
      <c r="L1939" s="142">
        <f>B1939*IBGE_2!L$1939/100</f>
        <v>14.482999999999999</v>
      </c>
      <c r="M1939" s="142">
        <f>B1939*IBGE_2!M$1939/100</f>
        <v>0.2</v>
      </c>
      <c r="N1939" s="142">
        <f>B1939*IBGE_2!N$1939/100</f>
        <v>4.0090000000000003</v>
      </c>
      <c r="O1939" s="142">
        <f>B1939*IBGE_2!O$1939/100</f>
        <v>17.039000000000001</v>
      </c>
      <c r="P1939" s="142">
        <f>B1939*IBGE_2!P$1939/100</f>
        <v>1.3000000000000001E-2</v>
      </c>
      <c r="Q1939" s="142">
        <f>B1939*IBGE_2!Q$1939/100</f>
        <v>25.056999999999999</v>
      </c>
      <c r="R1939" s="142">
        <f>B1939*IBGE_2!R$1939/100</f>
        <v>0.36099999999999999</v>
      </c>
      <c r="S1939" s="142">
        <f>B1939*IBGE_2!S$1939/100</f>
        <v>6.0139999999999993</v>
      </c>
      <c r="T1939" s="142">
        <f>B1939*IBGE_2!T$1939/100</f>
        <v>278.63299999999998</v>
      </c>
      <c r="U1939" s="142">
        <f>B1939*IBGE_2!U$1939/100</f>
        <v>0.05</v>
      </c>
      <c r="V1939" s="142">
        <f>B1939*IBGE_2!V$1939/100</f>
        <v>0.06</v>
      </c>
      <c r="W1939" s="142" t="s">
        <v>3047</v>
      </c>
      <c r="X1939" s="142" t="s">
        <v>3047</v>
      </c>
      <c r="Y1939" s="142">
        <f>B1939*IBGE_2!Y$1939/100</f>
        <v>0.10100000000000002</v>
      </c>
      <c r="Z1939" s="142">
        <f>B1939*IBGE_2!Z$1939/100</f>
        <v>0.06</v>
      </c>
      <c r="AA1939" s="142">
        <f>B1939*IBGE_2!AA$1939/100</f>
        <v>2.2450000000000001</v>
      </c>
      <c r="AB1939" s="142">
        <f>B1939*IBGE_2!AB$1939/100</f>
        <v>18.241</v>
      </c>
      <c r="AC1939" s="142">
        <f>B1939*IBGE_2!AC$1939/100</f>
        <v>2.2450000000000001</v>
      </c>
      <c r="AD1939" s="142" t="s">
        <v>3047</v>
      </c>
      <c r="AE1939" s="142">
        <f>B1939*IBGE_2!AE$1939/100</f>
        <v>8.0180000000000007</v>
      </c>
      <c r="AF1939" s="142" t="s">
        <v>3047</v>
      </c>
      <c r="AG1939" s="142">
        <f>B1939*IBGE_2!AG$1939/100</f>
        <v>0.01</v>
      </c>
      <c r="AH1939" s="142" t="s">
        <v>3047</v>
      </c>
      <c r="AI1939" s="142" t="s">
        <v>3047</v>
      </c>
      <c r="AJ1939" s="142">
        <f>B1939*IBGE_2!AJ$1939/100</f>
        <v>0.1</v>
      </c>
      <c r="AK1939" s="142">
        <f>B1939*IBGE_2!AK$1939/100</f>
        <v>47.273999999999994</v>
      </c>
      <c r="AL1939" s="142">
        <f>B1939*IBGE_2!AL$1939/100</f>
        <v>11.436</v>
      </c>
      <c r="AM1939" s="142" t="s">
        <v>3047</v>
      </c>
      <c r="AN1939" s="161"/>
    </row>
    <row r="1940" spans="1:40">
      <c r="A1940" s="143" t="s">
        <v>3000</v>
      </c>
      <c r="B1940" s="141">
        <v>100</v>
      </c>
      <c r="C1940" s="142">
        <f>B1940*IBGE_2!C$1940/100</f>
        <v>59.209000000000003</v>
      </c>
      <c r="D1940" s="142">
        <f>B1940*IBGE_2!D$1940/100</f>
        <v>0.56899999999999995</v>
      </c>
      <c r="E1940" s="142">
        <f>B1940*IBGE_2!E$1940/100</f>
        <v>9.5000000000000001E-2</v>
      </c>
      <c r="F1940" s="142">
        <f>B1940*IBGE_2!F$1940/100</f>
        <v>2.4E-2</v>
      </c>
      <c r="G1940" s="142">
        <f>B1940*IBGE_2!G$1940/100</f>
        <v>6.0000000000000001E-3</v>
      </c>
      <c r="H1940" s="142">
        <f>B1940*IBGE_2!H$1940/100</f>
        <v>3.1E-2</v>
      </c>
      <c r="I1940" s="142">
        <f>B1940*IBGE_2!I$1940/100</f>
        <v>2.1999999999999999E-2</v>
      </c>
      <c r="J1940" s="142">
        <f>B1940*IBGE_2!J$1940/100</f>
        <v>8.9999999999999993E-3</v>
      </c>
      <c r="K1940" s="142" t="s">
        <v>3047</v>
      </c>
      <c r="L1940" s="142">
        <f>B1940*IBGE_2!L$1940/100</f>
        <v>14.509</v>
      </c>
      <c r="M1940" s="142">
        <f>B1940*IBGE_2!M$1940/100</f>
        <v>0.22800000000000001</v>
      </c>
      <c r="N1940" s="142">
        <f>B1940*IBGE_2!N$1940/100</f>
        <v>9.4920000000000009</v>
      </c>
      <c r="O1940" s="142">
        <f>B1940*IBGE_2!O$1940/100</f>
        <v>10.227</v>
      </c>
      <c r="P1940" s="142">
        <f>B1940*IBGE_2!P$1940/100</f>
        <v>0.36299999999999999</v>
      </c>
      <c r="Q1940" s="142">
        <f>B1940*IBGE_2!Q$1940/100</f>
        <v>11.9</v>
      </c>
      <c r="R1940" s="142">
        <f>B1940*IBGE_2!R$1940/100</f>
        <v>0.252</v>
      </c>
      <c r="S1940" s="142">
        <f>B1940*IBGE_2!S$1940/100</f>
        <v>2.8730000000000002</v>
      </c>
      <c r="T1940" s="142">
        <f>B1940*IBGE_2!T$1940/100</f>
        <v>133.74299999999999</v>
      </c>
      <c r="U1940" s="142">
        <f>B1940*IBGE_2!U$1940/100</f>
        <v>2.9000000000000005E-2</v>
      </c>
      <c r="V1940" s="142">
        <f>B1940*IBGE_2!V$1940/100</f>
        <v>5.6000000000000008E-2</v>
      </c>
      <c r="W1940" s="142" t="s">
        <v>3047</v>
      </c>
      <c r="X1940" s="142">
        <f>B1940*IBGE_2!X$1940/100</f>
        <v>2.6000000000000002E-2</v>
      </c>
      <c r="Y1940" s="142">
        <f>B1940*IBGE_2!Y$1940/100</f>
        <v>3.5999999999999997E-2</v>
      </c>
      <c r="Z1940" s="142">
        <f>B1940*IBGE_2!Z$1940/100</f>
        <v>6.4000000000000001E-2</v>
      </c>
      <c r="AA1940" s="142">
        <f>B1940*IBGE_2!AA$1940/100</f>
        <v>0.27100000000000002</v>
      </c>
      <c r="AB1940" s="142">
        <f>B1940*IBGE_2!AB$1940/100</f>
        <v>4.0380000000000003</v>
      </c>
      <c r="AC1940" s="142">
        <f>B1940*IBGE_2!AC$1940/100</f>
        <v>0.28000000000000003</v>
      </c>
      <c r="AD1940" s="142" t="s">
        <v>3047</v>
      </c>
      <c r="AE1940" s="142">
        <f>B1940*IBGE_2!AE$1940/100</f>
        <v>4.4160000000000004</v>
      </c>
      <c r="AF1940" s="142" t="s">
        <v>3047</v>
      </c>
      <c r="AG1940" s="142">
        <f>B1940*IBGE_2!AG$1940/100</f>
        <v>1.9E-2</v>
      </c>
      <c r="AH1940" s="142" t="s">
        <v>3047</v>
      </c>
      <c r="AI1940" s="142" t="s">
        <v>3047</v>
      </c>
      <c r="AJ1940" s="142">
        <f>B1940*IBGE_2!AJ$1940/100</f>
        <v>0.12</v>
      </c>
      <c r="AK1940" s="142">
        <f>B1940*IBGE_2!AK$1940/100</f>
        <v>0.42899999999999999</v>
      </c>
      <c r="AL1940" s="142">
        <f>B1940*IBGE_2!AL$1940/100</f>
        <v>14.454000000000001</v>
      </c>
      <c r="AM1940" s="142" t="s">
        <v>3047</v>
      </c>
      <c r="AN1940" s="161"/>
    </row>
    <row r="1941" spans="1:40">
      <c r="A1941" s="143" t="s">
        <v>3001</v>
      </c>
      <c r="B1941" s="141">
        <v>100</v>
      </c>
      <c r="C1941" s="142">
        <f>B1941*IBGE_2!C$1941/100</f>
        <v>53.993000000000002</v>
      </c>
      <c r="D1941" s="142">
        <f>B1941*IBGE_2!D$1941/100</f>
        <v>0.27</v>
      </c>
      <c r="E1941" s="142">
        <f>B1941*IBGE_2!E$1941/100</f>
        <v>0.02</v>
      </c>
      <c r="F1941" s="142">
        <f>B1941*IBGE_2!F$1941/100</f>
        <v>2E-3</v>
      </c>
      <c r="G1941" s="142">
        <f>B1941*IBGE_2!G$1941/100</f>
        <v>8.0000000000000002E-3</v>
      </c>
      <c r="H1941" s="142">
        <f>B1941*IBGE_2!H$1941/100</f>
        <v>1.0999999999999999E-2</v>
      </c>
      <c r="I1941" s="142">
        <f>B1941*IBGE_2!I$1941/100</f>
        <v>0.01</v>
      </c>
      <c r="J1941" s="142" t="s">
        <v>3047</v>
      </c>
      <c r="K1941" s="142" t="s">
        <v>3047</v>
      </c>
      <c r="L1941" s="142">
        <f>B1941*IBGE_2!L$1941/100</f>
        <v>13.917999999999999</v>
      </c>
      <c r="M1941" s="142">
        <f>B1941*IBGE_2!M$1941/100</f>
        <v>0.6</v>
      </c>
      <c r="N1941" s="142">
        <f>B1941*IBGE_2!N$1941/100</f>
        <v>4.9989999999999997</v>
      </c>
      <c r="O1941" s="142">
        <f>B1941*IBGE_2!O$1941/100</f>
        <v>3.9990000000000006</v>
      </c>
      <c r="P1941" s="142">
        <f>B1941*IBGE_2!P$1941/100</f>
        <v>1.9E-2</v>
      </c>
      <c r="Q1941" s="142">
        <f>B1941*IBGE_2!Q$1941/100</f>
        <v>5.9989999999999997</v>
      </c>
      <c r="R1941" s="142">
        <f>B1941*IBGE_2!R$1941/100</f>
        <v>0.19</v>
      </c>
      <c r="S1941" s="142">
        <f>B1941*IBGE_2!S$1941/100</f>
        <v>6.9989999999999997</v>
      </c>
      <c r="T1941" s="142">
        <f>B1941*IBGE_2!T$1941/100</f>
        <v>39.994999999999997</v>
      </c>
      <c r="U1941" s="142">
        <f>B1941*IBGE_2!U$1941/100</f>
        <v>6.9000000000000006E-2</v>
      </c>
      <c r="V1941" s="142">
        <f>B1941*IBGE_2!V$1941/100</f>
        <v>0.08</v>
      </c>
      <c r="W1941" s="142" t="s">
        <v>3047</v>
      </c>
      <c r="X1941" s="142">
        <f>B1941*IBGE_2!X$1941/100</f>
        <v>3.0000000000000001E-3</v>
      </c>
      <c r="Y1941" s="142">
        <f>B1941*IBGE_2!Y$1941/100</f>
        <v>1.4000000000000002E-2</v>
      </c>
      <c r="Z1941" s="142">
        <f>B1941*IBGE_2!Z$1941/100</f>
        <v>7.000000000000001E-3</v>
      </c>
      <c r="AA1941" s="142">
        <f>B1941*IBGE_2!AA$1941/100</f>
        <v>0.28799999999999998</v>
      </c>
      <c r="AB1941" s="142">
        <f>B1941*IBGE_2!AB$1941/100</f>
        <v>5.2990000000000013</v>
      </c>
      <c r="AC1941" s="142">
        <f>B1941*IBGE_2!AC$1941/100</f>
        <v>0.28799999999999998</v>
      </c>
      <c r="AD1941" s="142" t="s">
        <v>3047</v>
      </c>
      <c r="AE1941" s="142">
        <f>B1941*IBGE_2!AE$1941/100</f>
        <v>1</v>
      </c>
      <c r="AF1941" s="142" t="s">
        <v>3047</v>
      </c>
      <c r="AG1941" s="142">
        <f>B1941*IBGE_2!AG$1941/100</f>
        <v>0.28999999999999998</v>
      </c>
      <c r="AH1941" s="142" t="s">
        <v>3047</v>
      </c>
      <c r="AI1941" s="142" t="s">
        <v>3047</v>
      </c>
      <c r="AJ1941" s="142">
        <f>B1941*IBGE_2!AJ$1941/100</f>
        <v>0.2</v>
      </c>
      <c r="AK1941" s="142">
        <f>B1941*IBGE_2!AK$1941/100</f>
        <v>12.872999999999999</v>
      </c>
      <c r="AL1941" s="142">
        <f>B1941*IBGE_2!AL$1941/100</f>
        <v>13.238</v>
      </c>
      <c r="AM1941" s="142">
        <f>B1941*IBGE_2!AM$1941/100</f>
        <v>9.2970000000000006</v>
      </c>
      <c r="AN1941" s="161"/>
    </row>
    <row r="1942" spans="1:40">
      <c r="A1942" s="143" t="s">
        <v>3002</v>
      </c>
      <c r="B1942" s="141">
        <v>100</v>
      </c>
      <c r="C1942" s="142">
        <f>B1942*IBGE_2!C$1942/100</f>
        <v>53.993000000000002</v>
      </c>
      <c r="D1942" s="142">
        <f>B1942*IBGE_2!D$1942/100</f>
        <v>0.27</v>
      </c>
      <c r="E1942" s="142">
        <f>B1942*IBGE_2!E$1942/100</f>
        <v>0.02</v>
      </c>
      <c r="F1942" s="142">
        <f>B1942*IBGE_2!F$1942/100</f>
        <v>2E-3</v>
      </c>
      <c r="G1942" s="142">
        <f>B1942*IBGE_2!G$1942/100</f>
        <v>8.0000000000000002E-3</v>
      </c>
      <c r="H1942" s="142">
        <f>B1942*IBGE_2!H$1942/100</f>
        <v>1.0999999999999999E-2</v>
      </c>
      <c r="I1942" s="142">
        <f>B1942*IBGE_2!I$1942/100</f>
        <v>0.01</v>
      </c>
      <c r="J1942" s="142" t="s">
        <v>3047</v>
      </c>
      <c r="K1942" s="142" t="s">
        <v>3047</v>
      </c>
      <c r="L1942" s="142">
        <f>B1942*IBGE_2!L$1942/100</f>
        <v>13.917999999999999</v>
      </c>
      <c r="M1942" s="142">
        <f>B1942*IBGE_2!M$1942/100</f>
        <v>0.6</v>
      </c>
      <c r="N1942" s="142">
        <f>B1942*IBGE_2!N$1942/100</f>
        <v>4.9989999999999997</v>
      </c>
      <c r="O1942" s="142">
        <f>B1942*IBGE_2!O$1942/100</f>
        <v>3.9990000000000006</v>
      </c>
      <c r="P1942" s="142">
        <f>B1942*IBGE_2!P$1942/100</f>
        <v>1.9E-2</v>
      </c>
      <c r="Q1942" s="142">
        <f>B1942*IBGE_2!Q$1942/100</f>
        <v>5.9989999999999997</v>
      </c>
      <c r="R1942" s="142">
        <f>B1942*IBGE_2!R$1942/100</f>
        <v>0.19</v>
      </c>
      <c r="S1942" s="142">
        <f>B1942*IBGE_2!S$1942/100</f>
        <v>6.9989999999999997</v>
      </c>
      <c r="T1942" s="142">
        <f>B1942*IBGE_2!T$1942/100</f>
        <v>39.994999999999997</v>
      </c>
      <c r="U1942" s="142">
        <f>B1942*IBGE_2!U$1942/100</f>
        <v>6.9000000000000006E-2</v>
      </c>
      <c r="V1942" s="142">
        <f>B1942*IBGE_2!V$1942/100</f>
        <v>0.08</v>
      </c>
      <c r="W1942" s="142" t="s">
        <v>3047</v>
      </c>
      <c r="X1942" s="142">
        <f>B1942*IBGE_2!X$1942/100</f>
        <v>3.0000000000000001E-3</v>
      </c>
      <c r="Y1942" s="142">
        <f>B1942*IBGE_2!Y$1942/100</f>
        <v>1.4000000000000002E-2</v>
      </c>
      <c r="Z1942" s="142">
        <f>B1942*IBGE_2!Z$1942/100</f>
        <v>7.000000000000001E-3</v>
      </c>
      <c r="AA1942" s="142">
        <f>B1942*IBGE_2!AA$1942/100</f>
        <v>0.28799999999999998</v>
      </c>
      <c r="AB1942" s="142">
        <f>B1942*IBGE_2!AB$1942/100</f>
        <v>5.2990000000000013</v>
      </c>
      <c r="AC1942" s="142">
        <f>B1942*IBGE_2!AC$1942/100</f>
        <v>0.28799999999999998</v>
      </c>
      <c r="AD1942" s="142" t="s">
        <v>3047</v>
      </c>
      <c r="AE1942" s="142">
        <f>B1942*IBGE_2!AE$1942/100</f>
        <v>1</v>
      </c>
      <c r="AF1942" s="142" t="s">
        <v>3047</v>
      </c>
      <c r="AG1942" s="142">
        <f>B1942*IBGE_2!AG$1942/100</f>
        <v>0.28999999999999998</v>
      </c>
      <c r="AH1942" s="142" t="s">
        <v>3047</v>
      </c>
      <c r="AI1942" s="142" t="s">
        <v>3047</v>
      </c>
      <c r="AJ1942" s="142">
        <f>B1942*IBGE_2!AJ$1942/100</f>
        <v>0.2</v>
      </c>
      <c r="AK1942" s="142">
        <f>B1942*IBGE_2!AK$1942/100</f>
        <v>12.872999999999999</v>
      </c>
      <c r="AL1942" s="142">
        <f>B1942*IBGE_2!AL$1942/100</f>
        <v>13.238</v>
      </c>
      <c r="AM1942" s="142">
        <f>B1942*IBGE_2!AM$1942/100</f>
        <v>9.2970000000000006</v>
      </c>
      <c r="AN1942" s="161"/>
    </row>
    <row r="1943" spans="1:40">
      <c r="A1943" s="143" t="s">
        <v>3003</v>
      </c>
      <c r="B1943" s="141">
        <v>100</v>
      </c>
      <c r="C1943" s="142">
        <f>B1943*IBGE_2!C$1943/100</f>
        <v>255.571</v>
      </c>
      <c r="D1943" s="142">
        <f>B1943*IBGE_2!D$1943/100</f>
        <v>14.597000000000001</v>
      </c>
      <c r="E1943" s="142">
        <f>B1943*IBGE_2!E$1943/100</f>
        <v>8.4499999999999993</v>
      </c>
      <c r="F1943" s="142">
        <f>B1943*IBGE_2!F$1943/100</f>
        <v>5.1159999999999997</v>
      </c>
      <c r="G1943" s="142">
        <f>B1943*IBGE_2!G$1943/100</f>
        <v>2.355</v>
      </c>
      <c r="H1943" s="142">
        <f>B1943*IBGE_2!H$1943/100</f>
        <v>0.43</v>
      </c>
      <c r="I1943" s="142">
        <f>B1943*IBGE_2!I$1943/100</f>
        <v>0.34100000000000003</v>
      </c>
      <c r="J1943" s="142">
        <f>B1943*IBGE_2!J$1943/100</f>
        <v>8.7999999999999995E-2</v>
      </c>
      <c r="K1943" s="142">
        <f>B1943*IBGE_2!K$1943/100</f>
        <v>21.884</v>
      </c>
      <c r="L1943" s="142">
        <f>B1943*IBGE_2!L$1943/100</f>
        <v>29.819000000000003</v>
      </c>
      <c r="M1943" s="142">
        <f>B1943*IBGE_2!M$1943/100</f>
        <v>1.7390000000000001</v>
      </c>
      <c r="N1943" s="142">
        <f>B1943*IBGE_2!N$1943/100</f>
        <v>308.76799999999997</v>
      </c>
      <c r="O1943" s="142">
        <f>B1943*IBGE_2!O$1943/100</f>
        <v>24.059000000000001</v>
      </c>
      <c r="P1943" s="142">
        <f>B1943*IBGE_2!P$1943/100</f>
        <v>0.28799999999999998</v>
      </c>
      <c r="Q1943" s="142">
        <f>B1943*IBGE_2!Q$1943/100</f>
        <v>264.19099999999997</v>
      </c>
      <c r="R1943" s="142">
        <f>B1943*IBGE_2!R$1943/100</f>
        <v>2.1589999999999998</v>
      </c>
      <c r="S1943" s="142">
        <f>B1943*IBGE_2!S$1943/100</f>
        <v>736.75400000000013</v>
      </c>
      <c r="T1943" s="142">
        <f>B1943*IBGE_2!T$1943/100</f>
        <v>184.62</v>
      </c>
      <c r="U1943" s="142">
        <f>B1943*IBGE_2!U$1943/100</f>
        <v>0.106</v>
      </c>
      <c r="V1943" s="142">
        <f>B1943*IBGE_2!V$1943/100</f>
        <v>1.595</v>
      </c>
      <c r="W1943" s="142">
        <f>B1943*IBGE_2!W$1943/100</f>
        <v>51.246000000000002</v>
      </c>
      <c r="X1943" s="142">
        <f>B1943*IBGE_2!X$1943/100</f>
        <v>0.32600000000000001</v>
      </c>
      <c r="Y1943" s="142">
        <f>B1943*IBGE_2!Y$1943/100</f>
        <v>0.35499999999999998</v>
      </c>
      <c r="Z1943" s="142">
        <f>B1943*IBGE_2!Z$1943/100</f>
        <v>9.7000000000000017E-2</v>
      </c>
      <c r="AA1943" s="142">
        <f>B1943*IBGE_2!AA$1943/100</f>
        <v>2.5659999999999998</v>
      </c>
      <c r="AB1943" s="142">
        <f>B1943*IBGE_2!AB$1943/100</f>
        <v>2.1680000000000001</v>
      </c>
      <c r="AC1943" s="142">
        <f>B1943*IBGE_2!AC$1943/100</f>
        <v>7.2629999999999999</v>
      </c>
      <c r="AD1943" s="142">
        <f>B1943*IBGE_2!AD$1943/100</f>
        <v>0.89600000000000013</v>
      </c>
      <c r="AE1943" s="142">
        <f>B1943*IBGE_2!AE$1943/100</f>
        <v>93.332999999999998</v>
      </c>
      <c r="AF1943" s="142">
        <f>B1943*IBGE_2!AF$1943/100</f>
        <v>0.08</v>
      </c>
      <c r="AG1943" s="142">
        <f>B1943*IBGE_2!AG$1943/100</f>
        <v>0.54500000000000004</v>
      </c>
      <c r="AH1943" s="142">
        <f>B1943*IBGE_2!AH$1943/100</f>
        <v>0.16800000000000001</v>
      </c>
      <c r="AI1943" s="142" t="s">
        <v>3047</v>
      </c>
      <c r="AJ1943" s="142">
        <f>B1943*IBGE_2!AJ$1943/100</f>
        <v>17.98</v>
      </c>
      <c r="AK1943" s="142">
        <f>B1943*IBGE_2!AK$1943/100</f>
        <v>57.591999999999999</v>
      </c>
      <c r="AL1943" s="142">
        <f>B1943*IBGE_2!AL$1943/100</f>
        <v>2.194</v>
      </c>
      <c r="AM1943" s="142">
        <f>B1943*IBGE_2!AM$1943/100</f>
        <v>0.44299999999999995</v>
      </c>
      <c r="AN1943" s="161"/>
    </row>
    <row r="1944" spans="1:40">
      <c r="A1944" s="143" t="s">
        <v>3004</v>
      </c>
      <c r="B1944" s="141">
        <v>100</v>
      </c>
      <c r="C1944" s="142">
        <f>B1944*IBGE_2!C$1944/100</f>
        <v>144.333</v>
      </c>
      <c r="D1944" s="142">
        <f>B1944*IBGE_2!D$1944/100</f>
        <v>10.925000000000001</v>
      </c>
      <c r="E1944" s="142">
        <f>B1944*IBGE_2!E$1944/100</f>
        <v>5.67</v>
      </c>
      <c r="F1944" s="142">
        <f>B1944*IBGE_2!F$1944/100</f>
        <v>3.2410000000000001</v>
      </c>
      <c r="G1944" s="142">
        <f>B1944*IBGE_2!G$1944/100</f>
        <v>1.704</v>
      </c>
      <c r="H1944" s="142">
        <f>B1944*IBGE_2!H$1944/100</f>
        <v>0.311</v>
      </c>
      <c r="I1944" s="142">
        <f>B1944*IBGE_2!I$1944/100</f>
        <v>0.247</v>
      </c>
      <c r="J1944" s="142">
        <f>B1944*IBGE_2!J$1944/100</f>
        <v>5.2999999999999999E-2</v>
      </c>
      <c r="K1944" s="142">
        <f>B1944*IBGE_2!K$1944/100</f>
        <v>26.338999999999995</v>
      </c>
      <c r="L1944" s="142">
        <f>B1944*IBGE_2!L$1944/100</f>
        <v>12.336000000000002</v>
      </c>
      <c r="M1944" s="142">
        <f>B1944*IBGE_2!M$1944/100</f>
        <v>1.1140000000000001</v>
      </c>
      <c r="N1944" s="142">
        <f>B1944*IBGE_2!N$1944/100</f>
        <v>146.58199999999999</v>
      </c>
      <c r="O1944" s="142">
        <f>B1944*IBGE_2!O$1944/100</f>
        <v>19.885999999999999</v>
      </c>
      <c r="P1944" s="142">
        <f>B1944*IBGE_2!P$1944/100</f>
        <v>0.16200000000000001</v>
      </c>
      <c r="Q1944" s="142">
        <f>B1944*IBGE_2!Q$1944/100</f>
        <v>143.74100000000001</v>
      </c>
      <c r="R1944" s="142">
        <f>B1944*IBGE_2!R$1944/100</f>
        <v>1.514</v>
      </c>
      <c r="S1944" s="142">
        <f>B1944*IBGE_2!S$1944/100</f>
        <v>314</v>
      </c>
      <c r="T1944" s="142">
        <f>B1944*IBGE_2!T$1944/100</f>
        <v>200.97200000000001</v>
      </c>
      <c r="U1944" s="142">
        <f>B1944*IBGE_2!U$1944/100</f>
        <v>9.0999999999999998E-2</v>
      </c>
      <c r="V1944" s="142">
        <f>B1944*IBGE_2!V$1944/100</f>
        <v>1.75</v>
      </c>
      <c r="W1944" s="142">
        <f>B1944*IBGE_2!W$1944/100</f>
        <v>40.68</v>
      </c>
      <c r="X1944" s="142">
        <f>B1944*IBGE_2!X$1944/100</f>
        <v>0.10199999999999999</v>
      </c>
      <c r="Y1944" s="142">
        <f>B1944*IBGE_2!Y$1944/100</f>
        <v>0.159</v>
      </c>
      <c r="Z1944" s="142">
        <f>B1944*IBGE_2!Z$1944/100</f>
        <v>0.12300000000000001</v>
      </c>
      <c r="AA1944" s="142">
        <f>B1944*IBGE_2!AA$1944/100</f>
        <v>1.6</v>
      </c>
      <c r="AB1944" s="142">
        <f>B1944*IBGE_2!AB$1944/100</f>
        <v>3.556</v>
      </c>
      <c r="AC1944" s="142">
        <f>B1944*IBGE_2!AC$1944/100</f>
        <v>3.5009999999999994</v>
      </c>
      <c r="AD1944" s="142">
        <f>B1944*IBGE_2!AD$1944/100</f>
        <v>0.51900000000000002</v>
      </c>
      <c r="AE1944" s="142">
        <f>B1944*IBGE_2!AE$1944/100</f>
        <v>43.088999999999999</v>
      </c>
      <c r="AF1944" s="142">
        <f>B1944*IBGE_2!AF$1944/100</f>
        <v>0.10400000000000001</v>
      </c>
      <c r="AG1944" s="142">
        <f>B1944*IBGE_2!AG$1944/100</f>
        <v>0.51900000000000002</v>
      </c>
      <c r="AH1944" s="142">
        <f>B1944*IBGE_2!AH$1944/100</f>
        <v>0.13900000000000001</v>
      </c>
      <c r="AI1944" s="142" t="s">
        <v>3047</v>
      </c>
      <c r="AJ1944" s="142">
        <f>B1944*IBGE_2!AJ$1944/100</f>
        <v>15.640999999999998</v>
      </c>
      <c r="AK1944" s="142">
        <f>B1944*IBGE_2!AK$1944/100</f>
        <v>47.148000000000003</v>
      </c>
      <c r="AL1944" s="142">
        <f>B1944*IBGE_2!AL$1944/100</f>
        <v>2.266</v>
      </c>
      <c r="AM1944" s="142">
        <f>B1944*IBGE_2!AM$1944/100</f>
        <v>0.17499999999999999</v>
      </c>
      <c r="AN1944" s="161"/>
    </row>
    <row r="1945" spans="1:40">
      <c r="A1945" s="143" t="s">
        <v>3005</v>
      </c>
      <c r="B1945" s="141">
        <v>100</v>
      </c>
      <c r="C1945" s="142">
        <f>B1945*IBGE_2!C$1945/100</f>
        <v>189.86199999999999</v>
      </c>
      <c r="D1945" s="142">
        <f>B1945*IBGE_2!D$1945/100</f>
        <v>5.6449999999999996</v>
      </c>
      <c r="E1945" s="142">
        <f>B1945*IBGE_2!E$1945/100</f>
        <v>7.1769999999999996</v>
      </c>
      <c r="F1945" s="142">
        <f>B1945*IBGE_2!F$1945/100</f>
        <v>2.363</v>
      </c>
      <c r="G1945" s="142">
        <f>B1945*IBGE_2!G$1945/100</f>
        <v>1.8220000000000001</v>
      </c>
      <c r="H1945" s="142">
        <f>B1945*IBGE_2!H$1945/100</f>
        <v>2.4849999999999999</v>
      </c>
      <c r="I1945" s="142">
        <f>B1945*IBGE_2!I$1945/100</f>
        <v>2.2080000000000002</v>
      </c>
      <c r="J1945" s="142">
        <f>B1945*IBGE_2!J$1945/100</f>
        <v>0.27500000000000002</v>
      </c>
      <c r="K1945" s="142">
        <f>B1945*IBGE_2!K$1945/100</f>
        <v>8.2759999999999998</v>
      </c>
      <c r="L1945" s="142">
        <f>B1945*IBGE_2!L$1945/100</f>
        <v>25.536999999999999</v>
      </c>
      <c r="M1945" s="142">
        <f>B1945*IBGE_2!M$1945/100</f>
        <v>1.1599999999999999</v>
      </c>
      <c r="N1945" s="142">
        <f>B1945*IBGE_2!N$1945/100</f>
        <v>94.043000000000006</v>
      </c>
      <c r="O1945" s="142">
        <f>B1945*IBGE_2!O$1945/100</f>
        <v>19.725999999999999</v>
      </c>
      <c r="P1945" s="142">
        <f>B1945*IBGE_2!P$1945/100</f>
        <v>0.20899999999999999</v>
      </c>
      <c r="Q1945" s="142">
        <f>B1945*IBGE_2!Q$1945/100</f>
        <v>101.25700000000001</v>
      </c>
      <c r="R1945" s="142">
        <f>B1945*IBGE_2!R$1945/100</f>
        <v>0.86900000000000011</v>
      </c>
      <c r="S1945" s="142">
        <f>B1945*IBGE_2!S$1945/100</f>
        <v>429.67599999999999</v>
      </c>
      <c r="T1945" s="142">
        <f>B1945*IBGE_2!T$1945/100</f>
        <v>128.161</v>
      </c>
      <c r="U1945" s="142">
        <f>B1945*IBGE_2!U$1945/100</f>
        <v>7.2999999999999995E-2</v>
      </c>
      <c r="V1945" s="142">
        <f>B1945*IBGE_2!V$1945/100</f>
        <v>0.63700000000000001</v>
      </c>
      <c r="W1945" s="142">
        <f>B1945*IBGE_2!W$1945/100</f>
        <v>33.878</v>
      </c>
      <c r="X1945" s="142">
        <f>B1945*IBGE_2!X$1945/100</f>
        <v>0.20300000000000001</v>
      </c>
      <c r="Y1945" s="142">
        <f>B1945*IBGE_2!Y$1945/100</f>
        <v>0.19500000000000001</v>
      </c>
      <c r="Z1945" s="142">
        <f>B1945*IBGE_2!Z$1945/100</f>
        <v>5.800000000000001E-2</v>
      </c>
      <c r="AA1945" s="142">
        <f>B1945*IBGE_2!AA$1945/100</f>
        <v>1.1339999999999999</v>
      </c>
      <c r="AB1945" s="142">
        <f>B1945*IBGE_2!AB$1945/100</f>
        <v>9.1999999999999998E-2</v>
      </c>
      <c r="AC1945" s="142">
        <f>B1945*IBGE_2!AC$1945/100</f>
        <v>2.452</v>
      </c>
      <c r="AD1945" s="142">
        <f>B1945*IBGE_2!AD$1945/100</f>
        <v>0.214</v>
      </c>
      <c r="AE1945" s="142">
        <f>B1945*IBGE_2!AE$1945/100</f>
        <v>81.111999999999995</v>
      </c>
      <c r="AF1945" s="142">
        <f>B1945*IBGE_2!AF$1945/100</f>
        <v>0.373</v>
      </c>
      <c r="AG1945" s="142">
        <f>B1945*IBGE_2!AG$1945/100</f>
        <v>0.42699999999999994</v>
      </c>
      <c r="AH1945" s="142">
        <f>B1945*IBGE_2!AH$1945/100</f>
        <v>0.20300000000000001</v>
      </c>
      <c r="AI1945" s="142" t="s">
        <v>3047</v>
      </c>
      <c r="AJ1945" s="142">
        <f>B1945*IBGE_2!AJ$1945/100</f>
        <v>20.213000000000001</v>
      </c>
      <c r="AK1945" s="142">
        <f>B1945*IBGE_2!AK$1945/100</f>
        <v>33.491999999999997</v>
      </c>
      <c r="AL1945" s="142">
        <f>B1945*IBGE_2!AL$1945/100</f>
        <v>4.4820000000000002</v>
      </c>
      <c r="AM1945" s="142">
        <f>B1945*IBGE_2!AM$1945/100</f>
        <v>1.7280000000000002</v>
      </c>
      <c r="AN1945" s="161"/>
    </row>
    <row r="1946" spans="1:40">
      <c r="A1946" s="143" t="s">
        <v>3006</v>
      </c>
      <c r="B1946" s="141">
        <v>100</v>
      </c>
      <c r="C1946" s="142">
        <f>B1946*IBGE_2!C$1946/100</f>
        <v>229.61700000000002</v>
      </c>
      <c r="D1946" s="142">
        <f>B1946*IBGE_2!D$1946/100</f>
        <v>11.753</v>
      </c>
      <c r="E1946" s="142">
        <f>B1946*IBGE_2!E$1946/100</f>
        <v>10.207000000000001</v>
      </c>
      <c r="F1946" s="142">
        <f>B1946*IBGE_2!F$1946/100</f>
        <v>4.4820000000000002</v>
      </c>
      <c r="G1946" s="142">
        <f>B1946*IBGE_2!G$1946/100</f>
        <v>3.5870000000000006</v>
      </c>
      <c r="H1946" s="142">
        <f>B1946*IBGE_2!H$1946/100</f>
        <v>0.85499999999999998</v>
      </c>
      <c r="I1946" s="142">
        <f>B1946*IBGE_2!I$1946/100</f>
        <v>0.74299999999999999</v>
      </c>
      <c r="J1946" s="142">
        <f>B1946*IBGE_2!J$1946/100</f>
        <v>7.3999999999999996E-2</v>
      </c>
      <c r="K1946" s="142">
        <f>B1946*IBGE_2!K$1946/100</f>
        <v>26.193000000000001</v>
      </c>
      <c r="L1946" s="142">
        <f>B1946*IBGE_2!L$1946/100</f>
        <v>22.402000000000001</v>
      </c>
      <c r="M1946" s="142">
        <f>B1946*IBGE_2!M$1946/100</f>
        <v>1.5609999999999999</v>
      </c>
      <c r="N1946" s="142">
        <f>B1946*IBGE_2!N$1946/100</f>
        <v>160.09899999999999</v>
      </c>
      <c r="O1946" s="142">
        <f>B1946*IBGE_2!O$1946/100</f>
        <v>20.309999999999999</v>
      </c>
      <c r="P1946" s="142">
        <f>B1946*IBGE_2!P$1946/100</f>
        <v>0.28199999999999997</v>
      </c>
      <c r="Q1946" s="142">
        <f>B1946*IBGE_2!Q$1946/100</f>
        <v>176.50899999999999</v>
      </c>
      <c r="R1946" s="142">
        <f>B1946*IBGE_2!R$1946/100</f>
        <v>1.8640000000000001</v>
      </c>
      <c r="S1946" s="142">
        <f>B1946*IBGE_2!S$1946/100</f>
        <v>668.21500000000003</v>
      </c>
      <c r="T1946" s="142">
        <f>B1946*IBGE_2!T$1946/100</f>
        <v>214.72300000000004</v>
      </c>
      <c r="U1946" s="142">
        <f>B1946*IBGE_2!U$1946/100</f>
        <v>0.12</v>
      </c>
      <c r="V1946" s="142">
        <f>B1946*IBGE_2!V$1946/100</f>
        <v>1.2890000000000001</v>
      </c>
      <c r="W1946" s="142">
        <f>B1946*IBGE_2!W$1946/100</f>
        <v>25.495999999999999</v>
      </c>
      <c r="X1946" s="142">
        <f>B1946*IBGE_2!X$1946/100</f>
        <v>0.28499999999999998</v>
      </c>
      <c r="Y1946" s="142">
        <f>B1946*IBGE_2!Y$1946/100</f>
        <v>0.27900000000000003</v>
      </c>
      <c r="Z1946" s="142">
        <f>B1946*IBGE_2!Z$1946/100</f>
        <v>0.158</v>
      </c>
      <c r="AA1946" s="142">
        <f>B1946*IBGE_2!AA$1946/100</f>
        <v>2.8919999999999999</v>
      </c>
      <c r="AB1946" s="142">
        <f>B1946*IBGE_2!AB$1946/100</f>
        <v>10.218</v>
      </c>
      <c r="AC1946" s="142">
        <f>B1946*IBGE_2!AC$1946/100</f>
        <v>5.9779999999999998</v>
      </c>
      <c r="AD1946" s="142">
        <f>B1946*IBGE_2!AD$1946/100</f>
        <v>0.67</v>
      </c>
      <c r="AE1946" s="142">
        <f>B1946*IBGE_2!AE$1946/100</f>
        <v>68.768000000000001</v>
      </c>
      <c r="AF1946" s="142">
        <f>B1946*IBGE_2!AF$1946/100</f>
        <v>0.08</v>
      </c>
      <c r="AG1946" s="142">
        <f>B1946*IBGE_2!AG$1946/100</f>
        <v>0.44700000000000001</v>
      </c>
      <c r="AH1946" s="142">
        <f>B1946*IBGE_2!AH$1946/100</f>
        <v>0.22800000000000001</v>
      </c>
      <c r="AI1946" s="142" t="s">
        <v>3047</v>
      </c>
      <c r="AJ1946" s="142">
        <f>B1946*IBGE_2!AJ$1946/100</f>
        <v>14.630999999999998</v>
      </c>
      <c r="AK1946" s="142">
        <f>B1946*IBGE_2!AK$1946/100</f>
        <v>32.113999999999997</v>
      </c>
      <c r="AL1946" s="142">
        <f>B1946*IBGE_2!AL$1946/100</f>
        <v>2.306</v>
      </c>
      <c r="AM1946" s="142">
        <f>B1946*IBGE_2!AM$1946/100</f>
        <v>0.309</v>
      </c>
      <c r="AN1946" s="161"/>
    </row>
    <row r="1947" spans="1:40">
      <c r="A1947" s="143" t="s">
        <v>3007</v>
      </c>
      <c r="B1947" s="141">
        <v>100</v>
      </c>
      <c r="C1947" s="142">
        <f>B1947*IBGE_2!C$1947/100</f>
        <v>406</v>
      </c>
      <c r="D1947" s="142">
        <f>B1947*IBGE_2!D$1947/100</f>
        <v>2.1</v>
      </c>
      <c r="E1947" s="142">
        <f>B1947*IBGE_2!E$1947/100</f>
        <v>9.1</v>
      </c>
      <c r="F1947" s="142">
        <f>B1947*IBGE_2!F$1947/100</f>
        <v>1.9</v>
      </c>
      <c r="G1947" s="142">
        <f>B1947*IBGE_2!G$1947/100</f>
        <v>2.4</v>
      </c>
      <c r="H1947" s="142">
        <f>B1947*IBGE_2!H$1947/100</f>
        <v>2.5</v>
      </c>
      <c r="I1947" s="142">
        <f>B1947*IBGE_2!I$1947/100</f>
        <v>2.29</v>
      </c>
      <c r="J1947" s="142">
        <f>B1947*IBGE_2!J$1947/100</f>
        <v>0.19</v>
      </c>
      <c r="K1947" s="142" t="s">
        <v>3047</v>
      </c>
      <c r="L1947" s="142">
        <f>B1947*IBGE_2!L$1947/100</f>
        <v>80.3</v>
      </c>
      <c r="M1947" s="142">
        <f>B1947*IBGE_2!M$1947/100</f>
        <v>7.8</v>
      </c>
      <c r="N1947" s="142">
        <f>B1947*IBGE_2!N$1947/100</f>
        <v>66</v>
      </c>
      <c r="O1947" s="142">
        <f>B1947*IBGE_2!O$1947/100</f>
        <v>34</v>
      </c>
      <c r="P1947" s="142">
        <f>B1947*IBGE_2!P$1947/100</f>
        <v>0.28999999999999998</v>
      </c>
      <c r="Q1947" s="142">
        <f>B1947*IBGE_2!Q$1947/100</f>
        <v>45</v>
      </c>
      <c r="R1947" s="142">
        <f>B1947*IBGE_2!R$1947/100</f>
        <v>1.4</v>
      </c>
      <c r="S1947" s="142">
        <f>B1947*IBGE_2!S$1947/100</f>
        <v>575</v>
      </c>
      <c r="T1947" s="142">
        <f>B1947*IBGE_2!T$1947/100</f>
        <v>201</v>
      </c>
      <c r="U1947" s="142" t="s">
        <v>3047</v>
      </c>
      <c r="V1947" s="142">
        <f>B1947*IBGE_2!V$1947/100</f>
        <v>0.2</v>
      </c>
      <c r="W1947" s="142" t="s">
        <v>3047</v>
      </c>
      <c r="X1947" s="142">
        <f>B1947*IBGE_2!X$1947/100</f>
        <v>0.1</v>
      </c>
      <c r="Y1947" s="142" t="s">
        <v>3047</v>
      </c>
      <c r="Z1947" s="142">
        <f>B1947*IBGE_2!Z$1947/100</f>
        <v>0.15</v>
      </c>
      <c r="AA1947" s="142" t="s">
        <v>3047</v>
      </c>
      <c r="AB1947" s="142" t="s">
        <v>3047</v>
      </c>
      <c r="AC1947" s="142" t="s">
        <v>3047</v>
      </c>
      <c r="AD1947" s="142" t="s">
        <v>3047</v>
      </c>
      <c r="AE1947" s="142" t="s">
        <v>3047</v>
      </c>
      <c r="AF1947" s="142" t="s">
        <v>3047</v>
      </c>
      <c r="AG1947" s="142" t="s">
        <v>3047</v>
      </c>
      <c r="AH1947" s="142" t="s">
        <v>3047</v>
      </c>
      <c r="AI1947" s="142" t="s">
        <v>3047</v>
      </c>
      <c r="AJ1947" s="142" t="s">
        <v>3047</v>
      </c>
      <c r="AK1947" s="142" t="s">
        <v>3047</v>
      </c>
      <c r="AL1947" s="142" t="s">
        <v>3047</v>
      </c>
      <c r="AM1947" s="142" t="s">
        <v>3047</v>
      </c>
      <c r="AN1947" s="161"/>
    </row>
    <row r="1948" spans="1:40">
      <c r="A1948" s="143" t="s">
        <v>3008</v>
      </c>
      <c r="B1948" s="141">
        <v>100</v>
      </c>
      <c r="C1948" s="142">
        <f>B1948*IBGE_2!C$1948/100</f>
        <v>245</v>
      </c>
      <c r="D1948" s="142">
        <f>B1948*IBGE_2!D$1948/100</f>
        <v>11.6</v>
      </c>
      <c r="E1948" s="142">
        <f>B1948*IBGE_2!E$1948/100</f>
        <v>15.045</v>
      </c>
      <c r="F1948" s="142">
        <f>B1948*IBGE_2!F$1948/100</f>
        <v>6.0549999999999997</v>
      </c>
      <c r="G1948" s="142">
        <f>B1948*IBGE_2!G$1948/100</f>
        <v>6.45</v>
      </c>
      <c r="H1948" s="142">
        <f>B1948*IBGE_2!H$1948/100</f>
        <v>0.57499999999999996</v>
      </c>
      <c r="I1948" s="142">
        <f>B1948*IBGE_2!I$1948/100</f>
        <v>0.375</v>
      </c>
      <c r="J1948" s="142">
        <f>B1948*IBGE_2!J$1948/100</f>
        <v>0.17</v>
      </c>
      <c r="K1948" s="142">
        <f>B1948*IBGE_2!K$1948/100</f>
        <v>42</v>
      </c>
      <c r="L1948" s="142">
        <f>B1948*IBGE_2!L$1948/100</f>
        <v>15.05</v>
      </c>
      <c r="M1948" s="142">
        <f>B1948*IBGE_2!M$1948/100</f>
        <v>0.8</v>
      </c>
      <c r="N1948" s="142">
        <f>B1948*IBGE_2!N$1948/100</f>
        <v>15</v>
      </c>
      <c r="O1948" s="142">
        <f>B1948*IBGE_2!O$1948/100</f>
        <v>23.5</v>
      </c>
      <c r="P1948" s="142">
        <f>B1948*IBGE_2!P$1948/100</f>
        <v>3.6499999999999998E-2</v>
      </c>
      <c r="Q1948" s="142">
        <f>B1948*IBGE_2!Q$1948/100</f>
        <v>99</v>
      </c>
      <c r="R1948" s="142">
        <f>B1948*IBGE_2!R$1948/100</f>
        <v>1.2250000000000001</v>
      </c>
      <c r="S1948" s="142">
        <f>B1948*IBGE_2!S$1948/100</f>
        <v>32.5</v>
      </c>
      <c r="T1948" s="142">
        <f>B1948*IBGE_2!T$1948/100</f>
        <v>201</v>
      </c>
      <c r="U1948" s="142">
        <f>B1948*IBGE_2!U$1948/100</f>
        <v>4.7E-2</v>
      </c>
      <c r="V1948" s="142">
        <f>B1948*IBGE_2!V$1948/100</f>
        <v>2.8</v>
      </c>
      <c r="W1948" s="142" t="s">
        <v>3047</v>
      </c>
      <c r="X1948" s="142">
        <f>B1948*IBGE_2!X$1948/100</f>
        <v>6.5000000000000002E-2</v>
      </c>
      <c r="Y1948" s="142">
        <f>B1948*IBGE_2!Y$1948/100</f>
        <v>8.5000000000000006E-2</v>
      </c>
      <c r="Z1948" s="142">
        <f>B1948*IBGE_2!Z$1948/100</f>
        <v>0.13</v>
      </c>
      <c r="AA1948" s="142">
        <f>B1948*IBGE_2!AA$1948/100</f>
        <v>1.7150000000000001</v>
      </c>
      <c r="AB1948" s="142">
        <f>B1948*IBGE_2!AB$1948/100</f>
        <v>5.55</v>
      </c>
      <c r="AC1948" s="142">
        <f>B1948*IBGE_2!AC$1948/100</f>
        <v>3.8235000000000001</v>
      </c>
      <c r="AD1948" s="142">
        <f>B1948*IBGE_2!AD$1948/100</f>
        <v>1.2749999999999999</v>
      </c>
      <c r="AE1948" s="142">
        <f>B1948*IBGE_2!AE$1948/100</f>
        <v>3.5</v>
      </c>
      <c r="AF1948" s="142">
        <f>B1948*IBGE_2!AF$1948/100</f>
        <v>0.3</v>
      </c>
      <c r="AG1948" s="142">
        <f>B1948*IBGE_2!AG$1948/100</f>
        <v>0.12</v>
      </c>
      <c r="AH1948" s="142">
        <f>B1948*IBGE_2!AH$1948/100</f>
        <v>0.67500000000000004</v>
      </c>
      <c r="AI1948" s="142">
        <f>B1948*IBGE_2!AI$1948/100</f>
        <v>309.5</v>
      </c>
      <c r="AJ1948" s="142">
        <f>B1948*IBGE_2!AJ$1948/100</f>
        <v>11.2</v>
      </c>
      <c r="AK1948" s="142" t="s">
        <v>3047</v>
      </c>
      <c r="AL1948" s="142" t="s">
        <v>3047</v>
      </c>
      <c r="AM1948" s="142" t="s">
        <v>3047</v>
      </c>
      <c r="AN1948" s="161"/>
    </row>
    <row r="1949" spans="1:40">
      <c r="A1949" s="143" t="s">
        <v>3009</v>
      </c>
      <c r="B1949" s="141">
        <v>100</v>
      </c>
      <c r="C1949" s="142">
        <f>B1949*IBGE_2!C$1949/100</f>
        <v>18</v>
      </c>
      <c r="D1949" s="142">
        <f>B1949*IBGE_2!D$1949/100</f>
        <v>0.88</v>
      </c>
      <c r="E1949" s="142">
        <f>B1949*IBGE_2!E$1949/100</f>
        <v>0.2</v>
      </c>
      <c r="F1949" s="142">
        <f>B1949*IBGE_2!F$1949/100</f>
        <v>2.8000000000000004E-2</v>
      </c>
      <c r="G1949" s="142">
        <f>B1949*IBGE_2!G$1949/100</f>
        <v>3.1E-2</v>
      </c>
      <c r="H1949" s="142">
        <f>B1949*IBGE_2!H$1949/100</f>
        <v>8.3000000000000004E-2</v>
      </c>
      <c r="I1949" s="142">
        <f>B1949*IBGE_2!I$1949/100</f>
        <v>0.08</v>
      </c>
      <c r="J1949" s="142">
        <f>B1949*IBGE_2!J$1949/100</f>
        <v>3.0000000000000001E-3</v>
      </c>
      <c r="K1949" s="142" t="s">
        <v>3047</v>
      </c>
      <c r="L1949" s="142">
        <f>B1949*IBGE_2!L$1949/100</f>
        <v>3.92</v>
      </c>
      <c r="M1949" s="142">
        <f>B1949*IBGE_2!M$1949/100</f>
        <v>1.2</v>
      </c>
      <c r="N1949" s="142">
        <f>B1949*IBGE_2!N$1949/100</f>
        <v>10</v>
      </c>
      <c r="O1949" s="142">
        <f>B1949*IBGE_2!O$1949/100</f>
        <v>11</v>
      </c>
      <c r="P1949" s="142">
        <f>B1949*IBGE_2!P$1949/100</f>
        <v>0.114</v>
      </c>
      <c r="Q1949" s="142">
        <f>B1949*IBGE_2!Q$1949/100</f>
        <v>24</v>
      </c>
      <c r="R1949" s="142">
        <f>B1949*IBGE_2!R$1949/100</f>
        <v>0.27</v>
      </c>
      <c r="S1949" s="142">
        <f>B1949*IBGE_2!S$1949/100</f>
        <v>5</v>
      </c>
      <c r="T1949" s="142">
        <f>B1949*IBGE_2!T$1949/100</f>
        <v>237</v>
      </c>
      <c r="U1949" s="142">
        <f>B1949*IBGE_2!U$1949/100</f>
        <v>5.8999999999999997E-2</v>
      </c>
      <c r="V1949" s="142">
        <f>B1949*IBGE_2!V$1949/100</f>
        <v>0.17</v>
      </c>
      <c r="W1949" s="142" t="s">
        <v>3047</v>
      </c>
      <c r="X1949" s="142">
        <f>B1949*IBGE_2!X$1949/100</f>
        <v>3.6999999999999998E-2</v>
      </c>
      <c r="Y1949" s="142">
        <f>B1949*IBGE_2!Y$1949/100</f>
        <v>1.9E-2</v>
      </c>
      <c r="Z1949" s="142">
        <f>B1949*IBGE_2!Z$1949/100</f>
        <v>0.08</v>
      </c>
      <c r="AA1949" s="142">
        <f>B1949*IBGE_2!AA$1949/100</f>
        <v>0.59399999999999997</v>
      </c>
      <c r="AB1949" s="142">
        <f>B1949*IBGE_2!AB$1949/100</f>
        <v>12.7</v>
      </c>
      <c r="AC1949" s="142">
        <f>B1949*IBGE_2!AC$1949/100</f>
        <v>0.69399999999999995</v>
      </c>
      <c r="AD1949" s="142" t="s">
        <v>3047</v>
      </c>
      <c r="AE1949" s="142">
        <f>B1949*IBGE_2!AE$1949/100</f>
        <v>15</v>
      </c>
      <c r="AF1949" s="142" t="s">
        <v>3047</v>
      </c>
      <c r="AG1949" s="142">
        <f>B1949*IBGE_2!AG$1949/100</f>
        <v>0.54</v>
      </c>
      <c r="AH1949" s="142" t="s">
        <v>3047</v>
      </c>
      <c r="AI1949" s="142" t="s">
        <v>3047</v>
      </c>
      <c r="AJ1949" s="142" t="s">
        <v>3047</v>
      </c>
      <c r="AK1949" s="142">
        <f>B1949*IBGE_2!AK$1949/100</f>
        <v>41.625</v>
      </c>
      <c r="AL1949" s="142">
        <f>B1949*IBGE_2!AL$1949/100</f>
        <v>2.62</v>
      </c>
      <c r="AM1949" s="142" t="s">
        <v>3047</v>
      </c>
      <c r="AN1949" s="161"/>
    </row>
    <row r="1950" spans="1:40">
      <c r="A1950" s="143" t="s">
        <v>3010</v>
      </c>
      <c r="B1950" s="141">
        <v>100</v>
      </c>
      <c r="C1950" s="142">
        <f>B1950*IBGE_2!C$1950/100</f>
        <v>60.5</v>
      </c>
      <c r="D1950" s="142">
        <f>B1950*IBGE_2!D$1950/100</f>
        <v>1.2350000000000001</v>
      </c>
      <c r="E1950" s="142">
        <f>B1950*IBGE_2!E$1950/100</f>
        <v>0.14000000000000001</v>
      </c>
      <c r="F1950" s="142">
        <f>B1950*IBGE_2!F$1950/100</f>
        <v>2.8000000000000004E-2</v>
      </c>
      <c r="G1950" s="142">
        <f>B1950*IBGE_2!G$1950/100</f>
        <v>4.0000000000000001E-3</v>
      </c>
      <c r="H1950" s="142">
        <f>B1950*IBGE_2!H$1950/100</f>
        <v>6.6000000000000003E-2</v>
      </c>
      <c r="I1950" s="142">
        <f>B1950*IBGE_2!I$1950/100</f>
        <v>0.06</v>
      </c>
      <c r="J1950" s="142">
        <f>B1950*IBGE_2!J$1950/100</f>
        <v>6.0000000000000001E-3</v>
      </c>
      <c r="K1950" s="142" t="s">
        <v>3047</v>
      </c>
      <c r="L1950" s="142">
        <f>B1950*IBGE_2!L$1950/100</f>
        <v>14.115</v>
      </c>
      <c r="M1950" s="142">
        <f>B1950*IBGE_2!M$1950/100</f>
        <v>2.5249999999999999</v>
      </c>
      <c r="N1950" s="142">
        <f>B1950*IBGE_2!N$1950/100</f>
        <v>19</v>
      </c>
      <c r="O1950" s="142">
        <f>B1950*IBGE_2!O$1950/100</f>
        <v>15</v>
      </c>
      <c r="P1950" s="142">
        <f>B1950*IBGE_2!P$1950/100</f>
        <v>0.14799999999999999</v>
      </c>
      <c r="Q1950" s="142">
        <f>B1950*IBGE_2!Q$1950/100</f>
        <v>35</v>
      </c>
      <c r="R1950" s="142">
        <f>B1950*IBGE_2!R$1950/100</f>
        <v>0.32500000000000001</v>
      </c>
      <c r="S1950" s="142">
        <f>B1950*IBGE_2!S$1950/100</f>
        <v>31.5</v>
      </c>
      <c r="T1950" s="142">
        <f>B1950*IBGE_2!T$1950/100</f>
        <v>281.5</v>
      </c>
      <c r="U1950" s="142">
        <f>B1950*IBGE_2!U$1950/100</f>
        <v>9.1999999999999998E-2</v>
      </c>
      <c r="V1950" s="142">
        <f>B1950*IBGE_2!V$1950/100</f>
        <v>0.23499999999999999</v>
      </c>
      <c r="W1950" s="142" t="s">
        <v>3047</v>
      </c>
      <c r="X1950" s="142">
        <f>B1950*IBGE_2!X$1950/100</f>
        <v>8.2000000000000017E-2</v>
      </c>
      <c r="Y1950" s="142">
        <f>B1950*IBGE_2!Y$1950/100</f>
        <v>3.2000000000000001E-2</v>
      </c>
      <c r="Z1950" s="142">
        <f>B1950*IBGE_2!Z$1950/100</f>
        <v>0.21099999999999997</v>
      </c>
      <c r="AA1950" s="142">
        <f>B1950*IBGE_2!AA$1950/100</f>
        <v>0.97899999999999987</v>
      </c>
      <c r="AB1950" s="142">
        <f>B1950*IBGE_2!AB$1950/100</f>
        <v>5.5</v>
      </c>
      <c r="AC1950" s="142">
        <f>B1950*IBGE_2!AC$1950/100</f>
        <v>1.2869999999999999</v>
      </c>
      <c r="AD1950" s="142" t="s">
        <v>3047</v>
      </c>
      <c r="AE1950" s="142">
        <f>B1950*IBGE_2!AE$1950/100</f>
        <v>11.5</v>
      </c>
      <c r="AF1950" s="142" t="s">
        <v>3047</v>
      </c>
      <c r="AG1950" s="142">
        <f>B1950*IBGE_2!AG$1950/100</f>
        <v>0.54500000000000004</v>
      </c>
      <c r="AH1950" s="142" t="s">
        <v>3047</v>
      </c>
      <c r="AI1950" s="142">
        <f>B1950*IBGE_2!AI$1950/100</f>
        <v>242</v>
      </c>
      <c r="AJ1950" s="142">
        <f>B1950*IBGE_2!AJ$1950/100</f>
        <v>0.5</v>
      </c>
      <c r="AK1950" s="142">
        <f>B1950*IBGE_2!AK$1950/100</f>
        <v>425.91699999999997</v>
      </c>
      <c r="AL1950" s="142">
        <f>B1950*IBGE_2!AL$1950/100</f>
        <v>2.16</v>
      </c>
      <c r="AM1950" s="142" t="s">
        <v>3047</v>
      </c>
      <c r="AN1950" s="161"/>
    </row>
    <row r="1951" spans="1:40">
      <c r="A1951" s="143" t="s">
        <v>3011</v>
      </c>
      <c r="B1951" s="141">
        <v>100</v>
      </c>
      <c r="C1951" s="142">
        <f>B1951*IBGE_2!C$1951/100</f>
        <v>31.440999999999999</v>
      </c>
      <c r="D1951" s="142">
        <f>B1951*IBGE_2!D$1951/100</f>
        <v>1.7210000000000003</v>
      </c>
      <c r="E1951" s="142">
        <f>B1951*IBGE_2!E$1951/100</f>
        <v>1.6859999999999999</v>
      </c>
      <c r="F1951" s="142">
        <f>B1951*IBGE_2!F$1951/100</f>
        <v>0.96299999999999997</v>
      </c>
      <c r="G1951" s="142">
        <f>B1951*IBGE_2!G$1951/100</f>
        <v>0.42599999999999999</v>
      </c>
      <c r="H1951" s="142">
        <f>B1951*IBGE_2!H$1951/100</f>
        <v>0.10100000000000002</v>
      </c>
      <c r="I1951" s="142">
        <f>B1951*IBGE_2!I$1951/100</f>
        <v>6.2E-2</v>
      </c>
      <c r="J1951" s="142">
        <f>B1951*IBGE_2!J$1951/100</f>
        <v>3.9E-2</v>
      </c>
      <c r="K1951" s="142">
        <f>B1951*IBGE_2!K$1951/100</f>
        <v>5.157</v>
      </c>
      <c r="L1951" s="142">
        <f>B1951*IBGE_2!L$1951/100</f>
        <v>2.5659999999999998</v>
      </c>
      <c r="M1951" s="142">
        <f>B1951*IBGE_2!M$1951/100</f>
        <v>0.23499999999999999</v>
      </c>
      <c r="N1951" s="142">
        <f>B1951*IBGE_2!N$1951/100</f>
        <v>59.273000000000003</v>
      </c>
      <c r="O1951" s="142">
        <f>B1951*IBGE_2!O$1951/100</f>
        <v>6.6580000000000004</v>
      </c>
      <c r="P1951" s="142">
        <f>B1951*IBGE_2!P$1951/100</f>
        <v>1.3000000000000001E-2</v>
      </c>
      <c r="Q1951" s="142">
        <f>B1951*IBGE_2!Q$1951/100</f>
        <v>48.42799999999999</v>
      </c>
      <c r="R1951" s="142">
        <f>B1951*IBGE_2!R$1951/100</f>
        <v>0.02</v>
      </c>
      <c r="S1951" s="142">
        <f>B1951*IBGE_2!S$1951/100</f>
        <v>21.628</v>
      </c>
      <c r="T1951" s="142">
        <f>B1951*IBGE_2!T$1951/100</f>
        <v>98.265000000000001</v>
      </c>
      <c r="U1951" s="142">
        <f>B1951*IBGE_2!U$1951/100</f>
        <v>7.000000000000001E-3</v>
      </c>
      <c r="V1951" s="142">
        <f>B1951*IBGE_2!V$1951/100</f>
        <v>0.21600000000000003</v>
      </c>
      <c r="W1951" s="142">
        <f>B1951*IBGE_2!W$1951/100</f>
        <v>14.439</v>
      </c>
      <c r="X1951" s="142">
        <f>B1951*IBGE_2!X$1951/100</f>
        <v>0.03</v>
      </c>
      <c r="Y1951" s="142">
        <f>B1951*IBGE_2!Y$1951/100</f>
        <v>0.13200000000000001</v>
      </c>
      <c r="Z1951" s="142">
        <f>B1951*IBGE_2!Z$1951/100</f>
        <v>1.9E-2</v>
      </c>
      <c r="AA1951" s="142">
        <f>B1951*IBGE_2!AA$1951/100</f>
        <v>0.151</v>
      </c>
      <c r="AB1951" s="142" t="s">
        <v>3047</v>
      </c>
      <c r="AC1951" s="142">
        <f>B1951*IBGE_2!AC$1951/100</f>
        <v>0.79500000000000004</v>
      </c>
      <c r="AD1951" s="142">
        <f>B1951*IBGE_2!AD$1951/100</f>
        <v>0.22699999999999998</v>
      </c>
      <c r="AE1951" s="142">
        <f>B1951*IBGE_2!AE$1951/100</f>
        <v>3.5790000000000002</v>
      </c>
      <c r="AF1951" s="142">
        <f>B1951*IBGE_2!AF$1951/100</f>
        <v>0.51600000000000001</v>
      </c>
      <c r="AG1951" s="142">
        <f>B1951*IBGE_2!AG$1951/100</f>
        <v>3.5999999999999997E-2</v>
      </c>
      <c r="AH1951" s="142">
        <f>B1951*IBGE_2!AH$1951/100</f>
        <v>0.06</v>
      </c>
      <c r="AI1951" s="142" t="s">
        <v>3047</v>
      </c>
      <c r="AJ1951" s="142">
        <f>B1951*IBGE_2!AJ$1951/100</f>
        <v>1.9079999999999999</v>
      </c>
      <c r="AK1951" s="142">
        <f>B1951*IBGE_2!AK$1951/100</f>
        <v>14.654000000000002</v>
      </c>
      <c r="AL1951" s="142">
        <f>B1951*IBGE_2!AL$1951/100</f>
        <v>2.7120000000000006</v>
      </c>
      <c r="AM1951" s="142" t="s">
        <v>3047</v>
      </c>
      <c r="AN1951" s="161"/>
    </row>
    <row r="1952" spans="1:40">
      <c r="A1952" s="143" t="s">
        <v>3012</v>
      </c>
      <c r="B1952" s="141">
        <v>100</v>
      </c>
      <c r="C1952" s="142">
        <f>B1952*IBGE_2!C$1952/100</f>
        <v>148.37413363637867</v>
      </c>
      <c r="D1952" s="142">
        <f>B1952*IBGE_2!D$1952/100</f>
        <v>6.7404537058666669</v>
      </c>
      <c r="E1952" s="142">
        <f>B1952*IBGE_2!E$1952/100</f>
        <v>3.8605567466666666</v>
      </c>
      <c r="F1952" s="142">
        <f>B1952*IBGE_2!F$1952/100</f>
        <v>0.97089298133333335</v>
      </c>
      <c r="G1952" s="142">
        <f>B1952*IBGE_2!G$1952/100</f>
        <v>1.1584202293333334</v>
      </c>
      <c r="H1952" s="142">
        <f>B1952*IBGE_2!H$1952/100</f>
        <v>1.3490549386666666</v>
      </c>
      <c r="I1952" s="142">
        <f>B1952*IBGE_2!I$1952/100</f>
        <v>1.1855993920000001</v>
      </c>
      <c r="J1952" s="142">
        <f>B1952*IBGE_2!J$1952/100</f>
        <v>0.17463677866666663</v>
      </c>
      <c r="K1952" s="142">
        <f>B1952*IBGE_2!K$1952/100</f>
        <v>7</v>
      </c>
      <c r="L1952" s="142">
        <f>B1952*IBGE_2!L$1952/100</f>
        <v>21.340793899466668</v>
      </c>
      <c r="M1952" s="142">
        <f>B1952*IBGE_2!M$1952/100</f>
        <v>2.3101685279999997</v>
      </c>
      <c r="N1952" s="142">
        <f>B1952*IBGE_2!N$1952/100</f>
        <v>24.251050394666667</v>
      </c>
      <c r="O1952" s="142">
        <f>B1952*IBGE_2!O$1952/100</f>
        <v>21.943873493333331</v>
      </c>
      <c r="P1952" s="142">
        <f>B1952*IBGE_2!P$1952/100</f>
        <v>0.30766223999999998</v>
      </c>
      <c r="Q1952" s="142">
        <f>B1952*IBGE_2!Q$1952/100</f>
        <v>64.883260026666662</v>
      </c>
      <c r="R1952" s="142">
        <f>B1952*IBGE_2!R$1952/100</f>
        <v>1.4859239466666665</v>
      </c>
      <c r="S1952" s="142">
        <f>B1952*IBGE_2!S$1952/100</f>
        <v>8.7744560319999998</v>
      </c>
      <c r="T1952" s="142">
        <f>B1952*IBGE_2!T$1952/100</f>
        <v>173.51116753599999</v>
      </c>
      <c r="U1952" s="142">
        <f>B1952*IBGE_2!U$1952/100</f>
        <v>0.10728471999999999</v>
      </c>
      <c r="V1952" s="142">
        <f>B1952*IBGE_2!V$1952/100</f>
        <v>1.1099345706666666</v>
      </c>
      <c r="W1952" s="142" t="s">
        <v>3047</v>
      </c>
      <c r="X1952" s="142">
        <f>B1952*IBGE_2!X$1952/100</f>
        <v>0.11444000000000001</v>
      </c>
      <c r="Y1952" s="142">
        <f>B1952*IBGE_2!Y$1952/100</f>
        <v>7.1440000000000003E-2</v>
      </c>
      <c r="Z1952" s="142">
        <f>B1952*IBGE_2!Z$1952/100</f>
        <v>5.9080000000000001E-2</v>
      </c>
      <c r="AA1952" s="142">
        <f>B1952*IBGE_2!AA$1952/100</f>
        <v>0.82612000000000008</v>
      </c>
      <c r="AB1952" s="142" t="s">
        <v>3047</v>
      </c>
      <c r="AC1952" s="142">
        <f>B1952*IBGE_2!AC$1952/100</f>
        <v>2.0687199999999999</v>
      </c>
      <c r="AD1952" s="142">
        <f>B1952*IBGE_2!AD$1952/100</f>
        <v>0.26413333333333333</v>
      </c>
      <c r="AE1952" s="142">
        <f>B1952*IBGE_2!AE$1952/100</f>
        <v>55.152000000000001</v>
      </c>
      <c r="AF1952" s="142">
        <f>B1952*IBGE_2!AF$1952/100</f>
        <v>6.5333333333333327E-2</v>
      </c>
      <c r="AG1952" s="142">
        <f>B1952*IBGE_2!AG$1952/100</f>
        <v>0.38709333333333334</v>
      </c>
      <c r="AH1952" s="142">
        <f>B1952*IBGE_2!AH$1952/100</f>
        <v>7.2746666666666654E-2</v>
      </c>
      <c r="AI1952" s="142">
        <f>B1952*IBGE_2!AI$1952/100</f>
        <v>245.88</v>
      </c>
      <c r="AJ1952" s="142">
        <f>B1952*IBGE_2!AJ$1952/100</f>
        <v>11.49342666666667</v>
      </c>
      <c r="AK1952" s="142" t="s">
        <v>3047</v>
      </c>
      <c r="AL1952" s="142">
        <f>B1952*IBGE_2!AL$1952/100</f>
        <v>0.27626666666666672</v>
      </c>
      <c r="AM1952" s="142" t="s">
        <v>3047</v>
      </c>
      <c r="AN1952" s="161"/>
    </row>
    <row r="1953" spans="1:40">
      <c r="A1953" s="143" t="s">
        <v>3013</v>
      </c>
      <c r="B1953" s="141">
        <v>100</v>
      </c>
      <c r="C1953" s="142">
        <f>B1953*IBGE_2!C$1953/100</f>
        <v>129.20801482215074</v>
      </c>
      <c r="D1953" s="142">
        <f>B1953*IBGE_2!D$1953/100</f>
        <v>6.4860004049275357</v>
      </c>
      <c r="E1953" s="142">
        <f>B1953*IBGE_2!E$1953/100</f>
        <v>2.6564167536231884</v>
      </c>
      <c r="F1953" s="142">
        <f>B1953*IBGE_2!F$1953/100</f>
        <v>0.80582570434782608</v>
      </c>
      <c r="G1953" s="142">
        <f>B1953*IBGE_2!G$1953/100</f>
        <v>0.92947126376811584</v>
      </c>
      <c r="H1953" s="142">
        <f>B1953*IBGE_2!H$1953/100</f>
        <v>0.63819015072463769</v>
      </c>
      <c r="I1953" s="142">
        <f>B1953*IBGE_2!I$1953/100</f>
        <v>0.55365151304347826</v>
      </c>
      <c r="J1953" s="142">
        <f>B1953*IBGE_2!J$1953/100</f>
        <v>9.4373310144927516E-2</v>
      </c>
      <c r="K1953" s="142">
        <f>B1953*IBGE_2!K$1953/100</f>
        <v>7.6086956521739122</v>
      </c>
      <c r="L1953" s="142">
        <f>B1953*IBGE_2!L$1953/100</f>
        <v>19.483471629855071</v>
      </c>
      <c r="M1953" s="142">
        <f>B1953*IBGE_2!M$1953/100</f>
        <v>2.3336614434782605</v>
      </c>
      <c r="N1953" s="142">
        <f>B1953*IBGE_2!N$1953/100</f>
        <v>26.618388110144924</v>
      </c>
      <c r="O1953" s="142">
        <f>B1953*IBGE_2!O$1953/100</f>
        <v>21.781311768115941</v>
      </c>
      <c r="P1953" s="142">
        <f>B1953*IBGE_2!P$1953/100</f>
        <v>0.29435750724637683</v>
      </c>
      <c r="Q1953" s="142">
        <f>B1953*IBGE_2!Q$1953/100</f>
        <v>65.4841232173913</v>
      </c>
      <c r="R1953" s="142">
        <f>B1953*IBGE_2!R$1953/100</f>
        <v>1.2920767536231883</v>
      </c>
      <c r="S1953" s="142">
        <f>B1953*IBGE_2!S$1953/100</f>
        <v>69.851655107246373</v>
      </c>
      <c r="T1953" s="142">
        <f>B1953*IBGE_2!T$1953/100</f>
        <v>187.90112413333333</v>
      </c>
      <c r="U1953" s="142">
        <f>B1953*IBGE_2!U$1953/100</f>
        <v>0.10559933333333334</v>
      </c>
      <c r="V1953" s="142">
        <f>B1953*IBGE_2!V$1953/100</f>
        <v>1.1087694608695653</v>
      </c>
      <c r="W1953" s="142" t="s">
        <v>3047</v>
      </c>
      <c r="X1953" s="142">
        <f>B1953*IBGE_2!X$1953/100</f>
        <v>5.0942028985507232E-2</v>
      </c>
      <c r="Y1953" s="142">
        <f>B1953*IBGE_2!Y$1953/100</f>
        <v>4.1246376811594203E-2</v>
      </c>
      <c r="Z1953" s="142">
        <f>B1953*IBGE_2!Z$1953/100</f>
        <v>5.7869565217391304E-2</v>
      </c>
      <c r="AA1953" s="142">
        <f>B1953*IBGE_2!AA$1953/100</f>
        <v>0.63537681159420289</v>
      </c>
      <c r="AB1953" s="142" t="s">
        <v>3047</v>
      </c>
      <c r="AC1953" s="142">
        <f>B1953*IBGE_2!AC$1953/100</f>
        <v>1.7607246376811587</v>
      </c>
      <c r="AD1953" s="142">
        <f>B1953*IBGE_2!AD$1953/100</f>
        <v>0.2871014492753623</v>
      </c>
      <c r="AE1953" s="142">
        <f>B1953*IBGE_2!AE$1953/100</f>
        <v>22.216231884057969</v>
      </c>
      <c r="AF1953" s="142">
        <f>B1953*IBGE_2!AF$1953/100</f>
        <v>7.1014492753623176E-2</v>
      </c>
      <c r="AG1953" s="142">
        <f>B1953*IBGE_2!AG$1953/100</f>
        <v>0.30742028985507247</v>
      </c>
      <c r="AH1953" s="142">
        <f>B1953*IBGE_2!AH$1953/100</f>
        <v>7.2231884057971013E-2</v>
      </c>
      <c r="AI1953" s="142">
        <f>B1953*IBGE_2!AI$1953/100</f>
        <v>222.30434782608697</v>
      </c>
      <c r="AJ1953" s="142">
        <f>B1953*IBGE_2!AJ$1953/100</f>
        <v>4.3517101449275364</v>
      </c>
      <c r="AK1953" s="142">
        <f>B1953*IBGE_2!AK$1953/100</f>
        <v>1.3913043478260868E-2</v>
      </c>
      <c r="AL1953" s="142">
        <f>B1953*IBGE_2!AL$1953/100</f>
        <v>0.28869565217391302</v>
      </c>
      <c r="AM1953" s="142" t="s">
        <v>3047</v>
      </c>
      <c r="AN1953" s="161"/>
    </row>
    <row r="1954" spans="1:40">
      <c r="A1954" s="143" t="s">
        <v>3014</v>
      </c>
      <c r="B1954" s="141">
        <v>100</v>
      </c>
      <c r="C1954" s="142">
        <f>B1954*IBGE_2!C$1954/100</f>
        <v>157.09707108970369</v>
      </c>
      <c r="D1954" s="142">
        <f>B1954*IBGE_2!D$1954/100</f>
        <v>6.5349162952861946</v>
      </c>
      <c r="E1954" s="142">
        <f>B1954*IBGE_2!E$1954/100</f>
        <v>3.3608376430976432</v>
      </c>
      <c r="F1954" s="142">
        <f>B1954*IBGE_2!F$1954/100</f>
        <v>0.98331605387205367</v>
      </c>
      <c r="G1954" s="142">
        <f>B1954*IBGE_2!G$1954/100</f>
        <v>1.1512039932659932</v>
      </c>
      <c r="H1954" s="142">
        <f>B1954*IBGE_2!H$1954/100</f>
        <v>0.89150034343434337</v>
      </c>
      <c r="I1954" s="142">
        <f>B1954*IBGE_2!I$1954/100</f>
        <v>0.77871977104377099</v>
      </c>
      <c r="J1954" s="142">
        <f>B1954*IBGE_2!J$1954/100</f>
        <v>0.13120805387205384</v>
      </c>
      <c r="K1954" s="142">
        <f>B1954*IBGE_2!K$1954/100</f>
        <v>8.8383838383838391</v>
      </c>
      <c r="L1954" s="142">
        <f>B1954*IBGE_2!L$1954/100</f>
        <v>24.986524283838385</v>
      </c>
      <c r="M1954" s="142">
        <f>B1954*IBGE_2!M$1954/100</f>
        <v>2.9397750774410776</v>
      </c>
      <c r="N1954" s="142">
        <f>B1954*IBGE_2!N$1954/100</f>
        <v>35.030787535353539</v>
      </c>
      <c r="O1954" s="142">
        <f>B1954*IBGE_2!O$1954/100</f>
        <v>25.026776296296294</v>
      </c>
      <c r="P1954" s="142">
        <f>B1954*IBGE_2!P$1954/100</f>
        <v>0.26920316498316499</v>
      </c>
      <c r="Q1954" s="142">
        <f>B1954*IBGE_2!Q$1954/100</f>
        <v>64.967079158249149</v>
      </c>
      <c r="R1954" s="142">
        <f>B1954*IBGE_2!R$1954/100</f>
        <v>1.5198703030303029</v>
      </c>
      <c r="S1954" s="142">
        <f>B1954*IBGE_2!S$1954/100</f>
        <v>10.816232363636367</v>
      </c>
      <c r="T1954" s="142">
        <f>B1954*IBGE_2!T$1954/100</f>
        <v>239.4164573265993</v>
      </c>
      <c r="U1954" s="142">
        <f>B1954*IBGE_2!U$1954/100</f>
        <v>0.10704299663299664</v>
      </c>
      <c r="V1954" s="142">
        <f>B1954*IBGE_2!V$1954/100</f>
        <v>1.2556412929292928</v>
      </c>
      <c r="W1954" s="142" t="s">
        <v>3047</v>
      </c>
      <c r="X1954" s="142">
        <f>B1954*IBGE_2!X$1954/100</f>
        <v>5.8097643097643099E-2</v>
      </c>
      <c r="Y1954" s="142">
        <f>B1954*IBGE_2!Y$1954/100</f>
        <v>3.9831649831649829E-2</v>
      </c>
      <c r="Z1954" s="142">
        <f>B1954*IBGE_2!Z$1954/100</f>
        <v>5.6447811447811441E-2</v>
      </c>
      <c r="AA1954" s="142">
        <f>B1954*IBGE_2!AA$1954/100</f>
        <v>0.41752525252525247</v>
      </c>
      <c r="AB1954" s="142" t="s">
        <v>3047</v>
      </c>
      <c r="AC1954" s="142">
        <f>B1954*IBGE_2!AC$1954/100</f>
        <v>1.4742424242424237</v>
      </c>
      <c r="AD1954" s="142">
        <f>B1954*IBGE_2!AD$1954/100</f>
        <v>0.33350168350168347</v>
      </c>
      <c r="AE1954" s="142">
        <f>B1954*IBGE_2!AE$1954/100</f>
        <v>23.969696969696969</v>
      </c>
      <c r="AF1954" s="142">
        <f>B1954*IBGE_2!AF$1954/100</f>
        <v>8.2491582491582477E-2</v>
      </c>
      <c r="AG1954" s="142">
        <f>B1954*IBGE_2!AG$1954/100</f>
        <v>0.36838383838383831</v>
      </c>
      <c r="AH1954" s="142">
        <f>B1954*IBGE_2!AH$1954/100</f>
        <v>8.5555555555555551E-2</v>
      </c>
      <c r="AI1954" s="142">
        <f>B1954*IBGE_2!AI$1954/100</f>
        <v>258.23232323232321</v>
      </c>
      <c r="AJ1954" s="142">
        <f>B1954*IBGE_2!AJ$1954/100</f>
        <v>4.183383838383838</v>
      </c>
      <c r="AK1954" s="142" t="s">
        <v>3047</v>
      </c>
      <c r="AL1954" s="142">
        <f>B1954*IBGE_2!AL$1954/100</f>
        <v>0.14141414141414141</v>
      </c>
      <c r="AM1954" s="142" t="s">
        <v>3047</v>
      </c>
      <c r="AN1954" s="161"/>
    </row>
    <row r="1955" spans="1:40">
      <c r="A1955" s="143" t="s">
        <v>3015</v>
      </c>
      <c r="B1955" s="141">
        <v>100</v>
      </c>
      <c r="C1955" s="142">
        <f>B1955*IBGE_2!C$1955/100</f>
        <v>131.09430515522439</v>
      </c>
      <c r="D1955" s="142">
        <f>B1955*IBGE_2!D$1955/100</f>
        <v>8.620414974878047</v>
      </c>
      <c r="E1955" s="142">
        <f>B1955*IBGE_2!E$1955/100</f>
        <v>5.3011311707317077</v>
      </c>
      <c r="F1955" s="142">
        <f>B1955*IBGE_2!F$1955/100</f>
        <v>1.6836094341463415</v>
      </c>
      <c r="G1955" s="142">
        <f>B1955*IBGE_2!G$1955/100</f>
        <v>2.0346282585365856</v>
      </c>
      <c r="H1955" s="142">
        <f>B1955*IBGE_2!H$1955/100</f>
        <v>0.99322098048780472</v>
      </c>
      <c r="I1955" s="142">
        <f>B1955*IBGE_2!I$1955/100</f>
        <v>0.85036529756097545</v>
      </c>
      <c r="J1955" s="142">
        <f>B1955*IBGE_2!J$1955/100</f>
        <v>0.14785071219512194</v>
      </c>
      <c r="K1955" s="142">
        <f>B1955*IBGE_2!K$1955/100</f>
        <v>18.292682926829269</v>
      </c>
      <c r="L1955" s="142">
        <f>B1955*IBGE_2!L$1955/100</f>
        <v>12.004384664146341</v>
      </c>
      <c r="M1955" s="142">
        <f>B1955*IBGE_2!M$1955/100</f>
        <v>1.864178531707317</v>
      </c>
      <c r="N1955" s="142">
        <f>B1955*IBGE_2!N$1955/100</f>
        <v>23.522302190243906</v>
      </c>
      <c r="O1955" s="142">
        <f>B1955*IBGE_2!O$1955/100</f>
        <v>20.558420878048778</v>
      </c>
      <c r="P1955" s="142">
        <f>B1955*IBGE_2!P$1955/100</f>
        <v>0.21663009756097559</v>
      </c>
      <c r="Q1955" s="142">
        <f>B1955*IBGE_2!Q$1955/100</f>
        <v>79.539567097560976</v>
      </c>
      <c r="R1955" s="142">
        <f>B1955*IBGE_2!R$1955/100</f>
        <v>1.5134548292682928</v>
      </c>
      <c r="S1955" s="142">
        <f>B1955*IBGE_2!S$1955/100</f>
        <v>19.354685395121955</v>
      </c>
      <c r="T1955" s="142">
        <f>B1955*IBGE_2!T$1955/100</f>
        <v>246.56509225853659</v>
      </c>
      <c r="U1955" s="142">
        <f>B1955*IBGE_2!U$1955/100</f>
        <v>9.7748219512195131E-2</v>
      </c>
      <c r="V1955" s="142">
        <f>B1955*IBGE_2!V$1955/100</f>
        <v>1.8167694243902439</v>
      </c>
      <c r="W1955" s="142" t="s">
        <v>3047</v>
      </c>
      <c r="X1955" s="142">
        <f>B1955*IBGE_2!X$1955/100</f>
        <v>5.1804878048780492E-2</v>
      </c>
      <c r="Y1955" s="142">
        <f>B1955*IBGE_2!Y$1955/100</f>
        <v>6.8585365853658542E-2</v>
      </c>
      <c r="Z1955" s="142">
        <f>B1955*IBGE_2!Z$1955/100</f>
        <v>9.6926829268292686E-2</v>
      </c>
      <c r="AA1955" s="142">
        <f>B1955*IBGE_2!AA$1955/100</f>
        <v>0.92599999999999993</v>
      </c>
      <c r="AB1955" s="142">
        <f>B1955*IBGE_2!AB$1955/100</f>
        <v>2.4780487804878049</v>
      </c>
      <c r="AC1955" s="142">
        <f>B1955*IBGE_2!AC$1955/100</f>
        <v>2.4033170731707316</v>
      </c>
      <c r="AD1955" s="142">
        <f>B1955*IBGE_2!AD$1955/100</f>
        <v>0.69024390243902434</v>
      </c>
      <c r="AE1955" s="142">
        <f>B1955*IBGE_2!AE$1955/100</f>
        <v>21.717073170731709</v>
      </c>
      <c r="AF1955" s="142">
        <f>B1955*IBGE_2!AF$1955/100</f>
        <v>0.17073170731707318</v>
      </c>
      <c r="AG1955" s="142">
        <f>B1955*IBGE_2!AG$1955/100</f>
        <v>0.42770731707317078</v>
      </c>
      <c r="AH1955" s="142">
        <f>B1955*IBGE_2!AH$1955/100</f>
        <v>0.17199999999999999</v>
      </c>
      <c r="AI1955" s="142">
        <f>B1955*IBGE_2!AI$1955/100</f>
        <v>239.85365853658536</v>
      </c>
      <c r="AJ1955" s="142">
        <f>B1955*IBGE_2!AJ$1955/100</f>
        <v>7.7032682926829272</v>
      </c>
      <c r="AK1955" s="142">
        <f>B1955*IBGE_2!AK$1955/100</f>
        <v>8.1229268292682928</v>
      </c>
      <c r="AL1955" s="142">
        <f>B1955*IBGE_2!AL$1955/100</f>
        <v>0.61365853658536584</v>
      </c>
      <c r="AM1955" s="142" t="s">
        <v>3047</v>
      </c>
      <c r="AN1955" s="161"/>
    </row>
    <row r="1956" spans="1:40">
      <c r="A1956" s="143" t="s">
        <v>3016</v>
      </c>
      <c r="B1956" s="141">
        <v>100</v>
      </c>
      <c r="C1956" s="142">
        <f>B1956*IBGE_2!C$1956/100</f>
        <v>148.37413363637867</v>
      </c>
      <c r="D1956" s="142">
        <f>B1956*IBGE_2!D$1956/100</f>
        <v>6.7404537058666669</v>
      </c>
      <c r="E1956" s="142">
        <f>B1956*IBGE_2!E$1956/100</f>
        <v>3.8605567466666666</v>
      </c>
      <c r="F1956" s="142">
        <f>B1956*IBGE_2!F$1956/100</f>
        <v>0.97089298133333335</v>
      </c>
      <c r="G1956" s="142">
        <f>B1956*IBGE_2!G$1956/100</f>
        <v>1.1584202293333334</v>
      </c>
      <c r="H1956" s="142">
        <f>B1956*IBGE_2!H$1956/100</f>
        <v>1.3490549386666666</v>
      </c>
      <c r="I1956" s="142">
        <f>B1956*IBGE_2!I$1956/100</f>
        <v>1.1855993920000001</v>
      </c>
      <c r="J1956" s="142">
        <f>B1956*IBGE_2!J$1956/100</f>
        <v>0.17463677866666663</v>
      </c>
      <c r="K1956" s="142">
        <f>B1956*IBGE_2!K$1956/100</f>
        <v>7</v>
      </c>
      <c r="L1956" s="142">
        <f>B1956*IBGE_2!L$1956/100</f>
        <v>21.340793899466668</v>
      </c>
      <c r="M1956" s="142">
        <f>B1956*IBGE_2!M$1956/100</f>
        <v>2.3101685279999997</v>
      </c>
      <c r="N1956" s="142">
        <f>B1956*IBGE_2!N$1956/100</f>
        <v>24.251050394666667</v>
      </c>
      <c r="O1956" s="142">
        <f>B1956*IBGE_2!O$1956/100</f>
        <v>21.943873493333331</v>
      </c>
      <c r="P1956" s="142">
        <f>B1956*IBGE_2!P$1956/100</f>
        <v>0.30766223999999998</v>
      </c>
      <c r="Q1956" s="142">
        <f>B1956*IBGE_2!Q$1956/100</f>
        <v>64.883260026666662</v>
      </c>
      <c r="R1956" s="142">
        <f>B1956*IBGE_2!R$1956/100</f>
        <v>1.4859239466666665</v>
      </c>
      <c r="S1956" s="142">
        <f>B1956*IBGE_2!S$1956/100</f>
        <v>8.7744560319999998</v>
      </c>
      <c r="T1956" s="142">
        <f>B1956*IBGE_2!T$1956/100</f>
        <v>173.51116753599999</v>
      </c>
      <c r="U1956" s="142">
        <f>B1956*IBGE_2!U$1956/100</f>
        <v>0.10728471999999999</v>
      </c>
      <c r="V1956" s="142">
        <f>B1956*IBGE_2!V$1956/100</f>
        <v>1.1099345706666666</v>
      </c>
      <c r="W1956" s="142" t="s">
        <v>3047</v>
      </c>
      <c r="X1956" s="142">
        <f>B1956*IBGE_2!X$1956/100</f>
        <v>0.11444000000000001</v>
      </c>
      <c r="Y1956" s="142">
        <f>B1956*IBGE_2!Y$1956/100</f>
        <v>7.1440000000000003E-2</v>
      </c>
      <c r="Z1956" s="142">
        <f>B1956*IBGE_2!Z$1956/100</f>
        <v>5.9080000000000001E-2</v>
      </c>
      <c r="AA1956" s="142">
        <f>B1956*IBGE_2!AA$1956/100</f>
        <v>0.82612000000000008</v>
      </c>
      <c r="AB1956" s="142" t="s">
        <v>3047</v>
      </c>
      <c r="AC1956" s="142">
        <f>B1956*IBGE_2!AC$1956/100</f>
        <v>2.0687199999999999</v>
      </c>
      <c r="AD1956" s="142">
        <f>B1956*IBGE_2!AD$1956/100</f>
        <v>0.26413333333333333</v>
      </c>
      <c r="AE1956" s="142">
        <f>B1956*IBGE_2!AE$1956/100</f>
        <v>55.152000000000001</v>
      </c>
      <c r="AF1956" s="142">
        <f>B1956*IBGE_2!AF$1956/100</f>
        <v>6.5333333333333327E-2</v>
      </c>
      <c r="AG1956" s="142">
        <f>B1956*IBGE_2!AG$1956/100</f>
        <v>0.38709333333333334</v>
      </c>
      <c r="AH1956" s="142">
        <f>B1956*IBGE_2!AH$1956/100</f>
        <v>7.2746666666666654E-2</v>
      </c>
      <c r="AI1956" s="142">
        <f>B1956*IBGE_2!AI$1956/100</f>
        <v>245.88</v>
      </c>
      <c r="AJ1956" s="142">
        <f>B1956*IBGE_2!AJ$1956/100</f>
        <v>11.49342666666667</v>
      </c>
      <c r="AK1956" s="142" t="s">
        <v>3047</v>
      </c>
      <c r="AL1956" s="142">
        <f>B1956*IBGE_2!AL$1956/100</f>
        <v>0.27626666666666672</v>
      </c>
      <c r="AM1956" s="142" t="s">
        <v>3047</v>
      </c>
      <c r="AN1956" s="161"/>
    </row>
    <row r="1957" spans="1:40">
      <c r="A1957" s="143" t="s">
        <v>3017</v>
      </c>
      <c r="B1957" s="141">
        <v>100</v>
      </c>
      <c r="C1957" s="142">
        <f>B1957*IBGE_2!C$1957/100</f>
        <v>105.92994235838259</v>
      </c>
      <c r="D1957" s="142">
        <f>B1957*IBGE_2!D$1957/100</f>
        <v>5.6813627237681157</v>
      </c>
      <c r="E1957" s="142">
        <f>B1957*IBGE_2!E$1957/100</f>
        <v>2.9117935652173914</v>
      </c>
      <c r="F1957" s="142">
        <f>B1957*IBGE_2!F$1957/100</f>
        <v>0.8441880231884058</v>
      </c>
      <c r="G1957" s="142">
        <f>B1957*IBGE_2!G$1957/100</f>
        <v>0.98871764057971001</v>
      </c>
      <c r="H1957" s="142">
        <f>B1957*IBGE_2!H$1957/100</f>
        <v>0.78601623768115947</v>
      </c>
      <c r="I1957" s="142">
        <f>B1957*IBGE_2!I$1957/100</f>
        <v>0.68614426666666672</v>
      </c>
      <c r="J1957" s="142">
        <f>B1957*IBGE_2!J$1957/100</f>
        <v>0.11202548405797101</v>
      </c>
      <c r="K1957" s="142">
        <f>B1957*IBGE_2!K$1957/100</f>
        <v>7.6086956521739122</v>
      </c>
      <c r="L1957" s="142">
        <f>B1957*IBGE_2!L$1957/100</f>
        <v>14.266080325507247</v>
      </c>
      <c r="M1957" s="142">
        <f>B1957*IBGE_2!M$1957/100</f>
        <v>2.2154005739130431</v>
      </c>
      <c r="N1957" s="142">
        <f>B1957*IBGE_2!N$1957/100</f>
        <v>26.446793907246377</v>
      </c>
      <c r="O1957" s="142">
        <f>B1957*IBGE_2!O$1957/100</f>
        <v>20.663630608695659</v>
      </c>
      <c r="P1957" s="142">
        <f>B1957*IBGE_2!P$1957/100</f>
        <v>0.25725605797101447</v>
      </c>
      <c r="Q1957" s="142">
        <f>B1957*IBGE_2!Q$1957/100</f>
        <v>57.597746405797089</v>
      </c>
      <c r="R1957" s="142">
        <f>B1957*IBGE_2!R$1957/100</f>
        <v>1.2689897971014492</v>
      </c>
      <c r="S1957" s="142">
        <f>B1957*IBGE_2!S$1957/100</f>
        <v>10.378031918840582</v>
      </c>
      <c r="T1957" s="142">
        <f>B1957*IBGE_2!T$1957/100</f>
        <v>229.52663137971021</v>
      </c>
      <c r="U1957" s="142">
        <f>B1957*IBGE_2!U$1957/100</f>
        <v>9.8642811594202906E-2</v>
      </c>
      <c r="V1957" s="142">
        <f>B1957*IBGE_2!V$1957/100</f>
        <v>1.0832622144927535</v>
      </c>
      <c r="W1957" s="142" t="s">
        <v>3047</v>
      </c>
      <c r="X1957" s="142">
        <f>B1957*IBGE_2!X$1957/100</f>
        <v>4.6304347826086951E-2</v>
      </c>
      <c r="Y1957" s="142">
        <f>B1957*IBGE_2!Y$1957/100</f>
        <v>3.8927536231884059E-2</v>
      </c>
      <c r="Z1957" s="142">
        <f>B1957*IBGE_2!Z$1957/100</f>
        <v>6.7144927536231885E-2</v>
      </c>
      <c r="AA1957" s="142">
        <f>B1957*IBGE_2!AA$1957/100</f>
        <v>0.49624637681159423</v>
      </c>
      <c r="AB1957" s="142">
        <f>B1957*IBGE_2!AB$1957/100</f>
        <v>2.9449275362318845</v>
      </c>
      <c r="AC1957" s="142">
        <f>B1957*IBGE_2!AC$1957/100</f>
        <v>1.4291304347826082</v>
      </c>
      <c r="AD1957" s="142">
        <f>B1957*IBGE_2!AD$1957/100</f>
        <v>0.2871014492753623</v>
      </c>
      <c r="AE1957" s="142">
        <f>B1957*IBGE_2!AE$1957/100</f>
        <v>24.11304347826087</v>
      </c>
      <c r="AF1957" s="142">
        <f>B1957*IBGE_2!AF$1957/100</f>
        <v>7.1014492753623176E-2</v>
      </c>
      <c r="AG1957" s="142">
        <f>B1957*IBGE_2!AG$1957/100</f>
        <v>0.44234782608695655</v>
      </c>
      <c r="AH1957" s="142">
        <f>B1957*IBGE_2!AH$1957/100</f>
        <v>7.3652173913043475E-2</v>
      </c>
      <c r="AI1957" s="142">
        <f>B1957*IBGE_2!AI$1957/100</f>
        <v>222.30434782608697</v>
      </c>
      <c r="AJ1957" s="142">
        <f>B1957*IBGE_2!AJ$1957/100</f>
        <v>3.6013478260869562</v>
      </c>
      <c r="AK1957" s="142">
        <f>B1957*IBGE_2!AK$1957/100</f>
        <v>9.6533333333333342</v>
      </c>
      <c r="AL1957" s="142">
        <f>B1957*IBGE_2!AL$1957/100</f>
        <v>0.7292753623188406</v>
      </c>
      <c r="AM1957" s="142" t="s">
        <v>3047</v>
      </c>
      <c r="AN1957" s="161"/>
    </row>
    <row r="1958" spans="1:40">
      <c r="A1958" s="143" t="s">
        <v>3018</v>
      </c>
      <c r="B1958" s="141">
        <v>100</v>
      </c>
      <c r="C1958" s="142">
        <f>B1958*IBGE_2!C$1958/100</f>
        <v>116.51397285356667</v>
      </c>
      <c r="D1958" s="142">
        <f>B1958*IBGE_2!D$1958/100</f>
        <v>4.1670563316666662</v>
      </c>
      <c r="E1958" s="142">
        <f>B1958*IBGE_2!E$1958/100</f>
        <v>1.4970210000000004</v>
      </c>
      <c r="F1958" s="142">
        <f>B1958*IBGE_2!F$1958/100</f>
        <v>0.32683260000000003</v>
      </c>
      <c r="G1958" s="142">
        <f>B1958*IBGE_2!G$1958/100</f>
        <v>0.30109770000000002</v>
      </c>
      <c r="H1958" s="142">
        <f>B1958*IBGE_2!H$1958/100</f>
        <v>0.78455889999999995</v>
      </c>
      <c r="I1958" s="142">
        <f>B1958*IBGE_2!I$1958/100</f>
        <v>0.7066654</v>
      </c>
      <c r="J1958" s="142">
        <f>B1958*IBGE_2!J$1958/100</f>
        <v>0.10760439999999999</v>
      </c>
      <c r="K1958" s="142" t="s">
        <v>3047</v>
      </c>
      <c r="L1958" s="142">
        <f>B1958*IBGE_2!L$1958/100</f>
        <v>21.419431735</v>
      </c>
      <c r="M1958" s="142">
        <f>B1958*IBGE_2!M$1958/100</f>
        <v>2.6628510999999997</v>
      </c>
      <c r="N1958" s="142">
        <f>B1958*IBGE_2!N$1958/100</f>
        <v>29.355799433333331</v>
      </c>
      <c r="O1958" s="142">
        <f>B1958*IBGE_2!O$1958/100</f>
        <v>20.216125333333334</v>
      </c>
      <c r="P1958" s="142">
        <f>B1958*IBGE_2!P$1958/100</f>
        <v>0.33787966666666669</v>
      </c>
      <c r="Q1958" s="142">
        <f>B1958*IBGE_2!Q$1958/100</f>
        <v>42.784569499999996</v>
      </c>
      <c r="R1958" s="142">
        <f>B1958*IBGE_2!R$1958/100</f>
        <v>1.1487026666666666</v>
      </c>
      <c r="S1958" s="142">
        <f>B1958*IBGE_2!S$1958/100</f>
        <v>3.1959500666666667</v>
      </c>
      <c r="T1958" s="142">
        <f>B1958*IBGE_2!T$1958/100</f>
        <v>175.56493236666668</v>
      </c>
      <c r="U1958" s="142">
        <f>B1958*IBGE_2!U$1958/100</f>
        <v>9.5426499999999997E-2</v>
      </c>
      <c r="V1958" s="142">
        <f>B1958*IBGE_2!V$1958/100</f>
        <v>0.65930813333333338</v>
      </c>
      <c r="W1958" s="142" t="s">
        <v>3047</v>
      </c>
      <c r="X1958" s="142">
        <f>B1958*IBGE_2!X$1958/100</f>
        <v>3.5499999999999997E-2</v>
      </c>
      <c r="Y1958" s="142">
        <f>B1958*IBGE_2!Y$1958/100</f>
        <v>1.4000000000000002E-2</v>
      </c>
      <c r="Z1958" s="142">
        <f>B1958*IBGE_2!Z$1958/100</f>
        <v>2.8000000000000004E-2</v>
      </c>
      <c r="AA1958" s="142">
        <f>B1958*IBGE_2!AA$1958/100</f>
        <v>4.2000000000000003E-2</v>
      </c>
      <c r="AB1958" s="142" t="s">
        <v>3047</v>
      </c>
      <c r="AC1958" s="142">
        <f>B1958*IBGE_2!AC$1958/100</f>
        <v>0.61699999999999999</v>
      </c>
      <c r="AD1958" s="142" t="s">
        <v>3047</v>
      </c>
      <c r="AE1958" s="142">
        <f>B1958*IBGE_2!AE$1958/100</f>
        <v>24.3</v>
      </c>
      <c r="AF1958" s="142" t="s">
        <v>3047</v>
      </c>
      <c r="AG1958" s="142">
        <f>B1958*IBGE_2!AG$1958/100</f>
        <v>0.34699999999999998</v>
      </c>
      <c r="AH1958" s="142">
        <f>B1958*IBGE_2!AH$1958/100</f>
        <v>4.0000000000000001E-3</v>
      </c>
      <c r="AI1958" s="142">
        <f>B1958*IBGE_2!AI$1958/100</f>
        <v>300.5</v>
      </c>
      <c r="AJ1958" s="142">
        <f>B1958*IBGE_2!AJ$1958/100</f>
        <v>0.753</v>
      </c>
      <c r="AK1958" s="142" t="s">
        <v>3047</v>
      </c>
      <c r="AL1958" s="142">
        <f>B1958*IBGE_2!AL$1958/100</f>
        <v>0.15</v>
      </c>
      <c r="AM1958" s="142" t="s">
        <v>3047</v>
      </c>
      <c r="AN1958" s="161"/>
    </row>
    <row r="1959" spans="1:40">
      <c r="A1959" s="143" t="s">
        <v>3019</v>
      </c>
      <c r="B1959" s="141">
        <v>100</v>
      </c>
      <c r="C1959" s="142">
        <f>B1959*IBGE_2!C$1959/100</f>
        <v>369.5</v>
      </c>
      <c r="D1959" s="142">
        <f>B1959*IBGE_2!D$1959/100</f>
        <v>6.8083333333333336</v>
      </c>
      <c r="E1959" s="142">
        <f>B1959*IBGE_2!E$1959/100</f>
        <v>16.10166666666667</v>
      </c>
      <c r="F1959" s="142">
        <f>B1959*IBGE_2!F$1959/100</f>
        <v>9.3949999999999996</v>
      </c>
      <c r="G1959" s="142">
        <f>B1959*IBGE_2!G$1959/100</f>
        <v>4.2533333333333339</v>
      </c>
      <c r="H1959" s="142">
        <f>B1959*IBGE_2!H$1959/100</f>
        <v>1.0900000000000001</v>
      </c>
      <c r="I1959" s="142">
        <f>B1959*IBGE_2!I$1959/100</f>
        <v>1.0383333333333333</v>
      </c>
      <c r="J1959" s="142">
        <f>B1959*IBGE_2!J$1959/100</f>
        <v>8.6666666666666684E-2</v>
      </c>
      <c r="K1959" s="142">
        <f>B1959*IBGE_2!K$1959/100</f>
        <v>35.833333333333336</v>
      </c>
      <c r="L1959" s="142">
        <f>B1959*IBGE_2!L$1959/100</f>
        <v>48.843333333333334</v>
      </c>
      <c r="M1959" s="142">
        <f>B1959*IBGE_2!M$1959/100</f>
        <v>1.9166666666666665</v>
      </c>
      <c r="N1959" s="142">
        <f>B1959*IBGE_2!N$1959/100</f>
        <v>17.333333333333332</v>
      </c>
      <c r="O1959" s="142">
        <f>B1959*IBGE_2!O$1959/100</f>
        <v>21.166666666666671</v>
      </c>
      <c r="P1959" s="142">
        <f>B1959*IBGE_2!P$1959/100</f>
        <v>0.38333333333333336</v>
      </c>
      <c r="Q1959" s="142">
        <f>B1959*IBGE_2!Q$1959/100</f>
        <v>83.166666666666686</v>
      </c>
      <c r="R1959" s="142">
        <f>B1959*IBGE_2!R$1959/100</f>
        <v>0.83666666666666667</v>
      </c>
      <c r="S1959" s="142">
        <f>B1959*IBGE_2!S$1959/100</f>
        <v>636</v>
      </c>
      <c r="T1959" s="142">
        <f>B1959*IBGE_2!T$1959/100</f>
        <v>122.33333333333334</v>
      </c>
      <c r="U1959" s="142">
        <f>B1959*IBGE_2!U$1959/100</f>
        <v>0.10833333333333334</v>
      </c>
      <c r="V1959" s="142">
        <f>B1959*IBGE_2!V$1959/100</f>
        <v>0.68166666666666675</v>
      </c>
      <c r="W1959" s="142">
        <f>B1959*IBGE_2!W$1959/100</f>
        <v>114.33333333333334</v>
      </c>
      <c r="X1959" s="142">
        <f>B1959*IBGE_2!X$1959/100</f>
        <v>0.32666666666666672</v>
      </c>
      <c r="Y1959" s="142">
        <f>B1959*IBGE_2!Y$1959/100</f>
        <v>0.56333333333333335</v>
      </c>
      <c r="Z1959" s="142">
        <f>B1959*IBGE_2!Z$1959/100</f>
        <v>0.5</v>
      </c>
      <c r="AA1959" s="142">
        <f>B1959*IBGE_2!AA$1959/100</f>
        <v>1.9566666666666666</v>
      </c>
      <c r="AB1959" s="142" t="s">
        <v>3047</v>
      </c>
      <c r="AC1959" s="142">
        <f>B1959*IBGE_2!AC$1959/100</f>
        <v>0.04</v>
      </c>
      <c r="AD1959" s="142">
        <f>B1959*IBGE_2!AD$1959/100</f>
        <v>2.8333333333333335E-2</v>
      </c>
      <c r="AE1959" s="142">
        <f>B1959*IBGE_2!AE$1959/100</f>
        <v>0.5</v>
      </c>
      <c r="AF1959" s="142">
        <f>B1959*IBGE_2!AF$1959/100</f>
        <v>0.23333333333333331</v>
      </c>
      <c r="AG1959" s="142">
        <f>B1959*IBGE_2!AG$1959/100</f>
        <v>0.38666666666666666</v>
      </c>
      <c r="AH1959" s="142">
        <f>B1959*IBGE_2!AH$1959/100</f>
        <v>0.54666666666666675</v>
      </c>
      <c r="AI1959" s="142" t="s">
        <v>3047</v>
      </c>
      <c r="AJ1959" s="142">
        <f>B1959*IBGE_2!AJ$1959/100</f>
        <v>0.16666666666666663</v>
      </c>
      <c r="AK1959" s="142">
        <f>B1959*IBGE_2!AK$1959/100</f>
        <v>114.02833333333334</v>
      </c>
      <c r="AL1959" s="142">
        <f>B1959*IBGE_2!AL$1959/100</f>
        <v>1.666666666666667E-2</v>
      </c>
      <c r="AM1959" s="142" t="s">
        <v>3047</v>
      </c>
      <c r="AN1959" s="161"/>
    </row>
    <row r="1960" spans="1:40">
      <c r="A1960" s="143" t="s">
        <v>3020</v>
      </c>
      <c r="B1960" s="141">
        <v>100</v>
      </c>
      <c r="C1960" s="142">
        <f>B1960*IBGE_2!C$1960/100</f>
        <v>369.83333333333326</v>
      </c>
      <c r="D1960" s="142">
        <f>B1960*IBGE_2!D$1960/100</f>
        <v>6.8166666666666664</v>
      </c>
      <c r="E1960" s="142">
        <f>B1960*IBGE_2!E$1960/100</f>
        <v>16</v>
      </c>
      <c r="F1960" s="142">
        <f>B1960*IBGE_2!F$1960/100</f>
        <v>3.6166666666666667</v>
      </c>
      <c r="G1960" s="142">
        <f>B1960*IBGE_2!G$1960/100</f>
        <v>7.3</v>
      </c>
      <c r="H1960" s="142">
        <f>B1960*IBGE_2!H$1960/100</f>
        <v>4.0666666666666664</v>
      </c>
      <c r="I1960" s="142">
        <f>B1960*IBGE_2!I$1960/100</f>
        <v>3.8166666666666669</v>
      </c>
      <c r="J1960" s="142">
        <f>B1960*IBGE_2!J$1960/100</f>
        <v>0.28333333333333333</v>
      </c>
      <c r="K1960" s="142" t="s">
        <v>3047</v>
      </c>
      <c r="L1960" s="142">
        <f>B1960*IBGE_2!L$1960/100</f>
        <v>48.983333333333327</v>
      </c>
      <c r="M1960" s="142">
        <f>B1960*IBGE_2!M$1960/100</f>
        <v>1.9166666666666665</v>
      </c>
      <c r="N1960" s="142">
        <f>B1960*IBGE_2!N$1960/100</f>
        <v>18.333333333333332</v>
      </c>
      <c r="O1960" s="142">
        <f>B1960*IBGE_2!O$1960/100</f>
        <v>21.333333333333329</v>
      </c>
      <c r="P1960" s="142">
        <f>B1960*IBGE_2!P$1960/100</f>
        <v>0.38333333333333336</v>
      </c>
      <c r="Q1960" s="142">
        <f>B1960*IBGE_2!Q$1960/100</f>
        <v>83</v>
      </c>
      <c r="R1960" s="142">
        <f>B1960*IBGE_2!R$1960/100</f>
        <v>0.83333333333333348</v>
      </c>
      <c r="S1960" s="142">
        <f>B1960*IBGE_2!S$1960/100</f>
        <v>697.16666666666652</v>
      </c>
      <c r="T1960" s="142">
        <f>B1960*IBGE_2!T$1960/100</f>
        <v>125.33333333333331</v>
      </c>
      <c r="U1960" s="142">
        <f>B1960*IBGE_2!U$1960/100</f>
        <v>0.115</v>
      </c>
      <c r="V1960" s="142">
        <f>B1960*IBGE_2!V$1960/100</f>
        <v>0.7</v>
      </c>
      <c r="W1960" s="142">
        <f>B1960*IBGE_2!W$1960/100</f>
        <v>139.16666666666666</v>
      </c>
      <c r="X1960" s="142">
        <f>B1960*IBGE_2!X$1960/100</f>
        <v>0.32666666666666672</v>
      </c>
      <c r="Y1960" s="142">
        <f>B1960*IBGE_2!Y$1960/100</f>
        <v>0.56499999999999995</v>
      </c>
      <c r="Z1960" s="142">
        <f>B1960*IBGE_2!Z$1960/100</f>
        <v>0.50166666666666659</v>
      </c>
      <c r="AA1960" s="142">
        <f>B1960*IBGE_2!AA$1960/100</f>
        <v>1.9533333333333331</v>
      </c>
      <c r="AB1960" s="142">
        <f>B1960*IBGE_2!AB$1960/100</f>
        <v>3.333333333333334E-2</v>
      </c>
      <c r="AC1960" s="142">
        <f>B1960*IBGE_2!AC$1960/100</f>
        <v>3.6666666666666667E-2</v>
      </c>
      <c r="AD1960" s="142">
        <f>B1960*IBGE_2!AD$1960/100</f>
        <v>1.666666666666667E-2</v>
      </c>
      <c r="AE1960" s="142">
        <f>B1960*IBGE_2!AE$1960/100</f>
        <v>0.16666666666666663</v>
      </c>
      <c r="AF1960" s="142" t="s">
        <v>3047</v>
      </c>
      <c r="AG1960" s="142">
        <f>B1960*IBGE_2!AG$1960/100</f>
        <v>0.51666666666666683</v>
      </c>
      <c r="AH1960" s="142">
        <f>B1960*IBGE_2!AH$1960/100</f>
        <v>4.3066666666666675</v>
      </c>
      <c r="AI1960" s="142" t="s">
        <v>3047</v>
      </c>
      <c r="AJ1960" s="142" t="s">
        <v>3047</v>
      </c>
      <c r="AK1960" s="142">
        <f>B1960*IBGE_2!AK$1960/100</f>
        <v>143.40333333333334</v>
      </c>
      <c r="AL1960" s="142">
        <f>B1960*IBGE_2!AL$1960/100</f>
        <v>0.15</v>
      </c>
      <c r="AM1960" s="142" t="s">
        <v>3047</v>
      </c>
      <c r="AN1960" s="161"/>
    </row>
    <row r="1961" spans="1:40">
      <c r="A1961" s="143" t="s">
        <v>3021</v>
      </c>
      <c r="B1961" s="141">
        <v>100</v>
      </c>
      <c r="C1961" s="142">
        <f>B1961*IBGE_2!C$1961/100</f>
        <v>261.2955</v>
      </c>
      <c r="D1961" s="142">
        <f>B1961*IBGE_2!D$1961/100</f>
        <v>10.837</v>
      </c>
      <c r="E1961" s="142">
        <f>B1961*IBGE_2!E$1961/100</f>
        <v>10.377000000000001</v>
      </c>
      <c r="F1961" s="142">
        <f>B1961*IBGE_2!F$1961/100</f>
        <v>2.7545000000000006</v>
      </c>
      <c r="G1961" s="142">
        <f>B1961*IBGE_2!G$1961/100</f>
        <v>3.363</v>
      </c>
      <c r="H1961" s="142">
        <f>B1961*IBGE_2!H$1961/100</f>
        <v>2.8855</v>
      </c>
      <c r="I1961" s="142">
        <f>B1961*IBGE_2!I$1961/100</f>
        <v>2.5550000000000002</v>
      </c>
      <c r="J1961" s="142">
        <f>B1961*IBGE_2!J$1961/100</f>
        <v>0.247</v>
      </c>
      <c r="K1961" s="142">
        <f>B1961*IBGE_2!K$1961/100</f>
        <v>230.435</v>
      </c>
      <c r="L1961" s="142">
        <f>B1961*IBGE_2!L$1961/100</f>
        <v>29.9085</v>
      </c>
      <c r="M1961" s="142">
        <f>B1961*IBGE_2!M$1961/100</f>
        <v>1.1499999999999999</v>
      </c>
      <c r="N1961" s="142">
        <f>B1961*IBGE_2!N$1961/100</f>
        <v>35.173999999999999</v>
      </c>
      <c r="O1961" s="142">
        <f>B1961*IBGE_2!O$1961/100</f>
        <v>17.934999999999999</v>
      </c>
      <c r="P1961" s="142">
        <f>B1961*IBGE_2!P$1961/100</f>
        <v>0.24400000000000002</v>
      </c>
      <c r="Q1961" s="142">
        <f>B1961*IBGE_2!Q$1961/100</f>
        <v>140.9785</v>
      </c>
      <c r="R1961" s="142">
        <f>B1961*IBGE_2!R$1961/100</f>
        <v>1.1484999999999999</v>
      </c>
      <c r="S1961" s="142">
        <f>B1961*IBGE_2!S$1961/100</f>
        <v>391.39150000000001</v>
      </c>
      <c r="T1961" s="142">
        <f>B1961*IBGE_2!T$1961/100</f>
        <v>139.4785</v>
      </c>
      <c r="U1961" s="142">
        <f>B1961*IBGE_2!U$1961/100</f>
        <v>7.2000000000000008E-2</v>
      </c>
      <c r="V1961" s="142">
        <f>B1961*IBGE_2!V$1961/100</f>
        <v>0.97099999999999997</v>
      </c>
      <c r="W1961" s="142">
        <f>B1961*IBGE_2!W$1961/100</f>
        <v>92.804500000000004</v>
      </c>
      <c r="X1961" s="142">
        <f>B1961*IBGE_2!X$1961/100</f>
        <v>0.23100000000000001</v>
      </c>
      <c r="Y1961" s="142">
        <f>B1961*IBGE_2!Y$1961/100</f>
        <v>0.6140000000000001</v>
      </c>
      <c r="Z1961" s="142">
        <f>B1961*IBGE_2!Z$1961/100</f>
        <v>0.36599999999999999</v>
      </c>
      <c r="AA1961" s="142">
        <f>B1961*IBGE_2!AA$1961/100</f>
        <v>1.2050000000000001</v>
      </c>
      <c r="AB1961" s="142" t="s">
        <v>3047</v>
      </c>
      <c r="AC1961" s="142">
        <f>B1961*IBGE_2!AC$1961/100</f>
        <v>1.4205000000000001</v>
      </c>
      <c r="AD1961" s="142">
        <f>B1961*IBGE_2!AD$1961/100</f>
        <v>0.60350000000000004</v>
      </c>
      <c r="AE1961" s="142">
        <f>B1961*IBGE_2!AE$1961/100</f>
        <v>23.913</v>
      </c>
      <c r="AF1961" s="142">
        <f>B1961*IBGE_2!AF$1961/100</f>
        <v>0.69550000000000001</v>
      </c>
      <c r="AG1961" s="142">
        <f>B1961*IBGE_2!AG$1961/100</f>
        <v>0.81</v>
      </c>
      <c r="AH1961" s="142">
        <f>B1961*IBGE_2!AH$1961/100</f>
        <v>1.6500000000000001E-2</v>
      </c>
      <c r="AI1961" s="142">
        <f>B1961*IBGE_2!AI$1961/100</f>
        <v>102.5</v>
      </c>
      <c r="AJ1961" s="142">
        <f>B1961*IBGE_2!AJ$1961/100</f>
        <v>18.141999999999999</v>
      </c>
      <c r="AK1961" s="142">
        <f>B1961*IBGE_2!AK$1961/100</f>
        <v>92.028999999999996</v>
      </c>
      <c r="AL1961" s="142">
        <f>B1961*IBGE_2!AL$1961/100</f>
        <v>0.66299999999999992</v>
      </c>
      <c r="AM1961" s="142" t="s">
        <v>3047</v>
      </c>
      <c r="AN1961" s="161"/>
    </row>
    <row r="1962" spans="1:40">
      <c r="A1962" s="143" t="s">
        <v>3022</v>
      </c>
      <c r="B1962" s="141">
        <v>100</v>
      </c>
      <c r="C1962" s="142">
        <f>B1962*IBGE_2!C$1962/100</f>
        <v>188.19799999999998</v>
      </c>
      <c r="D1962" s="142">
        <f>B1962*IBGE_2!D$1962/100</f>
        <v>12.965</v>
      </c>
      <c r="E1962" s="142">
        <f>B1962*IBGE_2!E$1962/100</f>
        <v>10.497</v>
      </c>
      <c r="F1962" s="142">
        <f>B1962*IBGE_2!F$1962/100</f>
        <v>3.31</v>
      </c>
      <c r="G1962" s="142">
        <f>B1962*IBGE_2!G$1962/100</f>
        <v>4.1260000000000003</v>
      </c>
      <c r="H1962" s="142">
        <f>B1962*IBGE_2!H$1962/100</f>
        <v>1.909</v>
      </c>
      <c r="I1962" s="142">
        <f>B1962*IBGE_2!I$1962/100</f>
        <v>1.619</v>
      </c>
      <c r="J1962" s="142">
        <f>B1962*IBGE_2!J$1962/100</f>
        <v>0.27300000000000002</v>
      </c>
      <c r="K1962" s="142">
        <f>B1962*IBGE_2!K$1962/100</f>
        <v>37.5</v>
      </c>
      <c r="L1962" s="142">
        <f>B1962*IBGE_2!L$1962/100</f>
        <v>10.005000000000001</v>
      </c>
      <c r="M1962" s="142">
        <f>B1962*IBGE_2!M$1962/100</f>
        <v>1.0249999999999999</v>
      </c>
      <c r="N1962" s="142">
        <f>B1962*IBGE_2!N$1962/100</f>
        <v>8</v>
      </c>
      <c r="O1962" s="142">
        <f>B1962*IBGE_2!O$1962/100</f>
        <v>20</v>
      </c>
      <c r="P1962" s="142">
        <f>B1962*IBGE_2!P$1962/100</f>
        <v>7.0999999999999994E-2</v>
      </c>
      <c r="Q1962" s="142">
        <f>B1962*IBGE_2!Q$1962/100</f>
        <v>118</v>
      </c>
      <c r="R1962" s="142">
        <f>B1962*IBGE_2!R$1962/100</f>
        <v>1.5609999999999999</v>
      </c>
      <c r="S1962" s="142">
        <f>B1962*IBGE_2!S$1962/100</f>
        <v>36</v>
      </c>
      <c r="T1962" s="142">
        <f>B1962*IBGE_2!T$1962/100</f>
        <v>332.5</v>
      </c>
      <c r="U1962" s="142">
        <f>B1962*IBGE_2!U$1962/100</f>
        <v>0.13</v>
      </c>
      <c r="V1962" s="142">
        <f>B1962*IBGE_2!V$1962/100</f>
        <v>2.99</v>
      </c>
      <c r="W1962" s="142" t="s">
        <v>3047</v>
      </c>
      <c r="X1962" s="142">
        <f>B1962*IBGE_2!X$1962/100</f>
        <v>0.09</v>
      </c>
      <c r="Y1962" s="142">
        <f>B1962*IBGE_2!Y$1962/100</f>
        <v>0.12300000000000001</v>
      </c>
      <c r="Z1962" s="142">
        <f>B1962*IBGE_2!Z$1962/100</f>
        <v>0.26200000000000001</v>
      </c>
      <c r="AA1962" s="142">
        <f>B1962*IBGE_2!AA$1962/100</f>
        <v>2.2599999999999998</v>
      </c>
      <c r="AB1962" s="142">
        <f>B1962*IBGE_2!AB$1962/100</f>
        <v>3.7</v>
      </c>
      <c r="AC1962" s="142">
        <f>B1962*IBGE_2!AC$1962/100</f>
        <v>4.6680000000000001</v>
      </c>
      <c r="AD1962" s="142">
        <f>B1962*IBGE_2!AD$1962/100</f>
        <v>1.415</v>
      </c>
      <c r="AE1962" s="142">
        <f>B1962*IBGE_2!AE$1962/100</f>
        <v>9</v>
      </c>
      <c r="AF1962" s="142">
        <f>B1962*IBGE_2!AF$1962/100</f>
        <v>0.35</v>
      </c>
      <c r="AG1962" s="142">
        <f>B1962*IBGE_2!AG$1962/100</f>
        <v>0.32400000000000001</v>
      </c>
      <c r="AH1962" s="142">
        <f>B1962*IBGE_2!AH$1962/100</f>
        <v>0.35499999999999998</v>
      </c>
      <c r="AI1962" s="142">
        <f>B1962*IBGE_2!AI$1962/100</f>
        <v>287</v>
      </c>
      <c r="AJ1962" s="142">
        <f>B1962*IBGE_2!AJ$1962/100</f>
        <v>15.554</v>
      </c>
      <c r="AK1962" s="142">
        <f>B1962*IBGE_2!AK$1962/100</f>
        <v>8.3000000000000004E-2</v>
      </c>
      <c r="AL1962" s="142">
        <f>B1962*IBGE_2!AL$1962/100</f>
        <v>0.43</v>
      </c>
      <c r="AM1962" s="142" t="s">
        <v>3047</v>
      </c>
      <c r="AN1962" s="161"/>
    </row>
    <row r="1963" spans="1:40">
      <c r="A1963" s="143" t="s">
        <v>3023</v>
      </c>
      <c r="B1963" s="141">
        <v>100</v>
      </c>
      <c r="C1963" s="142">
        <f>B1963*IBGE_2!C$1963/100</f>
        <v>150.523</v>
      </c>
      <c r="D1963" s="142">
        <f>B1963*IBGE_2!D$1963/100</f>
        <v>12.47</v>
      </c>
      <c r="E1963" s="142">
        <f>B1963*IBGE_2!E$1963/100</f>
        <v>9.9529999999999994</v>
      </c>
      <c r="F1963" s="142">
        <f>B1963*IBGE_2!F$1963/100</f>
        <v>3.2330000000000001</v>
      </c>
      <c r="G1963" s="142">
        <f>B1963*IBGE_2!G$1963/100</f>
        <v>4.0090000000000003</v>
      </c>
      <c r="H1963" s="142">
        <f>B1963*IBGE_2!H$1963/100</f>
        <v>1.5840000000000001</v>
      </c>
      <c r="I1963" s="142">
        <f>B1963*IBGE_2!I$1963/100</f>
        <v>1.3340000000000001</v>
      </c>
      <c r="J1963" s="142">
        <f>B1963*IBGE_2!J$1963/100</f>
        <v>0.23300000000000001</v>
      </c>
      <c r="K1963" s="142">
        <f>B1963*IBGE_2!K$1963/100</f>
        <v>37.5</v>
      </c>
      <c r="L1963" s="142">
        <f>B1963*IBGE_2!L$1963/100</f>
        <v>2.4500000000000002</v>
      </c>
      <c r="M1963" s="142">
        <f>B1963*IBGE_2!M$1963/100</f>
        <v>0.55000000000000004</v>
      </c>
      <c r="N1963" s="142">
        <f>B1963*IBGE_2!N$1963/100</f>
        <v>11.5</v>
      </c>
      <c r="O1963" s="142">
        <f>B1963*IBGE_2!O$1963/100</f>
        <v>14.5</v>
      </c>
      <c r="P1963" s="142">
        <f>B1963*IBGE_2!P$1963/100</f>
        <v>4.4999999999999998E-2</v>
      </c>
      <c r="Q1963" s="142">
        <f>B1963*IBGE_2!Q$1963/100</f>
        <v>113</v>
      </c>
      <c r="R1963" s="142">
        <f>B1963*IBGE_2!R$1963/100</f>
        <v>1.6909999999999998</v>
      </c>
      <c r="S1963" s="142">
        <f>B1963*IBGE_2!S$1963/100</f>
        <v>34</v>
      </c>
      <c r="T1963" s="142">
        <f>B1963*IBGE_2!T$1963/100</f>
        <v>283.5</v>
      </c>
      <c r="U1963" s="142">
        <f>B1963*IBGE_2!U$1963/100</f>
        <v>9.1999999999999998E-2</v>
      </c>
      <c r="V1963" s="142">
        <f>B1963*IBGE_2!V$1963/100</f>
        <v>2.97</v>
      </c>
      <c r="W1963" s="142" t="s">
        <v>3047</v>
      </c>
      <c r="X1963" s="142">
        <f>B1963*IBGE_2!X$1963/100</f>
        <v>5.6000000000000008E-2</v>
      </c>
      <c r="Y1963" s="142">
        <f>B1963*IBGE_2!Y$1963/100</f>
        <v>0.152</v>
      </c>
      <c r="Z1963" s="142">
        <f>B1963*IBGE_2!Z$1963/100</f>
        <v>0.15</v>
      </c>
      <c r="AA1963" s="142">
        <f>B1963*IBGE_2!AA$1963/100</f>
        <v>1.81</v>
      </c>
      <c r="AB1963" s="142">
        <f>B1963*IBGE_2!AB$1963/100</f>
        <v>2.35</v>
      </c>
      <c r="AC1963" s="142">
        <f>B1963*IBGE_2!AC$1963/100</f>
        <v>4.0679999999999996</v>
      </c>
      <c r="AD1963" s="142">
        <f>B1963*IBGE_2!AD$1963/100</f>
        <v>1.415</v>
      </c>
      <c r="AE1963" s="142">
        <f>B1963*IBGE_2!AE$1963/100</f>
        <v>9</v>
      </c>
      <c r="AF1963" s="142">
        <f>B1963*IBGE_2!AF$1963/100</f>
        <v>0.35</v>
      </c>
      <c r="AG1963" s="142">
        <f>B1963*IBGE_2!AG$1963/100</f>
        <v>0.65100000000000013</v>
      </c>
      <c r="AH1963" s="142">
        <f>B1963*IBGE_2!AH$1963/100</f>
        <v>0.35199999999999998</v>
      </c>
      <c r="AI1963" s="142">
        <f>B1963*IBGE_2!AI$1963/100</f>
        <v>243</v>
      </c>
      <c r="AJ1963" s="142">
        <f>B1963*IBGE_2!AJ$1963/100</f>
        <v>15.262</v>
      </c>
      <c r="AK1963" s="142">
        <f>B1963*IBGE_2!AK$1963/100</f>
        <v>124.792</v>
      </c>
      <c r="AL1963" s="142">
        <f>B1963*IBGE_2!AL$1963/100</f>
        <v>1.65</v>
      </c>
      <c r="AM1963" s="142" t="s">
        <v>3047</v>
      </c>
      <c r="AN1963" s="161"/>
    </row>
    <row r="1964" spans="1:40">
      <c r="A1964" s="143" t="s">
        <v>3024</v>
      </c>
      <c r="B1964" s="141">
        <v>100</v>
      </c>
      <c r="C1964" s="142">
        <f>B1964*IBGE_2!C$1964/100</f>
        <v>153.69800000000001</v>
      </c>
      <c r="D1964" s="142">
        <f>B1964*IBGE_2!D$1964/100</f>
        <v>16.309999999999999</v>
      </c>
      <c r="E1964" s="142">
        <f>B1964*IBGE_2!E$1964/100</f>
        <v>5.0419999999999998</v>
      </c>
      <c r="F1964" s="142">
        <f>B1964*IBGE_2!F$1964/100</f>
        <v>1.0760000000000001</v>
      </c>
      <c r="G1964" s="142">
        <f>B1964*IBGE_2!G$1964/100</f>
        <v>1.395</v>
      </c>
      <c r="H1964" s="142">
        <f>B1964*IBGE_2!H$1964/100</f>
        <v>2.0920000000000001</v>
      </c>
      <c r="I1964" s="142">
        <f>B1964*IBGE_2!I$1964/100</f>
        <v>1.7809999999999999</v>
      </c>
      <c r="J1964" s="142">
        <f>B1964*IBGE_2!J$1964/100</f>
        <v>0.21099999999999997</v>
      </c>
      <c r="K1964" s="142">
        <f>B1964*IBGE_2!K$1964/100</f>
        <v>42.5</v>
      </c>
      <c r="L1964" s="142">
        <f>B1964*IBGE_2!L$1964/100</f>
        <v>10.005000000000001</v>
      </c>
      <c r="M1964" s="142">
        <f>B1964*IBGE_2!M$1964/100</f>
        <v>1.0249999999999999</v>
      </c>
      <c r="N1964" s="142">
        <f>B1964*IBGE_2!N$1964/100</f>
        <v>11.5</v>
      </c>
      <c r="O1964" s="142">
        <f>B1964*IBGE_2!O$1964/100</f>
        <v>23.5</v>
      </c>
      <c r="P1964" s="142">
        <f>B1964*IBGE_2!P$1964/100</f>
        <v>7.9000000000000001E-2</v>
      </c>
      <c r="Q1964" s="142">
        <f>B1964*IBGE_2!Q$1964/100</f>
        <v>128</v>
      </c>
      <c r="R1964" s="142">
        <f>B1964*IBGE_2!R$1964/100</f>
        <v>0.68600000000000005</v>
      </c>
      <c r="S1964" s="142">
        <f>B1964*IBGE_2!S$1964/100</f>
        <v>41</v>
      </c>
      <c r="T1964" s="142">
        <f>B1964*IBGE_2!T$1964/100</f>
        <v>287.5</v>
      </c>
      <c r="U1964" s="142">
        <f>B1964*IBGE_2!U$1964/100</f>
        <v>0.109</v>
      </c>
      <c r="V1964" s="142">
        <f>B1964*IBGE_2!V$1964/100</f>
        <v>0.75</v>
      </c>
      <c r="W1964" s="142">
        <f>B1964*IBGE_2!W$1964/100</f>
        <v>4.5</v>
      </c>
      <c r="X1964" s="142">
        <f>B1964*IBGE_2!X$1964/100</f>
        <v>8.2000000000000017E-2</v>
      </c>
      <c r="Y1964" s="142">
        <f>B1964*IBGE_2!Y$1964/100</f>
        <v>6.8000000000000005E-2</v>
      </c>
      <c r="Z1964" s="142">
        <f>B1964*IBGE_2!Z$1964/100</f>
        <v>0.435</v>
      </c>
      <c r="AA1964" s="142">
        <f>B1964*IBGE_2!AA$1964/100</f>
        <v>6.8659999999999988</v>
      </c>
      <c r="AB1964" s="142">
        <f>B1964*IBGE_2!AB$1964/100</f>
        <v>3.7</v>
      </c>
      <c r="AC1964" s="142">
        <f>B1964*IBGE_2!AC$1964/100</f>
        <v>10.1</v>
      </c>
      <c r="AD1964" s="142">
        <f>B1964*IBGE_2!AD$1964/100</f>
        <v>0.17</v>
      </c>
      <c r="AE1964" s="142">
        <f>B1964*IBGE_2!AE$1964/100</f>
        <v>6.5</v>
      </c>
      <c r="AF1964" s="142">
        <f>B1964*IBGE_2!AF$1964/100</f>
        <v>0.1</v>
      </c>
      <c r="AG1964" s="142">
        <f>B1964*IBGE_2!AG$1964/100</f>
        <v>0.38900000000000001</v>
      </c>
      <c r="AH1964" s="142">
        <f>B1964*IBGE_2!AH$1964/100</f>
        <v>0.06</v>
      </c>
      <c r="AI1964" s="142">
        <f>B1964*IBGE_2!AI$1964/100</f>
        <v>287</v>
      </c>
      <c r="AJ1964" s="142">
        <f>B1964*IBGE_2!AJ$1964/100</f>
        <v>13.603999999999999</v>
      </c>
      <c r="AK1964" s="142">
        <f>B1964*IBGE_2!AK$1964/100</f>
        <v>4.5830000000000002</v>
      </c>
      <c r="AL1964" s="142">
        <f>B1964*IBGE_2!AL$1964/100</f>
        <v>0.43</v>
      </c>
      <c r="AM1964" s="142" t="s">
        <v>3047</v>
      </c>
      <c r="AN1964" s="161"/>
    </row>
    <row r="1965" spans="1:40">
      <c r="A1965" s="143" t="s">
        <v>3025</v>
      </c>
      <c r="B1965" s="141">
        <v>100</v>
      </c>
      <c r="C1965" s="142">
        <f>B1965*IBGE_2!C$1965/100</f>
        <v>116.023</v>
      </c>
      <c r="D1965" s="142">
        <f>B1965*IBGE_2!D$1965/100</f>
        <v>15.815</v>
      </c>
      <c r="E1965" s="142">
        <f>B1965*IBGE_2!E$1965/100</f>
        <v>4.4980000000000002</v>
      </c>
      <c r="F1965" s="142">
        <f>B1965*IBGE_2!F$1965/100</f>
        <v>0.99900000000000011</v>
      </c>
      <c r="G1965" s="142">
        <f>B1965*IBGE_2!G$1965/100</f>
        <v>1.278</v>
      </c>
      <c r="H1965" s="142">
        <f>B1965*IBGE_2!H$1965/100</f>
        <v>1.7669999999999999</v>
      </c>
      <c r="I1965" s="142">
        <f>B1965*IBGE_2!I$1965/100</f>
        <v>1.496</v>
      </c>
      <c r="J1965" s="142">
        <f>B1965*IBGE_2!J$1965/100</f>
        <v>0.17100000000000001</v>
      </c>
      <c r="K1965" s="142">
        <f>B1965*IBGE_2!K$1965/100</f>
        <v>42.5</v>
      </c>
      <c r="L1965" s="142">
        <f>B1965*IBGE_2!L$1965/100</f>
        <v>2.4500000000000002</v>
      </c>
      <c r="M1965" s="142">
        <f>B1965*IBGE_2!M$1965/100</f>
        <v>0.55000000000000004</v>
      </c>
      <c r="N1965" s="142">
        <f>B1965*IBGE_2!N$1965/100</f>
        <v>15</v>
      </c>
      <c r="O1965" s="142">
        <f>B1965*IBGE_2!O$1965/100</f>
        <v>18</v>
      </c>
      <c r="P1965" s="142">
        <f>B1965*IBGE_2!P$1965/100</f>
        <v>5.2999999999999999E-2</v>
      </c>
      <c r="Q1965" s="142">
        <f>B1965*IBGE_2!Q$1965/100</f>
        <v>123</v>
      </c>
      <c r="R1965" s="142">
        <f>B1965*IBGE_2!R$1965/100</f>
        <v>0.81599999999999995</v>
      </c>
      <c r="S1965" s="142">
        <f>B1965*IBGE_2!S$1965/100</f>
        <v>39</v>
      </c>
      <c r="T1965" s="142">
        <f>B1965*IBGE_2!T$1965/100</f>
        <v>238.5</v>
      </c>
      <c r="U1965" s="142">
        <f>B1965*IBGE_2!U$1965/100</f>
        <v>7.0999999999999994E-2</v>
      </c>
      <c r="V1965" s="142">
        <f>B1965*IBGE_2!V$1965/100</f>
        <v>0.73</v>
      </c>
      <c r="W1965" s="142">
        <f>B1965*IBGE_2!W$1965/100</f>
        <v>4.5</v>
      </c>
      <c r="X1965" s="142">
        <f>B1965*IBGE_2!X$1965/100</f>
        <v>4.8000000000000001E-2</v>
      </c>
      <c r="Y1965" s="142">
        <f>B1965*IBGE_2!Y$1965/100</f>
        <v>9.7000000000000017E-2</v>
      </c>
      <c r="Z1965" s="142">
        <f>B1965*IBGE_2!Z$1965/100</f>
        <v>0.32200000000000001</v>
      </c>
      <c r="AA1965" s="142">
        <f>B1965*IBGE_2!AA$1965/100</f>
        <v>6.4169999999999989</v>
      </c>
      <c r="AB1965" s="142">
        <f>B1965*IBGE_2!AB$1965/100</f>
        <v>2.35</v>
      </c>
      <c r="AC1965" s="142">
        <f>B1965*IBGE_2!AC$1965/100</f>
        <v>9.5</v>
      </c>
      <c r="AD1965" s="142">
        <f>B1965*IBGE_2!AD$1965/100</f>
        <v>0.17</v>
      </c>
      <c r="AE1965" s="142">
        <f>B1965*IBGE_2!AE$1965/100</f>
        <v>6.5</v>
      </c>
      <c r="AF1965" s="142">
        <f>B1965*IBGE_2!AF$1965/100</f>
        <v>0.1</v>
      </c>
      <c r="AG1965" s="142">
        <f>B1965*IBGE_2!AG$1965/100</f>
        <v>0.71599999999999997</v>
      </c>
      <c r="AH1965" s="142">
        <f>B1965*IBGE_2!AH$1965/100</f>
        <v>5.7000000000000002E-2</v>
      </c>
      <c r="AI1965" s="142">
        <f>B1965*IBGE_2!AI$1965/100</f>
        <v>243</v>
      </c>
      <c r="AJ1965" s="142">
        <f>B1965*IBGE_2!AJ$1965/100</f>
        <v>13.312000000000001</v>
      </c>
      <c r="AK1965" s="142">
        <f>B1965*IBGE_2!AK$1965/100</f>
        <v>129.292</v>
      </c>
      <c r="AL1965" s="142">
        <f>B1965*IBGE_2!AL$1965/100</f>
        <v>1.65</v>
      </c>
      <c r="AM1965" s="142" t="s">
        <v>3047</v>
      </c>
      <c r="AN1965" s="161"/>
    </row>
    <row r="1966" spans="1:40">
      <c r="A1966" s="143" t="s">
        <v>3026</v>
      </c>
      <c r="B1966" s="141">
        <v>100</v>
      </c>
      <c r="C1966" s="142">
        <f>B1966*IBGE_2!C$1966/100</f>
        <v>21</v>
      </c>
      <c r="D1966" s="142">
        <f>B1966*IBGE_2!D$1966/100</f>
        <v>1.2949999999999999</v>
      </c>
      <c r="E1966" s="142">
        <f>B1966*IBGE_2!E$1966/100</f>
        <v>0.14000000000000001</v>
      </c>
      <c r="F1966" s="142">
        <f>B1966*IBGE_2!F$1966/100</f>
        <v>4.1000000000000009E-2</v>
      </c>
      <c r="G1966" s="142">
        <f>B1966*IBGE_2!G$1966/100</f>
        <v>1.9E-2</v>
      </c>
      <c r="H1966" s="142">
        <f>B1966*IBGE_2!H$1966/100</f>
        <v>2.5000000000000001E-2</v>
      </c>
      <c r="I1966" s="142">
        <f>B1966*IBGE_2!I$1966/100</f>
        <v>2.4E-2</v>
      </c>
      <c r="J1966" s="142">
        <f>B1966*IBGE_2!J$1966/100</f>
        <v>2E-3</v>
      </c>
      <c r="K1966" s="142" t="s">
        <v>3047</v>
      </c>
      <c r="L1966" s="142">
        <f>B1966*IBGE_2!L$1966/100</f>
        <v>4.7050000000000001</v>
      </c>
      <c r="M1966" s="142">
        <f>B1966*IBGE_2!M$1966/100</f>
        <v>1.8</v>
      </c>
      <c r="N1966" s="142">
        <f>B1966*IBGE_2!N$1966/100</f>
        <v>46</v>
      </c>
      <c r="O1966" s="142">
        <f>B1966*IBGE_2!O$1966/100</f>
        <v>22.5</v>
      </c>
      <c r="P1966" s="142">
        <f>B1966*IBGE_2!P$1966/100</f>
        <v>0.192</v>
      </c>
      <c r="Q1966" s="142">
        <f>B1966*IBGE_2!Q$1966/100</f>
        <v>31</v>
      </c>
      <c r="R1966" s="142">
        <f>B1966*IBGE_2!R$1966/100</f>
        <v>0.42499999999999999</v>
      </c>
      <c r="S1966" s="142">
        <f>B1966*IBGE_2!S$1966/100</f>
        <v>3.5</v>
      </c>
      <c r="T1966" s="142">
        <f>B1966*IBGE_2!T$1966/100</f>
        <v>182.5</v>
      </c>
      <c r="U1966" s="142">
        <f>B1966*IBGE_2!U$1966/100</f>
        <v>8.7999999999999995E-2</v>
      </c>
      <c r="V1966" s="142">
        <f>B1966*IBGE_2!V$1966/100</f>
        <v>0.33</v>
      </c>
      <c r="W1966" s="142" t="s">
        <v>3047</v>
      </c>
      <c r="X1966" s="142">
        <f>B1966*IBGE_2!X$1966/100</f>
        <v>8.2000000000000017E-2</v>
      </c>
      <c r="Y1966" s="142">
        <f>B1966*IBGE_2!Y$1966/100</f>
        <v>6.7000000000000004E-2</v>
      </c>
      <c r="Z1966" s="142">
        <f>B1966*IBGE_2!Z$1966/100</f>
        <v>0.11600000000000002</v>
      </c>
      <c r="AA1966" s="142">
        <f>B1966*IBGE_2!AA$1966/100</f>
        <v>0.64200000000000002</v>
      </c>
      <c r="AB1966" s="142">
        <f>B1966*IBGE_2!AB$1966/100</f>
        <v>10.5</v>
      </c>
      <c r="AC1966" s="142">
        <f>B1966*IBGE_2!AC$1966/100</f>
        <v>0.85</v>
      </c>
      <c r="AD1966" s="142" t="s">
        <v>3047</v>
      </c>
      <c r="AE1966" s="142">
        <f>B1966*IBGE_2!AE$1966/100</f>
        <v>27.5</v>
      </c>
      <c r="AF1966" s="142" t="s">
        <v>3047</v>
      </c>
      <c r="AG1966" s="142">
        <f>B1966*IBGE_2!AG$1966/100</f>
        <v>0.53500000000000003</v>
      </c>
      <c r="AH1966" s="142" t="s">
        <v>3047</v>
      </c>
      <c r="AI1966" s="142">
        <f>B1966*IBGE_2!AI$1966/100</f>
        <v>195</v>
      </c>
      <c r="AJ1966" s="142">
        <f>B1966*IBGE_2!AJ$1966/100</f>
        <v>0.3</v>
      </c>
      <c r="AK1966" s="142">
        <f>B1966*IBGE_2!AK$1966/100</f>
        <v>131.875</v>
      </c>
      <c r="AL1966" s="142">
        <f>B1966*IBGE_2!AL$1966/100</f>
        <v>2.778</v>
      </c>
      <c r="AM1966" s="142" t="s">
        <v>3047</v>
      </c>
      <c r="AN1966" s="161"/>
    </row>
    <row r="1967" spans="1:40">
      <c r="A1967" s="143" t="s">
        <v>3027</v>
      </c>
      <c r="B1967" s="141">
        <v>100</v>
      </c>
      <c r="C1967" s="142">
        <f>B1967*IBGE_2!C$1967/100</f>
        <v>154</v>
      </c>
      <c r="D1967" s="142">
        <f>B1967*IBGE_2!D$1967/100</f>
        <v>10.8</v>
      </c>
      <c r="E1967" s="142">
        <f>B1967*IBGE_2!E$1967/100</f>
        <v>7.1</v>
      </c>
      <c r="F1967" s="142">
        <f>B1967*IBGE_2!F$1967/100</f>
        <v>3.2</v>
      </c>
      <c r="G1967" s="142">
        <f>B1967*IBGE_2!G$1967/100</f>
        <v>3</v>
      </c>
      <c r="H1967" s="142">
        <f>B1967*IBGE_2!H$1967/100</f>
        <v>0.2</v>
      </c>
      <c r="I1967" s="142">
        <f>B1967*IBGE_2!I$1967/100</f>
        <v>0.16</v>
      </c>
      <c r="J1967" s="142">
        <f>B1967*IBGE_2!J$1967/100</f>
        <v>0.03</v>
      </c>
      <c r="K1967" s="142">
        <f>B1967*IBGE_2!K$1967/100</f>
        <v>36</v>
      </c>
      <c r="L1967" s="142">
        <f>B1967*IBGE_2!L$1967/100</f>
        <v>11.6</v>
      </c>
      <c r="M1967" s="142">
        <f>B1967*IBGE_2!M$1967/100</f>
        <v>1.5</v>
      </c>
      <c r="N1967" s="142">
        <f>B1967*IBGE_2!N$1967/100</f>
        <v>13</v>
      </c>
      <c r="O1967" s="142">
        <f>B1967*IBGE_2!O$1967/100</f>
        <v>9</v>
      </c>
      <c r="P1967" s="142">
        <f>B1967*IBGE_2!P$1967/100</f>
        <v>0.18</v>
      </c>
      <c r="Q1967" s="142">
        <f>B1967*IBGE_2!Q$1967/100</f>
        <v>48</v>
      </c>
      <c r="R1967" s="142">
        <f>B1967*IBGE_2!R$1967/100</f>
        <v>1</v>
      </c>
      <c r="S1967" s="142">
        <f>B1967*IBGE_2!S$1967/100</f>
        <v>1622</v>
      </c>
      <c r="T1967" s="142">
        <f>B1967*IBGE_2!T$1967/100</f>
        <v>87</v>
      </c>
      <c r="U1967" s="142">
        <f>B1967*IBGE_2!U$1967/100</f>
        <v>0.08</v>
      </c>
      <c r="V1967" s="142">
        <f>B1967*IBGE_2!V$1967/100</f>
        <v>2.7</v>
      </c>
      <c r="W1967" s="142" t="s">
        <v>3047</v>
      </c>
      <c r="X1967" s="142">
        <f>B1967*IBGE_2!X$1967/100</f>
        <v>0.03</v>
      </c>
      <c r="Y1967" s="142" t="s">
        <v>3047</v>
      </c>
      <c r="Z1967" s="142">
        <f>B1967*IBGE_2!Z$1967/100</f>
        <v>7.0000000000000007E-2</v>
      </c>
      <c r="AA1967" s="142" t="s">
        <v>3047</v>
      </c>
      <c r="AB1967" s="142" t="s">
        <v>3047</v>
      </c>
      <c r="AC1967" s="142" t="s">
        <v>3047</v>
      </c>
      <c r="AD1967" s="142" t="s">
        <v>3047</v>
      </c>
      <c r="AE1967" s="142" t="s">
        <v>3047</v>
      </c>
      <c r="AF1967" s="142" t="s">
        <v>3047</v>
      </c>
      <c r="AG1967" s="142" t="s">
        <v>3047</v>
      </c>
      <c r="AH1967" s="142" t="s">
        <v>3047</v>
      </c>
      <c r="AI1967" s="142" t="s">
        <v>3047</v>
      </c>
      <c r="AJ1967" s="142" t="s">
        <v>3047</v>
      </c>
      <c r="AK1967" s="142" t="s">
        <v>3047</v>
      </c>
      <c r="AL1967" s="142" t="s">
        <v>3047</v>
      </c>
      <c r="AM1967" s="142" t="s">
        <v>3047</v>
      </c>
      <c r="AN1967" s="161"/>
    </row>
    <row r="1968" spans="1:40">
      <c r="A1968" s="143" t="s">
        <v>3028</v>
      </c>
      <c r="B1968" s="141">
        <v>100</v>
      </c>
      <c r="C1968" s="142">
        <f>B1968*IBGE_2!C$1968/100</f>
        <v>154</v>
      </c>
      <c r="D1968" s="142">
        <f>B1968*IBGE_2!D$1968/100</f>
        <v>10.8</v>
      </c>
      <c r="E1968" s="142">
        <f>B1968*IBGE_2!E$1968/100</f>
        <v>7.1</v>
      </c>
      <c r="F1968" s="142">
        <f>B1968*IBGE_2!F$1968/100</f>
        <v>3.2</v>
      </c>
      <c r="G1968" s="142">
        <f>B1968*IBGE_2!G$1968/100</f>
        <v>3</v>
      </c>
      <c r="H1968" s="142">
        <f>B1968*IBGE_2!H$1968/100</f>
        <v>0.2</v>
      </c>
      <c r="I1968" s="142">
        <f>B1968*IBGE_2!I$1968/100</f>
        <v>0.16</v>
      </c>
      <c r="J1968" s="142">
        <f>B1968*IBGE_2!J$1968/100</f>
        <v>0.03</v>
      </c>
      <c r="K1968" s="142">
        <f>B1968*IBGE_2!K$1968/100</f>
        <v>36</v>
      </c>
      <c r="L1968" s="142">
        <f>B1968*IBGE_2!L$1968/100</f>
        <v>11.6</v>
      </c>
      <c r="M1968" s="142">
        <f>B1968*IBGE_2!M$1968/100</f>
        <v>1.5</v>
      </c>
      <c r="N1968" s="142">
        <f>B1968*IBGE_2!N$1968/100</f>
        <v>13</v>
      </c>
      <c r="O1968" s="142">
        <f>B1968*IBGE_2!O$1968/100</f>
        <v>9</v>
      </c>
      <c r="P1968" s="142">
        <f>B1968*IBGE_2!P$1968/100</f>
        <v>0.18</v>
      </c>
      <c r="Q1968" s="142">
        <f>B1968*IBGE_2!Q$1968/100</f>
        <v>48</v>
      </c>
      <c r="R1968" s="142">
        <f>B1968*IBGE_2!R$1968/100</f>
        <v>1</v>
      </c>
      <c r="S1968" s="142">
        <f>B1968*IBGE_2!S$1968/100</f>
        <v>1622</v>
      </c>
      <c r="T1968" s="142">
        <f>B1968*IBGE_2!T$1968/100</f>
        <v>87</v>
      </c>
      <c r="U1968" s="142">
        <f>B1968*IBGE_2!U$1968/100</f>
        <v>0.08</v>
      </c>
      <c r="V1968" s="142">
        <f>B1968*IBGE_2!V$1968/100</f>
        <v>2.7</v>
      </c>
      <c r="W1968" s="142" t="s">
        <v>3047</v>
      </c>
      <c r="X1968" s="142">
        <f>B1968*IBGE_2!X$1968/100</f>
        <v>0.03</v>
      </c>
      <c r="Y1968" s="142" t="s">
        <v>3047</v>
      </c>
      <c r="Z1968" s="142">
        <f>B1968*IBGE_2!Z$1968/100</f>
        <v>7.0000000000000007E-2</v>
      </c>
      <c r="AA1968" s="142" t="s">
        <v>3047</v>
      </c>
      <c r="AB1968" s="142" t="s">
        <v>3047</v>
      </c>
      <c r="AC1968" s="142" t="s">
        <v>3047</v>
      </c>
      <c r="AD1968" s="142" t="s">
        <v>3047</v>
      </c>
      <c r="AE1968" s="142" t="s">
        <v>3047</v>
      </c>
      <c r="AF1968" s="142" t="s">
        <v>3047</v>
      </c>
      <c r="AG1968" s="142" t="s">
        <v>3047</v>
      </c>
      <c r="AH1968" s="142" t="s">
        <v>3047</v>
      </c>
      <c r="AI1968" s="142" t="s">
        <v>3047</v>
      </c>
      <c r="AJ1968" s="142" t="s">
        <v>3047</v>
      </c>
      <c r="AK1968" s="142" t="s">
        <v>3047</v>
      </c>
      <c r="AL1968" s="142" t="s">
        <v>3047</v>
      </c>
      <c r="AM1968" s="142" t="s">
        <v>3047</v>
      </c>
      <c r="AN1968" s="161"/>
    </row>
    <row r="1969" spans="1:40">
      <c r="A1969" s="143" t="s">
        <v>3029</v>
      </c>
      <c r="B1969" s="141">
        <v>100</v>
      </c>
      <c r="C1969" s="142">
        <f>B1969*IBGE_2!C$1969/100</f>
        <v>142.422</v>
      </c>
      <c r="D1969" s="142">
        <f>B1969*IBGE_2!D$1969/100</f>
        <v>2.98</v>
      </c>
      <c r="E1969" s="142">
        <f>B1969*IBGE_2!E$1969/100</f>
        <v>4.1740000000000004</v>
      </c>
      <c r="F1969" s="142">
        <f>B1969*IBGE_2!F$1969/100</f>
        <v>1.0489999999999999</v>
      </c>
      <c r="G1969" s="142">
        <f>B1969*IBGE_2!G$1969/100</f>
        <v>0.98499999999999999</v>
      </c>
      <c r="H1969" s="142">
        <f>B1969*IBGE_2!H$1969/100</f>
        <v>1.885</v>
      </c>
      <c r="I1969" s="142">
        <f>B1969*IBGE_2!I$1969/100</f>
        <v>1.6459999999999999</v>
      </c>
      <c r="J1969" s="142">
        <f>B1969*IBGE_2!J$1969/100</f>
        <v>0.23799999999999996</v>
      </c>
      <c r="K1969" s="142">
        <f>B1969*IBGE_2!K$1969/100</f>
        <v>2.7440000000000002</v>
      </c>
      <c r="L1969" s="142">
        <f>B1969*IBGE_2!L$1969/100</f>
        <v>22.622</v>
      </c>
      <c r="M1969" s="142">
        <f>B1969*IBGE_2!M$1969/100</f>
        <v>0.30299999999999999</v>
      </c>
      <c r="N1969" s="142">
        <f>B1969*IBGE_2!N$1969/100</f>
        <v>38.74</v>
      </c>
      <c r="O1969" s="142">
        <f>B1969*IBGE_2!O$1969/100</f>
        <v>11.725</v>
      </c>
      <c r="P1969" s="142">
        <f>B1969*IBGE_2!P$1969/100</f>
        <v>0.35099999999999992</v>
      </c>
      <c r="Q1969" s="142">
        <f>B1969*IBGE_2!Q$1969/100</f>
        <v>57.481000000000002</v>
      </c>
      <c r="R1969" s="142">
        <f>B1969*IBGE_2!R$1969/100</f>
        <v>0.95599999999999996</v>
      </c>
      <c r="S1969" s="142">
        <f>B1969*IBGE_2!S$1969/100</f>
        <v>391.85400000000004</v>
      </c>
      <c r="T1969" s="142">
        <f>B1969*IBGE_2!T$1969/100</f>
        <v>66.436999999999998</v>
      </c>
      <c r="U1969" s="142">
        <f>B1969*IBGE_2!U$1969/100</f>
        <v>5.5E-2</v>
      </c>
      <c r="V1969" s="142">
        <f>B1969*IBGE_2!V$1969/100</f>
        <v>0.47199999999999998</v>
      </c>
      <c r="W1969" s="142">
        <f>B1969*IBGE_2!W$1969/100</f>
        <v>7.6829999999999998</v>
      </c>
      <c r="X1969" s="142">
        <f>B1969*IBGE_2!X$1969/100</f>
        <v>0.14199999999999999</v>
      </c>
      <c r="Y1969" s="142">
        <f>B1969*IBGE_2!Y$1969/100</f>
        <v>6.8000000000000005E-2</v>
      </c>
      <c r="Z1969" s="142">
        <f>B1969*IBGE_2!Z$1969/100</f>
        <v>7.6999999999999999E-2</v>
      </c>
      <c r="AA1969" s="142">
        <f>B1969*IBGE_2!AA$1969/100</f>
        <v>1.1830000000000001</v>
      </c>
      <c r="AB1969" s="142">
        <f>B1969*IBGE_2!AB$1969/100</f>
        <v>6.0000000000000001E-3</v>
      </c>
      <c r="AC1969" s="142">
        <f>B1969*IBGE_2!AC$1969/100</f>
        <v>1.93</v>
      </c>
      <c r="AD1969" s="142">
        <f>B1969*IBGE_2!AD$1969/100</f>
        <v>0.121</v>
      </c>
      <c r="AE1969" s="142">
        <f>B1969*IBGE_2!AE$1969/100</f>
        <v>35.380000000000003</v>
      </c>
      <c r="AF1969" s="142">
        <f>B1969*IBGE_2!AF$1969/100</f>
        <v>0.27400000000000002</v>
      </c>
      <c r="AG1969" s="142">
        <f>B1969*IBGE_2!AG$1969/100</f>
        <v>0.29699999999999999</v>
      </c>
      <c r="AH1969" s="142">
        <f>B1969*IBGE_2!AH$1969/100</f>
        <v>4.8000000000000001E-2</v>
      </c>
      <c r="AI1969" s="142" t="s">
        <v>3047</v>
      </c>
      <c r="AJ1969" s="142">
        <f>B1969*IBGE_2!AJ$1969/100</f>
        <v>8.3480000000000008</v>
      </c>
      <c r="AK1969" s="142">
        <f>B1969*IBGE_2!AK$1969/100</f>
        <v>7.8019999999999996</v>
      </c>
      <c r="AL1969" s="142">
        <f>B1969*IBGE_2!AL$1969/100</f>
        <v>1.47</v>
      </c>
      <c r="AM1969" s="142" t="s">
        <v>3047</v>
      </c>
      <c r="AN1969" s="161"/>
    </row>
    <row r="1970" spans="1:40">
      <c r="A1970" s="143" t="s">
        <v>3030</v>
      </c>
      <c r="B1970" s="141">
        <v>100</v>
      </c>
      <c r="C1970" s="142">
        <f>B1970*IBGE_2!C$1970/100</f>
        <v>130.31147285356667</v>
      </c>
      <c r="D1970" s="142">
        <f>B1970*IBGE_2!D$1970/100</f>
        <v>1.5480563316666667</v>
      </c>
      <c r="E1970" s="142">
        <f>B1970*IBGE_2!E$1970/100</f>
        <v>0.75002099999999994</v>
      </c>
      <c r="F1970" s="142">
        <f>B1970*IBGE_2!F$1970/100</f>
        <v>0.22533259999999999</v>
      </c>
      <c r="G1970" s="142">
        <f>B1970*IBGE_2!G$1970/100</f>
        <v>0.16109770000000001</v>
      </c>
      <c r="H1970" s="142">
        <f>B1970*IBGE_2!H$1970/100</f>
        <v>0.33155889999999999</v>
      </c>
      <c r="I1970" s="142">
        <f>B1970*IBGE_2!I$1970/100</f>
        <v>0.30316540000000003</v>
      </c>
      <c r="J1970" s="142">
        <f>B1970*IBGE_2!J$1970/100</f>
        <v>3.8104399999999997E-2</v>
      </c>
      <c r="K1970" s="142" t="s">
        <v>3047</v>
      </c>
      <c r="L1970" s="142">
        <f>B1970*IBGE_2!L$1970/100</f>
        <v>28.942431735</v>
      </c>
      <c r="M1970" s="142">
        <f>B1970*IBGE_2!M$1970/100</f>
        <v>1.5728510999999998</v>
      </c>
      <c r="N1970" s="142">
        <f>B1970*IBGE_2!N$1970/100</f>
        <v>11.254799433333336</v>
      </c>
      <c r="O1970" s="142">
        <f>B1970*IBGE_2!O$1970/100</f>
        <v>14.615625333333334</v>
      </c>
      <c r="P1970" s="142">
        <f>B1970*IBGE_2!P$1970/100</f>
        <v>0.17687966666666666</v>
      </c>
      <c r="Q1970" s="142">
        <f>B1970*IBGE_2!Q$1970/100</f>
        <v>19.884569499999998</v>
      </c>
      <c r="R1970" s="142">
        <f>B1970*IBGE_2!R$1970/100</f>
        <v>8.8202666666666665E-2</v>
      </c>
      <c r="S1970" s="142">
        <f>B1970*IBGE_2!S$1970/100</f>
        <v>1.0944500666666666</v>
      </c>
      <c r="T1970" s="142">
        <f>B1970*IBGE_2!T$1970/100</f>
        <v>57.26493236666667</v>
      </c>
      <c r="U1970" s="142">
        <f>B1970*IBGE_2!U$1970/100</f>
        <v>1.24265E-2</v>
      </c>
      <c r="V1970" s="142">
        <f>B1970*IBGE_2!V$1970/100</f>
        <v>0.34330813333333332</v>
      </c>
      <c r="W1970" s="142" t="s">
        <v>3047</v>
      </c>
      <c r="X1970" s="142">
        <f>B1970*IBGE_2!X$1970/100</f>
        <v>0.03</v>
      </c>
      <c r="Y1970" s="142" t="s">
        <v>3047</v>
      </c>
      <c r="Z1970" s="142">
        <f>B1970*IBGE_2!Z$1970/100</f>
        <v>1.4999999999999999E-2</v>
      </c>
      <c r="AA1970" s="142" t="s">
        <v>3047</v>
      </c>
      <c r="AB1970" s="142">
        <f>B1970*IBGE_2!AB$1970/100</f>
        <v>5.55</v>
      </c>
      <c r="AC1970" s="142" t="s">
        <v>3047</v>
      </c>
      <c r="AD1970" s="142" t="s">
        <v>3047</v>
      </c>
      <c r="AE1970" s="142" t="s">
        <v>3047</v>
      </c>
      <c r="AF1970" s="142" t="s">
        <v>3047</v>
      </c>
      <c r="AG1970" s="142" t="s">
        <v>3047</v>
      </c>
      <c r="AH1970" s="142">
        <f>B1970*IBGE_2!AH$1970/100</f>
        <v>2.5969999999999999E-3</v>
      </c>
      <c r="AI1970" s="142">
        <f>B1970*IBGE_2!AI$1970/100</f>
        <v>334</v>
      </c>
      <c r="AJ1970" s="142" t="s">
        <v>3047</v>
      </c>
      <c r="AK1970" s="142" t="s">
        <v>3047</v>
      </c>
      <c r="AL1970" s="142" t="s">
        <v>3047</v>
      </c>
      <c r="AM1970" s="142" t="s">
        <v>3047</v>
      </c>
      <c r="AN1970" s="161"/>
    </row>
    <row r="1971" spans="1:40">
      <c r="A1971" s="143" t="s">
        <v>3031</v>
      </c>
      <c r="B1971" s="141">
        <v>100</v>
      </c>
      <c r="C1971" s="142">
        <f>B1971*IBGE_2!C$1971/100</f>
        <v>179.10697285356665</v>
      </c>
      <c r="D1971" s="142">
        <f>B1971*IBGE_2!D$1971/100</f>
        <v>8.0850563316666673</v>
      </c>
      <c r="E1971" s="142">
        <f>B1971*IBGE_2!E$1971/100</f>
        <v>9.4270209999999999</v>
      </c>
      <c r="F1971" s="142">
        <f>B1971*IBGE_2!F$1971/100</f>
        <v>2.4298326000000001</v>
      </c>
      <c r="G1971" s="142">
        <f>B1971*IBGE_2!G$1971/100</f>
        <v>3.0240977</v>
      </c>
      <c r="H1971" s="142">
        <f>B1971*IBGE_2!H$1971/100</f>
        <v>2.8170588999999997</v>
      </c>
      <c r="I1971" s="142">
        <f>B1971*IBGE_2!I$1971/100</f>
        <v>2.4831653999999999</v>
      </c>
      <c r="J1971" s="142">
        <f>B1971*IBGE_2!J$1971/100</f>
        <v>0.26010440000000001</v>
      </c>
      <c r="K1971" s="142">
        <f>B1971*IBGE_2!K$1971/100</f>
        <v>230.435</v>
      </c>
      <c r="L1971" s="142">
        <f>B1971*IBGE_2!L$1971/100</f>
        <v>14.500931734999996</v>
      </c>
      <c r="M1971" s="142">
        <f>B1971*IBGE_2!M$1971/100</f>
        <v>0.7728510999999999</v>
      </c>
      <c r="N1971" s="142">
        <f>B1971*IBGE_2!N$1971/100</f>
        <v>28.928799433333335</v>
      </c>
      <c r="O1971" s="142">
        <f>B1971*IBGE_2!O$1971/100</f>
        <v>6.5506253333333326</v>
      </c>
      <c r="P1971" s="142">
        <f>B1971*IBGE_2!P$1971/100</f>
        <v>0.16087966666666667</v>
      </c>
      <c r="Q1971" s="142">
        <f>B1971*IBGE_2!Q$1971/100</f>
        <v>102.36306949999999</v>
      </c>
      <c r="R1971" s="142">
        <f>B1971*IBGE_2!R$1971/100</f>
        <v>0.68670266666666668</v>
      </c>
      <c r="S1971" s="142">
        <f>B1971*IBGE_2!S$1971/100</f>
        <v>67.985950066666661</v>
      </c>
      <c r="T1971" s="142">
        <f>B1971*IBGE_2!T$1971/100</f>
        <v>75.743432366666667</v>
      </c>
      <c r="U1971" s="142">
        <f>B1971*IBGE_2!U$1971/100</f>
        <v>1.4426499999999998E-2</v>
      </c>
      <c r="V1971" s="142">
        <f>B1971*IBGE_2!V$1971/100</f>
        <v>0.81430813333333329</v>
      </c>
      <c r="W1971" s="142">
        <f>B1971*IBGE_2!W$1971/100</f>
        <v>91.304500000000004</v>
      </c>
      <c r="X1971" s="142">
        <f>B1971*IBGE_2!X$1971/100</f>
        <v>3.5999999999999997E-2</v>
      </c>
      <c r="Y1971" s="142">
        <f>B1971*IBGE_2!Y$1971/100</f>
        <v>0.27900000000000003</v>
      </c>
      <c r="Z1971" s="142">
        <f>B1971*IBGE_2!Z$1971/100</f>
        <v>6.6000000000000003E-2</v>
      </c>
      <c r="AA1971" s="142" t="s">
        <v>3047</v>
      </c>
      <c r="AB1971" s="142" t="s">
        <v>3047</v>
      </c>
      <c r="AC1971" s="142">
        <f>B1971*IBGE_2!AC$1971/100</f>
        <v>1.4205000000000001</v>
      </c>
      <c r="AD1971" s="142">
        <f>B1971*IBGE_2!AD$1971/100</f>
        <v>0.60350000000000004</v>
      </c>
      <c r="AE1971" s="142">
        <f>B1971*IBGE_2!AE$1971/100</f>
        <v>23.913</v>
      </c>
      <c r="AF1971" s="142">
        <f>B1971*IBGE_2!AF$1971/100</f>
        <v>0.69550000000000001</v>
      </c>
      <c r="AG1971" s="142">
        <f>B1971*IBGE_2!AG$1971/100</f>
        <v>0.81</v>
      </c>
      <c r="AH1971" s="142">
        <f>B1971*IBGE_2!AH$1971/100</f>
        <v>1.6500000000000001E-2</v>
      </c>
      <c r="AI1971" s="142">
        <f>B1971*IBGE_2!AI$1971/100</f>
        <v>293.5</v>
      </c>
      <c r="AJ1971" s="142">
        <f>B1971*IBGE_2!AJ$1971/100</f>
        <v>18.141999999999999</v>
      </c>
      <c r="AK1971" s="142">
        <f>B1971*IBGE_2!AK$1971/100</f>
        <v>92.028999999999996</v>
      </c>
      <c r="AL1971" s="142">
        <f>B1971*IBGE_2!AL$1971/100</f>
        <v>0.66299999999999992</v>
      </c>
      <c r="AM1971" s="142" t="s">
        <v>3047</v>
      </c>
      <c r="AN1971" s="161"/>
    </row>
    <row r="1972" spans="1:40">
      <c r="A1972" s="143" t="s">
        <v>3032</v>
      </c>
      <c r="B1972" s="141">
        <v>100</v>
      </c>
      <c r="C1972" s="142">
        <f>B1972*IBGE_2!C$1972/100</f>
        <v>41.945</v>
      </c>
      <c r="D1972" s="142">
        <f>B1972*IBGE_2!D$1972/100</f>
        <v>1.35</v>
      </c>
      <c r="E1972" s="142">
        <f>B1972*IBGE_2!E$1972/100</f>
        <v>3.0980000000000003</v>
      </c>
      <c r="F1972" s="142">
        <f>B1972*IBGE_2!F$1972/100</f>
        <v>0.48299999999999998</v>
      </c>
      <c r="G1972" s="142">
        <f>B1972*IBGE_2!G$1972/100</f>
        <v>0.70099999999999996</v>
      </c>
      <c r="H1972" s="142">
        <f>B1972*IBGE_2!H$1972/100</f>
        <v>1.7809999999999999</v>
      </c>
      <c r="I1972" s="142">
        <f>B1972*IBGE_2!I$1972/100</f>
        <v>1.5720000000000001</v>
      </c>
      <c r="J1972" s="142">
        <f>B1972*IBGE_2!J$1972/100</f>
        <v>0.20899999999999999</v>
      </c>
      <c r="K1972" s="142" t="s">
        <v>3047</v>
      </c>
      <c r="L1972" s="142">
        <f>B1972*IBGE_2!L$1972/100</f>
        <v>3.28</v>
      </c>
      <c r="M1972" s="142">
        <f>B1972*IBGE_2!M$1972/100</f>
        <v>2</v>
      </c>
      <c r="N1972" s="142">
        <f>B1972*IBGE_2!N$1972/100</f>
        <v>164</v>
      </c>
      <c r="O1972" s="142">
        <f>B1972*IBGE_2!O$1972/100</f>
        <v>47</v>
      </c>
      <c r="P1972" s="142">
        <f>B1972*IBGE_2!P$1972/100</f>
        <v>0.40799999999999997</v>
      </c>
      <c r="Q1972" s="142">
        <f>B1972*IBGE_2!Q$1972/100</f>
        <v>16</v>
      </c>
      <c r="R1972" s="142">
        <f>B1972*IBGE_2!R$1972/100</f>
        <v>0.502</v>
      </c>
      <c r="S1972" s="142">
        <f>B1972*IBGE_2!S$1972/100</f>
        <v>20</v>
      </c>
      <c r="T1972" s="142">
        <f>B1972*IBGE_2!T$1972/100</f>
        <v>195</v>
      </c>
      <c r="U1972" s="142">
        <f>B1972*IBGE_2!U$1972/100</f>
        <v>4.9000000000000002E-2</v>
      </c>
      <c r="V1972" s="142">
        <f>B1972*IBGE_2!V$1972/100</f>
        <v>0.21</v>
      </c>
      <c r="W1972" s="142" t="s">
        <v>3047</v>
      </c>
      <c r="X1972" s="142">
        <f>B1972*IBGE_2!X$1972/100</f>
        <v>1.0999999999999999E-2</v>
      </c>
      <c r="Y1972" s="142">
        <f>B1972*IBGE_2!Y$1972/100</f>
        <v>0.04</v>
      </c>
      <c r="Z1972" s="142">
        <f>B1972*IBGE_2!Z$1972/100</f>
        <v>6.7000000000000004E-2</v>
      </c>
      <c r="AA1972" s="142">
        <f>B1972*IBGE_2!AA$1972/100</f>
        <v>0.29599999999999999</v>
      </c>
      <c r="AB1972" s="142">
        <f>B1972*IBGE_2!AB$1972/100</f>
        <v>5.3</v>
      </c>
      <c r="AC1972" s="142">
        <f>B1972*IBGE_2!AC$1972/100</f>
        <v>0.52900000000000003</v>
      </c>
      <c r="AD1972" s="142" t="s">
        <v>3047</v>
      </c>
      <c r="AE1972" s="142">
        <f>B1972*IBGE_2!AE$1972/100</f>
        <v>3</v>
      </c>
      <c r="AF1972" s="142" t="s">
        <v>3047</v>
      </c>
      <c r="AG1972" s="142">
        <f>B1972*IBGE_2!AG$1972/100</f>
        <v>0.249</v>
      </c>
      <c r="AH1972" s="142">
        <f>B1972*IBGE_2!AH$1972/100</f>
        <v>1.6E-2</v>
      </c>
      <c r="AI1972" s="142" t="s">
        <v>3047</v>
      </c>
      <c r="AJ1972" s="142">
        <f>B1972*IBGE_2!AJ$1972/100</f>
        <v>2.097</v>
      </c>
      <c r="AK1972" s="142">
        <f>B1972*IBGE_2!AK$1972/100</f>
        <v>22.125</v>
      </c>
      <c r="AL1972" s="142">
        <f>B1972*IBGE_2!AL$1972/100</f>
        <v>1.27</v>
      </c>
      <c r="AM1972" s="142" t="s">
        <v>3047</v>
      </c>
      <c r="AN1972" s="161"/>
    </row>
    <row r="1973" spans="1:40">
      <c r="A1973" s="163"/>
      <c r="B1973" s="161"/>
      <c r="C1973" s="161"/>
      <c r="D1973" s="161"/>
      <c r="E1973" s="161"/>
      <c r="F1973" s="161"/>
      <c r="G1973" s="161"/>
      <c r="H1973" s="161"/>
      <c r="I1973" s="161"/>
      <c r="J1973" s="161"/>
      <c r="K1973" s="161"/>
      <c r="L1973" s="161"/>
      <c r="M1973" s="161"/>
      <c r="N1973" s="161"/>
      <c r="O1973" s="161"/>
      <c r="P1973" s="161"/>
      <c r="Q1973" s="161"/>
      <c r="R1973" s="161"/>
      <c r="S1973" s="161"/>
      <c r="T1973" s="161"/>
      <c r="U1973" s="161"/>
      <c r="V1973" s="161"/>
      <c r="W1973" s="161"/>
      <c r="X1973" s="161"/>
      <c r="Y1973" s="161"/>
      <c r="Z1973" s="161"/>
      <c r="AA1973" s="161"/>
      <c r="AB1973" s="161"/>
      <c r="AC1973" s="161"/>
      <c r="AD1973" s="161"/>
      <c r="AE1973" s="161"/>
      <c r="AF1973" s="161"/>
      <c r="AG1973" s="161"/>
      <c r="AH1973" s="161"/>
      <c r="AI1973" s="161"/>
      <c r="AJ1973" s="161"/>
      <c r="AK1973" s="161"/>
      <c r="AL1973" s="161"/>
      <c r="AM1973" s="161"/>
      <c r="AN1973" s="161"/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4721-13A1-4806-AE55-80ACD98E676C}">
  <dimension ref="A1:EB139"/>
  <sheetViews>
    <sheetView tabSelected="1" topLeftCell="A3" zoomScale="91" zoomScaleNormal="91" workbookViewId="0">
      <selection activeCell="A11" sqref="A11"/>
    </sheetView>
  </sheetViews>
  <sheetFormatPr defaultColWidth="9.16796875" defaultRowHeight="13.5"/>
  <cols>
    <col min="1" max="1" width="24.00390625" style="82" customWidth="1"/>
    <col min="2" max="2" width="19.1484375" style="83" bestFit="1" customWidth="1"/>
    <col min="3" max="3" width="17.80078125" style="83" bestFit="1" customWidth="1"/>
    <col min="4" max="5" width="15.23828125" style="83" bestFit="1" customWidth="1"/>
    <col min="6" max="6" width="16.046875" style="83" bestFit="1" customWidth="1"/>
    <col min="7" max="7" width="17.2578125" style="83" bestFit="1" customWidth="1"/>
    <col min="8" max="8" width="14.83203125" style="83" bestFit="1" customWidth="1"/>
    <col min="9" max="10" width="11.19140625" style="83" bestFit="1" customWidth="1"/>
    <col min="11" max="11" width="19.1484375" style="83" bestFit="1" customWidth="1"/>
    <col min="12" max="12" width="10.515625" style="83" bestFit="1" customWidth="1"/>
    <col min="13" max="13" width="12.40625" style="83" bestFit="1" customWidth="1"/>
    <col min="14" max="14" width="14.42578125" style="83" bestFit="1" customWidth="1"/>
    <col min="15" max="16" width="10.515625" style="83" bestFit="1" customWidth="1"/>
    <col min="17" max="17" width="8.8984375" style="83" bestFit="1" customWidth="1"/>
    <col min="18" max="18" width="13.078125" style="83" bestFit="1" customWidth="1"/>
    <col min="19" max="19" width="13.6171875" style="83" bestFit="1" customWidth="1"/>
    <col min="20" max="20" width="17.125" style="83" bestFit="1" customWidth="1"/>
    <col min="21" max="21" width="14.29296875" style="83" bestFit="1" customWidth="1"/>
    <col min="22" max="22" width="13.6171875" style="83" bestFit="1" customWidth="1"/>
    <col min="23" max="23" width="16.85546875" style="83" bestFit="1" customWidth="1"/>
    <col min="24" max="24" width="16.31640625" style="83" bestFit="1" customWidth="1"/>
    <col min="25" max="25" width="20.2265625" style="83" bestFit="1" customWidth="1"/>
    <col min="26" max="26" width="18.87890625" style="83" bestFit="1" customWidth="1"/>
    <col min="27" max="27" width="16.046875" style="83" bestFit="1" customWidth="1"/>
    <col min="28" max="28" width="13.484375" style="83" bestFit="1" customWidth="1"/>
    <col min="29" max="29" width="13.078125" style="84" bestFit="1" customWidth="1"/>
    <col min="30" max="30" width="12.13671875" style="84" bestFit="1" customWidth="1"/>
    <col min="31" max="31" width="13.078125" style="84" bestFit="1" customWidth="1"/>
    <col min="32" max="32" width="11.73046875" style="84" bestFit="1" customWidth="1"/>
    <col min="33" max="33" width="9.16796875" style="84"/>
    <col min="34" max="34" width="10.65234375" style="84" bestFit="1" customWidth="1"/>
    <col min="35" max="35" width="12.5390625" style="84" bestFit="1" customWidth="1"/>
    <col min="36" max="36" width="8.8984375" style="84" bestFit="1" customWidth="1"/>
    <col min="37" max="37" width="11.73046875" style="84" bestFit="1" customWidth="1"/>
    <col min="38" max="38" width="10.24609375" style="84" bestFit="1" customWidth="1"/>
    <col min="39" max="39" width="11.59375" style="84" bestFit="1" customWidth="1"/>
    <col min="40" max="16384" width="9.16796875" style="84"/>
  </cols>
  <sheetData>
    <row r="1" spans="1:126" ht="14.25">
      <c r="A1" s="158" t="s">
        <v>3033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160"/>
    </row>
    <row r="2" spans="1:126" ht="14.25">
      <c r="A2" s="158" t="s">
        <v>957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161"/>
    </row>
    <row r="3" spans="1:126" s="85" customFormat="1" ht="30" customHeight="1" thickBot="1">
      <c r="A3" s="303" t="s">
        <v>54</v>
      </c>
      <c r="B3" s="304" t="s">
        <v>1</v>
      </c>
      <c r="C3" s="304" t="s">
        <v>2</v>
      </c>
      <c r="D3" s="304" t="s">
        <v>3</v>
      </c>
      <c r="E3" s="304" t="s">
        <v>4</v>
      </c>
      <c r="F3" s="304" t="s">
        <v>49</v>
      </c>
      <c r="G3" s="304" t="s">
        <v>50</v>
      </c>
      <c r="H3" s="304" t="s">
        <v>51</v>
      </c>
      <c r="I3" s="304" t="s">
        <v>3034</v>
      </c>
      <c r="J3" s="304" t="s">
        <v>3035</v>
      </c>
      <c r="K3" s="304" t="s">
        <v>5</v>
      </c>
      <c r="L3" s="304" t="s">
        <v>6</v>
      </c>
      <c r="M3" s="304" t="s">
        <v>7</v>
      </c>
      <c r="N3" s="304" t="s">
        <v>8</v>
      </c>
      <c r="O3" s="304" t="s">
        <v>9</v>
      </c>
      <c r="P3" s="304" t="s">
        <v>10</v>
      </c>
      <c r="Q3" s="304" t="s">
        <v>11</v>
      </c>
      <c r="R3" s="304" t="s">
        <v>12</v>
      </c>
      <c r="S3" s="304" t="s">
        <v>13</v>
      </c>
      <c r="T3" s="304" t="s">
        <v>14</v>
      </c>
      <c r="U3" s="304" t="s">
        <v>15</v>
      </c>
      <c r="V3" s="304" t="s">
        <v>16</v>
      </c>
      <c r="W3" s="304" t="s">
        <v>17</v>
      </c>
      <c r="X3" s="304" t="s">
        <v>18</v>
      </c>
      <c r="Y3" s="304" t="s">
        <v>19</v>
      </c>
      <c r="Z3" s="304" t="s">
        <v>20</v>
      </c>
      <c r="AA3" s="304" t="s">
        <v>21</v>
      </c>
      <c r="AB3" s="304" t="s">
        <v>22</v>
      </c>
      <c r="AC3" s="305" t="s">
        <v>3036</v>
      </c>
      <c r="AD3" s="305" t="s">
        <v>3037</v>
      </c>
      <c r="AE3" s="305" t="s">
        <v>3038</v>
      </c>
      <c r="AF3" s="305" t="s">
        <v>3039</v>
      </c>
      <c r="AG3" s="305" t="s">
        <v>3040</v>
      </c>
      <c r="AH3" s="305" t="s">
        <v>3041</v>
      </c>
      <c r="AI3" s="305" t="s">
        <v>3042</v>
      </c>
      <c r="AJ3" s="305" t="s">
        <v>3043</v>
      </c>
      <c r="AK3" s="305" t="s">
        <v>3044</v>
      </c>
      <c r="AL3" s="305" t="s">
        <v>3045</v>
      </c>
      <c r="AM3" s="305" t="s">
        <v>3046</v>
      </c>
      <c r="AN3" s="159"/>
    </row>
    <row r="4" spans="1:126">
      <c r="A4" s="127" t="s">
        <v>55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60"/>
    </row>
    <row r="5" spans="1:126" s="51" customFormat="1" ht="12.75">
      <c r="A5" s="279" t="s">
        <v>3277</v>
      </c>
      <c r="B5" s="187"/>
      <c r="C5" s="187"/>
      <c r="D5" s="187"/>
      <c r="E5" s="187"/>
      <c r="F5" s="138"/>
      <c r="G5" s="138"/>
      <c r="H5" s="138"/>
      <c r="I5" s="138"/>
      <c r="J5" s="138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280"/>
      <c r="AD5" s="281"/>
      <c r="AE5" s="281"/>
      <c r="AF5" s="281"/>
      <c r="AG5" s="281"/>
      <c r="AH5" s="281"/>
      <c r="AI5" s="281"/>
      <c r="AJ5" s="281"/>
      <c r="AK5" s="281"/>
      <c r="AL5" s="281"/>
      <c r="AM5" s="282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</row>
    <row r="6" spans="1:126" s="48" customFormat="1" ht="12.75">
      <c r="A6" s="279" t="s">
        <v>3273</v>
      </c>
      <c r="B6" s="138">
        <v>30</v>
      </c>
      <c r="C6" s="138">
        <v>79.28</v>
      </c>
      <c r="D6" s="138">
        <v>5.22</v>
      </c>
      <c r="E6" s="138">
        <v>8.4499999999999993</v>
      </c>
      <c r="F6" s="138">
        <v>3.42</v>
      </c>
      <c r="G6" s="138">
        <v>1.74</v>
      </c>
      <c r="H6" s="138">
        <v>0.12</v>
      </c>
      <c r="I6" s="138">
        <v>9</v>
      </c>
      <c r="J6" s="138">
        <v>1.7999999999999999E-2</v>
      </c>
      <c r="K6" s="187">
        <v>18.600000000000001</v>
      </c>
      <c r="L6" s="138">
        <v>0.97</v>
      </c>
      <c r="M6" s="138" t="s">
        <v>454</v>
      </c>
      <c r="N6" s="138">
        <v>173.77</v>
      </c>
      <c r="O6" s="138">
        <v>2.06</v>
      </c>
      <c r="P6" s="138">
        <v>6.0000000000000001E-3</v>
      </c>
      <c r="Q6" s="138">
        <v>36.99</v>
      </c>
      <c r="R6" s="138">
        <v>0.27</v>
      </c>
      <c r="S6" s="138">
        <v>9.3699999999999992</v>
      </c>
      <c r="T6" s="138">
        <v>31.45</v>
      </c>
      <c r="U6" s="138" t="s">
        <v>455</v>
      </c>
      <c r="V6" s="138">
        <v>0.09</v>
      </c>
      <c r="W6" s="187">
        <v>48.15</v>
      </c>
      <c r="X6" s="138" t="s">
        <v>455</v>
      </c>
      <c r="Y6" s="187">
        <v>7.0000000000000007E-2</v>
      </c>
      <c r="Z6" s="138" t="s">
        <v>455</v>
      </c>
      <c r="AA6" s="138" t="s">
        <v>455</v>
      </c>
      <c r="AB6" s="138" t="s">
        <v>455</v>
      </c>
      <c r="AC6" s="283"/>
      <c r="AD6" s="284"/>
      <c r="AE6" s="284"/>
      <c r="AF6" s="284"/>
      <c r="AG6" s="284"/>
      <c r="AH6" s="284"/>
      <c r="AI6" s="284"/>
      <c r="AJ6" s="284"/>
      <c r="AK6" s="284"/>
      <c r="AL6" s="284"/>
      <c r="AM6" s="285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</row>
    <row r="7" spans="1:126" s="48" customFormat="1" ht="12.75">
      <c r="A7" s="279" t="s">
        <v>816</v>
      </c>
      <c r="B7" s="138">
        <v>160</v>
      </c>
      <c r="C7" s="138">
        <v>14.51</v>
      </c>
      <c r="D7" s="138">
        <v>1.1399999999999999</v>
      </c>
      <c r="E7" s="138">
        <v>0.11</v>
      </c>
      <c r="F7" s="138">
        <v>0</v>
      </c>
      <c r="G7" s="138">
        <v>0</v>
      </c>
      <c r="H7" s="138">
        <v>0</v>
      </c>
      <c r="I7" s="138">
        <v>0</v>
      </c>
      <c r="J7" s="138">
        <v>0</v>
      </c>
      <c r="K7" s="187" t="s">
        <v>454</v>
      </c>
      <c r="L7" s="138">
        <v>2.37</v>
      </c>
      <c r="M7" s="138" t="s">
        <v>454</v>
      </c>
      <c r="N7" s="138">
        <v>5.0599999999999996</v>
      </c>
      <c r="O7" s="138">
        <v>15.46</v>
      </c>
      <c r="P7" s="138">
        <v>0.06</v>
      </c>
      <c r="Q7" s="138">
        <v>15.2</v>
      </c>
      <c r="R7" s="138" t="s">
        <v>455</v>
      </c>
      <c r="S7" s="138">
        <v>1.65</v>
      </c>
      <c r="T7" s="138">
        <v>249.12</v>
      </c>
      <c r="U7" s="138">
        <v>0.01</v>
      </c>
      <c r="V7" s="138" t="s">
        <v>455</v>
      </c>
      <c r="W7" s="187" t="s">
        <v>454</v>
      </c>
      <c r="X7" s="138">
        <v>0</v>
      </c>
      <c r="Y7" s="187">
        <v>0</v>
      </c>
      <c r="Z7" s="138">
        <v>0</v>
      </c>
      <c r="AA7" s="138">
        <v>0</v>
      </c>
      <c r="AB7" s="138">
        <v>0</v>
      </c>
      <c r="AC7" s="283"/>
      <c r="AD7" s="284"/>
      <c r="AE7" s="284"/>
      <c r="AF7" s="284"/>
      <c r="AG7" s="284"/>
      <c r="AH7" s="284"/>
      <c r="AI7" s="284"/>
      <c r="AJ7" s="284"/>
      <c r="AK7" s="284"/>
      <c r="AL7" s="284"/>
      <c r="AM7" s="285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</row>
    <row r="8" spans="1:126" s="164" customFormat="1" ht="12.75">
      <c r="A8" s="286" t="s">
        <v>3276</v>
      </c>
      <c r="B8" s="187"/>
      <c r="C8" s="287"/>
      <c r="D8" s="287"/>
      <c r="E8" s="287"/>
      <c r="F8" s="288"/>
      <c r="G8" s="288"/>
      <c r="H8" s="288"/>
      <c r="I8" s="183"/>
      <c r="J8" s="183"/>
      <c r="K8" s="289"/>
      <c r="L8" s="289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9"/>
      <c r="X8" s="287" t="s">
        <v>3275</v>
      </c>
      <c r="Y8" s="290"/>
      <c r="Z8" s="287"/>
      <c r="AA8" s="290"/>
      <c r="AB8" s="287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</row>
    <row r="9" spans="1:126" customFormat="1" ht="12.75">
      <c r="A9" s="292" t="s">
        <v>3274</v>
      </c>
      <c r="B9" s="293">
        <v>170</v>
      </c>
      <c r="C9" s="332">
        <v>77.08</v>
      </c>
      <c r="D9" s="332">
        <v>1.39</v>
      </c>
      <c r="E9" s="332">
        <v>0.2</v>
      </c>
      <c r="F9" s="332">
        <v>0</v>
      </c>
      <c r="G9" s="332">
        <v>0</v>
      </c>
      <c r="H9" s="332">
        <v>0</v>
      </c>
      <c r="I9" s="332">
        <v>0</v>
      </c>
      <c r="J9" s="332">
        <v>0</v>
      </c>
      <c r="K9" s="187" t="s">
        <v>454</v>
      </c>
      <c r="L9" s="332">
        <v>19.63</v>
      </c>
      <c r="M9" s="332">
        <v>3.08</v>
      </c>
      <c r="N9" s="332">
        <v>42.28</v>
      </c>
      <c r="O9" s="332">
        <v>29.44</v>
      </c>
      <c r="P9" s="332">
        <v>7.0000000000000007E-2</v>
      </c>
      <c r="Q9" s="332">
        <v>18.46</v>
      </c>
      <c r="R9" s="332">
        <v>0.39</v>
      </c>
      <c r="S9" s="332">
        <v>5.54</v>
      </c>
      <c r="T9" s="332">
        <v>375.36</v>
      </c>
      <c r="U9" s="332">
        <v>2.31</v>
      </c>
      <c r="V9" s="332">
        <v>0.12</v>
      </c>
      <c r="W9" s="187" t="s">
        <v>454</v>
      </c>
      <c r="X9" s="332">
        <v>0.05</v>
      </c>
      <c r="Y9" s="332">
        <v>0.05</v>
      </c>
      <c r="Z9" s="332" t="s">
        <v>455</v>
      </c>
      <c r="AA9" s="332" t="s">
        <v>455</v>
      </c>
      <c r="AB9" s="332">
        <v>133.5</v>
      </c>
      <c r="AC9" s="294"/>
      <c r="AD9" s="294"/>
      <c r="AE9" s="294"/>
      <c r="AF9" s="294"/>
      <c r="AG9" s="294"/>
      <c r="AH9" s="294"/>
      <c r="AI9" s="294"/>
      <c r="AJ9" s="294"/>
      <c r="AK9" s="294"/>
      <c r="AL9" s="294"/>
      <c r="AM9" s="294"/>
      <c r="AN9" s="161"/>
    </row>
    <row r="10" spans="1:126" customFormat="1" ht="12.75">
      <c r="A10" s="292"/>
      <c r="B10" s="293"/>
      <c r="C10" s="294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294"/>
      <c r="O10" s="294"/>
      <c r="P10" s="294"/>
      <c r="Q10" s="332"/>
      <c r="R10" s="332"/>
      <c r="S10" s="332"/>
      <c r="T10" s="332"/>
      <c r="U10" s="332"/>
      <c r="V10" s="332"/>
      <c r="W10" s="332"/>
      <c r="X10" s="294"/>
      <c r="Y10" s="294"/>
      <c r="Z10" s="294"/>
      <c r="AA10" s="294"/>
      <c r="AB10" s="294"/>
      <c r="AC10" s="294"/>
      <c r="AD10" s="294"/>
      <c r="AE10" s="294"/>
      <c r="AF10" s="294"/>
      <c r="AG10" s="294"/>
      <c r="AH10" s="294"/>
      <c r="AI10" s="294"/>
      <c r="AJ10" s="294"/>
      <c r="AK10" s="294"/>
      <c r="AL10" s="294"/>
      <c r="AM10" s="294"/>
      <c r="AN10" s="161"/>
    </row>
    <row r="11" spans="1:126" customFormat="1" ht="12.75">
      <c r="A11" s="295"/>
      <c r="B11" s="293"/>
      <c r="C11" s="294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294"/>
      <c r="O11" s="294"/>
      <c r="P11" s="294"/>
      <c r="Q11" s="332"/>
      <c r="R11" s="332"/>
      <c r="S11" s="332"/>
      <c r="T11" s="332"/>
      <c r="U11" s="332"/>
      <c r="V11" s="332"/>
      <c r="W11" s="332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161"/>
    </row>
    <row r="12" spans="1:126" customFormat="1" ht="12.75">
      <c r="A12" s="295"/>
      <c r="B12" s="293"/>
      <c r="C12" s="294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294"/>
      <c r="O12" s="294"/>
      <c r="P12" s="294"/>
      <c r="Q12" s="332"/>
      <c r="R12" s="332"/>
      <c r="S12" s="332"/>
      <c r="T12" s="332"/>
      <c r="U12" s="332"/>
      <c r="V12" s="332"/>
      <c r="W12" s="332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146"/>
      <c r="AN12" s="161"/>
    </row>
    <row r="13" spans="1:126" customFormat="1" ht="12.75">
      <c r="A13" s="292"/>
      <c r="B13" s="293"/>
      <c r="C13" s="294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294"/>
      <c r="O13" s="294"/>
      <c r="P13" s="294"/>
      <c r="Q13" s="332"/>
      <c r="R13" s="332"/>
      <c r="S13" s="332"/>
      <c r="T13" s="332"/>
      <c r="U13" s="332"/>
      <c r="V13" s="332"/>
      <c r="W13" s="332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161"/>
    </row>
    <row r="14" spans="1:126" customFormat="1" ht="12.75">
      <c r="A14" s="292"/>
      <c r="B14" s="293"/>
      <c r="C14" s="294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294"/>
      <c r="O14" s="294"/>
      <c r="P14" s="294"/>
      <c r="Q14" s="332"/>
      <c r="R14" s="332"/>
      <c r="S14" s="332"/>
      <c r="T14" s="332"/>
      <c r="U14" s="332"/>
      <c r="V14" s="332"/>
      <c r="W14" s="332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161"/>
    </row>
    <row r="15" spans="1:126">
      <c r="A15" s="295"/>
      <c r="B15" s="293"/>
      <c r="C15" s="294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294"/>
      <c r="O15" s="294"/>
      <c r="P15" s="294"/>
      <c r="Q15" s="332"/>
      <c r="R15" s="332"/>
      <c r="S15" s="332"/>
      <c r="T15" s="332"/>
      <c r="U15" s="332"/>
      <c r="V15" s="332"/>
      <c r="W15" s="332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160"/>
    </row>
    <row r="16" spans="1:126">
      <c r="A16" s="295"/>
      <c r="B16" s="293"/>
      <c r="C16" s="294"/>
      <c r="D16" s="332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2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160"/>
    </row>
    <row r="17" spans="1:132">
      <c r="A17" s="94" t="s">
        <v>61</v>
      </c>
      <c r="B17" s="95"/>
      <c r="C17" s="306">
        <f>SUM(C5:C16)</f>
        <v>170.87</v>
      </c>
      <c r="D17" s="95">
        <f>SUM(D5:D16)</f>
        <v>7.7499999999999991</v>
      </c>
      <c r="E17" s="95">
        <f t="shared" ref="E17:AM17" si="0">SUM(E5:E16)</f>
        <v>8.759999999999998</v>
      </c>
      <c r="F17" s="95">
        <f t="shared" si="0"/>
        <v>3.42</v>
      </c>
      <c r="G17" s="95">
        <f t="shared" si="0"/>
        <v>1.74</v>
      </c>
      <c r="H17" s="95">
        <f t="shared" si="0"/>
        <v>0.12</v>
      </c>
      <c r="I17" s="95">
        <f t="shared" si="0"/>
        <v>9</v>
      </c>
      <c r="J17" s="95">
        <f t="shared" si="0"/>
        <v>1.7999999999999999E-2</v>
      </c>
      <c r="K17" s="95">
        <f t="shared" si="0"/>
        <v>18.600000000000001</v>
      </c>
      <c r="L17" s="95">
        <f t="shared" si="0"/>
        <v>22.97</v>
      </c>
      <c r="M17" s="95">
        <f t="shared" si="0"/>
        <v>3.08</v>
      </c>
      <c r="N17" s="95">
        <f t="shared" si="0"/>
        <v>221.11</v>
      </c>
      <c r="O17" s="95">
        <f t="shared" si="0"/>
        <v>46.96</v>
      </c>
      <c r="P17" s="95">
        <f t="shared" si="0"/>
        <v>0.13600000000000001</v>
      </c>
      <c r="Q17" s="95">
        <f t="shared" si="0"/>
        <v>70.650000000000006</v>
      </c>
      <c r="R17" s="95">
        <f t="shared" si="0"/>
        <v>0.66</v>
      </c>
      <c r="S17" s="95">
        <f t="shared" si="0"/>
        <v>16.559999999999999</v>
      </c>
      <c r="T17" s="95">
        <f t="shared" si="0"/>
        <v>655.93000000000006</v>
      </c>
      <c r="U17" s="95">
        <f t="shared" si="0"/>
        <v>2.3199999999999998</v>
      </c>
      <c r="V17" s="95">
        <f t="shared" si="0"/>
        <v>0.21</v>
      </c>
      <c r="W17" s="95">
        <f t="shared" si="0"/>
        <v>48.15</v>
      </c>
      <c r="X17" s="95">
        <f t="shared" si="0"/>
        <v>0.05</v>
      </c>
      <c r="Y17" s="95">
        <f t="shared" si="0"/>
        <v>0.12000000000000001</v>
      </c>
      <c r="Z17" s="95">
        <f t="shared" si="0"/>
        <v>0</v>
      </c>
      <c r="AA17" s="95">
        <f t="shared" si="0"/>
        <v>0</v>
      </c>
      <c r="AB17" s="95">
        <f t="shared" si="0"/>
        <v>133.5</v>
      </c>
      <c r="AC17" s="95">
        <f t="shared" si="0"/>
        <v>0</v>
      </c>
      <c r="AD17" s="95">
        <f t="shared" si="0"/>
        <v>0</v>
      </c>
      <c r="AE17" s="95">
        <f t="shared" si="0"/>
        <v>0</v>
      </c>
      <c r="AF17" s="95">
        <f t="shared" si="0"/>
        <v>0</v>
      </c>
      <c r="AG17" s="95">
        <f t="shared" si="0"/>
        <v>0</v>
      </c>
      <c r="AH17" s="95">
        <f t="shared" si="0"/>
        <v>0</v>
      </c>
      <c r="AI17" s="95">
        <f t="shared" si="0"/>
        <v>0</v>
      </c>
      <c r="AJ17" s="95">
        <f t="shared" si="0"/>
        <v>0</v>
      </c>
      <c r="AK17" s="95">
        <f t="shared" si="0"/>
        <v>0</v>
      </c>
      <c r="AL17" s="95">
        <f t="shared" si="0"/>
        <v>0</v>
      </c>
      <c r="AM17" s="95">
        <f t="shared" si="0"/>
        <v>0</v>
      </c>
      <c r="AN17" s="160"/>
    </row>
    <row r="18" spans="1:132">
      <c r="A18" s="94" t="s">
        <v>62</v>
      </c>
      <c r="B18" s="95"/>
      <c r="C18" s="96">
        <f>D18+E18+L18</f>
        <v>201.71999999999997</v>
      </c>
      <c r="D18" s="95">
        <f>D17*4</f>
        <v>30.999999999999996</v>
      </c>
      <c r="E18" s="95">
        <f>E17*9</f>
        <v>78.839999999999975</v>
      </c>
      <c r="F18" s="95">
        <f>F17*9</f>
        <v>30.78</v>
      </c>
      <c r="G18" s="95">
        <f>G17*9</f>
        <v>15.66</v>
      </c>
      <c r="H18" s="95">
        <f>H17*9</f>
        <v>1.08</v>
      </c>
      <c r="I18" s="95"/>
      <c r="J18" s="95"/>
      <c r="K18" s="95"/>
      <c r="L18" s="95">
        <f>L17*4</f>
        <v>91.88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7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160"/>
    </row>
    <row r="19" spans="1:132">
      <c r="A19" s="307" t="s">
        <v>63</v>
      </c>
      <c r="B19" s="95"/>
      <c r="C19" s="95"/>
      <c r="D19" s="96">
        <f>D18/C18*100</f>
        <v>15.36783660519532</v>
      </c>
      <c r="E19" s="96">
        <f>E18/C18*100</f>
        <v>39.083878643664477</v>
      </c>
      <c r="F19" s="96">
        <f>F18/C18*100</f>
        <v>15.258774538964905</v>
      </c>
      <c r="G19" s="96">
        <f>G18/C18*100</f>
        <v>7.7632361689470564</v>
      </c>
      <c r="H19" s="96">
        <f>H18/C18*100</f>
        <v>0.53539559785841773</v>
      </c>
      <c r="I19" s="95"/>
      <c r="J19" s="95"/>
      <c r="K19" s="95"/>
      <c r="L19" s="96">
        <f>L18/C18*100</f>
        <v>45.548284751140201</v>
      </c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7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160"/>
    </row>
    <row r="20" spans="1:132" ht="14.25" thickBot="1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6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  <c r="AN20" s="160"/>
    </row>
    <row r="21" spans="1:132">
      <c r="A21" s="127" t="s">
        <v>57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60"/>
    </row>
    <row r="22" spans="1:132" customFormat="1" ht="12.75">
      <c r="A22" s="292"/>
      <c r="B22" s="293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  <c r="AN22" s="161"/>
    </row>
    <row r="23" spans="1:132" customFormat="1" ht="12.75">
      <c r="A23" s="295"/>
      <c r="B23" s="293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161"/>
    </row>
    <row r="24" spans="1:132" customFormat="1" ht="12.75">
      <c r="A24" s="295"/>
      <c r="B24" s="293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161"/>
    </row>
    <row r="25" spans="1:132">
      <c r="A25" s="279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160"/>
    </row>
    <row r="26" spans="1:132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2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160"/>
    </row>
    <row r="27" spans="1:132">
      <c r="A27" s="279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  <c r="AN27" s="160"/>
    </row>
    <row r="28" spans="1:132">
      <c r="A28" s="279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160"/>
    </row>
    <row r="29" spans="1:132" s="48" customFormat="1" ht="12.75">
      <c r="A29" s="279"/>
      <c r="B29" s="138"/>
      <c r="C29" s="138"/>
      <c r="D29" s="138"/>
      <c r="E29" s="138"/>
      <c r="F29" s="138"/>
      <c r="G29" s="138"/>
      <c r="H29" s="138"/>
      <c r="I29" s="138"/>
      <c r="J29" s="138"/>
      <c r="K29" s="187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87"/>
      <c r="X29" s="187"/>
      <c r="Y29" s="138"/>
      <c r="Z29" s="138"/>
      <c r="AA29" s="138"/>
      <c r="AB29" s="138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161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</row>
    <row r="30" spans="1:132">
      <c r="A30" s="94" t="s">
        <v>61</v>
      </c>
      <c r="B30" s="95"/>
      <c r="C30" s="95">
        <f>SUM(C22:C29)</f>
        <v>0</v>
      </c>
      <c r="D30" s="95">
        <f t="shared" ref="D30:AM30" si="1">SUM(D22:D29)</f>
        <v>0</v>
      </c>
      <c r="E30" s="95">
        <f t="shared" si="1"/>
        <v>0</v>
      </c>
      <c r="F30" s="95">
        <f t="shared" si="1"/>
        <v>0</v>
      </c>
      <c r="G30" s="95">
        <f t="shared" si="1"/>
        <v>0</v>
      </c>
      <c r="H30" s="95">
        <f t="shared" si="1"/>
        <v>0</v>
      </c>
      <c r="I30" s="95">
        <f t="shared" si="1"/>
        <v>0</v>
      </c>
      <c r="J30" s="95">
        <f t="shared" si="1"/>
        <v>0</v>
      </c>
      <c r="K30" s="95">
        <f t="shared" si="1"/>
        <v>0</v>
      </c>
      <c r="L30" s="95">
        <f t="shared" si="1"/>
        <v>0</v>
      </c>
      <c r="M30" s="95">
        <f t="shared" si="1"/>
        <v>0</v>
      </c>
      <c r="N30" s="95">
        <f t="shared" si="1"/>
        <v>0</v>
      </c>
      <c r="O30" s="95">
        <f t="shared" si="1"/>
        <v>0</v>
      </c>
      <c r="P30" s="95">
        <f t="shared" si="1"/>
        <v>0</v>
      </c>
      <c r="Q30" s="95">
        <f t="shared" si="1"/>
        <v>0</v>
      </c>
      <c r="R30" s="95">
        <f t="shared" si="1"/>
        <v>0</v>
      </c>
      <c r="S30" s="95">
        <f t="shared" si="1"/>
        <v>0</v>
      </c>
      <c r="T30" s="95">
        <f t="shared" si="1"/>
        <v>0</v>
      </c>
      <c r="U30" s="95">
        <f t="shared" si="1"/>
        <v>0</v>
      </c>
      <c r="V30" s="95">
        <f t="shared" si="1"/>
        <v>0</v>
      </c>
      <c r="W30" s="95">
        <f t="shared" si="1"/>
        <v>0</v>
      </c>
      <c r="X30" s="95">
        <f t="shared" si="1"/>
        <v>0</v>
      </c>
      <c r="Y30" s="95">
        <f t="shared" si="1"/>
        <v>0</v>
      </c>
      <c r="Z30" s="95">
        <f t="shared" si="1"/>
        <v>0</v>
      </c>
      <c r="AA30" s="95">
        <f t="shared" si="1"/>
        <v>0</v>
      </c>
      <c r="AB30" s="95">
        <f t="shared" si="1"/>
        <v>0</v>
      </c>
      <c r="AC30" s="95">
        <f t="shared" si="1"/>
        <v>0</v>
      </c>
      <c r="AD30" s="95">
        <f t="shared" si="1"/>
        <v>0</v>
      </c>
      <c r="AE30" s="95">
        <f t="shared" si="1"/>
        <v>0</v>
      </c>
      <c r="AF30" s="95">
        <f t="shared" si="1"/>
        <v>0</v>
      </c>
      <c r="AG30" s="95">
        <f t="shared" si="1"/>
        <v>0</v>
      </c>
      <c r="AH30" s="95">
        <f t="shared" si="1"/>
        <v>0</v>
      </c>
      <c r="AI30" s="95">
        <f t="shared" si="1"/>
        <v>0</v>
      </c>
      <c r="AJ30" s="95">
        <f t="shared" si="1"/>
        <v>0</v>
      </c>
      <c r="AK30" s="95">
        <f t="shared" si="1"/>
        <v>0</v>
      </c>
      <c r="AL30" s="95">
        <f t="shared" si="1"/>
        <v>0</v>
      </c>
      <c r="AM30" s="95">
        <f t="shared" si="1"/>
        <v>0</v>
      </c>
      <c r="AN30" s="160"/>
    </row>
    <row r="31" spans="1:132">
      <c r="A31" s="94" t="s">
        <v>62</v>
      </c>
      <c r="B31" s="95"/>
      <c r="C31" s="96">
        <f>D31+E31+L31</f>
        <v>0</v>
      </c>
      <c r="D31" s="95">
        <f>D30*4</f>
        <v>0</v>
      </c>
      <c r="E31" s="95">
        <f>E30*9</f>
        <v>0</v>
      </c>
      <c r="F31" s="95">
        <f>F30*9</f>
        <v>0</v>
      </c>
      <c r="G31" s="95">
        <f>G30*9</f>
        <v>0</v>
      </c>
      <c r="H31" s="95">
        <f>H30*9</f>
        <v>0</v>
      </c>
      <c r="I31" s="95"/>
      <c r="J31" s="95"/>
      <c r="K31" s="95"/>
      <c r="L31" s="95">
        <f>L30*4</f>
        <v>0</v>
      </c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7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160"/>
    </row>
    <row r="32" spans="1:132">
      <c r="A32" s="307" t="s">
        <v>63</v>
      </c>
      <c r="B32" s="95"/>
      <c r="C32" s="95"/>
      <c r="D32" s="96" t="e">
        <f>D31/C31*100</f>
        <v>#DIV/0!</v>
      </c>
      <c r="E32" s="96" t="e">
        <f>E31/C31*100</f>
        <v>#DIV/0!</v>
      </c>
      <c r="F32" s="308" t="e">
        <f>F31/C31*100</f>
        <v>#DIV/0!</v>
      </c>
      <c r="G32" s="95" t="e">
        <f>G31/C31*100</f>
        <v>#DIV/0!</v>
      </c>
      <c r="H32" s="95" t="e">
        <f>H31/C31*100</f>
        <v>#DIV/0!</v>
      </c>
      <c r="I32" s="95"/>
      <c r="J32" s="95"/>
      <c r="K32" s="95"/>
      <c r="L32" s="95" t="e">
        <f>L31/C31*100</f>
        <v>#DIV/0!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7"/>
      <c r="AC32" s="276"/>
      <c r="AD32" s="276"/>
      <c r="AE32" s="276"/>
      <c r="AF32" s="276"/>
      <c r="AG32" s="276"/>
      <c r="AH32" s="276"/>
      <c r="AI32" s="276"/>
      <c r="AJ32" s="276"/>
      <c r="AK32" s="276"/>
      <c r="AL32" s="276"/>
      <c r="AM32" s="276"/>
      <c r="AN32" s="160"/>
    </row>
    <row r="33" spans="1:40" ht="14.25" thickBot="1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6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  <c r="AN33" s="160"/>
    </row>
    <row r="34" spans="1:40">
      <c r="A34" s="127" t="s">
        <v>56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60"/>
    </row>
    <row r="35" spans="1:40" customFormat="1" ht="12.75">
      <c r="A35" s="295"/>
      <c r="B35" s="293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  <c r="AN35" s="161"/>
    </row>
    <row r="36" spans="1:40" customFormat="1" ht="12.75">
      <c r="A36" s="295"/>
      <c r="B36" s="293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  <c r="AN36" s="161"/>
    </row>
    <row r="37" spans="1:40" customFormat="1" ht="12.75">
      <c r="A37" s="295"/>
      <c r="B37" s="293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  <c r="AN37" s="161"/>
    </row>
    <row r="38" spans="1:40" customFormat="1" ht="12.75">
      <c r="A38" s="295"/>
      <c r="B38" s="293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161"/>
    </row>
    <row r="39" spans="1:40" customFormat="1" ht="12.75">
      <c r="A39" s="295"/>
      <c r="B39" s="293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  <c r="AN39" s="161"/>
    </row>
    <row r="40" spans="1:40" customFormat="1" ht="12.75">
      <c r="A40" s="292"/>
      <c r="B40" s="293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161"/>
    </row>
    <row r="41" spans="1:40" customFormat="1" ht="12.75">
      <c r="A41" s="295"/>
      <c r="B41" s="293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4"/>
      <c r="AL41" s="294"/>
      <c r="AM41" s="294"/>
      <c r="AN41" s="161"/>
    </row>
    <row r="42" spans="1:40" customFormat="1" ht="12.75">
      <c r="A42" s="295"/>
      <c r="B42" s="293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161"/>
    </row>
    <row r="43" spans="1:40" customFormat="1" ht="12.75">
      <c r="A43" s="292"/>
      <c r="B43" s="293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  <c r="AN43" s="161"/>
    </row>
    <row r="44" spans="1:40" customFormat="1" ht="12.75">
      <c r="A44" s="295"/>
      <c r="B44" s="293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  <c r="AN44" s="161"/>
    </row>
    <row r="45" spans="1:40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2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  <c r="AN45" s="160"/>
    </row>
    <row r="46" spans="1:40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2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160"/>
    </row>
    <row r="47" spans="1:40">
      <c r="A47" s="295"/>
      <c r="B47" s="293"/>
      <c r="C47" s="294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2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  <c r="AN47" s="160"/>
    </row>
    <row r="48" spans="1:40">
      <c r="A48" s="295"/>
      <c r="B48" s="293"/>
      <c r="C48" s="294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2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160"/>
    </row>
    <row r="49" spans="1:67">
      <c r="A49" s="94" t="s">
        <v>61</v>
      </c>
      <c r="B49" s="95"/>
      <c r="C49" s="95">
        <f>SUM(C35:C48)</f>
        <v>0</v>
      </c>
      <c r="D49" s="95">
        <f t="shared" ref="D49:AM49" si="2">SUM(D35:D48)</f>
        <v>0</v>
      </c>
      <c r="E49" s="95">
        <f t="shared" si="2"/>
        <v>0</v>
      </c>
      <c r="F49" s="95">
        <f t="shared" si="2"/>
        <v>0</v>
      </c>
      <c r="G49" s="95">
        <f t="shared" si="2"/>
        <v>0</v>
      </c>
      <c r="H49" s="95">
        <f t="shared" si="2"/>
        <v>0</v>
      </c>
      <c r="I49" s="95">
        <f t="shared" si="2"/>
        <v>0</v>
      </c>
      <c r="J49" s="95">
        <f t="shared" si="2"/>
        <v>0</v>
      </c>
      <c r="K49" s="95">
        <f t="shared" si="2"/>
        <v>0</v>
      </c>
      <c r="L49" s="95">
        <f t="shared" si="2"/>
        <v>0</v>
      </c>
      <c r="M49" s="95">
        <f t="shared" si="2"/>
        <v>0</v>
      </c>
      <c r="N49" s="95">
        <f t="shared" si="2"/>
        <v>0</v>
      </c>
      <c r="O49" s="95">
        <f t="shared" si="2"/>
        <v>0</v>
      </c>
      <c r="P49" s="95">
        <f t="shared" si="2"/>
        <v>0</v>
      </c>
      <c r="Q49" s="95">
        <f t="shared" si="2"/>
        <v>0</v>
      </c>
      <c r="R49" s="95">
        <f t="shared" si="2"/>
        <v>0</v>
      </c>
      <c r="S49" s="95">
        <f t="shared" si="2"/>
        <v>0</v>
      </c>
      <c r="T49" s="95">
        <f t="shared" si="2"/>
        <v>0</v>
      </c>
      <c r="U49" s="95">
        <f t="shared" si="2"/>
        <v>0</v>
      </c>
      <c r="V49" s="95">
        <f t="shared" si="2"/>
        <v>0</v>
      </c>
      <c r="W49" s="95">
        <f t="shared" si="2"/>
        <v>0</v>
      </c>
      <c r="X49" s="95">
        <f t="shared" si="2"/>
        <v>0</v>
      </c>
      <c r="Y49" s="95">
        <f t="shared" si="2"/>
        <v>0</v>
      </c>
      <c r="Z49" s="95">
        <f t="shared" si="2"/>
        <v>0</v>
      </c>
      <c r="AA49" s="95">
        <f t="shared" si="2"/>
        <v>0</v>
      </c>
      <c r="AB49" s="95">
        <f t="shared" si="2"/>
        <v>0</v>
      </c>
      <c r="AC49" s="95">
        <f t="shared" si="2"/>
        <v>0</v>
      </c>
      <c r="AD49" s="95">
        <f t="shared" si="2"/>
        <v>0</v>
      </c>
      <c r="AE49" s="95">
        <f t="shared" si="2"/>
        <v>0</v>
      </c>
      <c r="AF49" s="95">
        <f t="shared" si="2"/>
        <v>0</v>
      </c>
      <c r="AG49" s="95">
        <f t="shared" si="2"/>
        <v>0</v>
      </c>
      <c r="AH49" s="95">
        <f t="shared" si="2"/>
        <v>0</v>
      </c>
      <c r="AI49" s="95">
        <f t="shared" si="2"/>
        <v>0</v>
      </c>
      <c r="AJ49" s="95">
        <f t="shared" si="2"/>
        <v>0</v>
      </c>
      <c r="AK49" s="95">
        <f t="shared" si="2"/>
        <v>0</v>
      </c>
      <c r="AL49" s="95">
        <f t="shared" si="2"/>
        <v>0</v>
      </c>
      <c r="AM49" s="95">
        <f t="shared" si="2"/>
        <v>0</v>
      </c>
      <c r="AN49" s="160"/>
    </row>
    <row r="50" spans="1:67">
      <c r="A50" s="94" t="s">
        <v>62</v>
      </c>
      <c r="B50" s="95"/>
      <c r="C50" s="96">
        <f>D50+E50+L50</f>
        <v>0</v>
      </c>
      <c r="D50" s="95">
        <f>D49*4</f>
        <v>0</v>
      </c>
      <c r="E50" s="95">
        <f>E49*9</f>
        <v>0</v>
      </c>
      <c r="F50" s="95">
        <f>F49*9</f>
        <v>0</v>
      </c>
      <c r="G50" s="95">
        <f>G49*9</f>
        <v>0</v>
      </c>
      <c r="H50" s="95">
        <f>H49*9</f>
        <v>0</v>
      </c>
      <c r="I50" s="95"/>
      <c r="J50" s="95"/>
      <c r="K50" s="95"/>
      <c r="L50" s="95">
        <f>L49*4</f>
        <v>0</v>
      </c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7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160"/>
    </row>
    <row r="51" spans="1:67">
      <c r="A51" s="307" t="s">
        <v>63</v>
      </c>
      <c r="B51" s="95"/>
      <c r="C51" s="95"/>
      <c r="D51" s="96" t="e">
        <f>D50/C50*100</f>
        <v>#DIV/0!</v>
      </c>
      <c r="E51" s="96" t="e">
        <f>E50/C50*100</f>
        <v>#DIV/0!</v>
      </c>
      <c r="F51" s="96" t="e">
        <f>F50/C50*100</f>
        <v>#DIV/0!</v>
      </c>
      <c r="G51" s="96" t="e">
        <f>G50/C50*100</f>
        <v>#DIV/0!</v>
      </c>
      <c r="H51" s="96" t="e">
        <f>H50/C50*100</f>
        <v>#DIV/0!</v>
      </c>
      <c r="I51" s="96"/>
      <c r="J51" s="96"/>
      <c r="K51" s="96"/>
      <c r="L51" s="96" t="e">
        <f>L50/C50*100</f>
        <v>#DIV/0!</v>
      </c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7"/>
      <c r="AC51" s="276"/>
      <c r="AD51" s="276"/>
      <c r="AE51" s="276"/>
      <c r="AF51" s="276"/>
      <c r="AG51" s="276"/>
      <c r="AH51" s="276"/>
      <c r="AI51" s="276"/>
      <c r="AJ51" s="276"/>
      <c r="AK51" s="276"/>
      <c r="AL51" s="276"/>
      <c r="AM51" s="276"/>
      <c r="AN51" s="160"/>
    </row>
    <row r="52" spans="1:67" ht="14.25" thickBot="1">
      <c r="A52" s="137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6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160"/>
    </row>
    <row r="53" spans="1:67">
      <c r="A53" s="127" t="s">
        <v>58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60"/>
    </row>
    <row r="54" spans="1:67" customFormat="1" ht="12.75">
      <c r="A54" s="295"/>
      <c r="B54" s="293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161"/>
    </row>
    <row r="55" spans="1:67" customFormat="1" ht="12.75">
      <c r="A55" s="295"/>
      <c r="B55" s="293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161"/>
    </row>
    <row r="56" spans="1:67" customFormat="1" ht="12.75">
      <c r="A56" s="295"/>
      <c r="B56" s="293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161"/>
    </row>
    <row r="57" spans="1:67" customFormat="1" ht="12.75">
      <c r="A57" s="295"/>
      <c r="B57" s="293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161"/>
    </row>
    <row r="58" spans="1:67" customFormat="1" ht="12.75">
      <c r="A58" s="295"/>
      <c r="B58" s="293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161"/>
    </row>
    <row r="59" spans="1:67" customFormat="1" ht="12.75">
      <c r="A59" s="295"/>
      <c r="B59" s="293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161"/>
    </row>
    <row r="60" spans="1:67" s="48" customFormat="1" ht="12.75">
      <c r="A60" s="296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161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</row>
    <row r="61" spans="1:67">
      <c r="A61" s="133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2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160"/>
    </row>
    <row r="62" spans="1:67">
      <c r="A62" s="133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2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160"/>
    </row>
    <row r="63" spans="1:67">
      <c r="A63" s="94" t="s">
        <v>61</v>
      </c>
      <c r="B63" s="95"/>
      <c r="C63" s="308">
        <f>SUM(C54:C62)</f>
        <v>0</v>
      </c>
      <c r="D63" s="95">
        <f t="shared" ref="D63:AM63" si="3">SUM(D54:D62)</f>
        <v>0</v>
      </c>
      <c r="E63" s="95">
        <f t="shared" si="3"/>
        <v>0</v>
      </c>
      <c r="F63" s="95">
        <f t="shared" si="3"/>
        <v>0</v>
      </c>
      <c r="G63" s="95">
        <f t="shared" si="3"/>
        <v>0</v>
      </c>
      <c r="H63" s="95">
        <f t="shared" si="3"/>
        <v>0</v>
      </c>
      <c r="I63" s="95">
        <f t="shared" si="3"/>
        <v>0</v>
      </c>
      <c r="J63" s="95">
        <f t="shared" si="3"/>
        <v>0</v>
      </c>
      <c r="K63" s="95">
        <f t="shared" si="3"/>
        <v>0</v>
      </c>
      <c r="L63" s="95">
        <f t="shared" si="3"/>
        <v>0</v>
      </c>
      <c r="M63" s="95">
        <f t="shared" si="3"/>
        <v>0</v>
      </c>
      <c r="N63" s="95">
        <f t="shared" si="3"/>
        <v>0</v>
      </c>
      <c r="O63" s="95">
        <f t="shared" si="3"/>
        <v>0</v>
      </c>
      <c r="P63" s="95">
        <f t="shared" si="3"/>
        <v>0</v>
      </c>
      <c r="Q63" s="95">
        <f t="shared" si="3"/>
        <v>0</v>
      </c>
      <c r="R63" s="95">
        <f t="shared" si="3"/>
        <v>0</v>
      </c>
      <c r="S63" s="95">
        <f t="shared" si="3"/>
        <v>0</v>
      </c>
      <c r="T63" s="95">
        <f t="shared" si="3"/>
        <v>0</v>
      </c>
      <c r="U63" s="95">
        <f t="shared" si="3"/>
        <v>0</v>
      </c>
      <c r="V63" s="95">
        <f t="shared" si="3"/>
        <v>0</v>
      </c>
      <c r="W63" s="95">
        <f t="shared" si="3"/>
        <v>0</v>
      </c>
      <c r="X63" s="95">
        <f t="shared" si="3"/>
        <v>0</v>
      </c>
      <c r="Y63" s="95">
        <f t="shared" si="3"/>
        <v>0</v>
      </c>
      <c r="Z63" s="95">
        <f t="shared" si="3"/>
        <v>0</v>
      </c>
      <c r="AA63" s="95">
        <f t="shared" si="3"/>
        <v>0</v>
      </c>
      <c r="AB63" s="97">
        <f t="shared" si="3"/>
        <v>0</v>
      </c>
      <c r="AC63" s="97">
        <f t="shared" si="3"/>
        <v>0</v>
      </c>
      <c r="AD63" s="97">
        <f t="shared" si="3"/>
        <v>0</v>
      </c>
      <c r="AE63" s="97">
        <f t="shared" si="3"/>
        <v>0</v>
      </c>
      <c r="AF63" s="97">
        <f t="shared" si="3"/>
        <v>0</v>
      </c>
      <c r="AG63" s="97">
        <f t="shared" si="3"/>
        <v>0</v>
      </c>
      <c r="AH63" s="97">
        <f t="shared" si="3"/>
        <v>0</v>
      </c>
      <c r="AI63" s="97">
        <f t="shared" si="3"/>
        <v>0</v>
      </c>
      <c r="AJ63" s="97">
        <f t="shared" si="3"/>
        <v>0</v>
      </c>
      <c r="AK63" s="97">
        <f t="shared" si="3"/>
        <v>0</v>
      </c>
      <c r="AL63" s="97">
        <f t="shared" si="3"/>
        <v>0</v>
      </c>
      <c r="AM63" s="97">
        <f t="shared" si="3"/>
        <v>0</v>
      </c>
      <c r="AN63" s="160"/>
    </row>
    <row r="64" spans="1:67">
      <c r="A64" s="94" t="s">
        <v>62</v>
      </c>
      <c r="B64" s="95"/>
      <c r="C64" s="96">
        <f>D64+E64+L64</f>
        <v>0</v>
      </c>
      <c r="D64" s="95">
        <f>D63*4</f>
        <v>0</v>
      </c>
      <c r="E64" s="95">
        <f>E63*9</f>
        <v>0</v>
      </c>
      <c r="F64" s="95">
        <f>F63*9</f>
        <v>0</v>
      </c>
      <c r="G64" s="95">
        <f>G63*9</f>
        <v>0</v>
      </c>
      <c r="H64" s="95">
        <f>H63*9</f>
        <v>0</v>
      </c>
      <c r="I64" s="95"/>
      <c r="J64" s="95"/>
      <c r="K64" s="95"/>
      <c r="L64" s="95">
        <f>L63*4</f>
        <v>0</v>
      </c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7"/>
      <c r="AC64" s="276"/>
      <c r="AD64" s="276"/>
      <c r="AE64" s="276"/>
      <c r="AF64" s="276"/>
      <c r="AG64" s="276"/>
      <c r="AH64" s="276"/>
      <c r="AI64" s="276"/>
      <c r="AJ64" s="276"/>
      <c r="AK64" s="276"/>
      <c r="AL64" s="276"/>
      <c r="AM64" s="276"/>
      <c r="AN64" s="160"/>
    </row>
    <row r="65" spans="1:40">
      <c r="A65" s="307" t="s">
        <v>63</v>
      </c>
      <c r="B65" s="95"/>
      <c r="C65" s="95"/>
      <c r="D65" s="96" t="e">
        <f>D64/C64*100</f>
        <v>#DIV/0!</v>
      </c>
      <c r="E65" s="96" t="e">
        <f>E64/C64*100</f>
        <v>#DIV/0!</v>
      </c>
      <c r="F65" s="96" t="e">
        <f>F64/C64*100</f>
        <v>#DIV/0!</v>
      </c>
      <c r="G65" s="96" t="e">
        <f>G64/C64*100</f>
        <v>#DIV/0!</v>
      </c>
      <c r="H65" s="96" t="e">
        <f>H64/C64*100</f>
        <v>#DIV/0!</v>
      </c>
      <c r="I65" s="96"/>
      <c r="J65" s="96"/>
      <c r="K65" s="96"/>
      <c r="L65" s="96" t="e">
        <f>L64/C64*100</f>
        <v>#DIV/0!</v>
      </c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7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160"/>
    </row>
    <row r="66" spans="1:40" ht="14.25" thickBot="1">
      <c r="A66" s="137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6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160"/>
    </row>
    <row r="67" spans="1:40">
      <c r="A67" s="127" t="s">
        <v>59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60"/>
    </row>
    <row r="68" spans="1:40" customFormat="1" ht="12.75">
      <c r="A68" s="295"/>
      <c r="B68" s="293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161"/>
    </row>
    <row r="69" spans="1:40" customFormat="1" ht="12.75">
      <c r="A69" s="295"/>
      <c r="B69" s="293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161"/>
    </row>
    <row r="70" spans="1:40" customFormat="1" ht="12.75">
      <c r="A70" s="295"/>
      <c r="B70" s="293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161"/>
    </row>
    <row r="71" spans="1:40" customFormat="1" ht="12.75">
      <c r="A71" s="292"/>
      <c r="B71" s="293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161"/>
    </row>
    <row r="72" spans="1:40" customFormat="1" ht="12.75">
      <c r="A72" s="295"/>
      <c r="B72" s="293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161"/>
    </row>
    <row r="73" spans="1:40">
      <c r="A73" s="133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2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160"/>
    </row>
    <row r="74" spans="1:40">
      <c r="A74" s="133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2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160"/>
    </row>
    <row r="75" spans="1:40">
      <c r="A75" s="133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2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160"/>
    </row>
    <row r="76" spans="1:40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2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60"/>
    </row>
    <row r="77" spans="1:40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2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60"/>
    </row>
    <row r="78" spans="1:40">
      <c r="A78" s="133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2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60"/>
    </row>
    <row r="79" spans="1:40">
      <c r="A79" s="133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2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60"/>
    </row>
    <row r="80" spans="1:40">
      <c r="A80" s="94" t="s">
        <v>61</v>
      </c>
      <c r="B80" s="95"/>
      <c r="C80" s="95">
        <f>SUM(C68:C79)</f>
        <v>0</v>
      </c>
      <c r="D80" s="95">
        <f t="shared" ref="D80:AM80" si="4">SUM(D68:D79)</f>
        <v>0</v>
      </c>
      <c r="E80" s="95">
        <f t="shared" si="4"/>
        <v>0</v>
      </c>
      <c r="F80" s="95">
        <f t="shared" si="4"/>
        <v>0</v>
      </c>
      <c r="G80" s="95">
        <f t="shared" si="4"/>
        <v>0</v>
      </c>
      <c r="H80" s="95">
        <f t="shared" si="4"/>
        <v>0</v>
      </c>
      <c r="I80" s="95">
        <f t="shared" si="4"/>
        <v>0</v>
      </c>
      <c r="J80" s="95">
        <f t="shared" si="4"/>
        <v>0</v>
      </c>
      <c r="K80" s="95">
        <f t="shared" si="4"/>
        <v>0</v>
      </c>
      <c r="L80" s="95">
        <f t="shared" si="4"/>
        <v>0</v>
      </c>
      <c r="M80" s="95">
        <f t="shared" si="4"/>
        <v>0</v>
      </c>
      <c r="N80" s="95">
        <f t="shared" si="4"/>
        <v>0</v>
      </c>
      <c r="O80" s="95">
        <f t="shared" si="4"/>
        <v>0</v>
      </c>
      <c r="P80" s="95">
        <f t="shared" si="4"/>
        <v>0</v>
      </c>
      <c r="Q80" s="95">
        <f t="shared" si="4"/>
        <v>0</v>
      </c>
      <c r="R80" s="95">
        <f t="shared" si="4"/>
        <v>0</v>
      </c>
      <c r="S80" s="95">
        <f t="shared" si="4"/>
        <v>0</v>
      </c>
      <c r="T80" s="95">
        <f t="shared" si="4"/>
        <v>0</v>
      </c>
      <c r="U80" s="95">
        <f t="shared" si="4"/>
        <v>0</v>
      </c>
      <c r="V80" s="95">
        <f t="shared" si="4"/>
        <v>0</v>
      </c>
      <c r="W80" s="95">
        <f t="shared" si="4"/>
        <v>0</v>
      </c>
      <c r="X80" s="95">
        <f t="shared" si="4"/>
        <v>0</v>
      </c>
      <c r="Y80" s="95">
        <f t="shared" si="4"/>
        <v>0</v>
      </c>
      <c r="Z80" s="95">
        <f t="shared" si="4"/>
        <v>0</v>
      </c>
      <c r="AA80" s="95">
        <f t="shared" si="4"/>
        <v>0</v>
      </c>
      <c r="AB80" s="95">
        <f t="shared" si="4"/>
        <v>0</v>
      </c>
      <c r="AC80" s="95">
        <f t="shared" si="4"/>
        <v>0</v>
      </c>
      <c r="AD80" s="95">
        <f t="shared" si="4"/>
        <v>0</v>
      </c>
      <c r="AE80" s="95">
        <f t="shared" si="4"/>
        <v>0</v>
      </c>
      <c r="AF80" s="95">
        <f t="shared" si="4"/>
        <v>0</v>
      </c>
      <c r="AG80" s="95">
        <f t="shared" si="4"/>
        <v>0</v>
      </c>
      <c r="AH80" s="95">
        <f t="shared" si="4"/>
        <v>0</v>
      </c>
      <c r="AI80" s="95">
        <f t="shared" si="4"/>
        <v>0</v>
      </c>
      <c r="AJ80" s="95">
        <f t="shared" si="4"/>
        <v>0</v>
      </c>
      <c r="AK80" s="95">
        <f t="shared" si="4"/>
        <v>0</v>
      </c>
      <c r="AL80" s="95">
        <f t="shared" si="4"/>
        <v>0</v>
      </c>
      <c r="AM80" s="95">
        <f t="shared" si="4"/>
        <v>0</v>
      </c>
      <c r="AN80" s="160"/>
    </row>
    <row r="81" spans="1:40">
      <c r="A81" s="94" t="s">
        <v>62</v>
      </c>
      <c r="B81" s="95"/>
      <c r="C81" s="96">
        <f>D81+E81+L81</f>
        <v>0</v>
      </c>
      <c r="D81" s="95">
        <f>D80*4</f>
        <v>0</v>
      </c>
      <c r="E81" s="95">
        <f>E80*9</f>
        <v>0</v>
      </c>
      <c r="F81" s="95">
        <f>F80*9</f>
        <v>0</v>
      </c>
      <c r="G81" s="95">
        <f>G80*9</f>
        <v>0</v>
      </c>
      <c r="H81" s="95">
        <f>H80*9</f>
        <v>0</v>
      </c>
      <c r="I81" s="95"/>
      <c r="J81" s="95"/>
      <c r="K81" s="95"/>
      <c r="L81" s="95">
        <f>L80*4</f>
        <v>0</v>
      </c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7"/>
      <c r="AC81" s="276"/>
      <c r="AD81" s="276"/>
      <c r="AE81" s="276"/>
      <c r="AF81" s="276"/>
      <c r="AG81" s="276"/>
      <c r="AH81" s="276"/>
      <c r="AI81" s="276"/>
      <c r="AJ81" s="276"/>
      <c r="AK81" s="276"/>
      <c r="AL81" s="276"/>
      <c r="AM81" s="276"/>
      <c r="AN81" s="160"/>
    </row>
    <row r="82" spans="1:40">
      <c r="A82" s="307" t="s">
        <v>63</v>
      </c>
      <c r="B82" s="95"/>
      <c r="C82" s="95"/>
      <c r="D82" s="96" t="e">
        <f>D81/C81*100</f>
        <v>#DIV/0!</v>
      </c>
      <c r="E82" s="96" t="e">
        <f>E81/C81*100</f>
        <v>#DIV/0!</v>
      </c>
      <c r="F82" s="96" t="e">
        <f>F81/C81*100</f>
        <v>#DIV/0!</v>
      </c>
      <c r="G82" s="96" t="e">
        <f>G81/C81*100</f>
        <v>#DIV/0!</v>
      </c>
      <c r="H82" s="96" t="e">
        <f>H81/C81*100</f>
        <v>#DIV/0!</v>
      </c>
      <c r="I82" s="96"/>
      <c r="J82" s="96"/>
      <c r="K82" s="96"/>
      <c r="L82" s="96" t="e">
        <f>L81/C81*100</f>
        <v>#DIV/0!</v>
      </c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7"/>
      <c r="AC82" s="276"/>
      <c r="AD82" s="276"/>
      <c r="AE82" s="276"/>
      <c r="AF82" s="276"/>
      <c r="AG82" s="276"/>
      <c r="AH82" s="276"/>
      <c r="AI82" s="276"/>
      <c r="AJ82" s="276"/>
      <c r="AK82" s="276"/>
      <c r="AL82" s="276"/>
      <c r="AM82" s="276"/>
      <c r="AN82" s="160"/>
    </row>
    <row r="83" spans="1:40" ht="14.25" thickBot="1">
      <c r="A83" s="137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6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  <c r="AN83" s="160"/>
    </row>
    <row r="84" spans="1:40">
      <c r="A84" s="127" t="s">
        <v>60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60"/>
    </row>
    <row r="85" spans="1:40" customFormat="1" ht="12.75">
      <c r="A85" s="292"/>
      <c r="B85" s="293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161"/>
    </row>
    <row r="86" spans="1:40" customFormat="1" ht="12.75">
      <c r="A86" s="295"/>
      <c r="B86" s="293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161"/>
    </row>
    <row r="87" spans="1:40" customFormat="1" ht="12.75">
      <c r="A87" s="295"/>
      <c r="B87" s="293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  <c r="AN87" s="161"/>
    </row>
    <row r="88" spans="1:40" customFormat="1" ht="12.75">
      <c r="A88" s="295"/>
      <c r="B88" s="293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161"/>
    </row>
    <row r="89" spans="1:40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60"/>
    </row>
    <row r="90" spans="1:40">
      <c r="A90" s="133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60"/>
    </row>
    <row r="91" spans="1:40">
      <c r="A91" s="133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60"/>
    </row>
    <row r="92" spans="1:40">
      <c r="A92" s="133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60"/>
    </row>
    <row r="93" spans="1:40">
      <c r="A93" s="133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60"/>
    </row>
    <row r="94" spans="1:40">
      <c r="A94" s="94" t="s">
        <v>61</v>
      </c>
      <c r="B94" s="95"/>
      <c r="C94" s="95">
        <f>SUM(C85:C92)</f>
        <v>0</v>
      </c>
      <c r="D94" s="95">
        <f t="shared" ref="D94:AM94" si="5">SUM(D85:D92)</f>
        <v>0</v>
      </c>
      <c r="E94" s="95">
        <f t="shared" si="5"/>
        <v>0</v>
      </c>
      <c r="F94" s="95">
        <f t="shared" si="5"/>
        <v>0</v>
      </c>
      <c r="G94" s="95">
        <f t="shared" si="5"/>
        <v>0</v>
      </c>
      <c r="H94" s="95">
        <f t="shared" si="5"/>
        <v>0</v>
      </c>
      <c r="I94" s="95">
        <f t="shared" si="5"/>
        <v>0</v>
      </c>
      <c r="J94" s="95">
        <f t="shared" si="5"/>
        <v>0</v>
      </c>
      <c r="K94" s="95">
        <f t="shared" si="5"/>
        <v>0</v>
      </c>
      <c r="L94" s="95">
        <f t="shared" si="5"/>
        <v>0</v>
      </c>
      <c r="M94" s="95">
        <f t="shared" si="5"/>
        <v>0</v>
      </c>
      <c r="N94" s="95">
        <f t="shared" si="5"/>
        <v>0</v>
      </c>
      <c r="O94" s="95">
        <f t="shared" si="5"/>
        <v>0</v>
      </c>
      <c r="P94" s="95">
        <f t="shared" si="5"/>
        <v>0</v>
      </c>
      <c r="Q94" s="95">
        <f t="shared" si="5"/>
        <v>0</v>
      </c>
      <c r="R94" s="95">
        <f t="shared" si="5"/>
        <v>0</v>
      </c>
      <c r="S94" s="95">
        <f t="shared" si="5"/>
        <v>0</v>
      </c>
      <c r="T94" s="95">
        <f t="shared" si="5"/>
        <v>0</v>
      </c>
      <c r="U94" s="95">
        <f t="shared" si="5"/>
        <v>0</v>
      </c>
      <c r="V94" s="95">
        <f t="shared" si="5"/>
        <v>0</v>
      </c>
      <c r="W94" s="95">
        <f t="shared" si="5"/>
        <v>0</v>
      </c>
      <c r="X94" s="95">
        <f t="shared" si="5"/>
        <v>0</v>
      </c>
      <c r="Y94" s="95">
        <f t="shared" si="5"/>
        <v>0</v>
      </c>
      <c r="Z94" s="95">
        <f t="shared" si="5"/>
        <v>0</v>
      </c>
      <c r="AA94" s="95">
        <f t="shared" si="5"/>
        <v>0</v>
      </c>
      <c r="AB94" s="95">
        <f t="shared" si="5"/>
        <v>0</v>
      </c>
      <c r="AC94" s="95">
        <f t="shared" si="5"/>
        <v>0</v>
      </c>
      <c r="AD94" s="95">
        <f t="shared" si="5"/>
        <v>0</v>
      </c>
      <c r="AE94" s="95">
        <f t="shared" si="5"/>
        <v>0</v>
      </c>
      <c r="AF94" s="95">
        <f t="shared" si="5"/>
        <v>0</v>
      </c>
      <c r="AG94" s="95">
        <f t="shared" si="5"/>
        <v>0</v>
      </c>
      <c r="AH94" s="95">
        <f t="shared" si="5"/>
        <v>0</v>
      </c>
      <c r="AI94" s="95">
        <f t="shared" si="5"/>
        <v>0</v>
      </c>
      <c r="AJ94" s="95">
        <f t="shared" si="5"/>
        <v>0</v>
      </c>
      <c r="AK94" s="95">
        <f t="shared" si="5"/>
        <v>0</v>
      </c>
      <c r="AL94" s="95">
        <f t="shared" si="5"/>
        <v>0</v>
      </c>
      <c r="AM94" s="95">
        <f t="shared" si="5"/>
        <v>0</v>
      </c>
      <c r="AN94" s="160"/>
    </row>
    <row r="95" spans="1:40">
      <c r="A95" s="94" t="s">
        <v>62</v>
      </c>
      <c r="B95" s="95"/>
      <c r="C95" s="96">
        <f>D95+E95+L95</f>
        <v>0</v>
      </c>
      <c r="D95" s="95">
        <f>D94*4</f>
        <v>0</v>
      </c>
      <c r="E95" s="95">
        <f>E94*9</f>
        <v>0</v>
      </c>
      <c r="F95" s="95">
        <f>F94*9</f>
        <v>0</v>
      </c>
      <c r="G95" s="95">
        <f>G94*9</f>
        <v>0</v>
      </c>
      <c r="H95" s="95">
        <f>H94*9</f>
        <v>0</v>
      </c>
      <c r="I95" s="95"/>
      <c r="J95" s="95"/>
      <c r="K95" s="95"/>
      <c r="L95" s="95">
        <f>L94*4</f>
        <v>0</v>
      </c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7"/>
      <c r="AC95" s="276"/>
      <c r="AD95" s="276"/>
      <c r="AE95" s="276"/>
      <c r="AF95" s="276"/>
      <c r="AG95" s="276"/>
      <c r="AH95" s="276"/>
      <c r="AI95" s="276"/>
      <c r="AJ95" s="276"/>
      <c r="AK95" s="276"/>
      <c r="AL95" s="276"/>
      <c r="AM95" s="276"/>
      <c r="AN95" s="160"/>
    </row>
    <row r="96" spans="1:40">
      <c r="A96" s="307" t="s">
        <v>63</v>
      </c>
      <c r="B96" s="95"/>
      <c r="C96" s="95"/>
      <c r="D96" s="96" t="e">
        <f>D95/C95*100</f>
        <v>#DIV/0!</v>
      </c>
      <c r="E96" s="96" t="e">
        <f>E95/C95*100</f>
        <v>#DIV/0!</v>
      </c>
      <c r="F96" s="96" t="e">
        <f>F95/C95*100</f>
        <v>#DIV/0!</v>
      </c>
      <c r="G96" s="96" t="e">
        <f>G95/C95*100</f>
        <v>#DIV/0!</v>
      </c>
      <c r="H96" s="96" t="e">
        <f>H95/C95*100</f>
        <v>#DIV/0!</v>
      </c>
      <c r="I96" s="96"/>
      <c r="J96" s="96"/>
      <c r="K96" s="96"/>
      <c r="L96" s="96" t="e">
        <f>L95/C95*100</f>
        <v>#DIV/0!</v>
      </c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7"/>
      <c r="AC96" s="276"/>
      <c r="AD96" s="276"/>
      <c r="AE96" s="276"/>
      <c r="AF96" s="276"/>
      <c r="AG96" s="276"/>
      <c r="AH96" s="276"/>
      <c r="AI96" s="276"/>
      <c r="AJ96" s="276"/>
      <c r="AK96" s="276"/>
      <c r="AL96" s="276"/>
      <c r="AM96" s="276"/>
      <c r="AN96" s="160"/>
    </row>
    <row r="97" spans="1:40">
      <c r="A97" s="307"/>
      <c r="B97" s="310"/>
      <c r="C97" s="310"/>
      <c r="D97" s="311"/>
      <c r="E97" s="311"/>
      <c r="F97" s="311"/>
      <c r="G97" s="311"/>
      <c r="H97" s="311"/>
      <c r="I97" s="311"/>
      <c r="J97" s="311"/>
      <c r="K97" s="311"/>
      <c r="L97" s="311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2"/>
      <c r="AC97" s="276"/>
      <c r="AD97" s="276"/>
      <c r="AE97" s="276"/>
      <c r="AF97" s="276"/>
      <c r="AG97" s="276"/>
      <c r="AH97" s="276"/>
      <c r="AI97" s="276"/>
      <c r="AJ97" s="276"/>
      <c r="AK97" s="276"/>
      <c r="AL97" s="276"/>
      <c r="AM97" s="276"/>
      <c r="AN97" s="160"/>
    </row>
    <row r="98" spans="1:40" ht="14.25" thickBot="1">
      <c r="A98" s="137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6"/>
      <c r="AC98" s="294"/>
      <c r="AD98" s="294"/>
      <c r="AE98" s="294"/>
      <c r="AF98" s="294"/>
      <c r="AG98" s="294"/>
      <c r="AH98" s="294"/>
      <c r="AI98" s="294"/>
      <c r="AJ98" s="294"/>
      <c r="AK98" s="294"/>
      <c r="AL98" s="294"/>
      <c r="AM98" s="294"/>
      <c r="AN98" s="160"/>
    </row>
    <row r="99" spans="1:40" ht="14.25" thickBot="1">
      <c r="A99" s="297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294"/>
      <c r="AD99" s="294"/>
      <c r="AE99" s="294"/>
      <c r="AF99" s="294"/>
      <c r="AG99" s="294"/>
      <c r="AH99" s="294"/>
      <c r="AI99" s="294"/>
      <c r="AJ99" s="294"/>
      <c r="AK99" s="294"/>
      <c r="AL99" s="294"/>
      <c r="AM99" s="294"/>
      <c r="AN99" s="160"/>
    </row>
    <row r="100" spans="1:40" ht="32.25" customHeight="1">
      <c r="A100" s="86"/>
      <c r="B100" s="87"/>
      <c r="C100" s="88" t="s">
        <v>2</v>
      </c>
      <c r="D100" s="88" t="s">
        <v>3</v>
      </c>
      <c r="E100" s="88" t="s">
        <v>4</v>
      </c>
      <c r="F100" s="88" t="s">
        <v>49</v>
      </c>
      <c r="G100" s="88" t="s">
        <v>50</v>
      </c>
      <c r="H100" s="88" t="s">
        <v>51</v>
      </c>
      <c r="I100" s="88" t="s">
        <v>52</v>
      </c>
      <c r="J100" s="88" t="s">
        <v>53</v>
      </c>
      <c r="K100" s="88" t="s">
        <v>5</v>
      </c>
      <c r="L100" s="88" t="s">
        <v>6</v>
      </c>
      <c r="M100" s="88" t="s">
        <v>7</v>
      </c>
      <c r="N100" s="88" t="s">
        <v>8</v>
      </c>
      <c r="O100" s="88" t="s">
        <v>9</v>
      </c>
      <c r="P100" s="88" t="s">
        <v>10</v>
      </c>
      <c r="Q100" s="88" t="s">
        <v>11</v>
      </c>
      <c r="R100" s="88" t="s">
        <v>12</v>
      </c>
      <c r="S100" s="88" t="s">
        <v>13</v>
      </c>
      <c r="T100" s="88" t="s">
        <v>14</v>
      </c>
      <c r="U100" s="88" t="s">
        <v>15</v>
      </c>
      <c r="V100" s="88" t="s">
        <v>16</v>
      </c>
      <c r="W100" s="88" t="s">
        <v>17</v>
      </c>
      <c r="X100" s="88" t="s">
        <v>18</v>
      </c>
      <c r="Y100" s="88" t="s">
        <v>19</v>
      </c>
      <c r="Z100" s="88" t="s">
        <v>20</v>
      </c>
      <c r="AA100" s="88" t="s">
        <v>21</v>
      </c>
      <c r="AB100" s="89" t="s">
        <v>22</v>
      </c>
      <c r="AC100" s="305" t="s">
        <v>3036</v>
      </c>
      <c r="AD100" s="305" t="s">
        <v>3037</v>
      </c>
      <c r="AE100" s="305" t="s">
        <v>3038</v>
      </c>
      <c r="AF100" s="305" t="s">
        <v>3039</v>
      </c>
      <c r="AG100" s="305" t="s">
        <v>3040</v>
      </c>
      <c r="AH100" s="305" t="s">
        <v>3041</v>
      </c>
      <c r="AI100" s="305" t="s">
        <v>3042</v>
      </c>
      <c r="AJ100" s="305" t="s">
        <v>3043</v>
      </c>
      <c r="AK100" s="305" t="s">
        <v>3044</v>
      </c>
      <c r="AL100" s="305" t="s">
        <v>3045</v>
      </c>
      <c r="AM100" s="305" t="s">
        <v>3046</v>
      </c>
      <c r="AN100" s="160"/>
    </row>
    <row r="101" spans="1:40">
      <c r="A101" s="90" t="s">
        <v>64</v>
      </c>
      <c r="B101" s="91"/>
      <c r="C101" s="92">
        <f>C18+C31+C50+C64+C81+C95</f>
        <v>201.71999999999997</v>
      </c>
      <c r="D101" s="91">
        <f t="shared" ref="D101:AM101" si="6">D17+D30+D49+D63+D80+D94</f>
        <v>7.7499999999999991</v>
      </c>
      <c r="E101" s="91">
        <f t="shared" si="6"/>
        <v>8.759999999999998</v>
      </c>
      <c r="F101" s="91">
        <f t="shared" si="6"/>
        <v>3.42</v>
      </c>
      <c r="G101" s="91">
        <f t="shared" si="6"/>
        <v>1.74</v>
      </c>
      <c r="H101" s="91">
        <f t="shared" si="6"/>
        <v>0.12</v>
      </c>
      <c r="I101" s="91">
        <f t="shared" si="6"/>
        <v>9</v>
      </c>
      <c r="J101" s="91">
        <f t="shared" si="6"/>
        <v>1.7999999999999999E-2</v>
      </c>
      <c r="K101" s="91">
        <f t="shared" si="6"/>
        <v>18.600000000000001</v>
      </c>
      <c r="L101" s="91">
        <f t="shared" si="6"/>
        <v>22.97</v>
      </c>
      <c r="M101" s="91">
        <f t="shared" si="6"/>
        <v>3.08</v>
      </c>
      <c r="N101" s="91">
        <f t="shared" si="6"/>
        <v>221.11</v>
      </c>
      <c r="O101" s="91">
        <f t="shared" si="6"/>
        <v>46.96</v>
      </c>
      <c r="P101" s="91">
        <f t="shared" si="6"/>
        <v>0.13600000000000001</v>
      </c>
      <c r="Q101" s="91">
        <f t="shared" si="6"/>
        <v>70.650000000000006</v>
      </c>
      <c r="R101" s="91">
        <f t="shared" si="6"/>
        <v>0.66</v>
      </c>
      <c r="S101" s="91">
        <f t="shared" si="6"/>
        <v>16.559999999999999</v>
      </c>
      <c r="T101" s="91">
        <f t="shared" si="6"/>
        <v>655.93000000000006</v>
      </c>
      <c r="U101" s="91">
        <f t="shared" si="6"/>
        <v>2.3199999999999998</v>
      </c>
      <c r="V101" s="91">
        <f t="shared" si="6"/>
        <v>0.21</v>
      </c>
      <c r="W101" s="91">
        <f t="shared" si="6"/>
        <v>48.15</v>
      </c>
      <c r="X101" s="91">
        <f t="shared" si="6"/>
        <v>0.05</v>
      </c>
      <c r="Y101" s="91">
        <f t="shared" si="6"/>
        <v>0.12000000000000001</v>
      </c>
      <c r="Z101" s="91">
        <f t="shared" si="6"/>
        <v>0</v>
      </c>
      <c r="AA101" s="91">
        <f t="shared" si="6"/>
        <v>0</v>
      </c>
      <c r="AB101" s="93">
        <f t="shared" si="6"/>
        <v>133.5</v>
      </c>
      <c r="AC101" s="93">
        <f t="shared" si="6"/>
        <v>0</v>
      </c>
      <c r="AD101" s="93">
        <f t="shared" si="6"/>
        <v>0</v>
      </c>
      <c r="AE101" s="93">
        <f t="shared" si="6"/>
        <v>0</v>
      </c>
      <c r="AF101" s="93">
        <f t="shared" si="6"/>
        <v>0</v>
      </c>
      <c r="AG101" s="93">
        <f t="shared" si="6"/>
        <v>0</v>
      </c>
      <c r="AH101" s="93">
        <f t="shared" si="6"/>
        <v>0</v>
      </c>
      <c r="AI101" s="93">
        <f t="shared" si="6"/>
        <v>0</v>
      </c>
      <c r="AJ101" s="93">
        <f t="shared" si="6"/>
        <v>0</v>
      </c>
      <c r="AK101" s="93">
        <f t="shared" si="6"/>
        <v>0</v>
      </c>
      <c r="AL101" s="93">
        <f t="shared" si="6"/>
        <v>0</v>
      </c>
      <c r="AM101" s="93">
        <f t="shared" si="6"/>
        <v>0</v>
      </c>
      <c r="AN101" s="160"/>
    </row>
    <row r="102" spans="1:40">
      <c r="A102" s="94" t="s">
        <v>65</v>
      </c>
      <c r="B102" s="95"/>
      <c r="C102" s="95"/>
      <c r="D102" s="96">
        <f>D101*4/C101*100</f>
        <v>15.36783660519532</v>
      </c>
      <c r="E102" s="96">
        <f>E101*9/C101*100</f>
        <v>39.083878643664477</v>
      </c>
      <c r="F102" s="96">
        <f>F101*9/C101*100</f>
        <v>15.258774538964905</v>
      </c>
      <c r="G102" s="96">
        <f>G101*9/C101*100</f>
        <v>7.7632361689470564</v>
      </c>
      <c r="H102" s="96">
        <f>H101*9/C101*100</f>
        <v>0.53539559785841773</v>
      </c>
      <c r="I102" s="96"/>
      <c r="J102" s="96"/>
      <c r="K102" s="96"/>
      <c r="L102" s="96">
        <f>L101*4/C101*100</f>
        <v>45.548284751140201</v>
      </c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7"/>
      <c r="AC102" s="276"/>
      <c r="AD102" s="276"/>
      <c r="AE102" s="276"/>
      <c r="AF102" s="276"/>
      <c r="AG102" s="276"/>
      <c r="AH102" s="276"/>
      <c r="AI102" s="276"/>
      <c r="AJ102" s="276"/>
      <c r="AK102" s="276"/>
      <c r="AL102" s="276"/>
      <c r="AM102" s="276"/>
      <c r="AN102" s="160"/>
    </row>
    <row r="103" spans="1:40" ht="14.25" thickBot="1">
      <c r="A103" s="98" t="s">
        <v>956</v>
      </c>
      <c r="B103" s="99"/>
      <c r="C103" s="99"/>
      <c r="D103" s="100" t="e">
        <f>D101/B2</f>
        <v>#DIV/0!</v>
      </c>
      <c r="E103" s="100" t="e">
        <f>E101/B2</f>
        <v>#DIV/0!</v>
      </c>
      <c r="F103" s="100" t="e">
        <f>F101/B2</f>
        <v>#DIV/0!</v>
      </c>
      <c r="G103" s="100" t="e">
        <f>G101/B2</f>
        <v>#DIV/0!</v>
      </c>
      <c r="H103" s="100" t="e">
        <f>H101/B2</f>
        <v>#DIV/0!</v>
      </c>
      <c r="I103" s="100" t="e">
        <f>I101/B2</f>
        <v>#DIV/0!</v>
      </c>
      <c r="J103" s="100" t="e">
        <f>J101/B2</f>
        <v>#DIV/0!</v>
      </c>
      <c r="K103" s="100" t="e">
        <f>K101/B2</f>
        <v>#DIV/0!</v>
      </c>
      <c r="L103" s="100" t="e">
        <f>L101/B2</f>
        <v>#DIV/0!</v>
      </c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100" t="e">
        <f>X101/B2</f>
        <v>#DIV/0!</v>
      </c>
      <c r="Y103" s="100" t="e">
        <f>Y101/B2</f>
        <v>#DIV/0!</v>
      </c>
      <c r="Z103" s="100" t="e">
        <f>Z101/B2</f>
        <v>#DIV/0!</v>
      </c>
      <c r="AA103" s="100" t="e">
        <f>AA101/B2</f>
        <v>#DIV/0!</v>
      </c>
      <c r="AB103" s="101"/>
      <c r="AC103" s="276"/>
      <c r="AD103" s="276"/>
      <c r="AE103" s="276"/>
      <c r="AF103" s="276"/>
      <c r="AG103" s="276"/>
      <c r="AH103" s="276"/>
      <c r="AI103" s="276"/>
      <c r="AJ103" s="276"/>
      <c r="AK103" s="276"/>
      <c r="AL103" s="276"/>
      <c r="AM103" s="276"/>
      <c r="AN103" s="160"/>
    </row>
    <row r="104" spans="1:40" ht="14.25" thickBot="1">
      <c r="A104" s="298"/>
      <c r="B104" s="299"/>
      <c r="C104" s="299"/>
      <c r="D104" s="300"/>
      <c r="E104" s="300"/>
      <c r="F104" s="300"/>
      <c r="G104" s="300"/>
      <c r="H104" s="300"/>
      <c r="I104" s="300"/>
      <c r="J104" s="300"/>
      <c r="K104" s="300"/>
      <c r="L104" s="300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300"/>
      <c r="Y104" s="300"/>
      <c r="Z104" s="300"/>
      <c r="AA104" s="300"/>
      <c r="AB104" s="299"/>
      <c r="AC104" s="294"/>
      <c r="AD104" s="294"/>
      <c r="AE104" s="294"/>
      <c r="AF104" s="294"/>
      <c r="AG104" s="294"/>
      <c r="AH104" s="294"/>
      <c r="AI104" s="294"/>
      <c r="AJ104" s="294"/>
      <c r="AK104" s="294"/>
      <c r="AL104" s="294"/>
      <c r="AM104" s="294"/>
      <c r="AN104" s="160"/>
    </row>
    <row r="105" spans="1:40">
      <c r="A105" s="102" t="s">
        <v>66</v>
      </c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60"/>
    </row>
    <row r="106" spans="1:40" ht="14.25" thickBot="1">
      <c r="A106" s="105" t="s">
        <v>67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101"/>
      <c r="AC106" s="276"/>
      <c r="AD106" s="276"/>
      <c r="AE106" s="276"/>
      <c r="AF106" s="276"/>
      <c r="AG106" s="276"/>
      <c r="AH106" s="276"/>
      <c r="AI106" s="276"/>
      <c r="AJ106" s="276"/>
      <c r="AK106" s="276"/>
      <c r="AL106" s="276"/>
      <c r="AM106" s="276"/>
      <c r="AN106" s="160"/>
    </row>
    <row r="107" spans="1:40">
      <c r="A107" s="106" t="s">
        <v>1027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8"/>
      <c r="O107" s="107"/>
      <c r="P107" s="107"/>
      <c r="Q107" s="107"/>
      <c r="R107" s="107"/>
      <c r="S107" s="107"/>
      <c r="T107" s="107"/>
      <c r="U107" s="107"/>
      <c r="V107" s="107"/>
      <c r="W107" s="107"/>
      <c r="X107" s="108"/>
      <c r="Y107" s="107"/>
      <c r="Z107" s="108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60"/>
    </row>
    <row r="108" spans="1:40">
      <c r="A108" s="109" t="s">
        <v>966</v>
      </c>
      <c r="B108" s="107"/>
      <c r="C108" s="107" t="s">
        <v>89</v>
      </c>
      <c r="D108" s="107">
        <v>71</v>
      </c>
      <c r="E108" s="107" t="s">
        <v>80</v>
      </c>
      <c r="F108" s="107"/>
      <c r="G108" s="107"/>
      <c r="H108" s="107"/>
      <c r="I108" s="107" t="s">
        <v>1009</v>
      </c>
      <c r="J108" s="107" t="s">
        <v>1010</v>
      </c>
      <c r="K108" s="107"/>
      <c r="L108" s="107">
        <v>175</v>
      </c>
      <c r="M108" s="107" t="s">
        <v>1001</v>
      </c>
      <c r="N108" s="108">
        <v>1300</v>
      </c>
      <c r="O108" s="107">
        <v>400</v>
      </c>
      <c r="P108" s="107" t="s">
        <v>969</v>
      </c>
      <c r="Q108" s="107">
        <v>1250</v>
      </c>
      <c r="R108" s="107">
        <v>27</v>
      </c>
      <c r="S108" s="107" t="s">
        <v>960</v>
      </c>
      <c r="T108" s="107" t="s">
        <v>975</v>
      </c>
      <c r="U108" s="107">
        <v>1</v>
      </c>
      <c r="V108" s="107">
        <v>12</v>
      </c>
      <c r="W108" s="107"/>
      <c r="X108" s="108">
        <v>1.4</v>
      </c>
      <c r="Y108" s="107">
        <v>1.4</v>
      </c>
      <c r="Z108" s="108">
        <v>1.9</v>
      </c>
      <c r="AA108" s="107">
        <v>18</v>
      </c>
      <c r="AB108" s="107">
        <v>80</v>
      </c>
      <c r="AC108" s="107"/>
      <c r="AD108" s="107"/>
      <c r="AE108" s="107"/>
      <c r="AF108" s="107"/>
      <c r="AG108" s="107"/>
      <c r="AH108" s="107"/>
      <c r="AI108" s="107"/>
      <c r="AJ108" s="107"/>
      <c r="AK108" s="107">
        <v>750</v>
      </c>
      <c r="AL108" s="107"/>
      <c r="AM108" s="107"/>
      <c r="AN108" s="160"/>
    </row>
    <row r="109" spans="1:40">
      <c r="A109" s="109" t="s">
        <v>68</v>
      </c>
      <c r="B109" s="107"/>
      <c r="C109" s="107" t="s">
        <v>90</v>
      </c>
      <c r="D109" s="107">
        <v>71</v>
      </c>
      <c r="E109" s="107" t="s">
        <v>80</v>
      </c>
      <c r="F109" s="107"/>
      <c r="G109" s="107"/>
      <c r="H109" s="107"/>
      <c r="I109" s="107" t="s">
        <v>1009</v>
      </c>
      <c r="J109" s="107" t="s">
        <v>1010</v>
      </c>
      <c r="K109" s="107"/>
      <c r="L109" s="107">
        <v>175</v>
      </c>
      <c r="M109" s="107" t="s">
        <v>1001</v>
      </c>
      <c r="N109" s="108">
        <v>1000</v>
      </c>
      <c r="O109" s="107">
        <v>350</v>
      </c>
      <c r="P109" s="107" t="s">
        <v>969</v>
      </c>
      <c r="Q109" s="107">
        <v>700</v>
      </c>
      <c r="R109" s="107">
        <v>27</v>
      </c>
      <c r="S109" s="107" t="s">
        <v>960</v>
      </c>
      <c r="T109" s="107" t="s">
        <v>975</v>
      </c>
      <c r="U109" s="107">
        <v>1</v>
      </c>
      <c r="V109" s="107">
        <v>11</v>
      </c>
      <c r="W109" s="107"/>
      <c r="X109" s="108">
        <v>1.4</v>
      </c>
      <c r="Y109" s="107">
        <v>1.4</v>
      </c>
      <c r="Z109" s="108">
        <v>1.9</v>
      </c>
      <c r="AA109" s="107">
        <v>18</v>
      </c>
      <c r="AB109" s="107">
        <v>85</v>
      </c>
      <c r="AC109" s="107"/>
      <c r="AD109" s="107"/>
      <c r="AE109" s="107"/>
      <c r="AF109" s="107"/>
      <c r="AG109" s="107"/>
      <c r="AH109" s="107"/>
      <c r="AI109" s="107"/>
      <c r="AJ109" s="107"/>
      <c r="AK109" s="107">
        <v>770</v>
      </c>
      <c r="AL109" s="107"/>
      <c r="AM109" s="107"/>
      <c r="AN109" s="160"/>
    </row>
    <row r="110" spans="1:40">
      <c r="A110" s="109" t="s">
        <v>69</v>
      </c>
      <c r="B110" s="107"/>
      <c r="C110" s="107" t="s">
        <v>90</v>
      </c>
      <c r="D110" s="107">
        <v>71</v>
      </c>
      <c r="E110" s="107" t="s">
        <v>80</v>
      </c>
      <c r="F110" s="107"/>
      <c r="G110" s="107"/>
      <c r="H110" s="107"/>
      <c r="I110" s="107" t="s">
        <v>1009</v>
      </c>
      <c r="J110" s="107" t="s">
        <v>1010</v>
      </c>
      <c r="K110" s="107"/>
      <c r="L110" s="107">
        <v>175</v>
      </c>
      <c r="M110" s="107" t="s">
        <v>1001</v>
      </c>
      <c r="N110" s="108">
        <v>1000</v>
      </c>
      <c r="O110" s="107">
        <v>360</v>
      </c>
      <c r="P110" s="107" t="s">
        <v>969</v>
      </c>
      <c r="Q110" s="107">
        <v>700</v>
      </c>
      <c r="R110" s="107">
        <v>27</v>
      </c>
      <c r="S110" s="107" t="s">
        <v>960</v>
      </c>
      <c r="T110" s="107" t="s">
        <v>975</v>
      </c>
      <c r="U110" s="107">
        <v>1</v>
      </c>
      <c r="V110" s="107">
        <v>11</v>
      </c>
      <c r="W110" s="107"/>
      <c r="X110" s="108">
        <v>1.4</v>
      </c>
      <c r="Y110" s="107">
        <v>1.4</v>
      </c>
      <c r="Z110" s="108">
        <v>1.9</v>
      </c>
      <c r="AA110" s="107">
        <v>18</v>
      </c>
      <c r="AB110" s="107">
        <v>85</v>
      </c>
      <c r="AC110" s="107"/>
      <c r="AD110" s="107"/>
      <c r="AE110" s="107"/>
      <c r="AF110" s="107"/>
      <c r="AG110" s="107"/>
      <c r="AH110" s="107"/>
      <c r="AI110" s="107"/>
      <c r="AJ110" s="107"/>
      <c r="AK110" s="107">
        <v>770</v>
      </c>
      <c r="AL110" s="107"/>
      <c r="AM110" s="107"/>
      <c r="AN110" s="160"/>
    </row>
    <row r="111" spans="1:40">
      <c r="A111" s="110" t="s">
        <v>967</v>
      </c>
      <c r="B111" s="111"/>
      <c r="C111" s="111" t="s">
        <v>91</v>
      </c>
      <c r="D111" s="111">
        <v>71</v>
      </c>
      <c r="E111" s="111" t="s">
        <v>80</v>
      </c>
      <c r="F111" s="111"/>
      <c r="G111" s="111"/>
      <c r="H111" s="111"/>
      <c r="I111" s="111" t="s">
        <v>1009</v>
      </c>
      <c r="J111" s="111" t="s">
        <v>1011</v>
      </c>
      <c r="K111" s="111"/>
      <c r="L111" s="111">
        <v>210</v>
      </c>
      <c r="M111" s="111" t="s">
        <v>1002</v>
      </c>
      <c r="N111" s="112">
        <v>1300</v>
      </c>
      <c r="O111" s="111">
        <v>360</v>
      </c>
      <c r="P111" s="111" t="s">
        <v>1000</v>
      </c>
      <c r="Q111" s="111">
        <v>1250</v>
      </c>
      <c r="R111" s="111">
        <v>10</v>
      </c>
      <c r="S111" s="111" t="s">
        <v>960</v>
      </c>
      <c r="T111" s="111" t="s">
        <v>976</v>
      </c>
      <c r="U111" s="111">
        <v>1.3</v>
      </c>
      <c r="V111" s="111">
        <v>13</v>
      </c>
      <c r="W111" s="111"/>
      <c r="X111" s="112">
        <v>1.4</v>
      </c>
      <c r="Y111" s="111">
        <v>1.6</v>
      </c>
      <c r="Z111" s="112">
        <v>2</v>
      </c>
      <c r="AA111" s="111">
        <v>17</v>
      </c>
      <c r="AB111" s="111">
        <v>115</v>
      </c>
      <c r="AC111" s="111"/>
      <c r="AD111" s="111"/>
      <c r="AE111" s="111"/>
      <c r="AF111" s="111"/>
      <c r="AG111" s="111"/>
      <c r="AH111" s="111"/>
      <c r="AI111" s="111"/>
      <c r="AJ111" s="111"/>
      <c r="AK111" s="111">
        <v>1200</v>
      </c>
      <c r="AL111" s="111"/>
      <c r="AM111" s="111"/>
      <c r="AN111" s="160"/>
    </row>
    <row r="112" spans="1:40">
      <c r="A112" s="110" t="s">
        <v>70</v>
      </c>
      <c r="B112" s="111"/>
      <c r="C112" s="111" t="s">
        <v>91</v>
      </c>
      <c r="D112" s="111">
        <v>71</v>
      </c>
      <c r="E112" s="111" t="s">
        <v>80</v>
      </c>
      <c r="F112" s="111"/>
      <c r="G112" s="111"/>
      <c r="H112" s="111"/>
      <c r="I112" s="111" t="s">
        <v>1009</v>
      </c>
      <c r="J112" s="111" t="s">
        <v>1011</v>
      </c>
      <c r="K112" s="111"/>
      <c r="L112" s="111">
        <v>210</v>
      </c>
      <c r="M112" s="111" t="s">
        <v>1002</v>
      </c>
      <c r="N112" s="112">
        <v>1000</v>
      </c>
      <c r="O112" s="111">
        <v>310</v>
      </c>
      <c r="P112" s="111" t="s">
        <v>1000</v>
      </c>
      <c r="Q112" s="111">
        <v>700</v>
      </c>
      <c r="R112" s="111">
        <v>9</v>
      </c>
      <c r="S112" s="111" t="s">
        <v>960</v>
      </c>
      <c r="T112" s="111" t="s">
        <v>976</v>
      </c>
      <c r="U112" s="111">
        <v>1.3</v>
      </c>
      <c r="V112" s="111">
        <v>12</v>
      </c>
      <c r="W112" s="111"/>
      <c r="X112" s="112">
        <v>1.4</v>
      </c>
      <c r="Y112" s="111">
        <v>1.6</v>
      </c>
      <c r="Z112" s="112">
        <v>2</v>
      </c>
      <c r="AA112" s="111">
        <v>17</v>
      </c>
      <c r="AB112" s="111">
        <v>120</v>
      </c>
      <c r="AC112" s="111"/>
      <c r="AD112" s="111"/>
      <c r="AE112" s="111"/>
      <c r="AF112" s="111"/>
      <c r="AG112" s="111"/>
      <c r="AH112" s="111"/>
      <c r="AI112" s="111"/>
      <c r="AJ112" s="111"/>
      <c r="AK112" s="111">
        <v>1300</v>
      </c>
      <c r="AL112" s="111"/>
      <c r="AM112" s="111"/>
      <c r="AN112" s="160"/>
    </row>
    <row r="113" spans="1:40">
      <c r="A113" s="110" t="s">
        <v>71</v>
      </c>
      <c r="B113" s="111"/>
      <c r="C113" s="111" t="s">
        <v>91</v>
      </c>
      <c r="D113" s="111">
        <v>71</v>
      </c>
      <c r="E113" s="111" t="s">
        <v>80</v>
      </c>
      <c r="F113" s="111"/>
      <c r="G113" s="111"/>
      <c r="H113" s="111"/>
      <c r="I113" s="111" t="s">
        <v>1009</v>
      </c>
      <c r="J113" s="111" t="s">
        <v>1011</v>
      </c>
      <c r="K113" s="111"/>
      <c r="L113" s="111">
        <v>210</v>
      </c>
      <c r="M113" s="111" t="s">
        <v>1002</v>
      </c>
      <c r="N113" s="112">
        <v>1000</v>
      </c>
      <c r="O113" s="111">
        <v>320</v>
      </c>
      <c r="P113" s="111" t="s">
        <v>1000</v>
      </c>
      <c r="Q113" s="111">
        <v>700</v>
      </c>
      <c r="R113" s="111">
        <v>9</v>
      </c>
      <c r="S113" s="111" t="s">
        <v>960</v>
      </c>
      <c r="T113" s="111" t="s">
        <v>976</v>
      </c>
      <c r="U113" s="111">
        <v>1.3</v>
      </c>
      <c r="V113" s="111">
        <v>12</v>
      </c>
      <c r="W113" s="111"/>
      <c r="X113" s="112">
        <v>1.4</v>
      </c>
      <c r="Y113" s="111">
        <v>1.6</v>
      </c>
      <c r="Z113" s="112">
        <v>2</v>
      </c>
      <c r="AA113" s="111">
        <v>17</v>
      </c>
      <c r="AB113" s="111">
        <v>120</v>
      </c>
      <c r="AC113" s="111"/>
      <c r="AD113" s="111"/>
      <c r="AE113" s="111"/>
      <c r="AF113" s="111"/>
      <c r="AG113" s="111"/>
      <c r="AH113" s="111"/>
      <c r="AI113" s="111"/>
      <c r="AJ113" s="111"/>
      <c r="AK113" s="111">
        <v>1300</v>
      </c>
      <c r="AL113" s="111"/>
      <c r="AM113" s="111"/>
      <c r="AN113" s="160"/>
    </row>
    <row r="114" spans="1:40">
      <c r="A114" s="113" t="s">
        <v>72</v>
      </c>
      <c r="B114" s="114"/>
      <c r="C114" s="114" t="s">
        <v>81</v>
      </c>
      <c r="D114" s="114" t="s">
        <v>3258</v>
      </c>
      <c r="E114" s="114" t="s">
        <v>1005</v>
      </c>
      <c r="F114" s="114"/>
      <c r="G114" s="114"/>
      <c r="H114" s="114"/>
      <c r="I114" s="114" t="s">
        <v>1012</v>
      </c>
      <c r="J114" s="114" t="s">
        <v>1016</v>
      </c>
      <c r="K114" s="114"/>
      <c r="L114" s="114" t="s">
        <v>3260</v>
      </c>
      <c r="M114" s="114" t="s">
        <v>80</v>
      </c>
      <c r="N114" s="115" t="s">
        <v>958</v>
      </c>
      <c r="O114" s="114" t="s">
        <v>991</v>
      </c>
      <c r="P114" s="114" t="s">
        <v>993</v>
      </c>
      <c r="Q114" s="114" t="s">
        <v>977</v>
      </c>
      <c r="R114" s="114" t="s">
        <v>990</v>
      </c>
      <c r="S114" s="114" t="s">
        <v>961</v>
      </c>
      <c r="T114" s="114" t="s">
        <v>970</v>
      </c>
      <c r="U114" s="114" t="s">
        <v>3271</v>
      </c>
      <c r="V114" s="114" t="s">
        <v>969</v>
      </c>
      <c r="W114" s="114"/>
      <c r="X114" s="115" t="s">
        <v>983</v>
      </c>
      <c r="Y114" s="114" t="s">
        <v>984</v>
      </c>
      <c r="Z114" s="115" t="s">
        <v>988</v>
      </c>
      <c r="AA114" s="114" t="s">
        <v>969</v>
      </c>
      <c r="AB114" s="114" t="s">
        <v>981</v>
      </c>
      <c r="AC114" s="114"/>
      <c r="AD114" s="114"/>
      <c r="AE114" s="114"/>
      <c r="AF114" s="114"/>
      <c r="AG114" s="114"/>
      <c r="AH114" s="114"/>
      <c r="AI114" s="114"/>
      <c r="AJ114" s="114"/>
      <c r="AK114" s="114" t="s">
        <v>979</v>
      </c>
      <c r="AL114" s="114"/>
      <c r="AM114" s="114"/>
      <c r="AN114" s="160"/>
    </row>
    <row r="115" spans="1:40">
      <c r="A115" s="113" t="s">
        <v>73</v>
      </c>
      <c r="B115" s="114"/>
      <c r="C115" s="114" t="s">
        <v>82</v>
      </c>
      <c r="D115" s="114">
        <v>11</v>
      </c>
      <c r="E115" s="114" t="s">
        <v>991</v>
      </c>
      <c r="F115" s="114"/>
      <c r="G115" s="114"/>
      <c r="H115" s="114"/>
      <c r="I115" s="114" t="s">
        <v>1013</v>
      </c>
      <c r="J115" s="114" t="s">
        <v>1016</v>
      </c>
      <c r="K115" s="114"/>
      <c r="L115" s="114" t="s">
        <v>3263</v>
      </c>
      <c r="M115" s="114" t="s">
        <v>80</v>
      </c>
      <c r="N115" s="115" t="s">
        <v>959</v>
      </c>
      <c r="O115" s="114" t="s">
        <v>992</v>
      </c>
      <c r="P115" s="114" t="s">
        <v>994</v>
      </c>
      <c r="Q115" s="114" t="s">
        <v>978</v>
      </c>
      <c r="R115" s="114">
        <v>11</v>
      </c>
      <c r="S115" s="114" t="s">
        <v>962</v>
      </c>
      <c r="T115" s="114" t="s">
        <v>971</v>
      </c>
      <c r="U115" s="114" t="s">
        <v>3272</v>
      </c>
      <c r="V115" s="114">
        <v>3</v>
      </c>
      <c r="W115" s="114"/>
      <c r="X115" s="115" t="s">
        <v>984</v>
      </c>
      <c r="Y115" s="114" t="s">
        <v>986</v>
      </c>
      <c r="Z115" s="115" t="s">
        <v>984</v>
      </c>
      <c r="AA115" s="114" t="s">
        <v>987</v>
      </c>
      <c r="AB115" s="114" t="s">
        <v>982</v>
      </c>
      <c r="AC115" s="114"/>
      <c r="AD115" s="114"/>
      <c r="AE115" s="114"/>
      <c r="AF115" s="114"/>
      <c r="AG115" s="114"/>
      <c r="AH115" s="114"/>
      <c r="AI115" s="114"/>
      <c r="AJ115" s="114"/>
      <c r="AK115" s="114" t="s">
        <v>980</v>
      </c>
      <c r="AL115" s="114"/>
      <c r="AM115" s="114"/>
      <c r="AN115" s="160"/>
    </row>
    <row r="116" spans="1:40">
      <c r="A116" s="113" t="s">
        <v>74</v>
      </c>
      <c r="B116" s="114"/>
      <c r="C116" s="114" t="s">
        <v>83</v>
      </c>
      <c r="D116" s="114">
        <v>13</v>
      </c>
      <c r="E116" s="114" t="s">
        <v>80</v>
      </c>
      <c r="F116" s="114"/>
      <c r="G116" s="114"/>
      <c r="H116" s="114"/>
      <c r="I116" s="114" t="s">
        <v>1014</v>
      </c>
      <c r="J116" s="114" t="s">
        <v>971</v>
      </c>
      <c r="K116" s="114"/>
      <c r="L116" s="114">
        <v>130</v>
      </c>
      <c r="M116" s="114" t="s">
        <v>1003</v>
      </c>
      <c r="N116" s="116">
        <v>700</v>
      </c>
      <c r="O116" s="114">
        <v>80</v>
      </c>
      <c r="P116" s="114" t="s">
        <v>964</v>
      </c>
      <c r="Q116" s="114">
        <v>460</v>
      </c>
      <c r="R116" s="114">
        <v>7</v>
      </c>
      <c r="S116" s="114" t="s">
        <v>963</v>
      </c>
      <c r="T116" s="114" t="s">
        <v>972</v>
      </c>
      <c r="U116" s="114">
        <v>0.34</v>
      </c>
      <c r="V116" s="114">
        <v>3</v>
      </c>
      <c r="W116" s="114"/>
      <c r="X116" s="116">
        <v>0.5</v>
      </c>
      <c r="Y116" s="114">
        <v>0.5</v>
      </c>
      <c r="Z116" s="116">
        <v>0.5</v>
      </c>
      <c r="AA116" s="114">
        <v>6</v>
      </c>
      <c r="AB116" s="114">
        <v>15</v>
      </c>
      <c r="AC116" s="114"/>
      <c r="AD116" s="114"/>
      <c r="AE116" s="114"/>
      <c r="AF116" s="114"/>
      <c r="AG116" s="114"/>
      <c r="AH116" s="114"/>
      <c r="AI116" s="114"/>
      <c r="AJ116" s="114"/>
      <c r="AK116" s="114">
        <v>300</v>
      </c>
      <c r="AL116" s="114"/>
      <c r="AM116" s="114"/>
      <c r="AN116" s="160"/>
    </row>
    <row r="117" spans="1:40">
      <c r="A117" s="113" t="s">
        <v>75</v>
      </c>
      <c r="B117" s="114"/>
      <c r="C117" s="114" t="s">
        <v>84</v>
      </c>
      <c r="D117" s="114">
        <v>19</v>
      </c>
      <c r="E117" s="114" t="s">
        <v>80</v>
      </c>
      <c r="F117" s="114"/>
      <c r="G117" s="114"/>
      <c r="H117" s="114"/>
      <c r="I117" s="114" t="s">
        <v>1015</v>
      </c>
      <c r="J117" s="114" t="s">
        <v>1017</v>
      </c>
      <c r="K117" s="114"/>
      <c r="L117" s="114">
        <v>130</v>
      </c>
      <c r="M117" s="114" t="s">
        <v>1004</v>
      </c>
      <c r="N117" s="116">
        <v>1000</v>
      </c>
      <c r="O117" s="114">
        <v>130</v>
      </c>
      <c r="P117" s="114" t="s">
        <v>960</v>
      </c>
      <c r="Q117" s="114">
        <v>500</v>
      </c>
      <c r="R117" s="114">
        <v>10</v>
      </c>
      <c r="S117" s="114" t="s">
        <v>964</v>
      </c>
      <c r="T117" s="114" t="s">
        <v>973</v>
      </c>
      <c r="U117" s="114">
        <v>0.44</v>
      </c>
      <c r="V117" s="114">
        <v>5</v>
      </c>
      <c r="W117" s="114"/>
      <c r="X117" s="116">
        <v>0.6</v>
      </c>
      <c r="Y117" s="114">
        <v>0.6</v>
      </c>
      <c r="Z117" s="116">
        <v>0.6</v>
      </c>
      <c r="AA117" s="114">
        <v>8</v>
      </c>
      <c r="AB117" s="114">
        <v>25</v>
      </c>
      <c r="AC117" s="114"/>
      <c r="AD117" s="114"/>
      <c r="AE117" s="114"/>
      <c r="AF117" s="114"/>
      <c r="AG117" s="114"/>
      <c r="AH117" s="114"/>
      <c r="AI117" s="114"/>
      <c r="AJ117" s="114"/>
      <c r="AK117" s="114">
        <v>400</v>
      </c>
      <c r="AL117" s="114"/>
      <c r="AM117" s="114"/>
      <c r="AN117" s="160"/>
    </row>
    <row r="118" spans="1:40">
      <c r="A118" s="117" t="s">
        <v>76</v>
      </c>
      <c r="B118" s="118"/>
      <c r="C118" s="118" t="s">
        <v>85</v>
      </c>
      <c r="D118" s="118">
        <v>34</v>
      </c>
      <c r="E118" s="118" t="s">
        <v>80</v>
      </c>
      <c r="F118" s="118"/>
      <c r="G118" s="118"/>
      <c r="H118" s="118"/>
      <c r="I118" s="118" t="s">
        <v>1018</v>
      </c>
      <c r="J118" s="118" t="s">
        <v>1019</v>
      </c>
      <c r="K118" s="118"/>
      <c r="L118" s="118">
        <v>130</v>
      </c>
      <c r="M118" s="118" t="s">
        <v>1005</v>
      </c>
      <c r="N118" s="119">
        <v>1300</v>
      </c>
      <c r="O118" s="118">
        <v>240</v>
      </c>
      <c r="P118" s="118" t="s">
        <v>995</v>
      </c>
      <c r="Q118" s="118">
        <v>1250</v>
      </c>
      <c r="R118" s="118">
        <v>8</v>
      </c>
      <c r="S118" s="118" t="s">
        <v>960</v>
      </c>
      <c r="T118" s="118" t="s">
        <v>974</v>
      </c>
      <c r="U118" s="118">
        <v>0.7</v>
      </c>
      <c r="V118" s="118">
        <v>8</v>
      </c>
      <c r="W118" s="118"/>
      <c r="X118" s="119">
        <v>0.9</v>
      </c>
      <c r="Y118" s="118">
        <v>0.9</v>
      </c>
      <c r="Z118" s="119">
        <v>1</v>
      </c>
      <c r="AA118" s="118">
        <v>12</v>
      </c>
      <c r="AB118" s="118">
        <v>45</v>
      </c>
      <c r="AC118" s="118"/>
      <c r="AD118" s="118"/>
      <c r="AE118" s="118"/>
      <c r="AF118" s="118"/>
      <c r="AG118" s="118"/>
      <c r="AH118" s="118"/>
      <c r="AI118" s="118"/>
      <c r="AJ118" s="118"/>
      <c r="AK118" s="118">
        <v>600</v>
      </c>
      <c r="AL118" s="118"/>
      <c r="AM118" s="118"/>
      <c r="AN118" s="160"/>
    </row>
    <row r="119" spans="1:40">
      <c r="A119" s="117" t="s">
        <v>77</v>
      </c>
      <c r="B119" s="118"/>
      <c r="C119" s="118" t="s">
        <v>86</v>
      </c>
      <c r="D119" s="118">
        <v>52</v>
      </c>
      <c r="E119" s="118" t="s">
        <v>80</v>
      </c>
      <c r="F119" s="118"/>
      <c r="G119" s="118"/>
      <c r="H119" s="118"/>
      <c r="I119" s="118" t="s">
        <v>1020</v>
      </c>
      <c r="J119" s="118" t="s">
        <v>1021</v>
      </c>
      <c r="K119" s="118"/>
      <c r="L119" s="118">
        <v>130</v>
      </c>
      <c r="M119" s="118" t="s">
        <v>1006</v>
      </c>
      <c r="N119" s="119">
        <v>1300</v>
      </c>
      <c r="O119" s="118">
        <v>410</v>
      </c>
      <c r="P119" s="118" t="s">
        <v>996</v>
      </c>
      <c r="Q119" s="118">
        <v>1250</v>
      </c>
      <c r="R119" s="118">
        <v>11</v>
      </c>
      <c r="S119" s="118" t="s">
        <v>960</v>
      </c>
      <c r="T119" s="118" t="s">
        <v>975</v>
      </c>
      <c r="U119" s="118">
        <v>0.89</v>
      </c>
      <c r="V119" s="118">
        <v>11</v>
      </c>
      <c r="W119" s="118"/>
      <c r="X119" s="119">
        <v>1.2</v>
      </c>
      <c r="Y119" s="118">
        <v>1.3</v>
      </c>
      <c r="Z119" s="119">
        <v>1.3</v>
      </c>
      <c r="AA119" s="118">
        <v>16</v>
      </c>
      <c r="AB119" s="118">
        <v>75</v>
      </c>
      <c r="AC119" s="118"/>
      <c r="AD119" s="118"/>
      <c r="AE119" s="118"/>
      <c r="AF119" s="118"/>
      <c r="AG119" s="118"/>
      <c r="AH119" s="118"/>
      <c r="AI119" s="118"/>
      <c r="AJ119" s="118"/>
      <c r="AK119" s="118">
        <v>900</v>
      </c>
      <c r="AL119" s="118"/>
      <c r="AM119" s="118"/>
      <c r="AN119" s="160"/>
    </row>
    <row r="120" spans="1:40">
      <c r="A120" s="117" t="s">
        <v>96</v>
      </c>
      <c r="B120" s="118"/>
      <c r="C120" s="118"/>
      <c r="D120" s="118">
        <v>56</v>
      </c>
      <c r="E120" s="118" t="s">
        <v>80</v>
      </c>
      <c r="F120" s="118"/>
      <c r="G120" s="118"/>
      <c r="H120" s="118"/>
      <c r="I120" s="118" t="s">
        <v>1022</v>
      </c>
      <c r="J120" s="118" t="s">
        <v>1021</v>
      </c>
      <c r="K120" s="118"/>
      <c r="L120" s="118">
        <v>130</v>
      </c>
      <c r="M120" s="118" t="s">
        <v>1006</v>
      </c>
      <c r="N120" s="119">
        <v>1000</v>
      </c>
      <c r="O120" s="118">
        <v>400</v>
      </c>
      <c r="P120" s="118" t="s">
        <v>997</v>
      </c>
      <c r="Q120" s="118">
        <v>700</v>
      </c>
      <c r="R120" s="118">
        <v>8</v>
      </c>
      <c r="S120" s="118" t="s">
        <v>960</v>
      </c>
      <c r="T120" s="118" t="s">
        <v>975</v>
      </c>
      <c r="U120" s="118">
        <v>0.9</v>
      </c>
      <c r="V120" s="118">
        <v>11</v>
      </c>
      <c r="W120" s="118"/>
      <c r="X120" s="119">
        <v>1.2</v>
      </c>
      <c r="Y120" s="118">
        <v>1.3</v>
      </c>
      <c r="Z120" s="119">
        <v>1.3</v>
      </c>
      <c r="AA120" s="118">
        <v>16</v>
      </c>
      <c r="AB120" s="118">
        <v>90</v>
      </c>
      <c r="AC120" s="118"/>
      <c r="AD120" s="118"/>
      <c r="AE120" s="118"/>
      <c r="AF120" s="118"/>
      <c r="AG120" s="118"/>
      <c r="AH120" s="118"/>
      <c r="AI120" s="118"/>
      <c r="AJ120" s="118"/>
      <c r="AK120" s="118">
        <v>900</v>
      </c>
      <c r="AL120" s="118"/>
      <c r="AM120" s="118"/>
      <c r="AN120" s="160"/>
    </row>
    <row r="121" spans="1:40">
      <c r="A121" s="117" t="s">
        <v>97</v>
      </c>
      <c r="B121" s="118"/>
      <c r="C121" s="118"/>
      <c r="D121" s="118">
        <v>56</v>
      </c>
      <c r="E121" s="118" t="s">
        <v>80</v>
      </c>
      <c r="F121" s="118"/>
      <c r="G121" s="118"/>
      <c r="H121" s="118"/>
      <c r="I121" s="118" t="s">
        <v>1022</v>
      </c>
      <c r="J121" s="118" t="s">
        <v>1021</v>
      </c>
      <c r="K121" s="118"/>
      <c r="L121" s="118">
        <v>130</v>
      </c>
      <c r="M121" s="118" t="s">
        <v>1006</v>
      </c>
      <c r="N121" s="119">
        <v>1000</v>
      </c>
      <c r="O121" s="118">
        <v>420</v>
      </c>
      <c r="P121" s="118" t="s">
        <v>997</v>
      </c>
      <c r="Q121" s="118">
        <v>700</v>
      </c>
      <c r="R121" s="118">
        <v>8</v>
      </c>
      <c r="S121" s="118" t="s">
        <v>960</v>
      </c>
      <c r="T121" s="118" t="s">
        <v>975</v>
      </c>
      <c r="U121" s="118">
        <v>0.9</v>
      </c>
      <c r="V121" s="118">
        <v>11</v>
      </c>
      <c r="W121" s="118"/>
      <c r="X121" s="119">
        <v>1.2</v>
      </c>
      <c r="Y121" s="118">
        <v>1.3</v>
      </c>
      <c r="Z121" s="119">
        <v>1.3</v>
      </c>
      <c r="AA121" s="118">
        <v>16</v>
      </c>
      <c r="AB121" s="118">
        <v>90</v>
      </c>
      <c r="AC121" s="118"/>
      <c r="AD121" s="118"/>
      <c r="AE121" s="118"/>
      <c r="AF121" s="118"/>
      <c r="AG121" s="118"/>
      <c r="AH121" s="118"/>
      <c r="AI121" s="118"/>
      <c r="AJ121" s="118"/>
      <c r="AK121" s="118">
        <v>900</v>
      </c>
      <c r="AL121" s="118"/>
      <c r="AM121" s="118"/>
      <c r="AN121" s="160"/>
    </row>
    <row r="122" spans="1:40">
      <c r="A122" s="117" t="s">
        <v>98</v>
      </c>
      <c r="B122" s="118"/>
      <c r="C122" s="118"/>
      <c r="D122" s="118">
        <v>56</v>
      </c>
      <c r="E122" s="118" t="s">
        <v>80</v>
      </c>
      <c r="F122" s="118"/>
      <c r="G122" s="118"/>
      <c r="H122" s="118"/>
      <c r="I122" s="118" t="s">
        <v>1023</v>
      </c>
      <c r="J122" s="118" t="s">
        <v>1021</v>
      </c>
      <c r="K122" s="118"/>
      <c r="L122" s="118">
        <v>130</v>
      </c>
      <c r="M122" s="118" t="s">
        <v>991</v>
      </c>
      <c r="N122" s="119">
        <v>1000</v>
      </c>
      <c r="O122" s="118">
        <v>420</v>
      </c>
      <c r="P122" s="118" t="s">
        <v>997</v>
      </c>
      <c r="Q122" s="118">
        <v>700</v>
      </c>
      <c r="R122" s="118">
        <v>8</v>
      </c>
      <c r="S122" s="118" t="s">
        <v>965</v>
      </c>
      <c r="T122" s="118" t="s">
        <v>975</v>
      </c>
      <c r="U122" s="118">
        <v>0.9</v>
      </c>
      <c r="V122" s="118">
        <v>11</v>
      </c>
      <c r="W122" s="118"/>
      <c r="X122" s="119">
        <v>1.2</v>
      </c>
      <c r="Y122" s="118">
        <v>1.3</v>
      </c>
      <c r="Z122" s="120" t="s">
        <v>989</v>
      </c>
      <c r="AA122" s="118">
        <v>16</v>
      </c>
      <c r="AB122" s="118">
        <v>90</v>
      </c>
      <c r="AC122" s="118"/>
      <c r="AD122" s="118"/>
      <c r="AE122" s="118"/>
      <c r="AF122" s="118"/>
      <c r="AG122" s="118"/>
      <c r="AH122" s="118"/>
      <c r="AI122" s="118"/>
      <c r="AJ122" s="118"/>
      <c r="AK122" s="118">
        <v>900</v>
      </c>
      <c r="AL122" s="118"/>
      <c r="AM122" s="118"/>
      <c r="AN122" s="160"/>
    </row>
    <row r="123" spans="1:40">
      <c r="A123" s="117" t="s">
        <v>99</v>
      </c>
      <c r="B123" s="118"/>
      <c r="C123" s="118"/>
      <c r="D123" s="118">
        <v>56</v>
      </c>
      <c r="E123" s="118" t="s">
        <v>80</v>
      </c>
      <c r="F123" s="118"/>
      <c r="G123" s="118"/>
      <c r="H123" s="118"/>
      <c r="I123" s="118" t="s">
        <v>1023</v>
      </c>
      <c r="J123" s="118" t="s">
        <v>1021</v>
      </c>
      <c r="K123" s="118"/>
      <c r="L123" s="118">
        <v>130</v>
      </c>
      <c r="M123" s="118" t="s">
        <v>991</v>
      </c>
      <c r="N123" s="119">
        <v>1200</v>
      </c>
      <c r="O123" s="118">
        <v>420</v>
      </c>
      <c r="P123" s="118" t="s">
        <v>997</v>
      </c>
      <c r="Q123" s="118">
        <v>700</v>
      </c>
      <c r="R123" s="118">
        <v>8</v>
      </c>
      <c r="S123" s="118" t="s">
        <v>964</v>
      </c>
      <c r="T123" s="118" t="s">
        <v>975</v>
      </c>
      <c r="U123" s="118">
        <v>0.9</v>
      </c>
      <c r="V123" s="118">
        <v>11</v>
      </c>
      <c r="W123" s="118"/>
      <c r="X123" s="119">
        <v>1.2</v>
      </c>
      <c r="Y123" s="118">
        <v>1.3</v>
      </c>
      <c r="Z123" s="120" t="s">
        <v>989</v>
      </c>
      <c r="AA123" s="118">
        <v>16</v>
      </c>
      <c r="AB123" s="118">
        <v>90</v>
      </c>
      <c r="AC123" s="118"/>
      <c r="AD123" s="118"/>
      <c r="AE123" s="118"/>
      <c r="AF123" s="118"/>
      <c r="AG123" s="118"/>
      <c r="AH123" s="118"/>
      <c r="AI123" s="118"/>
      <c r="AJ123" s="118"/>
      <c r="AK123" s="118">
        <v>900</v>
      </c>
      <c r="AL123" s="118"/>
      <c r="AM123" s="118"/>
      <c r="AN123" s="160"/>
    </row>
    <row r="124" spans="1:40">
      <c r="A124" s="121" t="s">
        <v>78</v>
      </c>
      <c r="B124" s="122"/>
      <c r="C124" s="122" t="s">
        <v>87</v>
      </c>
      <c r="D124" s="122">
        <v>34</v>
      </c>
      <c r="E124" s="122" t="s">
        <v>80</v>
      </c>
      <c r="F124" s="122"/>
      <c r="G124" s="122"/>
      <c r="H124" s="122"/>
      <c r="I124" s="122" t="s">
        <v>1015</v>
      </c>
      <c r="J124" s="122" t="s">
        <v>1024</v>
      </c>
      <c r="K124" s="122"/>
      <c r="L124" s="122">
        <v>130</v>
      </c>
      <c r="M124" s="122" t="s">
        <v>1007</v>
      </c>
      <c r="N124" s="123">
        <v>1300</v>
      </c>
      <c r="O124" s="122">
        <v>240</v>
      </c>
      <c r="P124" s="122" t="s">
        <v>998</v>
      </c>
      <c r="Q124" s="122">
        <v>1250</v>
      </c>
      <c r="R124" s="122">
        <v>8</v>
      </c>
      <c r="S124" s="122" t="s">
        <v>960</v>
      </c>
      <c r="T124" s="122" t="s">
        <v>974</v>
      </c>
      <c r="U124" s="122">
        <v>0.7</v>
      </c>
      <c r="V124" s="122">
        <v>8</v>
      </c>
      <c r="W124" s="122"/>
      <c r="X124" s="123">
        <v>0.9</v>
      </c>
      <c r="Y124" s="122">
        <v>0.9</v>
      </c>
      <c r="Z124" s="123">
        <v>1</v>
      </c>
      <c r="AA124" s="122">
        <v>12</v>
      </c>
      <c r="AB124" s="122">
        <v>45</v>
      </c>
      <c r="AC124" s="122"/>
      <c r="AD124" s="122"/>
      <c r="AE124" s="122"/>
      <c r="AF124" s="122"/>
      <c r="AG124" s="122"/>
      <c r="AH124" s="122"/>
      <c r="AI124" s="122"/>
      <c r="AJ124" s="122"/>
      <c r="AK124" s="122">
        <v>600</v>
      </c>
      <c r="AL124" s="122"/>
      <c r="AM124" s="122"/>
      <c r="AN124" s="160"/>
    </row>
    <row r="125" spans="1:40">
      <c r="A125" s="121" t="s">
        <v>79</v>
      </c>
      <c r="B125" s="122"/>
      <c r="C125" s="122" t="s">
        <v>88</v>
      </c>
      <c r="D125" s="122">
        <v>46</v>
      </c>
      <c r="E125" s="122" t="s">
        <v>80</v>
      </c>
      <c r="F125" s="122"/>
      <c r="G125" s="122"/>
      <c r="H125" s="122"/>
      <c r="I125" s="122" t="s">
        <v>1025</v>
      </c>
      <c r="J125" s="122" t="s">
        <v>1026</v>
      </c>
      <c r="K125" s="122"/>
      <c r="L125" s="122">
        <v>130</v>
      </c>
      <c r="M125" s="122" t="s">
        <v>1007</v>
      </c>
      <c r="N125" s="123">
        <v>1300</v>
      </c>
      <c r="O125" s="122">
        <v>360</v>
      </c>
      <c r="P125" s="122" t="s">
        <v>998</v>
      </c>
      <c r="Q125" s="122">
        <v>1250</v>
      </c>
      <c r="R125" s="122">
        <v>15</v>
      </c>
      <c r="S125" s="122" t="s">
        <v>960</v>
      </c>
      <c r="T125" s="122" t="s">
        <v>975</v>
      </c>
      <c r="U125" s="122">
        <v>0.89</v>
      </c>
      <c r="V125" s="122">
        <v>9</v>
      </c>
      <c r="W125" s="122"/>
      <c r="X125" s="123">
        <v>1</v>
      </c>
      <c r="Y125" s="122">
        <v>1</v>
      </c>
      <c r="Z125" s="123">
        <v>1.2</v>
      </c>
      <c r="AA125" s="122">
        <v>14</v>
      </c>
      <c r="AB125" s="122">
        <v>65</v>
      </c>
      <c r="AC125" s="122"/>
      <c r="AD125" s="122"/>
      <c r="AE125" s="122"/>
      <c r="AF125" s="122"/>
      <c r="AG125" s="122"/>
      <c r="AH125" s="122"/>
      <c r="AI125" s="122"/>
      <c r="AJ125" s="122"/>
      <c r="AK125" s="122">
        <v>700</v>
      </c>
      <c r="AL125" s="122"/>
      <c r="AM125" s="122"/>
      <c r="AN125" s="160"/>
    </row>
    <row r="126" spans="1:40">
      <c r="A126" s="121" t="s">
        <v>92</v>
      </c>
      <c r="B126" s="122"/>
      <c r="C126" s="122"/>
      <c r="D126" s="122">
        <v>46</v>
      </c>
      <c r="E126" s="122" t="s">
        <v>80</v>
      </c>
      <c r="F126" s="122"/>
      <c r="G126" s="122"/>
      <c r="H126" s="122"/>
      <c r="I126" s="122" t="s">
        <v>1018</v>
      </c>
      <c r="J126" s="122" t="s">
        <v>1026</v>
      </c>
      <c r="K126" s="122"/>
      <c r="L126" s="122">
        <v>130</v>
      </c>
      <c r="M126" s="122" t="s">
        <v>1004</v>
      </c>
      <c r="N126" s="123">
        <v>1000</v>
      </c>
      <c r="O126" s="122">
        <v>310</v>
      </c>
      <c r="P126" s="122" t="s">
        <v>999</v>
      </c>
      <c r="Q126" s="122">
        <v>700</v>
      </c>
      <c r="R126" s="122">
        <v>18</v>
      </c>
      <c r="S126" s="122" t="s">
        <v>960</v>
      </c>
      <c r="T126" s="122" t="s">
        <v>975</v>
      </c>
      <c r="U126" s="122">
        <v>0.9</v>
      </c>
      <c r="V126" s="122">
        <v>8</v>
      </c>
      <c r="W126" s="122"/>
      <c r="X126" s="122" t="s">
        <v>985</v>
      </c>
      <c r="Y126" s="122" t="s">
        <v>985</v>
      </c>
      <c r="Z126" s="123">
        <v>1.3</v>
      </c>
      <c r="AA126" s="122">
        <v>14</v>
      </c>
      <c r="AB126" s="122">
        <v>75</v>
      </c>
      <c r="AC126" s="122"/>
      <c r="AD126" s="122"/>
      <c r="AE126" s="122"/>
      <c r="AF126" s="122"/>
      <c r="AG126" s="122"/>
      <c r="AH126" s="122"/>
      <c r="AI126" s="122"/>
      <c r="AJ126" s="122"/>
      <c r="AK126" s="122">
        <v>700</v>
      </c>
      <c r="AL126" s="122"/>
      <c r="AM126" s="122"/>
      <c r="AN126" s="160"/>
    </row>
    <row r="127" spans="1:40">
      <c r="A127" s="121" t="s">
        <v>93</v>
      </c>
      <c r="B127" s="122"/>
      <c r="C127" s="122"/>
      <c r="D127" s="122">
        <v>46</v>
      </c>
      <c r="E127" s="122" t="s">
        <v>80</v>
      </c>
      <c r="F127" s="122"/>
      <c r="G127" s="122"/>
      <c r="H127" s="122"/>
      <c r="I127" s="122" t="s">
        <v>1018</v>
      </c>
      <c r="J127" s="122" t="s">
        <v>1026</v>
      </c>
      <c r="K127" s="122"/>
      <c r="L127" s="122">
        <v>130</v>
      </c>
      <c r="M127" s="122" t="s">
        <v>1004</v>
      </c>
      <c r="N127" s="123">
        <v>1000</v>
      </c>
      <c r="O127" s="122">
        <v>320</v>
      </c>
      <c r="P127" s="122" t="s">
        <v>999</v>
      </c>
      <c r="Q127" s="122">
        <v>700</v>
      </c>
      <c r="R127" s="122">
        <v>18</v>
      </c>
      <c r="S127" s="122" t="s">
        <v>960</v>
      </c>
      <c r="T127" s="122" t="s">
        <v>975</v>
      </c>
      <c r="U127" s="122">
        <v>0.9</v>
      </c>
      <c r="V127" s="122">
        <v>8</v>
      </c>
      <c r="W127" s="122"/>
      <c r="X127" s="122" t="s">
        <v>985</v>
      </c>
      <c r="Y127" s="122" t="s">
        <v>985</v>
      </c>
      <c r="Z127" s="123">
        <v>1.3</v>
      </c>
      <c r="AA127" s="122">
        <v>14</v>
      </c>
      <c r="AB127" s="122">
        <v>75</v>
      </c>
      <c r="AC127" s="122"/>
      <c r="AD127" s="122"/>
      <c r="AE127" s="122"/>
      <c r="AF127" s="122"/>
      <c r="AG127" s="122"/>
      <c r="AH127" s="122"/>
      <c r="AI127" s="122"/>
      <c r="AJ127" s="122"/>
      <c r="AK127" s="122">
        <v>700</v>
      </c>
      <c r="AL127" s="122"/>
      <c r="AM127" s="122"/>
      <c r="AN127" s="160"/>
    </row>
    <row r="128" spans="1:40">
      <c r="A128" s="121" t="s">
        <v>94</v>
      </c>
      <c r="B128" s="122"/>
      <c r="C128" s="122"/>
      <c r="D128" s="122">
        <v>46</v>
      </c>
      <c r="E128" s="122" t="s">
        <v>80</v>
      </c>
      <c r="F128" s="122"/>
      <c r="G128" s="122"/>
      <c r="H128" s="122"/>
      <c r="I128" s="122" t="s">
        <v>1025</v>
      </c>
      <c r="J128" s="122" t="s">
        <v>1026</v>
      </c>
      <c r="K128" s="122"/>
      <c r="L128" s="122">
        <v>130</v>
      </c>
      <c r="M128" s="122" t="s">
        <v>1008</v>
      </c>
      <c r="N128" s="123">
        <v>1200</v>
      </c>
      <c r="O128" s="122">
        <v>320</v>
      </c>
      <c r="P128" s="122" t="s">
        <v>999</v>
      </c>
      <c r="Q128" s="122">
        <v>700</v>
      </c>
      <c r="R128" s="122">
        <v>8</v>
      </c>
      <c r="S128" s="122" t="s">
        <v>965</v>
      </c>
      <c r="T128" s="122" t="s">
        <v>975</v>
      </c>
      <c r="U128" s="122">
        <v>0.9</v>
      </c>
      <c r="V128" s="122">
        <v>8</v>
      </c>
      <c r="W128" s="122"/>
      <c r="X128" s="122" t="s">
        <v>985</v>
      </c>
      <c r="Y128" s="122" t="s">
        <v>985</v>
      </c>
      <c r="Z128" s="123">
        <v>1.5</v>
      </c>
      <c r="AA128" s="122">
        <v>14</v>
      </c>
      <c r="AB128" s="122">
        <v>75</v>
      </c>
      <c r="AC128" s="122"/>
      <c r="AD128" s="122"/>
      <c r="AE128" s="122"/>
      <c r="AF128" s="122"/>
      <c r="AG128" s="122"/>
      <c r="AH128" s="122"/>
      <c r="AI128" s="122"/>
      <c r="AJ128" s="122"/>
      <c r="AK128" s="122">
        <v>700</v>
      </c>
      <c r="AL128" s="122"/>
      <c r="AM128" s="122"/>
      <c r="AN128" s="160"/>
    </row>
    <row r="129" spans="1:40">
      <c r="A129" s="121" t="s">
        <v>95</v>
      </c>
      <c r="B129" s="122"/>
      <c r="C129" s="122"/>
      <c r="D129" s="122">
        <v>46</v>
      </c>
      <c r="E129" s="122" t="s">
        <v>80</v>
      </c>
      <c r="F129" s="122"/>
      <c r="G129" s="122"/>
      <c r="H129" s="122"/>
      <c r="I129" s="122" t="s">
        <v>1025</v>
      </c>
      <c r="J129" s="122" t="s">
        <v>1026</v>
      </c>
      <c r="K129" s="122"/>
      <c r="L129" s="122">
        <v>130</v>
      </c>
      <c r="M129" s="122" t="s">
        <v>1008</v>
      </c>
      <c r="N129" s="123">
        <v>1200</v>
      </c>
      <c r="O129" s="122">
        <v>320</v>
      </c>
      <c r="P129" s="122" t="s">
        <v>999</v>
      </c>
      <c r="Q129" s="122">
        <v>700</v>
      </c>
      <c r="R129" s="122">
        <v>8</v>
      </c>
      <c r="S129" s="122" t="s">
        <v>964</v>
      </c>
      <c r="T129" s="122" t="s">
        <v>975</v>
      </c>
      <c r="U129" s="122">
        <v>0.9</v>
      </c>
      <c r="V129" s="122">
        <v>8</v>
      </c>
      <c r="W129" s="122"/>
      <c r="X129" s="122" t="s">
        <v>985</v>
      </c>
      <c r="Y129" s="122" t="s">
        <v>985</v>
      </c>
      <c r="Z129" s="123">
        <v>1.5</v>
      </c>
      <c r="AA129" s="122">
        <v>14</v>
      </c>
      <c r="AB129" s="122">
        <v>75</v>
      </c>
      <c r="AC129" s="122"/>
      <c r="AD129" s="122"/>
      <c r="AE129" s="122"/>
      <c r="AF129" s="122"/>
      <c r="AG129" s="122"/>
      <c r="AH129" s="122"/>
      <c r="AI129" s="122"/>
      <c r="AJ129" s="122"/>
      <c r="AK129" s="122">
        <v>700</v>
      </c>
      <c r="AL129" s="122"/>
      <c r="AM129" s="122"/>
      <c r="AN129" s="160"/>
    </row>
    <row r="130" spans="1:40">
      <c r="A130" s="124" t="s">
        <v>968</v>
      </c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309"/>
      <c r="AD130" s="309"/>
      <c r="AE130" s="309"/>
      <c r="AF130" s="309"/>
      <c r="AG130" s="309"/>
      <c r="AH130" s="309"/>
      <c r="AI130" s="309"/>
      <c r="AJ130" s="309"/>
      <c r="AK130" s="309"/>
      <c r="AL130" s="309"/>
      <c r="AM130" s="309"/>
      <c r="AN130" s="160"/>
    </row>
    <row r="131" spans="1:40">
      <c r="A131" s="301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1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160"/>
    </row>
    <row r="132" spans="1:40">
      <c r="A132" s="297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278"/>
      <c r="AD132" s="278"/>
      <c r="AE132" s="278"/>
      <c r="AF132" s="278"/>
      <c r="AG132" s="278"/>
      <c r="AH132" s="278"/>
      <c r="AI132" s="278"/>
      <c r="AJ132" s="278"/>
      <c r="AK132" s="278"/>
      <c r="AL132" s="278"/>
      <c r="AM132" s="278"/>
    </row>
    <row r="133" spans="1:40">
      <c r="A133" s="297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278"/>
      <c r="AD133" s="278"/>
      <c r="AE133" s="278"/>
      <c r="AF133" s="278"/>
      <c r="AG133" s="278"/>
      <c r="AH133" s="278"/>
      <c r="AI133" s="278"/>
      <c r="AJ133" s="278"/>
      <c r="AK133" s="278"/>
      <c r="AL133" s="278"/>
      <c r="AM133" s="278"/>
    </row>
    <row r="134" spans="1:40">
      <c r="A134" s="297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278"/>
      <c r="AD134" s="278"/>
      <c r="AE134" s="278"/>
      <c r="AF134" s="278"/>
      <c r="AG134" s="278"/>
      <c r="AH134" s="278"/>
      <c r="AI134" s="278"/>
      <c r="AJ134" s="278"/>
      <c r="AK134" s="278"/>
      <c r="AL134" s="278"/>
      <c r="AM134" s="278"/>
    </row>
    <row r="135" spans="1:40">
      <c r="A135" s="297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278"/>
      <c r="AD135" s="278"/>
      <c r="AE135" s="278"/>
      <c r="AF135" s="278"/>
      <c r="AG135" s="278"/>
      <c r="AH135" s="278"/>
      <c r="AI135" s="278"/>
      <c r="AJ135" s="278"/>
      <c r="AK135" s="278"/>
      <c r="AL135" s="278"/>
      <c r="AM135" s="278"/>
    </row>
    <row r="136" spans="1:40">
      <c r="A136" s="297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278"/>
      <c r="AD136" s="278"/>
      <c r="AE136" s="278"/>
      <c r="AF136" s="278"/>
      <c r="AG136" s="278"/>
      <c r="AH136" s="278"/>
      <c r="AI136" s="278"/>
      <c r="AJ136" s="278"/>
      <c r="AK136" s="278"/>
      <c r="AL136" s="278"/>
      <c r="AM136" s="278"/>
    </row>
    <row r="137" spans="1:40">
      <c r="A137" s="297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278"/>
      <c r="AD137" s="278"/>
      <c r="AE137" s="278"/>
      <c r="AF137" s="278"/>
      <c r="AG137" s="278"/>
      <c r="AH137" s="278"/>
      <c r="AI137" s="278"/>
      <c r="AJ137" s="278"/>
      <c r="AK137" s="278"/>
      <c r="AL137" s="278"/>
      <c r="AM137" s="278"/>
    </row>
    <row r="138" spans="1:40">
      <c r="A138" s="297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278"/>
      <c r="AD138" s="278"/>
      <c r="AE138" s="278"/>
      <c r="AF138" s="278"/>
      <c r="AG138" s="278"/>
      <c r="AH138" s="278"/>
      <c r="AI138" s="278"/>
      <c r="AJ138" s="278"/>
      <c r="AK138" s="278"/>
      <c r="AL138" s="278"/>
      <c r="AM138" s="278"/>
    </row>
    <row r="139" spans="1:40">
      <c r="A139" s="297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278"/>
      <c r="AD139" s="278"/>
      <c r="AE139" s="278"/>
      <c r="AF139" s="278"/>
      <c r="AG139" s="278"/>
      <c r="AH139" s="278"/>
      <c r="AI139" s="278"/>
      <c r="AJ139" s="278"/>
      <c r="AK139" s="278"/>
      <c r="AL139" s="278"/>
      <c r="AM139" s="278"/>
    </row>
  </sheetData>
  <sheetProtection sheet="1" scenarios="1" formatCells="0" formatRows="0" insertRows="0" deleteRows="0" sort="0"/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9900-92EF-43A7-BF3C-55D8DE29275B}">
  <dimension ref="A1:AM1972"/>
  <sheetViews>
    <sheetView workbookViewId="0"/>
  </sheetViews>
  <sheetFormatPr defaultRowHeight="12.75"/>
  <cols>
    <col min="1" max="1" width="60.27734375" customWidth="1"/>
  </cols>
  <sheetData>
    <row r="1" spans="1:39" ht="21" customHeight="1">
      <c r="A1" s="139" t="s">
        <v>1028</v>
      </c>
      <c r="B1" s="139" t="s">
        <v>1029</v>
      </c>
      <c r="C1" s="139" t="s">
        <v>1030</v>
      </c>
      <c r="D1" s="139" t="s">
        <v>1031</v>
      </c>
      <c r="E1" s="139" t="s">
        <v>1032</v>
      </c>
      <c r="F1" s="139" t="s">
        <v>1033</v>
      </c>
      <c r="G1" s="139" t="s">
        <v>1034</v>
      </c>
      <c r="H1" s="139" t="s">
        <v>1035</v>
      </c>
      <c r="I1" s="139" t="s">
        <v>52</v>
      </c>
      <c r="J1" s="139" t="s">
        <v>53</v>
      </c>
      <c r="K1" s="139" t="s">
        <v>1036</v>
      </c>
      <c r="L1" s="139" t="s">
        <v>6</v>
      </c>
      <c r="M1" s="139" t="s">
        <v>1037</v>
      </c>
      <c r="N1" s="139" t="s">
        <v>1038</v>
      </c>
      <c r="O1" s="139" t="s">
        <v>9</v>
      </c>
      <c r="P1" s="139" t="s">
        <v>10</v>
      </c>
      <c r="Q1" s="139" t="s">
        <v>11</v>
      </c>
      <c r="R1" s="139" t="s">
        <v>1039</v>
      </c>
      <c r="S1" s="139" t="s">
        <v>1040</v>
      </c>
      <c r="T1" s="139" t="s">
        <v>1041</v>
      </c>
      <c r="U1" s="139" t="s">
        <v>1042</v>
      </c>
      <c r="V1" s="139" t="s">
        <v>1043</v>
      </c>
      <c r="W1" s="139" t="s">
        <v>1044</v>
      </c>
      <c r="X1" s="139" t="s">
        <v>1045</v>
      </c>
      <c r="Y1" s="139" t="s">
        <v>1046</v>
      </c>
      <c r="Z1" s="140" t="s">
        <v>1047</v>
      </c>
      <c r="AA1" s="139" t="s">
        <v>1048</v>
      </c>
      <c r="AB1" s="139" t="s">
        <v>1049</v>
      </c>
      <c r="AC1" s="139" t="s">
        <v>1050</v>
      </c>
      <c r="AD1" s="139" t="s">
        <v>1051</v>
      </c>
      <c r="AE1" s="139" t="s">
        <v>1052</v>
      </c>
      <c r="AF1" s="139" t="s">
        <v>1053</v>
      </c>
      <c r="AG1" s="139" t="s">
        <v>1054</v>
      </c>
      <c r="AH1" s="139" t="s">
        <v>1055</v>
      </c>
      <c r="AI1" s="139" t="s">
        <v>1056</v>
      </c>
      <c r="AJ1" s="139" t="s">
        <v>1057</v>
      </c>
      <c r="AK1" s="139" t="s">
        <v>1058</v>
      </c>
      <c r="AL1" s="139" t="s">
        <v>1059</v>
      </c>
      <c r="AM1" s="139" t="s">
        <v>1060</v>
      </c>
    </row>
    <row r="2" spans="1:39">
      <c r="A2" s="143" t="s">
        <v>1061</v>
      </c>
      <c r="B2" s="144">
        <v>100</v>
      </c>
      <c r="C2" s="145">
        <v>135.622945707133</v>
      </c>
      <c r="D2" s="145">
        <v>2.4961126633333302</v>
      </c>
      <c r="E2" s="145">
        <v>1.2000420000000001</v>
      </c>
      <c r="F2" s="145">
        <v>0.35066520000000001</v>
      </c>
      <c r="G2" s="145">
        <v>0.22219539999999999</v>
      </c>
      <c r="H2" s="145">
        <v>0.5631178</v>
      </c>
      <c r="I2" s="145">
        <v>0.55633080000000001</v>
      </c>
      <c r="J2" s="145">
        <v>6.6208799999999998E-2</v>
      </c>
      <c r="K2" s="145" t="s">
        <v>400</v>
      </c>
      <c r="L2" s="145">
        <v>27.784863469999994</v>
      </c>
      <c r="M2" s="145">
        <v>1.5457021999999998</v>
      </c>
      <c r="N2" s="145">
        <v>3.5095988666666669</v>
      </c>
      <c r="O2" s="145">
        <v>2.2312506666666665</v>
      </c>
      <c r="P2" s="145">
        <v>0.29375933333333332</v>
      </c>
      <c r="Q2" s="145">
        <v>17.769138999999999</v>
      </c>
      <c r="R2" s="145">
        <v>7.6405333333333325E-2</v>
      </c>
      <c r="S2" s="145">
        <v>1.1889001333333331</v>
      </c>
      <c r="T2" s="145">
        <v>14.529864733333334</v>
      </c>
      <c r="U2" s="145">
        <v>1.4852999999999998E-2</v>
      </c>
      <c r="V2" s="145">
        <v>0.48661626666666663</v>
      </c>
      <c r="W2" s="145" t="s">
        <v>400</v>
      </c>
      <c r="X2" s="145" t="s">
        <v>400</v>
      </c>
      <c r="Y2" s="145" t="s">
        <v>400</v>
      </c>
      <c r="Z2" s="145" t="s">
        <v>400</v>
      </c>
      <c r="AA2" s="145" t="s">
        <v>400</v>
      </c>
      <c r="AB2" s="145" t="s">
        <v>400</v>
      </c>
      <c r="AC2" s="145" t="s">
        <v>400</v>
      </c>
      <c r="AD2" s="145" t="s">
        <v>400</v>
      </c>
      <c r="AE2" s="145" t="s">
        <v>400</v>
      </c>
      <c r="AF2" s="145" t="s">
        <v>400</v>
      </c>
      <c r="AG2" s="145">
        <v>7.97818E-2</v>
      </c>
      <c r="AH2" s="145">
        <v>5.1939999999999998E-3</v>
      </c>
      <c r="AI2" s="145">
        <v>382</v>
      </c>
      <c r="AJ2" s="145">
        <v>0.44696819999999998</v>
      </c>
      <c r="AK2" s="145" t="s">
        <v>400</v>
      </c>
      <c r="AL2" s="145" t="s">
        <v>400</v>
      </c>
      <c r="AM2" s="145" t="s">
        <v>400</v>
      </c>
    </row>
    <row r="3" spans="1:39">
      <c r="A3" s="143" t="s">
        <v>1062</v>
      </c>
      <c r="B3" s="144">
        <v>100</v>
      </c>
      <c r="C3" s="145">
        <v>130.94564375350001</v>
      </c>
      <c r="D3" s="145">
        <v>2.5628851500000001</v>
      </c>
      <c r="E3" s="145">
        <v>1.9657966666666666</v>
      </c>
      <c r="F3" s="145">
        <v>0.44968520000000001</v>
      </c>
      <c r="G3" s="145">
        <v>0.61827539999999992</v>
      </c>
      <c r="H3" s="145">
        <v>0.86017779999999999</v>
      </c>
      <c r="I3" s="145">
        <v>0.80388079999999995</v>
      </c>
      <c r="J3" s="145">
        <v>7.6110799999999992E-2</v>
      </c>
      <c r="K3" s="145" t="s">
        <v>400</v>
      </c>
      <c r="L3" s="145">
        <v>25.556814450000001</v>
      </c>
      <c r="M3" s="145">
        <v>2.722389866666667</v>
      </c>
      <c r="N3" s="145">
        <v>5.1530007999999992</v>
      </c>
      <c r="O3" s="145">
        <v>58.126720399999996</v>
      </c>
      <c r="P3" s="145">
        <v>0.62118546666666663</v>
      </c>
      <c r="Q3" s="145">
        <v>104.81564060000001</v>
      </c>
      <c r="R3" s="145">
        <v>0.2599224</v>
      </c>
      <c r="S3" s="145">
        <v>1.2324689333333332</v>
      </c>
      <c r="T3" s="145">
        <v>74.415180333333325</v>
      </c>
      <c r="U3" s="145">
        <v>2.0134066666666665E-2</v>
      </c>
      <c r="V3" s="145">
        <v>0.67607453333333334</v>
      </c>
      <c r="W3" s="145" t="s">
        <v>400</v>
      </c>
      <c r="X3" s="145">
        <v>7.9215999999999995E-2</v>
      </c>
      <c r="Y3" s="145" t="s">
        <v>400</v>
      </c>
      <c r="Z3" s="145">
        <v>7.9215999999999995E-2</v>
      </c>
      <c r="AA3" s="145" t="s">
        <v>400</v>
      </c>
      <c r="AB3" s="145" t="s">
        <v>400</v>
      </c>
      <c r="AC3" s="145" t="s">
        <v>400</v>
      </c>
      <c r="AD3" s="145" t="s">
        <v>400</v>
      </c>
      <c r="AE3" s="145" t="s">
        <v>400</v>
      </c>
      <c r="AF3" s="145" t="s">
        <v>400</v>
      </c>
      <c r="AG3" s="145">
        <v>7.97818E-2</v>
      </c>
      <c r="AH3" s="145">
        <v>5.1939999999999998E-3</v>
      </c>
      <c r="AI3" s="145">
        <v>282</v>
      </c>
      <c r="AJ3" s="145">
        <v>0.44696819999999998</v>
      </c>
      <c r="AK3" s="145" t="s">
        <v>400</v>
      </c>
      <c r="AL3" s="145" t="s">
        <v>400</v>
      </c>
      <c r="AM3" s="145" t="s">
        <v>400</v>
      </c>
    </row>
    <row r="4" spans="1:39">
      <c r="A4" s="143" t="s">
        <v>1063</v>
      </c>
      <c r="B4" s="144">
        <v>100</v>
      </c>
      <c r="C4" s="145">
        <v>160.14099999999999</v>
      </c>
      <c r="D4" s="145">
        <v>3.32</v>
      </c>
      <c r="E4" s="145">
        <v>7.1779999999999999</v>
      </c>
      <c r="F4" s="145">
        <v>1.1200000000000001</v>
      </c>
      <c r="G4" s="145">
        <v>1.718</v>
      </c>
      <c r="H4" s="145">
        <v>4.0090000000000003</v>
      </c>
      <c r="I4" s="145">
        <v>3.5910000000000002</v>
      </c>
      <c r="J4" s="145">
        <v>0.41799999999999998</v>
      </c>
      <c r="K4" s="145" t="s">
        <v>400</v>
      </c>
      <c r="L4" s="145">
        <v>25.11</v>
      </c>
      <c r="M4" s="145">
        <v>4.25</v>
      </c>
      <c r="N4" s="145">
        <v>3.1520000000000001</v>
      </c>
      <c r="O4" s="145">
        <v>26.006</v>
      </c>
      <c r="P4" s="145">
        <v>0.159</v>
      </c>
      <c r="Q4" s="145">
        <v>75</v>
      </c>
      <c r="R4" s="145">
        <v>0.44500000000000001</v>
      </c>
      <c r="S4" s="145">
        <v>244.964</v>
      </c>
      <c r="T4" s="145">
        <v>212.05099999999999</v>
      </c>
      <c r="U4" s="145">
        <v>4.7E-2</v>
      </c>
      <c r="V4" s="145">
        <v>0.61099999999999999</v>
      </c>
      <c r="W4" s="145" t="s">
        <v>400</v>
      </c>
      <c r="X4" s="145">
        <v>0.215</v>
      </c>
      <c r="Y4" s="145">
        <v>7.1999999999999995E-2</v>
      </c>
      <c r="Z4" s="146">
        <v>0.06</v>
      </c>
      <c r="AA4" s="145">
        <v>1.6140000000000001</v>
      </c>
      <c r="AB4" s="145">
        <v>6.2</v>
      </c>
      <c r="AC4" s="145">
        <v>1.9970000000000001</v>
      </c>
      <c r="AD4" s="145" t="s">
        <v>400</v>
      </c>
      <c r="AE4" s="145">
        <v>46</v>
      </c>
      <c r="AF4" s="145" t="s">
        <v>400</v>
      </c>
      <c r="AG4" s="145">
        <v>0.57199999999999995</v>
      </c>
      <c r="AH4" s="145">
        <v>3.1E-2</v>
      </c>
      <c r="AI4" s="145">
        <v>245</v>
      </c>
      <c r="AJ4" s="145">
        <v>2.9039999999999999</v>
      </c>
      <c r="AK4" s="145">
        <v>13.167</v>
      </c>
      <c r="AL4" s="145">
        <v>3.16</v>
      </c>
      <c r="AM4" s="145" t="s">
        <v>400</v>
      </c>
    </row>
    <row r="5" spans="1:39">
      <c r="A5" s="143" t="s">
        <v>1064</v>
      </c>
      <c r="B5" s="144">
        <v>100</v>
      </c>
      <c r="C5" s="145">
        <v>160.14099999999999</v>
      </c>
      <c r="D5" s="145">
        <v>3.32</v>
      </c>
      <c r="E5" s="145">
        <v>7.1779999999999999</v>
      </c>
      <c r="F5" s="145">
        <v>1.1200000000000001</v>
      </c>
      <c r="G5" s="145">
        <v>1.718</v>
      </c>
      <c r="H5" s="145">
        <v>4.0090000000000003</v>
      </c>
      <c r="I5" s="145">
        <v>3.5910000000000002</v>
      </c>
      <c r="J5" s="145">
        <v>0.41799999999999998</v>
      </c>
      <c r="K5" s="145" t="s">
        <v>400</v>
      </c>
      <c r="L5" s="145">
        <v>25.11</v>
      </c>
      <c r="M5" s="145">
        <v>4.25</v>
      </c>
      <c r="N5" s="145">
        <v>3.1520000000000001</v>
      </c>
      <c r="O5" s="145">
        <v>26.006</v>
      </c>
      <c r="P5" s="145">
        <v>0.159</v>
      </c>
      <c r="Q5" s="145">
        <v>75</v>
      </c>
      <c r="R5" s="145">
        <v>0.44500000000000001</v>
      </c>
      <c r="S5" s="145">
        <v>244.964</v>
      </c>
      <c r="T5" s="145">
        <v>212.05099999999999</v>
      </c>
      <c r="U5" s="145">
        <v>4.7E-2</v>
      </c>
      <c r="V5" s="145">
        <v>0.61099999999999999</v>
      </c>
      <c r="W5" s="145" t="s">
        <v>400</v>
      </c>
      <c r="X5" s="145">
        <v>0.215</v>
      </c>
      <c r="Y5" s="145">
        <v>7.1999999999999995E-2</v>
      </c>
      <c r="Z5" s="146">
        <v>0.06</v>
      </c>
      <c r="AA5" s="145">
        <v>1.6140000000000001</v>
      </c>
      <c r="AB5" s="145">
        <v>6.2</v>
      </c>
      <c r="AC5" s="145">
        <v>1.9970000000000001</v>
      </c>
      <c r="AD5" s="145" t="s">
        <v>400</v>
      </c>
      <c r="AE5" s="145">
        <v>46</v>
      </c>
      <c r="AF5" s="145" t="s">
        <v>400</v>
      </c>
      <c r="AG5" s="145">
        <v>0.57199999999999995</v>
      </c>
      <c r="AH5" s="145">
        <v>3.1E-2</v>
      </c>
      <c r="AI5" s="145">
        <v>245</v>
      </c>
      <c r="AJ5" s="145">
        <v>2.9039999999999999</v>
      </c>
      <c r="AK5" s="145">
        <v>13.167</v>
      </c>
      <c r="AL5" s="145">
        <v>3.16</v>
      </c>
      <c r="AM5" s="145" t="s">
        <v>400</v>
      </c>
    </row>
    <row r="6" spans="1:39">
      <c r="A6" s="143" t="s">
        <v>1065</v>
      </c>
      <c r="B6" s="144">
        <v>100</v>
      </c>
      <c r="C6" s="145">
        <v>160.14099999999999</v>
      </c>
      <c r="D6" s="145">
        <v>3.32</v>
      </c>
      <c r="E6" s="145">
        <v>7.1779999999999999</v>
      </c>
      <c r="F6" s="145">
        <v>1.1200000000000001</v>
      </c>
      <c r="G6" s="145">
        <v>1.718</v>
      </c>
      <c r="H6" s="145">
        <v>4.0090000000000003</v>
      </c>
      <c r="I6" s="145">
        <v>3.5910000000000002</v>
      </c>
      <c r="J6" s="145">
        <v>0.41799999999999998</v>
      </c>
      <c r="K6" s="145" t="s">
        <v>400</v>
      </c>
      <c r="L6" s="145">
        <v>25.11</v>
      </c>
      <c r="M6" s="145">
        <v>4.25</v>
      </c>
      <c r="N6" s="145">
        <v>3.1520000000000001</v>
      </c>
      <c r="O6" s="145">
        <v>26.006</v>
      </c>
      <c r="P6" s="145">
        <v>0.159</v>
      </c>
      <c r="Q6" s="145">
        <v>75</v>
      </c>
      <c r="R6" s="145">
        <v>0.44500000000000001</v>
      </c>
      <c r="S6" s="145">
        <v>244.964</v>
      </c>
      <c r="T6" s="145">
        <v>212.05099999999999</v>
      </c>
      <c r="U6" s="145">
        <v>4.7E-2</v>
      </c>
      <c r="V6" s="145">
        <v>0.61099999999999999</v>
      </c>
      <c r="W6" s="145" t="s">
        <v>400</v>
      </c>
      <c r="X6" s="145">
        <v>0.215</v>
      </c>
      <c r="Y6" s="145">
        <v>7.1999999999999995E-2</v>
      </c>
      <c r="Z6" s="146">
        <v>0.06</v>
      </c>
      <c r="AA6" s="145">
        <v>1.6140000000000001</v>
      </c>
      <c r="AB6" s="145">
        <v>6.2</v>
      </c>
      <c r="AC6" s="145">
        <v>1.9970000000000001</v>
      </c>
      <c r="AD6" s="145" t="s">
        <v>400</v>
      </c>
      <c r="AE6" s="145">
        <v>46</v>
      </c>
      <c r="AF6" s="145" t="s">
        <v>400</v>
      </c>
      <c r="AG6" s="145">
        <v>0.57199999999999995</v>
      </c>
      <c r="AH6" s="145">
        <v>3.1E-2</v>
      </c>
      <c r="AI6" s="145">
        <v>245</v>
      </c>
      <c r="AJ6" s="145">
        <v>2.9039999999999999</v>
      </c>
      <c r="AK6" s="145">
        <v>13.167</v>
      </c>
      <c r="AL6" s="145">
        <v>3.16</v>
      </c>
      <c r="AM6" s="145" t="s">
        <v>400</v>
      </c>
    </row>
    <row r="7" spans="1:39">
      <c r="A7" s="143" t="s">
        <v>1066</v>
      </c>
      <c r="B7" s="144">
        <v>100</v>
      </c>
      <c r="C7" s="145">
        <v>160.14099999999999</v>
      </c>
      <c r="D7" s="145">
        <v>3.32</v>
      </c>
      <c r="E7" s="145">
        <v>7.1779999999999999</v>
      </c>
      <c r="F7" s="145">
        <v>1.1200000000000001</v>
      </c>
      <c r="G7" s="145">
        <v>1.718</v>
      </c>
      <c r="H7" s="145">
        <v>4.0090000000000003</v>
      </c>
      <c r="I7" s="145">
        <v>3.5910000000000002</v>
      </c>
      <c r="J7" s="145">
        <v>0.41799999999999998</v>
      </c>
      <c r="K7" s="145" t="s">
        <v>400</v>
      </c>
      <c r="L7" s="145">
        <v>25.11</v>
      </c>
      <c r="M7" s="145">
        <v>4.25</v>
      </c>
      <c r="N7" s="145">
        <v>3.1520000000000001</v>
      </c>
      <c r="O7" s="145">
        <v>26.006</v>
      </c>
      <c r="P7" s="145">
        <v>0.159</v>
      </c>
      <c r="Q7" s="145">
        <v>75</v>
      </c>
      <c r="R7" s="145">
        <v>0.44500000000000001</v>
      </c>
      <c r="S7" s="145">
        <v>244.964</v>
      </c>
      <c r="T7" s="145">
        <v>212.05099999999999</v>
      </c>
      <c r="U7" s="145">
        <v>4.7E-2</v>
      </c>
      <c r="V7" s="145">
        <v>0.61099999999999999</v>
      </c>
      <c r="W7" s="145" t="s">
        <v>400</v>
      </c>
      <c r="X7" s="145">
        <v>0.215</v>
      </c>
      <c r="Y7" s="145">
        <v>7.1999999999999995E-2</v>
      </c>
      <c r="Z7" s="146">
        <v>0.06</v>
      </c>
      <c r="AA7" s="145">
        <v>1.6140000000000001</v>
      </c>
      <c r="AB7" s="145">
        <v>6.2</v>
      </c>
      <c r="AC7" s="145">
        <v>1.9970000000000001</v>
      </c>
      <c r="AD7" s="145" t="s">
        <v>400</v>
      </c>
      <c r="AE7" s="145">
        <v>46</v>
      </c>
      <c r="AF7" s="145" t="s">
        <v>400</v>
      </c>
      <c r="AG7" s="145">
        <v>0.57199999999999995</v>
      </c>
      <c r="AH7" s="145">
        <v>3.1E-2</v>
      </c>
      <c r="AI7" s="145">
        <v>245</v>
      </c>
      <c r="AJ7" s="145">
        <v>2.9039999999999999</v>
      </c>
      <c r="AK7" s="145">
        <v>13.167</v>
      </c>
      <c r="AL7" s="145">
        <v>3.16</v>
      </c>
      <c r="AM7" s="145" t="s">
        <v>400</v>
      </c>
    </row>
    <row r="8" spans="1:39">
      <c r="A8" s="143" t="s">
        <v>1067</v>
      </c>
      <c r="B8" s="144">
        <v>100</v>
      </c>
      <c r="C8" s="145">
        <v>160.14099999999999</v>
      </c>
      <c r="D8" s="145">
        <v>3.32</v>
      </c>
      <c r="E8" s="145">
        <v>7.1779999999999999</v>
      </c>
      <c r="F8" s="145">
        <v>1.1200000000000001</v>
      </c>
      <c r="G8" s="145">
        <v>1.718</v>
      </c>
      <c r="H8" s="145">
        <v>4.0090000000000003</v>
      </c>
      <c r="I8" s="145">
        <v>3.5910000000000002</v>
      </c>
      <c r="J8" s="145">
        <v>0.41799999999999998</v>
      </c>
      <c r="K8" s="145" t="s">
        <v>400</v>
      </c>
      <c r="L8" s="145">
        <v>25.11</v>
      </c>
      <c r="M8" s="145">
        <v>4.25</v>
      </c>
      <c r="N8" s="145">
        <v>3</v>
      </c>
      <c r="O8" s="145">
        <v>26</v>
      </c>
      <c r="P8" s="145">
        <v>0.158</v>
      </c>
      <c r="Q8" s="145">
        <v>75</v>
      </c>
      <c r="R8" s="145">
        <v>0.443</v>
      </c>
      <c r="S8" s="145" t="s">
        <v>400</v>
      </c>
      <c r="T8" s="145">
        <v>212</v>
      </c>
      <c r="U8" s="145">
        <v>4.7E-2</v>
      </c>
      <c r="V8" s="145">
        <v>0.61099999999999999</v>
      </c>
      <c r="W8" s="145" t="s">
        <v>400</v>
      </c>
      <c r="X8" s="145">
        <v>0.215</v>
      </c>
      <c r="Y8" s="145">
        <v>7.1999999999999995E-2</v>
      </c>
      <c r="Z8" s="145">
        <v>0.06</v>
      </c>
      <c r="AA8" s="145">
        <v>1.6140000000000001</v>
      </c>
      <c r="AB8" s="145">
        <v>6.2</v>
      </c>
      <c r="AC8" s="145">
        <v>1.9970000000000001</v>
      </c>
      <c r="AD8" s="145" t="s">
        <v>400</v>
      </c>
      <c r="AE8" s="145">
        <v>46</v>
      </c>
      <c r="AF8" s="145" t="s">
        <v>400</v>
      </c>
      <c r="AG8" s="145">
        <v>0.57199999999999995</v>
      </c>
      <c r="AH8" s="145">
        <v>3.1E-2</v>
      </c>
      <c r="AI8" s="145">
        <v>245</v>
      </c>
      <c r="AJ8" s="145">
        <v>2.903</v>
      </c>
      <c r="AK8" s="145">
        <v>13.167</v>
      </c>
      <c r="AL8" s="145">
        <v>3.16</v>
      </c>
      <c r="AM8" s="145" t="s">
        <v>400</v>
      </c>
    </row>
    <row r="9" spans="1:39">
      <c r="A9" s="143" t="s">
        <v>1068</v>
      </c>
      <c r="B9" s="144">
        <v>100</v>
      </c>
      <c r="C9" s="145">
        <v>160.14099999999999</v>
      </c>
      <c r="D9" s="145">
        <v>3.32</v>
      </c>
      <c r="E9" s="145">
        <v>7.1779999999999999</v>
      </c>
      <c r="F9" s="145">
        <v>1.1200000000000001</v>
      </c>
      <c r="G9" s="145">
        <v>1.718</v>
      </c>
      <c r="H9" s="145">
        <v>4.0090000000000003</v>
      </c>
      <c r="I9" s="145">
        <v>3.5910000000000002</v>
      </c>
      <c r="J9" s="145">
        <v>0.41799999999999998</v>
      </c>
      <c r="K9" s="145" t="s">
        <v>400</v>
      </c>
      <c r="L9" s="145">
        <v>25.11</v>
      </c>
      <c r="M9" s="145">
        <v>4.25</v>
      </c>
      <c r="N9" s="145">
        <v>3</v>
      </c>
      <c r="O9" s="145">
        <v>26</v>
      </c>
      <c r="P9" s="145">
        <v>0.158</v>
      </c>
      <c r="Q9" s="145">
        <v>75</v>
      </c>
      <c r="R9" s="145">
        <v>0.443</v>
      </c>
      <c r="S9" s="145" t="s">
        <v>400</v>
      </c>
      <c r="T9" s="145">
        <v>212</v>
      </c>
      <c r="U9" s="145">
        <v>4.7E-2</v>
      </c>
      <c r="V9" s="145">
        <v>0.61099999999999999</v>
      </c>
      <c r="W9" s="145" t="s">
        <v>400</v>
      </c>
      <c r="X9" s="145">
        <v>0.215</v>
      </c>
      <c r="Y9" s="145">
        <v>7.1999999999999995E-2</v>
      </c>
      <c r="Z9" s="145">
        <v>0.06</v>
      </c>
      <c r="AA9" s="145">
        <v>1.6140000000000001</v>
      </c>
      <c r="AB9" s="145">
        <v>6.2</v>
      </c>
      <c r="AC9" s="145">
        <v>1.9970000000000001</v>
      </c>
      <c r="AD9" s="145" t="s">
        <v>400</v>
      </c>
      <c r="AE9" s="145">
        <v>46</v>
      </c>
      <c r="AF9" s="145" t="s">
        <v>400</v>
      </c>
      <c r="AG9" s="145">
        <v>0.57199999999999995</v>
      </c>
      <c r="AH9" s="145">
        <v>3.1E-2</v>
      </c>
      <c r="AI9" s="145">
        <v>245</v>
      </c>
      <c r="AJ9" s="145">
        <v>2.903</v>
      </c>
      <c r="AK9" s="145">
        <v>13.167</v>
      </c>
      <c r="AL9" s="145">
        <v>3.16</v>
      </c>
      <c r="AM9" s="145" t="s">
        <v>400</v>
      </c>
    </row>
    <row r="10" spans="1:39">
      <c r="A10" s="143" t="s">
        <v>1069</v>
      </c>
      <c r="B10" s="144">
        <v>100</v>
      </c>
      <c r="C10" s="145">
        <v>160.14099999999999</v>
      </c>
      <c r="D10" s="145">
        <v>3.32</v>
      </c>
      <c r="E10" s="145">
        <v>7.1779999999999999</v>
      </c>
      <c r="F10" s="145">
        <v>1.1200000000000001</v>
      </c>
      <c r="G10" s="145">
        <v>1.718</v>
      </c>
      <c r="H10" s="145">
        <v>4.0090000000000003</v>
      </c>
      <c r="I10" s="145">
        <v>3.5910000000000002</v>
      </c>
      <c r="J10" s="145">
        <v>0.41799999999999998</v>
      </c>
      <c r="K10" s="145" t="s">
        <v>400</v>
      </c>
      <c r="L10" s="145">
        <v>25.11</v>
      </c>
      <c r="M10" s="145">
        <v>4.25</v>
      </c>
      <c r="N10" s="145">
        <v>3.1520000000000001</v>
      </c>
      <c r="O10" s="145">
        <v>26.006</v>
      </c>
      <c r="P10" s="145">
        <v>0.159</v>
      </c>
      <c r="Q10" s="145">
        <v>75</v>
      </c>
      <c r="R10" s="145">
        <v>0.44500000000000001</v>
      </c>
      <c r="S10" s="145">
        <v>244.964</v>
      </c>
      <c r="T10" s="145">
        <v>212.05099999999999</v>
      </c>
      <c r="U10" s="145">
        <v>4.7E-2</v>
      </c>
      <c r="V10" s="145">
        <v>0.61099999999999999</v>
      </c>
      <c r="W10" s="145" t="s">
        <v>400</v>
      </c>
      <c r="X10" s="145">
        <v>0.215</v>
      </c>
      <c r="Y10" s="145">
        <v>7.1999999999999995E-2</v>
      </c>
      <c r="Z10" s="146">
        <v>0.06</v>
      </c>
      <c r="AA10" s="145">
        <v>1.6140000000000001</v>
      </c>
      <c r="AB10" s="145">
        <v>6.2</v>
      </c>
      <c r="AC10" s="145">
        <v>1.9970000000000001</v>
      </c>
      <c r="AD10" s="145" t="s">
        <v>400</v>
      </c>
      <c r="AE10" s="145">
        <v>46</v>
      </c>
      <c r="AF10" s="145" t="s">
        <v>400</v>
      </c>
      <c r="AG10" s="145">
        <v>0.57199999999999995</v>
      </c>
      <c r="AH10" s="145">
        <v>3.1E-2</v>
      </c>
      <c r="AI10" s="145">
        <v>245</v>
      </c>
      <c r="AJ10" s="145">
        <v>2.9039999999999999</v>
      </c>
      <c r="AK10" s="145">
        <v>13.167</v>
      </c>
      <c r="AL10" s="145">
        <v>3.16</v>
      </c>
      <c r="AM10" s="145" t="s">
        <v>400</v>
      </c>
    </row>
    <row r="11" spans="1:39">
      <c r="A11" s="143" t="s">
        <v>1070</v>
      </c>
      <c r="B11" s="144">
        <v>100</v>
      </c>
      <c r="C11" s="145">
        <v>79.680000000000007</v>
      </c>
      <c r="D11" s="145">
        <v>1.2370000000000001</v>
      </c>
      <c r="E11" s="145">
        <v>2.198</v>
      </c>
      <c r="F11" s="145">
        <v>0.32900000000000001</v>
      </c>
      <c r="G11" s="145">
        <v>0.49</v>
      </c>
      <c r="H11" s="145">
        <v>1.218</v>
      </c>
      <c r="I11" s="145">
        <v>1.0860000000000001</v>
      </c>
      <c r="J11" s="145">
        <v>0.13200000000000001</v>
      </c>
      <c r="K11" s="145" t="s">
        <v>400</v>
      </c>
      <c r="L11" s="145">
        <v>13.503</v>
      </c>
      <c r="M11" s="145">
        <v>0.67200000000000004</v>
      </c>
      <c r="N11" s="145">
        <v>3.4510000000000001</v>
      </c>
      <c r="O11" s="145">
        <v>6.9279999999999999</v>
      </c>
      <c r="P11" s="145">
        <v>3.1E-2</v>
      </c>
      <c r="Q11" s="145">
        <v>17.913</v>
      </c>
      <c r="R11" s="145">
        <v>0.73899999999999999</v>
      </c>
      <c r="S11" s="145">
        <v>131.499</v>
      </c>
      <c r="T11" s="145">
        <v>25.957000000000001</v>
      </c>
      <c r="U11" s="145">
        <v>2.3E-2</v>
      </c>
      <c r="V11" s="145">
        <v>0.13100000000000001</v>
      </c>
      <c r="W11" s="145" t="s">
        <v>400</v>
      </c>
      <c r="X11" s="145">
        <v>0.105</v>
      </c>
      <c r="Y11" s="145">
        <v>7.0999999999999994E-2</v>
      </c>
      <c r="Z11" s="146">
        <v>3.4000000000000002E-2</v>
      </c>
      <c r="AA11" s="145">
        <v>0.90600000000000003</v>
      </c>
      <c r="AB11" s="145" t="s">
        <v>400</v>
      </c>
      <c r="AC11" s="145">
        <v>1.0169999999999999</v>
      </c>
      <c r="AD11" s="145" t="s">
        <v>400</v>
      </c>
      <c r="AE11" s="145">
        <v>20.812999999999999</v>
      </c>
      <c r="AF11" s="145" t="s">
        <v>400</v>
      </c>
      <c r="AG11" s="145">
        <v>0.182</v>
      </c>
      <c r="AH11" s="145">
        <v>0.01</v>
      </c>
      <c r="AI11" s="145">
        <v>126</v>
      </c>
      <c r="AJ11" s="145">
        <v>2.847</v>
      </c>
      <c r="AK11" s="145">
        <v>1.827</v>
      </c>
      <c r="AL11" s="145">
        <v>0.28499999999999998</v>
      </c>
      <c r="AM11" s="145" t="s">
        <v>400</v>
      </c>
    </row>
    <row r="12" spans="1:39">
      <c r="A12" s="143" t="s">
        <v>1071</v>
      </c>
      <c r="B12" s="144">
        <v>100</v>
      </c>
      <c r="C12" s="145">
        <v>62.951999999999998</v>
      </c>
      <c r="D12" s="145">
        <v>1.2370000000000001</v>
      </c>
      <c r="E12" s="145">
        <v>0.30499999999999999</v>
      </c>
      <c r="F12" s="145">
        <v>3.3000000000000002E-2</v>
      </c>
      <c r="G12" s="145">
        <v>5.8999999999999997E-2</v>
      </c>
      <c r="H12" s="145">
        <v>0.125</v>
      </c>
      <c r="I12" s="145">
        <v>0.122</v>
      </c>
      <c r="J12" s="145">
        <v>3.0000000000000001E-3</v>
      </c>
      <c r="K12" s="145" t="s">
        <v>400</v>
      </c>
      <c r="L12" s="145">
        <v>13.503</v>
      </c>
      <c r="M12" s="145">
        <v>0.67200000000000004</v>
      </c>
      <c r="N12" s="145">
        <v>3.3730000000000002</v>
      </c>
      <c r="O12" s="145">
        <v>6.9249999999999998</v>
      </c>
      <c r="P12" s="145">
        <v>3.1E-2</v>
      </c>
      <c r="Q12" s="145">
        <v>17.913</v>
      </c>
      <c r="R12" s="145">
        <v>0.73699999999999999</v>
      </c>
      <c r="S12" s="145">
        <v>5.0090000000000003</v>
      </c>
      <c r="T12" s="145">
        <v>25.931000000000001</v>
      </c>
      <c r="U12" s="145">
        <v>2.3E-2</v>
      </c>
      <c r="V12" s="145">
        <v>0.13100000000000001</v>
      </c>
      <c r="W12" s="145" t="s">
        <v>400</v>
      </c>
      <c r="X12" s="145">
        <v>0.105</v>
      </c>
      <c r="Y12" s="145">
        <v>7.0999999999999994E-2</v>
      </c>
      <c r="Z12" s="146">
        <v>3.4000000000000002E-2</v>
      </c>
      <c r="AA12" s="145">
        <v>0.90600000000000003</v>
      </c>
      <c r="AB12" s="145" t="s">
        <v>400</v>
      </c>
      <c r="AC12" s="145">
        <v>1.0169999999999999</v>
      </c>
      <c r="AD12" s="145" t="s">
        <v>400</v>
      </c>
      <c r="AE12" s="145">
        <v>20.812999999999999</v>
      </c>
      <c r="AF12" s="145" t="s">
        <v>400</v>
      </c>
      <c r="AG12" s="145">
        <v>2.7E-2</v>
      </c>
      <c r="AH12" s="145" t="s">
        <v>400</v>
      </c>
      <c r="AI12" s="145">
        <v>126</v>
      </c>
      <c r="AJ12" s="145">
        <v>1.9790000000000001</v>
      </c>
      <c r="AK12" s="145">
        <v>1.827</v>
      </c>
      <c r="AL12" s="145">
        <v>0.28499999999999998</v>
      </c>
      <c r="AM12" s="145" t="s">
        <v>400</v>
      </c>
    </row>
    <row r="13" spans="1:39">
      <c r="A13" s="143" t="s">
        <v>1072</v>
      </c>
      <c r="B13" s="144">
        <v>100</v>
      </c>
      <c r="C13" s="145">
        <v>79.680000000000007</v>
      </c>
      <c r="D13" s="145">
        <v>1.2370000000000001</v>
      </c>
      <c r="E13" s="145">
        <v>2.198</v>
      </c>
      <c r="F13" s="145">
        <v>0.32900000000000001</v>
      </c>
      <c r="G13" s="145">
        <v>0.49</v>
      </c>
      <c r="H13" s="145">
        <v>1.218</v>
      </c>
      <c r="I13" s="145">
        <v>1.0860000000000001</v>
      </c>
      <c r="J13" s="145">
        <v>0.13200000000000001</v>
      </c>
      <c r="K13" s="145" t="s">
        <v>400</v>
      </c>
      <c r="L13" s="145">
        <v>13.503</v>
      </c>
      <c r="M13" s="145">
        <v>0.67200000000000004</v>
      </c>
      <c r="N13" s="145">
        <v>3.3730000000000002</v>
      </c>
      <c r="O13" s="145">
        <v>6.9249999999999998</v>
      </c>
      <c r="P13" s="145">
        <v>3.1E-2</v>
      </c>
      <c r="Q13" s="145">
        <v>17.913</v>
      </c>
      <c r="R13" s="145">
        <v>0.73799999999999999</v>
      </c>
      <c r="S13" s="145">
        <v>5.0090000000000003</v>
      </c>
      <c r="T13" s="145">
        <v>25.931000000000001</v>
      </c>
      <c r="U13" s="145">
        <v>2.3E-2</v>
      </c>
      <c r="V13" s="145">
        <v>0.13100000000000001</v>
      </c>
      <c r="W13" s="145" t="s">
        <v>400</v>
      </c>
      <c r="X13" s="145">
        <v>0.105</v>
      </c>
      <c r="Y13" s="145">
        <v>7.0999999999999994E-2</v>
      </c>
      <c r="Z13" s="145">
        <v>3.4000000000000002E-2</v>
      </c>
      <c r="AA13" s="145">
        <v>0.90600000000000003</v>
      </c>
      <c r="AB13" s="145" t="s">
        <v>400</v>
      </c>
      <c r="AC13" s="145">
        <v>1.0169999999999999</v>
      </c>
      <c r="AD13" s="145" t="s">
        <v>400</v>
      </c>
      <c r="AE13" s="145">
        <v>20.812999999999999</v>
      </c>
      <c r="AF13" s="145" t="s">
        <v>400</v>
      </c>
      <c r="AG13" s="145">
        <v>0.182</v>
      </c>
      <c r="AH13" s="145">
        <v>0.01</v>
      </c>
      <c r="AI13" s="145">
        <v>126</v>
      </c>
      <c r="AJ13" s="145">
        <v>2.8460000000000001</v>
      </c>
      <c r="AK13" s="145">
        <v>1.827</v>
      </c>
      <c r="AL13" s="145">
        <v>0.28499999999999998</v>
      </c>
      <c r="AM13" s="145" t="s">
        <v>400</v>
      </c>
    </row>
    <row r="14" spans="1:39">
      <c r="A14" s="143" t="s">
        <v>1073</v>
      </c>
      <c r="B14" s="144">
        <v>100</v>
      </c>
      <c r="C14" s="145">
        <v>62.951999999999998</v>
      </c>
      <c r="D14" s="145">
        <v>1.2370000000000001</v>
      </c>
      <c r="E14" s="145">
        <v>0.30499999999999999</v>
      </c>
      <c r="F14" s="145">
        <v>3.3000000000000002E-2</v>
      </c>
      <c r="G14" s="145">
        <v>5.8999999999999997E-2</v>
      </c>
      <c r="H14" s="145">
        <v>0.125</v>
      </c>
      <c r="I14" s="145">
        <v>0.122</v>
      </c>
      <c r="J14" s="145">
        <v>3.0000000000000001E-3</v>
      </c>
      <c r="K14" s="145" t="s">
        <v>400</v>
      </c>
      <c r="L14" s="145">
        <v>13.503</v>
      </c>
      <c r="M14" s="145">
        <v>0.67200000000000004</v>
      </c>
      <c r="N14" s="145">
        <v>3.3730000000000002</v>
      </c>
      <c r="O14" s="145">
        <v>6.9249999999999998</v>
      </c>
      <c r="P14" s="145">
        <v>3.1E-2</v>
      </c>
      <c r="Q14" s="145">
        <v>17.913</v>
      </c>
      <c r="R14" s="145">
        <v>0.73699999999999999</v>
      </c>
      <c r="S14" s="145">
        <v>5.0090000000000003</v>
      </c>
      <c r="T14" s="145">
        <v>25.931000000000001</v>
      </c>
      <c r="U14" s="145">
        <v>2.3E-2</v>
      </c>
      <c r="V14" s="145">
        <v>0.13100000000000001</v>
      </c>
      <c r="W14" s="145" t="s">
        <v>400</v>
      </c>
      <c r="X14" s="145">
        <v>0.105</v>
      </c>
      <c r="Y14" s="145">
        <v>7.0999999999999994E-2</v>
      </c>
      <c r="Z14" s="146">
        <v>3.4000000000000002E-2</v>
      </c>
      <c r="AA14" s="145">
        <v>0.90600000000000003</v>
      </c>
      <c r="AB14" s="145" t="s">
        <v>400</v>
      </c>
      <c r="AC14" s="145">
        <v>1.0169999999999999</v>
      </c>
      <c r="AD14" s="145" t="s">
        <v>400</v>
      </c>
      <c r="AE14" s="145">
        <v>20.812999999999999</v>
      </c>
      <c r="AF14" s="145" t="s">
        <v>400</v>
      </c>
      <c r="AG14" s="145">
        <v>2.7E-2</v>
      </c>
      <c r="AH14" s="145" t="s">
        <v>400</v>
      </c>
      <c r="AI14" s="145">
        <v>126</v>
      </c>
      <c r="AJ14" s="145">
        <v>1.9790000000000001</v>
      </c>
      <c r="AK14" s="145">
        <v>1.827</v>
      </c>
      <c r="AL14" s="145">
        <v>0.28499999999999998</v>
      </c>
      <c r="AM14" s="145" t="s">
        <v>400</v>
      </c>
    </row>
    <row r="15" spans="1:39">
      <c r="A15" s="143" t="s">
        <v>1074</v>
      </c>
      <c r="B15" s="144">
        <v>100</v>
      </c>
      <c r="C15" s="145">
        <v>31.443000000000001</v>
      </c>
      <c r="D15" s="145">
        <v>0.94799999999999995</v>
      </c>
      <c r="E15" s="145">
        <v>0.123</v>
      </c>
      <c r="F15" s="145">
        <v>3.9E-2</v>
      </c>
      <c r="G15" s="145">
        <v>2.7E-2</v>
      </c>
      <c r="H15" s="145">
        <v>3.2000000000000001E-2</v>
      </c>
      <c r="I15" s="145">
        <v>2.7E-2</v>
      </c>
      <c r="J15" s="145">
        <v>5.0000000000000001E-3</v>
      </c>
      <c r="K15" s="145" t="s">
        <v>400</v>
      </c>
      <c r="L15" s="145">
        <v>7.0119999999999996</v>
      </c>
      <c r="M15" s="145">
        <v>0.71099999999999997</v>
      </c>
      <c r="N15" s="145">
        <v>8.5549999999999997</v>
      </c>
      <c r="O15" s="145">
        <v>6.3470000000000004</v>
      </c>
      <c r="P15" s="145">
        <v>6.8000000000000005E-2</v>
      </c>
      <c r="Q15" s="145">
        <v>15.762</v>
      </c>
      <c r="R15" s="145">
        <v>0.28499999999999998</v>
      </c>
      <c r="S15" s="145">
        <v>310.43200000000002</v>
      </c>
      <c r="T15" s="145">
        <v>88.314999999999998</v>
      </c>
      <c r="U15" s="145">
        <v>3.9E-2</v>
      </c>
      <c r="V15" s="145">
        <v>0.115</v>
      </c>
      <c r="W15" s="145" t="s">
        <v>400</v>
      </c>
      <c r="X15" s="145">
        <v>0.03</v>
      </c>
      <c r="Y15" s="145">
        <v>2.5999999999999999E-2</v>
      </c>
      <c r="Z15" s="146">
        <v>0.04</v>
      </c>
      <c r="AA15" s="145">
        <v>0.505</v>
      </c>
      <c r="AB15" s="145">
        <v>2.0990000000000002</v>
      </c>
      <c r="AC15" s="145">
        <v>0.66700000000000004</v>
      </c>
      <c r="AD15" s="145">
        <v>1.4999999999999999E-2</v>
      </c>
      <c r="AE15" s="145">
        <v>9.2759999999999998</v>
      </c>
      <c r="AF15" s="145" t="s">
        <v>400</v>
      </c>
      <c r="AG15" s="145">
        <v>0.20399999999999999</v>
      </c>
      <c r="AH15" s="145">
        <v>2E-3</v>
      </c>
      <c r="AI15" s="145" t="s">
        <v>400</v>
      </c>
      <c r="AJ15" s="145">
        <v>1.3440000000000001</v>
      </c>
      <c r="AK15" s="145">
        <v>33.475999999999999</v>
      </c>
      <c r="AL15" s="145">
        <v>3.2749999999999999</v>
      </c>
      <c r="AM15" s="145">
        <v>2.5230000000000001</v>
      </c>
    </row>
    <row r="16" spans="1:39">
      <c r="A16" s="143" t="s">
        <v>1075</v>
      </c>
      <c r="B16" s="144">
        <v>100</v>
      </c>
      <c r="C16" s="145">
        <v>62.951999999999998</v>
      </c>
      <c r="D16" s="145">
        <v>1.2370000000000001</v>
      </c>
      <c r="E16" s="145">
        <v>0.30499999999999999</v>
      </c>
      <c r="F16" s="145">
        <v>3.3000000000000002E-2</v>
      </c>
      <c r="G16" s="145">
        <v>5.8999999999999997E-2</v>
      </c>
      <c r="H16" s="145">
        <v>0.125</v>
      </c>
      <c r="I16" s="145">
        <v>0.122</v>
      </c>
      <c r="J16" s="145">
        <v>3.0000000000000001E-3</v>
      </c>
      <c r="K16" s="145" t="s">
        <v>400</v>
      </c>
      <c r="L16" s="145">
        <v>13.503</v>
      </c>
      <c r="M16" s="145">
        <v>0.67200000000000004</v>
      </c>
      <c r="N16" s="145">
        <v>3.3730000000000002</v>
      </c>
      <c r="O16" s="145">
        <v>6.9249999999999998</v>
      </c>
      <c r="P16" s="145">
        <v>3.1E-2</v>
      </c>
      <c r="Q16" s="145">
        <v>17.913</v>
      </c>
      <c r="R16" s="145">
        <v>0.73699999999999999</v>
      </c>
      <c r="S16" s="145">
        <v>5.0090000000000003</v>
      </c>
      <c r="T16" s="145">
        <v>25.931000000000001</v>
      </c>
      <c r="U16" s="145">
        <v>2.3E-2</v>
      </c>
      <c r="V16" s="145">
        <v>0.13100000000000001</v>
      </c>
      <c r="W16" s="145" t="s">
        <v>400</v>
      </c>
      <c r="X16" s="145">
        <v>0.105</v>
      </c>
      <c r="Y16" s="145">
        <v>7.0999999999999994E-2</v>
      </c>
      <c r="Z16" s="146">
        <v>3.4000000000000002E-2</v>
      </c>
      <c r="AA16" s="145">
        <v>0.90600000000000003</v>
      </c>
      <c r="AB16" s="145" t="s">
        <v>400</v>
      </c>
      <c r="AC16" s="145">
        <v>1.0169999999999999</v>
      </c>
      <c r="AD16" s="145" t="s">
        <v>400</v>
      </c>
      <c r="AE16" s="145">
        <v>20.812999999999999</v>
      </c>
      <c r="AF16" s="145" t="s">
        <v>400</v>
      </c>
      <c r="AG16" s="145">
        <v>2.7E-2</v>
      </c>
      <c r="AH16" s="145" t="s">
        <v>400</v>
      </c>
      <c r="AI16" s="145">
        <v>126</v>
      </c>
      <c r="AJ16" s="145">
        <v>1.9790000000000001</v>
      </c>
      <c r="AK16" s="145">
        <v>1.827</v>
      </c>
      <c r="AL16" s="145">
        <v>0.28499999999999998</v>
      </c>
      <c r="AM16" s="145" t="s">
        <v>400</v>
      </c>
    </row>
    <row r="17" spans="1:39">
      <c r="A17" s="143" t="s">
        <v>1076</v>
      </c>
      <c r="B17" s="144">
        <v>100</v>
      </c>
      <c r="C17" s="145">
        <v>62.951999999999998</v>
      </c>
      <c r="D17" s="145">
        <v>1.2370000000000001</v>
      </c>
      <c r="E17" s="145">
        <v>0.30499999999999999</v>
      </c>
      <c r="F17" s="145">
        <v>3.3000000000000002E-2</v>
      </c>
      <c r="G17" s="145">
        <v>5.8999999999999997E-2</v>
      </c>
      <c r="H17" s="145">
        <v>0.125</v>
      </c>
      <c r="I17" s="145">
        <v>0.122</v>
      </c>
      <c r="J17" s="145">
        <v>3.0000000000000001E-3</v>
      </c>
      <c r="K17" s="145" t="s">
        <v>400</v>
      </c>
      <c r="L17" s="145">
        <v>13.503</v>
      </c>
      <c r="M17" s="145">
        <v>0.67200000000000004</v>
      </c>
      <c r="N17" s="145">
        <v>3.3730000000000002</v>
      </c>
      <c r="O17" s="145">
        <v>6.9249999999999998</v>
      </c>
      <c r="P17" s="145">
        <v>3.1E-2</v>
      </c>
      <c r="Q17" s="145">
        <v>17.913</v>
      </c>
      <c r="R17" s="145">
        <v>0.73699999999999999</v>
      </c>
      <c r="S17" s="145">
        <v>5.0090000000000003</v>
      </c>
      <c r="T17" s="145">
        <v>25.931000000000001</v>
      </c>
      <c r="U17" s="145">
        <v>2.3E-2</v>
      </c>
      <c r="V17" s="145">
        <v>0.13100000000000001</v>
      </c>
      <c r="W17" s="145" t="s">
        <v>400</v>
      </c>
      <c r="X17" s="145">
        <v>0.105</v>
      </c>
      <c r="Y17" s="145">
        <v>7.0999999999999994E-2</v>
      </c>
      <c r="Z17" s="146">
        <v>3.4000000000000002E-2</v>
      </c>
      <c r="AA17" s="145">
        <v>0.90600000000000003</v>
      </c>
      <c r="AB17" s="145" t="s">
        <v>400</v>
      </c>
      <c r="AC17" s="145">
        <v>1.0169999999999999</v>
      </c>
      <c r="AD17" s="145" t="s">
        <v>400</v>
      </c>
      <c r="AE17" s="145">
        <v>20.812999999999999</v>
      </c>
      <c r="AF17" s="145" t="s">
        <v>400</v>
      </c>
      <c r="AG17" s="145">
        <v>2.7E-2</v>
      </c>
      <c r="AH17" s="145" t="s">
        <v>400</v>
      </c>
      <c r="AI17" s="145">
        <v>126</v>
      </c>
      <c r="AJ17" s="145">
        <v>1.9790000000000001</v>
      </c>
      <c r="AK17" s="145">
        <v>1.827</v>
      </c>
      <c r="AL17" s="145">
        <v>0.28499999999999998</v>
      </c>
      <c r="AM17" s="145" t="s">
        <v>400</v>
      </c>
    </row>
    <row r="18" spans="1:39">
      <c r="A18" s="143" t="s">
        <v>1077</v>
      </c>
      <c r="B18" s="144">
        <v>100</v>
      </c>
      <c r="C18" s="145">
        <v>567</v>
      </c>
      <c r="D18" s="145">
        <v>25.8</v>
      </c>
      <c r="E18" s="145">
        <v>49.24</v>
      </c>
      <c r="F18" s="145">
        <v>6.8339999999999996</v>
      </c>
      <c r="G18" s="145">
        <v>24.428999999999998</v>
      </c>
      <c r="H18" s="145">
        <v>15.558999999999999</v>
      </c>
      <c r="I18" s="145">
        <v>15.555</v>
      </c>
      <c r="J18" s="145">
        <v>3.0000000000000001E-3</v>
      </c>
      <c r="K18" s="145" t="s">
        <v>400</v>
      </c>
      <c r="L18" s="145">
        <v>16.13</v>
      </c>
      <c r="M18" s="145">
        <v>8.5</v>
      </c>
      <c r="N18" s="145">
        <v>92</v>
      </c>
      <c r="O18" s="145">
        <v>168</v>
      </c>
      <c r="P18" s="145">
        <v>1.9339999999999999</v>
      </c>
      <c r="Q18" s="145">
        <v>376</v>
      </c>
      <c r="R18" s="145">
        <v>4.58</v>
      </c>
      <c r="S18" s="145">
        <v>18</v>
      </c>
      <c r="T18" s="145">
        <v>705</v>
      </c>
      <c r="U18" s="145">
        <v>1.1439999999999999</v>
      </c>
      <c r="V18" s="145">
        <v>3.27</v>
      </c>
      <c r="W18" s="145" t="s">
        <v>400</v>
      </c>
      <c r="X18" s="145">
        <v>0.64</v>
      </c>
      <c r="Y18" s="145">
        <v>0.13500000000000001</v>
      </c>
      <c r="Z18" s="146">
        <v>0.34799999999999998</v>
      </c>
      <c r="AA18" s="145">
        <v>12.066000000000001</v>
      </c>
      <c r="AB18" s="145" t="s">
        <v>400</v>
      </c>
      <c r="AC18" s="145">
        <v>16.233000000000001</v>
      </c>
      <c r="AD18" s="145" t="s">
        <v>400</v>
      </c>
      <c r="AE18" s="145">
        <v>240</v>
      </c>
      <c r="AF18" s="145" t="s">
        <v>400</v>
      </c>
      <c r="AG18" s="145">
        <v>8.33</v>
      </c>
      <c r="AH18" s="145" t="s">
        <v>400</v>
      </c>
      <c r="AI18" s="145" t="s">
        <v>400</v>
      </c>
      <c r="AJ18" s="145">
        <v>7.2</v>
      </c>
      <c r="AK18" s="145" t="s">
        <v>400</v>
      </c>
      <c r="AL18" s="145">
        <v>4</v>
      </c>
      <c r="AM18" s="145" t="s">
        <v>400</v>
      </c>
    </row>
    <row r="19" spans="1:39">
      <c r="A19" s="143" t="s">
        <v>1078</v>
      </c>
      <c r="B19" s="144">
        <v>100</v>
      </c>
      <c r="C19" s="145">
        <v>109.093</v>
      </c>
      <c r="D19" s="145">
        <v>5.36</v>
      </c>
      <c r="E19" s="145">
        <v>3.0590000000000002</v>
      </c>
      <c r="F19" s="145">
        <v>0.48299999999999998</v>
      </c>
      <c r="G19" s="145">
        <v>0.66600000000000004</v>
      </c>
      <c r="H19" s="145">
        <v>1.7410000000000001</v>
      </c>
      <c r="I19" s="145">
        <v>1.528</v>
      </c>
      <c r="J19" s="145">
        <v>0.21199999999999999</v>
      </c>
      <c r="K19" s="145" t="s">
        <v>400</v>
      </c>
      <c r="L19" s="145">
        <v>15.63</v>
      </c>
      <c r="M19" s="145">
        <v>5.5</v>
      </c>
      <c r="N19" s="145">
        <v>27</v>
      </c>
      <c r="O19" s="145">
        <v>39</v>
      </c>
      <c r="P19" s="145">
        <v>0.52500000000000002</v>
      </c>
      <c r="Q19" s="145">
        <v>117</v>
      </c>
      <c r="R19" s="145">
        <v>1.5409999999999999</v>
      </c>
      <c r="S19" s="145">
        <v>3</v>
      </c>
      <c r="T19" s="145">
        <v>271</v>
      </c>
      <c r="U19" s="145">
        <v>0.17299999999999999</v>
      </c>
      <c r="V19" s="145">
        <v>1.19</v>
      </c>
      <c r="W19" s="145" t="s">
        <v>400</v>
      </c>
      <c r="X19" s="145">
        <v>0.25900000000000001</v>
      </c>
      <c r="Y19" s="145">
        <v>0.14899999999999999</v>
      </c>
      <c r="Z19" s="146">
        <v>0.216</v>
      </c>
      <c r="AA19" s="145">
        <v>2.0209999999999999</v>
      </c>
      <c r="AB19" s="145">
        <v>14.2</v>
      </c>
      <c r="AC19" s="145">
        <v>2.6379999999999999</v>
      </c>
      <c r="AD19" s="145" t="s">
        <v>400</v>
      </c>
      <c r="AE19" s="145">
        <v>63</v>
      </c>
      <c r="AF19" s="145" t="s">
        <v>400</v>
      </c>
      <c r="AG19" s="145">
        <v>0.372</v>
      </c>
      <c r="AH19" s="145">
        <v>1.4999999999999999E-2</v>
      </c>
      <c r="AI19" s="145">
        <v>236</v>
      </c>
      <c r="AJ19" s="145">
        <v>3.2010000000000001</v>
      </c>
      <c r="AK19" s="145">
        <v>40.082999999999998</v>
      </c>
      <c r="AL19" s="145">
        <v>5.94</v>
      </c>
      <c r="AM19" s="145" t="s">
        <v>400</v>
      </c>
    </row>
    <row r="20" spans="1:39">
      <c r="A20" s="143" t="s">
        <v>1079</v>
      </c>
      <c r="B20" s="144">
        <v>100</v>
      </c>
      <c r="C20" s="145">
        <v>85.617000000000004</v>
      </c>
      <c r="D20" s="145">
        <v>4.8</v>
      </c>
      <c r="E20" s="145">
        <v>3.1720000000000002</v>
      </c>
      <c r="F20" s="145">
        <v>0.56000000000000005</v>
      </c>
      <c r="G20" s="145">
        <v>0.629</v>
      </c>
      <c r="H20" s="145">
        <v>1.8460000000000001</v>
      </c>
      <c r="I20" s="145">
        <v>1.482</v>
      </c>
      <c r="J20" s="145">
        <v>0.36299999999999999</v>
      </c>
      <c r="K20" s="145" t="s">
        <v>400</v>
      </c>
      <c r="L20" s="145">
        <v>10.1</v>
      </c>
      <c r="M20" s="145">
        <v>3.6</v>
      </c>
      <c r="N20" s="145">
        <v>18</v>
      </c>
      <c r="O20" s="145">
        <v>31</v>
      </c>
      <c r="P20" s="145">
        <v>0.26100000000000001</v>
      </c>
      <c r="Q20" s="145">
        <v>73</v>
      </c>
      <c r="R20" s="145">
        <v>1.5009999999999999</v>
      </c>
      <c r="S20" s="145">
        <v>41</v>
      </c>
      <c r="T20" s="145">
        <v>193</v>
      </c>
      <c r="U20" s="145">
        <v>0.06</v>
      </c>
      <c r="V20" s="145">
        <v>0.47</v>
      </c>
      <c r="W20" s="145" t="s">
        <v>400</v>
      </c>
      <c r="X20" s="145">
        <v>0.128</v>
      </c>
      <c r="Y20" s="145">
        <v>0.09</v>
      </c>
      <c r="Z20" s="146">
        <v>2.9000000000000001E-2</v>
      </c>
      <c r="AA20" s="145">
        <v>1.2</v>
      </c>
      <c r="AB20" s="145">
        <v>19.8</v>
      </c>
      <c r="AC20" s="145">
        <v>2</v>
      </c>
      <c r="AD20" s="145" t="s">
        <v>400</v>
      </c>
      <c r="AE20" s="145">
        <v>58</v>
      </c>
      <c r="AF20" s="145" t="s">
        <v>400</v>
      </c>
      <c r="AG20" s="145">
        <v>0.33600000000000002</v>
      </c>
      <c r="AH20" s="145">
        <v>1.4E-2</v>
      </c>
      <c r="AI20" s="145">
        <v>222</v>
      </c>
      <c r="AJ20" s="145">
        <v>2.2240000000000002</v>
      </c>
      <c r="AK20" s="145">
        <v>18.832999999999998</v>
      </c>
      <c r="AL20" s="145">
        <v>1.2350000000000001</v>
      </c>
      <c r="AM20" s="145" t="s">
        <v>400</v>
      </c>
    </row>
    <row r="21" spans="1:39">
      <c r="A21" s="143" t="s">
        <v>1080</v>
      </c>
      <c r="B21" s="144">
        <v>100</v>
      </c>
      <c r="C21" s="145">
        <v>85.617000000000004</v>
      </c>
      <c r="D21" s="145">
        <v>4.8</v>
      </c>
      <c r="E21" s="145">
        <v>3.1720000000000002</v>
      </c>
      <c r="F21" s="145">
        <v>0.56000000000000005</v>
      </c>
      <c r="G21" s="145">
        <v>0.629</v>
      </c>
      <c r="H21" s="145">
        <v>1.8460000000000001</v>
      </c>
      <c r="I21" s="145">
        <v>1.482</v>
      </c>
      <c r="J21" s="145">
        <v>0.36299999999999999</v>
      </c>
      <c r="K21" s="145" t="s">
        <v>400</v>
      </c>
      <c r="L21" s="145">
        <v>10.1</v>
      </c>
      <c r="M21" s="145">
        <v>3.6</v>
      </c>
      <c r="N21" s="145">
        <v>18</v>
      </c>
      <c r="O21" s="145">
        <v>31</v>
      </c>
      <c r="P21" s="145">
        <v>0.26100000000000001</v>
      </c>
      <c r="Q21" s="145">
        <v>73</v>
      </c>
      <c r="R21" s="145">
        <v>1.5009999999999999</v>
      </c>
      <c r="S21" s="145">
        <v>41</v>
      </c>
      <c r="T21" s="145">
        <v>193</v>
      </c>
      <c r="U21" s="145">
        <v>0.06</v>
      </c>
      <c r="V21" s="145">
        <v>0.47</v>
      </c>
      <c r="W21" s="145" t="s">
        <v>400</v>
      </c>
      <c r="X21" s="145">
        <v>0.128</v>
      </c>
      <c r="Y21" s="145">
        <v>0.09</v>
      </c>
      <c r="Z21" s="146">
        <v>2.9000000000000001E-2</v>
      </c>
      <c r="AA21" s="145">
        <v>1.2</v>
      </c>
      <c r="AB21" s="145">
        <v>19.8</v>
      </c>
      <c r="AC21" s="145">
        <v>2</v>
      </c>
      <c r="AD21" s="145" t="s">
        <v>400</v>
      </c>
      <c r="AE21" s="145">
        <v>58</v>
      </c>
      <c r="AF21" s="145" t="s">
        <v>400</v>
      </c>
      <c r="AG21" s="145">
        <v>0.33600000000000002</v>
      </c>
      <c r="AH21" s="145">
        <v>1.4E-2</v>
      </c>
      <c r="AI21" s="145">
        <v>222</v>
      </c>
      <c r="AJ21" s="145">
        <v>2.2240000000000002</v>
      </c>
      <c r="AK21" s="145">
        <v>18.832999999999998</v>
      </c>
      <c r="AL21" s="145">
        <v>1.2350000000000001</v>
      </c>
      <c r="AM21" s="145" t="s">
        <v>400</v>
      </c>
    </row>
    <row r="22" spans="1:39">
      <c r="A22" s="143" t="s">
        <v>1081</v>
      </c>
      <c r="B22" s="144">
        <v>100</v>
      </c>
      <c r="C22" s="145">
        <v>121.33199999999999</v>
      </c>
      <c r="D22" s="145">
        <v>3.17</v>
      </c>
      <c r="E22" s="145">
        <v>3.133</v>
      </c>
      <c r="F22" s="145">
        <v>0.52700000000000002</v>
      </c>
      <c r="G22" s="145">
        <v>0.66100000000000003</v>
      </c>
      <c r="H22" s="145">
        <v>1.75</v>
      </c>
      <c r="I22" s="145">
        <v>1.4950000000000001</v>
      </c>
      <c r="J22" s="145">
        <v>0.255</v>
      </c>
      <c r="K22" s="145" t="s">
        <v>400</v>
      </c>
      <c r="L22" s="145">
        <v>20.32</v>
      </c>
      <c r="M22" s="145">
        <v>5</v>
      </c>
      <c r="N22" s="145">
        <v>128</v>
      </c>
      <c r="O22" s="145">
        <v>52</v>
      </c>
      <c r="P22" s="145">
        <v>0.57199999999999995</v>
      </c>
      <c r="Q22" s="145">
        <v>51</v>
      </c>
      <c r="R22" s="145">
        <v>1.121</v>
      </c>
      <c r="S22" s="145">
        <v>4</v>
      </c>
      <c r="T22" s="145">
        <v>418</v>
      </c>
      <c r="U22" s="145">
        <v>0.13300000000000001</v>
      </c>
      <c r="V22" s="145">
        <v>1.03</v>
      </c>
      <c r="W22" s="145" t="s">
        <v>400</v>
      </c>
      <c r="X22" s="145">
        <v>0.10100000000000001</v>
      </c>
      <c r="Y22" s="145">
        <v>0.14799999999999999</v>
      </c>
      <c r="Z22" s="146">
        <v>6.5000000000000002E-2</v>
      </c>
      <c r="AA22" s="145">
        <v>1.403</v>
      </c>
      <c r="AB22" s="145">
        <v>2.2000000000000002</v>
      </c>
      <c r="AC22" s="145">
        <v>2.02</v>
      </c>
      <c r="AD22" s="145" t="s">
        <v>400</v>
      </c>
      <c r="AE22" s="145">
        <v>127</v>
      </c>
      <c r="AF22" s="145" t="s">
        <v>400</v>
      </c>
      <c r="AG22" s="145">
        <v>0.44500000000000001</v>
      </c>
      <c r="AH22" s="145">
        <v>1.4999999999999999E-2</v>
      </c>
      <c r="AI22" s="145">
        <v>229</v>
      </c>
      <c r="AJ22" s="145">
        <v>3.7610000000000001</v>
      </c>
      <c r="AK22" s="145">
        <v>39.582999999999998</v>
      </c>
      <c r="AL22" s="145">
        <v>0.34</v>
      </c>
      <c r="AM22" s="145" t="s">
        <v>400</v>
      </c>
    </row>
    <row r="23" spans="1:39">
      <c r="A23" s="143" t="s">
        <v>1082</v>
      </c>
      <c r="B23" s="144">
        <v>100</v>
      </c>
      <c r="C23" s="145">
        <v>121.33199999999999</v>
      </c>
      <c r="D23" s="145">
        <v>3.17</v>
      </c>
      <c r="E23" s="145">
        <v>3.133</v>
      </c>
      <c r="F23" s="145">
        <v>0.52700000000000002</v>
      </c>
      <c r="G23" s="145">
        <v>0.66100000000000003</v>
      </c>
      <c r="H23" s="145">
        <v>1.75</v>
      </c>
      <c r="I23" s="145">
        <v>1.4950000000000001</v>
      </c>
      <c r="J23" s="145">
        <v>0.255</v>
      </c>
      <c r="K23" s="145" t="s">
        <v>400</v>
      </c>
      <c r="L23" s="145">
        <v>20.32</v>
      </c>
      <c r="M23" s="145">
        <v>5</v>
      </c>
      <c r="N23" s="145">
        <v>128</v>
      </c>
      <c r="O23" s="145">
        <v>52</v>
      </c>
      <c r="P23" s="145">
        <v>0.57199999999999995</v>
      </c>
      <c r="Q23" s="145">
        <v>51</v>
      </c>
      <c r="R23" s="145">
        <v>1.121</v>
      </c>
      <c r="S23" s="145">
        <v>4</v>
      </c>
      <c r="T23" s="145">
        <v>418</v>
      </c>
      <c r="U23" s="145">
        <v>0.13300000000000001</v>
      </c>
      <c r="V23" s="145">
        <v>1.03</v>
      </c>
      <c r="W23" s="145" t="s">
        <v>400</v>
      </c>
      <c r="X23" s="145">
        <v>0.10100000000000001</v>
      </c>
      <c r="Y23" s="145">
        <v>0.14799999999999999</v>
      </c>
      <c r="Z23" s="146">
        <v>6.5000000000000002E-2</v>
      </c>
      <c r="AA23" s="145">
        <v>1.403</v>
      </c>
      <c r="AB23" s="145">
        <v>2.2000000000000002</v>
      </c>
      <c r="AC23" s="145">
        <v>2.02</v>
      </c>
      <c r="AD23" s="145" t="s">
        <v>400</v>
      </c>
      <c r="AE23" s="145">
        <v>127</v>
      </c>
      <c r="AF23" s="145" t="s">
        <v>400</v>
      </c>
      <c r="AG23" s="145">
        <v>0.44500000000000001</v>
      </c>
      <c r="AH23" s="145">
        <v>1.4999999999999999E-2</v>
      </c>
      <c r="AI23" s="145">
        <v>229</v>
      </c>
      <c r="AJ23" s="145">
        <v>3.7610000000000001</v>
      </c>
      <c r="AK23" s="145">
        <v>39.582999999999998</v>
      </c>
      <c r="AL23" s="145">
        <v>0.34</v>
      </c>
      <c r="AM23" s="145" t="s">
        <v>400</v>
      </c>
    </row>
    <row r="24" spans="1:39">
      <c r="A24" s="143" t="s">
        <v>1083</v>
      </c>
      <c r="B24" s="144">
        <v>100</v>
      </c>
      <c r="C24" s="145">
        <v>534</v>
      </c>
      <c r="D24" s="145">
        <v>18.29</v>
      </c>
      <c r="E24" s="145">
        <v>42.16</v>
      </c>
      <c r="F24" s="145">
        <v>3.6629999999999998</v>
      </c>
      <c r="G24" s="145">
        <v>7.5270000000000001</v>
      </c>
      <c r="H24" s="145">
        <v>28.73</v>
      </c>
      <c r="I24" s="145">
        <v>5.9029999999999996</v>
      </c>
      <c r="J24" s="145">
        <v>22.812999999999999</v>
      </c>
      <c r="K24" s="145" t="s">
        <v>400</v>
      </c>
      <c r="L24" s="145">
        <v>28.88</v>
      </c>
      <c r="M24" s="145">
        <v>27.3</v>
      </c>
      <c r="N24" s="145">
        <v>255</v>
      </c>
      <c r="O24" s="145">
        <v>392</v>
      </c>
      <c r="P24" s="145">
        <v>2.4820000000000002</v>
      </c>
      <c r="Q24" s="145">
        <v>642</v>
      </c>
      <c r="R24" s="145">
        <v>5.73</v>
      </c>
      <c r="S24" s="145">
        <v>30</v>
      </c>
      <c r="T24" s="145">
        <v>813</v>
      </c>
      <c r="U24" s="145">
        <v>1.22</v>
      </c>
      <c r="V24" s="145">
        <v>4.34</v>
      </c>
      <c r="W24" s="145" t="s">
        <v>400</v>
      </c>
      <c r="X24" s="145">
        <v>1.6439999999999999</v>
      </c>
      <c r="Y24" s="145">
        <v>0.161</v>
      </c>
      <c r="Z24" s="146">
        <v>0.47299999999999998</v>
      </c>
      <c r="AA24" s="145">
        <v>3.08</v>
      </c>
      <c r="AB24" s="145">
        <v>0.6</v>
      </c>
      <c r="AC24" s="145">
        <v>8.0299999999999994</v>
      </c>
      <c r="AD24" s="145" t="s">
        <v>400</v>
      </c>
      <c r="AE24" s="145">
        <v>87</v>
      </c>
      <c r="AF24" s="145" t="s">
        <v>400</v>
      </c>
      <c r="AG24" s="145">
        <v>0.31</v>
      </c>
      <c r="AH24" s="145" t="s">
        <v>400</v>
      </c>
      <c r="AI24" s="145" t="s">
        <v>400</v>
      </c>
      <c r="AJ24" s="145">
        <v>25.4</v>
      </c>
      <c r="AK24" s="145" t="s">
        <v>400</v>
      </c>
      <c r="AL24" s="145">
        <v>1.55</v>
      </c>
      <c r="AM24" s="145" t="s">
        <v>400</v>
      </c>
    </row>
    <row r="25" spans="1:39">
      <c r="A25" s="143" t="s">
        <v>1084</v>
      </c>
      <c r="B25" s="144">
        <v>100</v>
      </c>
      <c r="C25" s="145">
        <v>97.405000000000001</v>
      </c>
      <c r="D25" s="145">
        <v>5.8380000000000001</v>
      </c>
      <c r="E25" s="145">
        <v>1.794</v>
      </c>
      <c r="F25" s="145">
        <v>0.30299999999999999</v>
      </c>
      <c r="G25" s="145">
        <v>0.38</v>
      </c>
      <c r="H25" s="145">
        <v>1.006</v>
      </c>
      <c r="I25" s="145">
        <v>0.85699999999999998</v>
      </c>
      <c r="J25" s="145">
        <v>0.14899999999999999</v>
      </c>
      <c r="K25" s="145" t="s">
        <v>400</v>
      </c>
      <c r="L25" s="145">
        <v>15.054</v>
      </c>
      <c r="M25" s="145">
        <v>3.78</v>
      </c>
      <c r="N25" s="145">
        <v>55.201999999999998</v>
      </c>
      <c r="O25" s="145">
        <v>38.201000000000001</v>
      </c>
      <c r="P25" s="145">
        <v>0.38200000000000001</v>
      </c>
      <c r="Q25" s="145">
        <v>67.8</v>
      </c>
      <c r="R25" s="145">
        <v>2.2210000000000001</v>
      </c>
      <c r="S25" s="145">
        <v>5.2030000000000003</v>
      </c>
      <c r="T25" s="145">
        <v>336.6</v>
      </c>
      <c r="U25" s="145">
        <v>0.17599999999999999</v>
      </c>
      <c r="V25" s="145">
        <v>0.83199999999999996</v>
      </c>
      <c r="W25" s="145" t="s">
        <v>400</v>
      </c>
      <c r="X25" s="145">
        <v>7.0999999999999994E-2</v>
      </c>
      <c r="Y25" s="145">
        <v>2.8000000000000001E-2</v>
      </c>
      <c r="Z25" s="146">
        <v>5.6000000000000001E-2</v>
      </c>
      <c r="AA25" s="145">
        <v>8.4000000000000005E-2</v>
      </c>
      <c r="AB25" s="145" t="s">
        <v>400</v>
      </c>
      <c r="AC25" s="145">
        <v>1.234</v>
      </c>
      <c r="AD25" s="145" t="s">
        <v>400</v>
      </c>
      <c r="AE25" s="145">
        <v>48.6</v>
      </c>
      <c r="AF25" s="145" t="s">
        <v>400</v>
      </c>
      <c r="AG25" s="145">
        <v>0.69399999999999995</v>
      </c>
      <c r="AH25" s="145">
        <v>8.0000000000000002E-3</v>
      </c>
      <c r="AI25" s="145">
        <v>219</v>
      </c>
      <c r="AJ25" s="145">
        <v>1.506</v>
      </c>
      <c r="AK25" s="145" t="s">
        <v>400</v>
      </c>
      <c r="AL25" s="145">
        <v>0.3</v>
      </c>
      <c r="AM25" s="145" t="s">
        <v>400</v>
      </c>
    </row>
    <row r="26" spans="1:39">
      <c r="A26" s="143" t="s">
        <v>1085</v>
      </c>
      <c r="B26" s="144">
        <v>100</v>
      </c>
      <c r="C26" s="145">
        <v>188.48099999999999</v>
      </c>
      <c r="D26" s="145">
        <v>8.86</v>
      </c>
      <c r="E26" s="145">
        <v>5.359</v>
      </c>
      <c r="F26" s="145">
        <v>0.70199999999999996</v>
      </c>
      <c r="G26" s="145">
        <v>1.214</v>
      </c>
      <c r="H26" s="145">
        <v>2.7549999999999999</v>
      </c>
      <c r="I26" s="145">
        <v>2.524</v>
      </c>
      <c r="J26" s="145">
        <v>0.23100000000000001</v>
      </c>
      <c r="K26" s="145" t="s">
        <v>400</v>
      </c>
      <c r="L26" s="145">
        <v>27.42</v>
      </c>
      <c r="M26" s="145">
        <v>7.6</v>
      </c>
      <c r="N26" s="145">
        <v>49</v>
      </c>
      <c r="O26" s="145">
        <v>48</v>
      </c>
      <c r="P26" s="145">
        <v>1.03</v>
      </c>
      <c r="Q26" s="145">
        <v>168</v>
      </c>
      <c r="R26" s="145">
        <v>2.891</v>
      </c>
      <c r="S26" s="145">
        <v>7</v>
      </c>
      <c r="T26" s="145">
        <v>291</v>
      </c>
      <c r="U26" s="145">
        <v>0.35199999999999998</v>
      </c>
      <c r="V26" s="145">
        <v>1.53</v>
      </c>
      <c r="W26" s="145" t="s">
        <v>400</v>
      </c>
      <c r="X26" s="145">
        <v>0.11600000000000001</v>
      </c>
      <c r="Y26" s="145">
        <v>6.3E-2</v>
      </c>
      <c r="Z26" s="146">
        <v>0.13900000000000001</v>
      </c>
      <c r="AA26" s="145">
        <v>0.52600000000000002</v>
      </c>
      <c r="AB26" s="145">
        <v>1.3</v>
      </c>
      <c r="AC26" s="145">
        <v>1.9430000000000001</v>
      </c>
      <c r="AD26" s="145" t="s">
        <v>400</v>
      </c>
      <c r="AE26" s="145">
        <v>172</v>
      </c>
      <c r="AF26" s="145" t="s">
        <v>400</v>
      </c>
      <c r="AG26" s="145">
        <v>0.57699999999999996</v>
      </c>
      <c r="AH26" s="145">
        <v>1.4999999999999999E-2</v>
      </c>
      <c r="AI26" s="145">
        <v>230</v>
      </c>
      <c r="AJ26" s="145">
        <v>4.9690000000000003</v>
      </c>
      <c r="AK26" s="145">
        <v>1.333</v>
      </c>
      <c r="AL26" s="145">
        <v>1.7</v>
      </c>
      <c r="AM26" s="145" t="s">
        <v>400</v>
      </c>
    </row>
    <row r="27" spans="1:39">
      <c r="A27" s="143" t="s">
        <v>1086</v>
      </c>
      <c r="B27" s="144">
        <v>100</v>
      </c>
      <c r="C27" s="145">
        <v>136.27699999999999</v>
      </c>
      <c r="D27" s="145">
        <v>9.02</v>
      </c>
      <c r="E27" s="145">
        <v>2.6739999999999999</v>
      </c>
      <c r="F27" s="145">
        <v>0.41199999999999998</v>
      </c>
      <c r="G27" s="145">
        <v>0.58699999999999997</v>
      </c>
      <c r="H27" s="145">
        <v>1.4990000000000001</v>
      </c>
      <c r="I27" s="145">
        <v>1.306</v>
      </c>
      <c r="J27" s="145">
        <v>0.193</v>
      </c>
      <c r="K27" s="145" t="s">
        <v>400</v>
      </c>
      <c r="L27" s="145">
        <v>20.13</v>
      </c>
      <c r="M27" s="145">
        <v>5.86</v>
      </c>
      <c r="N27" s="145">
        <v>19</v>
      </c>
      <c r="O27" s="145">
        <v>36</v>
      </c>
      <c r="P27" s="145">
        <v>0.49399999999999999</v>
      </c>
      <c r="Q27" s="145">
        <v>180</v>
      </c>
      <c r="R27" s="145">
        <v>3.331</v>
      </c>
      <c r="S27" s="145">
        <v>2</v>
      </c>
      <c r="T27" s="145">
        <v>369</v>
      </c>
      <c r="U27" s="145">
        <v>0.251</v>
      </c>
      <c r="V27" s="145">
        <v>1.27</v>
      </c>
      <c r="W27" s="145" t="s">
        <v>400</v>
      </c>
      <c r="X27" s="145">
        <v>0.16900000000000001</v>
      </c>
      <c r="Y27" s="145">
        <v>7.2999999999999995E-2</v>
      </c>
      <c r="Z27" s="146">
        <v>0.17799999999999999</v>
      </c>
      <c r="AA27" s="145">
        <v>1.06</v>
      </c>
      <c r="AB27" s="145">
        <v>1.5</v>
      </c>
      <c r="AC27" s="145">
        <v>2.41</v>
      </c>
      <c r="AD27" s="145" t="s">
        <v>400</v>
      </c>
      <c r="AE27" s="145">
        <v>181</v>
      </c>
      <c r="AF27" s="145" t="s">
        <v>400</v>
      </c>
      <c r="AG27" s="145">
        <v>0.29799999999999999</v>
      </c>
      <c r="AH27" s="145">
        <v>1.2E-2</v>
      </c>
      <c r="AI27" s="145">
        <v>191</v>
      </c>
      <c r="AJ27" s="145">
        <v>3.851</v>
      </c>
      <c r="AK27" s="145">
        <v>0.41699999999999998</v>
      </c>
      <c r="AL27" s="145">
        <v>0.39</v>
      </c>
      <c r="AM27" s="145" t="s">
        <v>400</v>
      </c>
    </row>
    <row r="28" spans="1:39">
      <c r="A28" s="143" t="s">
        <v>1087</v>
      </c>
      <c r="B28" s="144">
        <v>100</v>
      </c>
      <c r="C28" s="145">
        <v>196.34200000000001</v>
      </c>
      <c r="D28" s="145">
        <v>16.64</v>
      </c>
      <c r="E28" s="145">
        <v>11.611000000000001</v>
      </c>
      <c r="F28" s="145">
        <v>1.71</v>
      </c>
      <c r="G28" s="145">
        <v>2.5830000000000002</v>
      </c>
      <c r="H28" s="145">
        <v>6.5890000000000004</v>
      </c>
      <c r="I28" s="145">
        <v>5.81</v>
      </c>
      <c r="J28" s="145">
        <v>0.77700000000000002</v>
      </c>
      <c r="K28" s="145" t="s">
        <v>400</v>
      </c>
      <c r="L28" s="145">
        <v>9.93</v>
      </c>
      <c r="M28" s="145">
        <v>6</v>
      </c>
      <c r="N28" s="145">
        <v>102</v>
      </c>
      <c r="O28" s="145">
        <v>86</v>
      </c>
      <c r="P28" s="145">
        <v>0.82399999999999995</v>
      </c>
      <c r="Q28" s="145">
        <v>245</v>
      </c>
      <c r="R28" s="145">
        <v>5.141</v>
      </c>
      <c r="S28" s="145">
        <v>1</v>
      </c>
      <c r="T28" s="145">
        <v>515</v>
      </c>
      <c r="U28" s="145">
        <v>0.40699999999999997</v>
      </c>
      <c r="V28" s="145">
        <v>1.1499999999999999</v>
      </c>
      <c r="W28" s="145" t="s">
        <v>400</v>
      </c>
      <c r="X28" s="145">
        <v>0.155</v>
      </c>
      <c r="Y28" s="145">
        <v>0.28499999999999998</v>
      </c>
      <c r="Z28" s="146">
        <v>0.23400000000000001</v>
      </c>
      <c r="AA28" s="145">
        <v>0.39900000000000002</v>
      </c>
      <c r="AB28" s="145">
        <v>1.7</v>
      </c>
      <c r="AC28" s="145">
        <v>4.4320000000000004</v>
      </c>
      <c r="AD28" s="145" t="s">
        <v>400</v>
      </c>
      <c r="AE28" s="145">
        <v>54</v>
      </c>
      <c r="AF28" s="145" t="s">
        <v>400</v>
      </c>
      <c r="AG28" s="145">
        <v>0.56599999999999995</v>
      </c>
      <c r="AH28" s="145">
        <v>1.4E-2</v>
      </c>
      <c r="AI28" s="145">
        <v>219</v>
      </c>
      <c r="AJ28" s="145">
        <v>8.51</v>
      </c>
      <c r="AK28" s="145">
        <v>0.41699999999999998</v>
      </c>
      <c r="AL28" s="145">
        <v>0.8</v>
      </c>
      <c r="AM28" s="145" t="s">
        <v>400</v>
      </c>
    </row>
    <row r="29" spans="1:39">
      <c r="A29" s="143" t="s">
        <v>1088</v>
      </c>
      <c r="B29" s="144">
        <v>100</v>
      </c>
      <c r="C29" s="145">
        <v>97.405000000000001</v>
      </c>
      <c r="D29" s="145">
        <v>5.8380000000000001</v>
      </c>
      <c r="E29" s="145">
        <v>1.794</v>
      </c>
      <c r="F29" s="145">
        <v>0.30299999999999999</v>
      </c>
      <c r="G29" s="145">
        <v>0.38</v>
      </c>
      <c r="H29" s="145">
        <v>1.006</v>
      </c>
      <c r="I29" s="145">
        <v>0.85699999999999998</v>
      </c>
      <c r="J29" s="145">
        <v>0.14899999999999999</v>
      </c>
      <c r="K29" s="145" t="s">
        <v>400</v>
      </c>
      <c r="L29" s="145">
        <v>15.054</v>
      </c>
      <c r="M29" s="145">
        <v>3.78</v>
      </c>
      <c r="N29" s="145">
        <v>55.201999999999998</v>
      </c>
      <c r="O29" s="145">
        <v>38.201000000000001</v>
      </c>
      <c r="P29" s="145">
        <v>0.38200000000000001</v>
      </c>
      <c r="Q29" s="145">
        <v>67.8</v>
      </c>
      <c r="R29" s="145">
        <v>2.2210000000000001</v>
      </c>
      <c r="S29" s="145">
        <v>5.2030000000000003</v>
      </c>
      <c r="T29" s="145">
        <v>336.6</v>
      </c>
      <c r="U29" s="145">
        <v>0.17599999999999999</v>
      </c>
      <c r="V29" s="145">
        <v>0.83199999999999996</v>
      </c>
      <c r="W29" s="145" t="s">
        <v>400</v>
      </c>
      <c r="X29" s="145">
        <v>7.0999999999999994E-2</v>
      </c>
      <c r="Y29" s="145">
        <v>2.8000000000000001E-2</v>
      </c>
      <c r="Z29" s="146">
        <v>5.6000000000000001E-2</v>
      </c>
      <c r="AA29" s="145">
        <v>8.4000000000000005E-2</v>
      </c>
      <c r="AB29" s="145" t="s">
        <v>400</v>
      </c>
      <c r="AC29" s="145">
        <v>1.234</v>
      </c>
      <c r="AD29" s="145" t="s">
        <v>400</v>
      </c>
      <c r="AE29" s="145">
        <v>48.6</v>
      </c>
      <c r="AF29" s="145" t="s">
        <v>400</v>
      </c>
      <c r="AG29" s="145">
        <v>0.69399999999999995</v>
      </c>
      <c r="AH29" s="145">
        <v>8.0000000000000002E-3</v>
      </c>
      <c r="AI29" s="145">
        <v>219</v>
      </c>
      <c r="AJ29" s="145">
        <v>1.506</v>
      </c>
      <c r="AK29" s="145" t="s">
        <v>400</v>
      </c>
      <c r="AL29" s="145">
        <v>0.3</v>
      </c>
      <c r="AM29" s="145" t="s">
        <v>400</v>
      </c>
    </row>
    <row r="30" spans="1:39">
      <c r="A30" s="143" t="s">
        <v>1089</v>
      </c>
      <c r="B30" s="144">
        <v>100</v>
      </c>
      <c r="C30" s="145">
        <v>62.951999999999998</v>
      </c>
      <c r="D30" s="145">
        <v>1.2370000000000001</v>
      </c>
      <c r="E30" s="145">
        <v>0.30499999999999999</v>
      </c>
      <c r="F30" s="145">
        <v>3.3000000000000002E-2</v>
      </c>
      <c r="G30" s="145">
        <v>5.8999999999999997E-2</v>
      </c>
      <c r="H30" s="145">
        <v>0.125</v>
      </c>
      <c r="I30" s="145">
        <v>0.122</v>
      </c>
      <c r="J30" s="145">
        <v>3.0000000000000001E-3</v>
      </c>
      <c r="K30" s="145" t="s">
        <v>400</v>
      </c>
      <c r="L30" s="145">
        <v>13.503</v>
      </c>
      <c r="M30" s="145">
        <v>0.67200000000000004</v>
      </c>
      <c r="N30" s="145">
        <v>3.3730000000000002</v>
      </c>
      <c r="O30" s="145">
        <v>6.9249999999999998</v>
      </c>
      <c r="P30" s="145">
        <v>3.1E-2</v>
      </c>
      <c r="Q30" s="145">
        <v>17.913</v>
      </c>
      <c r="R30" s="145">
        <v>0.73699999999999999</v>
      </c>
      <c r="S30" s="145">
        <v>5.0090000000000003</v>
      </c>
      <c r="T30" s="145">
        <v>25.931000000000001</v>
      </c>
      <c r="U30" s="145">
        <v>2.3E-2</v>
      </c>
      <c r="V30" s="145">
        <v>0.13100000000000001</v>
      </c>
      <c r="W30" s="145" t="s">
        <v>400</v>
      </c>
      <c r="X30" s="145">
        <v>0.105</v>
      </c>
      <c r="Y30" s="145">
        <v>7.0999999999999994E-2</v>
      </c>
      <c r="Z30" s="146">
        <v>3.4000000000000002E-2</v>
      </c>
      <c r="AA30" s="145">
        <v>0.90600000000000003</v>
      </c>
      <c r="AB30" s="145" t="s">
        <v>400</v>
      </c>
      <c r="AC30" s="145">
        <v>1.0169999999999999</v>
      </c>
      <c r="AD30" s="145" t="s">
        <v>400</v>
      </c>
      <c r="AE30" s="145">
        <v>20.812999999999999</v>
      </c>
      <c r="AF30" s="145" t="s">
        <v>400</v>
      </c>
      <c r="AG30" s="145">
        <v>2.7E-2</v>
      </c>
      <c r="AH30" s="145" t="s">
        <v>400</v>
      </c>
      <c r="AI30" s="145">
        <v>126</v>
      </c>
      <c r="AJ30" s="145">
        <v>1.9790000000000001</v>
      </c>
      <c r="AK30" s="145">
        <v>1.827</v>
      </c>
      <c r="AL30" s="145">
        <v>0.28499999999999998</v>
      </c>
      <c r="AM30" s="145" t="s">
        <v>400</v>
      </c>
    </row>
    <row r="31" spans="1:39">
      <c r="A31" s="143" t="s">
        <v>1090</v>
      </c>
      <c r="B31" s="144">
        <v>100</v>
      </c>
      <c r="C31" s="145">
        <v>121.33199999999999</v>
      </c>
      <c r="D31" s="145">
        <v>3.17</v>
      </c>
      <c r="E31" s="145">
        <v>3.133</v>
      </c>
      <c r="F31" s="145">
        <v>0.52700000000000002</v>
      </c>
      <c r="G31" s="145">
        <v>0.66100000000000003</v>
      </c>
      <c r="H31" s="145">
        <v>1.75</v>
      </c>
      <c r="I31" s="145">
        <v>1.4950000000000001</v>
      </c>
      <c r="J31" s="145">
        <v>0.255</v>
      </c>
      <c r="K31" s="145" t="s">
        <v>400</v>
      </c>
      <c r="L31" s="145">
        <v>20.32</v>
      </c>
      <c r="M31" s="145">
        <v>5</v>
      </c>
      <c r="N31" s="145">
        <v>128</v>
      </c>
      <c r="O31" s="145">
        <v>52</v>
      </c>
      <c r="P31" s="145">
        <v>0.57199999999999995</v>
      </c>
      <c r="Q31" s="145">
        <v>51</v>
      </c>
      <c r="R31" s="145">
        <v>1.121</v>
      </c>
      <c r="S31" s="145">
        <v>4</v>
      </c>
      <c r="T31" s="145">
        <v>418</v>
      </c>
      <c r="U31" s="145">
        <v>0.13300000000000001</v>
      </c>
      <c r="V31" s="145">
        <v>1.03</v>
      </c>
      <c r="W31" s="145" t="s">
        <v>400</v>
      </c>
      <c r="X31" s="145">
        <v>0.10100000000000001</v>
      </c>
      <c r="Y31" s="145">
        <v>0.14799999999999999</v>
      </c>
      <c r="Z31" s="146">
        <v>6.5000000000000002E-2</v>
      </c>
      <c r="AA31" s="145">
        <v>1.403</v>
      </c>
      <c r="AB31" s="145">
        <v>2.2000000000000002</v>
      </c>
      <c r="AC31" s="145">
        <v>2.02</v>
      </c>
      <c r="AD31" s="145" t="s">
        <v>400</v>
      </c>
      <c r="AE31" s="145">
        <v>127</v>
      </c>
      <c r="AF31" s="145" t="s">
        <v>400</v>
      </c>
      <c r="AG31" s="145">
        <v>0.44500000000000001</v>
      </c>
      <c r="AH31" s="145">
        <v>1.4999999999999999E-2</v>
      </c>
      <c r="AI31" s="145">
        <v>229</v>
      </c>
      <c r="AJ31" s="145">
        <v>3.7610000000000001</v>
      </c>
      <c r="AK31" s="145">
        <v>39.582999999999998</v>
      </c>
      <c r="AL31" s="145">
        <v>0.34</v>
      </c>
      <c r="AM31" s="145" t="s">
        <v>400</v>
      </c>
    </row>
    <row r="32" spans="1:39">
      <c r="A32" s="143" t="s">
        <v>1091</v>
      </c>
      <c r="B32" s="144">
        <v>100</v>
      </c>
      <c r="C32" s="145">
        <v>97.405000000000001</v>
      </c>
      <c r="D32" s="145">
        <v>5.8380000000000001</v>
      </c>
      <c r="E32" s="145">
        <v>1.794</v>
      </c>
      <c r="F32" s="145">
        <v>0.30299999999999999</v>
      </c>
      <c r="G32" s="145">
        <v>0.38</v>
      </c>
      <c r="H32" s="145">
        <v>1.006</v>
      </c>
      <c r="I32" s="145">
        <v>0.85699999999999998</v>
      </c>
      <c r="J32" s="145">
        <v>0.14899999999999999</v>
      </c>
      <c r="K32" s="145" t="s">
        <v>400</v>
      </c>
      <c r="L32" s="145">
        <v>15.054</v>
      </c>
      <c r="M32" s="145">
        <v>3.78</v>
      </c>
      <c r="N32" s="145">
        <v>55.201999999999998</v>
      </c>
      <c r="O32" s="145">
        <v>38.201000000000001</v>
      </c>
      <c r="P32" s="145">
        <v>0.38200000000000001</v>
      </c>
      <c r="Q32" s="145">
        <v>67.8</v>
      </c>
      <c r="R32" s="145">
        <v>2.2210000000000001</v>
      </c>
      <c r="S32" s="145">
        <v>5.2030000000000003</v>
      </c>
      <c r="T32" s="145">
        <v>336.6</v>
      </c>
      <c r="U32" s="145">
        <v>0.17599999999999999</v>
      </c>
      <c r="V32" s="145">
        <v>0.83199999999999996</v>
      </c>
      <c r="W32" s="145" t="s">
        <v>400</v>
      </c>
      <c r="X32" s="145">
        <v>7.0999999999999994E-2</v>
      </c>
      <c r="Y32" s="145">
        <v>2.8000000000000001E-2</v>
      </c>
      <c r="Z32" s="146">
        <v>5.6000000000000001E-2</v>
      </c>
      <c r="AA32" s="145">
        <v>8.4000000000000005E-2</v>
      </c>
      <c r="AB32" s="145" t="s">
        <v>400</v>
      </c>
      <c r="AC32" s="145">
        <v>1.234</v>
      </c>
      <c r="AD32" s="145" t="s">
        <v>400</v>
      </c>
      <c r="AE32" s="145">
        <v>48.6</v>
      </c>
      <c r="AF32" s="145" t="s">
        <v>400</v>
      </c>
      <c r="AG32" s="145">
        <v>0.69399999999999995</v>
      </c>
      <c r="AH32" s="145">
        <v>8.0000000000000002E-3</v>
      </c>
      <c r="AI32" s="145">
        <v>219</v>
      </c>
      <c r="AJ32" s="145">
        <v>1.506</v>
      </c>
      <c r="AK32" s="145" t="s">
        <v>400</v>
      </c>
      <c r="AL32" s="145">
        <v>0.3</v>
      </c>
      <c r="AM32" s="145" t="s">
        <v>400</v>
      </c>
    </row>
    <row r="33" spans="1:39">
      <c r="A33" s="143" t="s">
        <v>1092</v>
      </c>
      <c r="B33" s="144">
        <v>100</v>
      </c>
      <c r="C33" s="145">
        <v>445.93799999999999</v>
      </c>
      <c r="D33" s="145">
        <v>10.773</v>
      </c>
      <c r="E33" s="145">
        <v>17.78</v>
      </c>
      <c r="F33" s="145">
        <v>3.7480000000000002</v>
      </c>
      <c r="G33" s="145">
        <v>9.3580000000000005</v>
      </c>
      <c r="H33" s="145">
        <v>3.7240000000000002</v>
      </c>
      <c r="I33" s="145">
        <v>3.6360000000000001</v>
      </c>
      <c r="J33" s="145">
        <v>8.7999999999999995E-2</v>
      </c>
      <c r="K33" s="145" t="s">
        <v>400</v>
      </c>
      <c r="L33" s="145">
        <v>64.852000000000004</v>
      </c>
      <c r="M33" s="145">
        <v>12.071</v>
      </c>
      <c r="N33" s="145">
        <v>6.4880000000000004</v>
      </c>
      <c r="O33" s="145">
        <v>119.908</v>
      </c>
      <c r="P33" s="145">
        <v>0.92900000000000005</v>
      </c>
      <c r="Q33" s="145">
        <v>298.03500000000003</v>
      </c>
      <c r="R33" s="145">
        <v>2.665</v>
      </c>
      <c r="S33" s="145">
        <v>1072.5050000000001</v>
      </c>
      <c r="T33" s="145">
        <v>274.113</v>
      </c>
      <c r="U33" s="145">
        <v>0.219</v>
      </c>
      <c r="V33" s="145">
        <v>2.5670000000000002</v>
      </c>
      <c r="W33" s="145" t="s">
        <v>400</v>
      </c>
      <c r="X33" s="145">
        <v>8.6999999999999994E-2</v>
      </c>
      <c r="Y33" s="145">
        <v>6.9000000000000006E-2</v>
      </c>
      <c r="Z33" s="146">
        <v>0.13100000000000001</v>
      </c>
      <c r="AA33" s="145">
        <v>1.921</v>
      </c>
      <c r="AB33" s="145" t="s">
        <v>400</v>
      </c>
      <c r="AC33" s="145">
        <v>3.101</v>
      </c>
      <c r="AD33" s="145" t="s">
        <v>400</v>
      </c>
      <c r="AE33" s="145">
        <v>25.808</v>
      </c>
      <c r="AF33" s="145" t="s">
        <v>400</v>
      </c>
      <c r="AG33" s="145">
        <v>1.2350000000000001</v>
      </c>
      <c r="AH33" s="145">
        <v>4.2030000000000003</v>
      </c>
      <c r="AI33" s="145" t="s">
        <v>400</v>
      </c>
      <c r="AJ33" s="145">
        <v>3.0000000000000001E-3</v>
      </c>
      <c r="AK33" s="145">
        <v>8.1859999999999999</v>
      </c>
      <c r="AL33" s="145">
        <v>0.71599999999999997</v>
      </c>
      <c r="AM33" s="145" t="s">
        <v>400</v>
      </c>
    </row>
    <row r="34" spans="1:39">
      <c r="A34" s="143" t="s">
        <v>1093</v>
      </c>
      <c r="B34" s="144">
        <v>100</v>
      </c>
      <c r="C34" s="145">
        <v>135.62294570713331</v>
      </c>
      <c r="D34" s="145">
        <v>2.4961126633333333</v>
      </c>
      <c r="E34" s="145">
        <v>1.2000420000000001</v>
      </c>
      <c r="F34" s="145">
        <v>0.35066520000000001</v>
      </c>
      <c r="G34" s="145">
        <v>0.22219539999999999</v>
      </c>
      <c r="H34" s="145">
        <v>0.5631178</v>
      </c>
      <c r="I34" s="145">
        <v>0.55633080000000001</v>
      </c>
      <c r="J34" s="145">
        <v>6.6208799999999998E-2</v>
      </c>
      <c r="K34" s="145" t="s">
        <v>400</v>
      </c>
      <c r="L34" s="145">
        <v>27.784863469999994</v>
      </c>
      <c r="M34" s="145">
        <v>1.5457021999999998</v>
      </c>
      <c r="N34" s="145">
        <v>3.5095988666666669</v>
      </c>
      <c r="O34" s="145">
        <v>2.2312506666666665</v>
      </c>
      <c r="P34" s="145">
        <v>0.29375933333333332</v>
      </c>
      <c r="Q34" s="145">
        <v>17.769138999999999</v>
      </c>
      <c r="R34" s="145">
        <v>7.6405333333333325E-2</v>
      </c>
      <c r="S34" s="145">
        <v>1.1889001333333331</v>
      </c>
      <c r="T34" s="145">
        <v>14.529864733333334</v>
      </c>
      <c r="U34" s="145">
        <v>1.4852999999999998E-2</v>
      </c>
      <c r="V34" s="145">
        <v>0.48661626666666663</v>
      </c>
      <c r="W34" s="145" t="s">
        <v>400</v>
      </c>
      <c r="X34" s="145" t="s">
        <v>400</v>
      </c>
      <c r="Y34" s="145" t="s">
        <v>400</v>
      </c>
      <c r="Z34" s="145" t="s">
        <v>400</v>
      </c>
      <c r="AA34" s="145" t="s">
        <v>400</v>
      </c>
      <c r="AB34" s="145" t="s">
        <v>400</v>
      </c>
      <c r="AC34" s="145" t="s">
        <v>400</v>
      </c>
      <c r="AD34" s="145" t="s">
        <v>400</v>
      </c>
      <c r="AE34" s="145" t="s">
        <v>400</v>
      </c>
      <c r="AF34" s="145" t="s">
        <v>400</v>
      </c>
      <c r="AG34" s="145">
        <v>7.97818E-2</v>
      </c>
      <c r="AH34" s="145">
        <v>5.1939999999999998E-3</v>
      </c>
      <c r="AI34" s="145">
        <v>382</v>
      </c>
      <c r="AJ34" s="145">
        <v>0.44696819999999998</v>
      </c>
      <c r="AK34" s="145" t="s">
        <v>400</v>
      </c>
      <c r="AL34" s="145" t="s">
        <v>400</v>
      </c>
      <c r="AM34" s="145" t="s">
        <v>400</v>
      </c>
    </row>
    <row r="35" spans="1:39">
      <c r="A35" s="143" t="s">
        <v>1094</v>
      </c>
      <c r="B35" s="144">
        <v>100</v>
      </c>
      <c r="C35" s="145">
        <v>130.94564375350001</v>
      </c>
      <c r="D35" s="145">
        <v>2.5628851500000001</v>
      </c>
      <c r="E35" s="145">
        <v>1.9657966666666666</v>
      </c>
      <c r="F35" s="145">
        <v>0.44968520000000001</v>
      </c>
      <c r="G35" s="145">
        <v>0.61827539999999992</v>
      </c>
      <c r="H35" s="145">
        <v>0.86017779999999999</v>
      </c>
      <c r="I35" s="145">
        <v>0.80388079999999995</v>
      </c>
      <c r="J35" s="145">
        <v>7.6110799999999992E-2</v>
      </c>
      <c r="K35" s="145" t="s">
        <v>400</v>
      </c>
      <c r="L35" s="145">
        <v>25.556814450000001</v>
      </c>
      <c r="M35" s="145">
        <v>2.722389866666667</v>
      </c>
      <c r="N35" s="145">
        <v>5.1530007999999992</v>
      </c>
      <c r="O35" s="145">
        <v>58.126720399999996</v>
      </c>
      <c r="P35" s="145">
        <v>0.62118546666666663</v>
      </c>
      <c r="Q35" s="145">
        <v>104.81564060000001</v>
      </c>
      <c r="R35" s="145">
        <v>0.2599224</v>
      </c>
      <c r="S35" s="145">
        <v>1.2324689333333332</v>
      </c>
      <c r="T35" s="145">
        <v>74.415180333333325</v>
      </c>
      <c r="U35" s="145">
        <v>2.0134066666666665E-2</v>
      </c>
      <c r="V35" s="145">
        <v>0.67607453333333334</v>
      </c>
      <c r="W35" s="145" t="s">
        <v>400</v>
      </c>
      <c r="X35" s="145">
        <v>7.9215999999999995E-2</v>
      </c>
      <c r="Y35" s="145" t="s">
        <v>400</v>
      </c>
      <c r="Z35" s="145">
        <v>7.9215999999999995E-2</v>
      </c>
      <c r="AA35" s="145" t="s">
        <v>400</v>
      </c>
      <c r="AB35" s="145" t="s">
        <v>400</v>
      </c>
      <c r="AC35" s="145" t="s">
        <v>400</v>
      </c>
      <c r="AD35" s="145" t="s">
        <v>400</v>
      </c>
      <c r="AE35" s="145" t="s">
        <v>400</v>
      </c>
      <c r="AF35" s="145" t="s">
        <v>400</v>
      </c>
      <c r="AG35" s="145">
        <v>7.97818E-2</v>
      </c>
      <c r="AH35" s="145">
        <v>5.1939999999999998E-3</v>
      </c>
      <c r="AI35" s="145">
        <v>282</v>
      </c>
      <c r="AJ35" s="145">
        <v>0.44696819999999998</v>
      </c>
      <c r="AK35" s="145" t="s">
        <v>400</v>
      </c>
      <c r="AL35" s="145" t="s">
        <v>400</v>
      </c>
      <c r="AM35" s="145" t="s">
        <v>400</v>
      </c>
    </row>
    <row r="36" spans="1:39">
      <c r="A36" s="143" t="s">
        <v>1095</v>
      </c>
      <c r="B36" s="144">
        <v>100</v>
      </c>
      <c r="C36" s="145">
        <v>196.34200000000001</v>
      </c>
      <c r="D36" s="145">
        <v>16.64</v>
      </c>
      <c r="E36" s="145">
        <v>11.611000000000001</v>
      </c>
      <c r="F36" s="145">
        <v>1.71</v>
      </c>
      <c r="G36" s="145">
        <v>2.5830000000000002</v>
      </c>
      <c r="H36" s="145">
        <v>6.5890000000000004</v>
      </c>
      <c r="I36" s="145">
        <v>5.81</v>
      </c>
      <c r="J36" s="145">
        <v>0.77700000000000002</v>
      </c>
      <c r="K36" s="145" t="s">
        <v>400</v>
      </c>
      <c r="L36" s="145">
        <v>9.93</v>
      </c>
      <c r="M36" s="145">
        <v>6</v>
      </c>
      <c r="N36" s="145">
        <v>102</v>
      </c>
      <c r="O36" s="145">
        <v>86</v>
      </c>
      <c r="P36" s="145">
        <v>0.82399999999999995</v>
      </c>
      <c r="Q36" s="145">
        <v>245</v>
      </c>
      <c r="R36" s="145">
        <v>5.141</v>
      </c>
      <c r="S36" s="145">
        <v>1</v>
      </c>
      <c r="T36" s="145">
        <v>515</v>
      </c>
      <c r="U36" s="145">
        <v>0.40699999999999997</v>
      </c>
      <c r="V36" s="145">
        <v>1.1499999999999999</v>
      </c>
      <c r="W36" s="145" t="s">
        <v>400</v>
      </c>
      <c r="X36" s="145">
        <v>0.155</v>
      </c>
      <c r="Y36" s="145">
        <v>0.28499999999999998</v>
      </c>
      <c r="Z36" s="146">
        <v>0.23400000000000001</v>
      </c>
      <c r="AA36" s="145">
        <v>0.39900000000000002</v>
      </c>
      <c r="AB36" s="145">
        <v>1.7</v>
      </c>
      <c r="AC36" s="145">
        <v>4.4320000000000004</v>
      </c>
      <c r="AD36" s="145" t="s">
        <v>400</v>
      </c>
      <c r="AE36" s="145">
        <v>54</v>
      </c>
      <c r="AF36" s="145" t="s">
        <v>400</v>
      </c>
      <c r="AG36" s="145">
        <v>0.56599999999999995</v>
      </c>
      <c r="AH36" s="145">
        <v>1.4E-2</v>
      </c>
      <c r="AI36" s="145">
        <v>219</v>
      </c>
      <c r="AJ36" s="145">
        <v>8.51</v>
      </c>
      <c r="AK36" s="145">
        <v>0.41699999999999998</v>
      </c>
      <c r="AL36" s="145">
        <v>0.8</v>
      </c>
      <c r="AM36" s="145" t="s">
        <v>400</v>
      </c>
    </row>
    <row r="37" spans="1:39">
      <c r="A37" s="143" t="s">
        <v>1096</v>
      </c>
      <c r="B37" s="144">
        <v>100</v>
      </c>
      <c r="C37" s="145">
        <v>135.465</v>
      </c>
      <c r="D37" s="145">
        <v>4.3650000000000002</v>
      </c>
      <c r="E37" s="145">
        <v>4.3310000000000004</v>
      </c>
      <c r="F37" s="145">
        <v>0.60199999999999998</v>
      </c>
      <c r="G37" s="145">
        <v>1.0580000000000001</v>
      </c>
      <c r="H37" s="145">
        <v>2.4350000000000001</v>
      </c>
      <c r="I37" s="145">
        <v>2.1709999999999998</v>
      </c>
      <c r="J37" s="145">
        <v>0.247</v>
      </c>
      <c r="K37" s="145" t="s">
        <v>400</v>
      </c>
      <c r="L37" s="145">
        <v>19.834</v>
      </c>
      <c r="M37" s="145">
        <v>2.1640000000000001</v>
      </c>
      <c r="N37" s="145">
        <v>16.573</v>
      </c>
      <c r="O37" s="145">
        <v>61.582000000000001</v>
      </c>
      <c r="P37" s="145">
        <v>0.628</v>
      </c>
      <c r="Q37" s="145">
        <v>141.27699999999999</v>
      </c>
      <c r="R37" s="145">
        <v>1.4139999999999999</v>
      </c>
      <c r="S37" s="145">
        <v>4.2709999999999999</v>
      </c>
      <c r="T37" s="145">
        <v>174.04599999999999</v>
      </c>
      <c r="U37" s="145">
        <v>0.189</v>
      </c>
      <c r="V37" s="145">
        <v>0.96499999999999997</v>
      </c>
      <c r="W37" s="145" t="s">
        <v>400</v>
      </c>
      <c r="X37" s="145">
        <v>0.111</v>
      </c>
      <c r="Y37" s="145">
        <v>9.8000000000000004E-2</v>
      </c>
      <c r="Z37" s="146">
        <v>0.151</v>
      </c>
      <c r="AA37" s="145">
        <v>0.47</v>
      </c>
      <c r="AB37" s="145" t="s">
        <v>400</v>
      </c>
      <c r="AC37" s="145">
        <v>1.2689999999999999</v>
      </c>
      <c r="AD37" s="145" t="s">
        <v>400</v>
      </c>
      <c r="AE37" s="145">
        <v>56.881999999999998</v>
      </c>
      <c r="AF37" s="145" t="s">
        <v>400</v>
      </c>
      <c r="AG37" s="145">
        <v>0.95499999999999996</v>
      </c>
      <c r="AH37" s="145">
        <v>1.2999999999999999E-2</v>
      </c>
      <c r="AI37" s="145">
        <v>374</v>
      </c>
      <c r="AJ37" s="145">
        <v>3.7530000000000001</v>
      </c>
      <c r="AK37" s="145">
        <v>0.219</v>
      </c>
      <c r="AL37" s="145">
        <v>1.8859999999999999</v>
      </c>
      <c r="AM37" s="145" t="s">
        <v>400</v>
      </c>
    </row>
    <row r="38" spans="1:39">
      <c r="A38" s="143" t="s">
        <v>1097</v>
      </c>
      <c r="B38" s="144">
        <v>100</v>
      </c>
      <c r="C38" s="145">
        <v>86</v>
      </c>
      <c r="D38" s="145">
        <v>1.71</v>
      </c>
      <c r="E38" s="145">
        <v>0.1</v>
      </c>
      <c r="F38" s="145">
        <v>2.5999999999999999E-2</v>
      </c>
      <c r="G38" s="145">
        <v>2E-3</v>
      </c>
      <c r="H38" s="145">
        <v>4.2999999999999997E-2</v>
      </c>
      <c r="I38" s="145">
        <v>3.2000000000000001E-2</v>
      </c>
      <c r="J38" s="145">
        <v>0.01</v>
      </c>
      <c r="K38" s="145" t="s">
        <v>400</v>
      </c>
      <c r="L38" s="145">
        <v>20.010000000000002</v>
      </c>
      <c r="M38" s="145">
        <v>2.0499999999999998</v>
      </c>
      <c r="N38" s="145">
        <v>8</v>
      </c>
      <c r="O38" s="145">
        <v>20</v>
      </c>
      <c r="P38" s="145">
        <v>0.14000000000000001</v>
      </c>
      <c r="Q38" s="145">
        <v>40</v>
      </c>
      <c r="R38" s="145">
        <v>0.31</v>
      </c>
      <c r="S38" s="145">
        <v>5</v>
      </c>
      <c r="T38" s="145">
        <v>328</v>
      </c>
      <c r="U38" s="145">
        <v>0.16700000000000001</v>
      </c>
      <c r="V38" s="145">
        <v>0.27</v>
      </c>
      <c r="W38" s="145" t="s">
        <v>400</v>
      </c>
      <c r="X38" s="145">
        <v>9.8000000000000004E-2</v>
      </c>
      <c r="Y38" s="145">
        <v>1.9E-2</v>
      </c>
      <c r="Z38" s="146">
        <v>0.26900000000000002</v>
      </c>
      <c r="AA38" s="145">
        <v>1.3120000000000001</v>
      </c>
      <c r="AB38" s="145">
        <v>7.4</v>
      </c>
      <c r="AC38" s="145">
        <v>1.762</v>
      </c>
      <c r="AD38" s="145" t="s">
        <v>400</v>
      </c>
      <c r="AE38" s="145">
        <v>9</v>
      </c>
      <c r="AF38" s="145" t="s">
        <v>400</v>
      </c>
      <c r="AG38" s="145">
        <v>0.06</v>
      </c>
      <c r="AH38" s="145" t="s">
        <v>400</v>
      </c>
      <c r="AI38" s="145">
        <v>242</v>
      </c>
      <c r="AJ38" s="145">
        <v>0.3</v>
      </c>
      <c r="AK38" s="145">
        <v>0.16700000000000001</v>
      </c>
      <c r="AL38" s="145">
        <v>0.86</v>
      </c>
      <c r="AM38" s="145" t="s">
        <v>400</v>
      </c>
    </row>
    <row r="39" spans="1:39">
      <c r="A39" s="143" t="s">
        <v>1098</v>
      </c>
      <c r="B39" s="144">
        <v>100</v>
      </c>
      <c r="C39" s="145">
        <v>86</v>
      </c>
      <c r="D39" s="145">
        <v>1.71</v>
      </c>
      <c r="E39" s="145">
        <v>0.1</v>
      </c>
      <c r="F39" s="145">
        <v>2.5999999999999999E-2</v>
      </c>
      <c r="G39" s="145">
        <v>2E-3</v>
      </c>
      <c r="H39" s="145">
        <v>4.2999999999999997E-2</v>
      </c>
      <c r="I39" s="145">
        <v>3.2000000000000001E-2</v>
      </c>
      <c r="J39" s="145">
        <v>0.01</v>
      </c>
      <c r="K39" s="145" t="s">
        <v>400</v>
      </c>
      <c r="L39" s="145">
        <v>20.010000000000002</v>
      </c>
      <c r="M39" s="145">
        <v>2.0499999999999998</v>
      </c>
      <c r="N39" s="145">
        <v>8</v>
      </c>
      <c r="O39" s="145">
        <v>20</v>
      </c>
      <c r="P39" s="145">
        <v>0.14000000000000001</v>
      </c>
      <c r="Q39" s="145">
        <v>40</v>
      </c>
      <c r="R39" s="145">
        <v>0.31</v>
      </c>
      <c r="S39" s="145">
        <v>5</v>
      </c>
      <c r="T39" s="145">
        <v>328</v>
      </c>
      <c r="U39" s="145">
        <v>0.16700000000000001</v>
      </c>
      <c r="V39" s="145">
        <v>0.27</v>
      </c>
      <c r="W39" s="145" t="s">
        <v>400</v>
      </c>
      <c r="X39" s="145">
        <v>9.8000000000000004E-2</v>
      </c>
      <c r="Y39" s="145">
        <v>1.9E-2</v>
      </c>
      <c r="Z39" s="146">
        <v>0.26900000000000002</v>
      </c>
      <c r="AA39" s="145">
        <v>1.3120000000000001</v>
      </c>
      <c r="AB39" s="145">
        <v>7.4</v>
      </c>
      <c r="AC39" s="145">
        <v>1.762</v>
      </c>
      <c r="AD39" s="145" t="s">
        <v>400</v>
      </c>
      <c r="AE39" s="145">
        <v>9</v>
      </c>
      <c r="AF39" s="145" t="s">
        <v>400</v>
      </c>
      <c r="AG39" s="145">
        <v>0.06</v>
      </c>
      <c r="AH39" s="145" t="s">
        <v>400</v>
      </c>
      <c r="AI39" s="145">
        <v>242</v>
      </c>
      <c r="AJ39" s="145">
        <v>0.3</v>
      </c>
      <c r="AK39" s="145">
        <v>0.16700000000000001</v>
      </c>
      <c r="AL39" s="145">
        <v>0.86</v>
      </c>
      <c r="AM39" s="145" t="s">
        <v>400</v>
      </c>
    </row>
    <row r="40" spans="1:39">
      <c r="A40" s="143" t="s">
        <v>1099</v>
      </c>
      <c r="B40" s="144">
        <v>100</v>
      </c>
      <c r="C40" s="145">
        <v>86</v>
      </c>
      <c r="D40" s="145">
        <v>1.71</v>
      </c>
      <c r="E40" s="145">
        <v>0.1</v>
      </c>
      <c r="F40" s="145">
        <v>2.5999999999999999E-2</v>
      </c>
      <c r="G40" s="145">
        <v>2E-3</v>
      </c>
      <c r="H40" s="145">
        <v>4.2999999999999997E-2</v>
      </c>
      <c r="I40" s="145">
        <v>3.2000000000000001E-2</v>
      </c>
      <c r="J40" s="145">
        <v>0.01</v>
      </c>
      <c r="K40" s="145" t="s">
        <v>400</v>
      </c>
      <c r="L40" s="145">
        <v>20.010000000000002</v>
      </c>
      <c r="M40" s="145">
        <v>2.0499999999999998</v>
      </c>
      <c r="N40" s="145">
        <v>8</v>
      </c>
      <c r="O40" s="145">
        <v>20</v>
      </c>
      <c r="P40" s="145">
        <v>0.14000000000000001</v>
      </c>
      <c r="Q40" s="145">
        <v>40</v>
      </c>
      <c r="R40" s="145">
        <v>0.31</v>
      </c>
      <c r="S40" s="145">
        <v>5</v>
      </c>
      <c r="T40" s="145">
        <v>328</v>
      </c>
      <c r="U40" s="145">
        <v>0.16700000000000001</v>
      </c>
      <c r="V40" s="145">
        <v>0.27</v>
      </c>
      <c r="W40" s="145" t="s">
        <v>400</v>
      </c>
      <c r="X40" s="145">
        <v>9.8000000000000004E-2</v>
      </c>
      <c r="Y40" s="145">
        <v>1.9E-2</v>
      </c>
      <c r="Z40" s="146">
        <v>0.26900000000000002</v>
      </c>
      <c r="AA40" s="145">
        <v>1.3120000000000001</v>
      </c>
      <c r="AB40" s="145">
        <v>7.4</v>
      </c>
      <c r="AC40" s="145">
        <v>1.762</v>
      </c>
      <c r="AD40" s="145" t="s">
        <v>400</v>
      </c>
      <c r="AE40" s="145">
        <v>9</v>
      </c>
      <c r="AF40" s="145" t="s">
        <v>400</v>
      </c>
      <c r="AG40" s="145">
        <v>0.06</v>
      </c>
      <c r="AH40" s="145" t="s">
        <v>400</v>
      </c>
      <c r="AI40" s="145">
        <v>242</v>
      </c>
      <c r="AJ40" s="145">
        <v>0.3</v>
      </c>
      <c r="AK40" s="145">
        <v>0.16700000000000001</v>
      </c>
      <c r="AL40" s="145">
        <v>0.86</v>
      </c>
      <c r="AM40" s="145" t="s">
        <v>400</v>
      </c>
    </row>
    <row r="41" spans="1:39">
      <c r="A41" s="143" t="s">
        <v>1100</v>
      </c>
      <c r="B41" s="144">
        <v>100</v>
      </c>
      <c r="C41" s="145">
        <v>86</v>
      </c>
      <c r="D41" s="145">
        <v>1.71</v>
      </c>
      <c r="E41" s="145">
        <v>0.1</v>
      </c>
      <c r="F41" s="145">
        <v>2.5999999999999999E-2</v>
      </c>
      <c r="G41" s="145">
        <v>2E-3</v>
      </c>
      <c r="H41" s="145">
        <v>4.2999999999999997E-2</v>
      </c>
      <c r="I41" s="145">
        <v>3.2000000000000001E-2</v>
      </c>
      <c r="J41" s="145">
        <v>0.01</v>
      </c>
      <c r="K41" s="145" t="s">
        <v>400</v>
      </c>
      <c r="L41" s="145">
        <v>20.010000000000002</v>
      </c>
      <c r="M41" s="145">
        <v>2.0499999999999998</v>
      </c>
      <c r="N41" s="145">
        <v>8</v>
      </c>
      <c r="O41" s="145">
        <v>20</v>
      </c>
      <c r="P41" s="145">
        <v>0.14000000000000001</v>
      </c>
      <c r="Q41" s="145">
        <v>40</v>
      </c>
      <c r="R41" s="145">
        <v>0.31</v>
      </c>
      <c r="S41" s="145">
        <v>5</v>
      </c>
      <c r="T41" s="145">
        <v>328</v>
      </c>
      <c r="U41" s="145">
        <v>0.16700000000000001</v>
      </c>
      <c r="V41" s="145">
        <v>0.27</v>
      </c>
      <c r="W41" s="145" t="s">
        <v>400</v>
      </c>
      <c r="X41" s="145">
        <v>9.8000000000000004E-2</v>
      </c>
      <c r="Y41" s="145">
        <v>1.9E-2</v>
      </c>
      <c r="Z41" s="146">
        <v>0.26900000000000002</v>
      </c>
      <c r="AA41" s="145">
        <v>1.3120000000000001</v>
      </c>
      <c r="AB41" s="145">
        <v>7.4</v>
      </c>
      <c r="AC41" s="145">
        <v>1.762</v>
      </c>
      <c r="AD41" s="145" t="s">
        <v>400</v>
      </c>
      <c r="AE41" s="145">
        <v>9</v>
      </c>
      <c r="AF41" s="145" t="s">
        <v>400</v>
      </c>
      <c r="AG41" s="145">
        <v>0.06</v>
      </c>
      <c r="AH41" s="145" t="s">
        <v>400</v>
      </c>
      <c r="AI41" s="145">
        <v>242</v>
      </c>
      <c r="AJ41" s="145">
        <v>0.3</v>
      </c>
      <c r="AK41" s="145">
        <v>0.16700000000000001</v>
      </c>
      <c r="AL41" s="145">
        <v>0.86</v>
      </c>
      <c r="AM41" s="145" t="s">
        <v>400</v>
      </c>
    </row>
    <row r="42" spans="1:39">
      <c r="A42" s="143" t="s">
        <v>1101</v>
      </c>
      <c r="B42" s="144">
        <v>100</v>
      </c>
      <c r="C42" s="145">
        <v>263.5</v>
      </c>
      <c r="D42" s="145">
        <v>2.871</v>
      </c>
      <c r="E42" s="145">
        <v>13.64</v>
      </c>
      <c r="F42" s="145">
        <v>2.1520000000000001</v>
      </c>
      <c r="G42" s="145">
        <v>3.073</v>
      </c>
      <c r="H42" s="145">
        <v>7.851</v>
      </c>
      <c r="I42" s="145">
        <v>6.9180000000000001</v>
      </c>
      <c r="J42" s="145">
        <v>0.93100000000000005</v>
      </c>
      <c r="K42" s="145" t="s">
        <v>400</v>
      </c>
      <c r="L42" s="145">
        <v>33.6</v>
      </c>
      <c r="M42" s="145">
        <v>3.4420000000000002</v>
      </c>
      <c r="N42" s="145">
        <v>13.433</v>
      </c>
      <c r="O42" s="145">
        <v>33.582999999999998</v>
      </c>
      <c r="P42" s="145">
        <v>0.23499999999999999</v>
      </c>
      <c r="Q42" s="145">
        <v>67.165999999999997</v>
      </c>
      <c r="R42" s="145">
        <v>0.52700000000000002</v>
      </c>
      <c r="S42" s="145">
        <v>8.3960000000000008</v>
      </c>
      <c r="T42" s="145">
        <v>550.76400000000001</v>
      </c>
      <c r="U42" s="145">
        <v>0.28000000000000003</v>
      </c>
      <c r="V42" s="145">
        <v>0.45500000000000002</v>
      </c>
      <c r="W42" s="145" t="s">
        <v>400</v>
      </c>
      <c r="X42" s="145">
        <v>0.16500000000000001</v>
      </c>
      <c r="Y42" s="145">
        <v>3.2000000000000001E-2</v>
      </c>
      <c r="Z42" s="146">
        <v>0.45200000000000001</v>
      </c>
      <c r="AA42" s="145">
        <v>2.2029999999999998</v>
      </c>
      <c r="AB42" s="145">
        <v>12.426</v>
      </c>
      <c r="AC42" s="145">
        <v>2.9590000000000001</v>
      </c>
      <c r="AD42" s="145" t="s">
        <v>400</v>
      </c>
      <c r="AE42" s="145">
        <v>15.112</v>
      </c>
      <c r="AF42" s="145" t="s">
        <v>400</v>
      </c>
      <c r="AG42" s="145">
        <v>1.2030000000000001</v>
      </c>
      <c r="AH42" s="145">
        <v>7.1999999999999995E-2</v>
      </c>
      <c r="AI42" s="145">
        <v>380</v>
      </c>
      <c r="AJ42" s="145">
        <v>6.6779999999999999</v>
      </c>
      <c r="AK42" s="145">
        <v>0.28000000000000003</v>
      </c>
      <c r="AL42" s="145">
        <v>1.444</v>
      </c>
      <c r="AM42" s="145" t="s">
        <v>400</v>
      </c>
    </row>
    <row r="43" spans="1:39">
      <c r="A43" s="143" t="s">
        <v>1102</v>
      </c>
      <c r="B43" s="144">
        <v>100</v>
      </c>
      <c r="C43" s="145">
        <v>111.736</v>
      </c>
      <c r="D43" s="145">
        <v>1.71</v>
      </c>
      <c r="E43" s="145">
        <v>3.0110000000000001</v>
      </c>
      <c r="F43" s="145">
        <v>0.48199999999999998</v>
      </c>
      <c r="G43" s="145">
        <v>0.66500000000000004</v>
      </c>
      <c r="H43" s="145">
        <v>1.724</v>
      </c>
      <c r="I43" s="145">
        <v>1.5149999999999999</v>
      </c>
      <c r="J43" s="145">
        <v>0.20799999999999999</v>
      </c>
      <c r="K43" s="145" t="s">
        <v>400</v>
      </c>
      <c r="L43" s="145">
        <v>20.010000000000002</v>
      </c>
      <c r="M43" s="145">
        <v>2.0499999999999998</v>
      </c>
      <c r="N43" s="145">
        <v>8</v>
      </c>
      <c r="O43" s="145">
        <v>20</v>
      </c>
      <c r="P43" s="145">
        <v>0.14000000000000001</v>
      </c>
      <c r="Q43" s="145">
        <v>40</v>
      </c>
      <c r="R43" s="145">
        <v>0.311</v>
      </c>
      <c r="S43" s="145">
        <v>5</v>
      </c>
      <c r="T43" s="145">
        <v>328</v>
      </c>
      <c r="U43" s="145">
        <v>0.16700000000000001</v>
      </c>
      <c r="V43" s="145">
        <v>0.27</v>
      </c>
      <c r="W43" s="145" t="s">
        <v>400</v>
      </c>
      <c r="X43" s="145">
        <v>9.8000000000000004E-2</v>
      </c>
      <c r="Y43" s="145">
        <v>1.9E-2</v>
      </c>
      <c r="Z43" s="146">
        <v>0.26900000000000002</v>
      </c>
      <c r="AA43" s="145">
        <v>1.3120000000000001</v>
      </c>
      <c r="AB43" s="145">
        <v>7.4</v>
      </c>
      <c r="AC43" s="145">
        <v>1.762</v>
      </c>
      <c r="AD43" s="145" t="s">
        <v>400</v>
      </c>
      <c r="AE43" s="145">
        <v>9</v>
      </c>
      <c r="AF43" s="145" t="s">
        <v>400</v>
      </c>
      <c r="AG43" s="145">
        <v>0.29799999999999999</v>
      </c>
      <c r="AH43" s="145">
        <v>1.6E-2</v>
      </c>
      <c r="AI43" s="145">
        <v>242</v>
      </c>
      <c r="AJ43" s="145">
        <v>1.6339999999999999</v>
      </c>
      <c r="AK43" s="145">
        <v>0.16700000000000001</v>
      </c>
      <c r="AL43" s="145">
        <v>0.86</v>
      </c>
      <c r="AM43" s="145" t="s">
        <v>400</v>
      </c>
    </row>
    <row r="44" spans="1:39">
      <c r="A44" s="143" t="s">
        <v>1103</v>
      </c>
      <c r="B44" s="144">
        <v>100</v>
      </c>
      <c r="C44" s="145">
        <v>73.599999999999994</v>
      </c>
      <c r="D44" s="145">
        <v>1.6319999999999999</v>
      </c>
      <c r="E44" s="145">
        <v>0.11600000000000001</v>
      </c>
      <c r="F44" s="145">
        <v>2.5999999999999999E-2</v>
      </c>
      <c r="G44" s="145">
        <v>7.0000000000000001E-3</v>
      </c>
      <c r="H44" s="145">
        <v>4.9000000000000002E-2</v>
      </c>
      <c r="I44" s="145">
        <v>3.9E-2</v>
      </c>
      <c r="J44" s="145">
        <v>8.9999999999999993E-3</v>
      </c>
      <c r="K44" s="145" t="s">
        <v>400</v>
      </c>
      <c r="L44" s="145">
        <v>17.084</v>
      </c>
      <c r="M44" s="145">
        <v>1.94</v>
      </c>
      <c r="N44" s="145">
        <v>9</v>
      </c>
      <c r="O44" s="145">
        <v>19.2</v>
      </c>
      <c r="P44" s="145">
        <v>0.13300000000000001</v>
      </c>
      <c r="Q44" s="145">
        <v>37.200000000000003</v>
      </c>
      <c r="R44" s="145">
        <v>0.45200000000000001</v>
      </c>
      <c r="S44" s="145">
        <v>108.8</v>
      </c>
      <c r="T44" s="145">
        <v>328.6</v>
      </c>
      <c r="U44" s="145">
        <v>0.157</v>
      </c>
      <c r="V44" s="145">
        <v>0.25600000000000001</v>
      </c>
      <c r="W44" s="145" t="s">
        <v>400</v>
      </c>
      <c r="X44" s="145">
        <v>8.3000000000000004E-2</v>
      </c>
      <c r="Y44" s="145">
        <v>2.8000000000000001E-2</v>
      </c>
      <c r="Z44" s="146">
        <v>0.23499999999999999</v>
      </c>
      <c r="AA44" s="145">
        <v>1.2450000000000001</v>
      </c>
      <c r="AB44" s="145">
        <v>7.32</v>
      </c>
      <c r="AC44" s="145">
        <v>1.6379999999999999</v>
      </c>
      <c r="AD44" s="145" t="s">
        <v>400</v>
      </c>
      <c r="AE44" s="145">
        <v>9.4</v>
      </c>
      <c r="AF44" s="145" t="s">
        <v>400</v>
      </c>
      <c r="AG44" s="145">
        <v>0.33200000000000002</v>
      </c>
      <c r="AH44" s="145" t="s">
        <v>400</v>
      </c>
      <c r="AI44" s="145">
        <v>242</v>
      </c>
      <c r="AJ44" s="145">
        <v>0.28000000000000003</v>
      </c>
      <c r="AK44" s="145">
        <v>3.617</v>
      </c>
      <c r="AL44" s="145">
        <v>1.538</v>
      </c>
      <c r="AM44" s="145" t="s">
        <v>400</v>
      </c>
    </row>
    <row r="45" spans="1:39">
      <c r="A45" s="143" t="s">
        <v>1104</v>
      </c>
      <c r="B45" s="144">
        <v>100</v>
      </c>
      <c r="C45" s="145">
        <v>101.39</v>
      </c>
      <c r="D45" s="145">
        <v>2.1469999999999998</v>
      </c>
      <c r="E45" s="145">
        <v>2.569</v>
      </c>
      <c r="F45" s="145">
        <v>1.5529999999999999</v>
      </c>
      <c r="G45" s="145">
        <v>0.63900000000000001</v>
      </c>
      <c r="H45" s="145">
        <v>0.14699999999999999</v>
      </c>
      <c r="I45" s="145">
        <v>0.11600000000000001</v>
      </c>
      <c r="J45" s="145">
        <v>0.03</v>
      </c>
      <c r="K45" s="145">
        <v>6.8330000000000002</v>
      </c>
      <c r="L45" s="145">
        <v>17.859000000000002</v>
      </c>
      <c r="M45" s="145">
        <v>1.6830000000000001</v>
      </c>
      <c r="N45" s="145">
        <v>29.279</v>
      </c>
      <c r="O45" s="145">
        <v>18.312000000000001</v>
      </c>
      <c r="P45" s="145">
        <v>0.122</v>
      </c>
      <c r="Q45" s="145">
        <v>51.692999999999998</v>
      </c>
      <c r="R45" s="145">
        <v>0.318</v>
      </c>
      <c r="S45" s="145">
        <v>24.917000000000002</v>
      </c>
      <c r="T45" s="145">
        <v>292.45400000000001</v>
      </c>
      <c r="U45" s="145">
        <v>0.13800000000000001</v>
      </c>
      <c r="V45" s="145">
        <v>0.30499999999999999</v>
      </c>
      <c r="W45" s="145">
        <v>20.696999999999999</v>
      </c>
      <c r="X45" s="145">
        <v>9.7000000000000003E-2</v>
      </c>
      <c r="Y45" s="145">
        <v>5.8000000000000003E-2</v>
      </c>
      <c r="Z45" s="146">
        <v>0.223</v>
      </c>
      <c r="AA45" s="145">
        <v>1.145</v>
      </c>
      <c r="AB45" s="145">
        <v>5.9240000000000004</v>
      </c>
      <c r="AC45" s="145">
        <v>1.78</v>
      </c>
      <c r="AD45" s="145">
        <v>0.09</v>
      </c>
      <c r="AE45" s="145">
        <v>10.795999999999999</v>
      </c>
      <c r="AF45" s="145">
        <v>0.22700000000000001</v>
      </c>
      <c r="AG45" s="145">
        <v>0.113</v>
      </c>
      <c r="AH45" s="145">
        <v>9.7000000000000003E-2</v>
      </c>
      <c r="AI45" s="145">
        <v>242</v>
      </c>
      <c r="AJ45" s="145">
        <v>1.409</v>
      </c>
      <c r="AK45" s="145">
        <v>21.213999999999999</v>
      </c>
      <c r="AL45" s="145">
        <v>1.7210000000000001</v>
      </c>
      <c r="AM45" s="145" t="s">
        <v>400</v>
      </c>
    </row>
    <row r="46" spans="1:39">
      <c r="A46" s="143" t="s">
        <v>1105</v>
      </c>
      <c r="B46" s="144">
        <v>100</v>
      </c>
      <c r="C46" s="145">
        <v>263.5</v>
      </c>
      <c r="D46" s="145">
        <v>2.871</v>
      </c>
      <c r="E46" s="145">
        <v>13.64</v>
      </c>
      <c r="F46" s="145">
        <v>2.1520000000000001</v>
      </c>
      <c r="G46" s="145">
        <v>3.073</v>
      </c>
      <c r="H46" s="145">
        <v>7.851</v>
      </c>
      <c r="I46" s="145">
        <v>6.9180000000000001</v>
      </c>
      <c r="J46" s="145">
        <v>0.93100000000000005</v>
      </c>
      <c r="K46" s="145" t="s">
        <v>400</v>
      </c>
      <c r="L46" s="145">
        <v>33.6</v>
      </c>
      <c r="M46" s="145">
        <v>3.4420000000000002</v>
      </c>
      <c r="N46" s="145">
        <v>13.433</v>
      </c>
      <c r="O46" s="145">
        <v>33.582999999999998</v>
      </c>
      <c r="P46" s="145">
        <v>0.23499999999999999</v>
      </c>
      <c r="Q46" s="145">
        <v>67.165999999999997</v>
      </c>
      <c r="R46" s="145">
        <v>0.52700000000000002</v>
      </c>
      <c r="S46" s="145">
        <v>8.3960000000000008</v>
      </c>
      <c r="T46" s="145">
        <v>550.76400000000001</v>
      </c>
      <c r="U46" s="145">
        <v>0.28000000000000003</v>
      </c>
      <c r="V46" s="145">
        <v>0.45500000000000002</v>
      </c>
      <c r="W46" s="145" t="s">
        <v>400</v>
      </c>
      <c r="X46" s="145">
        <v>0.16500000000000001</v>
      </c>
      <c r="Y46" s="145">
        <v>3.2000000000000001E-2</v>
      </c>
      <c r="Z46" s="146">
        <v>0.45200000000000001</v>
      </c>
      <c r="AA46" s="145">
        <v>2.2029999999999998</v>
      </c>
      <c r="AB46" s="145">
        <v>12.426</v>
      </c>
      <c r="AC46" s="145">
        <v>2.9590000000000001</v>
      </c>
      <c r="AD46" s="145" t="s">
        <v>400</v>
      </c>
      <c r="AE46" s="145">
        <v>15.112</v>
      </c>
      <c r="AF46" s="145" t="s">
        <v>400</v>
      </c>
      <c r="AG46" s="145">
        <v>1.2030000000000001</v>
      </c>
      <c r="AH46" s="145">
        <v>7.1999999999999995E-2</v>
      </c>
      <c r="AI46" s="145">
        <v>380</v>
      </c>
      <c r="AJ46" s="145">
        <v>6.6779999999999999</v>
      </c>
      <c r="AK46" s="145">
        <v>0.28000000000000003</v>
      </c>
      <c r="AL46" s="145">
        <v>1.444</v>
      </c>
      <c r="AM46" s="145" t="s">
        <v>400</v>
      </c>
    </row>
    <row r="47" spans="1:39">
      <c r="A47" s="143" t="s">
        <v>1106</v>
      </c>
      <c r="B47" s="144">
        <v>100</v>
      </c>
      <c r="C47" s="145">
        <v>111.736</v>
      </c>
      <c r="D47" s="145">
        <v>1.71</v>
      </c>
      <c r="E47" s="145">
        <v>3.0110000000000001</v>
      </c>
      <c r="F47" s="145">
        <v>0.48199999999999998</v>
      </c>
      <c r="G47" s="145">
        <v>0.66500000000000004</v>
      </c>
      <c r="H47" s="145">
        <v>1.724</v>
      </c>
      <c r="I47" s="145">
        <v>1.5149999999999999</v>
      </c>
      <c r="J47" s="145">
        <v>0.20799999999999999</v>
      </c>
      <c r="K47" s="145" t="s">
        <v>400</v>
      </c>
      <c r="L47" s="145">
        <v>20.010000000000002</v>
      </c>
      <c r="M47" s="145">
        <v>2.0499999999999998</v>
      </c>
      <c r="N47" s="145">
        <v>8</v>
      </c>
      <c r="O47" s="145">
        <v>20</v>
      </c>
      <c r="P47" s="145">
        <v>0.14000000000000001</v>
      </c>
      <c r="Q47" s="145">
        <v>40</v>
      </c>
      <c r="R47" s="145">
        <v>0.311</v>
      </c>
      <c r="S47" s="145">
        <v>5</v>
      </c>
      <c r="T47" s="145">
        <v>328</v>
      </c>
      <c r="U47" s="145">
        <v>0.16700000000000001</v>
      </c>
      <c r="V47" s="145">
        <v>0.27</v>
      </c>
      <c r="W47" s="145" t="s">
        <v>400</v>
      </c>
      <c r="X47" s="145">
        <v>9.8000000000000004E-2</v>
      </c>
      <c r="Y47" s="145">
        <v>1.9E-2</v>
      </c>
      <c r="Z47" s="146">
        <v>0.26900000000000002</v>
      </c>
      <c r="AA47" s="145">
        <v>1.3120000000000001</v>
      </c>
      <c r="AB47" s="145">
        <v>7.4</v>
      </c>
      <c r="AC47" s="145">
        <v>1.762</v>
      </c>
      <c r="AD47" s="145" t="s">
        <v>400</v>
      </c>
      <c r="AE47" s="145">
        <v>9</v>
      </c>
      <c r="AF47" s="145" t="s">
        <v>400</v>
      </c>
      <c r="AG47" s="145">
        <v>0.29799999999999999</v>
      </c>
      <c r="AH47" s="145">
        <v>1.6E-2</v>
      </c>
      <c r="AI47" s="145">
        <v>242</v>
      </c>
      <c r="AJ47" s="145">
        <v>1.6339999999999999</v>
      </c>
      <c r="AK47" s="145">
        <v>0.16700000000000001</v>
      </c>
      <c r="AL47" s="145">
        <v>0.86</v>
      </c>
      <c r="AM47" s="145" t="s">
        <v>400</v>
      </c>
    </row>
    <row r="48" spans="1:39">
      <c r="A48" s="143" t="s">
        <v>1107</v>
      </c>
      <c r="B48" s="144">
        <v>100</v>
      </c>
      <c r="C48" s="145">
        <v>111.736</v>
      </c>
      <c r="D48" s="145">
        <v>1.71</v>
      </c>
      <c r="E48" s="145">
        <v>3.0110000000000001</v>
      </c>
      <c r="F48" s="145">
        <v>0.48199999999999998</v>
      </c>
      <c r="G48" s="145">
        <v>0.66500000000000004</v>
      </c>
      <c r="H48" s="145">
        <v>1.724</v>
      </c>
      <c r="I48" s="145">
        <v>1.5149999999999999</v>
      </c>
      <c r="J48" s="145">
        <v>0.20799999999999999</v>
      </c>
      <c r="K48" s="145" t="s">
        <v>400</v>
      </c>
      <c r="L48" s="145">
        <v>20.010000000000002</v>
      </c>
      <c r="M48" s="145">
        <v>2.0499999999999998</v>
      </c>
      <c r="N48" s="145">
        <v>8</v>
      </c>
      <c r="O48" s="145">
        <v>20</v>
      </c>
      <c r="P48" s="145">
        <v>0.14000000000000001</v>
      </c>
      <c r="Q48" s="145">
        <v>40</v>
      </c>
      <c r="R48" s="145">
        <v>0.311</v>
      </c>
      <c r="S48" s="145">
        <v>5</v>
      </c>
      <c r="T48" s="145">
        <v>328</v>
      </c>
      <c r="U48" s="145">
        <v>0.16700000000000001</v>
      </c>
      <c r="V48" s="145">
        <v>0.27</v>
      </c>
      <c r="W48" s="145" t="s">
        <v>400</v>
      </c>
      <c r="X48" s="145">
        <v>9.8000000000000004E-2</v>
      </c>
      <c r="Y48" s="145">
        <v>1.9E-2</v>
      </c>
      <c r="Z48" s="146">
        <v>0.26900000000000002</v>
      </c>
      <c r="AA48" s="145">
        <v>1.3120000000000001</v>
      </c>
      <c r="AB48" s="145">
        <v>7.4</v>
      </c>
      <c r="AC48" s="145">
        <v>1.762</v>
      </c>
      <c r="AD48" s="145" t="s">
        <v>400</v>
      </c>
      <c r="AE48" s="145">
        <v>9</v>
      </c>
      <c r="AF48" s="145" t="s">
        <v>400</v>
      </c>
      <c r="AG48" s="145">
        <v>0.29799999999999999</v>
      </c>
      <c r="AH48" s="145">
        <v>1.6E-2</v>
      </c>
      <c r="AI48" s="145">
        <v>242</v>
      </c>
      <c r="AJ48" s="145">
        <v>1.6339999999999999</v>
      </c>
      <c r="AK48" s="145">
        <v>0.16700000000000001</v>
      </c>
      <c r="AL48" s="145">
        <v>0.86</v>
      </c>
      <c r="AM48" s="145" t="s">
        <v>400</v>
      </c>
    </row>
    <row r="49" spans="1:39">
      <c r="A49" s="143" t="s">
        <v>1108</v>
      </c>
      <c r="B49" s="144">
        <v>100</v>
      </c>
      <c r="C49" s="145">
        <v>31.443000000000001</v>
      </c>
      <c r="D49" s="145">
        <v>0.94799999999999995</v>
      </c>
      <c r="E49" s="145">
        <v>0.123</v>
      </c>
      <c r="F49" s="145">
        <v>3.9E-2</v>
      </c>
      <c r="G49" s="145">
        <v>2.7E-2</v>
      </c>
      <c r="H49" s="145">
        <v>3.2000000000000001E-2</v>
      </c>
      <c r="I49" s="145">
        <v>2.7E-2</v>
      </c>
      <c r="J49" s="145">
        <v>5.0000000000000001E-3</v>
      </c>
      <c r="K49" s="145" t="s">
        <v>400</v>
      </c>
      <c r="L49" s="145">
        <v>7.0119999999999996</v>
      </c>
      <c r="M49" s="145">
        <v>0.71099999999999997</v>
      </c>
      <c r="N49" s="145">
        <v>8.5549999999999997</v>
      </c>
      <c r="O49" s="145">
        <v>6.3470000000000004</v>
      </c>
      <c r="P49" s="145">
        <v>6.8000000000000005E-2</v>
      </c>
      <c r="Q49" s="145">
        <v>15.762</v>
      </c>
      <c r="R49" s="145">
        <v>0.28499999999999998</v>
      </c>
      <c r="S49" s="145">
        <v>310.43200000000002</v>
      </c>
      <c r="T49" s="145">
        <v>88.314999999999998</v>
      </c>
      <c r="U49" s="145">
        <v>3.9E-2</v>
      </c>
      <c r="V49" s="145">
        <v>0.115</v>
      </c>
      <c r="W49" s="145" t="s">
        <v>400</v>
      </c>
      <c r="X49" s="145">
        <v>0.03</v>
      </c>
      <c r="Y49" s="145">
        <v>2.5999999999999999E-2</v>
      </c>
      <c r="Z49" s="146">
        <v>0.04</v>
      </c>
      <c r="AA49" s="145">
        <v>0.505</v>
      </c>
      <c r="AB49" s="145">
        <v>2.0990000000000002</v>
      </c>
      <c r="AC49" s="145">
        <v>0.66700000000000004</v>
      </c>
      <c r="AD49" s="145">
        <v>1.4999999999999999E-2</v>
      </c>
      <c r="AE49" s="145">
        <v>9.2759999999999998</v>
      </c>
      <c r="AF49" s="145" t="s">
        <v>400</v>
      </c>
      <c r="AG49" s="145">
        <v>0.20399999999999999</v>
      </c>
      <c r="AH49" s="145">
        <v>2E-3</v>
      </c>
      <c r="AI49" s="145" t="s">
        <v>400</v>
      </c>
      <c r="AJ49" s="145">
        <v>1.3440000000000001</v>
      </c>
      <c r="AK49" s="145">
        <v>33.475999999999999</v>
      </c>
      <c r="AL49" s="145">
        <v>3.2749999999999999</v>
      </c>
      <c r="AM49" s="145">
        <v>2.5230000000000001</v>
      </c>
    </row>
    <row r="50" spans="1:39">
      <c r="A50" s="143" t="s">
        <v>1109</v>
      </c>
      <c r="B50" s="144">
        <v>100</v>
      </c>
      <c r="C50" s="145">
        <v>86</v>
      </c>
      <c r="D50" s="145">
        <v>1.71</v>
      </c>
      <c r="E50" s="145">
        <v>0.1</v>
      </c>
      <c r="F50" s="145">
        <v>2.5999999999999999E-2</v>
      </c>
      <c r="G50" s="145">
        <v>2E-3</v>
      </c>
      <c r="H50" s="145">
        <v>4.2999999999999997E-2</v>
      </c>
      <c r="I50" s="145">
        <v>3.2000000000000001E-2</v>
      </c>
      <c r="J50" s="145">
        <v>0.01</v>
      </c>
      <c r="K50" s="145" t="s">
        <v>400</v>
      </c>
      <c r="L50" s="145">
        <v>20.010000000000002</v>
      </c>
      <c r="M50" s="145">
        <v>2.0499999999999998</v>
      </c>
      <c r="N50" s="145">
        <v>8</v>
      </c>
      <c r="O50" s="145">
        <v>20</v>
      </c>
      <c r="P50" s="145">
        <v>0.14000000000000001</v>
      </c>
      <c r="Q50" s="145">
        <v>40</v>
      </c>
      <c r="R50" s="145">
        <v>0.31</v>
      </c>
      <c r="S50" s="145">
        <v>5</v>
      </c>
      <c r="T50" s="145">
        <v>328</v>
      </c>
      <c r="U50" s="145">
        <v>0.16700000000000001</v>
      </c>
      <c r="V50" s="145">
        <v>0.27</v>
      </c>
      <c r="W50" s="145" t="s">
        <v>400</v>
      </c>
      <c r="X50" s="145">
        <v>9.8000000000000004E-2</v>
      </c>
      <c r="Y50" s="145">
        <v>1.9E-2</v>
      </c>
      <c r="Z50" s="146">
        <v>0.26900000000000002</v>
      </c>
      <c r="AA50" s="145">
        <v>1.3120000000000001</v>
      </c>
      <c r="AB50" s="145">
        <v>7.4</v>
      </c>
      <c r="AC50" s="145">
        <v>1.762</v>
      </c>
      <c r="AD50" s="145" t="s">
        <v>400</v>
      </c>
      <c r="AE50" s="145">
        <v>9</v>
      </c>
      <c r="AF50" s="145" t="s">
        <v>400</v>
      </c>
      <c r="AG50" s="145">
        <v>0.06</v>
      </c>
      <c r="AH50" s="145" t="s">
        <v>400</v>
      </c>
      <c r="AI50" s="145">
        <v>242</v>
      </c>
      <c r="AJ50" s="145">
        <v>0.3</v>
      </c>
      <c r="AK50" s="145">
        <v>0.16700000000000001</v>
      </c>
      <c r="AL50" s="145">
        <v>0.86</v>
      </c>
      <c r="AM50" s="145" t="s">
        <v>400</v>
      </c>
    </row>
    <row r="51" spans="1:39">
      <c r="A51" s="143" t="s">
        <v>1110</v>
      </c>
      <c r="B51" s="144">
        <v>100</v>
      </c>
      <c r="C51" s="145">
        <v>76</v>
      </c>
      <c r="D51" s="145">
        <v>1.37</v>
      </c>
      <c r="E51" s="145">
        <v>0.14000000000000001</v>
      </c>
      <c r="F51" s="145">
        <v>0.03</v>
      </c>
      <c r="G51" s="145" t="s">
        <v>400</v>
      </c>
      <c r="H51" s="145">
        <v>0.06</v>
      </c>
      <c r="I51" s="145">
        <v>0.06</v>
      </c>
      <c r="J51" s="145" t="s">
        <v>400</v>
      </c>
      <c r="K51" s="145" t="s">
        <v>400</v>
      </c>
      <c r="L51" s="145">
        <v>17.72</v>
      </c>
      <c r="M51" s="145">
        <v>2.5</v>
      </c>
      <c r="N51" s="145">
        <v>27</v>
      </c>
      <c r="O51" s="145">
        <v>18</v>
      </c>
      <c r="P51" s="145">
        <v>0.27</v>
      </c>
      <c r="Q51" s="145">
        <v>32</v>
      </c>
      <c r="R51" s="145">
        <v>0.72</v>
      </c>
      <c r="S51" s="145">
        <v>27</v>
      </c>
      <c r="T51" s="145">
        <v>230</v>
      </c>
      <c r="U51" s="145">
        <v>0.09</v>
      </c>
      <c r="V51" s="145">
        <v>0.2</v>
      </c>
      <c r="W51" s="145" t="s">
        <v>400</v>
      </c>
      <c r="X51" s="145">
        <v>0.06</v>
      </c>
      <c r="Y51" s="145">
        <v>0.05</v>
      </c>
      <c r="Z51" s="145">
        <v>0.17</v>
      </c>
      <c r="AA51" s="145">
        <v>0.54</v>
      </c>
      <c r="AB51" s="145">
        <v>12.8</v>
      </c>
      <c r="AC51" s="145">
        <v>1</v>
      </c>
      <c r="AD51" s="145" t="s">
        <v>400</v>
      </c>
      <c r="AE51" s="145">
        <v>6</v>
      </c>
      <c r="AF51" s="145" t="s">
        <v>400</v>
      </c>
      <c r="AG51" s="145">
        <v>0.94</v>
      </c>
      <c r="AH51" s="145" t="s">
        <v>400</v>
      </c>
      <c r="AI51" s="145">
        <v>148</v>
      </c>
      <c r="AJ51" s="145">
        <v>0.2</v>
      </c>
      <c r="AK51" s="145">
        <v>787</v>
      </c>
      <c r="AL51" s="145">
        <v>5.74</v>
      </c>
      <c r="AM51" s="145" t="s">
        <v>400</v>
      </c>
    </row>
    <row r="52" spans="1:39">
      <c r="A52" s="143" t="s">
        <v>1111</v>
      </c>
      <c r="B52" s="144">
        <v>100</v>
      </c>
      <c r="C52" s="145">
        <v>91.74</v>
      </c>
      <c r="D52" s="145">
        <v>1.37</v>
      </c>
      <c r="E52" s="145">
        <v>1.92</v>
      </c>
      <c r="F52" s="145">
        <v>0.28999999999999998</v>
      </c>
      <c r="G52" s="145">
        <v>0.41</v>
      </c>
      <c r="H52" s="145">
        <v>1.0900000000000001</v>
      </c>
      <c r="I52" s="145">
        <v>0.97</v>
      </c>
      <c r="J52" s="145">
        <v>0.12</v>
      </c>
      <c r="K52" s="145" t="s">
        <v>400</v>
      </c>
      <c r="L52" s="145">
        <v>17.72</v>
      </c>
      <c r="M52" s="145">
        <v>2.5</v>
      </c>
      <c r="N52" s="145">
        <v>27</v>
      </c>
      <c r="O52" s="145">
        <v>18</v>
      </c>
      <c r="P52" s="145">
        <v>0.27</v>
      </c>
      <c r="Q52" s="145">
        <v>32</v>
      </c>
      <c r="R52" s="145">
        <v>0.72</v>
      </c>
      <c r="S52" s="145">
        <v>27</v>
      </c>
      <c r="T52" s="145">
        <v>230</v>
      </c>
      <c r="U52" s="145">
        <v>0.09</v>
      </c>
      <c r="V52" s="145">
        <v>0.2</v>
      </c>
      <c r="W52" s="145" t="s">
        <v>400</v>
      </c>
      <c r="X52" s="145">
        <v>0.06</v>
      </c>
      <c r="Y52" s="145">
        <v>0.05</v>
      </c>
      <c r="Z52" s="145">
        <v>0.17</v>
      </c>
      <c r="AA52" s="145">
        <v>0.54</v>
      </c>
      <c r="AB52" s="145">
        <v>12.8</v>
      </c>
      <c r="AC52" s="145">
        <v>1</v>
      </c>
      <c r="AD52" s="145" t="s">
        <v>400</v>
      </c>
      <c r="AE52" s="145">
        <v>6</v>
      </c>
      <c r="AF52" s="145" t="s">
        <v>400</v>
      </c>
      <c r="AG52" s="145">
        <v>1.1000000000000001</v>
      </c>
      <c r="AH52" s="145" t="s">
        <v>400</v>
      </c>
      <c r="AI52" s="145">
        <v>148</v>
      </c>
      <c r="AJ52" s="145">
        <v>1.02</v>
      </c>
      <c r="AK52" s="145">
        <v>787</v>
      </c>
      <c r="AL52" s="145">
        <v>5.74</v>
      </c>
      <c r="AM52" s="145" t="s">
        <v>400</v>
      </c>
    </row>
    <row r="53" spans="1:39">
      <c r="A53" s="143" t="s">
        <v>1112</v>
      </c>
      <c r="B53" s="144">
        <v>100</v>
      </c>
      <c r="C53" s="145">
        <v>91.74</v>
      </c>
      <c r="D53" s="145">
        <v>1.37</v>
      </c>
      <c r="E53" s="145">
        <v>1.92</v>
      </c>
      <c r="F53" s="145">
        <v>0.28999999999999998</v>
      </c>
      <c r="G53" s="145">
        <v>0.41</v>
      </c>
      <c r="H53" s="145">
        <v>1.0900000000000001</v>
      </c>
      <c r="I53" s="145">
        <v>0.97</v>
      </c>
      <c r="J53" s="145">
        <v>0.12</v>
      </c>
      <c r="K53" s="145" t="s">
        <v>400</v>
      </c>
      <c r="L53" s="145">
        <v>17.72</v>
      </c>
      <c r="M53" s="145">
        <v>2.5</v>
      </c>
      <c r="N53" s="145">
        <v>27</v>
      </c>
      <c r="O53" s="145">
        <v>18</v>
      </c>
      <c r="P53" s="145">
        <v>0.27</v>
      </c>
      <c r="Q53" s="145">
        <v>32</v>
      </c>
      <c r="R53" s="145">
        <v>0.72</v>
      </c>
      <c r="S53" s="145">
        <v>27</v>
      </c>
      <c r="T53" s="145">
        <v>230</v>
      </c>
      <c r="U53" s="145">
        <v>0.09</v>
      </c>
      <c r="V53" s="145">
        <v>0.2</v>
      </c>
      <c r="W53" s="145" t="s">
        <v>400</v>
      </c>
      <c r="X53" s="145">
        <v>0.06</v>
      </c>
      <c r="Y53" s="145">
        <v>0.05</v>
      </c>
      <c r="Z53" s="145">
        <v>0.17</v>
      </c>
      <c r="AA53" s="145">
        <v>0.54</v>
      </c>
      <c r="AB53" s="145">
        <v>12.8</v>
      </c>
      <c r="AC53" s="145">
        <v>1</v>
      </c>
      <c r="AD53" s="145" t="s">
        <v>400</v>
      </c>
      <c r="AE53" s="145">
        <v>6</v>
      </c>
      <c r="AF53" s="145" t="s">
        <v>400</v>
      </c>
      <c r="AG53" s="145">
        <v>1.1000000000000001</v>
      </c>
      <c r="AH53" s="145" t="s">
        <v>400</v>
      </c>
      <c r="AI53" s="145">
        <v>148</v>
      </c>
      <c r="AJ53" s="145">
        <v>1.02</v>
      </c>
      <c r="AK53" s="145">
        <v>787</v>
      </c>
      <c r="AL53" s="145">
        <v>5.74</v>
      </c>
      <c r="AM53" s="145" t="s">
        <v>400</v>
      </c>
    </row>
    <row r="54" spans="1:39">
      <c r="A54" s="143" t="s">
        <v>1113</v>
      </c>
      <c r="B54" s="144">
        <v>100</v>
      </c>
      <c r="C54" s="145">
        <v>76</v>
      </c>
      <c r="D54" s="145">
        <v>1.37</v>
      </c>
      <c r="E54" s="145">
        <v>0.14000000000000001</v>
      </c>
      <c r="F54" s="145">
        <v>0.03</v>
      </c>
      <c r="G54" s="145" t="s">
        <v>400</v>
      </c>
      <c r="H54" s="145">
        <v>0.06</v>
      </c>
      <c r="I54" s="145">
        <v>0.06</v>
      </c>
      <c r="J54" s="145" t="s">
        <v>400</v>
      </c>
      <c r="K54" s="145" t="s">
        <v>400</v>
      </c>
      <c r="L54" s="145">
        <v>17.72</v>
      </c>
      <c r="M54" s="145">
        <v>2.5</v>
      </c>
      <c r="N54" s="145">
        <v>27</v>
      </c>
      <c r="O54" s="145">
        <v>18</v>
      </c>
      <c r="P54" s="145">
        <v>0.27</v>
      </c>
      <c r="Q54" s="145">
        <v>32</v>
      </c>
      <c r="R54" s="145">
        <v>0.72</v>
      </c>
      <c r="S54" s="145">
        <v>27</v>
      </c>
      <c r="T54" s="145">
        <v>230</v>
      </c>
      <c r="U54" s="145">
        <v>0.09</v>
      </c>
      <c r="V54" s="145">
        <v>0.2</v>
      </c>
      <c r="W54" s="145" t="s">
        <v>400</v>
      </c>
      <c r="X54" s="145">
        <v>0.06</v>
      </c>
      <c r="Y54" s="145">
        <v>0.05</v>
      </c>
      <c r="Z54" s="145">
        <v>0.17</v>
      </c>
      <c r="AA54" s="145">
        <v>0.54</v>
      </c>
      <c r="AB54" s="145">
        <v>12.8</v>
      </c>
      <c r="AC54" s="145">
        <v>1</v>
      </c>
      <c r="AD54" s="145" t="s">
        <v>400</v>
      </c>
      <c r="AE54" s="145">
        <v>6</v>
      </c>
      <c r="AF54" s="145" t="s">
        <v>400</v>
      </c>
      <c r="AG54" s="145">
        <v>0.94</v>
      </c>
      <c r="AH54" s="145" t="s">
        <v>400</v>
      </c>
      <c r="AI54" s="145">
        <v>148</v>
      </c>
      <c r="AJ54" s="145">
        <v>0.2</v>
      </c>
      <c r="AK54" s="145">
        <v>787</v>
      </c>
      <c r="AL54" s="145">
        <v>5.74</v>
      </c>
      <c r="AM54" s="145" t="s">
        <v>400</v>
      </c>
    </row>
    <row r="55" spans="1:39">
      <c r="A55" s="143" t="s">
        <v>1114</v>
      </c>
      <c r="B55" s="144">
        <v>100</v>
      </c>
      <c r="C55" s="145">
        <v>76</v>
      </c>
      <c r="D55" s="145">
        <v>1.37</v>
      </c>
      <c r="E55" s="145">
        <v>0.14000000000000001</v>
      </c>
      <c r="F55" s="145">
        <v>0.03</v>
      </c>
      <c r="G55" s="145" t="s">
        <v>400</v>
      </c>
      <c r="H55" s="145">
        <v>0.06</v>
      </c>
      <c r="I55" s="145">
        <v>0.06</v>
      </c>
      <c r="J55" s="145" t="s">
        <v>400</v>
      </c>
      <c r="K55" s="145" t="s">
        <v>400</v>
      </c>
      <c r="L55" s="145">
        <v>17.72</v>
      </c>
      <c r="M55" s="145">
        <v>2.5</v>
      </c>
      <c r="N55" s="145">
        <v>27</v>
      </c>
      <c r="O55" s="145">
        <v>18</v>
      </c>
      <c r="P55" s="145">
        <v>0.27</v>
      </c>
      <c r="Q55" s="145">
        <v>32</v>
      </c>
      <c r="R55" s="145">
        <v>0.72</v>
      </c>
      <c r="S55" s="145">
        <v>27</v>
      </c>
      <c r="T55" s="145">
        <v>230</v>
      </c>
      <c r="U55" s="145">
        <v>0.09</v>
      </c>
      <c r="V55" s="145">
        <v>0.2</v>
      </c>
      <c r="W55" s="145" t="s">
        <v>400</v>
      </c>
      <c r="X55" s="145">
        <v>0.06</v>
      </c>
      <c r="Y55" s="145">
        <v>0.05</v>
      </c>
      <c r="Z55" s="145">
        <v>0.17</v>
      </c>
      <c r="AA55" s="145">
        <v>0.54</v>
      </c>
      <c r="AB55" s="145">
        <v>12.8</v>
      </c>
      <c r="AC55" s="145">
        <v>1</v>
      </c>
      <c r="AD55" s="145" t="s">
        <v>400</v>
      </c>
      <c r="AE55" s="145">
        <v>6</v>
      </c>
      <c r="AF55" s="145" t="s">
        <v>400</v>
      </c>
      <c r="AG55" s="145">
        <v>0.94</v>
      </c>
      <c r="AH55" s="145" t="s">
        <v>400</v>
      </c>
      <c r="AI55" s="145">
        <v>148</v>
      </c>
      <c r="AJ55" s="145">
        <v>0.2</v>
      </c>
      <c r="AK55" s="145">
        <v>787</v>
      </c>
      <c r="AL55" s="145">
        <v>5.74</v>
      </c>
      <c r="AM55" s="145" t="s">
        <v>400</v>
      </c>
    </row>
    <row r="56" spans="1:39">
      <c r="A56" s="143" t="s">
        <v>1115</v>
      </c>
      <c r="B56" s="144">
        <v>100</v>
      </c>
      <c r="C56" s="145">
        <v>76</v>
      </c>
      <c r="D56" s="145">
        <v>1.37</v>
      </c>
      <c r="E56" s="145">
        <v>0.14000000000000001</v>
      </c>
      <c r="F56" s="145">
        <v>0.03</v>
      </c>
      <c r="G56" s="145" t="s">
        <v>400</v>
      </c>
      <c r="H56" s="145">
        <v>0.06</v>
      </c>
      <c r="I56" s="145">
        <v>0.06</v>
      </c>
      <c r="J56" s="145" t="s">
        <v>400</v>
      </c>
      <c r="K56" s="145" t="s">
        <v>400</v>
      </c>
      <c r="L56" s="145">
        <v>17.72</v>
      </c>
      <c r="M56" s="145">
        <v>2.5</v>
      </c>
      <c r="N56" s="145">
        <v>27</v>
      </c>
      <c r="O56" s="145">
        <v>18</v>
      </c>
      <c r="P56" s="145">
        <v>0.27</v>
      </c>
      <c r="Q56" s="145">
        <v>32</v>
      </c>
      <c r="R56" s="145">
        <v>0.72</v>
      </c>
      <c r="S56" s="145">
        <v>27</v>
      </c>
      <c r="T56" s="145">
        <v>230</v>
      </c>
      <c r="U56" s="145">
        <v>0.09</v>
      </c>
      <c r="V56" s="145">
        <v>0.2</v>
      </c>
      <c r="W56" s="145" t="s">
        <v>400</v>
      </c>
      <c r="X56" s="145">
        <v>0.06</v>
      </c>
      <c r="Y56" s="145">
        <v>0.05</v>
      </c>
      <c r="Z56" s="145">
        <v>0.17</v>
      </c>
      <c r="AA56" s="145">
        <v>0.54</v>
      </c>
      <c r="AB56" s="145">
        <v>12.8</v>
      </c>
      <c r="AC56" s="145">
        <v>1</v>
      </c>
      <c r="AD56" s="145" t="s">
        <v>400</v>
      </c>
      <c r="AE56" s="145">
        <v>6</v>
      </c>
      <c r="AF56" s="145" t="s">
        <v>400</v>
      </c>
      <c r="AG56" s="145">
        <v>0.94</v>
      </c>
      <c r="AH56" s="145" t="s">
        <v>400</v>
      </c>
      <c r="AI56" s="145">
        <v>148</v>
      </c>
      <c r="AJ56" s="145">
        <v>0.2</v>
      </c>
      <c r="AK56" s="145">
        <v>787</v>
      </c>
      <c r="AL56" s="145">
        <v>5.74</v>
      </c>
      <c r="AM56" s="145" t="s">
        <v>400</v>
      </c>
    </row>
    <row r="57" spans="1:39">
      <c r="A57" s="143" t="s">
        <v>1116</v>
      </c>
      <c r="B57" s="144">
        <v>100</v>
      </c>
      <c r="C57" s="145">
        <v>76</v>
      </c>
      <c r="D57" s="145">
        <v>1.37</v>
      </c>
      <c r="E57" s="145">
        <v>0.14000000000000001</v>
      </c>
      <c r="F57" s="145">
        <v>0.03</v>
      </c>
      <c r="G57" s="145" t="s">
        <v>400</v>
      </c>
      <c r="H57" s="145">
        <v>0.06</v>
      </c>
      <c r="I57" s="145">
        <v>0.06</v>
      </c>
      <c r="J57" s="145" t="s">
        <v>400</v>
      </c>
      <c r="K57" s="145" t="s">
        <v>400</v>
      </c>
      <c r="L57" s="145">
        <v>17.72</v>
      </c>
      <c r="M57" s="145">
        <v>2.5</v>
      </c>
      <c r="N57" s="145">
        <v>27</v>
      </c>
      <c r="O57" s="145">
        <v>18</v>
      </c>
      <c r="P57" s="145">
        <v>0.27</v>
      </c>
      <c r="Q57" s="145">
        <v>32</v>
      </c>
      <c r="R57" s="145">
        <v>0.72</v>
      </c>
      <c r="S57" s="145">
        <v>27</v>
      </c>
      <c r="T57" s="145">
        <v>230</v>
      </c>
      <c r="U57" s="145">
        <v>0.09</v>
      </c>
      <c r="V57" s="145">
        <v>0.2</v>
      </c>
      <c r="W57" s="145" t="s">
        <v>400</v>
      </c>
      <c r="X57" s="145">
        <v>0.06</v>
      </c>
      <c r="Y57" s="145">
        <v>0.05</v>
      </c>
      <c r="Z57" s="145">
        <v>0.17</v>
      </c>
      <c r="AA57" s="145">
        <v>0.54</v>
      </c>
      <c r="AB57" s="145">
        <v>12.8</v>
      </c>
      <c r="AC57" s="145">
        <v>1</v>
      </c>
      <c r="AD57" s="145" t="s">
        <v>400</v>
      </c>
      <c r="AE57" s="145">
        <v>6</v>
      </c>
      <c r="AF57" s="145" t="s">
        <v>400</v>
      </c>
      <c r="AG57" s="145">
        <v>0.94</v>
      </c>
      <c r="AH57" s="145" t="s">
        <v>400</v>
      </c>
      <c r="AI57" s="145">
        <v>148</v>
      </c>
      <c r="AJ57" s="145">
        <v>0.2</v>
      </c>
      <c r="AK57" s="145">
        <v>787</v>
      </c>
      <c r="AL57" s="145">
        <v>5.74</v>
      </c>
      <c r="AM57" s="145" t="s">
        <v>400</v>
      </c>
    </row>
    <row r="58" spans="1:39">
      <c r="A58" s="143" t="s">
        <v>1117</v>
      </c>
      <c r="B58" s="144">
        <v>100</v>
      </c>
      <c r="C58" s="145">
        <v>90</v>
      </c>
      <c r="D58" s="145">
        <v>2.0099999999999998</v>
      </c>
      <c r="E58" s="145">
        <v>0.15</v>
      </c>
      <c r="F58" s="145">
        <v>0.03</v>
      </c>
      <c r="G58" s="145" t="s">
        <v>400</v>
      </c>
      <c r="H58" s="145">
        <v>0.06</v>
      </c>
      <c r="I58" s="145">
        <v>0.06</v>
      </c>
      <c r="J58" s="145" t="s">
        <v>400</v>
      </c>
      <c r="K58" s="145" t="s">
        <v>400</v>
      </c>
      <c r="L58" s="145">
        <v>20.71</v>
      </c>
      <c r="M58" s="145">
        <v>3.3</v>
      </c>
      <c r="N58" s="145">
        <v>38</v>
      </c>
      <c r="O58" s="145">
        <v>27</v>
      </c>
      <c r="P58" s="145">
        <v>0.5</v>
      </c>
      <c r="Q58" s="145">
        <v>54</v>
      </c>
      <c r="R58" s="145">
        <v>0.69</v>
      </c>
      <c r="S58" s="145">
        <v>36</v>
      </c>
      <c r="T58" s="145">
        <v>475</v>
      </c>
      <c r="U58" s="145">
        <v>0.16</v>
      </c>
      <c r="V58" s="145">
        <v>0.32</v>
      </c>
      <c r="W58" s="145" t="s">
        <v>400</v>
      </c>
      <c r="X58" s="145">
        <v>0.11</v>
      </c>
      <c r="Y58" s="145">
        <v>0.11</v>
      </c>
      <c r="Z58" s="145">
        <v>0.28999999999999998</v>
      </c>
      <c r="AA58" s="145">
        <v>1.49</v>
      </c>
      <c r="AB58" s="145">
        <v>19.600000000000001</v>
      </c>
      <c r="AC58" s="145">
        <v>2.15</v>
      </c>
      <c r="AD58" s="145" t="s">
        <v>400</v>
      </c>
      <c r="AE58" s="145">
        <v>6</v>
      </c>
      <c r="AF58" s="145" t="s">
        <v>400</v>
      </c>
      <c r="AG58" s="145">
        <v>0.71</v>
      </c>
      <c r="AH58" s="145" t="s">
        <v>400</v>
      </c>
      <c r="AI58" s="145">
        <v>148</v>
      </c>
      <c r="AJ58" s="145">
        <v>0.2</v>
      </c>
      <c r="AK58" s="145">
        <v>960.88</v>
      </c>
      <c r="AL58" s="145">
        <v>6.47</v>
      </c>
      <c r="AM58" s="145" t="s">
        <v>400</v>
      </c>
    </row>
    <row r="59" spans="1:39">
      <c r="A59" s="143" t="s">
        <v>1118</v>
      </c>
      <c r="B59" s="144">
        <v>100</v>
      </c>
      <c r="C59" s="145">
        <v>351.28</v>
      </c>
      <c r="D59" s="145">
        <v>4.4000000000000004</v>
      </c>
      <c r="E59" s="145">
        <v>12.59</v>
      </c>
      <c r="F59" s="145">
        <v>1.85</v>
      </c>
      <c r="G59" s="145">
        <v>2.83</v>
      </c>
      <c r="H59" s="145">
        <v>7.22</v>
      </c>
      <c r="I59" s="145">
        <v>6.39</v>
      </c>
      <c r="J59" s="145">
        <v>0.83</v>
      </c>
      <c r="K59" s="145" t="s">
        <v>400</v>
      </c>
      <c r="L59" s="145">
        <v>56.88</v>
      </c>
      <c r="M59" s="145">
        <v>8.0299999999999994</v>
      </c>
      <c r="N59" s="145">
        <v>86.67</v>
      </c>
      <c r="O59" s="145">
        <v>57.78</v>
      </c>
      <c r="P59" s="145">
        <v>0.85</v>
      </c>
      <c r="Q59" s="145">
        <v>102.72</v>
      </c>
      <c r="R59" s="145">
        <v>2.31</v>
      </c>
      <c r="S59" s="145">
        <v>86.67</v>
      </c>
      <c r="T59" s="145">
        <v>738.3</v>
      </c>
      <c r="U59" s="145">
        <v>0.3</v>
      </c>
      <c r="V59" s="145">
        <v>0.64</v>
      </c>
      <c r="W59" s="145" t="s">
        <v>400</v>
      </c>
      <c r="X59" s="145">
        <v>0.18</v>
      </c>
      <c r="Y59" s="145">
        <v>0.15</v>
      </c>
      <c r="Z59" s="145">
        <v>0.53</v>
      </c>
      <c r="AA59" s="145">
        <v>1.73</v>
      </c>
      <c r="AB59" s="145">
        <v>41.09</v>
      </c>
      <c r="AC59" s="145">
        <v>3.22</v>
      </c>
      <c r="AD59" s="145" t="s">
        <v>400</v>
      </c>
      <c r="AE59" s="145">
        <v>19.260000000000002</v>
      </c>
      <c r="AF59" s="145" t="s">
        <v>400</v>
      </c>
      <c r="AG59" s="145">
        <v>4.1399999999999997</v>
      </c>
      <c r="AH59" s="145" t="s">
        <v>400</v>
      </c>
      <c r="AI59" s="145">
        <v>148</v>
      </c>
      <c r="AJ59" s="145">
        <v>6.21</v>
      </c>
      <c r="AK59" s="145">
        <v>2526.27</v>
      </c>
      <c r="AL59" s="145">
        <v>18.43</v>
      </c>
      <c r="AM59" s="145" t="s">
        <v>400</v>
      </c>
    </row>
    <row r="60" spans="1:39">
      <c r="A60" s="143" t="s">
        <v>1119</v>
      </c>
      <c r="B60" s="144">
        <v>100</v>
      </c>
      <c r="C60" s="145">
        <v>91.74</v>
      </c>
      <c r="D60" s="145">
        <v>1.37</v>
      </c>
      <c r="E60" s="145">
        <v>1.92</v>
      </c>
      <c r="F60" s="145">
        <v>0.28999999999999998</v>
      </c>
      <c r="G60" s="145">
        <v>0.41</v>
      </c>
      <c r="H60" s="145">
        <v>1.0900000000000001</v>
      </c>
      <c r="I60" s="145">
        <v>0.97</v>
      </c>
      <c r="J60" s="145">
        <v>0.12</v>
      </c>
      <c r="K60" s="145" t="s">
        <v>400</v>
      </c>
      <c r="L60" s="145">
        <v>17.72</v>
      </c>
      <c r="M60" s="145">
        <v>2.5</v>
      </c>
      <c r="N60" s="145">
        <v>27</v>
      </c>
      <c r="O60" s="145">
        <v>18</v>
      </c>
      <c r="P60" s="145">
        <v>0.27</v>
      </c>
      <c r="Q60" s="145">
        <v>32</v>
      </c>
      <c r="R60" s="145">
        <v>0.72</v>
      </c>
      <c r="S60" s="145">
        <v>27</v>
      </c>
      <c r="T60" s="145">
        <v>230</v>
      </c>
      <c r="U60" s="145">
        <v>0.09</v>
      </c>
      <c r="V60" s="145">
        <v>0.2</v>
      </c>
      <c r="W60" s="145" t="s">
        <v>400</v>
      </c>
      <c r="X60" s="145">
        <v>0.06</v>
      </c>
      <c r="Y60" s="145">
        <v>0.05</v>
      </c>
      <c r="Z60" s="145">
        <v>0.17</v>
      </c>
      <c r="AA60" s="145">
        <v>0.54</v>
      </c>
      <c r="AB60" s="145">
        <v>12.8</v>
      </c>
      <c r="AC60" s="145">
        <v>1</v>
      </c>
      <c r="AD60" s="145" t="s">
        <v>400</v>
      </c>
      <c r="AE60" s="145">
        <v>6</v>
      </c>
      <c r="AF60" s="145" t="s">
        <v>400</v>
      </c>
      <c r="AG60" s="145">
        <v>1.1000000000000001</v>
      </c>
      <c r="AH60" s="145" t="s">
        <v>400</v>
      </c>
      <c r="AI60" s="145">
        <v>148</v>
      </c>
      <c r="AJ60" s="145">
        <v>1.02</v>
      </c>
      <c r="AK60" s="145">
        <v>787</v>
      </c>
      <c r="AL60" s="145">
        <v>5.74</v>
      </c>
      <c r="AM60" s="145" t="s">
        <v>400</v>
      </c>
    </row>
    <row r="61" spans="1:39">
      <c r="A61" s="143" t="s">
        <v>1120</v>
      </c>
      <c r="B61" s="144">
        <v>100</v>
      </c>
      <c r="C61" s="145">
        <v>91.74</v>
      </c>
      <c r="D61" s="145">
        <v>1.37</v>
      </c>
      <c r="E61" s="145">
        <v>1.92</v>
      </c>
      <c r="F61" s="145">
        <v>0.28999999999999998</v>
      </c>
      <c r="G61" s="145">
        <v>0.41</v>
      </c>
      <c r="H61" s="145">
        <v>1.0900000000000001</v>
      </c>
      <c r="I61" s="145">
        <v>0.97</v>
      </c>
      <c r="J61" s="145">
        <v>0.12</v>
      </c>
      <c r="K61" s="145" t="s">
        <v>400</v>
      </c>
      <c r="L61" s="145">
        <v>17.72</v>
      </c>
      <c r="M61" s="145">
        <v>2.5</v>
      </c>
      <c r="N61" s="145">
        <v>27</v>
      </c>
      <c r="O61" s="145">
        <v>18</v>
      </c>
      <c r="P61" s="145">
        <v>0.27</v>
      </c>
      <c r="Q61" s="145">
        <v>32</v>
      </c>
      <c r="R61" s="145">
        <v>0.72</v>
      </c>
      <c r="S61" s="145">
        <v>27</v>
      </c>
      <c r="T61" s="145">
        <v>230</v>
      </c>
      <c r="U61" s="145">
        <v>0.09</v>
      </c>
      <c r="V61" s="145">
        <v>0.2</v>
      </c>
      <c r="W61" s="145" t="s">
        <v>400</v>
      </c>
      <c r="X61" s="145">
        <v>0.06</v>
      </c>
      <c r="Y61" s="145">
        <v>0.05</v>
      </c>
      <c r="Z61" s="145">
        <v>0.17</v>
      </c>
      <c r="AA61" s="145">
        <v>0.54</v>
      </c>
      <c r="AB61" s="145">
        <v>12.8</v>
      </c>
      <c r="AC61" s="145">
        <v>1</v>
      </c>
      <c r="AD61" s="145" t="s">
        <v>400</v>
      </c>
      <c r="AE61" s="145">
        <v>6</v>
      </c>
      <c r="AF61" s="145" t="s">
        <v>400</v>
      </c>
      <c r="AG61" s="145">
        <v>1.1000000000000001</v>
      </c>
      <c r="AH61" s="145" t="s">
        <v>400</v>
      </c>
      <c r="AI61" s="145">
        <v>148</v>
      </c>
      <c r="AJ61" s="145">
        <v>1.02</v>
      </c>
      <c r="AK61" s="145">
        <v>787</v>
      </c>
      <c r="AL61" s="145">
        <v>5.74</v>
      </c>
      <c r="AM61" s="145" t="s">
        <v>400</v>
      </c>
    </row>
    <row r="62" spans="1:39">
      <c r="A62" s="143" t="s">
        <v>1121</v>
      </c>
      <c r="B62" s="144">
        <v>100</v>
      </c>
      <c r="C62" s="145">
        <v>76</v>
      </c>
      <c r="D62" s="145">
        <v>1.37</v>
      </c>
      <c r="E62" s="145">
        <v>0.14000000000000001</v>
      </c>
      <c r="F62" s="145">
        <v>0.03</v>
      </c>
      <c r="G62" s="145" t="s">
        <v>400</v>
      </c>
      <c r="H62" s="145">
        <v>0.06</v>
      </c>
      <c r="I62" s="145">
        <v>0.06</v>
      </c>
      <c r="J62" s="145" t="s">
        <v>400</v>
      </c>
      <c r="K62" s="145" t="s">
        <v>400</v>
      </c>
      <c r="L62" s="145">
        <v>17.72</v>
      </c>
      <c r="M62" s="145">
        <v>2.5</v>
      </c>
      <c r="N62" s="145">
        <v>27</v>
      </c>
      <c r="O62" s="145">
        <v>18</v>
      </c>
      <c r="P62" s="145">
        <v>0.27</v>
      </c>
      <c r="Q62" s="145">
        <v>32</v>
      </c>
      <c r="R62" s="145">
        <v>0.72</v>
      </c>
      <c r="S62" s="145">
        <v>27</v>
      </c>
      <c r="T62" s="145">
        <v>230</v>
      </c>
      <c r="U62" s="145">
        <v>0.09</v>
      </c>
      <c r="V62" s="145">
        <v>0.2</v>
      </c>
      <c r="W62" s="145" t="s">
        <v>400</v>
      </c>
      <c r="X62" s="145">
        <v>0.06</v>
      </c>
      <c r="Y62" s="145">
        <v>0.05</v>
      </c>
      <c r="Z62" s="145">
        <v>0.17</v>
      </c>
      <c r="AA62" s="145">
        <v>0.54</v>
      </c>
      <c r="AB62" s="145">
        <v>12.8</v>
      </c>
      <c r="AC62" s="145">
        <v>1</v>
      </c>
      <c r="AD62" s="145" t="s">
        <v>400</v>
      </c>
      <c r="AE62" s="145">
        <v>6</v>
      </c>
      <c r="AF62" s="145" t="s">
        <v>400</v>
      </c>
      <c r="AG62" s="145">
        <v>0.94</v>
      </c>
      <c r="AH62" s="145" t="s">
        <v>400</v>
      </c>
      <c r="AI62" s="145">
        <v>148</v>
      </c>
      <c r="AJ62" s="145">
        <v>0.2</v>
      </c>
      <c r="AK62" s="145">
        <v>787</v>
      </c>
      <c r="AL62" s="145">
        <v>5.74</v>
      </c>
      <c r="AM62" s="145" t="s">
        <v>400</v>
      </c>
    </row>
    <row r="63" spans="1:39">
      <c r="A63" s="143" t="s">
        <v>1122</v>
      </c>
      <c r="B63" s="144">
        <v>100</v>
      </c>
      <c r="C63" s="145">
        <v>100</v>
      </c>
      <c r="D63" s="145">
        <v>1.71</v>
      </c>
      <c r="E63" s="145">
        <v>0.12</v>
      </c>
      <c r="F63" s="145">
        <v>0.03</v>
      </c>
      <c r="G63" s="145">
        <v>0.01</v>
      </c>
      <c r="H63" s="145">
        <v>0.05</v>
      </c>
      <c r="I63" s="145">
        <v>0.04</v>
      </c>
      <c r="J63" s="145">
        <v>0.01</v>
      </c>
      <c r="K63" s="145" t="s">
        <v>400</v>
      </c>
      <c r="L63" s="145">
        <v>23.4</v>
      </c>
      <c r="M63" s="145">
        <v>1.8</v>
      </c>
      <c r="N63" s="145">
        <v>35</v>
      </c>
      <c r="O63" s="145">
        <v>21</v>
      </c>
      <c r="P63" s="145">
        <v>0.67</v>
      </c>
      <c r="Q63" s="145">
        <v>44</v>
      </c>
      <c r="R63" s="145">
        <v>0.54</v>
      </c>
      <c r="S63" s="145">
        <v>8</v>
      </c>
      <c r="T63" s="145">
        <v>377</v>
      </c>
      <c r="U63" s="145">
        <v>0.18</v>
      </c>
      <c r="V63" s="145">
        <v>0.3</v>
      </c>
      <c r="W63" s="145" t="s">
        <v>400</v>
      </c>
      <c r="X63" s="145">
        <v>7.0000000000000007E-2</v>
      </c>
      <c r="Y63" s="145">
        <v>0.06</v>
      </c>
      <c r="Z63" s="145">
        <v>0.19</v>
      </c>
      <c r="AA63" s="145">
        <v>0.56000000000000005</v>
      </c>
      <c r="AB63" s="145">
        <v>9.1</v>
      </c>
      <c r="AC63" s="145">
        <v>0.91</v>
      </c>
      <c r="AD63" s="145" t="s">
        <v>400</v>
      </c>
      <c r="AE63" s="145">
        <v>22</v>
      </c>
      <c r="AF63" s="145" t="s">
        <v>400</v>
      </c>
      <c r="AG63" s="145">
        <v>0.77</v>
      </c>
      <c r="AH63" s="145" t="s">
        <v>400</v>
      </c>
      <c r="AI63" s="145">
        <v>260</v>
      </c>
      <c r="AJ63" s="145">
        <v>0.6</v>
      </c>
      <c r="AK63" s="145">
        <v>1043.46</v>
      </c>
      <c r="AL63" s="145">
        <v>6.47</v>
      </c>
      <c r="AM63" s="145" t="s">
        <v>400</v>
      </c>
    </row>
    <row r="64" spans="1:39">
      <c r="A64" s="143" t="s">
        <v>1123</v>
      </c>
      <c r="B64" s="144">
        <v>100</v>
      </c>
      <c r="C64" s="145">
        <v>100</v>
      </c>
      <c r="D64" s="145">
        <v>1.71</v>
      </c>
      <c r="E64" s="145">
        <v>0.12</v>
      </c>
      <c r="F64" s="145">
        <v>0.03</v>
      </c>
      <c r="G64" s="145">
        <v>0.01</v>
      </c>
      <c r="H64" s="145">
        <v>0.05</v>
      </c>
      <c r="I64" s="145">
        <v>0.04</v>
      </c>
      <c r="J64" s="145">
        <v>0.01</v>
      </c>
      <c r="K64" s="145" t="s">
        <v>400</v>
      </c>
      <c r="L64" s="145">
        <v>23.4</v>
      </c>
      <c r="M64" s="145">
        <v>1.8</v>
      </c>
      <c r="N64" s="145">
        <v>35</v>
      </c>
      <c r="O64" s="145">
        <v>21</v>
      </c>
      <c r="P64" s="145">
        <v>0.67</v>
      </c>
      <c r="Q64" s="145">
        <v>44</v>
      </c>
      <c r="R64" s="145">
        <v>0.54</v>
      </c>
      <c r="S64" s="145">
        <v>8</v>
      </c>
      <c r="T64" s="145">
        <v>377</v>
      </c>
      <c r="U64" s="145">
        <v>0.18</v>
      </c>
      <c r="V64" s="145">
        <v>0.3</v>
      </c>
      <c r="W64" s="145" t="s">
        <v>400</v>
      </c>
      <c r="X64" s="145">
        <v>7.0000000000000007E-2</v>
      </c>
      <c r="Y64" s="145">
        <v>0.06</v>
      </c>
      <c r="Z64" s="145">
        <v>0.19</v>
      </c>
      <c r="AA64" s="145">
        <v>0.56000000000000005</v>
      </c>
      <c r="AB64" s="145">
        <v>9.1</v>
      </c>
      <c r="AC64" s="145">
        <v>0.91</v>
      </c>
      <c r="AD64" s="145" t="s">
        <v>400</v>
      </c>
      <c r="AE64" s="145">
        <v>22</v>
      </c>
      <c r="AF64" s="145" t="s">
        <v>400</v>
      </c>
      <c r="AG64" s="145">
        <v>0.77</v>
      </c>
      <c r="AH64" s="145" t="s">
        <v>400</v>
      </c>
      <c r="AI64" s="145">
        <v>260</v>
      </c>
      <c r="AJ64" s="145">
        <v>0.6</v>
      </c>
      <c r="AK64" s="145">
        <v>1043.46</v>
      </c>
      <c r="AL64" s="145">
        <v>6.47</v>
      </c>
      <c r="AM64" s="145" t="s">
        <v>400</v>
      </c>
    </row>
    <row r="65" spans="1:39">
      <c r="A65" s="143" t="s">
        <v>1124</v>
      </c>
      <c r="B65" s="144">
        <v>100</v>
      </c>
      <c r="C65" s="145">
        <v>90</v>
      </c>
      <c r="D65" s="145">
        <v>2.0099999999999998</v>
      </c>
      <c r="E65" s="145">
        <v>0.15</v>
      </c>
      <c r="F65" s="145">
        <v>0.03</v>
      </c>
      <c r="G65" s="145" t="s">
        <v>400</v>
      </c>
      <c r="H65" s="145">
        <v>0.06</v>
      </c>
      <c r="I65" s="145">
        <v>0.06</v>
      </c>
      <c r="J65" s="145" t="s">
        <v>400</v>
      </c>
      <c r="K65" s="145" t="s">
        <v>400</v>
      </c>
      <c r="L65" s="145">
        <v>20.71</v>
      </c>
      <c r="M65" s="145">
        <v>3.3</v>
      </c>
      <c r="N65" s="145">
        <v>38</v>
      </c>
      <c r="O65" s="145">
        <v>27</v>
      </c>
      <c r="P65" s="145">
        <v>0.5</v>
      </c>
      <c r="Q65" s="145">
        <v>54</v>
      </c>
      <c r="R65" s="145">
        <v>0.69</v>
      </c>
      <c r="S65" s="145">
        <v>36</v>
      </c>
      <c r="T65" s="145">
        <v>475</v>
      </c>
      <c r="U65" s="145">
        <v>0.16</v>
      </c>
      <c r="V65" s="145">
        <v>0.32</v>
      </c>
      <c r="W65" s="145" t="s">
        <v>400</v>
      </c>
      <c r="X65" s="145">
        <v>0.11</v>
      </c>
      <c r="Y65" s="145">
        <v>0.11</v>
      </c>
      <c r="Z65" s="145">
        <v>0.28999999999999998</v>
      </c>
      <c r="AA65" s="145">
        <v>1.49</v>
      </c>
      <c r="AB65" s="145">
        <v>19.600000000000001</v>
      </c>
      <c r="AC65" s="145">
        <v>2.15</v>
      </c>
      <c r="AD65" s="145" t="s">
        <v>400</v>
      </c>
      <c r="AE65" s="145">
        <v>6</v>
      </c>
      <c r="AF65" s="145" t="s">
        <v>400</v>
      </c>
      <c r="AG65" s="145">
        <v>0.71</v>
      </c>
      <c r="AH65" s="145" t="s">
        <v>400</v>
      </c>
      <c r="AI65" s="145">
        <v>260</v>
      </c>
      <c r="AJ65" s="145">
        <v>0.2</v>
      </c>
      <c r="AK65" s="145">
        <v>960.88</v>
      </c>
      <c r="AL65" s="145">
        <v>6.47</v>
      </c>
      <c r="AM65" s="145" t="s">
        <v>400</v>
      </c>
    </row>
    <row r="66" spans="1:39">
      <c r="A66" s="143" t="s">
        <v>1125</v>
      </c>
      <c r="B66" s="144">
        <v>100</v>
      </c>
      <c r="C66" s="145">
        <v>115.74</v>
      </c>
      <c r="D66" s="145">
        <v>1.71</v>
      </c>
      <c r="E66" s="145">
        <v>1.9</v>
      </c>
      <c r="F66" s="145">
        <v>0.28000000000000003</v>
      </c>
      <c r="G66" s="145">
        <v>0.42</v>
      </c>
      <c r="H66" s="145">
        <v>1.08</v>
      </c>
      <c r="I66" s="145">
        <v>0.95</v>
      </c>
      <c r="J66" s="145">
        <v>0.13</v>
      </c>
      <c r="K66" s="145" t="s">
        <v>400</v>
      </c>
      <c r="L66" s="145">
        <v>23.4</v>
      </c>
      <c r="M66" s="145">
        <v>1.8</v>
      </c>
      <c r="N66" s="145">
        <v>35</v>
      </c>
      <c r="O66" s="145">
        <v>21</v>
      </c>
      <c r="P66" s="145">
        <v>0.67</v>
      </c>
      <c r="Q66" s="145">
        <v>44</v>
      </c>
      <c r="R66" s="145">
        <v>0.54</v>
      </c>
      <c r="S66" s="145">
        <v>8</v>
      </c>
      <c r="T66" s="145">
        <v>377</v>
      </c>
      <c r="U66" s="145">
        <v>0.18</v>
      </c>
      <c r="V66" s="145">
        <v>0.3</v>
      </c>
      <c r="W66" s="145" t="s">
        <v>400</v>
      </c>
      <c r="X66" s="145">
        <v>7.0000000000000007E-2</v>
      </c>
      <c r="Y66" s="145">
        <v>0.06</v>
      </c>
      <c r="Z66" s="145">
        <v>0.19</v>
      </c>
      <c r="AA66" s="145">
        <v>0.56000000000000005</v>
      </c>
      <c r="AB66" s="145">
        <v>9.1</v>
      </c>
      <c r="AC66" s="145">
        <v>0.91</v>
      </c>
      <c r="AD66" s="145" t="s">
        <v>400</v>
      </c>
      <c r="AE66" s="145">
        <v>22</v>
      </c>
      <c r="AF66" s="145" t="s">
        <v>400</v>
      </c>
      <c r="AG66" s="145">
        <v>0.93</v>
      </c>
      <c r="AH66" s="145" t="s">
        <v>400</v>
      </c>
      <c r="AI66" s="145">
        <v>260</v>
      </c>
      <c r="AJ66" s="145">
        <v>1.42</v>
      </c>
      <c r="AK66" s="145">
        <v>1043.46</v>
      </c>
      <c r="AL66" s="145">
        <v>6.47</v>
      </c>
      <c r="AM66" s="145" t="s">
        <v>400</v>
      </c>
    </row>
    <row r="67" spans="1:39">
      <c r="A67" s="143" t="s">
        <v>1126</v>
      </c>
      <c r="B67" s="144">
        <v>100</v>
      </c>
      <c r="C67" s="145">
        <v>115.74</v>
      </c>
      <c r="D67" s="145">
        <v>1.71</v>
      </c>
      <c r="E67" s="145">
        <v>1.9</v>
      </c>
      <c r="F67" s="145">
        <v>0.28000000000000003</v>
      </c>
      <c r="G67" s="145">
        <v>0.42</v>
      </c>
      <c r="H67" s="145">
        <v>1.08</v>
      </c>
      <c r="I67" s="145">
        <v>0.95</v>
      </c>
      <c r="J67" s="145">
        <v>0.13</v>
      </c>
      <c r="K67" s="145" t="s">
        <v>400</v>
      </c>
      <c r="L67" s="145">
        <v>23.4</v>
      </c>
      <c r="M67" s="145">
        <v>1.8</v>
      </c>
      <c r="N67" s="145">
        <v>35</v>
      </c>
      <c r="O67" s="145">
        <v>21</v>
      </c>
      <c r="P67" s="145">
        <v>0.67</v>
      </c>
      <c r="Q67" s="145">
        <v>44</v>
      </c>
      <c r="R67" s="145">
        <v>0.54</v>
      </c>
      <c r="S67" s="145">
        <v>8</v>
      </c>
      <c r="T67" s="145">
        <v>377</v>
      </c>
      <c r="U67" s="145">
        <v>0.18</v>
      </c>
      <c r="V67" s="145">
        <v>0.3</v>
      </c>
      <c r="W67" s="145" t="s">
        <v>400</v>
      </c>
      <c r="X67" s="145">
        <v>7.0000000000000007E-2</v>
      </c>
      <c r="Y67" s="145">
        <v>0.06</v>
      </c>
      <c r="Z67" s="145">
        <v>0.19</v>
      </c>
      <c r="AA67" s="145">
        <v>0.56000000000000005</v>
      </c>
      <c r="AB67" s="145">
        <v>9.1</v>
      </c>
      <c r="AC67" s="145">
        <v>0.91</v>
      </c>
      <c r="AD67" s="145" t="s">
        <v>400</v>
      </c>
      <c r="AE67" s="145">
        <v>22</v>
      </c>
      <c r="AF67" s="145" t="s">
        <v>400</v>
      </c>
      <c r="AG67" s="145">
        <v>0.93</v>
      </c>
      <c r="AH67" s="145" t="s">
        <v>400</v>
      </c>
      <c r="AI67" s="145">
        <v>260</v>
      </c>
      <c r="AJ67" s="145">
        <v>1.42</v>
      </c>
      <c r="AK67" s="145">
        <v>1043.46</v>
      </c>
      <c r="AL67" s="145">
        <v>6.47</v>
      </c>
      <c r="AM67" s="145" t="s">
        <v>400</v>
      </c>
    </row>
    <row r="68" spans="1:39">
      <c r="A68" s="143" t="s">
        <v>1127</v>
      </c>
      <c r="B68" s="144">
        <v>100</v>
      </c>
      <c r="C68" s="145">
        <v>115.74</v>
      </c>
      <c r="D68" s="145">
        <v>1.71</v>
      </c>
      <c r="E68" s="145">
        <v>1.9</v>
      </c>
      <c r="F68" s="145">
        <v>0.28000000000000003</v>
      </c>
      <c r="G68" s="145">
        <v>0.42</v>
      </c>
      <c r="H68" s="145">
        <v>1.08</v>
      </c>
      <c r="I68" s="145">
        <v>0.95</v>
      </c>
      <c r="J68" s="145">
        <v>0.13</v>
      </c>
      <c r="K68" s="145" t="s">
        <v>400</v>
      </c>
      <c r="L68" s="145">
        <v>23.4</v>
      </c>
      <c r="M68" s="145">
        <v>1.8</v>
      </c>
      <c r="N68" s="145">
        <v>35</v>
      </c>
      <c r="O68" s="145">
        <v>21</v>
      </c>
      <c r="P68" s="145">
        <v>0.67</v>
      </c>
      <c r="Q68" s="145">
        <v>44</v>
      </c>
      <c r="R68" s="145">
        <v>0.54</v>
      </c>
      <c r="S68" s="145">
        <v>8</v>
      </c>
      <c r="T68" s="145">
        <v>377</v>
      </c>
      <c r="U68" s="145">
        <v>0.18</v>
      </c>
      <c r="V68" s="145">
        <v>0.3</v>
      </c>
      <c r="W68" s="145" t="s">
        <v>400</v>
      </c>
      <c r="X68" s="145">
        <v>7.0000000000000007E-2</v>
      </c>
      <c r="Y68" s="145">
        <v>0.06</v>
      </c>
      <c r="Z68" s="145">
        <v>0.19</v>
      </c>
      <c r="AA68" s="145">
        <v>0.56000000000000005</v>
      </c>
      <c r="AB68" s="145">
        <v>9.1</v>
      </c>
      <c r="AC68" s="145">
        <v>0.91</v>
      </c>
      <c r="AD68" s="145" t="s">
        <v>400</v>
      </c>
      <c r="AE68" s="145">
        <v>22</v>
      </c>
      <c r="AF68" s="145" t="s">
        <v>400</v>
      </c>
      <c r="AG68" s="145">
        <v>0.93</v>
      </c>
      <c r="AH68" s="145" t="s">
        <v>400</v>
      </c>
      <c r="AI68" s="145">
        <v>260</v>
      </c>
      <c r="AJ68" s="145">
        <v>1.42</v>
      </c>
      <c r="AK68" s="145">
        <v>1043.46</v>
      </c>
      <c r="AL68" s="145">
        <v>6.47</v>
      </c>
      <c r="AM68" s="145" t="s">
        <v>400</v>
      </c>
    </row>
    <row r="69" spans="1:39">
      <c r="A69" s="143" t="s">
        <v>1128</v>
      </c>
      <c r="B69" s="144">
        <v>100</v>
      </c>
      <c r="C69" s="145">
        <v>31.443000000000001</v>
      </c>
      <c r="D69" s="145">
        <v>0.94799999999999995</v>
      </c>
      <c r="E69" s="145">
        <v>0.123</v>
      </c>
      <c r="F69" s="145">
        <v>3.9E-2</v>
      </c>
      <c r="G69" s="145">
        <v>2.7E-2</v>
      </c>
      <c r="H69" s="145">
        <v>3.2000000000000001E-2</v>
      </c>
      <c r="I69" s="145">
        <v>2.7E-2</v>
      </c>
      <c r="J69" s="145">
        <v>5.0000000000000001E-3</v>
      </c>
      <c r="K69" s="145" t="s">
        <v>400</v>
      </c>
      <c r="L69" s="145">
        <v>7.0119999999999996</v>
      </c>
      <c r="M69" s="145">
        <v>0.71099999999999997</v>
      </c>
      <c r="N69" s="145">
        <v>8.5549999999999997</v>
      </c>
      <c r="O69" s="145">
        <v>6.3470000000000004</v>
      </c>
      <c r="P69" s="145">
        <v>6.8000000000000005E-2</v>
      </c>
      <c r="Q69" s="145">
        <v>15.762</v>
      </c>
      <c r="R69" s="145">
        <v>0.28499999999999998</v>
      </c>
      <c r="S69" s="145">
        <v>310.43200000000002</v>
      </c>
      <c r="T69" s="145">
        <v>88.314999999999998</v>
      </c>
      <c r="U69" s="145">
        <v>3.9E-2</v>
      </c>
      <c r="V69" s="145">
        <v>0.115</v>
      </c>
      <c r="W69" s="145" t="s">
        <v>400</v>
      </c>
      <c r="X69" s="145">
        <v>0.03</v>
      </c>
      <c r="Y69" s="145">
        <v>2.5999999999999999E-2</v>
      </c>
      <c r="Z69" s="146">
        <v>0.04</v>
      </c>
      <c r="AA69" s="145">
        <v>0.505</v>
      </c>
      <c r="AB69" s="145">
        <v>2.0990000000000002</v>
      </c>
      <c r="AC69" s="145">
        <v>0.66700000000000004</v>
      </c>
      <c r="AD69" s="145">
        <v>1.4999999999999999E-2</v>
      </c>
      <c r="AE69" s="145">
        <v>9.2759999999999998</v>
      </c>
      <c r="AF69" s="145" t="s">
        <v>400</v>
      </c>
      <c r="AG69" s="145">
        <v>0.20399999999999999</v>
      </c>
      <c r="AH69" s="145">
        <v>2E-3</v>
      </c>
      <c r="AI69" s="145" t="s">
        <v>400</v>
      </c>
      <c r="AJ69" s="145">
        <v>1.3440000000000001</v>
      </c>
      <c r="AK69" s="145">
        <v>33.475999999999999</v>
      </c>
      <c r="AL69" s="145">
        <v>3.2749999999999999</v>
      </c>
      <c r="AM69" s="145">
        <v>2.5230000000000001</v>
      </c>
    </row>
    <row r="70" spans="1:39">
      <c r="A70" s="143" t="s">
        <v>1129</v>
      </c>
      <c r="B70" s="144">
        <v>100</v>
      </c>
      <c r="C70" s="145">
        <v>100</v>
      </c>
      <c r="D70" s="145">
        <v>1.71</v>
      </c>
      <c r="E70" s="145">
        <v>0.12</v>
      </c>
      <c r="F70" s="145">
        <v>0.03</v>
      </c>
      <c r="G70" s="145">
        <v>0.01</v>
      </c>
      <c r="H70" s="145">
        <v>0.05</v>
      </c>
      <c r="I70" s="145">
        <v>0.04</v>
      </c>
      <c r="J70" s="145">
        <v>0.01</v>
      </c>
      <c r="K70" s="145" t="s">
        <v>400</v>
      </c>
      <c r="L70" s="145">
        <v>23.4</v>
      </c>
      <c r="M70" s="145">
        <v>1.8</v>
      </c>
      <c r="N70" s="145">
        <v>35</v>
      </c>
      <c r="O70" s="145">
        <v>21</v>
      </c>
      <c r="P70" s="145">
        <v>0.67</v>
      </c>
      <c r="Q70" s="145">
        <v>44</v>
      </c>
      <c r="R70" s="145">
        <v>0.54</v>
      </c>
      <c r="S70" s="145">
        <v>8</v>
      </c>
      <c r="T70" s="145">
        <v>377</v>
      </c>
      <c r="U70" s="145">
        <v>0.18</v>
      </c>
      <c r="V70" s="145">
        <v>0.3</v>
      </c>
      <c r="W70" s="145" t="s">
        <v>400</v>
      </c>
      <c r="X70" s="145">
        <v>7.0000000000000007E-2</v>
      </c>
      <c r="Y70" s="145">
        <v>0.06</v>
      </c>
      <c r="Z70" s="145">
        <v>0.19</v>
      </c>
      <c r="AA70" s="145">
        <v>0.56000000000000005</v>
      </c>
      <c r="AB70" s="145">
        <v>9.1</v>
      </c>
      <c r="AC70" s="145">
        <v>0.91</v>
      </c>
      <c r="AD70" s="145" t="s">
        <v>400</v>
      </c>
      <c r="AE70" s="145">
        <v>22</v>
      </c>
      <c r="AF70" s="145" t="s">
        <v>400</v>
      </c>
      <c r="AG70" s="145">
        <v>0.77</v>
      </c>
      <c r="AH70" s="145" t="s">
        <v>400</v>
      </c>
      <c r="AI70" s="145">
        <v>260</v>
      </c>
      <c r="AJ70" s="145">
        <v>0.6</v>
      </c>
      <c r="AK70" s="145">
        <v>1043.46</v>
      </c>
      <c r="AL70" s="145">
        <v>6.47</v>
      </c>
      <c r="AM70" s="145" t="s">
        <v>400</v>
      </c>
    </row>
    <row r="71" spans="1:39">
      <c r="A71" s="143" t="s">
        <v>1130</v>
      </c>
      <c r="B71" s="144">
        <v>100</v>
      </c>
      <c r="C71" s="145">
        <v>125</v>
      </c>
      <c r="D71" s="145">
        <v>0.6</v>
      </c>
      <c r="E71" s="145">
        <v>0.3</v>
      </c>
      <c r="F71" s="145">
        <v>0.1</v>
      </c>
      <c r="G71" s="145">
        <v>0.1</v>
      </c>
      <c r="H71" s="145">
        <v>0.1</v>
      </c>
      <c r="I71" s="145">
        <v>0.05</v>
      </c>
      <c r="J71" s="145">
        <v>0.01</v>
      </c>
      <c r="K71" s="145" t="s">
        <v>400</v>
      </c>
      <c r="L71" s="145">
        <v>30.1</v>
      </c>
      <c r="M71" s="145">
        <v>1.6</v>
      </c>
      <c r="N71" s="145">
        <v>19</v>
      </c>
      <c r="O71" s="145">
        <v>27</v>
      </c>
      <c r="P71" s="145">
        <v>0.06</v>
      </c>
      <c r="Q71" s="145">
        <v>22</v>
      </c>
      <c r="R71" s="145">
        <v>0.1</v>
      </c>
      <c r="S71" s="145">
        <v>1</v>
      </c>
      <c r="T71" s="145">
        <v>100</v>
      </c>
      <c r="U71" s="145">
        <v>0.01</v>
      </c>
      <c r="V71" s="145">
        <v>0.2</v>
      </c>
      <c r="W71" s="145" t="s">
        <v>400</v>
      </c>
      <c r="X71" s="145">
        <v>0.06</v>
      </c>
      <c r="Y71" s="145" t="s">
        <v>400</v>
      </c>
      <c r="Z71" s="145">
        <v>0.03</v>
      </c>
      <c r="AA71" s="145" t="s">
        <v>400</v>
      </c>
      <c r="AB71" s="145">
        <v>11.1</v>
      </c>
      <c r="AC71" s="145" t="s">
        <v>400</v>
      </c>
      <c r="AD71" s="145" t="s">
        <v>400</v>
      </c>
      <c r="AE71" s="145" t="s">
        <v>400</v>
      </c>
      <c r="AF71" s="145" t="s">
        <v>400</v>
      </c>
      <c r="AG71" s="145" t="s">
        <v>400</v>
      </c>
      <c r="AH71" s="145" t="s">
        <v>400</v>
      </c>
      <c r="AI71" s="145">
        <v>286</v>
      </c>
      <c r="AJ71" s="145" t="s">
        <v>400</v>
      </c>
      <c r="AK71" s="145" t="s">
        <v>400</v>
      </c>
      <c r="AL71" s="145" t="s">
        <v>400</v>
      </c>
      <c r="AM71" s="145" t="s">
        <v>400</v>
      </c>
    </row>
    <row r="72" spans="1:39">
      <c r="A72" s="143" t="s">
        <v>1131</v>
      </c>
      <c r="B72" s="144">
        <v>100</v>
      </c>
      <c r="C72" s="145">
        <v>125</v>
      </c>
      <c r="D72" s="145">
        <v>0.6</v>
      </c>
      <c r="E72" s="145">
        <v>0.3</v>
      </c>
      <c r="F72" s="145">
        <v>0.1</v>
      </c>
      <c r="G72" s="145">
        <v>0.1</v>
      </c>
      <c r="H72" s="145">
        <v>0.1</v>
      </c>
      <c r="I72" s="145">
        <v>0.05</v>
      </c>
      <c r="J72" s="145">
        <v>0.01</v>
      </c>
      <c r="K72" s="145" t="s">
        <v>400</v>
      </c>
      <c r="L72" s="145">
        <v>30.1</v>
      </c>
      <c r="M72" s="145">
        <v>1.6</v>
      </c>
      <c r="N72" s="145">
        <v>19</v>
      </c>
      <c r="O72" s="145">
        <v>27</v>
      </c>
      <c r="P72" s="145">
        <v>0.06</v>
      </c>
      <c r="Q72" s="145">
        <v>22</v>
      </c>
      <c r="R72" s="145">
        <v>0.1</v>
      </c>
      <c r="S72" s="145">
        <v>1</v>
      </c>
      <c r="T72" s="145">
        <v>100</v>
      </c>
      <c r="U72" s="145">
        <v>0.01</v>
      </c>
      <c r="V72" s="145">
        <v>0.2</v>
      </c>
      <c r="W72" s="145" t="s">
        <v>400</v>
      </c>
      <c r="X72" s="145">
        <v>0.06</v>
      </c>
      <c r="Y72" s="145" t="s">
        <v>400</v>
      </c>
      <c r="Z72" s="145">
        <v>0.03</v>
      </c>
      <c r="AA72" s="145" t="s">
        <v>400</v>
      </c>
      <c r="AB72" s="145">
        <v>11.1</v>
      </c>
      <c r="AC72" s="145" t="s">
        <v>400</v>
      </c>
      <c r="AD72" s="145" t="s">
        <v>400</v>
      </c>
      <c r="AE72" s="145" t="s">
        <v>400</v>
      </c>
      <c r="AF72" s="145" t="s">
        <v>400</v>
      </c>
      <c r="AG72" s="145" t="s">
        <v>400</v>
      </c>
      <c r="AH72" s="145" t="s">
        <v>400</v>
      </c>
      <c r="AI72" s="145">
        <v>286</v>
      </c>
      <c r="AJ72" s="145" t="s">
        <v>400</v>
      </c>
      <c r="AK72" s="145" t="s">
        <v>400</v>
      </c>
      <c r="AL72" s="145" t="s">
        <v>400</v>
      </c>
      <c r="AM72" s="145" t="s">
        <v>400</v>
      </c>
    </row>
    <row r="73" spans="1:39">
      <c r="A73" s="143" t="s">
        <v>1132</v>
      </c>
      <c r="B73" s="144">
        <v>100</v>
      </c>
      <c r="C73" s="145">
        <v>125</v>
      </c>
      <c r="D73" s="145">
        <v>0.6</v>
      </c>
      <c r="E73" s="145">
        <v>0.3</v>
      </c>
      <c r="F73" s="145">
        <v>0.1</v>
      </c>
      <c r="G73" s="145">
        <v>0.1</v>
      </c>
      <c r="H73" s="145">
        <v>0.1</v>
      </c>
      <c r="I73" s="145">
        <v>0.05</v>
      </c>
      <c r="J73" s="145">
        <v>0.01</v>
      </c>
      <c r="K73" s="145" t="s">
        <v>400</v>
      </c>
      <c r="L73" s="145">
        <v>30.1</v>
      </c>
      <c r="M73" s="145">
        <v>1.6</v>
      </c>
      <c r="N73" s="145">
        <v>19</v>
      </c>
      <c r="O73" s="145">
        <v>27</v>
      </c>
      <c r="P73" s="145">
        <v>0.06</v>
      </c>
      <c r="Q73" s="145">
        <v>22</v>
      </c>
      <c r="R73" s="145">
        <v>0.1</v>
      </c>
      <c r="S73" s="145">
        <v>1</v>
      </c>
      <c r="T73" s="145">
        <v>100</v>
      </c>
      <c r="U73" s="145">
        <v>0.01</v>
      </c>
      <c r="V73" s="145">
        <v>0.2</v>
      </c>
      <c r="W73" s="145" t="s">
        <v>400</v>
      </c>
      <c r="X73" s="145">
        <v>0.06</v>
      </c>
      <c r="Y73" s="145" t="s">
        <v>400</v>
      </c>
      <c r="Z73" s="145">
        <v>0.03</v>
      </c>
      <c r="AA73" s="145" t="s">
        <v>400</v>
      </c>
      <c r="AB73" s="145">
        <v>11.1</v>
      </c>
      <c r="AC73" s="145" t="s">
        <v>400</v>
      </c>
      <c r="AD73" s="145" t="s">
        <v>400</v>
      </c>
      <c r="AE73" s="145" t="s">
        <v>400</v>
      </c>
      <c r="AF73" s="145" t="s">
        <v>400</v>
      </c>
      <c r="AG73" s="145" t="s">
        <v>400</v>
      </c>
      <c r="AH73" s="145" t="s">
        <v>400</v>
      </c>
      <c r="AI73" s="145">
        <v>286</v>
      </c>
      <c r="AJ73" s="145" t="s">
        <v>400</v>
      </c>
      <c r="AK73" s="145" t="s">
        <v>400</v>
      </c>
      <c r="AL73" s="145" t="s">
        <v>400</v>
      </c>
      <c r="AM73" s="145" t="s">
        <v>400</v>
      </c>
    </row>
    <row r="74" spans="1:39">
      <c r="A74" s="143" t="s">
        <v>1133</v>
      </c>
      <c r="B74" s="144">
        <v>100</v>
      </c>
      <c r="C74" s="145">
        <v>162.73670000000001</v>
      </c>
      <c r="D74" s="145">
        <v>0.56999999999999995</v>
      </c>
      <c r="E74" s="145">
        <v>5.2608500000000005</v>
      </c>
      <c r="F74" s="145">
        <v>0.87370000000000003</v>
      </c>
      <c r="G74" s="145">
        <v>1.22865</v>
      </c>
      <c r="H74" s="145">
        <v>2.9680500000000003</v>
      </c>
      <c r="I74" s="145">
        <v>2.5828000000000002</v>
      </c>
      <c r="J74" s="145">
        <v>0.34730000000000005</v>
      </c>
      <c r="K74" s="145" t="s">
        <v>400</v>
      </c>
      <c r="L74" s="145">
        <v>28.594999999999999</v>
      </c>
      <c r="M74" s="145">
        <v>1.52</v>
      </c>
      <c r="N74" s="145">
        <v>18.05</v>
      </c>
      <c r="O74" s="145">
        <v>25.65</v>
      </c>
      <c r="P74" s="145">
        <v>5.6999999999999995E-2</v>
      </c>
      <c r="Q74" s="145">
        <v>20.9</v>
      </c>
      <c r="R74" s="145">
        <v>9.7500000000000003E-2</v>
      </c>
      <c r="S74" s="145">
        <v>0.95</v>
      </c>
      <c r="T74" s="145">
        <v>95</v>
      </c>
      <c r="U74" s="145">
        <v>9.4999999999999998E-3</v>
      </c>
      <c r="V74" s="145">
        <v>0.1905</v>
      </c>
      <c r="W74" s="145" t="s">
        <v>400</v>
      </c>
      <c r="X74" s="145">
        <v>5.6999999999999995E-2</v>
      </c>
      <c r="Y74" s="145" t="s">
        <v>400</v>
      </c>
      <c r="Z74" s="145">
        <v>2.8499999999999998E-2</v>
      </c>
      <c r="AA74" s="145" t="s">
        <v>400</v>
      </c>
      <c r="AB74" s="145">
        <v>10.545</v>
      </c>
      <c r="AC74" s="145" t="s">
        <v>400</v>
      </c>
      <c r="AD74" s="145" t="s">
        <v>400</v>
      </c>
      <c r="AE74" s="145" t="s">
        <v>400</v>
      </c>
      <c r="AF74" s="145" t="s">
        <v>400</v>
      </c>
      <c r="AG74" s="145">
        <v>0.40705000000000002</v>
      </c>
      <c r="AH74" s="145">
        <v>2.6500000000000003E-2</v>
      </c>
      <c r="AI74" s="145">
        <v>286</v>
      </c>
      <c r="AJ74" s="145">
        <v>2.2804500000000001</v>
      </c>
      <c r="AK74" s="145" t="s">
        <v>400</v>
      </c>
      <c r="AL74" s="145" t="s">
        <v>400</v>
      </c>
      <c r="AM74" s="145" t="s">
        <v>400</v>
      </c>
    </row>
    <row r="75" spans="1:39">
      <c r="A75" s="143" t="s">
        <v>1134</v>
      </c>
      <c r="B75" s="144">
        <v>100</v>
      </c>
      <c r="C75" s="145">
        <v>162.73670000000001</v>
      </c>
      <c r="D75" s="145">
        <v>0.56999999999999995</v>
      </c>
      <c r="E75" s="145">
        <v>5.2608500000000005</v>
      </c>
      <c r="F75" s="145">
        <v>0.87370000000000003</v>
      </c>
      <c r="G75" s="145">
        <v>1.22865</v>
      </c>
      <c r="H75" s="145">
        <v>2.9680500000000003</v>
      </c>
      <c r="I75" s="145">
        <v>2.5828000000000002</v>
      </c>
      <c r="J75" s="145">
        <v>0.34730000000000005</v>
      </c>
      <c r="K75" s="145" t="s">
        <v>400</v>
      </c>
      <c r="L75" s="145">
        <v>28.594999999999999</v>
      </c>
      <c r="M75" s="145">
        <v>1.52</v>
      </c>
      <c r="N75" s="145">
        <v>18.05</v>
      </c>
      <c r="O75" s="145">
        <v>25.65</v>
      </c>
      <c r="P75" s="145">
        <v>5.6999999999999995E-2</v>
      </c>
      <c r="Q75" s="145">
        <v>20.9</v>
      </c>
      <c r="R75" s="145">
        <v>9.7500000000000003E-2</v>
      </c>
      <c r="S75" s="145">
        <v>0.95</v>
      </c>
      <c r="T75" s="145">
        <v>95</v>
      </c>
      <c r="U75" s="145">
        <v>9.4999999999999998E-3</v>
      </c>
      <c r="V75" s="145">
        <v>0.1905</v>
      </c>
      <c r="W75" s="145" t="s">
        <v>400</v>
      </c>
      <c r="X75" s="145">
        <v>5.6999999999999995E-2</v>
      </c>
      <c r="Y75" s="145" t="s">
        <v>400</v>
      </c>
      <c r="Z75" s="145">
        <v>2.8499999999999998E-2</v>
      </c>
      <c r="AA75" s="145" t="s">
        <v>400</v>
      </c>
      <c r="AB75" s="145">
        <v>10.545</v>
      </c>
      <c r="AC75" s="145" t="s">
        <v>400</v>
      </c>
      <c r="AD75" s="145" t="s">
        <v>400</v>
      </c>
      <c r="AE75" s="145" t="s">
        <v>400</v>
      </c>
      <c r="AF75" s="145" t="s">
        <v>400</v>
      </c>
      <c r="AG75" s="145">
        <v>0.40705000000000002</v>
      </c>
      <c r="AH75" s="145">
        <v>2.6500000000000003E-2</v>
      </c>
      <c r="AI75" s="145">
        <v>286</v>
      </c>
      <c r="AJ75" s="145">
        <v>2.2804500000000001</v>
      </c>
      <c r="AK75" s="145" t="s">
        <v>400</v>
      </c>
      <c r="AL75" s="145" t="s">
        <v>400</v>
      </c>
      <c r="AM75" s="145" t="s">
        <v>400</v>
      </c>
    </row>
    <row r="76" spans="1:39">
      <c r="A76" s="143" t="s">
        <v>1135</v>
      </c>
      <c r="B76" s="144">
        <v>100</v>
      </c>
      <c r="C76" s="145">
        <v>104.8</v>
      </c>
      <c r="D76" s="145">
        <v>0.74399999999999999</v>
      </c>
      <c r="E76" s="145">
        <v>0.27599999999999997</v>
      </c>
      <c r="F76" s="145">
        <v>8.6000000000000021E-2</v>
      </c>
      <c r="G76" s="145">
        <v>8.6000000000000021E-2</v>
      </c>
      <c r="H76" s="145">
        <v>9.4000000000000014E-2</v>
      </c>
      <c r="I76" s="145">
        <v>5.4000000000000006E-2</v>
      </c>
      <c r="J76" s="145">
        <v>8.0000000000000002E-3</v>
      </c>
      <c r="K76" s="145" t="s">
        <v>400</v>
      </c>
      <c r="L76" s="145">
        <v>25.156000000000002</v>
      </c>
      <c r="M76" s="145">
        <v>1.58</v>
      </c>
      <c r="N76" s="145">
        <v>17.8</v>
      </c>
      <c r="O76" s="145">
        <v>24.8</v>
      </c>
      <c r="P76" s="145">
        <v>7.0000000000000007E-2</v>
      </c>
      <c r="Q76" s="145">
        <v>22.8</v>
      </c>
      <c r="R76" s="145">
        <v>0.28400000000000003</v>
      </c>
      <c r="S76" s="145">
        <v>105.6</v>
      </c>
      <c r="T76" s="145">
        <v>146.19999999999999</v>
      </c>
      <c r="U76" s="145">
        <v>3.2000000000000001E-2</v>
      </c>
      <c r="V76" s="145">
        <v>0.2</v>
      </c>
      <c r="W76" s="145" t="s">
        <v>400</v>
      </c>
      <c r="X76" s="145">
        <v>5.2000000000000005E-2</v>
      </c>
      <c r="Y76" s="145">
        <v>1.4000000000000002E-2</v>
      </c>
      <c r="Z76" s="145">
        <v>4.4000000000000004E-2</v>
      </c>
      <c r="AA76" s="145">
        <v>0.19600000000000001</v>
      </c>
      <c r="AB76" s="145">
        <v>10.28</v>
      </c>
      <c r="AC76" s="145">
        <v>0.22799999999999998</v>
      </c>
      <c r="AD76" s="145" t="s">
        <v>400</v>
      </c>
      <c r="AE76" s="145">
        <v>2.2000000000000002</v>
      </c>
      <c r="AF76" s="145" t="s">
        <v>400</v>
      </c>
      <c r="AG76" s="145">
        <v>0.28399999999999997</v>
      </c>
      <c r="AH76" s="145" t="s">
        <v>400</v>
      </c>
      <c r="AI76" s="145">
        <v>228.8</v>
      </c>
      <c r="AJ76" s="145">
        <v>0.04</v>
      </c>
      <c r="AK76" s="145">
        <v>3.4840000000000004</v>
      </c>
      <c r="AL76" s="145">
        <v>0.85</v>
      </c>
      <c r="AM76" s="145" t="s">
        <v>400</v>
      </c>
    </row>
    <row r="77" spans="1:39">
      <c r="A77" s="143" t="s">
        <v>1136</v>
      </c>
      <c r="B77" s="144">
        <v>100</v>
      </c>
      <c r="C77" s="145">
        <v>154.6</v>
      </c>
      <c r="D77" s="145">
        <v>0.61250000000000004</v>
      </c>
      <c r="E77" s="145">
        <v>4.3405000000000005</v>
      </c>
      <c r="F77" s="145">
        <v>2.6635000000000004</v>
      </c>
      <c r="G77" s="145">
        <v>1.1459999999999999</v>
      </c>
      <c r="H77" s="145">
        <v>0.24700000000000003</v>
      </c>
      <c r="I77" s="145">
        <v>0.184</v>
      </c>
      <c r="J77" s="145">
        <v>2.5500000000000002E-2</v>
      </c>
      <c r="K77" s="145">
        <v>10.75</v>
      </c>
      <c r="L77" s="145">
        <v>28.597999999999999</v>
      </c>
      <c r="M77" s="145">
        <v>1.52</v>
      </c>
      <c r="N77" s="145">
        <v>19.25</v>
      </c>
      <c r="O77" s="145">
        <v>25.75</v>
      </c>
      <c r="P77" s="145">
        <v>5.6999999999999995E-2</v>
      </c>
      <c r="Q77" s="145">
        <v>22.1</v>
      </c>
      <c r="R77" s="145">
        <v>9.6000000000000002E-2</v>
      </c>
      <c r="S77" s="145">
        <v>29.75</v>
      </c>
      <c r="T77" s="145">
        <v>96.2</v>
      </c>
      <c r="U77" s="145">
        <v>9.4999999999999998E-3</v>
      </c>
      <c r="V77" s="145">
        <v>0.19450000000000001</v>
      </c>
      <c r="W77" s="145">
        <v>33.549999999999997</v>
      </c>
      <c r="X77" s="145">
        <v>5.7500000000000002E-2</v>
      </c>
      <c r="Y77" s="145">
        <v>1.5E-3</v>
      </c>
      <c r="Z77" s="145">
        <v>2.8499999999999998E-2</v>
      </c>
      <c r="AA77" s="145">
        <v>2E-3</v>
      </c>
      <c r="AB77" s="145">
        <v>10.545</v>
      </c>
      <c r="AC77" s="145">
        <v>1.2E-2</v>
      </c>
      <c r="AD77" s="145">
        <v>8.5000000000000006E-3</v>
      </c>
      <c r="AE77" s="145">
        <v>0.15</v>
      </c>
      <c r="AF77" s="145">
        <v>7.0000000000000007E-2</v>
      </c>
      <c r="AG77" s="145">
        <v>0.11599999999999999</v>
      </c>
      <c r="AH77" s="145">
        <v>0.16400000000000001</v>
      </c>
      <c r="AI77" s="145">
        <v>286</v>
      </c>
      <c r="AJ77" s="145">
        <v>0.05</v>
      </c>
      <c r="AK77" s="145">
        <v>34.208500000000001</v>
      </c>
      <c r="AL77" s="145">
        <v>5.0000000000000001E-3</v>
      </c>
      <c r="AM77" s="145" t="s">
        <v>400</v>
      </c>
    </row>
    <row r="78" spans="1:39">
      <c r="A78" s="143" t="s">
        <v>1137</v>
      </c>
      <c r="B78" s="144">
        <v>100</v>
      </c>
      <c r="C78" s="145">
        <v>162.73670000000001</v>
      </c>
      <c r="D78" s="145">
        <v>0.56999999999999995</v>
      </c>
      <c r="E78" s="145">
        <v>5.2608500000000005</v>
      </c>
      <c r="F78" s="145">
        <v>0.87370000000000003</v>
      </c>
      <c r="G78" s="145">
        <v>1.22865</v>
      </c>
      <c r="H78" s="145">
        <v>2.9680500000000003</v>
      </c>
      <c r="I78" s="145">
        <v>2.5828000000000002</v>
      </c>
      <c r="J78" s="145">
        <v>0.34730000000000005</v>
      </c>
      <c r="K78" s="145" t="s">
        <v>400</v>
      </c>
      <c r="L78" s="145">
        <v>28.594999999999999</v>
      </c>
      <c r="M78" s="145">
        <v>1.52</v>
      </c>
      <c r="N78" s="145">
        <v>18.05</v>
      </c>
      <c r="O78" s="145">
        <v>25.65</v>
      </c>
      <c r="P78" s="145">
        <v>5.6999999999999995E-2</v>
      </c>
      <c r="Q78" s="145">
        <v>20.9</v>
      </c>
      <c r="R78" s="145">
        <v>9.7500000000000003E-2</v>
      </c>
      <c r="S78" s="145">
        <v>0.95</v>
      </c>
      <c r="T78" s="145">
        <v>95</v>
      </c>
      <c r="U78" s="145">
        <v>9.4999999999999998E-3</v>
      </c>
      <c r="V78" s="145">
        <v>0.1905</v>
      </c>
      <c r="W78" s="145" t="s">
        <v>400</v>
      </c>
      <c r="X78" s="145">
        <v>5.6999999999999995E-2</v>
      </c>
      <c r="Y78" s="145" t="s">
        <v>400</v>
      </c>
      <c r="Z78" s="145">
        <v>2.8499999999999998E-2</v>
      </c>
      <c r="AA78" s="145" t="s">
        <v>400</v>
      </c>
      <c r="AB78" s="145">
        <v>10.545</v>
      </c>
      <c r="AC78" s="145" t="s">
        <v>400</v>
      </c>
      <c r="AD78" s="145" t="s">
        <v>400</v>
      </c>
      <c r="AE78" s="145" t="s">
        <v>400</v>
      </c>
      <c r="AF78" s="145" t="s">
        <v>400</v>
      </c>
      <c r="AG78" s="145">
        <v>0.40705000000000002</v>
      </c>
      <c r="AH78" s="145">
        <v>2.6500000000000003E-2</v>
      </c>
      <c r="AI78" s="145">
        <v>286</v>
      </c>
      <c r="AJ78" s="145">
        <v>2.2804500000000001</v>
      </c>
      <c r="AK78" s="145" t="s">
        <v>400</v>
      </c>
      <c r="AL78" s="145" t="s">
        <v>400</v>
      </c>
      <c r="AM78" s="145" t="s">
        <v>400</v>
      </c>
    </row>
    <row r="79" spans="1:39">
      <c r="A79" s="143" t="s">
        <v>1138</v>
      </c>
      <c r="B79" s="144">
        <v>100</v>
      </c>
      <c r="C79" s="145">
        <v>31.443000000000001</v>
      </c>
      <c r="D79" s="145">
        <v>0.94799999999999995</v>
      </c>
      <c r="E79" s="145">
        <v>0.123</v>
      </c>
      <c r="F79" s="145">
        <v>3.9E-2</v>
      </c>
      <c r="G79" s="145">
        <v>2.7E-2</v>
      </c>
      <c r="H79" s="145">
        <v>3.2000000000000001E-2</v>
      </c>
      <c r="I79" s="145">
        <v>2.7E-2</v>
      </c>
      <c r="J79" s="145">
        <v>5.0000000000000001E-3</v>
      </c>
      <c r="K79" s="145" t="s">
        <v>400</v>
      </c>
      <c r="L79" s="145">
        <v>7.0119999999999996</v>
      </c>
      <c r="M79" s="145">
        <v>0.71099999999999997</v>
      </c>
      <c r="N79" s="145">
        <v>8.5549999999999997</v>
      </c>
      <c r="O79" s="145">
        <v>6.3470000000000004</v>
      </c>
      <c r="P79" s="145">
        <v>6.8000000000000005E-2</v>
      </c>
      <c r="Q79" s="145">
        <v>15.762</v>
      </c>
      <c r="R79" s="145">
        <v>0.28499999999999998</v>
      </c>
      <c r="S79" s="145">
        <v>310.43200000000002</v>
      </c>
      <c r="T79" s="145">
        <v>88.314999999999998</v>
      </c>
      <c r="U79" s="145">
        <v>3.9E-2</v>
      </c>
      <c r="V79" s="145">
        <v>0.115</v>
      </c>
      <c r="W79" s="145" t="s">
        <v>400</v>
      </c>
      <c r="X79" s="145">
        <v>0.03</v>
      </c>
      <c r="Y79" s="145">
        <v>2.5999999999999999E-2</v>
      </c>
      <c r="Z79" s="146">
        <v>0.04</v>
      </c>
      <c r="AA79" s="145">
        <v>0.505</v>
      </c>
      <c r="AB79" s="145">
        <v>2.0990000000000002</v>
      </c>
      <c r="AC79" s="145">
        <v>0.66700000000000004</v>
      </c>
      <c r="AD79" s="145">
        <v>1.4999999999999999E-2</v>
      </c>
      <c r="AE79" s="145">
        <v>9.2759999999999998</v>
      </c>
      <c r="AF79" s="145" t="s">
        <v>400</v>
      </c>
      <c r="AG79" s="145">
        <v>0.20399999999999999</v>
      </c>
      <c r="AH79" s="145">
        <v>2E-3</v>
      </c>
      <c r="AI79" s="145" t="s">
        <v>400</v>
      </c>
      <c r="AJ79" s="145">
        <v>1.3440000000000001</v>
      </c>
      <c r="AK79" s="145">
        <v>33.475999999999999</v>
      </c>
      <c r="AL79" s="145">
        <v>3.2749999999999999</v>
      </c>
      <c r="AM79" s="145">
        <v>2.5230000000000001</v>
      </c>
    </row>
    <row r="80" spans="1:39">
      <c r="A80" s="143" t="s">
        <v>1139</v>
      </c>
      <c r="B80" s="144">
        <v>100</v>
      </c>
      <c r="C80" s="145">
        <v>125</v>
      </c>
      <c r="D80" s="145">
        <v>0.6</v>
      </c>
      <c r="E80" s="145">
        <v>0.3</v>
      </c>
      <c r="F80" s="145">
        <v>0.1</v>
      </c>
      <c r="G80" s="145">
        <v>0.1</v>
      </c>
      <c r="H80" s="145">
        <v>0.1</v>
      </c>
      <c r="I80" s="145">
        <v>0.05</v>
      </c>
      <c r="J80" s="145">
        <v>0.01</v>
      </c>
      <c r="K80" s="145" t="s">
        <v>400</v>
      </c>
      <c r="L80" s="145">
        <v>30.1</v>
      </c>
      <c r="M80" s="145">
        <v>1.6</v>
      </c>
      <c r="N80" s="145">
        <v>19</v>
      </c>
      <c r="O80" s="145">
        <v>27</v>
      </c>
      <c r="P80" s="145">
        <v>0.06</v>
      </c>
      <c r="Q80" s="145">
        <v>22</v>
      </c>
      <c r="R80" s="145">
        <v>0.1</v>
      </c>
      <c r="S80" s="145">
        <v>1</v>
      </c>
      <c r="T80" s="145">
        <v>100</v>
      </c>
      <c r="U80" s="145">
        <v>0.01</v>
      </c>
      <c r="V80" s="145">
        <v>0.2</v>
      </c>
      <c r="W80" s="145" t="s">
        <v>400</v>
      </c>
      <c r="X80" s="145">
        <v>0.06</v>
      </c>
      <c r="Y80" s="145" t="s">
        <v>400</v>
      </c>
      <c r="Z80" s="145">
        <v>0.03</v>
      </c>
      <c r="AA80" s="145" t="s">
        <v>400</v>
      </c>
      <c r="AB80" s="145">
        <v>11.1</v>
      </c>
      <c r="AC80" s="145" t="s">
        <v>400</v>
      </c>
      <c r="AD80" s="145" t="s">
        <v>400</v>
      </c>
      <c r="AE80" s="145" t="s">
        <v>400</v>
      </c>
      <c r="AF80" s="145" t="s">
        <v>400</v>
      </c>
      <c r="AG80" s="145" t="s">
        <v>400</v>
      </c>
      <c r="AH80" s="145" t="s">
        <v>400</v>
      </c>
      <c r="AI80" s="145">
        <v>286</v>
      </c>
      <c r="AJ80" s="145" t="s">
        <v>400</v>
      </c>
      <c r="AK80" s="145" t="s">
        <v>400</v>
      </c>
      <c r="AL80" s="145" t="s">
        <v>400</v>
      </c>
      <c r="AM80" s="145" t="s">
        <v>400</v>
      </c>
    </row>
    <row r="81" spans="1:39">
      <c r="A81" s="143" t="s">
        <v>1140</v>
      </c>
      <c r="B81" s="144">
        <v>100</v>
      </c>
      <c r="C81" s="145">
        <v>125</v>
      </c>
      <c r="D81" s="145">
        <v>0.6</v>
      </c>
      <c r="E81" s="145">
        <v>0.3</v>
      </c>
      <c r="F81" s="145">
        <v>0.1</v>
      </c>
      <c r="G81" s="145">
        <v>0.1</v>
      </c>
      <c r="H81" s="145">
        <v>0.1</v>
      </c>
      <c r="I81" s="145">
        <v>0.05</v>
      </c>
      <c r="J81" s="145">
        <v>0.01</v>
      </c>
      <c r="K81" s="145" t="s">
        <v>400</v>
      </c>
      <c r="L81" s="145">
        <v>30.1</v>
      </c>
      <c r="M81" s="145">
        <v>1.6</v>
      </c>
      <c r="N81" s="145">
        <v>19</v>
      </c>
      <c r="O81" s="145">
        <v>27</v>
      </c>
      <c r="P81" s="145">
        <v>0.06</v>
      </c>
      <c r="Q81" s="145">
        <v>22</v>
      </c>
      <c r="R81" s="145">
        <v>0.1</v>
      </c>
      <c r="S81" s="145">
        <v>1</v>
      </c>
      <c r="T81" s="145">
        <v>100</v>
      </c>
      <c r="U81" s="145">
        <v>0.01</v>
      </c>
      <c r="V81" s="145">
        <v>0.2</v>
      </c>
      <c r="W81" s="145" t="s">
        <v>400</v>
      </c>
      <c r="X81" s="145">
        <v>0.06</v>
      </c>
      <c r="Y81" s="145" t="s">
        <v>400</v>
      </c>
      <c r="Z81" s="145">
        <v>0.03</v>
      </c>
      <c r="AA81" s="145" t="s">
        <v>400</v>
      </c>
      <c r="AB81" s="145">
        <v>11.1</v>
      </c>
      <c r="AC81" s="145" t="s">
        <v>400</v>
      </c>
      <c r="AD81" s="145" t="s">
        <v>400</v>
      </c>
      <c r="AE81" s="145" t="s">
        <v>400</v>
      </c>
      <c r="AF81" s="145" t="s">
        <v>400</v>
      </c>
      <c r="AG81" s="145" t="s">
        <v>400</v>
      </c>
      <c r="AH81" s="145" t="s">
        <v>400</v>
      </c>
      <c r="AI81" s="145">
        <v>286</v>
      </c>
      <c r="AJ81" s="145" t="s">
        <v>400</v>
      </c>
      <c r="AK81" s="145" t="s">
        <v>400</v>
      </c>
      <c r="AL81" s="145" t="s">
        <v>400</v>
      </c>
      <c r="AM81" s="145" t="s">
        <v>400</v>
      </c>
    </row>
    <row r="82" spans="1:39">
      <c r="A82" s="143" t="s">
        <v>1141</v>
      </c>
      <c r="B82" s="144">
        <v>100</v>
      </c>
      <c r="C82" s="145">
        <v>125</v>
      </c>
      <c r="D82" s="145">
        <v>0.6</v>
      </c>
      <c r="E82" s="145">
        <v>0.3</v>
      </c>
      <c r="F82" s="145">
        <v>0.1</v>
      </c>
      <c r="G82" s="145">
        <v>0.1</v>
      </c>
      <c r="H82" s="145">
        <v>0.1</v>
      </c>
      <c r="I82" s="145">
        <v>0.05</v>
      </c>
      <c r="J82" s="145">
        <v>0.01</v>
      </c>
      <c r="K82" s="145" t="s">
        <v>400</v>
      </c>
      <c r="L82" s="145">
        <v>30.1</v>
      </c>
      <c r="M82" s="145">
        <v>1.6</v>
      </c>
      <c r="N82" s="145">
        <v>19</v>
      </c>
      <c r="O82" s="145">
        <v>27</v>
      </c>
      <c r="P82" s="145">
        <v>0.06</v>
      </c>
      <c r="Q82" s="145">
        <v>22</v>
      </c>
      <c r="R82" s="145">
        <v>0.1</v>
      </c>
      <c r="S82" s="145">
        <v>1</v>
      </c>
      <c r="T82" s="145">
        <v>100</v>
      </c>
      <c r="U82" s="145">
        <v>0.01</v>
      </c>
      <c r="V82" s="145">
        <v>0.2</v>
      </c>
      <c r="W82" s="145" t="s">
        <v>400</v>
      </c>
      <c r="X82" s="145">
        <v>0.06</v>
      </c>
      <c r="Y82" s="145" t="s">
        <v>400</v>
      </c>
      <c r="Z82" s="145">
        <v>0.03</v>
      </c>
      <c r="AA82" s="145" t="s">
        <v>400</v>
      </c>
      <c r="AB82" s="145">
        <v>11.1</v>
      </c>
      <c r="AC82" s="145" t="s">
        <v>400</v>
      </c>
      <c r="AD82" s="145" t="s">
        <v>400</v>
      </c>
      <c r="AE82" s="145" t="s">
        <v>400</v>
      </c>
      <c r="AF82" s="145" t="s">
        <v>400</v>
      </c>
      <c r="AG82" s="145" t="s">
        <v>400</v>
      </c>
      <c r="AH82" s="145" t="s">
        <v>400</v>
      </c>
      <c r="AI82" s="145">
        <v>286</v>
      </c>
      <c r="AJ82" s="145" t="s">
        <v>400</v>
      </c>
      <c r="AK82" s="145" t="s">
        <v>400</v>
      </c>
      <c r="AL82" s="145" t="s">
        <v>400</v>
      </c>
      <c r="AM82" s="145" t="s">
        <v>400</v>
      </c>
    </row>
    <row r="83" spans="1:39">
      <c r="A83" s="143" t="s">
        <v>1142</v>
      </c>
      <c r="B83" s="144">
        <v>100</v>
      </c>
      <c r="C83" s="145">
        <v>162.73670000000001</v>
      </c>
      <c r="D83" s="145">
        <v>0.56999999999999995</v>
      </c>
      <c r="E83" s="145">
        <v>5.2608500000000005</v>
      </c>
      <c r="F83" s="145">
        <v>0.87370000000000003</v>
      </c>
      <c r="G83" s="145">
        <v>1.22865</v>
      </c>
      <c r="H83" s="145">
        <v>2.9680500000000003</v>
      </c>
      <c r="I83" s="145">
        <v>2.5828000000000002</v>
      </c>
      <c r="J83" s="145">
        <v>0.34730000000000005</v>
      </c>
      <c r="K83" s="145" t="s">
        <v>400</v>
      </c>
      <c r="L83" s="145">
        <v>28.594999999999999</v>
      </c>
      <c r="M83" s="145">
        <v>1.52</v>
      </c>
      <c r="N83" s="145">
        <v>18.05</v>
      </c>
      <c r="O83" s="145">
        <v>25.65</v>
      </c>
      <c r="P83" s="145">
        <v>5.6999999999999995E-2</v>
      </c>
      <c r="Q83" s="145">
        <v>20.9</v>
      </c>
      <c r="R83" s="145">
        <v>9.7500000000000003E-2</v>
      </c>
      <c r="S83" s="145">
        <v>0.95</v>
      </c>
      <c r="T83" s="145">
        <v>95</v>
      </c>
      <c r="U83" s="145">
        <v>9.4999999999999998E-3</v>
      </c>
      <c r="V83" s="145">
        <v>0.1905</v>
      </c>
      <c r="W83" s="145" t="s">
        <v>400</v>
      </c>
      <c r="X83" s="145">
        <v>5.6999999999999995E-2</v>
      </c>
      <c r="Y83" s="145" t="s">
        <v>400</v>
      </c>
      <c r="Z83" s="145">
        <v>2.8499999999999998E-2</v>
      </c>
      <c r="AA83" s="145" t="s">
        <v>400</v>
      </c>
      <c r="AB83" s="145">
        <v>10.545</v>
      </c>
      <c r="AC83" s="145" t="s">
        <v>400</v>
      </c>
      <c r="AD83" s="145" t="s">
        <v>400</v>
      </c>
      <c r="AE83" s="145" t="s">
        <v>400</v>
      </c>
      <c r="AF83" s="145" t="s">
        <v>400</v>
      </c>
      <c r="AG83" s="145">
        <v>0.40705000000000002</v>
      </c>
      <c r="AH83" s="145">
        <v>2.6500000000000003E-2</v>
      </c>
      <c r="AI83" s="145">
        <v>286</v>
      </c>
      <c r="AJ83" s="145">
        <v>2.2804500000000001</v>
      </c>
      <c r="AK83" s="145" t="s">
        <v>400</v>
      </c>
      <c r="AL83" s="145" t="s">
        <v>400</v>
      </c>
      <c r="AM83" s="145" t="s">
        <v>400</v>
      </c>
    </row>
    <row r="84" spans="1:39">
      <c r="A84" s="143" t="s">
        <v>1143</v>
      </c>
      <c r="B84" s="144">
        <v>100</v>
      </c>
      <c r="C84" s="145">
        <v>162.73670000000001</v>
      </c>
      <c r="D84" s="145">
        <v>0.56999999999999995</v>
      </c>
      <c r="E84" s="145">
        <v>5.2608500000000005</v>
      </c>
      <c r="F84" s="145">
        <v>0.87370000000000003</v>
      </c>
      <c r="G84" s="145">
        <v>1.22865</v>
      </c>
      <c r="H84" s="145">
        <v>2.9680500000000003</v>
      </c>
      <c r="I84" s="145">
        <v>2.5828000000000002</v>
      </c>
      <c r="J84" s="145">
        <v>0.34730000000000005</v>
      </c>
      <c r="K84" s="145" t="s">
        <v>400</v>
      </c>
      <c r="L84" s="145">
        <v>28.594999999999999</v>
      </c>
      <c r="M84" s="145">
        <v>1.52</v>
      </c>
      <c r="N84" s="145">
        <v>18.05</v>
      </c>
      <c r="O84" s="145">
        <v>25.65</v>
      </c>
      <c r="P84" s="145">
        <v>5.6999999999999995E-2</v>
      </c>
      <c r="Q84" s="145">
        <v>20.9</v>
      </c>
      <c r="R84" s="145">
        <v>9.7500000000000003E-2</v>
      </c>
      <c r="S84" s="145">
        <v>0.95</v>
      </c>
      <c r="T84" s="145">
        <v>95</v>
      </c>
      <c r="U84" s="145">
        <v>9.4999999999999998E-3</v>
      </c>
      <c r="V84" s="145">
        <v>0.1905</v>
      </c>
      <c r="W84" s="145" t="s">
        <v>400</v>
      </c>
      <c r="X84" s="145">
        <v>5.6999999999999995E-2</v>
      </c>
      <c r="Y84" s="145" t="s">
        <v>400</v>
      </c>
      <c r="Z84" s="145">
        <v>2.8499999999999998E-2</v>
      </c>
      <c r="AA84" s="145" t="s">
        <v>400</v>
      </c>
      <c r="AB84" s="145">
        <v>10.545</v>
      </c>
      <c r="AC84" s="145" t="s">
        <v>400</v>
      </c>
      <c r="AD84" s="145" t="s">
        <v>400</v>
      </c>
      <c r="AE84" s="145" t="s">
        <v>400</v>
      </c>
      <c r="AF84" s="145" t="s">
        <v>400</v>
      </c>
      <c r="AG84" s="145">
        <v>0.40705000000000002</v>
      </c>
      <c r="AH84" s="145">
        <v>2.6500000000000003E-2</v>
      </c>
      <c r="AI84" s="145">
        <v>286</v>
      </c>
      <c r="AJ84" s="145">
        <v>2.2804500000000001</v>
      </c>
      <c r="AK84" s="145" t="s">
        <v>400</v>
      </c>
      <c r="AL84" s="145" t="s">
        <v>400</v>
      </c>
      <c r="AM84" s="145" t="s">
        <v>400</v>
      </c>
    </row>
    <row r="85" spans="1:39">
      <c r="A85" s="143" t="s">
        <v>1144</v>
      </c>
      <c r="B85" s="144">
        <v>100</v>
      </c>
      <c r="C85" s="145">
        <v>162.73670000000001</v>
      </c>
      <c r="D85" s="145">
        <v>0.56999999999999995</v>
      </c>
      <c r="E85" s="145">
        <v>5.2608500000000005</v>
      </c>
      <c r="F85" s="145">
        <v>0.87370000000000003</v>
      </c>
      <c r="G85" s="145">
        <v>1.22865</v>
      </c>
      <c r="H85" s="145">
        <v>2.9680500000000003</v>
      </c>
      <c r="I85" s="145">
        <v>2.5828000000000002</v>
      </c>
      <c r="J85" s="145">
        <v>0.34730000000000005</v>
      </c>
      <c r="K85" s="145" t="s">
        <v>400</v>
      </c>
      <c r="L85" s="145">
        <v>28.594999999999999</v>
      </c>
      <c r="M85" s="145">
        <v>1.52</v>
      </c>
      <c r="N85" s="145">
        <v>18.05</v>
      </c>
      <c r="O85" s="145">
        <v>25.65</v>
      </c>
      <c r="P85" s="145">
        <v>5.6999999999999995E-2</v>
      </c>
      <c r="Q85" s="145">
        <v>20.9</v>
      </c>
      <c r="R85" s="145">
        <v>9.7500000000000003E-2</v>
      </c>
      <c r="S85" s="145">
        <v>0.95</v>
      </c>
      <c r="T85" s="145">
        <v>95</v>
      </c>
      <c r="U85" s="145">
        <v>9.4999999999999998E-3</v>
      </c>
      <c r="V85" s="145">
        <v>0.1905</v>
      </c>
      <c r="W85" s="145" t="s">
        <v>400</v>
      </c>
      <c r="X85" s="145">
        <v>5.6999999999999995E-2</v>
      </c>
      <c r="Y85" s="145" t="s">
        <v>400</v>
      </c>
      <c r="Z85" s="145">
        <v>2.8499999999999998E-2</v>
      </c>
      <c r="AA85" s="145" t="s">
        <v>400</v>
      </c>
      <c r="AB85" s="145">
        <v>10.545</v>
      </c>
      <c r="AC85" s="145" t="s">
        <v>400</v>
      </c>
      <c r="AD85" s="145" t="s">
        <v>400</v>
      </c>
      <c r="AE85" s="145" t="s">
        <v>400</v>
      </c>
      <c r="AF85" s="145" t="s">
        <v>400</v>
      </c>
      <c r="AG85" s="145">
        <v>0.40705000000000002</v>
      </c>
      <c r="AH85" s="145">
        <v>2.6500000000000003E-2</v>
      </c>
      <c r="AI85" s="145">
        <v>286</v>
      </c>
      <c r="AJ85" s="145">
        <v>2.2804500000000001</v>
      </c>
      <c r="AK85" s="145" t="s">
        <v>400</v>
      </c>
      <c r="AL85" s="145" t="s">
        <v>400</v>
      </c>
      <c r="AM85" s="145" t="s">
        <v>400</v>
      </c>
    </row>
    <row r="86" spans="1:39">
      <c r="A86" s="143" t="s">
        <v>1145</v>
      </c>
      <c r="B86" s="144">
        <v>100</v>
      </c>
      <c r="C86" s="145">
        <v>104.8</v>
      </c>
      <c r="D86" s="145">
        <v>0.74399999999999999</v>
      </c>
      <c r="E86" s="145">
        <v>0.27599999999999997</v>
      </c>
      <c r="F86" s="145">
        <v>8.6000000000000021E-2</v>
      </c>
      <c r="G86" s="145">
        <v>8.6000000000000021E-2</v>
      </c>
      <c r="H86" s="145">
        <v>9.4000000000000014E-2</v>
      </c>
      <c r="I86" s="145">
        <v>5.4000000000000006E-2</v>
      </c>
      <c r="J86" s="145">
        <v>8.0000000000000002E-3</v>
      </c>
      <c r="K86" s="145" t="s">
        <v>400</v>
      </c>
      <c r="L86" s="145">
        <v>25.156000000000002</v>
      </c>
      <c r="M86" s="145">
        <v>1.58</v>
      </c>
      <c r="N86" s="145">
        <v>17.8</v>
      </c>
      <c r="O86" s="145">
        <v>24.8</v>
      </c>
      <c r="P86" s="145">
        <v>7.0000000000000007E-2</v>
      </c>
      <c r="Q86" s="145">
        <v>22.8</v>
      </c>
      <c r="R86" s="145">
        <v>0.28400000000000003</v>
      </c>
      <c r="S86" s="145">
        <v>105.6</v>
      </c>
      <c r="T86" s="145">
        <v>146.19999999999999</v>
      </c>
      <c r="U86" s="145">
        <v>3.2000000000000001E-2</v>
      </c>
      <c r="V86" s="145">
        <v>0.2</v>
      </c>
      <c r="W86" s="145" t="s">
        <v>400</v>
      </c>
      <c r="X86" s="145">
        <v>5.2000000000000005E-2</v>
      </c>
      <c r="Y86" s="145">
        <v>1.4000000000000002E-2</v>
      </c>
      <c r="Z86" s="145">
        <v>4.4000000000000004E-2</v>
      </c>
      <c r="AA86" s="145">
        <v>0.19600000000000001</v>
      </c>
      <c r="AB86" s="145">
        <v>10.28</v>
      </c>
      <c r="AC86" s="145">
        <v>0.22799999999999998</v>
      </c>
      <c r="AD86" s="145" t="s">
        <v>400</v>
      </c>
      <c r="AE86" s="145">
        <v>2.2000000000000002</v>
      </c>
      <c r="AF86" s="145" t="s">
        <v>400</v>
      </c>
      <c r="AG86" s="145">
        <v>0.28399999999999997</v>
      </c>
      <c r="AH86" s="145" t="s">
        <v>400</v>
      </c>
      <c r="AI86" s="145">
        <v>228.8</v>
      </c>
      <c r="AJ86" s="145">
        <v>0.04</v>
      </c>
      <c r="AK86" s="145">
        <v>3.4840000000000004</v>
      </c>
      <c r="AL86" s="145">
        <v>0.85</v>
      </c>
      <c r="AM86" s="145" t="s">
        <v>400</v>
      </c>
    </row>
    <row r="87" spans="1:39">
      <c r="A87" s="143" t="s">
        <v>1146</v>
      </c>
      <c r="B87" s="144">
        <v>100</v>
      </c>
      <c r="C87" s="145">
        <v>154.6</v>
      </c>
      <c r="D87" s="145">
        <v>0.61250000000000004</v>
      </c>
      <c r="E87" s="145">
        <v>4.3405000000000005</v>
      </c>
      <c r="F87" s="145">
        <v>2.6635000000000004</v>
      </c>
      <c r="G87" s="145">
        <v>1.1459999999999999</v>
      </c>
      <c r="H87" s="145">
        <v>0.24700000000000003</v>
      </c>
      <c r="I87" s="145">
        <v>0.184</v>
      </c>
      <c r="J87" s="145">
        <v>2.5500000000000002E-2</v>
      </c>
      <c r="K87" s="145">
        <v>10.75</v>
      </c>
      <c r="L87" s="145">
        <v>28.597999999999999</v>
      </c>
      <c r="M87" s="145">
        <v>1.52</v>
      </c>
      <c r="N87" s="145">
        <v>19.25</v>
      </c>
      <c r="O87" s="145">
        <v>25.75</v>
      </c>
      <c r="P87" s="145">
        <v>5.6999999999999995E-2</v>
      </c>
      <c r="Q87" s="145">
        <v>22.1</v>
      </c>
      <c r="R87" s="145">
        <v>9.6000000000000002E-2</v>
      </c>
      <c r="S87" s="145">
        <v>29.75</v>
      </c>
      <c r="T87" s="145">
        <v>96.2</v>
      </c>
      <c r="U87" s="145">
        <v>9.4999999999999998E-3</v>
      </c>
      <c r="V87" s="145">
        <v>0.19450000000000001</v>
      </c>
      <c r="W87" s="145">
        <v>33.549999999999997</v>
      </c>
      <c r="X87" s="145">
        <v>5.7500000000000002E-2</v>
      </c>
      <c r="Y87" s="145">
        <v>1.5E-3</v>
      </c>
      <c r="Z87" s="145">
        <v>2.8499999999999998E-2</v>
      </c>
      <c r="AA87" s="145">
        <v>2E-3</v>
      </c>
      <c r="AB87" s="145">
        <v>10.545</v>
      </c>
      <c r="AC87" s="145">
        <v>1.2E-2</v>
      </c>
      <c r="AD87" s="145">
        <v>8.5000000000000006E-3</v>
      </c>
      <c r="AE87" s="145">
        <v>0.15</v>
      </c>
      <c r="AF87" s="145">
        <v>7.0000000000000007E-2</v>
      </c>
      <c r="AG87" s="145">
        <v>0.11599999999999999</v>
      </c>
      <c r="AH87" s="145">
        <v>0.16400000000000001</v>
      </c>
      <c r="AI87" s="145">
        <v>286</v>
      </c>
      <c r="AJ87" s="145">
        <v>0.05</v>
      </c>
      <c r="AK87" s="145">
        <v>34.208500000000001</v>
      </c>
      <c r="AL87" s="145">
        <v>5.0000000000000001E-3</v>
      </c>
      <c r="AM87" s="145" t="s">
        <v>400</v>
      </c>
    </row>
    <row r="88" spans="1:39">
      <c r="A88" s="143" t="s">
        <v>1147</v>
      </c>
      <c r="B88" s="144">
        <v>100</v>
      </c>
      <c r="C88" s="145">
        <v>162.73670000000001</v>
      </c>
      <c r="D88" s="145">
        <v>0.56999999999999995</v>
      </c>
      <c r="E88" s="145">
        <v>5.2608500000000005</v>
      </c>
      <c r="F88" s="145">
        <v>0.87370000000000003</v>
      </c>
      <c r="G88" s="145">
        <v>1.22865</v>
      </c>
      <c r="H88" s="145">
        <v>2.9680500000000003</v>
      </c>
      <c r="I88" s="145">
        <v>2.5828000000000002</v>
      </c>
      <c r="J88" s="145">
        <v>0.34730000000000005</v>
      </c>
      <c r="K88" s="145" t="s">
        <v>400</v>
      </c>
      <c r="L88" s="145">
        <v>28.594999999999999</v>
      </c>
      <c r="M88" s="145">
        <v>1.52</v>
      </c>
      <c r="N88" s="145">
        <v>18.05</v>
      </c>
      <c r="O88" s="145">
        <v>25.65</v>
      </c>
      <c r="P88" s="145">
        <v>5.6999999999999995E-2</v>
      </c>
      <c r="Q88" s="145">
        <v>20.9</v>
      </c>
      <c r="R88" s="145">
        <v>9.7500000000000003E-2</v>
      </c>
      <c r="S88" s="145">
        <v>0.95</v>
      </c>
      <c r="T88" s="145">
        <v>95</v>
      </c>
      <c r="U88" s="145">
        <v>9.4999999999999998E-3</v>
      </c>
      <c r="V88" s="145">
        <v>0.1905</v>
      </c>
      <c r="W88" s="145" t="s">
        <v>400</v>
      </c>
      <c r="X88" s="145">
        <v>5.6999999999999995E-2</v>
      </c>
      <c r="Y88" s="145" t="s">
        <v>400</v>
      </c>
      <c r="Z88" s="145">
        <v>2.8499999999999998E-2</v>
      </c>
      <c r="AA88" s="145" t="s">
        <v>400</v>
      </c>
      <c r="AB88" s="145">
        <v>10.545</v>
      </c>
      <c r="AC88" s="145" t="s">
        <v>400</v>
      </c>
      <c r="AD88" s="145" t="s">
        <v>400</v>
      </c>
      <c r="AE88" s="145" t="s">
        <v>400</v>
      </c>
      <c r="AF88" s="145" t="s">
        <v>400</v>
      </c>
      <c r="AG88" s="145">
        <v>0.40705000000000002</v>
      </c>
      <c r="AH88" s="145">
        <v>2.6500000000000003E-2</v>
      </c>
      <c r="AI88" s="145">
        <v>286</v>
      </c>
      <c r="AJ88" s="145">
        <v>2.2804500000000001</v>
      </c>
      <c r="AK88" s="145" t="s">
        <v>400</v>
      </c>
      <c r="AL88" s="145" t="s">
        <v>400</v>
      </c>
      <c r="AM88" s="145" t="s">
        <v>400</v>
      </c>
    </row>
    <row r="89" spans="1:39">
      <c r="A89" s="143" t="s">
        <v>1148</v>
      </c>
      <c r="B89" s="144">
        <v>100</v>
      </c>
      <c r="C89" s="145">
        <v>31.443000000000001</v>
      </c>
      <c r="D89" s="145">
        <v>0.94799999999999995</v>
      </c>
      <c r="E89" s="145">
        <v>0.123</v>
      </c>
      <c r="F89" s="145">
        <v>3.9E-2</v>
      </c>
      <c r="G89" s="145">
        <v>2.7E-2</v>
      </c>
      <c r="H89" s="145">
        <v>3.2000000000000001E-2</v>
      </c>
      <c r="I89" s="145">
        <v>2.7E-2</v>
      </c>
      <c r="J89" s="145">
        <v>5.0000000000000001E-3</v>
      </c>
      <c r="K89" s="145" t="s">
        <v>400</v>
      </c>
      <c r="L89" s="145">
        <v>7.0119999999999996</v>
      </c>
      <c r="M89" s="145">
        <v>0.71099999999999997</v>
      </c>
      <c r="N89" s="145">
        <v>8.5549999999999997</v>
      </c>
      <c r="O89" s="145">
        <v>6.3470000000000004</v>
      </c>
      <c r="P89" s="145">
        <v>6.8000000000000005E-2</v>
      </c>
      <c r="Q89" s="145">
        <v>15.762</v>
      </c>
      <c r="R89" s="145">
        <v>0.28499999999999998</v>
      </c>
      <c r="S89" s="145">
        <v>310.43200000000002</v>
      </c>
      <c r="T89" s="145">
        <v>88.314999999999998</v>
      </c>
      <c r="U89" s="145">
        <v>3.9E-2</v>
      </c>
      <c r="V89" s="145">
        <v>0.115</v>
      </c>
      <c r="W89" s="145" t="s">
        <v>400</v>
      </c>
      <c r="X89" s="145">
        <v>0.03</v>
      </c>
      <c r="Y89" s="145">
        <v>2.5999999999999999E-2</v>
      </c>
      <c r="Z89" s="146">
        <v>0.04</v>
      </c>
      <c r="AA89" s="145">
        <v>0.505</v>
      </c>
      <c r="AB89" s="145">
        <v>2.0990000000000002</v>
      </c>
      <c r="AC89" s="145">
        <v>0.66700000000000004</v>
      </c>
      <c r="AD89" s="145">
        <v>1.4999999999999999E-2</v>
      </c>
      <c r="AE89" s="145">
        <v>9.2759999999999998</v>
      </c>
      <c r="AF89" s="145" t="s">
        <v>400</v>
      </c>
      <c r="AG89" s="145">
        <v>0.20399999999999999</v>
      </c>
      <c r="AH89" s="145">
        <v>2E-3</v>
      </c>
      <c r="AI89" s="145" t="s">
        <v>400</v>
      </c>
      <c r="AJ89" s="145">
        <v>1.3440000000000001</v>
      </c>
      <c r="AK89" s="145">
        <v>33.475999999999999</v>
      </c>
      <c r="AL89" s="145">
        <v>3.2749999999999999</v>
      </c>
      <c r="AM89" s="145">
        <v>2.5230000000000001</v>
      </c>
    </row>
    <row r="90" spans="1:39">
      <c r="A90" s="143" t="s">
        <v>1149</v>
      </c>
      <c r="B90" s="144">
        <v>100</v>
      </c>
      <c r="C90" s="145">
        <v>125</v>
      </c>
      <c r="D90" s="145">
        <v>0.6</v>
      </c>
      <c r="E90" s="145">
        <v>0.3</v>
      </c>
      <c r="F90" s="145">
        <v>0.1</v>
      </c>
      <c r="G90" s="145">
        <v>0.1</v>
      </c>
      <c r="H90" s="145">
        <v>0.1</v>
      </c>
      <c r="I90" s="145">
        <v>0.05</v>
      </c>
      <c r="J90" s="145">
        <v>0.01</v>
      </c>
      <c r="K90" s="145" t="s">
        <v>400</v>
      </c>
      <c r="L90" s="145">
        <v>30.1</v>
      </c>
      <c r="M90" s="145">
        <v>1.6</v>
      </c>
      <c r="N90" s="145">
        <v>19</v>
      </c>
      <c r="O90" s="145">
        <v>27</v>
      </c>
      <c r="P90" s="145">
        <v>0.06</v>
      </c>
      <c r="Q90" s="145">
        <v>22</v>
      </c>
      <c r="R90" s="145">
        <v>0.1</v>
      </c>
      <c r="S90" s="145">
        <v>1</v>
      </c>
      <c r="T90" s="145">
        <v>100</v>
      </c>
      <c r="U90" s="145">
        <v>0.01</v>
      </c>
      <c r="V90" s="145">
        <v>0.2</v>
      </c>
      <c r="W90" s="145" t="s">
        <v>400</v>
      </c>
      <c r="X90" s="145">
        <v>0.06</v>
      </c>
      <c r="Y90" s="145" t="s">
        <v>400</v>
      </c>
      <c r="Z90" s="145">
        <v>0.03</v>
      </c>
      <c r="AA90" s="145" t="s">
        <v>400</v>
      </c>
      <c r="AB90" s="145">
        <v>11.1</v>
      </c>
      <c r="AC90" s="145" t="s">
        <v>400</v>
      </c>
      <c r="AD90" s="145" t="s">
        <v>400</v>
      </c>
      <c r="AE90" s="145" t="s">
        <v>400</v>
      </c>
      <c r="AF90" s="145" t="s">
        <v>400</v>
      </c>
      <c r="AG90" s="145" t="s">
        <v>400</v>
      </c>
      <c r="AH90" s="145" t="s">
        <v>400</v>
      </c>
      <c r="AI90" s="145">
        <v>286</v>
      </c>
      <c r="AJ90" s="145" t="s">
        <v>400</v>
      </c>
      <c r="AK90" s="145" t="s">
        <v>400</v>
      </c>
      <c r="AL90" s="145" t="s">
        <v>400</v>
      </c>
      <c r="AM90" s="145" t="s">
        <v>400</v>
      </c>
    </row>
    <row r="91" spans="1:39">
      <c r="A91" s="143" t="s">
        <v>1150</v>
      </c>
      <c r="B91" s="144">
        <v>100</v>
      </c>
      <c r="C91" s="145">
        <v>125</v>
      </c>
      <c r="D91" s="145">
        <v>0.6</v>
      </c>
      <c r="E91" s="145">
        <v>0.3</v>
      </c>
      <c r="F91" s="145">
        <v>0.1</v>
      </c>
      <c r="G91" s="145">
        <v>0.1</v>
      </c>
      <c r="H91" s="145">
        <v>0.1</v>
      </c>
      <c r="I91" s="145">
        <v>0.05</v>
      </c>
      <c r="J91" s="145">
        <v>0.01</v>
      </c>
      <c r="K91" s="145" t="s">
        <v>400</v>
      </c>
      <c r="L91" s="145">
        <v>30.1</v>
      </c>
      <c r="M91" s="145">
        <v>1.6</v>
      </c>
      <c r="N91" s="145">
        <v>19</v>
      </c>
      <c r="O91" s="145">
        <v>27</v>
      </c>
      <c r="P91" s="145">
        <v>0.06</v>
      </c>
      <c r="Q91" s="145">
        <v>22</v>
      </c>
      <c r="R91" s="145">
        <v>0.1</v>
      </c>
      <c r="S91" s="145">
        <v>1</v>
      </c>
      <c r="T91" s="145">
        <v>100</v>
      </c>
      <c r="U91" s="145">
        <v>0.01</v>
      </c>
      <c r="V91" s="145">
        <v>0.2</v>
      </c>
      <c r="W91" s="145" t="s">
        <v>400</v>
      </c>
      <c r="X91" s="145">
        <v>0.06</v>
      </c>
      <c r="Y91" s="145" t="s">
        <v>400</v>
      </c>
      <c r="Z91" s="145">
        <v>0.03</v>
      </c>
      <c r="AA91" s="145" t="s">
        <v>400</v>
      </c>
      <c r="AB91" s="145">
        <v>11.1</v>
      </c>
      <c r="AC91" s="145" t="s">
        <v>400</v>
      </c>
      <c r="AD91" s="145" t="s">
        <v>400</v>
      </c>
      <c r="AE91" s="145" t="s">
        <v>400</v>
      </c>
      <c r="AF91" s="145" t="s">
        <v>400</v>
      </c>
      <c r="AG91" s="145" t="s">
        <v>400</v>
      </c>
      <c r="AH91" s="145" t="s">
        <v>400</v>
      </c>
      <c r="AI91" s="145">
        <v>286</v>
      </c>
      <c r="AJ91" s="145" t="s">
        <v>400</v>
      </c>
      <c r="AK91" s="145" t="s">
        <v>400</v>
      </c>
      <c r="AL91" s="145" t="s">
        <v>400</v>
      </c>
      <c r="AM91" s="145" t="s">
        <v>400</v>
      </c>
    </row>
    <row r="92" spans="1:39">
      <c r="A92" s="143" t="s">
        <v>1151</v>
      </c>
      <c r="B92" s="144">
        <v>100</v>
      </c>
      <c r="C92" s="145">
        <v>125</v>
      </c>
      <c r="D92" s="145">
        <v>0.6</v>
      </c>
      <c r="E92" s="145">
        <v>0.3</v>
      </c>
      <c r="F92" s="145">
        <v>0.1</v>
      </c>
      <c r="G92" s="145">
        <v>0.1</v>
      </c>
      <c r="H92" s="145">
        <v>0.1</v>
      </c>
      <c r="I92" s="145">
        <v>0.05</v>
      </c>
      <c r="J92" s="145">
        <v>0.01</v>
      </c>
      <c r="K92" s="145" t="s">
        <v>400</v>
      </c>
      <c r="L92" s="145">
        <v>30.1</v>
      </c>
      <c r="M92" s="145">
        <v>1.6</v>
      </c>
      <c r="N92" s="145">
        <v>19</v>
      </c>
      <c r="O92" s="145">
        <v>27</v>
      </c>
      <c r="P92" s="145">
        <v>0.06</v>
      </c>
      <c r="Q92" s="145">
        <v>22</v>
      </c>
      <c r="R92" s="145">
        <v>0.1</v>
      </c>
      <c r="S92" s="145">
        <v>1</v>
      </c>
      <c r="T92" s="145">
        <v>100</v>
      </c>
      <c r="U92" s="145">
        <v>0.01</v>
      </c>
      <c r="V92" s="145">
        <v>0.2</v>
      </c>
      <c r="W92" s="145" t="s">
        <v>400</v>
      </c>
      <c r="X92" s="145">
        <v>0.06</v>
      </c>
      <c r="Y92" s="145" t="s">
        <v>400</v>
      </c>
      <c r="Z92" s="145">
        <v>0.03</v>
      </c>
      <c r="AA92" s="145" t="s">
        <v>400</v>
      </c>
      <c r="AB92" s="145">
        <v>11.1</v>
      </c>
      <c r="AC92" s="145" t="s">
        <v>400</v>
      </c>
      <c r="AD92" s="145" t="s">
        <v>400</v>
      </c>
      <c r="AE92" s="145" t="s">
        <v>400</v>
      </c>
      <c r="AF92" s="145" t="s">
        <v>400</v>
      </c>
      <c r="AG92" s="145" t="s">
        <v>400</v>
      </c>
      <c r="AH92" s="145" t="s">
        <v>400</v>
      </c>
      <c r="AI92" s="145">
        <v>286</v>
      </c>
      <c r="AJ92" s="145" t="s">
        <v>400</v>
      </c>
      <c r="AK92" s="145" t="s">
        <v>400</v>
      </c>
      <c r="AL92" s="145" t="s">
        <v>400</v>
      </c>
      <c r="AM92" s="145" t="s">
        <v>400</v>
      </c>
    </row>
    <row r="93" spans="1:39">
      <c r="A93" s="143" t="s">
        <v>1152</v>
      </c>
      <c r="B93" s="144">
        <v>100</v>
      </c>
      <c r="C93" s="145">
        <v>125</v>
      </c>
      <c r="D93" s="145">
        <v>0.6</v>
      </c>
      <c r="E93" s="145">
        <v>0.3</v>
      </c>
      <c r="F93" s="145">
        <v>0.1</v>
      </c>
      <c r="G93" s="145">
        <v>0.1</v>
      </c>
      <c r="H93" s="145">
        <v>0.1</v>
      </c>
      <c r="I93" s="145">
        <v>0.05</v>
      </c>
      <c r="J93" s="145">
        <v>0.01</v>
      </c>
      <c r="K93" s="145" t="s">
        <v>400</v>
      </c>
      <c r="L93" s="145">
        <v>30.1</v>
      </c>
      <c r="M93" s="145">
        <v>1.6</v>
      </c>
      <c r="N93" s="145">
        <v>19</v>
      </c>
      <c r="O93" s="145">
        <v>27</v>
      </c>
      <c r="P93" s="145">
        <v>0.06</v>
      </c>
      <c r="Q93" s="145">
        <v>22</v>
      </c>
      <c r="R93" s="145">
        <v>0.1</v>
      </c>
      <c r="S93" s="145">
        <v>1</v>
      </c>
      <c r="T93" s="145">
        <v>100</v>
      </c>
      <c r="U93" s="145">
        <v>0.01</v>
      </c>
      <c r="V93" s="145">
        <v>0.2</v>
      </c>
      <c r="W93" s="145" t="s">
        <v>400</v>
      </c>
      <c r="X93" s="145">
        <v>0.06</v>
      </c>
      <c r="Y93" s="145" t="s">
        <v>400</v>
      </c>
      <c r="Z93" s="145">
        <v>0.03</v>
      </c>
      <c r="AA93" s="145" t="s">
        <v>400</v>
      </c>
      <c r="AB93" s="145">
        <v>11.1</v>
      </c>
      <c r="AC93" s="145" t="s">
        <v>400</v>
      </c>
      <c r="AD93" s="145" t="s">
        <v>400</v>
      </c>
      <c r="AE93" s="145" t="s">
        <v>400</v>
      </c>
      <c r="AF93" s="145" t="s">
        <v>400</v>
      </c>
      <c r="AG93" s="145" t="s">
        <v>400</v>
      </c>
      <c r="AH93" s="145" t="s">
        <v>400</v>
      </c>
      <c r="AI93" s="145">
        <v>286</v>
      </c>
      <c r="AJ93" s="145" t="s">
        <v>400</v>
      </c>
      <c r="AK93" s="145" t="s">
        <v>400</v>
      </c>
      <c r="AL93" s="145" t="s">
        <v>400</v>
      </c>
      <c r="AM93" s="145" t="s">
        <v>400</v>
      </c>
    </row>
    <row r="94" spans="1:39">
      <c r="A94" s="143" t="s">
        <v>1153</v>
      </c>
      <c r="B94" s="144">
        <v>100</v>
      </c>
      <c r="C94" s="145">
        <v>162.73670000000001</v>
      </c>
      <c r="D94" s="145">
        <v>0.56999999999999995</v>
      </c>
      <c r="E94" s="145">
        <v>5.2608500000000005</v>
      </c>
      <c r="F94" s="145">
        <v>0.87370000000000003</v>
      </c>
      <c r="G94" s="145">
        <v>1.22865</v>
      </c>
      <c r="H94" s="145">
        <v>2.9680500000000003</v>
      </c>
      <c r="I94" s="145">
        <v>2.5828000000000002</v>
      </c>
      <c r="J94" s="145">
        <v>0.34730000000000005</v>
      </c>
      <c r="K94" s="145" t="s">
        <v>400</v>
      </c>
      <c r="L94" s="145">
        <v>28.594999999999999</v>
      </c>
      <c r="M94" s="145">
        <v>1.52</v>
      </c>
      <c r="N94" s="145">
        <v>18.05</v>
      </c>
      <c r="O94" s="145">
        <v>25.65</v>
      </c>
      <c r="P94" s="145">
        <v>5.6999999999999995E-2</v>
      </c>
      <c r="Q94" s="145">
        <v>20.9</v>
      </c>
      <c r="R94" s="145">
        <v>9.7500000000000003E-2</v>
      </c>
      <c r="S94" s="145">
        <v>0.95</v>
      </c>
      <c r="T94" s="145">
        <v>95</v>
      </c>
      <c r="U94" s="145">
        <v>9.4999999999999998E-3</v>
      </c>
      <c r="V94" s="145">
        <v>0.1905</v>
      </c>
      <c r="W94" s="145" t="s">
        <v>400</v>
      </c>
      <c r="X94" s="145">
        <v>5.6999999999999995E-2</v>
      </c>
      <c r="Y94" s="145" t="s">
        <v>400</v>
      </c>
      <c r="Z94" s="145">
        <v>2.8499999999999998E-2</v>
      </c>
      <c r="AA94" s="145" t="s">
        <v>400</v>
      </c>
      <c r="AB94" s="145">
        <v>10.545</v>
      </c>
      <c r="AC94" s="145" t="s">
        <v>400</v>
      </c>
      <c r="AD94" s="145" t="s">
        <v>400</v>
      </c>
      <c r="AE94" s="145" t="s">
        <v>400</v>
      </c>
      <c r="AF94" s="145" t="s">
        <v>400</v>
      </c>
      <c r="AG94" s="145">
        <v>0.40705000000000002</v>
      </c>
      <c r="AH94" s="145">
        <v>2.6500000000000003E-2</v>
      </c>
      <c r="AI94" s="145">
        <v>286</v>
      </c>
      <c r="AJ94" s="145">
        <v>2.2804500000000001</v>
      </c>
      <c r="AK94" s="145" t="s">
        <v>400</v>
      </c>
      <c r="AL94" s="145" t="s">
        <v>400</v>
      </c>
      <c r="AM94" s="145" t="s">
        <v>400</v>
      </c>
    </row>
    <row r="95" spans="1:39">
      <c r="A95" s="143" t="s">
        <v>1154</v>
      </c>
      <c r="B95" s="144">
        <v>100</v>
      </c>
      <c r="C95" s="145">
        <v>100</v>
      </c>
      <c r="D95" s="145">
        <v>1.71</v>
      </c>
      <c r="E95" s="145">
        <v>0.12</v>
      </c>
      <c r="F95" s="145">
        <v>0.03</v>
      </c>
      <c r="G95" s="145">
        <v>0.01</v>
      </c>
      <c r="H95" s="145">
        <v>0.05</v>
      </c>
      <c r="I95" s="145">
        <v>0.04</v>
      </c>
      <c r="J95" s="145">
        <v>0.01</v>
      </c>
      <c r="K95" s="145" t="s">
        <v>400</v>
      </c>
      <c r="L95" s="145">
        <v>23.4</v>
      </c>
      <c r="M95" s="145">
        <v>1.8</v>
      </c>
      <c r="N95" s="145">
        <v>35</v>
      </c>
      <c r="O95" s="145">
        <v>21</v>
      </c>
      <c r="P95" s="145">
        <v>0.67</v>
      </c>
      <c r="Q95" s="145">
        <v>44</v>
      </c>
      <c r="R95" s="145">
        <v>0.54</v>
      </c>
      <c r="S95" s="145">
        <v>8</v>
      </c>
      <c r="T95" s="145">
        <v>377</v>
      </c>
      <c r="U95" s="145">
        <v>0.18</v>
      </c>
      <c r="V95" s="145">
        <v>0.3</v>
      </c>
      <c r="W95" s="145" t="s">
        <v>400</v>
      </c>
      <c r="X95" s="145">
        <v>7.0000000000000007E-2</v>
      </c>
      <c r="Y95" s="145">
        <v>0.06</v>
      </c>
      <c r="Z95" s="145">
        <v>0.19</v>
      </c>
      <c r="AA95" s="145">
        <v>0.56000000000000005</v>
      </c>
      <c r="AB95" s="145">
        <v>9.1</v>
      </c>
      <c r="AC95" s="145">
        <v>0.91</v>
      </c>
      <c r="AD95" s="145" t="s">
        <v>400</v>
      </c>
      <c r="AE95" s="145">
        <v>22</v>
      </c>
      <c r="AF95" s="145" t="s">
        <v>400</v>
      </c>
      <c r="AG95" s="145">
        <v>0.77</v>
      </c>
      <c r="AH95" s="145" t="s">
        <v>400</v>
      </c>
      <c r="AI95" s="145">
        <v>260</v>
      </c>
      <c r="AJ95" s="145">
        <v>0.6</v>
      </c>
      <c r="AK95" s="145">
        <v>1043.46</v>
      </c>
      <c r="AL95" s="145">
        <v>6.47</v>
      </c>
      <c r="AM95" s="145" t="s">
        <v>400</v>
      </c>
    </row>
    <row r="96" spans="1:39">
      <c r="A96" s="143" t="s">
        <v>1155</v>
      </c>
      <c r="B96" s="144">
        <v>100</v>
      </c>
      <c r="C96" s="145">
        <v>115.74</v>
      </c>
      <c r="D96" s="145">
        <v>1.71</v>
      </c>
      <c r="E96" s="145">
        <v>1.9</v>
      </c>
      <c r="F96" s="145">
        <v>0.28000000000000003</v>
      </c>
      <c r="G96" s="145">
        <v>0.42</v>
      </c>
      <c r="H96" s="145">
        <v>1.08</v>
      </c>
      <c r="I96" s="145">
        <v>0.95</v>
      </c>
      <c r="J96" s="145">
        <v>0.13</v>
      </c>
      <c r="K96" s="145" t="s">
        <v>400</v>
      </c>
      <c r="L96" s="145">
        <v>23.4</v>
      </c>
      <c r="M96" s="145">
        <v>1.8</v>
      </c>
      <c r="N96" s="145">
        <v>35</v>
      </c>
      <c r="O96" s="145">
        <v>21</v>
      </c>
      <c r="P96" s="145">
        <v>0.67</v>
      </c>
      <c r="Q96" s="145">
        <v>44</v>
      </c>
      <c r="R96" s="145">
        <v>0.54</v>
      </c>
      <c r="S96" s="145">
        <v>8</v>
      </c>
      <c r="T96" s="145">
        <v>377</v>
      </c>
      <c r="U96" s="145">
        <v>0.18</v>
      </c>
      <c r="V96" s="145">
        <v>0.3</v>
      </c>
      <c r="W96" s="145" t="s">
        <v>400</v>
      </c>
      <c r="X96" s="145">
        <v>7.0000000000000007E-2</v>
      </c>
      <c r="Y96" s="145">
        <v>0.06</v>
      </c>
      <c r="Z96" s="145">
        <v>0.19</v>
      </c>
      <c r="AA96" s="145">
        <v>0.56000000000000005</v>
      </c>
      <c r="AB96" s="145">
        <v>9.1</v>
      </c>
      <c r="AC96" s="145">
        <v>0.91</v>
      </c>
      <c r="AD96" s="145" t="s">
        <v>400</v>
      </c>
      <c r="AE96" s="145">
        <v>22</v>
      </c>
      <c r="AF96" s="145" t="s">
        <v>400</v>
      </c>
      <c r="AG96" s="145">
        <v>0.93</v>
      </c>
      <c r="AH96" s="145" t="s">
        <v>400</v>
      </c>
      <c r="AI96" s="145">
        <v>260</v>
      </c>
      <c r="AJ96" s="145">
        <v>1.42</v>
      </c>
      <c r="AK96" s="145">
        <v>1043.46</v>
      </c>
      <c r="AL96" s="145">
        <v>6.47</v>
      </c>
      <c r="AM96" s="145" t="s">
        <v>400</v>
      </c>
    </row>
    <row r="97" spans="1:39">
      <c r="A97" s="143" t="s">
        <v>1156</v>
      </c>
      <c r="B97" s="144">
        <v>100</v>
      </c>
      <c r="C97" s="145">
        <v>115.74</v>
      </c>
      <c r="D97" s="145">
        <v>1.71</v>
      </c>
      <c r="E97" s="145">
        <v>1.9</v>
      </c>
      <c r="F97" s="145">
        <v>0.28000000000000003</v>
      </c>
      <c r="G97" s="145">
        <v>0.42</v>
      </c>
      <c r="H97" s="145">
        <v>1.08</v>
      </c>
      <c r="I97" s="145">
        <v>0.95</v>
      </c>
      <c r="J97" s="145">
        <v>0.13</v>
      </c>
      <c r="K97" s="145" t="s">
        <v>400</v>
      </c>
      <c r="L97" s="145">
        <v>23.4</v>
      </c>
      <c r="M97" s="145">
        <v>1.8</v>
      </c>
      <c r="N97" s="145">
        <v>35</v>
      </c>
      <c r="O97" s="145">
        <v>21</v>
      </c>
      <c r="P97" s="145">
        <v>0.67</v>
      </c>
      <c r="Q97" s="145">
        <v>44</v>
      </c>
      <c r="R97" s="145">
        <v>0.54</v>
      </c>
      <c r="S97" s="145">
        <v>8</v>
      </c>
      <c r="T97" s="145">
        <v>377</v>
      </c>
      <c r="U97" s="145">
        <v>0.18</v>
      </c>
      <c r="V97" s="145">
        <v>0.3</v>
      </c>
      <c r="W97" s="145" t="s">
        <v>400</v>
      </c>
      <c r="X97" s="145">
        <v>7.0000000000000007E-2</v>
      </c>
      <c r="Y97" s="145">
        <v>0.06</v>
      </c>
      <c r="Z97" s="145">
        <v>0.19</v>
      </c>
      <c r="AA97" s="145">
        <v>0.56000000000000005</v>
      </c>
      <c r="AB97" s="145">
        <v>9.1</v>
      </c>
      <c r="AC97" s="145">
        <v>0.91</v>
      </c>
      <c r="AD97" s="145" t="s">
        <v>400</v>
      </c>
      <c r="AE97" s="145">
        <v>22</v>
      </c>
      <c r="AF97" s="145" t="s">
        <v>400</v>
      </c>
      <c r="AG97" s="145">
        <v>0.93</v>
      </c>
      <c r="AH97" s="145" t="s">
        <v>400</v>
      </c>
      <c r="AI97" s="145">
        <v>260</v>
      </c>
      <c r="AJ97" s="145">
        <v>1.42</v>
      </c>
      <c r="AK97" s="145">
        <v>1043.46</v>
      </c>
      <c r="AL97" s="145">
        <v>6.47</v>
      </c>
      <c r="AM97" s="145" t="s">
        <v>400</v>
      </c>
    </row>
    <row r="98" spans="1:39">
      <c r="A98" s="143" t="s">
        <v>1157</v>
      </c>
      <c r="B98" s="144">
        <v>100</v>
      </c>
      <c r="C98" s="145">
        <v>115.74</v>
      </c>
      <c r="D98" s="145">
        <v>1.71</v>
      </c>
      <c r="E98" s="145">
        <v>1.9</v>
      </c>
      <c r="F98" s="145">
        <v>0.28000000000000003</v>
      </c>
      <c r="G98" s="145">
        <v>0.42</v>
      </c>
      <c r="H98" s="145">
        <v>1.08</v>
      </c>
      <c r="I98" s="145">
        <v>0.95</v>
      </c>
      <c r="J98" s="145">
        <v>0.13</v>
      </c>
      <c r="K98" s="145" t="s">
        <v>400</v>
      </c>
      <c r="L98" s="145">
        <v>23.4</v>
      </c>
      <c r="M98" s="145">
        <v>1.8</v>
      </c>
      <c r="N98" s="145">
        <v>35</v>
      </c>
      <c r="O98" s="145">
        <v>21</v>
      </c>
      <c r="P98" s="145">
        <v>0.67</v>
      </c>
      <c r="Q98" s="145">
        <v>44</v>
      </c>
      <c r="R98" s="145">
        <v>0.54</v>
      </c>
      <c r="S98" s="145">
        <v>8</v>
      </c>
      <c r="T98" s="145">
        <v>377</v>
      </c>
      <c r="U98" s="145">
        <v>0.18</v>
      </c>
      <c r="V98" s="145">
        <v>0.3</v>
      </c>
      <c r="W98" s="145" t="s">
        <v>400</v>
      </c>
      <c r="X98" s="145">
        <v>7.0000000000000007E-2</v>
      </c>
      <c r="Y98" s="145">
        <v>0.06</v>
      </c>
      <c r="Z98" s="145">
        <v>0.19</v>
      </c>
      <c r="AA98" s="145">
        <v>0.56000000000000005</v>
      </c>
      <c r="AB98" s="145">
        <v>9.1</v>
      </c>
      <c r="AC98" s="145">
        <v>0.91</v>
      </c>
      <c r="AD98" s="145" t="s">
        <v>400</v>
      </c>
      <c r="AE98" s="145">
        <v>22</v>
      </c>
      <c r="AF98" s="145" t="s">
        <v>400</v>
      </c>
      <c r="AG98" s="145">
        <v>0.93</v>
      </c>
      <c r="AH98" s="145" t="s">
        <v>400</v>
      </c>
      <c r="AI98" s="145">
        <v>260</v>
      </c>
      <c r="AJ98" s="145">
        <v>1.42</v>
      </c>
      <c r="AK98" s="145">
        <v>1043.46</v>
      </c>
      <c r="AL98" s="145">
        <v>6.47</v>
      </c>
      <c r="AM98" s="145" t="s">
        <v>400</v>
      </c>
    </row>
    <row r="99" spans="1:39">
      <c r="A99" s="143" t="s">
        <v>1158</v>
      </c>
      <c r="B99" s="144">
        <v>100</v>
      </c>
      <c r="C99" s="145">
        <v>100</v>
      </c>
      <c r="D99" s="145">
        <v>1.71</v>
      </c>
      <c r="E99" s="145">
        <v>0.12</v>
      </c>
      <c r="F99" s="145">
        <v>0.03</v>
      </c>
      <c r="G99" s="145">
        <v>0.01</v>
      </c>
      <c r="H99" s="145">
        <v>0.05</v>
      </c>
      <c r="I99" s="145">
        <v>0.04</v>
      </c>
      <c r="J99" s="145">
        <v>0.01</v>
      </c>
      <c r="K99" s="145" t="s">
        <v>400</v>
      </c>
      <c r="L99" s="145">
        <v>23.4</v>
      </c>
      <c r="M99" s="145">
        <v>1.8</v>
      </c>
      <c r="N99" s="145">
        <v>35</v>
      </c>
      <c r="O99" s="145">
        <v>21</v>
      </c>
      <c r="P99" s="145">
        <v>0.67</v>
      </c>
      <c r="Q99" s="145">
        <v>44</v>
      </c>
      <c r="R99" s="145">
        <v>0.54</v>
      </c>
      <c r="S99" s="145">
        <v>8</v>
      </c>
      <c r="T99" s="145">
        <v>377</v>
      </c>
      <c r="U99" s="145">
        <v>0.18</v>
      </c>
      <c r="V99" s="145">
        <v>0.3</v>
      </c>
      <c r="W99" s="145" t="s">
        <v>400</v>
      </c>
      <c r="X99" s="145">
        <v>7.0000000000000007E-2</v>
      </c>
      <c r="Y99" s="145">
        <v>0.06</v>
      </c>
      <c r="Z99" s="145">
        <v>0.19</v>
      </c>
      <c r="AA99" s="145">
        <v>0.56000000000000005</v>
      </c>
      <c r="AB99" s="145">
        <v>9.1</v>
      </c>
      <c r="AC99" s="145">
        <v>0.91</v>
      </c>
      <c r="AD99" s="145" t="s">
        <v>400</v>
      </c>
      <c r="AE99" s="145">
        <v>22</v>
      </c>
      <c r="AF99" s="145" t="s">
        <v>400</v>
      </c>
      <c r="AG99" s="145">
        <v>0.77</v>
      </c>
      <c r="AH99" s="145" t="s">
        <v>400</v>
      </c>
      <c r="AI99" s="145">
        <v>260</v>
      </c>
      <c r="AJ99" s="145">
        <v>0.6</v>
      </c>
      <c r="AK99" s="145">
        <v>1043.46</v>
      </c>
      <c r="AL99" s="145">
        <v>6.47</v>
      </c>
      <c r="AM99" s="145" t="s">
        <v>400</v>
      </c>
    </row>
    <row r="100" spans="1:39">
      <c r="A100" s="143" t="s">
        <v>1159</v>
      </c>
      <c r="B100" s="144">
        <v>100</v>
      </c>
      <c r="C100" s="145">
        <v>31.443000000000001</v>
      </c>
      <c r="D100" s="145">
        <v>0.94799999999999995</v>
      </c>
      <c r="E100" s="145">
        <v>0.123</v>
      </c>
      <c r="F100" s="145">
        <v>3.9E-2</v>
      </c>
      <c r="G100" s="145">
        <v>2.7E-2</v>
      </c>
      <c r="H100" s="145">
        <v>3.2000000000000001E-2</v>
      </c>
      <c r="I100" s="145">
        <v>2.7E-2</v>
      </c>
      <c r="J100" s="145">
        <v>5.0000000000000001E-3</v>
      </c>
      <c r="K100" s="145" t="s">
        <v>400</v>
      </c>
      <c r="L100" s="145">
        <v>7.0119999999999996</v>
      </c>
      <c r="M100" s="145">
        <v>0.71099999999999997</v>
      </c>
      <c r="N100" s="145">
        <v>8.5549999999999997</v>
      </c>
      <c r="O100" s="145">
        <v>6.3470000000000004</v>
      </c>
      <c r="P100" s="145">
        <v>6.8000000000000005E-2</v>
      </c>
      <c r="Q100" s="145">
        <v>15.762</v>
      </c>
      <c r="R100" s="145">
        <v>0.28499999999999998</v>
      </c>
      <c r="S100" s="145">
        <v>310.43200000000002</v>
      </c>
      <c r="T100" s="145">
        <v>88.314999999999998</v>
      </c>
      <c r="U100" s="145">
        <v>3.9E-2</v>
      </c>
      <c r="V100" s="145">
        <v>0.115</v>
      </c>
      <c r="W100" s="145" t="s">
        <v>400</v>
      </c>
      <c r="X100" s="145">
        <v>0.03</v>
      </c>
      <c r="Y100" s="145">
        <v>2.5999999999999999E-2</v>
      </c>
      <c r="Z100" s="146">
        <v>0.04</v>
      </c>
      <c r="AA100" s="145">
        <v>0.505</v>
      </c>
      <c r="AB100" s="145">
        <v>2.0990000000000002</v>
      </c>
      <c r="AC100" s="145">
        <v>0.66700000000000004</v>
      </c>
      <c r="AD100" s="145">
        <v>1.4999999999999999E-2</v>
      </c>
      <c r="AE100" s="145">
        <v>9.2759999999999998</v>
      </c>
      <c r="AF100" s="145" t="s">
        <v>400</v>
      </c>
      <c r="AG100" s="145">
        <v>0.20399999999999999</v>
      </c>
      <c r="AH100" s="145">
        <v>2E-3</v>
      </c>
      <c r="AI100" s="145" t="s">
        <v>400</v>
      </c>
      <c r="AJ100" s="145">
        <v>1.3440000000000001</v>
      </c>
      <c r="AK100" s="145">
        <v>33.475999999999999</v>
      </c>
      <c r="AL100" s="145">
        <v>3.2749999999999999</v>
      </c>
      <c r="AM100" s="145">
        <v>2.5230000000000001</v>
      </c>
    </row>
    <row r="101" spans="1:39">
      <c r="A101" s="143" t="s">
        <v>1160</v>
      </c>
      <c r="B101" s="144">
        <v>100</v>
      </c>
      <c r="C101" s="145">
        <v>100</v>
      </c>
      <c r="D101" s="145">
        <v>1.71</v>
      </c>
      <c r="E101" s="145">
        <v>0.12</v>
      </c>
      <c r="F101" s="145">
        <v>0.03</v>
      </c>
      <c r="G101" s="145">
        <v>0.01</v>
      </c>
      <c r="H101" s="145">
        <v>0.05</v>
      </c>
      <c r="I101" s="145">
        <v>0.04</v>
      </c>
      <c r="J101" s="145">
        <v>0.01</v>
      </c>
      <c r="K101" s="145" t="s">
        <v>400</v>
      </c>
      <c r="L101" s="145">
        <v>23.4</v>
      </c>
      <c r="M101" s="145">
        <v>1.8</v>
      </c>
      <c r="N101" s="145">
        <v>35</v>
      </c>
      <c r="O101" s="145">
        <v>21</v>
      </c>
      <c r="P101" s="145">
        <v>0.67</v>
      </c>
      <c r="Q101" s="145">
        <v>44</v>
      </c>
      <c r="R101" s="145">
        <v>0.54</v>
      </c>
      <c r="S101" s="145">
        <v>8</v>
      </c>
      <c r="T101" s="145">
        <v>377</v>
      </c>
      <c r="U101" s="145">
        <v>0.18</v>
      </c>
      <c r="V101" s="145">
        <v>0.3</v>
      </c>
      <c r="W101" s="145" t="s">
        <v>400</v>
      </c>
      <c r="X101" s="145">
        <v>7.0000000000000007E-2</v>
      </c>
      <c r="Y101" s="145">
        <v>0.06</v>
      </c>
      <c r="Z101" s="145">
        <v>0.19</v>
      </c>
      <c r="AA101" s="145">
        <v>0.56000000000000005</v>
      </c>
      <c r="AB101" s="145">
        <v>9.1</v>
      </c>
      <c r="AC101" s="145">
        <v>0.91</v>
      </c>
      <c r="AD101" s="145" t="s">
        <v>400</v>
      </c>
      <c r="AE101" s="145">
        <v>22</v>
      </c>
      <c r="AF101" s="145" t="s">
        <v>400</v>
      </c>
      <c r="AG101" s="145">
        <v>0.77</v>
      </c>
      <c r="AH101" s="145" t="s">
        <v>400</v>
      </c>
      <c r="AI101" s="145">
        <v>260</v>
      </c>
      <c r="AJ101" s="145">
        <v>0.6</v>
      </c>
      <c r="AK101" s="145">
        <v>1043.46</v>
      </c>
      <c r="AL101" s="145">
        <v>6.47</v>
      </c>
      <c r="AM101" s="145" t="s">
        <v>400</v>
      </c>
    </row>
    <row r="102" spans="1:39">
      <c r="A102" s="143" t="s">
        <v>1161</v>
      </c>
      <c r="B102" s="144">
        <v>100</v>
      </c>
      <c r="C102" s="145">
        <v>86</v>
      </c>
      <c r="D102" s="145">
        <v>1.71</v>
      </c>
      <c r="E102" s="145">
        <v>0.1</v>
      </c>
      <c r="F102" s="145">
        <v>2.5999999999999999E-2</v>
      </c>
      <c r="G102" s="145">
        <v>2E-3</v>
      </c>
      <c r="H102" s="145">
        <v>4.2999999999999997E-2</v>
      </c>
      <c r="I102" s="145">
        <v>3.2000000000000001E-2</v>
      </c>
      <c r="J102" s="145">
        <v>0.01</v>
      </c>
      <c r="K102" s="145" t="s">
        <v>400</v>
      </c>
      <c r="L102" s="145">
        <v>20.010000000000002</v>
      </c>
      <c r="M102" s="145">
        <v>2.0499999999999998</v>
      </c>
      <c r="N102" s="145">
        <v>8</v>
      </c>
      <c r="O102" s="145">
        <v>20</v>
      </c>
      <c r="P102" s="145">
        <v>0.14000000000000001</v>
      </c>
      <c r="Q102" s="145">
        <v>40</v>
      </c>
      <c r="R102" s="145">
        <v>0.31</v>
      </c>
      <c r="S102" s="145">
        <v>5</v>
      </c>
      <c r="T102" s="145">
        <v>328</v>
      </c>
      <c r="U102" s="145">
        <v>0.16700000000000001</v>
      </c>
      <c r="V102" s="145">
        <v>0.27</v>
      </c>
      <c r="W102" s="145" t="s">
        <v>400</v>
      </c>
      <c r="X102" s="145">
        <v>9.8000000000000004E-2</v>
      </c>
      <c r="Y102" s="145">
        <v>1.9E-2</v>
      </c>
      <c r="Z102" s="146">
        <v>0.26900000000000002</v>
      </c>
      <c r="AA102" s="145">
        <v>1.3120000000000001</v>
      </c>
      <c r="AB102" s="145">
        <v>7.4</v>
      </c>
      <c r="AC102" s="145">
        <v>1.762</v>
      </c>
      <c r="AD102" s="145" t="s">
        <v>400</v>
      </c>
      <c r="AE102" s="145">
        <v>9</v>
      </c>
      <c r="AF102" s="145" t="s">
        <v>400</v>
      </c>
      <c r="AG102" s="145">
        <v>0.06</v>
      </c>
      <c r="AH102" s="145" t="s">
        <v>400</v>
      </c>
      <c r="AI102" s="145">
        <v>242</v>
      </c>
      <c r="AJ102" s="145">
        <v>0.3</v>
      </c>
      <c r="AK102" s="145">
        <v>0.16700000000000001</v>
      </c>
      <c r="AL102" s="145">
        <v>0.86</v>
      </c>
      <c r="AM102" s="145" t="s">
        <v>400</v>
      </c>
    </row>
    <row r="103" spans="1:39">
      <c r="A103" s="143" t="s">
        <v>1162</v>
      </c>
      <c r="B103" s="144">
        <v>100</v>
      </c>
      <c r="C103" s="145">
        <v>86</v>
      </c>
      <c r="D103" s="145">
        <v>1.71</v>
      </c>
      <c r="E103" s="145">
        <v>0.1</v>
      </c>
      <c r="F103" s="145">
        <v>2.5999999999999999E-2</v>
      </c>
      <c r="G103" s="145">
        <v>2E-3</v>
      </c>
      <c r="H103" s="145">
        <v>4.2999999999999997E-2</v>
      </c>
      <c r="I103" s="145">
        <v>3.2000000000000001E-2</v>
      </c>
      <c r="J103" s="145">
        <v>0.01</v>
      </c>
      <c r="K103" s="145" t="s">
        <v>400</v>
      </c>
      <c r="L103" s="145">
        <v>20.010000000000002</v>
      </c>
      <c r="M103" s="145">
        <v>2.0499999999999998</v>
      </c>
      <c r="N103" s="145">
        <v>8</v>
      </c>
      <c r="O103" s="145">
        <v>20</v>
      </c>
      <c r="P103" s="145">
        <v>0.14000000000000001</v>
      </c>
      <c r="Q103" s="145">
        <v>40</v>
      </c>
      <c r="R103" s="145">
        <v>0.31</v>
      </c>
      <c r="S103" s="145">
        <v>5</v>
      </c>
      <c r="T103" s="145">
        <v>328</v>
      </c>
      <c r="U103" s="145">
        <v>0.16700000000000001</v>
      </c>
      <c r="V103" s="145">
        <v>0.27</v>
      </c>
      <c r="W103" s="145" t="s">
        <v>400</v>
      </c>
      <c r="X103" s="145">
        <v>9.8000000000000004E-2</v>
      </c>
      <c r="Y103" s="145">
        <v>1.9E-2</v>
      </c>
      <c r="Z103" s="146">
        <v>0.26900000000000002</v>
      </c>
      <c r="AA103" s="145">
        <v>1.3120000000000001</v>
      </c>
      <c r="AB103" s="145">
        <v>7.4</v>
      </c>
      <c r="AC103" s="145">
        <v>1.762</v>
      </c>
      <c r="AD103" s="145" t="s">
        <v>400</v>
      </c>
      <c r="AE103" s="145">
        <v>9</v>
      </c>
      <c r="AF103" s="145" t="s">
        <v>400</v>
      </c>
      <c r="AG103" s="145">
        <v>0.06</v>
      </c>
      <c r="AH103" s="145" t="s">
        <v>400</v>
      </c>
      <c r="AI103" s="145">
        <v>242</v>
      </c>
      <c r="AJ103" s="145">
        <v>0.3</v>
      </c>
      <c r="AK103" s="145">
        <v>0.16700000000000001</v>
      </c>
      <c r="AL103" s="145">
        <v>0.86</v>
      </c>
      <c r="AM103" s="145" t="s">
        <v>400</v>
      </c>
    </row>
    <row r="104" spans="1:39">
      <c r="A104" s="143" t="s">
        <v>1163</v>
      </c>
      <c r="B104" s="144">
        <v>100</v>
      </c>
      <c r="C104" s="145">
        <v>86</v>
      </c>
      <c r="D104" s="145">
        <v>1.71</v>
      </c>
      <c r="E104" s="145">
        <v>0.1</v>
      </c>
      <c r="F104" s="145">
        <v>2.5999999999999999E-2</v>
      </c>
      <c r="G104" s="145">
        <v>2E-3</v>
      </c>
      <c r="H104" s="145">
        <v>4.2999999999999997E-2</v>
      </c>
      <c r="I104" s="145">
        <v>3.2000000000000001E-2</v>
      </c>
      <c r="J104" s="145">
        <v>0.01</v>
      </c>
      <c r="K104" s="145" t="s">
        <v>400</v>
      </c>
      <c r="L104" s="145">
        <v>20.010000000000002</v>
      </c>
      <c r="M104" s="145">
        <v>2.0499999999999998</v>
      </c>
      <c r="N104" s="145">
        <v>8</v>
      </c>
      <c r="O104" s="145">
        <v>20</v>
      </c>
      <c r="P104" s="145">
        <v>0.14000000000000001</v>
      </c>
      <c r="Q104" s="145">
        <v>40</v>
      </c>
      <c r="R104" s="145">
        <v>0.31</v>
      </c>
      <c r="S104" s="145">
        <v>5</v>
      </c>
      <c r="T104" s="145">
        <v>328</v>
      </c>
      <c r="U104" s="145">
        <v>0.16700000000000001</v>
      </c>
      <c r="V104" s="145">
        <v>0.27</v>
      </c>
      <c r="W104" s="145" t="s">
        <v>400</v>
      </c>
      <c r="X104" s="145">
        <v>9.8000000000000004E-2</v>
      </c>
      <c r="Y104" s="145">
        <v>1.9E-2</v>
      </c>
      <c r="Z104" s="146">
        <v>0.26900000000000002</v>
      </c>
      <c r="AA104" s="145">
        <v>1.3120000000000001</v>
      </c>
      <c r="AB104" s="145">
        <v>7.4</v>
      </c>
      <c r="AC104" s="145">
        <v>1.762</v>
      </c>
      <c r="AD104" s="145" t="s">
        <v>400</v>
      </c>
      <c r="AE104" s="145">
        <v>9</v>
      </c>
      <c r="AF104" s="145" t="s">
        <v>400</v>
      </c>
      <c r="AG104" s="145">
        <v>0.06</v>
      </c>
      <c r="AH104" s="145" t="s">
        <v>400</v>
      </c>
      <c r="AI104" s="145">
        <v>242</v>
      </c>
      <c r="AJ104" s="145">
        <v>0.3</v>
      </c>
      <c r="AK104" s="145">
        <v>0.16700000000000001</v>
      </c>
      <c r="AL104" s="145">
        <v>0.86</v>
      </c>
      <c r="AM104" s="145" t="s">
        <v>400</v>
      </c>
    </row>
    <row r="105" spans="1:39">
      <c r="A105" s="143" t="s">
        <v>1164</v>
      </c>
      <c r="B105" s="144">
        <v>100</v>
      </c>
      <c r="C105" s="145">
        <v>86</v>
      </c>
      <c r="D105" s="145">
        <v>1.71</v>
      </c>
      <c r="E105" s="145">
        <v>0.1</v>
      </c>
      <c r="F105" s="145">
        <v>2.5999999999999999E-2</v>
      </c>
      <c r="G105" s="145">
        <v>2E-3</v>
      </c>
      <c r="H105" s="145">
        <v>4.2999999999999997E-2</v>
      </c>
      <c r="I105" s="145">
        <v>3.2000000000000001E-2</v>
      </c>
      <c r="J105" s="145">
        <v>0.01</v>
      </c>
      <c r="K105" s="145" t="s">
        <v>400</v>
      </c>
      <c r="L105" s="145">
        <v>20.010000000000002</v>
      </c>
      <c r="M105" s="145">
        <v>2.0499999999999998</v>
      </c>
      <c r="N105" s="145">
        <v>8</v>
      </c>
      <c r="O105" s="145">
        <v>20</v>
      </c>
      <c r="P105" s="145">
        <v>0.14000000000000001</v>
      </c>
      <c r="Q105" s="145">
        <v>40</v>
      </c>
      <c r="R105" s="145">
        <v>0.31</v>
      </c>
      <c r="S105" s="145">
        <v>5</v>
      </c>
      <c r="T105" s="145">
        <v>328</v>
      </c>
      <c r="U105" s="145">
        <v>0.16700000000000001</v>
      </c>
      <c r="V105" s="145">
        <v>0.27</v>
      </c>
      <c r="W105" s="145" t="s">
        <v>400</v>
      </c>
      <c r="X105" s="145">
        <v>9.8000000000000004E-2</v>
      </c>
      <c r="Y105" s="145">
        <v>1.9E-2</v>
      </c>
      <c r="Z105" s="146">
        <v>0.26900000000000002</v>
      </c>
      <c r="AA105" s="145">
        <v>1.3120000000000001</v>
      </c>
      <c r="AB105" s="145">
        <v>7.4</v>
      </c>
      <c r="AC105" s="145">
        <v>1.762</v>
      </c>
      <c r="AD105" s="145" t="s">
        <v>400</v>
      </c>
      <c r="AE105" s="145">
        <v>9</v>
      </c>
      <c r="AF105" s="145" t="s">
        <v>400</v>
      </c>
      <c r="AG105" s="145">
        <v>0.06</v>
      </c>
      <c r="AH105" s="145" t="s">
        <v>400</v>
      </c>
      <c r="AI105" s="145">
        <v>242</v>
      </c>
      <c r="AJ105" s="145">
        <v>0.3</v>
      </c>
      <c r="AK105" s="145">
        <v>0.16700000000000001</v>
      </c>
      <c r="AL105" s="145">
        <v>0.86</v>
      </c>
      <c r="AM105" s="145" t="s">
        <v>400</v>
      </c>
    </row>
    <row r="106" spans="1:39">
      <c r="A106" s="143" t="s">
        <v>1165</v>
      </c>
      <c r="B106" s="144">
        <v>100</v>
      </c>
      <c r="C106" s="145">
        <v>263.5</v>
      </c>
      <c r="D106" s="145">
        <v>2.871</v>
      </c>
      <c r="E106" s="145">
        <v>13.64</v>
      </c>
      <c r="F106" s="145">
        <v>2.1520000000000001</v>
      </c>
      <c r="G106" s="145">
        <v>3.073</v>
      </c>
      <c r="H106" s="145">
        <v>7.851</v>
      </c>
      <c r="I106" s="145">
        <v>6.9180000000000001</v>
      </c>
      <c r="J106" s="145">
        <v>0.93100000000000005</v>
      </c>
      <c r="K106" s="145" t="s">
        <v>400</v>
      </c>
      <c r="L106" s="145">
        <v>33.6</v>
      </c>
      <c r="M106" s="145">
        <v>3.4420000000000002</v>
      </c>
      <c r="N106" s="145">
        <v>13.433</v>
      </c>
      <c r="O106" s="145">
        <v>33.582999999999998</v>
      </c>
      <c r="P106" s="145">
        <v>0.23499999999999999</v>
      </c>
      <c r="Q106" s="145">
        <v>67.165999999999997</v>
      </c>
      <c r="R106" s="145">
        <v>0.52700000000000002</v>
      </c>
      <c r="S106" s="145">
        <v>8.3960000000000008</v>
      </c>
      <c r="T106" s="145">
        <v>550.76400000000001</v>
      </c>
      <c r="U106" s="145">
        <v>0.28000000000000003</v>
      </c>
      <c r="V106" s="145">
        <v>0.45500000000000002</v>
      </c>
      <c r="W106" s="145" t="s">
        <v>400</v>
      </c>
      <c r="X106" s="145">
        <v>0.16500000000000001</v>
      </c>
      <c r="Y106" s="145">
        <v>3.2000000000000001E-2</v>
      </c>
      <c r="Z106" s="146">
        <v>0.45200000000000001</v>
      </c>
      <c r="AA106" s="145">
        <v>2.2029999999999998</v>
      </c>
      <c r="AB106" s="145">
        <v>12.426</v>
      </c>
      <c r="AC106" s="145">
        <v>2.9590000000000001</v>
      </c>
      <c r="AD106" s="145" t="s">
        <v>400</v>
      </c>
      <c r="AE106" s="145">
        <v>15.112</v>
      </c>
      <c r="AF106" s="145" t="s">
        <v>400</v>
      </c>
      <c r="AG106" s="145">
        <v>1.2030000000000001</v>
      </c>
      <c r="AH106" s="145">
        <v>7.1999999999999995E-2</v>
      </c>
      <c r="AI106" s="145">
        <v>380</v>
      </c>
      <c r="AJ106" s="145">
        <v>6.6779999999999999</v>
      </c>
      <c r="AK106" s="145">
        <v>0.28000000000000003</v>
      </c>
      <c r="AL106" s="145">
        <v>1.444</v>
      </c>
      <c r="AM106" s="145" t="s">
        <v>400</v>
      </c>
    </row>
    <row r="107" spans="1:39">
      <c r="A107" s="143" t="s">
        <v>1166</v>
      </c>
      <c r="B107" s="144">
        <v>100</v>
      </c>
      <c r="C107" s="145">
        <v>111.736</v>
      </c>
      <c r="D107" s="145">
        <v>1.71</v>
      </c>
      <c r="E107" s="145">
        <v>3.0110000000000001</v>
      </c>
      <c r="F107" s="145">
        <v>0.48199999999999998</v>
      </c>
      <c r="G107" s="145">
        <v>0.66500000000000004</v>
      </c>
      <c r="H107" s="145">
        <v>1.724</v>
      </c>
      <c r="I107" s="145">
        <v>1.5149999999999999</v>
      </c>
      <c r="J107" s="145">
        <v>0.20799999999999999</v>
      </c>
      <c r="K107" s="145" t="s">
        <v>400</v>
      </c>
      <c r="L107" s="145">
        <v>20.010000000000002</v>
      </c>
      <c r="M107" s="145">
        <v>2.0499999999999998</v>
      </c>
      <c r="N107" s="145">
        <v>8</v>
      </c>
      <c r="O107" s="145">
        <v>20</v>
      </c>
      <c r="P107" s="145">
        <v>0.14000000000000001</v>
      </c>
      <c r="Q107" s="145">
        <v>40</v>
      </c>
      <c r="R107" s="145">
        <v>0.311</v>
      </c>
      <c r="S107" s="145">
        <v>5</v>
      </c>
      <c r="T107" s="145">
        <v>328</v>
      </c>
      <c r="U107" s="145">
        <v>0.16700000000000001</v>
      </c>
      <c r="V107" s="145">
        <v>0.27</v>
      </c>
      <c r="W107" s="145" t="s">
        <v>400</v>
      </c>
      <c r="X107" s="145">
        <v>9.8000000000000004E-2</v>
      </c>
      <c r="Y107" s="145">
        <v>1.9E-2</v>
      </c>
      <c r="Z107" s="146">
        <v>0.26900000000000002</v>
      </c>
      <c r="AA107" s="145">
        <v>1.3120000000000001</v>
      </c>
      <c r="AB107" s="145">
        <v>7.4</v>
      </c>
      <c r="AC107" s="145">
        <v>1.762</v>
      </c>
      <c r="AD107" s="145" t="s">
        <v>400</v>
      </c>
      <c r="AE107" s="145">
        <v>9</v>
      </c>
      <c r="AF107" s="145" t="s">
        <v>400</v>
      </c>
      <c r="AG107" s="145">
        <v>0.29799999999999999</v>
      </c>
      <c r="AH107" s="145">
        <v>1.6E-2</v>
      </c>
      <c r="AI107" s="145">
        <v>242</v>
      </c>
      <c r="AJ107" s="145">
        <v>1.6339999999999999</v>
      </c>
      <c r="AK107" s="145">
        <v>0.16700000000000001</v>
      </c>
      <c r="AL107" s="145">
        <v>0.86</v>
      </c>
      <c r="AM107" s="145" t="s">
        <v>400</v>
      </c>
    </row>
    <row r="108" spans="1:39">
      <c r="A108" s="143" t="s">
        <v>1167</v>
      </c>
      <c r="B108" s="144">
        <v>100</v>
      </c>
      <c r="C108" s="145">
        <v>73.599999999999994</v>
      </c>
      <c r="D108" s="145">
        <v>1.6319999999999999</v>
      </c>
      <c r="E108" s="145">
        <v>0.11600000000000001</v>
      </c>
      <c r="F108" s="145">
        <v>2.5999999999999999E-2</v>
      </c>
      <c r="G108" s="145">
        <v>7.0000000000000001E-3</v>
      </c>
      <c r="H108" s="145">
        <v>4.9000000000000002E-2</v>
      </c>
      <c r="I108" s="145">
        <v>3.9E-2</v>
      </c>
      <c r="J108" s="145">
        <v>8.9999999999999993E-3</v>
      </c>
      <c r="K108" s="145" t="s">
        <v>400</v>
      </c>
      <c r="L108" s="145">
        <v>17.084</v>
      </c>
      <c r="M108" s="145">
        <v>1.94</v>
      </c>
      <c r="N108" s="145">
        <v>9</v>
      </c>
      <c r="O108" s="145">
        <v>19.2</v>
      </c>
      <c r="P108" s="145">
        <v>0.13300000000000001</v>
      </c>
      <c r="Q108" s="145">
        <v>37.200000000000003</v>
      </c>
      <c r="R108" s="145">
        <v>0.45200000000000001</v>
      </c>
      <c r="S108" s="145">
        <v>108.8</v>
      </c>
      <c r="T108" s="145">
        <v>328.6</v>
      </c>
      <c r="U108" s="145">
        <v>0.157</v>
      </c>
      <c r="V108" s="145">
        <v>0.25600000000000001</v>
      </c>
      <c r="W108" s="145" t="s">
        <v>400</v>
      </c>
      <c r="X108" s="145">
        <v>8.3000000000000004E-2</v>
      </c>
      <c r="Y108" s="145">
        <v>2.8000000000000001E-2</v>
      </c>
      <c r="Z108" s="146">
        <v>0.23499999999999999</v>
      </c>
      <c r="AA108" s="145">
        <v>1.2450000000000001</v>
      </c>
      <c r="AB108" s="145">
        <v>7.32</v>
      </c>
      <c r="AC108" s="145">
        <v>1.6379999999999999</v>
      </c>
      <c r="AD108" s="145" t="s">
        <v>400</v>
      </c>
      <c r="AE108" s="145">
        <v>9.4</v>
      </c>
      <c r="AF108" s="145" t="s">
        <v>400</v>
      </c>
      <c r="AG108" s="145">
        <v>0.33200000000000002</v>
      </c>
      <c r="AH108" s="145" t="s">
        <v>400</v>
      </c>
      <c r="AI108" s="145">
        <v>242</v>
      </c>
      <c r="AJ108" s="145">
        <v>0.28000000000000003</v>
      </c>
      <c r="AK108" s="145">
        <v>3.617</v>
      </c>
      <c r="AL108" s="145">
        <v>1.538</v>
      </c>
      <c r="AM108" s="145" t="s">
        <v>400</v>
      </c>
    </row>
    <row r="109" spans="1:39">
      <c r="A109" s="143" t="s">
        <v>1168</v>
      </c>
      <c r="B109" s="144">
        <v>100</v>
      </c>
      <c r="C109" s="145">
        <v>101.39</v>
      </c>
      <c r="D109" s="145">
        <v>2.1469999999999998</v>
      </c>
      <c r="E109" s="145">
        <v>2.569</v>
      </c>
      <c r="F109" s="145">
        <v>1.5529999999999999</v>
      </c>
      <c r="G109" s="145">
        <v>0.63900000000000001</v>
      </c>
      <c r="H109" s="145">
        <v>0.14699999999999999</v>
      </c>
      <c r="I109" s="145">
        <v>0.11600000000000001</v>
      </c>
      <c r="J109" s="145">
        <v>0.03</v>
      </c>
      <c r="K109" s="145">
        <v>6.8330000000000002</v>
      </c>
      <c r="L109" s="145">
        <v>17.859000000000002</v>
      </c>
      <c r="M109" s="145">
        <v>1.6830000000000001</v>
      </c>
      <c r="N109" s="145">
        <v>29.279</v>
      </c>
      <c r="O109" s="145">
        <v>18.312000000000001</v>
      </c>
      <c r="P109" s="145">
        <v>0.122</v>
      </c>
      <c r="Q109" s="145">
        <v>51.692999999999998</v>
      </c>
      <c r="R109" s="145">
        <v>0.318</v>
      </c>
      <c r="S109" s="145">
        <v>24.917000000000002</v>
      </c>
      <c r="T109" s="145">
        <v>292.45400000000001</v>
      </c>
      <c r="U109" s="145">
        <v>0.13800000000000001</v>
      </c>
      <c r="V109" s="145">
        <v>0.30499999999999999</v>
      </c>
      <c r="W109" s="145">
        <v>20.696999999999999</v>
      </c>
      <c r="X109" s="145">
        <v>9.7000000000000003E-2</v>
      </c>
      <c r="Y109" s="145">
        <v>5.8000000000000003E-2</v>
      </c>
      <c r="Z109" s="146">
        <v>0.223</v>
      </c>
      <c r="AA109" s="145">
        <v>1.145</v>
      </c>
      <c r="AB109" s="145">
        <v>5.9240000000000004</v>
      </c>
      <c r="AC109" s="145">
        <v>1.78</v>
      </c>
      <c r="AD109" s="145">
        <v>0.09</v>
      </c>
      <c r="AE109" s="145">
        <v>10.795999999999999</v>
      </c>
      <c r="AF109" s="145">
        <v>0.22700000000000001</v>
      </c>
      <c r="AG109" s="145">
        <v>0.113</v>
      </c>
      <c r="AH109" s="145">
        <v>9.7000000000000003E-2</v>
      </c>
      <c r="AI109" s="145">
        <v>242</v>
      </c>
      <c r="AJ109" s="145">
        <v>1.409</v>
      </c>
      <c r="AK109" s="145">
        <v>21.213999999999999</v>
      </c>
      <c r="AL109" s="145">
        <v>1.7210000000000001</v>
      </c>
      <c r="AM109" s="145" t="s">
        <v>400</v>
      </c>
    </row>
    <row r="110" spans="1:39">
      <c r="A110" s="143" t="s">
        <v>1169</v>
      </c>
      <c r="B110" s="144">
        <v>100</v>
      </c>
      <c r="C110" s="145">
        <v>111.736</v>
      </c>
      <c r="D110" s="145">
        <v>1.71</v>
      </c>
      <c r="E110" s="145">
        <v>3.0110000000000001</v>
      </c>
      <c r="F110" s="145">
        <v>0.48199999999999998</v>
      </c>
      <c r="G110" s="145">
        <v>0.66500000000000004</v>
      </c>
      <c r="H110" s="145">
        <v>1.724</v>
      </c>
      <c r="I110" s="145">
        <v>1.5149999999999999</v>
      </c>
      <c r="J110" s="145">
        <v>0.20799999999999999</v>
      </c>
      <c r="K110" s="145" t="s">
        <v>400</v>
      </c>
      <c r="L110" s="145">
        <v>20.010000000000002</v>
      </c>
      <c r="M110" s="145">
        <v>2.0499999999999998</v>
      </c>
      <c r="N110" s="145">
        <v>8</v>
      </c>
      <c r="O110" s="145">
        <v>20</v>
      </c>
      <c r="P110" s="145">
        <v>0.14000000000000001</v>
      </c>
      <c r="Q110" s="145">
        <v>40</v>
      </c>
      <c r="R110" s="145">
        <v>0.311</v>
      </c>
      <c r="S110" s="145">
        <v>5</v>
      </c>
      <c r="T110" s="145">
        <v>328</v>
      </c>
      <c r="U110" s="145">
        <v>0.16700000000000001</v>
      </c>
      <c r="V110" s="145">
        <v>0.27</v>
      </c>
      <c r="W110" s="145" t="s">
        <v>400</v>
      </c>
      <c r="X110" s="145">
        <v>9.8000000000000004E-2</v>
      </c>
      <c r="Y110" s="145">
        <v>1.9E-2</v>
      </c>
      <c r="Z110" s="146">
        <v>0.26900000000000002</v>
      </c>
      <c r="AA110" s="145">
        <v>1.3120000000000001</v>
      </c>
      <c r="AB110" s="145">
        <v>7.4</v>
      </c>
      <c r="AC110" s="145">
        <v>1.762</v>
      </c>
      <c r="AD110" s="145" t="s">
        <v>400</v>
      </c>
      <c r="AE110" s="145">
        <v>9</v>
      </c>
      <c r="AF110" s="145" t="s">
        <v>400</v>
      </c>
      <c r="AG110" s="145">
        <v>0.29799999999999999</v>
      </c>
      <c r="AH110" s="145">
        <v>1.6E-2</v>
      </c>
      <c r="AI110" s="145">
        <v>242</v>
      </c>
      <c r="AJ110" s="145">
        <v>1.6339999999999999</v>
      </c>
      <c r="AK110" s="145">
        <v>0.16700000000000001</v>
      </c>
      <c r="AL110" s="145">
        <v>0.86</v>
      </c>
      <c r="AM110" s="145" t="s">
        <v>400</v>
      </c>
    </row>
    <row r="111" spans="1:39">
      <c r="A111" s="143" t="s">
        <v>1170</v>
      </c>
      <c r="B111" s="144">
        <v>100</v>
      </c>
      <c r="C111" s="145">
        <v>111.736</v>
      </c>
      <c r="D111" s="145">
        <v>1.71</v>
      </c>
      <c r="E111" s="145">
        <v>3.0110000000000001</v>
      </c>
      <c r="F111" s="145">
        <v>0.48199999999999998</v>
      </c>
      <c r="G111" s="145">
        <v>0.66500000000000004</v>
      </c>
      <c r="H111" s="145">
        <v>1.724</v>
      </c>
      <c r="I111" s="145">
        <v>1.5149999999999999</v>
      </c>
      <c r="J111" s="145">
        <v>0.20799999999999999</v>
      </c>
      <c r="K111" s="145" t="s">
        <v>400</v>
      </c>
      <c r="L111" s="145">
        <v>20.010000000000002</v>
      </c>
      <c r="M111" s="145">
        <v>2.0499999999999998</v>
      </c>
      <c r="N111" s="145">
        <v>8</v>
      </c>
      <c r="O111" s="145">
        <v>20</v>
      </c>
      <c r="P111" s="145">
        <v>0.14000000000000001</v>
      </c>
      <c r="Q111" s="145">
        <v>40</v>
      </c>
      <c r="R111" s="145">
        <v>0.311</v>
      </c>
      <c r="S111" s="145">
        <v>5</v>
      </c>
      <c r="T111" s="145">
        <v>328</v>
      </c>
      <c r="U111" s="145">
        <v>0.16700000000000001</v>
      </c>
      <c r="V111" s="145">
        <v>0.27</v>
      </c>
      <c r="W111" s="145" t="s">
        <v>400</v>
      </c>
      <c r="X111" s="145">
        <v>9.8000000000000004E-2</v>
      </c>
      <c r="Y111" s="145">
        <v>1.9E-2</v>
      </c>
      <c r="Z111" s="146">
        <v>0.26900000000000002</v>
      </c>
      <c r="AA111" s="145">
        <v>1.3120000000000001</v>
      </c>
      <c r="AB111" s="145">
        <v>7.4</v>
      </c>
      <c r="AC111" s="145">
        <v>1.762</v>
      </c>
      <c r="AD111" s="145" t="s">
        <v>400</v>
      </c>
      <c r="AE111" s="145">
        <v>9</v>
      </c>
      <c r="AF111" s="145" t="s">
        <v>400</v>
      </c>
      <c r="AG111" s="145">
        <v>0.29799999999999999</v>
      </c>
      <c r="AH111" s="145">
        <v>1.6E-2</v>
      </c>
      <c r="AI111" s="145">
        <v>242</v>
      </c>
      <c r="AJ111" s="145">
        <v>1.6339999999999999</v>
      </c>
      <c r="AK111" s="145">
        <v>0.16700000000000001</v>
      </c>
      <c r="AL111" s="145">
        <v>0.86</v>
      </c>
      <c r="AM111" s="145" t="s">
        <v>400</v>
      </c>
    </row>
    <row r="112" spans="1:39">
      <c r="A112" s="143" t="s">
        <v>1171</v>
      </c>
      <c r="B112" s="144">
        <v>100</v>
      </c>
      <c r="C112" s="145">
        <v>31.443000000000001</v>
      </c>
      <c r="D112" s="145">
        <v>0.94799999999999995</v>
      </c>
      <c r="E112" s="145">
        <v>0.123</v>
      </c>
      <c r="F112" s="145">
        <v>3.9E-2</v>
      </c>
      <c r="G112" s="145">
        <v>2.7E-2</v>
      </c>
      <c r="H112" s="145">
        <v>3.2000000000000001E-2</v>
      </c>
      <c r="I112" s="145">
        <v>2.7E-2</v>
      </c>
      <c r="J112" s="145">
        <v>5.0000000000000001E-3</v>
      </c>
      <c r="K112" s="145" t="s">
        <v>400</v>
      </c>
      <c r="L112" s="145">
        <v>7.0119999999999996</v>
      </c>
      <c r="M112" s="145">
        <v>0.71099999999999997</v>
      </c>
      <c r="N112" s="145">
        <v>8.5549999999999997</v>
      </c>
      <c r="O112" s="145">
        <v>6.3470000000000004</v>
      </c>
      <c r="P112" s="145">
        <v>6.8000000000000005E-2</v>
      </c>
      <c r="Q112" s="145">
        <v>15.762</v>
      </c>
      <c r="R112" s="145">
        <v>0.28499999999999998</v>
      </c>
      <c r="S112" s="145">
        <v>310.43200000000002</v>
      </c>
      <c r="T112" s="145">
        <v>88.314999999999998</v>
      </c>
      <c r="U112" s="145">
        <v>3.9E-2</v>
      </c>
      <c r="V112" s="145">
        <v>0.115</v>
      </c>
      <c r="W112" s="145" t="s">
        <v>400</v>
      </c>
      <c r="X112" s="145">
        <v>0.03</v>
      </c>
      <c r="Y112" s="145">
        <v>2.5999999999999999E-2</v>
      </c>
      <c r="Z112" s="146">
        <v>0.04</v>
      </c>
      <c r="AA112" s="145">
        <v>0.505</v>
      </c>
      <c r="AB112" s="145">
        <v>2.0990000000000002</v>
      </c>
      <c r="AC112" s="145">
        <v>0.66700000000000004</v>
      </c>
      <c r="AD112" s="145">
        <v>1.4999999999999999E-2</v>
      </c>
      <c r="AE112" s="145">
        <v>9.2759999999999998</v>
      </c>
      <c r="AF112" s="145" t="s">
        <v>400</v>
      </c>
      <c r="AG112" s="145">
        <v>0.20399999999999999</v>
      </c>
      <c r="AH112" s="145">
        <v>2E-3</v>
      </c>
      <c r="AI112" s="145" t="s">
        <v>400</v>
      </c>
      <c r="AJ112" s="145">
        <v>1.3440000000000001</v>
      </c>
      <c r="AK112" s="145">
        <v>33.475999999999999</v>
      </c>
      <c r="AL112" s="145">
        <v>3.2749999999999999</v>
      </c>
      <c r="AM112" s="145">
        <v>2.5230000000000001</v>
      </c>
    </row>
    <row r="113" spans="1:39">
      <c r="A113" s="143" t="s">
        <v>1172</v>
      </c>
      <c r="B113" s="144">
        <v>100</v>
      </c>
      <c r="C113" s="145">
        <v>86</v>
      </c>
      <c r="D113" s="145">
        <v>1.71</v>
      </c>
      <c r="E113" s="145">
        <v>0.1</v>
      </c>
      <c r="F113" s="145">
        <v>2.5999999999999999E-2</v>
      </c>
      <c r="G113" s="145">
        <v>2E-3</v>
      </c>
      <c r="H113" s="145">
        <v>4.2999999999999997E-2</v>
      </c>
      <c r="I113" s="145">
        <v>3.2000000000000001E-2</v>
      </c>
      <c r="J113" s="145">
        <v>0.01</v>
      </c>
      <c r="K113" s="145" t="s">
        <v>400</v>
      </c>
      <c r="L113" s="145">
        <v>20.010000000000002</v>
      </c>
      <c r="M113" s="145">
        <v>2.0499999999999998</v>
      </c>
      <c r="N113" s="145">
        <v>8</v>
      </c>
      <c r="O113" s="145">
        <v>20</v>
      </c>
      <c r="P113" s="145">
        <v>0.14000000000000001</v>
      </c>
      <c r="Q113" s="145">
        <v>40</v>
      </c>
      <c r="R113" s="145">
        <v>0.31</v>
      </c>
      <c r="S113" s="145">
        <v>5</v>
      </c>
      <c r="T113" s="145">
        <v>328</v>
      </c>
      <c r="U113" s="145">
        <v>0.16700000000000001</v>
      </c>
      <c r="V113" s="145">
        <v>0.27</v>
      </c>
      <c r="W113" s="145" t="s">
        <v>400</v>
      </c>
      <c r="X113" s="145">
        <v>9.8000000000000004E-2</v>
      </c>
      <c r="Y113" s="145">
        <v>1.9E-2</v>
      </c>
      <c r="Z113" s="146">
        <v>0.26900000000000002</v>
      </c>
      <c r="AA113" s="145">
        <v>1.3120000000000001</v>
      </c>
      <c r="AB113" s="145">
        <v>7.4</v>
      </c>
      <c r="AC113" s="145">
        <v>1.762</v>
      </c>
      <c r="AD113" s="145" t="s">
        <v>400</v>
      </c>
      <c r="AE113" s="145">
        <v>9</v>
      </c>
      <c r="AF113" s="145" t="s">
        <v>400</v>
      </c>
      <c r="AG113" s="145">
        <v>0.06</v>
      </c>
      <c r="AH113" s="145" t="s">
        <v>400</v>
      </c>
      <c r="AI113" s="145">
        <v>242</v>
      </c>
      <c r="AJ113" s="145">
        <v>0.3</v>
      </c>
      <c r="AK113" s="145">
        <v>0.16700000000000001</v>
      </c>
      <c r="AL113" s="145">
        <v>0.86</v>
      </c>
      <c r="AM113" s="145" t="s">
        <v>400</v>
      </c>
    </row>
    <row r="114" spans="1:39">
      <c r="A114" s="143" t="s">
        <v>1173</v>
      </c>
      <c r="B114" s="144">
        <v>100</v>
      </c>
      <c r="C114" s="145">
        <v>76</v>
      </c>
      <c r="D114" s="145">
        <v>1.37</v>
      </c>
      <c r="E114" s="145">
        <v>0.14000000000000001</v>
      </c>
      <c r="F114" s="145">
        <v>0.03</v>
      </c>
      <c r="G114" s="145" t="s">
        <v>400</v>
      </c>
      <c r="H114" s="145">
        <v>0.06</v>
      </c>
      <c r="I114" s="145">
        <v>0.06</v>
      </c>
      <c r="J114" s="145" t="s">
        <v>400</v>
      </c>
      <c r="K114" s="145" t="s">
        <v>400</v>
      </c>
      <c r="L114" s="145">
        <v>17.72</v>
      </c>
      <c r="M114" s="145">
        <v>2.5</v>
      </c>
      <c r="N114" s="145">
        <v>27</v>
      </c>
      <c r="O114" s="145">
        <v>18</v>
      </c>
      <c r="P114" s="145">
        <v>0.27</v>
      </c>
      <c r="Q114" s="145">
        <v>32</v>
      </c>
      <c r="R114" s="145">
        <v>0.72</v>
      </c>
      <c r="S114" s="145">
        <v>27</v>
      </c>
      <c r="T114" s="145">
        <v>230</v>
      </c>
      <c r="U114" s="145">
        <v>0.09</v>
      </c>
      <c r="V114" s="145">
        <v>0.2</v>
      </c>
      <c r="W114" s="145" t="s">
        <v>400</v>
      </c>
      <c r="X114" s="145">
        <v>0.06</v>
      </c>
      <c r="Y114" s="145">
        <v>0.05</v>
      </c>
      <c r="Z114" s="145">
        <v>0.17</v>
      </c>
      <c r="AA114" s="145">
        <v>0.54</v>
      </c>
      <c r="AB114" s="145">
        <v>12.8</v>
      </c>
      <c r="AC114" s="145">
        <v>1</v>
      </c>
      <c r="AD114" s="145" t="s">
        <v>400</v>
      </c>
      <c r="AE114" s="145">
        <v>6</v>
      </c>
      <c r="AF114" s="145" t="s">
        <v>400</v>
      </c>
      <c r="AG114" s="145">
        <v>0.94</v>
      </c>
      <c r="AH114" s="145" t="s">
        <v>400</v>
      </c>
      <c r="AI114" s="145">
        <v>148</v>
      </c>
      <c r="AJ114" s="145">
        <v>0.2</v>
      </c>
      <c r="AK114" s="145">
        <v>787</v>
      </c>
      <c r="AL114" s="145">
        <v>5.74</v>
      </c>
      <c r="AM114" s="145" t="s">
        <v>400</v>
      </c>
    </row>
    <row r="115" spans="1:39">
      <c r="A115" s="143" t="s">
        <v>1174</v>
      </c>
      <c r="B115" s="144">
        <v>100</v>
      </c>
      <c r="C115" s="145">
        <v>116.4</v>
      </c>
      <c r="D115" s="145">
        <v>1.3</v>
      </c>
      <c r="E115" s="145">
        <v>5.13</v>
      </c>
      <c r="F115" s="145">
        <v>0.75</v>
      </c>
      <c r="G115" s="145">
        <v>1.17</v>
      </c>
      <c r="H115" s="145">
        <v>2.95</v>
      </c>
      <c r="I115" s="145">
        <v>2.61</v>
      </c>
      <c r="J115" s="145">
        <v>0.34</v>
      </c>
      <c r="K115" s="145" t="s">
        <v>400</v>
      </c>
      <c r="L115" s="145">
        <v>16.829999999999998</v>
      </c>
      <c r="M115" s="145">
        <v>2.38</v>
      </c>
      <c r="N115" s="145">
        <v>25.65</v>
      </c>
      <c r="O115" s="145">
        <v>17.100000000000001</v>
      </c>
      <c r="P115" s="145">
        <v>0.25</v>
      </c>
      <c r="Q115" s="145">
        <v>30.4</v>
      </c>
      <c r="R115" s="145">
        <v>0.69</v>
      </c>
      <c r="S115" s="145">
        <v>25.65</v>
      </c>
      <c r="T115" s="145">
        <v>218.5</v>
      </c>
      <c r="U115" s="145">
        <v>0.09</v>
      </c>
      <c r="V115" s="145">
        <v>0.19</v>
      </c>
      <c r="W115" s="145" t="s">
        <v>400</v>
      </c>
      <c r="X115" s="145">
        <v>0.05</v>
      </c>
      <c r="Y115" s="145">
        <v>0.04</v>
      </c>
      <c r="Z115" s="145">
        <v>0.16</v>
      </c>
      <c r="AA115" s="145">
        <v>0.51</v>
      </c>
      <c r="AB115" s="145">
        <v>12.16</v>
      </c>
      <c r="AC115" s="145">
        <v>0.95</v>
      </c>
      <c r="AD115" s="145" t="s">
        <v>400</v>
      </c>
      <c r="AE115" s="145">
        <v>5.7</v>
      </c>
      <c r="AF115" s="145" t="s">
        <v>400</v>
      </c>
      <c r="AG115" s="145">
        <v>1.35</v>
      </c>
      <c r="AH115" s="145" t="s">
        <v>400</v>
      </c>
      <c r="AI115" s="145">
        <v>148</v>
      </c>
      <c r="AJ115" s="145">
        <v>2.48</v>
      </c>
      <c r="AK115" s="145">
        <v>747.65</v>
      </c>
      <c r="AL115" s="145">
        <v>5.45</v>
      </c>
      <c r="AM115" s="145" t="s">
        <v>400</v>
      </c>
    </row>
    <row r="116" spans="1:39">
      <c r="A116" s="143" t="s">
        <v>1175</v>
      </c>
      <c r="B116" s="144">
        <v>100</v>
      </c>
      <c r="C116" s="145">
        <v>91.74</v>
      </c>
      <c r="D116" s="145">
        <v>1.37</v>
      </c>
      <c r="E116" s="145">
        <v>1.92</v>
      </c>
      <c r="F116" s="145">
        <v>0.28999999999999998</v>
      </c>
      <c r="G116" s="145">
        <v>0.41</v>
      </c>
      <c r="H116" s="145">
        <v>1.0900000000000001</v>
      </c>
      <c r="I116" s="145">
        <v>0.97</v>
      </c>
      <c r="J116" s="145">
        <v>0.12</v>
      </c>
      <c r="K116" s="145" t="s">
        <v>400</v>
      </c>
      <c r="L116" s="145">
        <v>17.72</v>
      </c>
      <c r="M116" s="145">
        <v>2.5</v>
      </c>
      <c r="N116" s="145">
        <v>27</v>
      </c>
      <c r="O116" s="145">
        <v>18</v>
      </c>
      <c r="P116" s="145">
        <v>0.27</v>
      </c>
      <c r="Q116" s="145">
        <v>32</v>
      </c>
      <c r="R116" s="145">
        <v>0.72</v>
      </c>
      <c r="S116" s="145">
        <v>27</v>
      </c>
      <c r="T116" s="145">
        <v>230</v>
      </c>
      <c r="U116" s="145">
        <v>0.09</v>
      </c>
      <c r="V116" s="145">
        <v>0.2</v>
      </c>
      <c r="W116" s="145" t="s">
        <v>400</v>
      </c>
      <c r="X116" s="145">
        <v>0.06</v>
      </c>
      <c r="Y116" s="145">
        <v>0.05</v>
      </c>
      <c r="Z116" s="145">
        <v>0.17</v>
      </c>
      <c r="AA116" s="145">
        <v>0.54</v>
      </c>
      <c r="AB116" s="145">
        <v>12.8</v>
      </c>
      <c r="AC116" s="145">
        <v>1</v>
      </c>
      <c r="AD116" s="145" t="s">
        <v>400</v>
      </c>
      <c r="AE116" s="145">
        <v>6</v>
      </c>
      <c r="AF116" s="145" t="s">
        <v>400</v>
      </c>
      <c r="AG116" s="145">
        <v>1.1000000000000001</v>
      </c>
      <c r="AH116" s="145" t="s">
        <v>400</v>
      </c>
      <c r="AI116" s="145">
        <v>148</v>
      </c>
      <c r="AJ116" s="145">
        <v>1.02</v>
      </c>
      <c r="AK116" s="145">
        <v>787</v>
      </c>
      <c r="AL116" s="145">
        <v>5.74</v>
      </c>
      <c r="AM116" s="145" t="s">
        <v>400</v>
      </c>
    </row>
    <row r="117" spans="1:39">
      <c r="A117" s="143" t="s">
        <v>1176</v>
      </c>
      <c r="B117" s="144">
        <v>100</v>
      </c>
      <c r="C117" s="145">
        <v>91.74</v>
      </c>
      <c r="D117" s="145">
        <v>1.37</v>
      </c>
      <c r="E117" s="145">
        <v>1.92</v>
      </c>
      <c r="F117" s="145">
        <v>0.28999999999999998</v>
      </c>
      <c r="G117" s="145">
        <v>0.41</v>
      </c>
      <c r="H117" s="145">
        <v>1.0900000000000001</v>
      </c>
      <c r="I117" s="145">
        <v>0.97</v>
      </c>
      <c r="J117" s="145">
        <v>0.12</v>
      </c>
      <c r="K117" s="145" t="s">
        <v>400</v>
      </c>
      <c r="L117" s="145">
        <v>17.72</v>
      </c>
      <c r="M117" s="145">
        <v>2.5</v>
      </c>
      <c r="N117" s="145">
        <v>27</v>
      </c>
      <c r="O117" s="145">
        <v>18</v>
      </c>
      <c r="P117" s="145">
        <v>0.27</v>
      </c>
      <c r="Q117" s="145">
        <v>32</v>
      </c>
      <c r="R117" s="145">
        <v>0.72</v>
      </c>
      <c r="S117" s="145">
        <v>27</v>
      </c>
      <c r="T117" s="145">
        <v>230</v>
      </c>
      <c r="U117" s="145">
        <v>0.09</v>
      </c>
      <c r="V117" s="145">
        <v>0.2</v>
      </c>
      <c r="W117" s="145" t="s">
        <v>400</v>
      </c>
      <c r="X117" s="145">
        <v>0.06</v>
      </c>
      <c r="Y117" s="145">
        <v>0.05</v>
      </c>
      <c r="Z117" s="145">
        <v>0.17</v>
      </c>
      <c r="AA117" s="145">
        <v>0.54</v>
      </c>
      <c r="AB117" s="145">
        <v>12.8</v>
      </c>
      <c r="AC117" s="145">
        <v>1</v>
      </c>
      <c r="AD117" s="145" t="s">
        <v>400</v>
      </c>
      <c r="AE117" s="145">
        <v>6</v>
      </c>
      <c r="AF117" s="145" t="s">
        <v>400</v>
      </c>
      <c r="AG117" s="145">
        <v>1.1000000000000001</v>
      </c>
      <c r="AH117" s="145" t="s">
        <v>400</v>
      </c>
      <c r="AI117" s="145">
        <v>148</v>
      </c>
      <c r="AJ117" s="145">
        <v>1.02</v>
      </c>
      <c r="AK117" s="145">
        <v>787</v>
      </c>
      <c r="AL117" s="145">
        <v>5.74</v>
      </c>
      <c r="AM117" s="145" t="s">
        <v>400</v>
      </c>
    </row>
    <row r="118" spans="1:39">
      <c r="A118" s="143" t="s">
        <v>1177</v>
      </c>
      <c r="B118" s="144">
        <v>100</v>
      </c>
      <c r="C118" s="145">
        <v>16</v>
      </c>
      <c r="D118" s="145">
        <v>0.68</v>
      </c>
      <c r="E118" s="145">
        <v>0.1</v>
      </c>
      <c r="F118" s="145">
        <v>0.03</v>
      </c>
      <c r="G118" s="145">
        <v>0.02</v>
      </c>
      <c r="H118" s="145">
        <v>0.05</v>
      </c>
      <c r="I118" s="145">
        <v>0.02</v>
      </c>
      <c r="J118" s="145">
        <v>0.03</v>
      </c>
      <c r="K118" s="145" t="s">
        <v>400</v>
      </c>
      <c r="L118" s="145">
        <v>3.4</v>
      </c>
      <c r="M118" s="145">
        <v>1.6</v>
      </c>
      <c r="N118" s="145">
        <v>25</v>
      </c>
      <c r="O118" s="145">
        <v>10</v>
      </c>
      <c r="P118" s="145">
        <v>7.0000000000000007E-2</v>
      </c>
      <c r="Q118" s="145">
        <v>20</v>
      </c>
      <c r="R118" s="145">
        <v>0.34</v>
      </c>
      <c r="S118" s="145">
        <v>39</v>
      </c>
      <c r="T118" s="145">
        <v>233</v>
      </c>
      <c r="U118" s="145">
        <v>0.05</v>
      </c>
      <c r="V118" s="145">
        <v>0.28000000000000003</v>
      </c>
      <c r="W118" s="145" t="s">
        <v>400</v>
      </c>
      <c r="X118" s="145">
        <v>0.01</v>
      </c>
      <c r="Y118" s="145">
        <v>0.04</v>
      </c>
      <c r="Z118" s="145">
        <v>7.0000000000000007E-2</v>
      </c>
      <c r="AA118" s="145">
        <v>0.25</v>
      </c>
      <c r="AB118" s="145">
        <v>14.8</v>
      </c>
      <c r="AC118" s="145">
        <v>0.4</v>
      </c>
      <c r="AD118" s="145" t="s">
        <v>400</v>
      </c>
      <c r="AE118" s="145">
        <v>25</v>
      </c>
      <c r="AF118" s="145" t="s">
        <v>400</v>
      </c>
      <c r="AG118" s="145" t="s">
        <v>400</v>
      </c>
      <c r="AH118" s="145" t="s">
        <v>400</v>
      </c>
      <c r="AI118" s="145" t="s">
        <v>400</v>
      </c>
      <c r="AJ118" s="145">
        <v>0.6</v>
      </c>
      <c r="AK118" s="145">
        <v>0.33</v>
      </c>
      <c r="AL118" s="145">
        <v>0.92</v>
      </c>
      <c r="AM118" s="145" t="s">
        <v>400</v>
      </c>
    </row>
    <row r="119" spans="1:39">
      <c r="A119" s="143" t="s">
        <v>1178</v>
      </c>
      <c r="B119" s="144">
        <v>100</v>
      </c>
      <c r="C119" s="145">
        <v>18</v>
      </c>
      <c r="D119" s="145">
        <v>0.6</v>
      </c>
      <c r="E119" s="145">
        <v>0.1</v>
      </c>
      <c r="F119" s="145">
        <v>0.03</v>
      </c>
      <c r="G119" s="145">
        <v>0.02</v>
      </c>
      <c r="H119" s="145">
        <v>0.05</v>
      </c>
      <c r="I119" s="145">
        <v>0.02</v>
      </c>
      <c r="J119" s="145">
        <v>0.03</v>
      </c>
      <c r="K119" s="145" t="s">
        <v>400</v>
      </c>
      <c r="L119" s="145">
        <v>4.0999999999999996</v>
      </c>
      <c r="M119" s="145">
        <v>1.6</v>
      </c>
      <c r="N119" s="145">
        <v>27</v>
      </c>
      <c r="O119" s="145">
        <v>16</v>
      </c>
      <c r="P119" s="145">
        <v>0.04</v>
      </c>
      <c r="Q119" s="145">
        <v>23</v>
      </c>
      <c r="R119" s="145">
        <v>0.4</v>
      </c>
      <c r="S119" s="145">
        <v>21</v>
      </c>
      <c r="T119" s="145">
        <v>227</v>
      </c>
      <c r="U119" s="145">
        <v>0.12</v>
      </c>
      <c r="V119" s="145">
        <v>0.15</v>
      </c>
      <c r="W119" s="145" t="s">
        <v>400</v>
      </c>
      <c r="X119" s="145">
        <v>0.02</v>
      </c>
      <c r="Y119" s="145">
        <v>0.02</v>
      </c>
      <c r="Z119" s="145">
        <v>0.05</v>
      </c>
      <c r="AA119" s="145">
        <v>0.2</v>
      </c>
      <c r="AB119" s="145">
        <v>22</v>
      </c>
      <c r="AC119" s="145">
        <v>0.25</v>
      </c>
      <c r="AD119" s="145" t="s">
        <v>400</v>
      </c>
      <c r="AE119" s="145">
        <v>28</v>
      </c>
      <c r="AF119" s="145" t="s">
        <v>400</v>
      </c>
      <c r="AG119" s="145" t="s">
        <v>400</v>
      </c>
      <c r="AH119" s="145" t="s">
        <v>400</v>
      </c>
      <c r="AI119" s="145">
        <v>257</v>
      </c>
      <c r="AJ119" s="145">
        <v>0.7</v>
      </c>
      <c r="AK119" s="145" t="s">
        <v>400</v>
      </c>
      <c r="AL119" s="145">
        <v>2.89</v>
      </c>
      <c r="AM119" s="145" t="s">
        <v>400</v>
      </c>
    </row>
    <row r="120" spans="1:39">
      <c r="A120" s="143" t="s">
        <v>1179</v>
      </c>
      <c r="B120" s="144">
        <v>100</v>
      </c>
      <c r="C120" s="145">
        <v>18</v>
      </c>
      <c r="D120" s="145">
        <v>0.6</v>
      </c>
      <c r="E120" s="145">
        <v>0.1</v>
      </c>
      <c r="F120" s="145">
        <v>0.03</v>
      </c>
      <c r="G120" s="145">
        <v>0.02</v>
      </c>
      <c r="H120" s="145">
        <v>0.05</v>
      </c>
      <c r="I120" s="145">
        <v>0.02</v>
      </c>
      <c r="J120" s="145">
        <v>0.03</v>
      </c>
      <c r="K120" s="145" t="s">
        <v>400</v>
      </c>
      <c r="L120" s="145">
        <v>4.0999999999999996</v>
      </c>
      <c r="M120" s="145">
        <v>1.6</v>
      </c>
      <c r="N120" s="145">
        <v>27</v>
      </c>
      <c r="O120" s="145">
        <v>16</v>
      </c>
      <c r="P120" s="145">
        <v>0.04</v>
      </c>
      <c r="Q120" s="145">
        <v>23</v>
      </c>
      <c r="R120" s="145">
        <v>0.4</v>
      </c>
      <c r="S120" s="145">
        <v>21</v>
      </c>
      <c r="T120" s="145">
        <v>227</v>
      </c>
      <c r="U120" s="145">
        <v>0.12</v>
      </c>
      <c r="V120" s="145">
        <v>0.15</v>
      </c>
      <c r="W120" s="145" t="s">
        <v>400</v>
      </c>
      <c r="X120" s="145">
        <v>0.02</v>
      </c>
      <c r="Y120" s="145">
        <v>0.02</v>
      </c>
      <c r="Z120" s="145">
        <v>0.05</v>
      </c>
      <c r="AA120" s="145">
        <v>0.2</v>
      </c>
      <c r="AB120" s="145">
        <v>22</v>
      </c>
      <c r="AC120" s="145">
        <v>0.25</v>
      </c>
      <c r="AD120" s="145" t="s">
        <v>400</v>
      </c>
      <c r="AE120" s="145">
        <v>28</v>
      </c>
      <c r="AF120" s="145" t="s">
        <v>400</v>
      </c>
      <c r="AG120" s="145" t="s">
        <v>400</v>
      </c>
      <c r="AH120" s="145" t="s">
        <v>400</v>
      </c>
      <c r="AI120" s="145">
        <v>257</v>
      </c>
      <c r="AJ120" s="145">
        <v>0.7</v>
      </c>
      <c r="AK120" s="145" t="s">
        <v>400</v>
      </c>
      <c r="AL120" s="145">
        <v>2.89</v>
      </c>
      <c r="AM120" s="145" t="s">
        <v>400</v>
      </c>
    </row>
    <row r="121" spans="1:39">
      <c r="A121" s="143" t="s">
        <v>1180</v>
      </c>
      <c r="B121" s="144">
        <v>100</v>
      </c>
      <c r="C121" s="145">
        <v>43</v>
      </c>
      <c r="D121" s="145">
        <v>1.61</v>
      </c>
      <c r="E121" s="145">
        <v>0.17</v>
      </c>
      <c r="F121" s="145">
        <v>0.03</v>
      </c>
      <c r="G121" s="145">
        <v>0.03</v>
      </c>
      <c r="H121" s="145">
        <v>0.06</v>
      </c>
      <c r="I121" s="145">
        <v>0.06</v>
      </c>
      <c r="J121" s="145">
        <v>0.01</v>
      </c>
      <c r="K121" s="145" t="s">
        <v>400</v>
      </c>
      <c r="L121" s="145">
        <v>9.56</v>
      </c>
      <c r="M121" s="145">
        <v>2.8</v>
      </c>
      <c r="N121" s="145">
        <v>16</v>
      </c>
      <c r="O121" s="145">
        <v>23</v>
      </c>
      <c r="P121" s="145">
        <v>0.33</v>
      </c>
      <c r="Q121" s="145">
        <v>40</v>
      </c>
      <c r="R121" s="145">
        <v>0.8</v>
      </c>
      <c r="S121" s="145">
        <v>78</v>
      </c>
      <c r="T121" s="145">
        <v>325</v>
      </c>
      <c r="U121" s="145">
        <v>0.08</v>
      </c>
      <c r="V121" s="145">
        <v>0.35</v>
      </c>
      <c r="W121" s="145" t="s">
        <v>400</v>
      </c>
      <c r="X121" s="145">
        <v>0.03</v>
      </c>
      <c r="Y121" s="145">
        <v>0.04</v>
      </c>
      <c r="Z121" s="145">
        <v>7.0000000000000007E-2</v>
      </c>
      <c r="AA121" s="145">
        <v>0.33</v>
      </c>
      <c r="AB121" s="145">
        <v>4.9000000000000004</v>
      </c>
      <c r="AC121" s="145">
        <v>0.65</v>
      </c>
      <c r="AD121" s="145" t="s">
        <v>400</v>
      </c>
      <c r="AE121" s="145">
        <v>109</v>
      </c>
      <c r="AF121" s="145" t="s">
        <v>400</v>
      </c>
      <c r="AG121" s="145">
        <v>0.04</v>
      </c>
      <c r="AH121" s="145" t="s">
        <v>400</v>
      </c>
      <c r="AI121" s="145" t="s">
        <v>400</v>
      </c>
      <c r="AJ121" s="145">
        <v>0.7</v>
      </c>
      <c r="AK121" s="145">
        <v>1.67</v>
      </c>
      <c r="AL121" s="145">
        <v>6.5</v>
      </c>
      <c r="AM121" s="145" t="s">
        <v>400</v>
      </c>
    </row>
    <row r="122" spans="1:39">
      <c r="A122" s="143" t="s">
        <v>1181</v>
      </c>
      <c r="B122" s="144">
        <v>100</v>
      </c>
      <c r="C122" s="145">
        <v>44</v>
      </c>
      <c r="D122" s="145">
        <v>1.68</v>
      </c>
      <c r="E122" s="145">
        <v>0.18</v>
      </c>
      <c r="F122" s="145">
        <v>0.03</v>
      </c>
      <c r="G122" s="145">
        <v>0.04</v>
      </c>
      <c r="H122" s="145">
        <v>0.06</v>
      </c>
      <c r="I122" s="145">
        <v>0.06</v>
      </c>
      <c r="J122" s="145">
        <v>0.01</v>
      </c>
      <c r="K122" s="145" t="s">
        <v>400</v>
      </c>
      <c r="L122" s="145">
        <v>9.9600000000000009</v>
      </c>
      <c r="M122" s="145">
        <v>2</v>
      </c>
      <c r="N122" s="145">
        <v>16</v>
      </c>
      <c r="O122" s="145">
        <v>23</v>
      </c>
      <c r="P122" s="145">
        <v>0.33</v>
      </c>
      <c r="Q122" s="145">
        <v>38</v>
      </c>
      <c r="R122" s="145">
        <v>0.79</v>
      </c>
      <c r="S122" s="145">
        <v>77</v>
      </c>
      <c r="T122" s="145">
        <v>305</v>
      </c>
      <c r="U122" s="145">
        <v>7.0000000000000007E-2</v>
      </c>
      <c r="V122" s="145">
        <v>0.35</v>
      </c>
      <c r="W122" s="145" t="s">
        <v>400</v>
      </c>
      <c r="X122" s="145">
        <v>0.03</v>
      </c>
      <c r="Y122" s="145">
        <v>0.04</v>
      </c>
      <c r="Z122" s="145">
        <v>7.0000000000000007E-2</v>
      </c>
      <c r="AA122" s="145">
        <v>0.33</v>
      </c>
      <c r="AB122" s="145">
        <v>3.6</v>
      </c>
      <c r="AC122" s="145">
        <v>0.66</v>
      </c>
      <c r="AD122" s="145" t="s">
        <v>400</v>
      </c>
      <c r="AE122" s="145">
        <v>80</v>
      </c>
      <c r="AF122" s="145" t="s">
        <v>400</v>
      </c>
      <c r="AG122" s="145">
        <v>0.04</v>
      </c>
      <c r="AH122" s="145" t="s">
        <v>400</v>
      </c>
      <c r="AI122" s="145">
        <v>222</v>
      </c>
      <c r="AJ122" s="145">
        <v>0.7</v>
      </c>
      <c r="AK122" s="145">
        <v>1.75</v>
      </c>
      <c r="AL122" s="145">
        <v>8.8000000000000007</v>
      </c>
      <c r="AM122" s="145" t="s">
        <v>400</v>
      </c>
    </row>
    <row r="123" spans="1:39">
      <c r="A123" s="143" t="s">
        <v>1182</v>
      </c>
      <c r="B123" s="144">
        <v>100</v>
      </c>
      <c r="C123" s="145">
        <v>67.62</v>
      </c>
      <c r="D123" s="145">
        <v>1.68</v>
      </c>
      <c r="E123" s="145">
        <v>2.85</v>
      </c>
      <c r="F123" s="145">
        <v>0.41</v>
      </c>
      <c r="G123" s="145">
        <v>0.66</v>
      </c>
      <c r="H123" s="145">
        <v>1.61</v>
      </c>
      <c r="I123" s="145">
        <v>1.42</v>
      </c>
      <c r="J123" s="145">
        <v>0.19</v>
      </c>
      <c r="K123" s="145" t="s">
        <v>400</v>
      </c>
      <c r="L123" s="145">
        <v>9.9600000000000009</v>
      </c>
      <c r="M123" s="145">
        <v>2</v>
      </c>
      <c r="N123" s="145">
        <v>16</v>
      </c>
      <c r="O123" s="145">
        <v>23</v>
      </c>
      <c r="P123" s="145">
        <v>0.33</v>
      </c>
      <c r="Q123" s="145">
        <v>38</v>
      </c>
      <c r="R123" s="145">
        <v>0.79</v>
      </c>
      <c r="S123" s="145">
        <v>77</v>
      </c>
      <c r="T123" s="145">
        <v>305</v>
      </c>
      <c r="U123" s="145">
        <v>7.0000000000000007E-2</v>
      </c>
      <c r="V123" s="145">
        <v>0.35</v>
      </c>
      <c r="W123" s="145" t="s">
        <v>400</v>
      </c>
      <c r="X123" s="145">
        <v>0.03</v>
      </c>
      <c r="Y123" s="145">
        <v>0.04</v>
      </c>
      <c r="Z123" s="145">
        <v>7.0000000000000007E-2</v>
      </c>
      <c r="AA123" s="145">
        <v>0.33</v>
      </c>
      <c r="AB123" s="145">
        <v>3.6</v>
      </c>
      <c r="AC123" s="145">
        <v>0.66</v>
      </c>
      <c r="AD123" s="145" t="s">
        <v>400</v>
      </c>
      <c r="AE123" s="145">
        <v>80</v>
      </c>
      <c r="AF123" s="145" t="s">
        <v>400</v>
      </c>
      <c r="AG123" s="145">
        <v>0.28999999999999998</v>
      </c>
      <c r="AH123" s="145" t="s">
        <v>400</v>
      </c>
      <c r="AI123" s="145">
        <v>222</v>
      </c>
      <c r="AJ123" s="145">
        <v>1.92</v>
      </c>
      <c r="AK123" s="145">
        <v>1.75</v>
      </c>
      <c r="AL123" s="145">
        <v>8.8000000000000007</v>
      </c>
      <c r="AM123" s="145" t="s">
        <v>400</v>
      </c>
    </row>
    <row r="124" spans="1:39">
      <c r="A124" s="143" t="s">
        <v>1183</v>
      </c>
      <c r="B124" s="144">
        <v>100</v>
      </c>
      <c r="C124" s="145">
        <v>44</v>
      </c>
      <c r="D124" s="145">
        <v>1.68</v>
      </c>
      <c r="E124" s="145">
        <v>0.18</v>
      </c>
      <c r="F124" s="145">
        <v>0.03</v>
      </c>
      <c r="G124" s="145">
        <v>0.04</v>
      </c>
      <c r="H124" s="145">
        <v>0.06</v>
      </c>
      <c r="I124" s="145">
        <v>0.06</v>
      </c>
      <c r="J124" s="145">
        <v>0.01</v>
      </c>
      <c r="K124" s="145" t="s">
        <v>400</v>
      </c>
      <c r="L124" s="145">
        <v>9.9600000000000009</v>
      </c>
      <c r="M124" s="145">
        <v>2</v>
      </c>
      <c r="N124" s="145">
        <v>16</v>
      </c>
      <c r="O124" s="145">
        <v>23</v>
      </c>
      <c r="P124" s="145">
        <v>0.33</v>
      </c>
      <c r="Q124" s="145">
        <v>38</v>
      </c>
      <c r="R124" s="145">
        <v>0.79</v>
      </c>
      <c r="S124" s="145">
        <v>77</v>
      </c>
      <c r="T124" s="145">
        <v>305</v>
      </c>
      <c r="U124" s="145">
        <v>7.0000000000000007E-2</v>
      </c>
      <c r="V124" s="145">
        <v>0.35</v>
      </c>
      <c r="W124" s="145" t="s">
        <v>400</v>
      </c>
      <c r="X124" s="145">
        <v>0.03</v>
      </c>
      <c r="Y124" s="145">
        <v>0.04</v>
      </c>
      <c r="Z124" s="145">
        <v>7.0000000000000007E-2</v>
      </c>
      <c r="AA124" s="145">
        <v>0.33</v>
      </c>
      <c r="AB124" s="145">
        <v>3.6</v>
      </c>
      <c r="AC124" s="145">
        <v>0.66</v>
      </c>
      <c r="AD124" s="145" t="s">
        <v>400</v>
      </c>
      <c r="AE124" s="145">
        <v>80</v>
      </c>
      <c r="AF124" s="145" t="s">
        <v>400</v>
      </c>
      <c r="AG124" s="145">
        <v>0.04</v>
      </c>
      <c r="AH124" s="145" t="s">
        <v>400</v>
      </c>
      <c r="AI124" s="145">
        <v>222</v>
      </c>
      <c r="AJ124" s="145">
        <v>0.7</v>
      </c>
      <c r="AK124" s="145">
        <v>1.75</v>
      </c>
      <c r="AL124" s="145">
        <v>8.8000000000000007</v>
      </c>
      <c r="AM124" s="145" t="s">
        <v>400</v>
      </c>
    </row>
    <row r="125" spans="1:39">
      <c r="A125" s="143" t="s">
        <v>1184</v>
      </c>
      <c r="B125" s="144">
        <v>100</v>
      </c>
      <c r="C125" s="145">
        <v>31.443000000000001</v>
      </c>
      <c r="D125" s="145">
        <v>0.94799999999999995</v>
      </c>
      <c r="E125" s="145">
        <v>0.123</v>
      </c>
      <c r="F125" s="145">
        <v>3.9E-2</v>
      </c>
      <c r="G125" s="145">
        <v>2.7E-2</v>
      </c>
      <c r="H125" s="145">
        <v>3.2000000000000001E-2</v>
      </c>
      <c r="I125" s="145">
        <v>2.7E-2</v>
      </c>
      <c r="J125" s="145">
        <v>5.0000000000000001E-3</v>
      </c>
      <c r="K125" s="145" t="s">
        <v>400</v>
      </c>
      <c r="L125" s="145">
        <v>7.0119999999999996</v>
      </c>
      <c r="M125" s="145">
        <v>0.71099999999999997</v>
      </c>
      <c r="N125" s="145">
        <v>8.5549999999999997</v>
      </c>
      <c r="O125" s="145">
        <v>6.3470000000000004</v>
      </c>
      <c r="P125" s="145">
        <v>6.8000000000000005E-2</v>
      </c>
      <c r="Q125" s="145">
        <v>15.762</v>
      </c>
      <c r="R125" s="145">
        <v>0.28499999999999998</v>
      </c>
      <c r="S125" s="145">
        <v>310.43200000000002</v>
      </c>
      <c r="T125" s="145">
        <v>88.314999999999998</v>
      </c>
      <c r="U125" s="145">
        <v>3.9E-2</v>
      </c>
      <c r="V125" s="145">
        <v>0.115</v>
      </c>
      <c r="W125" s="145" t="s">
        <v>400</v>
      </c>
      <c r="X125" s="145">
        <v>0.03</v>
      </c>
      <c r="Y125" s="145">
        <v>2.5999999999999999E-2</v>
      </c>
      <c r="Z125" s="146">
        <v>0.04</v>
      </c>
      <c r="AA125" s="145">
        <v>0.505</v>
      </c>
      <c r="AB125" s="145">
        <v>2.0990000000000002</v>
      </c>
      <c r="AC125" s="145">
        <v>0.66700000000000004</v>
      </c>
      <c r="AD125" s="145">
        <v>1.4999999999999999E-2</v>
      </c>
      <c r="AE125" s="145">
        <v>9.2759999999999998</v>
      </c>
      <c r="AF125" s="145" t="s">
        <v>400</v>
      </c>
      <c r="AG125" s="145">
        <v>0.20399999999999999</v>
      </c>
      <c r="AH125" s="145">
        <v>2E-3</v>
      </c>
      <c r="AI125" s="145" t="s">
        <v>400</v>
      </c>
      <c r="AJ125" s="145">
        <v>1.3440000000000001</v>
      </c>
      <c r="AK125" s="145">
        <v>33.475999999999999</v>
      </c>
      <c r="AL125" s="145">
        <v>3.2749999999999999</v>
      </c>
      <c r="AM125" s="145">
        <v>2.5230000000000001</v>
      </c>
    </row>
    <row r="126" spans="1:39">
      <c r="A126" s="143" t="s">
        <v>1185</v>
      </c>
      <c r="B126" s="144">
        <v>100</v>
      </c>
      <c r="C126" s="145">
        <v>43</v>
      </c>
      <c r="D126" s="145">
        <v>1.61</v>
      </c>
      <c r="E126" s="145">
        <v>0.17</v>
      </c>
      <c r="F126" s="145">
        <v>0.03</v>
      </c>
      <c r="G126" s="145">
        <v>0.03</v>
      </c>
      <c r="H126" s="145">
        <v>0.06</v>
      </c>
      <c r="I126" s="145">
        <v>0.06</v>
      </c>
      <c r="J126" s="145">
        <v>0.01</v>
      </c>
      <c r="K126" s="145" t="s">
        <v>400</v>
      </c>
      <c r="L126" s="145">
        <v>9.56</v>
      </c>
      <c r="M126" s="145">
        <v>2.8</v>
      </c>
      <c r="N126" s="145">
        <v>16</v>
      </c>
      <c r="O126" s="145">
        <v>23</v>
      </c>
      <c r="P126" s="145">
        <v>0.33</v>
      </c>
      <c r="Q126" s="145">
        <v>40</v>
      </c>
      <c r="R126" s="145">
        <v>0.8</v>
      </c>
      <c r="S126" s="145">
        <v>78</v>
      </c>
      <c r="T126" s="145">
        <v>325</v>
      </c>
      <c r="U126" s="145">
        <v>0.08</v>
      </c>
      <c r="V126" s="145">
        <v>0.35</v>
      </c>
      <c r="W126" s="145" t="s">
        <v>400</v>
      </c>
      <c r="X126" s="145">
        <v>0.03</v>
      </c>
      <c r="Y126" s="145">
        <v>0.04</v>
      </c>
      <c r="Z126" s="145">
        <v>7.0000000000000007E-2</v>
      </c>
      <c r="AA126" s="145">
        <v>0.33</v>
      </c>
      <c r="AB126" s="145">
        <v>4.9000000000000004</v>
      </c>
      <c r="AC126" s="145">
        <v>0.65</v>
      </c>
      <c r="AD126" s="145" t="s">
        <v>400</v>
      </c>
      <c r="AE126" s="145">
        <v>109</v>
      </c>
      <c r="AF126" s="145" t="s">
        <v>400</v>
      </c>
      <c r="AG126" s="145">
        <v>0.04</v>
      </c>
      <c r="AH126" s="145" t="s">
        <v>400</v>
      </c>
      <c r="AI126" s="145" t="s">
        <v>400</v>
      </c>
      <c r="AJ126" s="145">
        <v>0.7</v>
      </c>
      <c r="AK126" s="145">
        <v>1.67</v>
      </c>
      <c r="AL126" s="145">
        <v>6.5</v>
      </c>
      <c r="AM126" s="145" t="s">
        <v>400</v>
      </c>
    </row>
    <row r="127" spans="1:39">
      <c r="A127" s="143" t="s">
        <v>1186</v>
      </c>
      <c r="B127" s="144">
        <v>100</v>
      </c>
      <c r="C127" s="145">
        <v>41</v>
      </c>
      <c r="D127" s="145">
        <v>0.93</v>
      </c>
      <c r="E127" s="145">
        <v>0.24</v>
      </c>
      <c r="F127" s="145">
        <v>0.04</v>
      </c>
      <c r="G127" s="145">
        <v>0.01</v>
      </c>
      <c r="H127" s="145">
        <v>0.12</v>
      </c>
      <c r="I127" s="145">
        <v>0.12</v>
      </c>
      <c r="J127" s="145" t="s">
        <v>400</v>
      </c>
      <c r="K127" s="145" t="s">
        <v>400</v>
      </c>
      <c r="L127" s="145">
        <v>9.58</v>
      </c>
      <c r="M127" s="145">
        <v>2.8</v>
      </c>
      <c r="N127" s="145">
        <v>33</v>
      </c>
      <c r="O127" s="145">
        <v>12</v>
      </c>
      <c r="P127" s="145">
        <v>0.14000000000000001</v>
      </c>
      <c r="Q127" s="145">
        <v>35</v>
      </c>
      <c r="R127" s="145">
        <v>0.3</v>
      </c>
      <c r="S127" s="145">
        <v>69</v>
      </c>
      <c r="T127" s="145">
        <v>320</v>
      </c>
      <c r="U127" s="145">
        <v>0.05</v>
      </c>
      <c r="V127" s="145">
        <v>0.24</v>
      </c>
      <c r="W127" s="145" t="s">
        <v>400</v>
      </c>
      <c r="X127" s="145">
        <v>7.0000000000000007E-2</v>
      </c>
      <c r="Y127" s="145">
        <v>0.06</v>
      </c>
      <c r="Z127" s="145">
        <v>0.14000000000000001</v>
      </c>
      <c r="AA127" s="145">
        <v>0.98</v>
      </c>
      <c r="AB127" s="145">
        <v>5.9</v>
      </c>
      <c r="AC127" s="145">
        <v>1.18</v>
      </c>
      <c r="AD127" s="145" t="s">
        <v>400</v>
      </c>
      <c r="AE127" s="145">
        <v>19</v>
      </c>
      <c r="AF127" s="145" t="s">
        <v>400</v>
      </c>
      <c r="AG127" s="145">
        <v>0.86</v>
      </c>
      <c r="AH127" s="145" t="s">
        <v>400</v>
      </c>
      <c r="AI127" s="145" t="s">
        <v>400</v>
      </c>
      <c r="AJ127" s="145">
        <v>0.1</v>
      </c>
      <c r="AK127" s="145">
        <v>840.5</v>
      </c>
      <c r="AL127" s="145">
        <v>4.7300000000000004</v>
      </c>
      <c r="AM127" s="145" t="s">
        <v>400</v>
      </c>
    </row>
    <row r="128" spans="1:39">
      <c r="A128" s="143" t="s">
        <v>1187</v>
      </c>
      <c r="B128" s="144">
        <v>100</v>
      </c>
      <c r="C128" s="145">
        <v>35</v>
      </c>
      <c r="D128" s="145">
        <v>0.76</v>
      </c>
      <c r="E128" s="145">
        <v>0.18</v>
      </c>
      <c r="F128" s="145">
        <v>0.03</v>
      </c>
      <c r="G128" s="145">
        <v>0.01</v>
      </c>
      <c r="H128" s="145">
        <v>0.09</v>
      </c>
      <c r="I128" s="145">
        <v>0.09</v>
      </c>
      <c r="J128" s="145" t="s">
        <v>400</v>
      </c>
      <c r="K128" s="145" t="s">
        <v>400</v>
      </c>
      <c r="L128" s="145">
        <v>8.2200000000000006</v>
      </c>
      <c r="M128" s="145">
        <v>3</v>
      </c>
      <c r="N128" s="145">
        <v>30</v>
      </c>
      <c r="O128" s="145">
        <v>10</v>
      </c>
      <c r="P128" s="145">
        <v>0.16</v>
      </c>
      <c r="Q128" s="145">
        <v>30</v>
      </c>
      <c r="R128" s="145">
        <v>0.34</v>
      </c>
      <c r="S128" s="145">
        <v>58</v>
      </c>
      <c r="T128" s="145">
        <v>235</v>
      </c>
      <c r="U128" s="145">
        <v>0.02</v>
      </c>
      <c r="V128" s="145">
        <v>0.2</v>
      </c>
      <c r="W128" s="145" t="s">
        <v>400</v>
      </c>
      <c r="X128" s="145">
        <v>7.0000000000000007E-2</v>
      </c>
      <c r="Y128" s="145">
        <v>0.04</v>
      </c>
      <c r="Z128" s="145">
        <v>0.15</v>
      </c>
      <c r="AA128" s="145">
        <v>0.65</v>
      </c>
      <c r="AB128" s="145">
        <v>3.6</v>
      </c>
      <c r="AC128" s="145">
        <v>0.81</v>
      </c>
      <c r="AD128" s="145" t="s">
        <v>400</v>
      </c>
      <c r="AE128" s="145">
        <v>14</v>
      </c>
      <c r="AF128" s="145" t="s">
        <v>400</v>
      </c>
      <c r="AG128" s="145">
        <v>1.03</v>
      </c>
      <c r="AH128" s="145" t="s">
        <v>400</v>
      </c>
      <c r="AI128" s="145">
        <v>242</v>
      </c>
      <c r="AJ128" s="145">
        <v>0.7</v>
      </c>
      <c r="AK128" s="145">
        <v>860.08</v>
      </c>
      <c r="AL128" s="145">
        <v>3.46</v>
      </c>
      <c r="AM128" s="145" t="s">
        <v>400</v>
      </c>
    </row>
    <row r="129" spans="1:39">
      <c r="A129" s="143" t="s">
        <v>1188</v>
      </c>
      <c r="B129" s="144">
        <v>100</v>
      </c>
      <c r="C129" s="145">
        <v>60.47</v>
      </c>
      <c r="D129" s="145">
        <v>0.74</v>
      </c>
      <c r="E129" s="145">
        <v>3.17</v>
      </c>
      <c r="F129" s="145">
        <v>0.46</v>
      </c>
      <c r="G129" s="145">
        <v>0.7</v>
      </c>
      <c r="H129" s="145">
        <v>1.82</v>
      </c>
      <c r="I129" s="145">
        <v>1.61</v>
      </c>
      <c r="J129" s="145">
        <v>0.2</v>
      </c>
      <c r="K129" s="145" t="s">
        <v>400</v>
      </c>
      <c r="L129" s="145">
        <v>7.97</v>
      </c>
      <c r="M129" s="145">
        <v>2.91</v>
      </c>
      <c r="N129" s="145">
        <v>29.1</v>
      </c>
      <c r="O129" s="145">
        <v>9.6999999999999993</v>
      </c>
      <c r="P129" s="145">
        <v>0.15</v>
      </c>
      <c r="Q129" s="145">
        <v>29.1</v>
      </c>
      <c r="R129" s="145">
        <v>0.33</v>
      </c>
      <c r="S129" s="145">
        <v>56.26</v>
      </c>
      <c r="T129" s="145">
        <v>227.95</v>
      </c>
      <c r="U129" s="145">
        <v>0.02</v>
      </c>
      <c r="V129" s="145">
        <v>0.19</v>
      </c>
      <c r="W129" s="145" t="s">
        <v>400</v>
      </c>
      <c r="X129" s="145">
        <v>0.06</v>
      </c>
      <c r="Y129" s="145">
        <v>0.04</v>
      </c>
      <c r="Z129" s="145">
        <v>0.15</v>
      </c>
      <c r="AA129" s="145">
        <v>0.63</v>
      </c>
      <c r="AB129" s="145">
        <v>3.49</v>
      </c>
      <c r="AC129" s="145">
        <v>0.79</v>
      </c>
      <c r="AD129" s="145" t="s">
        <v>400</v>
      </c>
      <c r="AE129" s="145">
        <v>13.58</v>
      </c>
      <c r="AF129" s="145" t="s">
        <v>400</v>
      </c>
      <c r="AG129" s="145">
        <v>1.28</v>
      </c>
      <c r="AH129" s="145" t="s">
        <v>400</v>
      </c>
      <c r="AI129" s="145">
        <v>242</v>
      </c>
      <c r="AJ129" s="145">
        <v>2.0499999999999998</v>
      </c>
      <c r="AK129" s="145">
        <v>834.28</v>
      </c>
      <c r="AL129" s="145">
        <v>3.36</v>
      </c>
      <c r="AM129" s="145" t="s">
        <v>400</v>
      </c>
    </row>
    <row r="130" spans="1:39">
      <c r="A130" s="143" t="s">
        <v>1189</v>
      </c>
      <c r="B130" s="144">
        <v>100</v>
      </c>
      <c r="C130" s="145">
        <v>60.47</v>
      </c>
      <c r="D130" s="145">
        <v>0.74</v>
      </c>
      <c r="E130" s="145">
        <v>3.17</v>
      </c>
      <c r="F130" s="145">
        <v>0.46</v>
      </c>
      <c r="G130" s="145">
        <v>0.7</v>
      </c>
      <c r="H130" s="145">
        <v>1.82</v>
      </c>
      <c r="I130" s="145">
        <v>1.61</v>
      </c>
      <c r="J130" s="145">
        <v>0.2</v>
      </c>
      <c r="K130" s="145" t="s">
        <v>400</v>
      </c>
      <c r="L130" s="145">
        <v>7.97</v>
      </c>
      <c r="M130" s="145">
        <v>2.91</v>
      </c>
      <c r="N130" s="145">
        <v>29.1</v>
      </c>
      <c r="O130" s="145">
        <v>9.6999999999999993</v>
      </c>
      <c r="P130" s="145">
        <v>0.15</v>
      </c>
      <c r="Q130" s="145">
        <v>29.1</v>
      </c>
      <c r="R130" s="145">
        <v>0.33</v>
      </c>
      <c r="S130" s="145">
        <v>56.26</v>
      </c>
      <c r="T130" s="145">
        <v>227.95</v>
      </c>
      <c r="U130" s="145">
        <v>0.02</v>
      </c>
      <c r="V130" s="145">
        <v>0.19</v>
      </c>
      <c r="W130" s="145" t="s">
        <v>400</v>
      </c>
      <c r="X130" s="145">
        <v>0.06</v>
      </c>
      <c r="Y130" s="145">
        <v>0.04</v>
      </c>
      <c r="Z130" s="145">
        <v>0.15</v>
      </c>
      <c r="AA130" s="145">
        <v>0.63</v>
      </c>
      <c r="AB130" s="145">
        <v>3.49</v>
      </c>
      <c r="AC130" s="145">
        <v>0.79</v>
      </c>
      <c r="AD130" s="145" t="s">
        <v>400</v>
      </c>
      <c r="AE130" s="145">
        <v>13.58</v>
      </c>
      <c r="AF130" s="145" t="s">
        <v>400</v>
      </c>
      <c r="AG130" s="145">
        <v>1.28</v>
      </c>
      <c r="AH130" s="145" t="s">
        <v>400</v>
      </c>
      <c r="AI130" s="145">
        <v>242</v>
      </c>
      <c r="AJ130" s="145">
        <v>2.0499999999999998</v>
      </c>
      <c r="AK130" s="145">
        <v>834.28</v>
      </c>
      <c r="AL130" s="145">
        <v>3.36</v>
      </c>
      <c r="AM130" s="145" t="s">
        <v>400</v>
      </c>
    </row>
    <row r="131" spans="1:39">
      <c r="A131" s="143" t="s">
        <v>1190</v>
      </c>
      <c r="B131" s="144">
        <v>100</v>
      </c>
      <c r="C131" s="145">
        <v>32.799999999999997</v>
      </c>
      <c r="D131" s="145">
        <v>0.87</v>
      </c>
      <c r="E131" s="145">
        <v>0.18</v>
      </c>
      <c r="F131" s="145">
        <v>0.03</v>
      </c>
      <c r="G131" s="145">
        <v>0.01</v>
      </c>
      <c r="H131" s="145">
        <v>0.09</v>
      </c>
      <c r="I131" s="145">
        <v>0.08</v>
      </c>
      <c r="J131" s="145" t="s">
        <v>400</v>
      </c>
      <c r="K131" s="145" t="s">
        <v>400</v>
      </c>
      <c r="L131" s="145">
        <v>7.65</v>
      </c>
      <c r="M131" s="145">
        <v>2.7</v>
      </c>
      <c r="N131" s="145">
        <v>26.6</v>
      </c>
      <c r="O131" s="145">
        <v>11.2</v>
      </c>
      <c r="P131" s="145">
        <v>0.15</v>
      </c>
      <c r="Q131" s="145">
        <v>29.2</v>
      </c>
      <c r="R131" s="145">
        <v>0.48</v>
      </c>
      <c r="S131" s="145">
        <v>151.19999999999999</v>
      </c>
      <c r="T131" s="145">
        <v>254.2</v>
      </c>
      <c r="U131" s="145">
        <v>0.04</v>
      </c>
      <c r="V131" s="145">
        <v>0.2</v>
      </c>
      <c r="W131" s="145" t="s">
        <v>400</v>
      </c>
      <c r="X131" s="145">
        <v>0.06</v>
      </c>
      <c r="Y131" s="145">
        <v>0.05</v>
      </c>
      <c r="Z131" s="145">
        <v>0.14000000000000001</v>
      </c>
      <c r="AA131" s="145">
        <v>0.71</v>
      </c>
      <c r="AB131" s="145">
        <v>4.28</v>
      </c>
      <c r="AC131" s="145">
        <v>0.88</v>
      </c>
      <c r="AD131" s="145" t="s">
        <v>400</v>
      </c>
      <c r="AE131" s="145">
        <v>13.4</v>
      </c>
      <c r="AF131" s="145" t="s">
        <v>400</v>
      </c>
      <c r="AG131" s="145">
        <v>1.1100000000000001</v>
      </c>
      <c r="AH131" s="145" t="s">
        <v>400</v>
      </c>
      <c r="AI131" s="145">
        <v>242</v>
      </c>
      <c r="AJ131" s="145">
        <v>0.6</v>
      </c>
      <c r="AK131" s="145">
        <v>691.55</v>
      </c>
      <c r="AL131" s="145">
        <v>3.62</v>
      </c>
      <c r="AM131" s="145" t="s">
        <v>400</v>
      </c>
    </row>
    <row r="132" spans="1:39">
      <c r="A132" s="143" t="s">
        <v>1191</v>
      </c>
      <c r="B132" s="144">
        <v>100</v>
      </c>
      <c r="C132" s="145">
        <v>60.47</v>
      </c>
      <c r="D132" s="145">
        <v>0.74</v>
      </c>
      <c r="E132" s="145">
        <v>3.17</v>
      </c>
      <c r="F132" s="145">
        <v>0.46</v>
      </c>
      <c r="G132" s="145">
        <v>0.7</v>
      </c>
      <c r="H132" s="145">
        <v>1.82</v>
      </c>
      <c r="I132" s="145">
        <v>1.61</v>
      </c>
      <c r="J132" s="145">
        <v>0.2</v>
      </c>
      <c r="K132" s="145" t="s">
        <v>400</v>
      </c>
      <c r="L132" s="145">
        <v>7.97</v>
      </c>
      <c r="M132" s="145">
        <v>2.91</v>
      </c>
      <c r="N132" s="145">
        <v>29.1</v>
      </c>
      <c r="O132" s="145">
        <v>9.6999999999999993</v>
      </c>
      <c r="P132" s="145">
        <v>0.15</v>
      </c>
      <c r="Q132" s="145">
        <v>29.1</v>
      </c>
      <c r="R132" s="145">
        <v>0.33</v>
      </c>
      <c r="S132" s="145">
        <v>56.26</v>
      </c>
      <c r="T132" s="145">
        <v>227.95</v>
      </c>
      <c r="U132" s="145">
        <v>0.02</v>
      </c>
      <c r="V132" s="145">
        <v>0.19</v>
      </c>
      <c r="W132" s="145" t="s">
        <v>400</v>
      </c>
      <c r="X132" s="145">
        <v>0.06</v>
      </c>
      <c r="Y132" s="145">
        <v>0.04</v>
      </c>
      <c r="Z132" s="145">
        <v>0.15</v>
      </c>
      <c r="AA132" s="145">
        <v>0.63</v>
      </c>
      <c r="AB132" s="145">
        <v>3.49</v>
      </c>
      <c r="AC132" s="145">
        <v>0.79</v>
      </c>
      <c r="AD132" s="145" t="s">
        <v>400</v>
      </c>
      <c r="AE132" s="145">
        <v>13.58</v>
      </c>
      <c r="AF132" s="145" t="s">
        <v>400</v>
      </c>
      <c r="AG132" s="145">
        <v>1.28</v>
      </c>
      <c r="AH132" s="145" t="s">
        <v>400</v>
      </c>
      <c r="AI132" s="145">
        <v>242</v>
      </c>
      <c r="AJ132" s="145">
        <v>2.0499999999999998</v>
      </c>
      <c r="AK132" s="145">
        <v>834.28</v>
      </c>
      <c r="AL132" s="145">
        <v>3.36</v>
      </c>
      <c r="AM132" s="145" t="s">
        <v>400</v>
      </c>
    </row>
    <row r="133" spans="1:39">
      <c r="A133" s="143" t="s">
        <v>1192</v>
      </c>
      <c r="B133" s="144">
        <v>100</v>
      </c>
      <c r="C133" s="145">
        <v>56.74</v>
      </c>
      <c r="D133" s="145">
        <v>0.79</v>
      </c>
      <c r="E133" s="145">
        <v>2.64</v>
      </c>
      <c r="F133" s="145">
        <v>1.59</v>
      </c>
      <c r="G133" s="145">
        <v>0.64</v>
      </c>
      <c r="H133" s="145">
        <v>0.18</v>
      </c>
      <c r="I133" s="145">
        <v>0.17</v>
      </c>
      <c r="J133" s="145">
        <v>0.01</v>
      </c>
      <c r="K133" s="145">
        <v>6.52</v>
      </c>
      <c r="L133" s="145">
        <v>8.2200000000000006</v>
      </c>
      <c r="M133" s="145">
        <v>3</v>
      </c>
      <c r="N133" s="145">
        <v>30.73</v>
      </c>
      <c r="O133" s="145">
        <v>10.06</v>
      </c>
      <c r="P133" s="145">
        <v>0.16</v>
      </c>
      <c r="Q133" s="145">
        <v>30.73</v>
      </c>
      <c r="R133" s="145">
        <v>0.34</v>
      </c>
      <c r="S133" s="145">
        <v>75.459999999999994</v>
      </c>
      <c r="T133" s="145">
        <v>235.73</v>
      </c>
      <c r="U133" s="145">
        <v>0.02</v>
      </c>
      <c r="V133" s="145">
        <v>0.2</v>
      </c>
      <c r="W133" s="145">
        <v>20.34</v>
      </c>
      <c r="X133" s="145">
        <v>7.0000000000000007E-2</v>
      </c>
      <c r="Y133" s="145">
        <v>0.05</v>
      </c>
      <c r="Z133" s="145">
        <v>0.15</v>
      </c>
      <c r="AA133" s="145">
        <v>0.65</v>
      </c>
      <c r="AB133" s="145">
        <v>3.6</v>
      </c>
      <c r="AC133" s="145">
        <v>0.82</v>
      </c>
      <c r="AD133" s="145">
        <v>0.01</v>
      </c>
      <c r="AE133" s="145">
        <v>14.09</v>
      </c>
      <c r="AF133" s="145">
        <v>0.04</v>
      </c>
      <c r="AG133" s="145">
        <v>1.1000000000000001</v>
      </c>
      <c r="AH133" s="145">
        <v>0.1</v>
      </c>
      <c r="AI133" s="145">
        <v>242</v>
      </c>
      <c r="AJ133" s="145">
        <v>0.73</v>
      </c>
      <c r="AK133" s="145">
        <v>880.82</v>
      </c>
      <c r="AL133" s="145">
        <v>3.46</v>
      </c>
      <c r="AM133" s="145" t="s">
        <v>400</v>
      </c>
    </row>
    <row r="134" spans="1:39">
      <c r="A134" s="143" t="s">
        <v>1193</v>
      </c>
      <c r="B134" s="144">
        <v>100</v>
      </c>
      <c r="C134" s="145">
        <v>35</v>
      </c>
      <c r="D134" s="145">
        <v>0.76</v>
      </c>
      <c r="E134" s="145">
        <v>0.18</v>
      </c>
      <c r="F134" s="145">
        <v>0.03</v>
      </c>
      <c r="G134" s="145">
        <v>0.01</v>
      </c>
      <c r="H134" s="145">
        <v>0.09</v>
      </c>
      <c r="I134" s="145">
        <v>0.09</v>
      </c>
      <c r="J134" s="145" t="s">
        <v>400</v>
      </c>
      <c r="K134" s="145" t="s">
        <v>400</v>
      </c>
      <c r="L134" s="145">
        <v>8.2200000000000006</v>
      </c>
      <c r="M134" s="145">
        <v>3</v>
      </c>
      <c r="N134" s="145">
        <v>30</v>
      </c>
      <c r="O134" s="145">
        <v>10</v>
      </c>
      <c r="P134" s="145">
        <v>0.16</v>
      </c>
      <c r="Q134" s="145">
        <v>30</v>
      </c>
      <c r="R134" s="145">
        <v>0.34</v>
      </c>
      <c r="S134" s="145">
        <v>58</v>
      </c>
      <c r="T134" s="145">
        <v>235</v>
      </c>
      <c r="U134" s="145">
        <v>0.02</v>
      </c>
      <c r="V134" s="145">
        <v>0.2</v>
      </c>
      <c r="W134" s="145" t="s">
        <v>400</v>
      </c>
      <c r="X134" s="145">
        <v>7.0000000000000007E-2</v>
      </c>
      <c r="Y134" s="145">
        <v>0.04</v>
      </c>
      <c r="Z134" s="145">
        <v>0.15</v>
      </c>
      <c r="AA134" s="145">
        <v>0.65</v>
      </c>
      <c r="AB134" s="145">
        <v>3.6</v>
      </c>
      <c r="AC134" s="145">
        <v>0.81</v>
      </c>
      <c r="AD134" s="145" t="s">
        <v>400</v>
      </c>
      <c r="AE134" s="145">
        <v>14</v>
      </c>
      <c r="AF134" s="145" t="s">
        <v>400</v>
      </c>
      <c r="AG134" s="145">
        <v>1.03</v>
      </c>
      <c r="AH134" s="145" t="s">
        <v>400</v>
      </c>
      <c r="AI134" s="145">
        <v>242</v>
      </c>
      <c r="AJ134" s="145">
        <v>0.7</v>
      </c>
      <c r="AK134" s="145">
        <v>860.08</v>
      </c>
      <c r="AL134" s="145">
        <v>3.46</v>
      </c>
      <c r="AM134" s="145" t="s">
        <v>400</v>
      </c>
    </row>
    <row r="135" spans="1:39">
      <c r="A135" s="143" t="s">
        <v>1194</v>
      </c>
      <c r="B135" s="144">
        <v>100</v>
      </c>
      <c r="C135" s="145">
        <v>60.47</v>
      </c>
      <c r="D135" s="145">
        <v>0.74</v>
      </c>
      <c r="E135" s="145">
        <v>3.17</v>
      </c>
      <c r="F135" s="145">
        <v>0.46</v>
      </c>
      <c r="G135" s="145">
        <v>0.7</v>
      </c>
      <c r="H135" s="145">
        <v>1.82</v>
      </c>
      <c r="I135" s="145">
        <v>1.61</v>
      </c>
      <c r="J135" s="145">
        <v>0.2</v>
      </c>
      <c r="K135" s="145" t="s">
        <v>400</v>
      </c>
      <c r="L135" s="145">
        <v>7.97</v>
      </c>
      <c r="M135" s="145">
        <v>2.91</v>
      </c>
      <c r="N135" s="145">
        <v>29.1</v>
      </c>
      <c r="O135" s="145">
        <v>9.6999999999999993</v>
      </c>
      <c r="P135" s="145">
        <v>0.15</v>
      </c>
      <c r="Q135" s="145">
        <v>29.1</v>
      </c>
      <c r="R135" s="145">
        <v>0.33</v>
      </c>
      <c r="S135" s="145">
        <v>56.26</v>
      </c>
      <c r="T135" s="145">
        <v>227.95</v>
      </c>
      <c r="U135" s="145">
        <v>0.02</v>
      </c>
      <c r="V135" s="145">
        <v>0.19</v>
      </c>
      <c r="W135" s="145" t="s">
        <v>400</v>
      </c>
      <c r="X135" s="145">
        <v>0.06</v>
      </c>
      <c r="Y135" s="145">
        <v>0.04</v>
      </c>
      <c r="Z135" s="145">
        <v>0.15</v>
      </c>
      <c r="AA135" s="145">
        <v>0.63</v>
      </c>
      <c r="AB135" s="145">
        <v>3.49</v>
      </c>
      <c r="AC135" s="145">
        <v>0.79</v>
      </c>
      <c r="AD135" s="145" t="s">
        <v>400</v>
      </c>
      <c r="AE135" s="145">
        <v>13.58</v>
      </c>
      <c r="AF135" s="145" t="s">
        <v>400</v>
      </c>
      <c r="AG135" s="145">
        <v>1.28</v>
      </c>
      <c r="AH135" s="145" t="s">
        <v>400</v>
      </c>
      <c r="AI135" s="145">
        <v>242</v>
      </c>
      <c r="AJ135" s="145">
        <v>2.0499999999999998</v>
      </c>
      <c r="AK135" s="145">
        <v>834.28</v>
      </c>
      <c r="AL135" s="145">
        <v>3.36</v>
      </c>
      <c r="AM135" s="145" t="s">
        <v>400</v>
      </c>
    </row>
    <row r="136" spans="1:39">
      <c r="A136" s="143" t="s">
        <v>1195</v>
      </c>
      <c r="B136" s="144">
        <v>100</v>
      </c>
      <c r="C136" s="145">
        <v>31.443000000000001</v>
      </c>
      <c r="D136" s="145">
        <v>0.94799999999999995</v>
      </c>
      <c r="E136" s="145">
        <v>0.123</v>
      </c>
      <c r="F136" s="145">
        <v>3.9E-2</v>
      </c>
      <c r="G136" s="145">
        <v>2.7E-2</v>
      </c>
      <c r="H136" s="145">
        <v>3.2000000000000001E-2</v>
      </c>
      <c r="I136" s="145">
        <v>2.7E-2</v>
      </c>
      <c r="J136" s="145">
        <v>5.0000000000000001E-3</v>
      </c>
      <c r="K136" s="145" t="s">
        <v>400</v>
      </c>
      <c r="L136" s="145">
        <v>7.0119999999999996</v>
      </c>
      <c r="M136" s="145">
        <v>0.71099999999999997</v>
      </c>
      <c r="N136" s="145">
        <v>8.5549999999999997</v>
      </c>
      <c r="O136" s="145">
        <v>6.3470000000000004</v>
      </c>
      <c r="P136" s="145">
        <v>6.8000000000000005E-2</v>
      </c>
      <c r="Q136" s="145">
        <v>15.762</v>
      </c>
      <c r="R136" s="145">
        <v>0.28499999999999998</v>
      </c>
      <c r="S136" s="145">
        <v>310.43200000000002</v>
      </c>
      <c r="T136" s="145">
        <v>88.314999999999998</v>
      </c>
      <c r="U136" s="145">
        <v>3.9E-2</v>
      </c>
      <c r="V136" s="145">
        <v>0.115</v>
      </c>
      <c r="W136" s="145" t="s">
        <v>400</v>
      </c>
      <c r="X136" s="145">
        <v>0.03</v>
      </c>
      <c r="Y136" s="145">
        <v>2.5999999999999999E-2</v>
      </c>
      <c r="Z136" s="146">
        <v>0.04</v>
      </c>
      <c r="AA136" s="145">
        <v>0.505</v>
      </c>
      <c r="AB136" s="145">
        <v>2.0990000000000002</v>
      </c>
      <c r="AC136" s="145">
        <v>0.66700000000000004</v>
      </c>
      <c r="AD136" s="145">
        <v>1.4999999999999999E-2</v>
      </c>
      <c r="AE136" s="145">
        <v>9.2759999999999998</v>
      </c>
      <c r="AF136" s="145" t="s">
        <v>400</v>
      </c>
      <c r="AG136" s="145">
        <v>0.20399999999999999</v>
      </c>
      <c r="AH136" s="145">
        <v>2E-3</v>
      </c>
      <c r="AI136" s="145" t="s">
        <v>400</v>
      </c>
      <c r="AJ136" s="145">
        <v>1.3440000000000001</v>
      </c>
      <c r="AK136" s="145">
        <v>33.475999999999999</v>
      </c>
      <c r="AL136" s="145">
        <v>3.2749999999999999</v>
      </c>
      <c r="AM136" s="145">
        <v>2.5230000000000001</v>
      </c>
    </row>
    <row r="137" spans="1:39">
      <c r="A137" s="143" t="s">
        <v>1196</v>
      </c>
      <c r="B137" s="144">
        <v>100</v>
      </c>
      <c r="C137" s="145">
        <v>41</v>
      </c>
      <c r="D137" s="145">
        <v>0.93</v>
      </c>
      <c r="E137" s="145">
        <v>0.24</v>
      </c>
      <c r="F137" s="145">
        <v>0.04</v>
      </c>
      <c r="G137" s="145">
        <v>0.01</v>
      </c>
      <c r="H137" s="145">
        <v>0.12</v>
      </c>
      <c r="I137" s="145">
        <v>0.12</v>
      </c>
      <c r="J137" s="145" t="s">
        <v>400</v>
      </c>
      <c r="K137" s="145" t="s">
        <v>400</v>
      </c>
      <c r="L137" s="145">
        <v>9.58</v>
      </c>
      <c r="M137" s="145">
        <v>2.8</v>
      </c>
      <c r="N137" s="145">
        <v>33</v>
      </c>
      <c r="O137" s="145">
        <v>12</v>
      </c>
      <c r="P137" s="145">
        <v>0.14000000000000001</v>
      </c>
      <c r="Q137" s="145">
        <v>35</v>
      </c>
      <c r="R137" s="145">
        <v>0.3</v>
      </c>
      <c r="S137" s="145">
        <v>69</v>
      </c>
      <c r="T137" s="145">
        <v>320</v>
      </c>
      <c r="U137" s="145">
        <v>0.05</v>
      </c>
      <c r="V137" s="145">
        <v>0.24</v>
      </c>
      <c r="W137" s="145" t="s">
        <v>400</v>
      </c>
      <c r="X137" s="145">
        <v>7.0000000000000007E-2</v>
      </c>
      <c r="Y137" s="145">
        <v>0.06</v>
      </c>
      <c r="Z137" s="145">
        <v>0.14000000000000001</v>
      </c>
      <c r="AA137" s="145">
        <v>0.98</v>
      </c>
      <c r="AB137" s="145">
        <v>5.9</v>
      </c>
      <c r="AC137" s="145">
        <v>1.18</v>
      </c>
      <c r="AD137" s="145" t="s">
        <v>400</v>
      </c>
      <c r="AE137" s="145">
        <v>19</v>
      </c>
      <c r="AF137" s="145" t="s">
        <v>400</v>
      </c>
      <c r="AG137" s="145">
        <v>0.86</v>
      </c>
      <c r="AH137" s="145" t="s">
        <v>400</v>
      </c>
      <c r="AI137" s="145" t="s">
        <v>400</v>
      </c>
      <c r="AJ137" s="145">
        <v>0.1</v>
      </c>
      <c r="AK137" s="145">
        <v>840.5</v>
      </c>
      <c r="AL137" s="145">
        <v>4.7300000000000004</v>
      </c>
      <c r="AM137" s="145" t="s">
        <v>400</v>
      </c>
    </row>
    <row r="138" spans="1:39">
      <c r="A138" s="143" t="s">
        <v>1197</v>
      </c>
      <c r="B138" s="144">
        <v>100</v>
      </c>
      <c r="C138" s="145">
        <v>22</v>
      </c>
      <c r="D138" s="145">
        <v>0.71</v>
      </c>
      <c r="E138" s="145">
        <v>0.08</v>
      </c>
      <c r="F138" s="145">
        <v>8.0000000000000002E-3</v>
      </c>
      <c r="G138" s="145">
        <v>5.0000000000000001E-3</v>
      </c>
      <c r="H138" s="145">
        <v>4.2000000000000003E-2</v>
      </c>
      <c r="I138" s="145">
        <v>8.9999999999999993E-3</v>
      </c>
      <c r="J138" s="145">
        <v>3.2000000000000001E-2</v>
      </c>
      <c r="K138" s="145" t="s">
        <v>400</v>
      </c>
      <c r="L138" s="145">
        <v>5.0599999999999996</v>
      </c>
      <c r="M138" s="145">
        <v>2</v>
      </c>
      <c r="N138" s="145">
        <v>33</v>
      </c>
      <c r="O138" s="145">
        <v>9</v>
      </c>
      <c r="P138" s="145">
        <v>7.0999999999999994E-2</v>
      </c>
      <c r="Q138" s="145">
        <v>26</v>
      </c>
      <c r="R138" s="145">
        <v>0.18</v>
      </c>
      <c r="S138" s="145">
        <v>16</v>
      </c>
      <c r="T138" s="145">
        <v>177</v>
      </c>
      <c r="U138" s="145">
        <v>2E-3</v>
      </c>
      <c r="V138" s="145">
        <v>0.12</v>
      </c>
      <c r="W138" s="145" t="s">
        <v>400</v>
      </c>
      <c r="X138" s="145">
        <v>2.7E-2</v>
      </c>
      <c r="Y138" s="145">
        <v>2.3E-2</v>
      </c>
      <c r="Z138" s="146">
        <v>6.7000000000000004E-2</v>
      </c>
      <c r="AA138" s="145">
        <v>0.29899999999999999</v>
      </c>
      <c r="AB138" s="145">
        <v>11.6</v>
      </c>
      <c r="AC138" s="145">
        <v>0.41599999999999998</v>
      </c>
      <c r="AD138" s="145" t="s">
        <v>400</v>
      </c>
      <c r="AE138" s="145">
        <v>9</v>
      </c>
      <c r="AF138" s="145" t="s">
        <v>400</v>
      </c>
      <c r="AG138" s="145">
        <v>0.02</v>
      </c>
      <c r="AH138" s="145" t="s">
        <v>400</v>
      </c>
      <c r="AI138" s="145">
        <v>242</v>
      </c>
      <c r="AJ138" s="145">
        <v>0.2</v>
      </c>
      <c r="AK138" s="145" t="s">
        <v>400</v>
      </c>
      <c r="AL138" s="145">
        <v>1.885</v>
      </c>
      <c r="AM138" s="145" t="s">
        <v>400</v>
      </c>
    </row>
    <row r="139" spans="1:39">
      <c r="A139" s="143" t="s">
        <v>1198</v>
      </c>
      <c r="B139" s="144">
        <v>100</v>
      </c>
      <c r="C139" s="145">
        <v>47.735999999999997</v>
      </c>
      <c r="D139" s="145">
        <v>0.71</v>
      </c>
      <c r="E139" s="145">
        <v>2.9910000000000001</v>
      </c>
      <c r="F139" s="145">
        <v>0.46400000000000002</v>
      </c>
      <c r="G139" s="145">
        <v>0.66800000000000004</v>
      </c>
      <c r="H139" s="145">
        <v>1.7230000000000001</v>
      </c>
      <c r="I139" s="145">
        <v>1.492</v>
      </c>
      <c r="J139" s="145">
        <v>0.23</v>
      </c>
      <c r="K139" s="145" t="s">
        <v>400</v>
      </c>
      <c r="L139" s="145">
        <v>5.0599999999999996</v>
      </c>
      <c r="M139" s="145">
        <v>2</v>
      </c>
      <c r="N139" s="145">
        <v>33</v>
      </c>
      <c r="O139" s="145">
        <v>9</v>
      </c>
      <c r="P139" s="145">
        <v>7.0999999999999994E-2</v>
      </c>
      <c r="Q139" s="145">
        <v>26</v>
      </c>
      <c r="R139" s="145">
        <v>0.18099999999999999</v>
      </c>
      <c r="S139" s="145">
        <v>16</v>
      </c>
      <c r="T139" s="145">
        <v>177</v>
      </c>
      <c r="U139" s="145">
        <v>2E-3</v>
      </c>
      <c r="V139" s="145">
        <v>0.12</v>
      </c>
      <c r="W139" s="145" t="s">
        <v>400</v>
      </c>
      <c r="X139" s="145">
        <v>2.7E-2</v>
      </c>
      <c r="Y139" s="145">
        <v>2.3E-2</v>
      </c>
      <c r="Z139" s="145">
        <v>6.7000000000000004E-2</v>
      </c>
      <c r="AA139" s="145">
        <v>0.29899999999999999</v>
      </c>
      <c r="AB139" s="145">
        <v>11.6</v>
      </c>
      <c r="AC139" s="145">
        <v>0.41599999999999998</v>
      </c>
      <c r="AD139" s="145" t="s">
        <v>400</v>
      </c>
      <c r="AE139" s="145">
        <v>9</v>
      </c>
      <c r="AF139" s="145" t="s">
        <v>400</v>
      </c>
      <c r="AG139" s="145">
        <v>0.25800000000000001</v>
      </c>
      <c r="AH139" s="145">
        <v>1.6E-2</v>
      </c>
      <c r="AI139" s="145">
        <v>242</v>
      </c>
      <c r="AJ139" s="145">
        <v>1.534</v>
      </c>
      <c r="AK139" s="145" t="s">
        <v>400</v>
      </c>
      <c r="AL139" s="145">
        <v>1.885</v>
      </c>
      <c r="AM139" s="145" t="s">
        <v>400</v>
      </c>
    </row>
    <row r="140" spans="1:39">
      <c r="A140" s="143" t="s">
        <v>1199</v>
      </c>
      <c r="B140" s="144">
        <v>100</v>
      </c>
      <c r="C140" s="145">
        <v>310</v>
      </c>
      <c r="D140" s="145">
        <v>11.43</v>
      </c>
      <c r="E140" s="145">
        <v>5.85</v>
      </c>
      <c r="F140" s="145">
        <v>1.5860000000000001</v>
      </c>
      <c r="G140" s="145">
        <v>0.42899999999999999</v>
      </c>
      <c r="H140" s="145">
        <v>2.0670000000000002</v>
      </c>
      <c r="I140" s="145">
        <v>0.754</v>
      </c>
      <c r="J140" s="145">
        <v>1.242</v>
      </c>
      <c r="K140" s="145" t="s">
        <v>400</v>
      </c>
      <c r="L140" s="145">
        <v>65.37</v>
      </c>
      <c r="M140" s="145">
        <v>3.9</v>
      </c>
      <c r="N140" s="145">
        <v>111</v>
      </c>
      <c r="O140" s="145">
        <v>264</v>
      </c>
      <c r="P140" s="145">
        <v>28.408000000000001</v>
      </c>
      <c r="Q140" s="145">
        <v>252</v>
      </c>
      <c r="R140" s="145">
        <v>11.1</v>
      </c>
      <c r="S140" s="145">
        <v>148</v>
      </c>
      <c r="T140" s="145">
        <v>1724</v>
      </c>
      <c r="U140" s="145">
        <v>0.32800000000000001</v>
      </c>
      <c r="V140" s="145">
        <v>1.0900000000000001</v>
      </c>
      <c r="W140" s="145" t="s">
        <v>400</v>
      </c>
      <c r="X140" s="145">
        <v>0.115</v>
      </c>
      <c r="Y140" s="145">
        <v>0.26700000000000002</v>
      </c>
      <c r="Z140" s="146">
        <v>1.01</v>
      </c>
      <c r="AA140" s="145">
        <v>1.46</v>
      </c>
      <c r="AB140" s="145">
        <v>80.8</v>
      </c>
      <c r="AC140" s="145">
        <v>1.46</v>
      </c>
      <c r="AD140" s="145" t="s">
        <v>400</v>
      </c>
      <c r="AE140" s="145">
        <v>93</v>
      </c>
      <c r="AF140" s="145" t="s">
        <v>400</v>
      </c>
      <c r="AG140" s="145">
        <v>1.69</v>
      </c>
      <c r="AH140" s="145" t="s">
        <v>400</v>
      </c>
      <c r="AI140" s="145" t="s">
        <v>400</v>
      </c>
      <c r="AJ140" s="145">
        <v>5.6</v>
      </c>
      <c r="AK140" s="145">
        <v>26.5</v>
      </c>
      <c r="AL140" s="145" t="s">
        <v>400</v>
      </c>
      <c r="AM140" s="145" t="s">
        <v>400</v>
      </c>
    </row>
    <row r="141" spans="1:39">
      <c r="A141" s="143" t="s">
        <v>1200</v>
      </c>
      <c r="B141" s="144">
        <v>100</v>
      </c>
      <c r="C141" s="145">
        <v>263.5</v>
      </c>
      <c r="D141" s="145">
        <v>2.871</v>
      </c>
      <c r="E141" s="145">
        <v>13.64</v>
      </c>
      <c r="F141" s="145">
        <v>2.1520000000000001</v>
      </c>
      <c r="G141" s="145">
        <v>3.073</v>
      </c>
      <c r="H141" s="145">
        <v>7.851</v>
      </c>
      <c r="I141" s="145">
        <v>6.9180000000000001</v>
      </c>
      <c r="J141" s="145">
        <v>0.93100000000000005</v>
      </c>
      <c r="K141" s="145" t="s">
        <v>400</v>
      </c>
      <c r="L141" s="145">
        <v>33.6</v>
      </c>
      <c r="M141" s="145">
        <v>3.4420000000000002</v>
      </c>
      <c r="N141" s="145">
        <v>13.433</v>
      </c>
      <c r="O141" s="145">
        <v>33.582999999999998</v>
      </c>
      <c r="P141" s="145">
        <v>0.23499999999999999</v>
      </c>
      <c r="Q141" s="145">
        <v>67.165999999999997</v>
      </c>
      <c r="R141" s="145">
        <v>0.52700000000000002</v>
      </c>
      <c r="S141" s="145">
        <v>8.3960000000000008</v>
      </c>
      <c r="T141" s="145">
        <v>550.76400000000001</v>
      </c>
      <c r="U141" s="145">
        <v>0.28000000000000003</v>
      </c>
      <c r="V141" s="145">
        <v>0.45500000000000002</v>
      </c>
      <c r="W141" s="145" t="s">
        <v>400</v>
      </c>
      <c r="X141" s="145">
        <v>0.16500000000000001</v>
      </c>
      <c r="Y141" s="145">
        <v>3.2000000000000001E-2</v>
      </c>
      <c r="Z141" s="146">
        <v>0.45200000000000001</v>
      </c>
      <c r="AA141" s="145">
        <v>2.2029999999999998</v>
      </c>
      <c r="AB141" s="145">
        <v>12.426</v>
      </c>
      <c r="AC141" s="145">
        <v>2.9590000000000001</v>
      </c>
      <c r="AD141" s="145" t="s">
        <v>400</v>
      </c>
      <c r="AE141" s="145">
        <v>15.112</v>
      </c>
      <c r="AF141" s="145" t="s">
        <v>400</v>
      </c>
      <c r="AG141" s="145">
        <v>1.2030000000000001</v>
      </c>
      <c r="AH141" s="145">
        <v>7.1999999999999995E-2</v>
      </c>
      <c r="AI141" s="145">
        <v>380</v>
      </c>
      <c r="AJ141" s="145">
        <v>6.6779999999999999</v>
      </c>
      <c r="AK141" s="145">
        <v>0.28000000000000003</v>
      </c>
      <c r="AL141" s="145">
        <v>1.444</v>
      </c>
      <c r="AM141" s="145" t="s">
        <v>400</v>
      </c>
    </row>
    <row r="142" spans="1:39">
      <c r="A142" s="143" t="s">
        <v>1201</v>
      </c>
      <c r="B142" s="144">
        <v>100</v>
      </c>
      <c r="C142" s="145">
        <v>148.32300000000001</v>
      </c>
      <c r="D142" s="145">
        <v>3.798</v>
      </c>
      <c r="E142" s="145">
        <v>3.2949999999999999</v>
      </c>
      <c r="F142" s="145">
        <v>1.84</v>
      </c>
      <c r="G142" s="145">
        <v>0.83299999999999996</v>
      </c>
      <c r="H142" s="145">
        <v>0.23200000000000001</v>
      </c>
      <c r="I142" s="145">
        <v>0.152</v>
      </c>
      <c r="J142" s="145">
        <v>0.08</v>
      </c>
      <c r="K142" s="145">
        <v>9.625</v>
      </c>
      <c r="L142" s="145">
        <v>26.071000000000002</v>
      </c>
      <c r="M142" s="145">
        <v>0.30099999999999999</v>
      </c>
      <c r="N142" s="145">
        <v>110.53700000000001</v>
      </c>
      <c r="O142" s="145">
        <v>13.754</v>
      </c>
      <c r="P142" s="145">
        <v>0.14399999999999999</v>
      </c>
      <c r="Q142" s="145">
        <v>99.066000000000003</v>
      </c>
      <c r="R142" s="145">
        <v>7.5999999999999998E-2</v>
      </c>
      <c r="S142" s="145">
        <v>387.29700000000003</v>
      </c>
      <c r="T142" s="145">
        <v>147.15700000000001</v>
      </c>
      <c r="U142" s="145">
        <v>2.5999999999999999E-2</v>
      </c>
      <c r="V142" s="145">
        <v>0.48</v>
      </c>
      <c r="W142" s="145">
        <v>26.951000000000001</v>
      </c>
      <c r="X142" s="145">
        <v>5.8999999999999997E-2</v>
      </c>
      <c r="Y142" s="145">
        <v>0.18099999999999999</v>
      </c>
      <c r="Z142" s="146">
        <v>8.5999999999999993E-2</v>
      </c>
      <c r="AA142" s="145">
        <v>0.40600000000000003</v>
      </c>
      <c r="AB142" s="145">
        <v>0.254</v>
      </c>
      <c r="AC142" s="145">
        <v>1.75</v>
      </c>
      <c r="AD142" s="145">
        <v>0.42399999999999999</v>
      </c>
      <c r="AE142" s="145">
        <v>5.306</v>
      </c>
      <c r="AF142" s="145">
        <v>0.96299999999999997</v>
      </c>
      <c r="AG142" s="145">
        <v>7.0999999999999994E-2</v>
      </c>
      <c r="AH142" s="145">
        <v>0.112</v>
      </c>
      <c r="AI142" s="145" t="s">
        <v>400</v>
      </c>
      <c r="AJ142" s="145">
        <v>5.4020000000000001</v>
      </c>
      <c r="AK142" s="145">
        <v>27.356999999999999</v>
      </c>
      <c r="AL142" s="145">
        <v>17.398</v>
      </c>
      <c r="AM142" s="145">
        <v>12.324999999999999</v>
      </c>
    </row>
    <row r="143" spans="1:39">
      <c r="A143" s="143" t="s">
        <v>1202</v>
      </c>
      <c r="B143" s="144">
        <v>100</v>
      </c>
      <c r="C143" s="145">
        <v>148.32300000000001</v>
      </c>
      <c r="D143" s="145">
        <v>3.798</v>
      </c>
      <c r="E143" s="145">
        <v>3.2949999999999999</v>
      </c>
      <c r="F143" s="145">
        <v>1.84</v>
      </c>
      <c r="G143" s="145">
        <v>0.83299999999999996</v>
      </c>
      <c r="H143" s="145">
        <v>0.23200000000000001</v>
      </c>
      <c r="I143" s="145">
        <v>0.152</v>
      </c>
      <c r="J143" s="145">
        <v>0.08</v>
      </c>
      <c r="K143" s="145">
        <v>9.625</v>
      </c>
      <c r="L143" s="145">
        <v>26.071000000000002</v>
      </c>
      <c r="M143" s="145">
        <v>0.30099999999999999</v>
      </c>
      <c r="N143" s="145">
        <v>110.53700000000001</v>
      </c>
      <c r="O143" s="145">
        <v>13.754</v>
      </c>
      <c r="P143" s="145">
        <v>0.14399999999999999</v>
      </c>
      <c r="Q143" s="145">
        <v>99.066000000000003</v>
      </c>
      <c r="R143" s="145">
        <v>7.5999999999999998E-2</v>
      </c>
      <c r="S143" s="145">
        <v>387.29700000000003</v>
      </c>
      <c r="T143" s="145">
        <v>147.15700000000001</v>
      </c>
      <c r="U143" s="145">
        <v>2.5999999999999999E-2</v>
      </c>
      <c r="V143" s="145">
        <v>0.48</v>
      </c>
      <c r="W143" s="145">
        <v>26.951000000000001</v>
      </c>
      <c r="X143" s="145">
        <v>5.8999999999999997E-2</v>
      </c>
      <c r="Y143" s="145">
        <v>0.18099999999999999</v>
      </c>
      <c r="Z143" s="146">
        <v>8.5999999999999993E-2</v>
      </c>
      <c r="AA143" s="145">
        <v>0.40600000000000003</v>
      </c>
      <c r="AB143" s="145">
        <v>0.254</v>
      </c>
      <c r="AC143" s="145">
        <v>1.75</v>
      </c>
      <c r="AD143" s="145">
        <v>0.42399999999999999</v>
      </c>
      <c r="AE143" s="145">
        <v>5.306</v>
      </c>
      <c r="AF143" s="145">
        <v>0.96299999999999997</v>
      </c>
      <c r="AG143" s="145">
        <v>7.0999999999999994E-2</v>
      </c>
      <c r="AH143" s="145">
        <v>0.112</v>
      </c>
      <c r="AI143" s="145" t="s">
        <v>400</v>
      </c>
      <c r="AJ143" s="145">
        <v>5.4020000000000001</v>
      </c>
      <c r="AK143" s="145">
        <v>27.356999999999999</v>
      </c>
      <c r="AL143" s="145">
        <v>17.398</v>
      </c>
      <c r="AM143" s="145">
        <v>12.324999999999999</v>
      </c>
    </row>
    <row r="144" spans="1:39">
      <c r="A144" s="143" t="s">
        <v>1203</v>
      </c>
      <c r="B144" s="144">
        <v>100</v>
      </c>
      <c r="C144" s="145">
        <v>78.242999999999995</v>
      </c>
      <c r="D144" s="145">
        <v>2.4220000000000002</v>
      </c>
      <c r="E144" s="145">
        <v>3.0619999999999998</v>
      </c>
      <c r="F144" s="145">
        <v>1.3480000000000001</v>
      </c>
      <c r="G144" s="145">
        <v>0.89</v>
      </c>
      <c r="H144" s="145">
        <v>0.55500000000000005</v>
      </c>
      <c r="I144" s="145">
        <v>0.498</v>
      </c>
      <c r="J144" s="145">
        <v>5.7000000000000002E-2</v>
      </c>
      <c r="K144" s="145">
        <v>6.0229999999999997</v>
      </c>
      <c r="L144" s="145">
        <v>10.456</v>
      </c>
      <c r="M144" s="145">
        <v>0.17399999999999999</v>
      </c>
      <c r="N144" s="145">
        <v>124.56699999999999</v>
      </c>
      <c r="O144" s="145">
        <v>13.224</v>
      </c>
      <c r="P144" s="145">
        <v>2.9000000000000001E-2</v>
      </c>
      <c r="Q144" s="145">
        <v>95.381</v>
      </c>
      <c r="R144" s="145">
        <v>0.221</v>
      </c>
      <c r="S144" s="145">
        <v>319.33100000000002</v>
      </c>
      <c r="T144" s="145">
        <v>156.846</v>
      </c>
      <c r="U144" s="145">
        <v>1.4999999999999999E-2</v>
      </c>
      <c r="V144" s="145">
        <v>0.44900000000000001</v>
      </c>
      <c r="W144" s="145">
        <v>21.164999999999999</v>
      </c>
      <c r="X144" s="145">
        <v>6.8000000000000005E-2</v>
      </c>
      <c r="Y144" s="145">
        <v>0.17699999999999999</v>
      </c>
      <c r="Z144" s="146">
        <v>4.2999999999999997E-2</v>
      </c>
      <c r="AA144" s="145">
        <v>0.32200000000000001</v>
      </c>
      <c r="AB144" s="145">
        <v>0.14699999999999999</v>
      </c>
      <c r="AC144" s="145">
        <v>1.1659999999999999</v>
      </c>
      <c r="AD144" s="145">
        <v>0.30199999999999999</v>
      </c>
      <c r="AE144" s="145">
        <v>11.233000000000001</v>
      </c>
      <c r="AF144" s="145">
        <v>0.50800000000000001</v>
      </c>
      <c r="AG144" s="145">
        <v>0.187</v>
      </c>
      <c r="AH144" s="145">
        <v>0.22600000000000001</v>
      </c>
      <c r="AI144" s="145" t="s">
        <v>400</v>
      </c>
      <c r="AJ144" s="145">
        <v>4.0279999999999996</v>
      </c>
      <c r="AK144" s="145">
        <v>30.094999999999999</v>
      </c>
      <c r="AL144" s="145">
        <v>7.1959999999999997</v>
      </c>
      <c r="AM144" s="145">
        <v>2.0779999999999998</v>
      </c>
    </row>
    <row r="145" spans="1:39">
      <c r="A145" s="143" t="s">
        <v>1204</v>
      </c>
      <c r="B145" s="144">
        <v>100</v>
      </c>
      <c r="C145" s="145">
        <v>148.32300000000001</v>
      </c>
      <c r="D145" s="145">
        <v>3.798</v>
      </c>
      <c r="E145" s="145">
        <v>3.2949999999999999</v>
      </c>
      <c r="F145" s="145">
        <v>1.84</v>
      </c>
      <c r="G145" s="145">
        <v>0.83299999999999996</v>
      </c>
      <c r="H145" s="145">
        <v>0.23200000000000001</v>
      </c>
      <c r="I145" s="145">
        <v>0.152</v>
      </c>
      <c r="J145" s="145">
        <v>0.08</v>
      </c>
      <c r="K145" s="145">
        <v>9.625</v>
      </c>
      <c r="L145" s="145">
        <v>26.071000000000002</v>
      </c>
      <c r="M145" s="145">
        <v>0.30099999999999999</v>
      </c>
      <c r="N145" s="145">
        <v>110.53700000000001</v>
      </c>
      <c r="O145" s="145">
        <v>13.754</v>
      </c>
      <c r="P145" s="145">
        <v>0.14399999999999999</v>
      </c>
      <c r="Q145" s="145">
        <v>99.066000000000003</v>
      </c>
      <c r="R145" s="145">
        <v>7.5999999999999998E-2</v>
      </c>
      <c r="S145" s="145">
        <v>387.29700000000003</v>
      </c>
      <c r="T145" s="145">
        <v>147.15700000000001</v>
      </c>
      <c r="U145" s="145">
        <v>2.5999999999999999E-2</v>
      </c>
      <c r="V145" s="145">
        <v>0.48</v>
      </c>
      <c r="W145" s="145">
        <v>26.951000000000001</v>
      </c>
      <c r="X145" s="145">
        <v>5.8999999999999997E-2</v>
      </c>
      <c r="Y145" s="145">
        <v>0.18099999999999999</v>
      </c>
      <c r="Z145" s="146">
        <v>8.5999999999999993E-2</v>
      </c>
      <c r="AA145" s="145">
        <v>0.40600000000000003</v>
      </c>
      <c r="AB145" s="145">
        <v>0.254</v>
      </c>
      <c r="AC145" s="145">
        <v>1.75</v>
      </c>
      <c r="AD145" s="145">
        <v>0.42399999999999999</v>
      </c>
      <c r="AE145" s="145">
        <v>5.306</v>
      </c>
      <c r="AF145" s="145">
        <v>0.96299999999999997</v>
      </c>
      <c r="AG145" s="145">
        <v>7.0999999999999994E-2</v>
      </c>
      <c r="AH145" s="145">
        <v>0.112</v>
      </c>
      <c r="AI145" s="145" t="s">
        <v>400</v>
      </c>
      <c r="AJ145" s="145">
        <v>5.4020000000000001</v>
      </c>
      <c r="AK145" s="145">
        <v>27.356999999999999</v>
      </c>
      <c r="AL145" s="145">
        <v>17.398</v>
      </c>
      <c r="AM145" s="145">
        <v>12.324999999999999</v>
      </c>
    </row>
    <row r="146" spans="1:39">
      <c r="A146" s="143" t="s">
        <v>1205</v>
      </c>
      <c r="B146" s="144">
        <v>100</v>
      </c>
      <c r="C146" s="145">
        <v>387</v>
      </c>
      <c r="D146" s="145">
        <v>12.94</v>
      </c>
      <c r="E146" s="145">
        <v>4.54</v>
      </c>
      <c r="F146" s="145">
        <v>0.70299999999999996</v>
      </c>
      <c r="G146" s="145">
        <v>1.1000000000000001</v>
      </c>
      <c r="H146" s="145">
        <v>2.5590000000000002</v>
      </c>
      <c r="I146" s="145">
        <v>2.4990000000000001</v>
      </c>
      <c r="J146" s="145">
        <v>0.06</v>
      </c>
      <c r="K146" s="145" t="s">
        <v>400</v>
      </c>
      <c r="L146" s="145">
        <v>77.900000000000006</v>
      </c>
      <c r="M146" s="145">
        <v>14.5</v>
      </c>
      <c r="N146" s="145">
        <v>7</v>
      </c>
      <c r="O146" s="145">
        <v>144</v>
      </c>
      <c r="P146" s="145">
        <v>1.113</v>
      </c>
      <c r="Q146" s="145">
        <v>358</v>
      </c>
      <c r="R146" s="145">
        <v>3.19</v>
      </c>
      <c r="S146" s="145">
        <v>8</v>
      </c>
      <c r="T146" s="145">
        <v>329</v>
      </c>
      <c r="U146" s="145">
        <v>0.26200000000000001</v>
      </c>
      <c r="V146" s="145">
        <v>3.08</v>
      </c>
      <c r="W146" s="145" t="s">
        <v>400</v>
      </c>
      <c r="X146" s="145">
        <v>0.104</v>
      </c>
      <c r="Y146" s="145">
        <v>8.3000000000000004E-2</v>
      </c>
      <c r="Z146" s="145">
        <v>0.157</v>
      </c>
      <c r="AA146" s="145">
        <v>2.3079999999999998</v>
      </c>
      <c r="AB146" s="145" t="s">
        <v>400</v>
      </c>
      <c r="AC146" s="145">
        <v>3.7250000000000001</v>
      </c>
      <c r="AD146" s="145" t="s">
        <v>400</v>
      </c>
      <c r="AE146" s="145">
        <v>31</v>
      </c>
      <c r="AF146" s="145" t="s">
        <v>400</v>
      </c>
      <c r="AG146" s="145">
        <v>0.28999999999999998</v>
      </c>
      <c r="AH146" s="145" t="s">
        <v>400</v>
      </c>
      <c r="AI146" s="145" t="s">
        <v>400</v>
      </c>
      <c r="AJ146" s="145" t="s">
        <v>400</v>
      </c>
      <c r="AK146" s="145">
        <v>9.8330000000000002</v>
      </c>
      <c r="AL146" s="145">
        <v>0.86</v>
      </c>
      <c r="AM146" s="145" t="s">
        <v>400</v>
      </c>
    </row>
    <row r="147" spans="1:39">
      <c r="A147" s="143" t="s">
        <v>1206</v>
      </c>
      <c r="B147" s="144">
        <v>100</v>
      </c>
      <c r="C147" s="145">
        <v>384</v>
      </c>
      <c r="D147" s="145">
        <v>16</v>
      </c>
      <c r="E147" s="145">
        <v>6.3</v>
      </c>
      <c r="F147" s="145">
        <v>1.1100000000000001</v>
      </c>
      <c r="G147" s="145">
        <v>1.98</v>
      </c>
      <c r="H147" s="145">
        <v>2.2999999999999998</v>
      </c>
      <c r="I147" s="145">
        <v>2.2000000000000002</v>
      </c>
      <c r="J147" s="145">
        <v>0.1</v>
      </c>
      <c r="K147" s="145" t="s">
        <v>400</v>
      </c>
      <c r="L147" s="145">
        <v>67</v>
      </c>
      <c r="M147" s="145">
        <v>9.8000000000000007</v>
      </c>
      <c r="N147" s="145">
        <v>52</v>
      </c>
      <c r="O147" s="145">
        <v>148</v>
      </c>
      <c r="P147" s="145">
        <v>3.63</v>
      </c>
      <c r="Q147" s="145">
        <v>474</v>
      </c>
      <c r="R147" s="145">
        <v>4.2</v>
      </c>
      <c r="S147" s="145">
        <v>4</v>
      </c>
      <c r="T147" s="145">
        <v>350</v>
      </c>
      <c r="U147" s="145">
        <v>0.34</v>
      </c>
      <c r="V147" s="145">
        <v>3.07</v>
      </c>
      <c r="W147" s="145" t="s">
        <v>400</v>
      </c>
      <c r="X147" s="145">
        <v>0.73</v>
      </c>
      <c r="Y147" s="145">
        <v>0.14000000000000001</v>
      </c>
      <c r="Z147" s="145">
        <v>0.12</v>
      </c>
      <c r="AA147" s="145">
        <v>0.78</v>
      </c>
      <c r="AB147" s="145" t="s">
        <v>400</v>
      </c>
      <c r="AC147" s="145">
        <v>4.4800000000000004</v>
      </c>
      <c r="AD147" s="145" t="s">
        <v>400</v>
      </c>
      <c r="AE147" s="145">
        <v>32</v>
      </c>
      <c r="AF147" s="145" t="s">
        <v>400</v>
      </c>
      <c r="AG147" s="145">
        <v>0.7</v>
      </c>
      <c r="AH147" s="145" t="s">
        <v>400</v>
      </c>
      <c r="AI147" s="145" t="s">
        <v>400</v>
      </c>
      <c r="AJ147" s="145">
        <v>34</v>
      </c>
      <c r="AK147" s="145" t="s">
        <v>400</v>
      </c>
      <c r="AL147" s="145">
        <v>1.57</v>
      </c>
      <c r="AM147" s="145" t="s">
        <v>400</v>
      </c>
    </row>
    <row r="148" spans="1:39">
      <c r="A148" s="143" t="s">
        <v>1207</v>
      </c>
      <c r="B148" s="144">
        <v>100</v>
      </c>
      <c r="C148" s="145">
        <v>384</v>
      </c>
      <c r="D148" s="145">
        <v>16</v>
      </c>
      <c r="E148" s="145">
        <v>6.3</v>
      </c>
      <c r="F148" s="145">
        <v>1.1100000000000001</v>
      </c>
      <c r="G148" s="145">
        <v>1.98</v>
      </c>
      <c r="H148" s="145">
        <v>2.2999999999999998</v>
      </c>
      <c r="I148" s="145">
        <v>2.2000000000000002</v>
      </c>
      <c r="J148" s="145">
        <v>0.1</v>
      </c>
      <c r="K148" s="145" t="s">
        <v>400</v>
      </c>
      <c r="L148" s="145">
        <v>67</v>
      </c>
      <c r="M148" s="145">
        <v>9.8000000000000007</v>
      </c>
      <c r="N148" s="145">
        <v>52</v>
      </c>
      <c r="O148" s="145">
        <v>148</v>
      </c>
      <c r="P148" s="145">
        <v>3.63</v>
      </c>
      <c r="Q148" s="145">
        <v>474</v>
      </c>
      <c r="R148" s="145">
        <v>4.2</v>
      </c>
      <c r="S148" s="145">
        <v>4</v>
      </c>
      <c r="T148" s="145">
        <v>350</v>
      </c>
      <c r="U148" s="145">
        <v>0.34</v>
      </c>
      <c r="V148" s="145">
        <v>3.07</v>
      </c>
      <c r="W148" s="145" t="s">
        <v>400</v>
      </c>
      <c r="X148" s="145">
        <v>0.73</v>
      </c>
      <c r="Y148" s="145">
        <v>0.14000000000000001</v>
      </c>
      <c r="Z148" s="145">
        <v>0.12</v>
      </c>
      <c r="AA148" s="145">
        <v>0.78</v>
      </c>
      <c r="AB148" s="145" t="s">
        <v>400</v>
      </c>
      <c r="AC148" s="145">
        <v>4.4800000000000004</v>
      </c>
      <c r="AD148" s="145" t="s">
        <v>400</v>
      </c>
      <c r="AE148" s="145">
        <v>32</v>
      </c>
      <c r="AF148" s="145" t="s">
        <v>400</v>
      </c>
      <c r="AG148" s="145">
        <v>0.7</v>
      </c>
      <c r="AH148" s="145" t="s">
        <v>400</v>
      </c>
      <c r="AI148" s="145" t="s">
        <v>400</v>
      </c>
      <c r="AJ148" s="145">
        <v>34</v>
      </c>
      <c r="AK148" s="145" t="s">
        <v>400</v>
      </c>
      <c r="AL148" s="145">
        <v>1.57</v>
      </c>
      <c r="AM148" s="145" t="s">
        <v>400</v>
      </c>
    </row>
    <row r="149" spans="1:39">
      <c r="A149" s="143" t="s">
        <v>1208</v>
      </c>
      <c r="B149" s="144">
        <v>100</v>
      </c>
      <c r="C149" s="145">
        <v>60.58</v>
      </c>
      <c r="D149" s="145">
        <v>1.44</v>
      </c>
      <c r="E149" s="145">
        <v>0.2</v>
      </c>
      <c r="F149" s="145">
        <v>0.03</v>
      </c>
      <c r="G149" s="145">
        <v>0.05</v>
      </c>
      <c r="H149" s="145">
        <v>0.08</v>
      </c>
      <c r="I149" s="145">
        <v>0.08</v>
      </c>
      <c r="J149" s="145" t="s">
        <v>400</v>
      </c>
      <c r="K149" s="145" t="s">
        <v>400</v>
      </c>
      <c r="L149" s="145">
        <v>13</v>
      </c>
      <c r="M149" s="145">
        <v>0.26</v>
      </c>
      <c r="N149" s="145">
        <v>2.82</v>
      </c>
      <c r="O149" s="145">
        <v>5.24</v>
      </c>
      <c r="P149" s="145">
        <v>0.02</v>
      </c>
      <c r="Q149" s="145">
        <v>11.92</v>
      </c>
      <c r="R149" s="145">
        <v>0.64</v>
      </c>
      <c r="S149" s="145">
        <v>2.65</v>
      </c>
      <c r="T149" s="145">
        <v>23.2</v>
      </c>
      <c r="U149" s="145">
        <v>0.02</v>
      </c>
      <c r="V149" s="145">
        <v>7.0000000000000007E-2</v>
      </c>
      <c r="W149" s="145" t="s">
        <v>400</v>
      </c>
      <c r="X149" s="145">
        <v>0.1</v>
      </c>
      <c r="Y149" s="145">
        <v>0.06</v>
      </c>
      <c r="Z149" s="145">
        <v>0.02</v>
      </c>
      <c r="AA149" s="145">
        <v>0.81</v>
      </c>
      <c r="AB149" s="145" t="s">
        <v>400</v>
      </c>
      <c r="AC149" s="145">
        <v>0.98</v>
      </c>
      <c r="AD149" s="145" t="s">
        <v>400</v>
      </c>
      <c r="AE149" s="145">
        <v>39.44</v>
      </c>
      <c r="AF149" s="145" t="s">
        <v>400</v>
      </c>
      <c r="AG149" s="145">
        <v>0.02</v>
      </c>
      <c r="AH149" s="145" t="s">
        <v>400</v>
      </c>
      <c r="AI149" s="145">
        <v>236</v>
      </c>
      <c r="AJ149" s="145">
        <v>2.78</v>
      </c>
      <c r="AK149" s="145">
        <v>0.02</v>
      </c>
      <c r="AL149" s="145">
        <v>0.52</v>
      </c>
      <c r="AM149" s="145" t="s">
        <v>400</v>
      </c>
    </row>
    <row r="150" spans="1:39">
      <c r="A150" s="143" t="s">
        <v>1209</v>
      </c>
      <c r="B150" s="144">
        <v>100</v>
      </c>
      <c r="C150" s="145">
        <v>351</v>
      </c>
      <c r="D150" s="145">
        <v>7.2</v>
      </c>
      <c r="E150" s="145">
        <v>1.5</v>
      </c>
      <c r="F150" s="145">
        <v>0.4</v>
      </c>
      <c r="G150" s="145">
        <v>0.4</v>
      </c>
      <c r="H150" s="145">
        <v>0.6</v>
      </c>
      <c r="I150" s="145">
        <v>0.63</v>
      </c>
      <c r="J150" s="145">
        <v>0.02</v>
      </c>
      <c r="K150" s="145" t="s">
        <v>400</v>
      </c>
      <c r="L150" s="145">
        <v>79.099999999999994</v>
      </c>
      <c r="M150" s="145">
        <v>5.5</v>
      </c>
      <c r="N150" s="145">
        <v>1</v>
      </c>
      <c r="O150" s="145">
        <v>31</v>
      </c>
      <c r="P150" s="145" t="s">
        <v>400</v>
      </c>
      <c r="Q150" s="145">
        <v>84</v>
      </c>
      <c r="R150" s="145">
        <v>2.2999999999999998</v>
      </c>
      <c r="S150" s="145">
        <v>45</v>
      </c>
      <c r="T150" s="145">
        <v>58</v>
      </c>
      <c r="U150" s="145">
        <v>0.27</v>
      </c>
      <c r="V150" s="145">
        <v>0.6</v>
      </c>
      <c r="W150" s="145" t="s">
        <v>400</v>
      </c>
      <c r="X150" s="145">
        <v>0.25</v>
      </c>
      <c r="Y150" s="145" t="s">
        <v>400</v>
      </c>
      <c r="Z150" s="145">
        <v>0.25</v>
      </c>
      <c r="AA150" s="145" t="s">
        <v>400</v>
      </c>
      <c r="AB150" s="145" t="s">
        <v>400</v>
      </c>
      <c r="AC150" s="145" t="s">
        <v>400</v>
      </c>
      <c r="AD150" s="145" t="s">
        <v>400</v>
      </c>
      <c r="AE150" s="145" t="s">
        <v>400</v>
      </c>
      <c r="AF150" s="145" t="s">
        <v>400</v>
      </c>
      <c r="AG150" s="145" t="s">
        <v>400</v>
      </c>
      <c r="AH150" s="145" t="s">
        <v>400</v>
      </c>
      <c r="AI150" s="145" t="s">
        <v>400</v>
      </c>
      <c r="AJ150" s="145" t="s">
        <v>400</v>
      </c>
      <c r="AK150" s="145">
        <v>9</v>
      </c>
      <c r="AL150" s="145" t="s">
        <v>400</v>
      </c>
      <c r="AM150" s="145" t="s">
        <v>400</v>
      </c>
    </row>
    <row r="151" spans="1:39">
      <c r="A151" s="143" t="s">
        <v>1210</v>
      </c>
      <c r="B151" s="144">
        <v>100</v>
      </c>
      <c r="C151" s="145">
        <v>311</v>
      </c>
      <c r="D151" s="145">
        <v>4.8</v>
      </c>
      <c r="E151" s="145">
        <v>12.4</v>
      </c>
      <c r="F151" s="145">
        <v>4.5</v>
      </c>
      <c r="G151" s="145">
        <v>3.9</v>
      </c>
      <c r="H151" s="145">
        <v>1.5</v>
      </c>
      <c r="I151" s="145">
        <v>1.34</v>
      </c>
      <c r="J151" s="145">
        <v>0.08</v>
      </c>
      <c r="K151" s="145">
        <v>82</v>
      </c>
      <c r="L151" s="145">
        <v>45.1</v>
      </c>
      <c r="M151" s="145">
        <v>0.7</v>
      </c>
      <c r="N151" s="145">
        <v>83</v>
      </c>
      <c r="O151" s="145">
        <v>10</v>
      </c>
      <c r="P151" s="145">
        <v>0.11</v>
      </c>
      <c r="Q151" s="145">
        <v>128</v>
      </c>
      <c r="R151" s="145">
        <v>0.7</v>
      </c>
      <c r="S151" s="145">
        <v>134</v>
      </c>
      <c r="T151" s="145">
        <v>118</v>
      </c>
      <c r="U151" s="145">
        <v>0.04</v>
      </c>
      <c r="V151" s="145">
        <v>0.4</v>
      </c>
      <c r="W151" s="145">
        <v>57</v>
      </c>
      <c r="X151" s="145">
        <v>0.11</v>
      </c>
      <c r="Y151" s="145">
        <v>0.05</v>
      </c>
      <c r="Z151" s="145" t="s">
        <v>400</v>
      </c>
      <c r="AA151" s="145" t="s">
        <v>400</v>
      </c>
      <c r="AB151" s="145" t="s">
        <v>400</v>
      </c>
      <c r="AC151" s="145" t="s">
        <v>400</v>
      </c>
      <c r="AD151" s="145" t="s">
        <v>400</v>
      </c>
      <c r="AE151" s="145" t="s">
        <v>400</v>
      </c>
      <c r="AF151" s="145" t="s">
        <v>400</v>
      </c>
      <c r="AG151" s="145" t="s">
        <v>400</v>
      </c>
      <c r="AH151" s="145">
        <v>1.99</v>
      </c>
      <c r="AI151" s="145" t="s">
        <v>400</v>
      </c>
      <c r="AJ151" s="145" t="s">
        <v>400</v>
      </c>
      <c r="AK151" s="145" t="s">
        <v>400</v>
      </c>
      <c r="AL151" s="145">
        <v>8.27</v>
      </c>
      <c r="AM151" s="145">
        <v>5.68</v>
      </c>
    </row>
    <row r="152" spans="1:39">
      <c r="A152" s="143" t="s">
        <v>1211</v>
      </c>
      <c r="B152" s="144">
        <v>100</v>
      </c>
      <c r="C152" s="145">
        <v>311</v>
      </c>
      <c r="D152" s="145">
        <v>4.8</v>
      </c>
      <c r="E152" s="145">
        <v>12.4</v>
      </c>
      <c r="F152" s="145">
        <v>4.5</v>
      </c>
      <c r="G152" s="145">
        <v>3.9</v>
      </c>
      <c r="H152" s="145">
        <v>1.5</v>
      </c>
      <c r="I152" s="145">
        <v>1.34</v>
      </c>
      <c r="J152" s="145">
        <v>0.08</v>
      </c>
      <c r="K152" s="145">
        <v>82</v>
      </c>
      <c r="L152" s="145">
        <v>45.1</v>
      </c>
      <c r="M152" s="145">
        <v>0.7</v>
      </c>
      <c r="N152" s="145">
        <v>83</v>
      </c>
      <c r="O152" s="145">
        <v>10</v>
      </c>
      <c r="P152" s="145">
        <v>0.11</v>
      </c>
      <c r="Q152" s="145">
        <v>128</v>
      </c>
      <c r="R152" s="145">
        <v>0.7</v>
      </c>
      <c r="S152" s="145">
        <v>134</v>
      </c>
      <c r="T152" s="145">
        <v>118</v>
      </c>
      <c r="U152" s="145">
        <v>0.04</v>
      </c>
      <c r="V152" s="145">
        <v>0.4</v>
      </c>
      <c r="W152" s="145">
        <v>57</v>
      </c>
      <c r="X152" s="145">
        <v>0.11</v>
      </c>
      <c r="Y152" s="145">
        <v>0.05</v>
      </c>
      <c r="Z152" s="145" t="s">
        <v>400</v>
      </c>
      <c r="AA152" s="145" t="s">
        <v>400</v>
      </c>
      <c r="AB152" s="145" t="s">
        <v>400</v>
      </c>
      <c r="AC152" s="145" t="s">
        <v>400</v>
      </c>
      <c r="AD152" s="145" t="s">
        <v>400</v>
      </c>
      <c r="AE152" s="145" t="s">
        <v>400</v>
      </c>
      <c r="AF152" s="145" t="s">
        <v>400</v>
      </c>
      <c r="AG152" s="145" t="s">
        <v>400</v>
      </c>
      <c r="AH152" s="145">
        <v>1.99</v>
      </c>
      <c r="AI152" s="145" t="s">
        <v>400</v>
      </c>
      <c r="AJ152" s="145" t="s">
        <v>400</v>
      </c>
      <c r="AK152" s="145" t="s">
        <v>400</v>
      </c>
      <c r="AL152" s="145">
        <v>8.27</v>
      </c>
      <c r="AM152" s="145">
        <v>5.68</v>
      </c>
    </row>
    <row r="153" spans="1:39">
      <c r="A153" s="143" t="s">
        <v>1212</v>
      </c>
      <c r="B153" s="144">
        <v>100</v>
      </c>
      <c r="C153" s="145">
        <v>160.14099999999999</v>
      </c>
      <c r="D153" s="145">
        <v>3.32</v>
      </c>
      <c r="E153" s="145">
        <v>7.1779999999999999</v>
      </c>
      <c r="F153" s="145">
        <v>1.1200000000000001</v>
      </c>
      <c r="G153" s="145">
        <v>1.718</v>
      </c>
      <c r="H153" s="145">
        <v>4.0090000000000003</v>
      </c>
      <c r="I153" s="145">
        <v>3.5910000000000002</v>
      </c>
      <c r="J153" s="145">
        <v>0.41799999999999998</v>
      </c>
      <c r="K153" s="145" t="s">
        <v>400</v>
      </c>
      <c r="L153" s="145">
        <v>25.11</v>
      </c>
      <c r="M153" s="145">
        <v>4.25</v>
      </c>
      <c r="N153" s="145">
        <v>3.1520000000000001</v>
      </c>
      <c r="O153" s="145">
        <v>26.006</v>
      </c>
      <c r="P153" s="145">
        <v>0.159</v>
      </c>
      <c r="Q153" s="145">
        <v>75</v>
      </c>
      <c r="R153" s="145">
        <v>0.44500000000000001</v>
      </c>
      <c r="S153" s="145">
        <v>244.964</v>
      </c>
      <c r="T153" s="145">
        <v>212.05099999999999</v>
      </c>
      <c r="U153" s="145">
        <v>4.7E-2</v>
      </c>
      <c r="V153" s="145">
        <v>0.61099999999999999</v>
      </c>
      <c r="W153" s="145" t="s">
        <v>400</v>
      </c>
      <c r="X153" s="145">
        <v>0.215</v>
      </c>
      <c r="Y153" s="145">
        <v>7.1999999999999995E-2</v>
      </c>
      <c r="Z153" s="146">
        <v>0.06</v>
      </c>
      <c r="AA153" s="145">
        <v>1.6140000000000001</v>
      </c>
      <c r="AB153" s="145">
        <v>6.2</v>
      </c>
      <c r="AC153" s="145">
        <v>1.9970000000000001</v>
      </c>
      <c r="AD153" s="145" t="s">
        <v>400</v>
      </c>
      <c r="AE153" s="145">
        <v>46</v>
      </c>
      <c r="AF153" s="145" t="s">
        <v>400</v>
      </c>
      <c r="AG153" s="145">
        <v>0.57199999999999995</v>
      </c>
      <c r="AH153" s="145">
        <v>3.1E-2</v>
      </c>
      <c r="AI153" s="145">
        <v>245</v>
      </c>
      <c r="AJ153" s="145">
        <v>2.9039999999999999</v>
      </c>
      <c r="AK153" s="145">
        <v>13.167</v>
      </c>
      <c r="AL153" s="145">
        <v>3.16</v>
      </c>
      <c r="AM153" s="145" t="s">
        <v>400</v>
      </c>
    </row>
    <row r="154" spans="1:39">
      <c r="A154" s="143" t="s">
        <v>1213</v>
      </c>
      <c r="B154" s="144">
        <v>100</v>
      </c>
      <c r="C154" s="145">
        <v>78.242999999999995</v>
      </c>
      <c r="D154" s="145">
        <v>2.4220000000000002</v>
      </c>
      <c r="E154" s="145">
        <v>3.0619999999999998</v>
      </c>
      <c r="F154" s="145">
        <v>1.3480000000000001</v>
      </c>
      <c r="G154" s="145">
        <v>0.89</v>
      </c>
      <c r="H154" s="145">
        <v>0.55500000000000005</v>
      </c>
      <c r="I154" s="145">
        <v>0.498</v>
      </c>
      <c r="J154" s="145">
        <v>5.7000000000000002E-2</v>
      </c>
      <c r="K154" s="145">
        <v>6.0229999999999997</v>
      </c>
      <c r="L154" s="145">
        <v>10.456</v>
      </c>
      <c r="M154" s="145">
        <v>0.17399999999999999</v>
      </c>
      <c r="N154" s="145">
        <v>124.56699999999999</v>
      </c>
      <c r="O154" s="145">
        <v>13.224</v>
      </c>
      <c r="P154" s="145">
        <v>2.9000000000000001E-2</v>
      </c>
      <c r="Q154" s="145">
        <v>95.381</v>
      </c>
      <c r="R154" s="145">
        <v>0.221</v>
      </c>
      <c r="S154" s="145">
        <v>319.33100000000002</v>
      </c>
      <c r="T154" s="145">
        <v>156.846</v>
      </c>
      <c r="U154" s="145">
        <v>1.4999999999999999E-2</v>
      </c>
      <c r="V154" s="145">
        <v>0.44900000000000001</v>
      </c>
      <c r="W154" s="145">
        <v>21.164999999999999</v>
      </c>
      <c r="X154" s="145">
        <v>6.8000000000000005E-2</v>
      </c>
      <c r="Y154" s="145">
        <v>0.17699999999999999</v>
      </c>
      <c r="Z154" s="146">
        <v>4.2999999999999997E-2</v>
      </c>
      <c r="AA154" s="145">
        <v>0.32200000000000001</v>
      </c>
      <c r="AB154" s="145">
        <v>0.14699999999999999</v>
      </c>
      <c r="AC154" s="145">
        <v>1.1659999999999999</v>
      </c>
      <c r="AD154" s="145">
        <v>0.30199999999999999</v>
      </c>
      <c r="AE154" s="145">
        <v>11.233000000000001</v>
      </c>
      <c r="AF154" s="145">
        <v>0.50800000000000001</v>
      </c>
      <c r="AG154" s="145">
        <v>0.187</v>
      </c>
      <c r="AH154" s="145">
        <v>0.22600000000000001</v>
      </c>
      <c r="AI154" s="145" t="s">
        <v>400</v>
      </c>
      <c r="AJ154" s="145">
        <v>4.0279999999999996</v>
      </c>
      <c r="AK154" s="145">
        <v>30.094999999999999</v>
      </c>
      <c r="AL154" s="145">
        <v>7.1959999999999997</v>
      </c>
      <c r="AM154" s="145">
        <v>2.0779999999999998</v>
      </c>
    </row>
    <row r="155" spans="1:39">
      <c r="A155" s="143" t="s">
        <v>1214</v>
      </c>
      <c r="B155" s="144">
        <v>100</v>
      </c>
      <c r="C155" s="145">
        <v>78.242999999999995</v>
      </c>
      <c r="D155" s="145">
        <v>2.4220000000000002</v>
      </c>
      <c r="E155" s="145">
        <v>3.0619999999999998</v>
      </c>
      <c r="F155" s="145">
        <v>1.3480000000000001</v>
      </c>
      <c r="G155" s="145">
        <v>0.89</v>
      </c>
      <c r="H155" s="145">
        <v>0.55500000000000005</v>
      </c>
      <c r="I155" s="145">
        <v>0.498</v>
      </c>
      <c r="J155" s="145">
        <v>5.7000000000000002E-2</v>
      </c>
      <c r="K155" s="145">
        <v>6.0229999999999997</v>
      </c>
      <c r="L155" s="145">
        <v>10.456</v>
      </c>
      <c r="M155" s="145">
        <v>0.17399999999999999</v>
      </c>
      <c r="N155" s="145">
        <v>124.56699999999999</v>
      </c>
      <c r="O155" s="145">
        <v>13.224</v>
      </c>
      <c r="P155" s="145">
        <v>2.9000000000000001E-2</v>
      </c>
      <c r="Q155" s="145">
        <v>95.381</v>
      </c>
      <c r="R155" s="145">
        <v>0.221</v>
      </c>
      <c r="S155" s="145">
        <v>319.33100000000002</v>
      </c>
      <c r="T155" s="145">
        <v>156.846</v>
      </c>
      <c r="U155" s="145">
        <v>1.4999999999999999E-2</v>
      </c>
      <c r="V155" s="145">
        <v>0.44900000000000001</v>
      </c>
      <c r="W155" s="145">
        <v>21.164999999999999</v>
      </c>
      <c r="X155" s="145">
        <v>6.8000000000000005E-2</v>
      </c>
      <c r="Y155" s="145">
        <v>0.17699999999999999</v>
      </c>
      <c r="Z155" s="146">
        <v>4.2999999999999997E-2</v>
      </c>
      <c r="AA155" s="145">
        <v>0.32200000000000001</v>
      </c>
      <c r="AB155" s="145">
        <v>0.14699999999999999</v>
      </c>
      <c r="AC155" s="145">
        <v>1.1659999999999999</v>
      </c>
      <c r="AD155" s="145">
        <v>0.30199999999999999</v>
      </c>
      <c r="AE155" s="145">
        <v>11.233000000000001</v>
      </c>
      <c r="AF155" s="145">
        <v>0.50800000000000001</v>
      </c>
      <c r="AG155" s="145">
        <v>0.187</v>
      </c>
      <c r="AH155" s="145">
        <v>0.22600000000000001</v>
      </c>
      <c r="AI155" s="145" t="s">
        <v>400</v>
      </c>
      <c r="AJ155" s="145">
        <v>4.0279999999999996</v>
      </c>
      <c r="AK155" s="145">
        <v>30.094999999999999</v>
      </c>
      <c r="AL155" s="145">
        <v>7.1959999999999997</v>
      </c>
      <c r="AM155" s="145">
        <v>2.0779999999999998</v>
      </c>
    </row>
    <row r="156" spans="1:39">
      <c r="A156" s="143" t="s">
        <v>1215</v>
      </c>
      <c r="B156" s="144">
        <v>100</v>
      </c>
      <c r="C156" s="145">
        <v>148.32300000000001</v>
      </c>
      <c r="D156" s="145">
        <v>3.798</v>
      </c>
      <c r="E156" s="145">
        <v>3.2949999999999999</v>
      </c>
      <c r="F156" s="145">
        <v>1.84</v>
      </c>
      <c r="G156" s="145">
        <v>0.83299999999999996</v>
      </c>
      <c r="H156" s="145">
        <v>0.23200000000000001</v>
      </c>
      <c r="I156" s="145">
        <v>0.152</v>
      </c>
      <c r="J156" s="145">
        <v>0.08</v>
      </c>
      <c r="K156" s="145">
        <v>9.625</v>
      </c>
      <c r="L156" s="145">
        <v>26.071000000000002</v>
      </c>
      <c r="M156" s="145">
        <v>0.30099999999999999</v>
      </c>
      <c r="N156" s="145">
        <v>110.53700000000001</v>
      </c>
      <c r="O156" s="145">
        <v>13.754</v>
      </c>
      <c r="P156" s="145">
        <v>0.14399999999999999</v>
      </c>
      <c r="Q156" s="145">
        <v>99.066000000000003</v>
      </c>
      <c r="R156" s="145">
        <v>7.5999999999999998E-2</v>
      </c>
      <c r="S156" s="145">
        <v>387.29700000000003</v>
      </c>
      <c r="T156" s="145">
        <v>147.15700000000001</v>
      </c>
      <c r="U156" s="145">
        <v>2.5999999999999999E-2</v>
      </c>
      <c r="V156" s="145">
        <v>0.48</v>
      </c>
      <c r="W156" s="145">
        <v>26.951000000000001</v>
      </c>
      <c r="X156" s="145">
        <v>5.8999999999999997E-2</v>
      </c>
      <c r="Y156" s="145">
        <v>0.18099999999999999</v>
      </c>
      <c r="Z156" s="146">
        <v>8.5999999999999993E-2</v>
      </c>
      <c r="AA156" s="145">
        <v>0.40600000000000003</v>
      </c>
      <c r="AB156" s="145">
        <v>0.254</v>
      </c>
      <c r="AC156" s="145">
        <v>1.75</v>
      </c>
      <c r="AD156" s="145">
        <v>0.42399999999999999</v>
      </c>
      <c r="AE156" s="145">
        <v>5.306</v>
      </c>
      <c r="AF156" s="145">
        <v>0.96299999999999997</v>
      </c>
      <c r="AG156" s="145">
        <v>7.0999999999999994E-2</v>
      </c>
      <c r="AH156" s="145">
        <v>0.112</v>
      </c>
      <c r="AI156" s="145" t="s">
        <v>400</v>
      </c>
      <c r="AJ156" s="145">
        <v>5.4020000000000001</v>
      </c>
      <c r="AK156" s="145">
        <v>27.356999999999999</v>
      </c>
      <c r="AL156" s="145">
        <v>17.398</v>
      </c>
      <c r="AM156" s="145">
        <v>12.324999999999999</v>
      </c>
    </row>
    <row r="157" spans="1:39">
      <c r="A157" s="143" t="s">
        <v>1216</v>
      </c>
      <c r="B157" s="144">
        <v>100</v>
      </c>
      <c r="C157" s="145">
        <v>78.242999999999995</v>
      </c>
      <c r="D157" s="145">
        <v>2.4220000000000002</v>
      </c>
      <c r="E157" s="145">
        <v>3.0619999999999998</v>
      </c>
      <c r="F157" s="145">
        <v>1.3480000000000001</v>
      </c>
      <c r="G157" s="145">
        <v>0.89</v>
      </c>
      <c r="H157" s="145">
        <v>0.55500000000000005</v>
      </c>
      <c r="I157" s="145">
        <v>0.498</v>
      </c>
      <c r="J157" s="145">
        <v>5.7000000000000002E-2</v>
      </c>
      <c r="K157" s="145">
        <v>6.0229999999999997</v>
      </c>
      <c r="L157" s="145">
        <v>10.456</v>
      </c>
      <c r="M157" s="145">
        <v>0.17399999999999999</v>
      </c>
      <c r="N157" s="145">
        <v>124.56699999999999</v>
      </c>
      <c r="O157" s="145">
        <v>13.224</v>
      </c>
      <c r="P157" s="145">
        <v>2.9000000000000001E-2</v>
      </c>
      <c r="Q157" s="145">
        <v>95.381</v>
      </c>
      <c r="R157" s="145">
        <v>0.221</v>
      </c>
      <c r="S157" s="145">
        <v>319.33100000000002</v>
      </c>
      <c r="T157" s="145">
        <v>156.846</v>
      </c>
      <c r="U157" s="145">
        <v>1.4999999999999999E-2</v>
      </c>
      <c r="V157" s="145">
        <v>0.44900000000000001</v>
      </c>
      <c r="W157" s="145">
        <v>21.164999999999999</v>
      </c>
      <c r="X157" s="145">
        <v>6.8000000000000005E-2</v>
      </c>
      <c r="Y157" s="145">
        <v>0.17699999999999999</v>
      </c>
      <c r="Z157" s="146">
        <v>4.2999999999999997E-2</v>
      </c>
      <c r="AA157" s="145">
        <v>0.32200000000000001</v>
      </c>
      <c r="AB157" s="145">
        <v>0.14699999999999999</v>
      </c>
      <c r="AC157" s="145">
        <v>1.1659999999999999</v>
      </c>
      <c r="AD157" s="145">
        <v>0.30199999999999999</v>
      </c>
      <c r="AE157" s="145">
        <v>11.233000000000001</v>
      </c>
      <c r="AF157" s="145">
        <v>0.50800000000000001</v>
      </c>
      <c r="AG157" s="145">
        <v>0.187</v>
      </c>
      <c r="AH157" s="145">
        <v>0.22600000000000001</v>
      </c>
      <c r="AI157" s="145" t="s">
        <v>400</v>
      </c>
      <c r="AJ157" s="145">
        <v>4.0279999999999996</v>
      </c>
      <c r="AK157" s="145">
        <v>30.094999999999999</v>
      </c>
      <c r="AL157" s="145">
        <v>7.1959999999999997</v>
      </c>
      <c r="AM157" s="145">
        <v>2.0779999999999998</v>
      </c>
    </row>
    <row r="158" spans="1:39">
      <c r="A158" s="143" t="s">
        <v>1217</v>
      </c>
      <c r="B158" s="144">
        <v>100</v>
      </c>
      <c r="C158" s="145">
        <v>128.30000000000001</v>
      </c>
      <c r="D158" s="145">
        <v>4.3499999999999996</v>
      </c>
      <c r="E158" s="145">
        <v>0.22</v>
      </c>
      <c r="F158" s="145">
        <v>0.04</v>
      </c>
      <c r="G158" s="145">
        <v>0.03</v>
      </c>
      <c r="H158" s="145">
        <v>0.09</v>
      </c>
      <c r="I158" s="145">
        <v>0.08</v>
      </c>
      <c r="J158" s="145" t="s">
        <v>400</v>
      </c>
      <c r="K158" s="145" t="s">
        <v>400</v>
      </c>
      <c r="L158" s="145">
        <v>26.42</v>
      </c>
      <c r="M158" s="145">
        <v>1.71</v>
      </c>
      <c r="N158" s="145">
        <v>10.74</v>
      </c>
      <c r="O158" s="145">
        <v>15.82</v>
      </c>
      <c r="P158" s="145">
        <v>0.27</v>
      </c>
      <c r="Q158" s="145">
        <v>58.01</v>
      </c>
      <c r="R158" s="145">
        <v>0.37</v>
      </c>
      <c r="S158" s="145">
        <v>261.48</v>
      </c>
      <c r="T158" s="145">
        <v>57.49</v>
      </c>
      <c r="U158" s="145">
        <v>0.09</v>
      </c>
      <c r="V158" s="145">
        <v>0.28000000000000003</v>
      </c>
      <c r="W158" s="145" t="s">
        <v>400</v>
      </c>
      <c r="X158" s="145">
        <v>0.06</v>
      </c>
      <c r="Y158" s="145">
        <v>0.03</v>
      </c>
      <c r="Z158" s="145">
        <v>0.04</v>
      </c>
      <c r="AA158" s="145">
        <v>1.19</v>
      </c>
      <c r="AB158" s="145" t="s">
        <v>400</v>
      </c>
      <c r="AC158" s="145">
        <v>2.12</v>
      </c>
      <c r="AD158" s="145" t="s">
        <v>400</v>
      </c>
      <c r="AE158" s="145">
        <v>6.82</v>
      </c>
      <c r="AF158" s="145" t="s">
        <v>400</v>
      </c>
      <c r="AG158" s="145">
        <v>0.05</v>
      </c>
      <c r="AH158" s="145" t="s">
        <v>400</v>
      </c>
      <c r="AI158" s="145">
        <v>256</v>
      </c>
      <c r="AJ158" s="145">
        <v>3.75</v>
      </c>
      <c r="AK158" s="145">
        <v>0.06</v>
      </c>
      <c r="AL158" s="145">
        <v>0.72</v>
      </c>
      <c r="AM158" s="145" t="s">
        <v>400</v>
      </c>
    </row>
    <row r="159" spans="1:39">
      <c r="A159" s="143" t="s">
        <v>1218</v>
      </c>
      <c r="B159" s="144">
        <v>100</v>
      </c>
      <c r="C159" s="145">
        <v>78.242999999999995</v>
      </c>
      <c r="D159" s="145">
        <v>2.4220000000000002</v>
      </c>
      <c r="E159" s="145">
        <v>3.0619999999999998</v>
      </c>
      <c r="F159" s="145">
        <v>1.3480000000000001</v>
      </c>
      <c r="G159" s="145">
        <v>0.89</v>
      </c>
      <c r="H159" s="145">
        <v>0.55500000000000005</v>
      </c>
      <c r="I159" s="145">
        <v>0.498</v>
      </c>
      <c r="J159" s="145">
        <v>5.7000000000000002E-2</v>
      </c>
      <c r="K159" s="145">
        <v>6.0229999999999997</v>
      </c>
      <c r="L159" s="145">
        <v>10.456</v>
      </c>
      <c r="M159" s="145">
        <v>0.17399999999999999</v>
      </c>
      <c r="N159" s="145">
        <v>124.56699999999999</v>
      </c>
      <c r="O159" s="145">
        <v>13.224</v>
      </c>
      <c r="P159" s="145">
        <v>2.9000000000000001E-2</v>
      </c>
      <c r="Q159" s="145">
        <v>95.381</v>
      </c>
      <c r="R159" s="145">
        <v>0.221</v>
      </c>
      <c r="S159" s="145">
        <v>319.33100000000002</v>
      </c>
      <c r="T159" s="145">
        <v>156.846</v>
      </c>
      <c r="U159" s="145">
        <v>1.4999999999999999E-2</v>
      </c>
      <c r="V159" s="145">
        <v>0.44900000000000001</v>
      </c>
      <c r="W159" s="145">
        <v>21.164999999999999</v>
      </c>
      <c r="X159" s="145">
        <v>6.8000000000000005E-2</v>
      </c>
      <c r="Y159" s="145">
        <v>0.17699999999999999</v>
      </c>
      <c r="Z159" s="146">
        <v>4.2999999999999997E-2</v>
      </c>
      <c r="AA159" s="145">
        <v>0.32200000000000001</v>
      </c>
      <c r="AB159" s="145">
        <v>0.14699999999999999</v>
      </c>
      <c r="AC159" s="145">
        <v>1.1659999999999999</v>
      </c>
      <c r="AD159" s="145">
        <v>0.30199999999999999</v>
      </c>
      <c r="AE159" s="145">
        <v>11.233000000000001</v>
      </c>
      <c r="AF159" s="145">
        <v>0.50800000000000001</v>
      </c>
      <c r="AG159" s="145">
        <v>0.187</v>
      </c>
      <c r="AH159" s="145">
        <v>0.22600000000000001</v>
      </c>
      <c r="AI159" s="145" t="s">
        <v>400</v>
      </c>
      <c r="AJ159" s="145">
        <v>4.0279999999999996</v>
      </c>
      <c r="AK159" s="145">
        <v>30.094999999999999</v>
      </c>
      <c r="AL159" s="145">
        <v>7.1959999999999997</v>
      </c>
      <c r="AM159" s="145">
        <v>2.0779999999999998</v>
      </c>
    </row>
    <row r="160" spans="1:39">
      <c r="A160" s="143" t="s">
        <v>1219</v>
      </c>
      <c r="B160" s="144">
        <v>100</v>
      </c>
      <c r="C160" s="145">
        <v>377</v>
      </c>
      <c r="D160" s="145">
        <v>4.7</v>
      </c>
      <c r="E160" s="145">
        <v>0.7</v>
      </c>
      <c r="F160" s="145" t="s">
        <v>400</v>
      </c>
      <c r="G160" s="145" t="s">
        <v>400</v>
      </c>
      <c r="H160" s="145" t="s">
        <v>400</v>
      </c>
      <c r="I160" s="145" t="s">
        <v>400</v>
      </c>
      <c r="J160" s="145" t="s">
        <v>400</v>
      </c>
      <c r="K160" s="145" t="s">
        <v>400</v>
      </c>
      <c r="L160" s="145">
        <v>88.8</v>
      </c>
      <c r="M160" s="145">
        <v>2.1</v>
      </c>
      <c r="N160" s="145">
        <v>56</v>
      </c>
      <c r="O160" s="145">
        <v>8</v>
      </c>
      <c r="P160" s="145" t="s">
        <v>400</v>
      </c>
      <c r="Q160" s="145">
        <v>43</v>
      </c>
      <c r="R160" s="145">
        <v>3.9</v>
      </c>
      <c r="S160" s="145">
        <v>405</v>
      </c>
      <c r="T160" s="145">
        <v>52</v>
      </c>
      <c r="U160" s="145">
        <v>0.04</v>
      </c>
      <c r="V160" s="145">
        <v>8.5</v>
      </c>
      <c r="W160" s="145" t="s">
        <v>400</v>
      </c>
      <c r="X160" s="145">
        <v>0.73</v>
      </c>
      <c r="Y160" s="145">
        <v>1.1100000000000001</v>
      </c>
      <c r="Z160" s="145">
        <v>0.79</v>
      </c>
      <c r="AA160" s="145">
        <v>10.130000000000001</v>
      </c>
      <c r="AB160" s="145" t="s">
        <v>400</v>
      </c>
      <c r="AC160" s="145" t="s">
        <v>400</v>
      </c>
      <c r="AD160" s="145" t="s">
        <v>400</v>
      </c>
      <c r="AE160" s="145" t="s">
        <v>400</v>
      </c>
      <c r="AF160" s="145" t="s">
        <v>400</v>
      </c>
      <c r="AG160" s="145" t="s">
        <v>400</v>
      </c>
      <c r="AH160" s="145" t="s">
        <v>400</v>
      </c>
      <c r="AI160" s="145" t="s">
        <v>400</v>
      </c>
      <c r="AJ160" s="145" t="s">
        <v>400</v>
      </c>
      <c r="AK160" s="145">
        <v>15</v>
      </c>
      <c r="AL160" s="145">
        <v>38.020000000000003</v>
      </c>
      <c r="AM160" s="145">
        <v>38.67</v>
      </c>
    </row>
    <row r="161" spans="1:39">
      <c r="A161" s="143" t="s">
        <v>1220</v>
      </c>
      <c r="B161" s="144">
        <v>100</v>
      </c>
      <c r="C161" s="145">
        <v>377</v>
      </c>
      <c r="D161" s="145">
        <v>4.7</v>
      </c>
      <c r="E161" s="145">
        <v>0.7</v>
      </c>
      <c r="F161" s="145" t="s">
        <v>400</v>
      </c>
      <c r="G161" s="145" t="s">
        <v>400</v>
      </c>
      <c r="H161" s="145" t="s">
        <v>400</v>
      </c>
      <c r="I161" s="145" t="s">
        <v>400</v>
      </c>
      <c r="J161" s="145" t="s">
        <v>400</v>
      </c>
      <c r="K161" s="145" t="s">
        <v>400</v>
      </c>
      <c r="L161" s="145">
        <v>88.8</v>
      </c>
      <c r="M161" s="145">
        <v>2.1</v>
      </c>
      <c r="N161" s="145">
        <v>56</v>
      </c>
      <c r="O161" s="145">
        <v>8</v>
      </c>
      <c r="P161" s="145" t="s">
        <v>400</v>
      </c>
      <c r="Q161" s="145">
        <v>43</v>
      </c>
      <c r="R161" s="145">
        <v>3.9</v>
      </c>
      <c r="S161" s="145">
        <v>405</v>
      </c>
      <c r="T161" s="145">
        <v>52</v>
      </c>
      <c r="U161" s="145">
        <v>0.04</v>
      </c>
      <c r="V161" s="145">
        <v>8.5</v>
      </c>
      <c r="W161" s="145" t="s">
        <v>400</v>
      </c>
      <c r="X161" s="145">
        <v>0.73</v>
      </c>
      <c r="Y161" s="145">
        <v>1.1100000000000001</v>
      </c>
      <c r="Z161" s="145">
        <v>0.79</v>
      </c>
      <c r="AA161" s="145">
        <v>10.130000000000001</v>
      </c>
      <c r="AB161" s="145" t="s">
        <v>400</v>
      </c>
      <c r="AC161" s="145" t="s">
        <v>400</v>
      </c>
      <c r="AD161" s="145" t="s">
        <v>400</v>
      </c>
      <c r="AE161" s="145" t="s">
        <v>400</v>
      </c>
      <c r="AF161" s="145" t="s">
        <v>400</v>
      </c>
      <c r="AG161" s="145" t="s">
        <v>400</v>
      </c>
      <c r="AH161" s="145" t="s">
        <v>400</v>
      </c>
      <c r="AI161" s="145" t="s">
        <v>400</v>
      </c>
      <c r="AJ161" s="145" t="s">
        <v>400</v>
      </c>
      <c r="AK161" s="145">
        <v>15</v>
      </c>
      <c r="AL161" s="145">
        <v>38.020000000000003</v>
      </c>
      <c r="AM161" s="145">
        <v>38.67</v>
      </c>
    </row>
    <row r="162" spans="1:39">
      <c r="A162" s="143" t="s">
        <v>1221</v>
      </c>
      <c r="B162" s="144">
        <v>100</v>
      </c>
      <c r="C162" s="145">
        <v>360</v>
      </c>
      <c r="D162" s="145">
        <v>23.15</v>
      </c>
      <c r="E162" s="145">
        <v>9.7200000000000006</v>
      </c>
      <c r="F162" s="145">
        <v>1.665</v>
      </c>
      <c r="G162" s="145">
        <v>1.365</v>
      </c>
      <c r="H162" s="145">
        <v>6.01</v>
      </c>
      <c r="I162" s="145">
        <v>5.2869999999999999</v>
      </c>
      <c r="J162" s="145">
        <v>0.72299999999999998</v>
      </c>
      <c r="K162" s="145" t="s">
        <v>400</v>
      </c>
      <c r="L162" s="145">
        <v>51.8</v>
      </c>
      <c r="M162" s="145">
        <v>13.2</v>
      </c>
      <c r="N162" s="145">
        <v>39</v>
      </c>
      <c r="O162" s="145">
        <v>239</v>
      </c>
      <c r="P162" s="145">
        <v>13.301</v>
      </c>
      <c r="Q162" s="145">
        <v>842</v>
      </c>
      <c r="R162" s="145">
        <v>6.26</v>
      </c>
      <c r="S162" s="145">
        <v>12</v>
      </c>
      <c r="T162" s="145">
        <v>892</v>
      </c>
      <c r="U162" s="145">
        <v>0.79600000000000004</v>
      </c>
      <c r="V162" s="145">
        <v>12.29</v>
      </c>
      <c r="W162" s="145" t="s">
        <v>400</v>
      </c>
      <c r="X162" s="145">
        <v>1.8819999999999999</v>
      </c>
      <c r="Y162" s="145">
        <v>0.499</v>
      </c>
      <c r="Z162" s="146">
        <v>1.3</v>
      </c>
      <c r="AA162" s="145">
        <v>6.8129999999999997</v>
      </c>
      <c r="AB162" s="145" t="s">
        <v>400</v>
      </c>
      <c r="AC162" s="145">
        <v>12.096</v>
      </c>
      <c r="AD162" s="145" t="s">
        <v>400</v>
      </c>
      <c r="AE162" s="145">
        <v>281</v>
      </c>
      <c r="AF162" s="145" t="s">
        <v>400</v>
      </c>
      <c r="AG162" s="145">
        <v>21.805</v>
      </c>
      <c r="AH162" s="145" t="s">
        <v>400</v>
      </c>
      <c r="AI162" s="145" t="s">
        <v>400</v>
      </c>
      <c r="AJ162" s="145">
        <v>79.2</v>
      </c>
      <c r="AK162" s="145">
        <v>5.1669999999999998</v>
      </c>
      <c r="AL162" s="145">
        <v>8.6999999999999993</v>
      </c>
      <c r="AM162" s="145" t="s">
        <v>400</v>
      </c>
    </row>
    <row r="163" spans="1:39">
      <c r="A163" s="143" t="s">
        <v>1222</v>
      </c>
      <c r="B163" s="144">
        <v>100</v>
      </c>
      <c r="C163" s="145">
        <v>216</v>
      </c>
      <c r="D163" s="145">
        <v>15.55</v>
      </c>
      <c r="E163" s="145">
        <v>4.25</v>
      </c>
      <c r="F163" s="145">
        <v>0.63</v>
      </c>
      <c r="G163" s="145">
        <v>0.63700000000000001</v>
      </c>
      <c r="H163" s="145">
        <v>2.2120000000000002</v>
      </c>
      <c r="I163" s="145">
        <v>2.0390000000000001</v>
      </c>
      <c r="J163" s="145">
        <v>0.16700000000000001</v>
      </c>
      <c r="K163" s="145" t="s">
        <v>400</v>
      </c>
      <c r="L163" s="145">
        <v>64.510000000000005</v>
      </c>
      <c r="M163" s="145">
        <v>42.8</v>
      </c>
      <c r="N163" s="145">
        <v>73</v>
      </c>
      <c r="O163" s="145">
        <v>611</v>
      </c>
      <c r="P163" s="145">
        <v>11.5</v>
      </c>
      <c r="Q163" s="145">
        <v>1013</v>
      </c>
      <c r="R163" s="145">
        <v>10.57</v>
      </c>
      <c r="S163" s="145">
        <v>2</v>
      </c>
      <c r="T163" s="145">
        <v>1182</v>
      </c>
      <c r="U163" s="145">
        <v>0.998</v>
      </c>
      <c r="V163" s="145">
        <v>7.27</v>
      </c>
      <c r="W163" s="145" t="s">
        <v>400</v>
      </c>
      <c r="X163" s="145">
        <v>0.52300000000000002</v>
      </c>
      <c r="Y163" s="145">
        <v>0.57699999999999996</v>
      </c>
      <c r="Z163" s="146">
        <v>1.3029999999999999</v>
      </c>
      <c r="AA163" s="145">
        <v>13.577999999999999</v>
      </c>
      <c r="AB163" s="145" t="s">
        <v>400</v>
      </c>
      <c r="AC163" s="145">
        <v>18.277999999999999</v>
      </c>
      <c r="AD163" s="145" t="s">
        <v>400</v>
      </c>
      <c r="AE163" s="145">
        <v>79</v>
      </c>
      <c r="AF163" s="145" t="s">
        <v>400</v>
      </c>
      <c r="AG163" s="145">
        <v>1.49</v>
      </c>
      <c r="AH163" s="145" t="s">
        <v>400</v>
      </c>
      <c r="AI163" s="145" t="s">
        <v>400</v>
      </c>
      <c r="AJ163" s="145">
        <v>77.599999999999994</v>
      </c>
      <c r="AK163" s="145">
        <v>0.5</v>
      </c>
      <c r="AL163" s="145">
        <v>1.6</v>
      </c>
      <c r="AM163" s="145" t="s">
        <v>400</v>
      </c>
    </row>
    <row r="164" spans="1:39">
      <c r="A164" s="143" t="s">
        <v>1223</v>
      </c>
      <c r="B164" s="144">
        <v>100</v>
      </c>
      <c r="C164" s="145">
        <v>216</v>
      </c>
      <c r="D164" s="145">
        <v>15.55</v>
      </c>
      <c r="E164" s="145">
        <v>4.25</v>
      </c>
      <c r="F164" s="145">
        <v>0.63</v>
      </c>
      <c r="G164" s="145">
        <v>0.63700000000000001</v>
      </c>
      <c r="H164" s="145">
        <v>2.2120000000000002</v>
      </c>
      <c r="I164" s="145">
        <v>2.0390000000000001</v>
      </c>
      <c r="J164" s="145">
        <v>0.16700000000000001</v>
      </c>
      <c r="K164" s="145" t="s">
        <v>400</v>
      </c>
      <c r="L164" s="145">
        <v>64.510000000000005</v>
      </c>
      <c r="M164" s="145">
        <v>42.8</v>
      </c>
      <c r="N164" s="145">
        <v>73</v>
      </c>
      <c r="O164" s="145">
        <v>611</v>
      </c>
      <c r="P164" s="145">
        <v>11.5</v>
      </c>
      <c r="Q164" s="145">
        <v>1013</v>
      </c>
      <c r="R164" s="145">
        <v>10.57</v>
      </c>
      <c r="S164" s="145">
        <v>2</v>
      </c>
      <c r="T164" s="145">
        <v>1182</v>
      </c>
      <c r="U164" s="145">
        <v>0.998</v>
      </c>
      <c r="V164" s="145">
        <v>7.27</v>
      </c>
      <c r="W164" s="145" t="s">
        <v>400</v>
      </c>
      <c r="X164" s="145">
        <v>0.52300000000000002</v>
      </c>
      <c r="Y164" s="145">
        <v>0.57699999999999996</v>
      </c>
      <c r="Z164" s="146">
        <v>1.3029999999999999</v>
      </c>
      <c r="AA164" s="145">
        <v>13.577999999999999</v>
      </c>
      <c r="AB164" s="145" t="s">
        <v>400</v>
      </c>
      <c r="AC164" s="145">
        <v>18.277999999999999</v>
      </c>
      <c r="AD164" s="145" t="s">
        <v>400</v>
      </c>
      <c r="AE164" s="145">
        <v>79</v>
      </c>
      <c r="AF164" s="145" t="s">
        <v>400</v>
      </c>
      <c r="AG164" s="145">
        <v>1.49</v>
      </c>
      <c r="AH164" s="145" t="s">
        <v>400</v>
      </c>
      <c r="AI164" s="145" t="s">
        <v>400</v>
      </c>
      <c r="AJ164" s="145">
        <v>77.599999999999994</v>
      </c>
      <c r="AK164" s="145">
        <v>0.5</v>
      </c>
      <c r="AL164" s="145">
        <v>1.6</v>
      </c>
      <c r="AM164" s="145" t="s">
        <v>400</v>
      </c>
    </row>
    <row r="165" spans="1:39">
      <c r="A165" s="143" t="s">
        <v>1224</v>
      </c>
      <c r="B165" s="144">
        <v>100</v>
      </c>
      <c r="C165" s="145">
        <v>361</v>
      </c>
      <c r="D165" s="145">
        <v>1.6</v>
      </c>
      <c r="E165" s="145">
        <v>0.3</v>
      </c>
      <c r="F165" s="145">
        <v>0.1</v>
      </c>
      <c r="G165" s="145">
        <v>0.1</v>
      </c>
      <c r="H165" s="145" t="s">
        <v>400</v>
      </c>
      <c r="I165" s="145">
        <v>0.03</v>
      </c>
      <c r="J165" s="145">
        <v>0.01</v>
      </c>
      <c r="K165" s="145" t="s">
        <v>400</v>
      </c>
      <c r="L165" s="145">
        <v>87.9</v>
      </c>
      <c r="M165" s="145">
        <v>6.4</v>
      </c>
      <c r="N165" s="145">
        <v>65</v>
      </c>
      <c r="O165" s="145">
        <v>37</v>
      </c>
      <c r="P165" s="145" t="s">
        <v>400</v>
      </c>
      <c r="Q165" s="145">
        <v>42</v>
      </c>
      <c r="R165" s="145">
        <v>1.1000000000000001</v>
      </c>
      <c r="S165" s="145">
        <v>1</v>
      </c>
      <c r="T165" s="145">
        <v>340</v>
      </c>
      <c r="U165" s="145">
        <v>0.08</v>
      </c>
      <c r="V165" s="145">
        <v>0.4</v>
      </c>
      <c r="W165" s="145" t="s">
        <v>400</v>
      </c>
      <c r="X165" s="145">
        <v>0.14000000000000001</v>
      </c>
      <c r="Y165" s="145" t="s">
        <v>400</v>
      </c>
      <c r="Z165" s="145" t="s">
        <v>400</v>
      </c>
      <c r="AA165" s="145" t="s">
        <v>400</v>
      </c>
      <c r="AB165" s="145" t="s">
        <v>400</v>
      </c>
      <c r="AC165" s="145" t="s">
        <v>400</v>
      </c>
      <c r="AD165" s="145" t="s">
        <v>400</v>
      </c>
      <c r="AE165" s="145" t="s">
        <v>400</v>
      </c>
      <c r="AF165" s="145" t="s">
        <v>400</v>
      </c>
      <c r="AG165" s="145" t="s">
        <v>400</v>
      </c>
      <c r="AH165" s="145">
        <v>0.1</v>
      </c>
      <c r="AI165" s="145" t="s">
        <v>400</v>
      </c>
      <c r="AJ165" s="145" t="s">
        <v>400</v>
      </c>
      <c r="AK165" s="145" t="s">
        <v>400</v>
      </c>
      <c r="AL165" s="145" t="s">
        <v>400</v>
      </c>
      <c r="AM165" s="145" t="s">
        <v>400</v>
      </c>
    </row>
    <row r="166" spans="1:39">
      <c r="A166" s="143" t="s">
        <v>1225</v>
      </c>
      <c r="B166" s="144">
        <v>100</v>
      </c>
      <c r="C166" s="145">
        <v>361</v>
      </c>
      <c r="D166" s="145">
        <v>1.6</v>
      </c>
      <c r="E166" s="145">
        <v>0.3</v>
      </c>
      <c r="F166" s="145">
        <v>0.1</v>
      </c>
      <c r="G166" s="145">
        <v>0.1</v>
      </c>
      <c r="H166" s="145" t="s">
        <v>400</v>
      </c>
      <c r="I166" s="145">
        <v>0.03</v>
      </c>
      <c r="J166" s="145">
        <v>0.01</v>
      </c>
      <c r="K166" s="145" t="s">
        <v>400</v>
      </c>
      <c r="L166" s="145">
        <v>87.9</v>
      </c>
      <c r="M166" s="145">
        <v>6.4</v>
      </c>
      <c r="N166" s="145">
        <v>65</v>
      </c>
      <c r="O166" s="145">
        <v>37</v>
      </c>
      <c r="P166" s="145" t="s">
        <v>400</v>
      </c>
      <c r="Q166" s="145">
        <v>42</v>
      </c>
      <c r="R166" s="145">
        <v>1.1000000000000001</v>
      </c>
      <c r="S166" s="145">
        <v>1</v>
      </c>
      <c r="T166" s="145">
        <v>340</v>
      </c>
      <c r="U166" s="145">
        <v>0.08</v>
      </c>
      <c r="V166" s="145">
        <v>0.4</v>
      </c>
      <c r="W166" s="145" t="s">
        <v>400</v>
      </c>
      <c r="X166" s="145">
        <v>0.14000000000000001</v>
      </c>
      <c r="Y166" s="145" t="s">
        <v>400</v>
      </c>
      <c r="Z166" s="145" t="s">
        <v>400</v>
      </c>
      <c r="AA166" s="145" t="s">
        <v>400</v>
      </c>
      <c r="AB166" s="145" t="s">
        <v>400</v>
      </c>
      <c r="AC166" s="145" t="s">
        <v>400</v>
      </c>
      <c r="AD166" s="145" t="s">
        <v>400</v>
      </c>
      <c r="AE166" s="145" t="s">
        <v>400</v>
      </c>
      <c r="AF166" s="145" t="s">
        <v>400</v>
      </c>
      <c r="AG166" s="145" t="s">
        <v>400</v>
      </c>
      <c r="AH166" s="145">
        <v>0.1</v>
      </c>
      <c r="AI166" s="145" t="s">
        <v>400</v>
      </c>
      <c r="AJ166" s="145" t="s">
        <v>400</v>
      </c>
      <c r="AK166" s="145" t="s">
        <v>400</v>
      </c>
      <c r="AL166" s="145" t="s">
        <v>400</v>
      </c>
      <c r="AM166" s="145" t="s">
        <v>400</v>
      </c>
    </row>
    <row r="167" spans="1:39">
      <c r="A167" s="143" t="s">
        <v>1226</v>
      </c>
      <c r="B167" s="144">
        <v>100</v>
      </c>
      <c r="C167" s="145">
        <v>361</v>
      </c>
      <c r="D167" s="145">
        <v>1.6</v>
      </c>
      <c r="E167" s="145">
        <v>0.3</v>
      </c>
      <c r="F167" s="145">
        <v>0.1</v>
      </c>
      <c r="G167" s="145">
        <v>0.1</v>
      </c>
      <c r="H167" s="145" t="s">
        <v>400</v>
      </c>
      <c r="I167" s="145">
        <v>0.03</v>
      </c>
      <c r="J167" s="145">
        <v>0.01</v>
      </c>
      <c r="K167" s="145" t="s">
        <v>400</v>
      </c>
      <c r="L167" s="145">
        <v>87.9</v>
      </c>
      <c r="M167" s="145">
        <v>6.4</v>
      </c>
      <c r="N167" s="145">
        <v>65</v>
      </c>
      <c r="O167" s="145">
        <v>37</v>
      </c>
      <c r="P167" s="145" t="s">
        <v>400</v>
      </c>
      <c r="Q167" s="145">
        <v>42</v>
      </c>
      <c r="R167" s="145">
        <v>1.1000000000000001</v>
      </c>
      <c r="S167" s="145">
        <v>1</v>
      </c>
      <c r="T167" s="145">
        <v>340</v>
      </c>
      <c r="U167" s="145">
        <v>0.08</v>
      </c>
      <c r="V167" s="145">
        <v>0.4</v>
      </c>
      <c r="W167" s="145" t="s">
        <v>400</v>
      </c>
      <c r="X167" s="145">
        <v>0.14000000000000001</v>
      </c>
      <c r="Y167" s="145" t="s">
        <v>400</v>
      </c>
      <c r="Z167" s="145" t="s">
        <v>400</v>
      </c>
      <c r="AA167" s="145" t="s">
        <v>400</v>
      </c>
      <c r="AB167" s="145" t="s">
        <v>400</v>
      </c>
      <c r="AC167" s="145" t="s">
        <v>400</v>
      </c>
      <c r="AD167" s="145" t="s">
        <v>400</v>
      </c>
      <c r="AE167" s="145" t="s">
        <v>400</v>
      </c>
      <c r="AF167" s="145" t="s">
        <v>400</v>
      </c>
      <c r="AG167" s="145" t="s">
        <v>400</v>
      </c>
      <c r="AH167" s="145">
        <v>0.1</v>
      </c>
      <c r="AI167" s="145" t="s">
        <v>400</v>
      </c>
      <c r="AJ167" s="145" t="s">
        <v>400</v>
      </c>
      <c r="AK167" s="145" t="s">
        <v>400</v>
      </c>
      <c r="AL167" s="145" t="s">
        <v>400</v>
      </c>
      <c r="AM167" s="145" t="s">
        <v>400</v>
      </c>
    </row>
    <row r="168" spans="1:39">
      <c r="A168" s="143" t="s">
        <v>1227</v>
      </c>
      <c r="B168" s="144">
        <v>100</v>
      </c>
      <c r="C168" s="145">
        <v>361</v>
      </c>
      <c r="D168" s="145">
        <v>1.6</v>
      </c>
      <c r="E168" s="145">
        <v>0.3</v>
      </c>
      <c r="F168" s="145">
        <v>0.1</v>
      </c>
      <c r="G168" s="145">
        <v>0.1</v>
      </c>
      <c r="H168" s="145" t="s">
        <v>400</v>
      </c>
      <c r="I168" s="145">
        <v>0.03</v>
      </c>
      <c r="J168" s="145">
        <v>0.01</v>
      </c>
      <c r="K168" s="145" t="s">
        <v>400</v>
      </c>
      <c r="L168" s="145">
        <v>87.9</v>
      </c>
      <c r="M168" s="145">
        <v>6.4</v>
      </c>
      <c r="N168" s="145">
        <v>65</v>
      </c>
      <c r="O168" s="145">
        <v>37</v>
      </c>
      <c r="P168" s="145" t="s">
        <v>400</v>
      </c>
      <c r="Q168" s="145">
        <v>42</v>
      </c>
      <c r="R168" s="145">
        <v>1.1000000000000001</v>
      </c>
      <c r="S168" s="145">
        <v>1</v>
      </c>
      <c r="T168" s="145">
        <v>340</v>
      </c>
      <c r="U168" s="145">
        <v>0.08</v>
      </c>
      <c r="V168" s="145">
        <v>0.4</v>
      </c>
      <c r="W168" s="145" t="s">
        <v>400</v>
      </c>
      <c r="X168" s="145">
        <v>0.14000000000000001</v>
      </c>
      <c r="Y168" s="145" t="s">
        <v>400</v>
      </c>
      <c r="Z168" s="145" t="s">
        <v>400</v>
      </c>
      <c r="AA168" s="145" t="s">
        <v>400</v>
      </c>
      <c r="AB168" s="145" t="s">
        <v>400</v>
      </c>
      <c r="AC168" s="145" t="s">
        <v>400</v>
      </c>
      <c r="AD168" s="145" t="s">
        <v>400</v>
      </c>
      <c r="AE168" s="145" t="s">
        <v>400</v>
      </c>
      <c r="AF168" s="145" t="s">
        <v>400</v>
      </c>
      <c r="AG168" s="145" t="s">
        <v>400</v>
      </c>
      <c r="AH168" s="145">
        <v>0.1</v>
      </c>
      <c r="AI168" s="145" t="s">
        <v>400</v>
      </c>
      <c r="AJ168" s="145" t="s">
        <v>400</v>
      </c>
      <c r="AK168" s="145" t="s">
        <v>400</v>
      </c>
      <c r="AL168" s="145" t="s">
        <v>400</v>
      </c>
      <c r="AM168" s="145" t="s">
        <v>400</v>
      </c>
    </row>
    <row r="169" spans="1:39">
      <c r="A169" s="143" t="s">
        <v>1228</v>
      </c>
      <c r="B169" s="144">
        <v>100</v>
      </c>
      <c r="C169" s="145">
        <v>336</v>
      </c>
      <c r="D169" s="145">
        <v>2</v>
      </c>
      <c r="E169" s="145" t="s">
        <v>400</v>
      </c>
      <c r="F169" s="145" t="s">
        <v>400</v>
      </c>
      <c r="G169" s="145" t="s">
        <v>400</v>
      </c>
      <c r="H169" s="145" t="s">
        <v>400</v>
      </c>
      <c r="I169" s="145" t="s">
        <v>400</v>
      </c>
      <c r="J169" s="145" t="s">
        <v>400</v>
      </c>
      <c r="K169" s="145" t="s">
        <v>400</v>
      </c>
      <c r="L169" s="145">
        <v>82</v>
      </c>
      <c r="M169" s="145" t="s">
        <v>400</v>
      </c>
      <c r="N169" s="145">
        <v>4</v>
      </c>
      <c r="O169" s="145" t="s">
        <v>400</v>
      </c>
      <c r="P169" s="145" t="s">
        <v>400</v>
      </c>
      <c r="Q169" s="145" t="s">
        <v>400</v>
      </c>
      <c r="R169" s="145">
        <v>0.16</v>
      </c>
      <c r="S169" s="145">
        <v>1.5</v>
      </c>
      <c r="T169" s="145" t="s">
        <v>400</v>
      </c>
      <c r="U169" s="145" t="s">
        <v>400</v>
      </c>
      <c r="V169" s="145" t="s">
        <v>400</v>
      </c>
      <c r="W169" s="145" t="s">
        <v>400</v>
      </c>
      <c r="X169" s="145" t="s">
        <v>400</v>
      </c>
      <c r="Y169" s="145" t="s">
        <v>400</v>
      </c>
      <c r="Z169" s="146" t="s">
        <v>400</v>
      </c>
      <c r="AA169" s="145" t="s">
        <v>400</v>
      </c>
      <c r="AB169" s="145" t="s">
        <v>400</v>
      </c>
      <c r="AC169" s="145" t="s">
        <v>400</v>
      </c>
      <c r="AD169" s="145" t="s">
        <v>400</v>
      </c>
      <c r="AE169" s="145" t="s">
        <v>400</v>
      </c>
      <c r="AF169" s="145" t="s">
        <v>400</v>
      </c>
      <c r="AG169" s="145" t="s">
        <v>400</v>
      </c>
      <c r="AH169" s="145" t="s">
        <v>400</v>
      </c>
      <c r="AI169" s="145" t="s">
        <v>400</v>
      </c>
      <c r="AJ169" s="145" t="s">
        <v>400</v>
      </c>
      <c r="AK169" s="145" t="s">
        <v>400</v>
      </c>
      <c r="AL169" s="145" t="s">
        <v>400</v>
      </c>
      <c r="AM169" s="145" t="s">
        <v>400</v>
      </c>
    </row>
    <row r="170" spans="1:39">
      <c r="A170" s="143" t="s">
        <v>1229</v>
      </c>
      <c r="B170" s="144">
        <v>100</v>
      </c>
      <c r="C170" s="145">
        <v>116.992</v>
      </c>
      <c r="D170" s="145">
        <v>4.3339999999999996</v>
      </c>
      <c r="E170" s="145">
        <v>4.0990000000000002</v>
      </c>
      <c r="F170" s="145">
        <v>1.988</v>
      </c>
      <c r="G170" s="145">
        <v>1.208</v>
      </c>
      <c r="H170" s="145">
        <v>0.34599999999999997</v>
      </c>
      <c r="I170" s="145">
        <v>0.254</v>
      </c>
      <c r="J170" s="145">
        <v>6.8000000000000005E-2</v>
      </c>
      <c r="K170" s="145">
        <v>63.113999999999997</v>
      </c>
      <c r="L170" s="145">
        <v>15.512</v>
      </c>
      <c r="M170" s="145">
        <v>2.9000000000000001E-2</v>
      </c>
      <c r="N170" s="145">
        <v>102.169</v>
      </c>
      <c r="O170" s="145">
        <v>9.7880000000000003</v>
      </c>
      <c r="P170" s="145">
        <v>1.0999999999999999E-2</v>
      </c>
      <c r="Q170" s="145">
        <v>98.87</v>
      </c>
      <c r="R170" s="145">
        <v>0.23200000000000001</v>
      </c>
      <c r="S170" s="145">
        <v>100.384</v>
      </c>
      <c r="T170" s="145">
        <v>137.70400000000001</v>
      </c>
      <c r="U170" s="145">
        <v>1.2E-2</v>
      </c>
      <c r="V170" s="145">
        <v>0.47599999999999998</v>
      </c>
      <c r="W170" s="145">
        <v>45.191000000000003</v>
      </c>
      <c r="X170" s="145">
        <v>4.5999999999999999E-2</v>
      </c>
      <c r="Y170" s="145">
        <v>0.222</v>
      </c>
      <c r="Z170" s="146">
        <v>4.5999999999999999E-2</v>
      </c>
      <c r="AA170" s="145">
        <v>0.1</v>
      </c>
      <c r="AB170" s="145" t="s">
        <v>400</v>
      </c>
      <c r="AC170" s="145">
        <v>1.4810000000000001</v>
      </c>
      <c r="AD170" s="145">
        <v>0.51300000000000001</v>
      </c>
      <c r="AE170" s="145">
        <v>10.007</v>
      </c>
      <c r="AF170" s="145">
        <v>1.0049999999999999</v>
      </c>
      <c r="AG170" s="145">
        <v>0.183</v>
      </c>
      <c r="AH170" s="145">
        <v>9.7000000000000003E-2</v>
      </c>
      <c r="AI170" s="145" t="s">
        <v>400</v>
      </c>
      <c r="AJ170" s="145">
        <v>7.1589999999999998</v>
      </c>
      <c r="AK170" s="145">
        <v>45.713000000000001</v>
      </c>
      <c r="AL170" s="145">
        <v>13.202999999999999</v>
      </c>
      <c r="AM170" s="145">
        <v>8.6020000000000003</v>
      </c>
    </row>
    <row r="171" spans="1:39">
      <c r="A171" s="143" t="s">
        <v>1230</v>
      </c>
      <c r="B171" s="144">
        <v>100</v>
      </c>
      <c r="C171" s="145">
        <v>331</v>
      </c>
      <c r="D171" s="145">
        <v>0.5</v>
      </c>
      <c r="E171" s="145">
        <v>0.3</v>
      </c>
      <c r="F171" s="145" t="s">
        <v>400</v>
      </c>
      <c r="G171" s="145" t="s">
        <v>400</v>
      </c>
      <c r="H171" s="145" t="s">
        <v>400</v>
      </c>
      <c r="I171" s="145" t="s">
        <v>400</v>
      </c>
      <c r="J171" s="145" t="s">
        <v>400</v>
      </c>
      <c r="K171" s="145" t="s">
        <v>400</v>
      </c>
      <c r="L171" s="145">
        <v>81.099999999999994</v>
      </c>
      <c r="M171" s="145">
        <v>0.6</v>
      </c>
      <c r="N171" s="145">
        <v>12</v>
      </c>
      <c r="O171" s="145">
        <v>3</v>
      </c>
      <c r="P171" s="145" t="s">
        <v>400</v>
      </c>
      <c r="Q171" s="145">
        <v>60</v>
      </c>
      <c r="R171" s="145">
        <v>0.1</v>
      </c>
      <c r="S171" s="145">
        <v>2</v>
      </c>
      <c r="T171" s="145">
        <v>48</v>
      </c>
      <c r="U171" s="145" t="s">
        <v>400</v>
      </c>
      <c r="V171" s="145" t="s">
        <v>400</v>
      </c>
      <c r="W171" s="145" t="s">
        <v>400</v>
      </c>
      <c r="X171" s="145">
        <v>0.03</v>
      </c>
      <c r="Y171" s="145" t="s">
        <v>400</v>
      </c>
      <c r="Z171" s="145" t="s">
        <v>400</v>
      </c>
      <c r="AA171" s="145" t="s">
        <v>400</v>
      </c>
      <c r="AB171" s="145" t="s">
        <v>400</v>
      </c>
      <c r="AC171" s="145" t="s">
        <v>400</v>
      </c>
      <c r="AD171" s="145" t="s">
        <v>400</v>
      </c>
      <c r="AE171" s="145" t="s">
        <v>400</v>
      </c>
      <c r="AF171" s="145" t="s">
        <v>400</v>
      </c>
      <c r="AG171" s="145" t="s">
        <v>400</v>
      </c>
      <c r="AH171" s="145" t="s">
        <v>400</v>
      </c>
      <c r="AI171" s="145" t="s">
        <v>400</v>
      </c>
      <c r="AJ171" s="145" t="s">
        <v>400</v>
      </c>
      <c r="AK171" s="145" t="s">
        <v>400</v>
      </c>
      <c r="AL171" s="145" t="s">
        <v>400</v>
      </c>
      <c r="AM171" s="145" t="s">
        <v>400</v>
      </c>
    </row>
    <row r="172" spans="1:39">
      <c r="A172" s="143" t="s">
        <v>1231</v>
      </c>
      <c r="B172" s="144">
        <v>100</v>
      </c>
      <c r="C172" s="145">
        <v>331</v>
      </c>
      <c r="D172" s="145">
        <v>0.5</v>
      </c>
      <c r="E172" s="145">
        <v>0.3</v>
      </c>
      <c r="F172" s="145" t="s">
        <v>400</v>
      </c>
      <c r="G172" s="145" t="s">
        <v>400</v>
      </c>
      <c r="H172" s="145" t="s">
        <v>400</v>
      </c>
      <c r="I172" s="145" t="s">
        <v>400</v>
      </c>
      <c r="J172" s="145" t="s">
        <v>400</v>
      </c>
      <c r="K172" s="145" t="s">
        <v>400</v>
      </c>
      <c r="L172" s="145">
        <v>81.099999999999994</v>
      </c>
      <c r="M172" s="145">
        <v>0.6</v>
      </c>
      <c r="N172" s="145">
        <v>12</v>
      </c>
      <c r="O172" s="145">
        <v>3</v>
      </c>
      <c r="P172" s="145" t="s">
        <v>400</v>
      </c>
      <c r="Q172" s="145">
        <v>60</v>
      </c>
      <c r="R172" s="145">
        <v>0.1</v>
      </c>
      <c r="S172" s="145">
        <v>2</v>
      </c>
      <c r="T172" s="145">
        <v>48</v>
      </c>
      <c r="U172" s="145" t="s">
        <v>400</v>
      </c>
      <c r="V172" s="145" t="s">
        <v>400</v>
      </c>
      <c r="W172" s="145" t="s">
        <v>400</v>
      </c>
      <c r="X172" s="145">
        <v>0.03</v>
      </c>
      <c r="Y172" s="145" t="s">
        <v>400</v>
      </c>
      <c r="Z172" s="145" t="s">
        <v>400</v>
      </c>
      <c r="AA172" s="145" t="s">
        <v>400</v>
      </c>
      <c r="AB172" s="145" t="s">
        <v>400</v>
      </c>
      <c r="AC172" s="145" t="s">
        <v>400</v>
      </c>
      <c r="AD172" s="145" t="s">
        <v>400</v>
      </c>
      <c r="AE172" s="145" t="s">
        <v>400</v>
      </c>
      <c r="AF172" s="145" t="s">
        <v>400</v>
      </c>
      <c r="AG172" s="145" t="s">
        <v>400</v>
      </c>
      <c r="AH172" s="145" t="s">
        <v>400</v>
      </c>
      <c r="AI172" s="145" t="s">
        <v>400</v>
      </c>
      <c r="AJ172" s="145" t="s">
        <v>400</v>
      </c>
      <c r="AK172" s="145" t="s">
        <v>400</v>
      </c>
      <c r="AL172" s="145" t="s">
        <v>400</v>
      </c>
      <c r="AM172" s="145" t="s">
        <v>400</v>
      </c>
    </row>
    <row r="173" spans="1:39">
      <c r="A173" s="143" t="s">
        <v>1232</v>
      </c>
      <c r="B173" s="144">
        <v>100</v>
      </c>
      <c r="C173" s="145">
        <v>116.992</v>
      </c>
      <c r="D173" s="145">
        <v>4.3339999999999996</v>
      </c>
      <c r="E173" s="145">
        <v>4.0990000000000002</v>
      </c>
      <c r="F173" s="145">
        <v>1.988</v>
      </c>
      <c r="G173" s="145">
        <v>1.208</v>
      </c>
      <c r="H173" s="145">
        <v>0.34599999999999997</v>
      </c>
      <c r="I173" s="145">
        <v>0.254</v>
      </c>
      <c r="J173" s="145">
        <v>6.8000000000000005E-2</v>
      </c>
      <c r="K173" s="145">
        <v>63.113999999999997</v>
      </c>
      <c r="L173" s="145">
        <v>15.512</v>
      </c>
      <c r="M173" s="145">
        <v>2.9000000000000001E-2</v>
      </c>
      <c r="N173" s="145">
        <v>102.169</v>
      </c>
      <c r="O173" s="145">
        <v>9.7880000000000003</v>
      </c>
      <c r="P173" s="145">
        <v>1.0999999999999999E-2</v>
      </c>
      <c r="Q173" s="145">
        <v>98.87</v>
      </c>
      <c r="R173" s="145">
        <v>0.23200000000000001</v>
      </c>
      <c r="S173" s="145">
        <v>100.384</v>
      </c>
      <c r="T173" s="145">
        <v>137.70400000000001</v>
      </c>
      <c r="U173" s="145">
        <v>1.2E-2</v>
      </c>
      <c r="V173" s="145">
        <v>0.47599999999999998</v>
      </c>
      <c r="W173" s="145">
        <v>45.191000000000003</v>
      </c>
      <c r="X173" s="145">
        <v>4.5999999999999999E-2</v>
      </c>
      <c r="Y173" s="145">
        <v>0.222</v>
      </c>
      <c r="Z173" s="146">
        <v>4.5999999999999999E-2</v>
      </c>
      <c r="AA173" s="145">
        <v>0.1</v>
      </c>
      <c r="AB173" s="145" t="s">
        <v>400</v>
      </c>
      <c r="AC173" s="145">
        <v>1.4810000000000001</v>
      </c>
      <c r="AD173" s="145">
        <v>0.51300000000000001</v>
      </c>
      <c r="AE173" s="145">
        <v>10.007</v>
      </c>
      <c r="AF173" s="145">
        <v>1.0049999999999999</v>
      </c>
      <c r="AG173" s="145">
        <v>0.183</v>
      </c>
      <c r="AH173" s="145">
        <v>9.7000000000000003E-2</v>
      </c>
      <c r="AI173" s="145" t="s">
        <v>400</v>
      </c>
      <c r="AJ173" s="145">
        <v>7.1589999999999998</v>
      </c>
      <c r="AK173" s="145">
        <v>45.713000000000001</v>
      </c>
      <c r="AL173" s="145">
        <v>13.202999999999999</v>
      </c>
      <c r="AM173" s="145">
        <v>8.6020000000000003</v>
      </c>
    </row>
    <row r="174" spans="1:39">
      <c r="A174" s="143" t="s">
        <v>1233</v>
      </c>
      <c r="B174" s="144">
        <v>100</v>
      </c>
      <c r="C174" s="145">
        <v>336</v>
      </c>
      <c r="D174" s="145">
        <v>2</v>
      </c>
      <c r="E174" s="145" t="s">
        <v>400</v>
      </c>
      <c r="F174" s="145" t="s">
        <v>400</v>
      </c>
      <c r="G174" s="145" t="s">
        <v>400</v>
      </c>
      <c r="H174" s="145" t="s">
        <v>400</v>
      </c>
      <c r="I174" s="145" t="s">
        <v>400</v>
      </c>
      <c r="J174" s="145" t="s">
        <v>400</v>
      </c>
      <c r="K174" s="145" t="s">
        <v>400</v>
      </c>
      <c r="L174" s="145">
        <v>82</v>
      </c>
      <c r="M174" s="145" t="s">
        <v>400</v>
      </c>
      <c r="N174" s="145">
        <v>4</v>
      </c>
      <c r="O174" s="145" t="s">
        <v>400</v>
      </c>
      <c r="P174" s="145" t="s">
        <v>400</v>
      </c>
      <c r="Q174" s="145" t="s">
        <v>400</v>
      </c>
      <c r="R174" s="145">
        <v>0.16</v>
      </c>
      <c r="S174" s="145">
        <v>1.5</v>
      </c>
      <c r="T174" s="145" t="s">
        <v>400</v>
      </c>
      <c r="U174" s="145" t="s">
        <v>400</v>
      </c>
      <c r="V174" s="145" t="s">
        <v>400</v>
      </c>
      <c r="W174" s="145" t="s">
        <v>400</v>
      </c>
      <c r="X174" s="145" t="s">
        <v>400</v>
      </c>
      <c r="Y174" s="145" t="s">
        <v>400</v>
      </c>
      <c r="Z174" s="146" t="s">
        <v>400</v>
      </c>
      <c r="AA174" s="145" t="s">
        <v>400</v>
      </c>
      <c r="AB174" s="145" t="s">
        <v>400</v>
      </c>
      <c r="AC174" s="145" t="s">
        <v>400</v>
      </c>
      <c r="AD174" s="145" t="s">
        <v>400</v>
      </c>
      <c r="AE174" s="145" t="s">
        <v>400</v>
      </c>
      <c r="AF174" s="145" t="s">
        <v>400</v>
      </c>
      <c r="AG174" s="145" t="s">
        <v>400</v>
      </c>
      <c r="AH174" s="145" t="s">
        <v>400</v>
      </c>
      <c r="AI174" s="145" t="s">
        <v>400</v>
      </c>
      <c r="AJ174" s="145" t="s">
        <v>400</v>
      </c>
      <c r="AK174" s="145" t="s">
        <v>400</v>
      </c>
      <c r="AL174" s="145" t="s">
        <v>400</v>
      </c>
      <c r="AM174" s="145" t="s">
        <v>400</v>
      </c>
    </row>
    <row r="175" spans="1:39">
      <c r="A175" s="143" t="s">
        <v>1234</v>
      </c>
      <c r="B175" s="144">
        <v>100</v>
      </c>
      <c r="C175" s="145">
        <v>396.67</v>
      </c>
      <c r="D175" s="145">
        <v>12.67</v>
      </c>
      <c r="E175" s="145">
        <v>6.33</v>
      </c>
      <c r="F175" s="145" t="s">
        <v>400</v>
      </c>
      <c r="G175" s="145" t="s">
        <v>400</v>
      </c>
      <c r="H175" s="145" t="s">
        <v>400</v>
      </c>
      <c r="I175" s="145" t="s">
        <v>400</v>
      </c>
      <c r="J175" s="145" t="s">
        <v>400</v>
      </c>
      <c r="K175" s="145" t="s">
        <v>400</v>
      </c>
      <c r="L175" s="145">
        <v>73.33</v>
      </c>
      <c r="M175" s="145">
        <v>2.67</v>
      </c>
      <c r="N175" s="145">
        <v>2.93</v>
      </c>
      <c r="O175" s="145" t="s">
        <v>400</v>
      </c>
      <c r="P175" s="145" t="s">
        <v>400</v>
      </c>
      <c r="Q175" s="145">
        <v>303.33</v>
      </c>
      <c r="R175" s="145">
        <v>6</v>
      </c>
      <c r="S175" s="145">
        <v>126.67</v>
      </c>
      <c r="T175" s="145" t="s">
        <v>400</v>
      </c>
      <c r="U175" s="145" t="s">
        <v>400</v>
      </c>
      <c r="V175" s="145" t="s">
        <v>400</v>
      </c>
      <c r="W175" s="145">
        <v>443.33</v>
      </c>
      <c r="X175" s="145">
        <v>0.6</v>
      </c>
      <c r="Y175" s="145">
        <v>0.6</v>
      </c>
      <c r="Z175" s="146">
        <v>0.5</v>
      </c>
      <c r="AA175" s="145">
        <v>8</v>
      </c>
      <c r="AB175" s="145">
        <v>29.67</v>
      </c>
      <c r="AC175" s="145" t="s">
        <v>400</v>
      </c>
      <c r="AD175" s="145">
        <v>1.2</v>
      </c>
      <c r="AE175" s="145" t="s">
        <v>400</v>
      </c>
      <c r="AF175" s="145">
        <v>5</v>
      </c>
      <c r="AG175" s="145" t="s">
        <v>400</v>
      </c>
      <c r="AH175" s="145" t="s">
        <v>400</v>
      </c>
      <c r="AI175" s="145" t="s">
        <v>400</v>
      </c>
      <c r="AJ175" s="145" t="s">
        <v>400</v>
      </c>
      <c r="AK175" s="145" t="s">
        <v>400</v>
      </c>
      <c r="AL175" s="145" t="s">
        <v>400</v>
      </c>
      <c r="AM175" s="145" t="s">
        <v>400</v>
      </c>
    </row>
    <row r="176" spans="1:39">
      <c r="A176" s="143" t="s">
        <v>1235</v>
      </c>
      <c r="B176" s="144">
        <v>100</v>
      </c>
      <c r="C176" s="145">
        <v>345.8</v>
      </c>
      <c r="D176" s="145">
        <v>12.92</v>
      </c>
      <c r="E176" s="145" t="s">
        <v>400</v>
      </c>
      <c r="F176" s="145" t="s">
        <v>400</v>
      </c>
      <c r="G176" s="145" t="s">
        <v>400</v>
      </c>
      <c r="H176" s="145" t="s">
        <v>400</v>
      </c>
      <c r="I176" s="145" t="s">
        <v>400</v>
      </c>
      <c r="J176" s="145" t="s">
        <v>400</v>
      </c>
      <c r="K176" s="145" t="s">
        <v>400</v>
      </c>
      <c r="L176" s="145">
        <v>70.8</v>
      </c>
      <c r="M176" s="145">
        <v>6.25</v>
      </c>
      <c r="N176" s="145">
        <v>508</v>
      </c>
      <c r="O176" s="145" t="s">
        <v>400</v>
      </c>
      <c r="P176" s="145" t="s">
        <v>400</v>
      </c>
      <c r="Q176" s="145">
        <v>550</v>
      </c>
      <c r="R176" s="145">
        <v>12.5</v>
      </c>
      <c r="S176" s="145">
        <v>550</v>
      </c>
      <c r="T176" s="145" t="s">
        <v>400</v>
      </c>
      <c r="U176" s="145" t="s">
        <v>400</v>
      </c>
      <c r="V176" s="145" t="s">
        <v>400</v>
      </c>
      <c r="W176" s="145" t="s">
        <v>400</v>
      </c>
      <c r="X176" s="145">
        <v>1.08</v>
      </c>
      <c r="Y176" s="145">
        <v>1.1599999999999999</v>
      </c>
      <c r="Z176" s="145">
        <v>1.1599999999999999</v>
      </c>
      <c r="AA176" s="145">
        <v>14.58</v>
      </c>
      <c r="AB176" s="145">
        <v>40.42</v>
      </c>
      <c r="AC176" s="145" t="s">
        <v>400</v>
      </c>
      <c r="AD176" s="145">
        <v>2.17</v>
      </c>
      <c r="AE176" s="145" t="s">
        <v>400</v>
      </c>
      <c r="AF176" s="145">
        <v>4.58</v>
      </c>
      <c r="AG176" s="145">
        <v>9.17</v>
      </c>
      <c r="AH176" s="145" t="s">
        <v>400</v>
      </c>
      <c r="AI176" s="145" t="s">
        <v>400</v>
      </c>
      <c r="AJ176" s="145" t="s">
        <v>400</v>
      </c>
      <c r="AK176" s="145" t="s">
        <v>400</v>
      </c>
      <c r="AL176" s="145" t="s">
        <v>400</v>
      </c>
      <c r="AM176" s="145" t="s">
        <v>400</v>
      </c>
    </row>
    <row r="177" spans="1:39">
      <c r="A177" s="143" t="s">
        <v>1236</v>
      </c>
      <c r="B177" s="144">
        <v>100</v>
      </c>
      <c r="C177" s="145">
        <v>365</v>
      </c>
      <c r="D177" s="145">
        <v>7.2</v>
      </c>
      <c r="E177" s="145">
        <v>1</v>
      </c>
      <c r="F177" s="145" t="s">
        <v>400</v>
      </c>
      <c r="G177" s="145" t="s">
        <v>400</v>
      </c>
      <c r="H177" s="145" t="s">
        <v>400</v>
      </c>
      <c r="I177" s="145" t="s">
        <v>400</v>
      </c>
      <c r="J177" s="145" t="s">
        <v>400</v>
      </c>
      <c r="K177" s="145" t="s">
        <v>400</v>
      </c>
      <c r="L177" s="145">
        <v>83.8</v>
      </c>
      <c r="M177" s="145">
        <v>4.0999999999999996</v>
      </c>
      <c r="N177" s="145">
        <v>143</v>
      </c>
      <c r="O177" s="145">
        <v>11</v>
      </c>
      <c r="P177" s="145" t="s">
        <v>400</v>
      </c>
      <c r="Q177" s="145">
        <v>101</v>
      </c>
      <c r="R177" s="145">
        <v>3.1</v>
      </c>
      <c r="S177" s="145">
        <v>655</v>
      </c>
      <c r="T177" s="145">
        <v>83</v>
      </c>
      <c r="U177" s="145">
        <v>0.06</v>
      </c>
      <c r="V177" s="145">
        <v>7.6</v>
      </c>
      <c r="W177" s="145" t="s">
        <v>400</v>
      </c>
      <c r="X177" s="145">
        <v>0.76</v>
      </c>
      <c r="Y177" s="145">
        <v>1.02</v>
      </c>
      <c r="Z177" s="145">
        <v>2.25</v>
      </c>
      <c r="AA177" s="145">
        <v>11.04</v>
      </c>
      <c r="AB177" s="145" t="s">
        <v>400</v>
      </c>
      <c r="AC177" s="145" t="s">
        <v>400</v>
      </c>
      <c r="AD177" s="145" t="s">
        <v>400</v>
      </c>
      <c r="AE177" s="145" t="s">
        <v>400</v>
      </c>
      <c r="AF177" s="145" t="s">
        <v>400</v>
      </c>
      <c r="AG177" s="145" t="s">
        <v>400</v>
      </c>
      <c r="AH177" s="145" t="s">
        <v>400</v>
      </c>
      <c r="AI177" s="145" t="s">
        <v>400</v>
      </c>
      <c r="AJ177" s="145" t="s">
        <v>400</v>
      </c>
      <c r="AK177" s="145">
        <v>15</v>
      </c>
      <c r="AL177" s="145" t="s">
        <v>400</v>
      </c>
      <c r="AM177" s="145" t="s">
        <v>400</v>
      </c>
    </row>
    <row r="178" spans="1:39">
      <c r="A178" s="143" t="s">
        <v>1237</v>
      </c>
      <c r="B178" s="144">
        <v>100</v>
      </c>
      <c r="C178" s="145">
        <v>78.242999999999995</v>
      </c>
      <c r="D178" s="145">
        <v>2.4220000000000002</v>
      </c>
      <c r="E178" s="145">
        <v>3.0619999999999998</v>
      </c>
      <c r="F178" s="145">
        <v>1.3480000000000001</v>
      </c>
      <c r="G178" s="145">
        <v>0.89</v>
      </c>
      <c r="H178" s="145">
        <v>0.55500000000000005</v>
      </c>
      <c r="I178" s="145">
        <v>0.498</v>
      </c>
      <c r="J178" s="145">
        <v>5.7000000000000002E-2</v>
      </c>
      <c r="K178" s="145">
        <v>6.0229999999999997</v>
      </c>
      <c r="L178" s="145">
        <v>10.456</v>
      </c>
      <c r="M178" s="145">
        <v>0.17399999999999999</v>
      </c>
      <c r="N178" s="145">
        <v>124.56699999999999</v>
      </c>
      <c r="O178" s="145">
        <v>13.224</v>
      </c>
      <c r="P178" s="145">
        <v>2.9000000000000001E-2</v>
      </c>
      <c r="Q178" s="145">
        <v>95.381</v>
      </c>
      <c r="R178" s="145">
        <v>0.221</v>
      </c>
      <c r="S178" s="145">
        <v>319.33100000000002</v>
      </c>
      <c r="T178" s="145">
        <v>156.846</v>
      </c>
      <c r="U178" s="145">
        <v>1.4999999999999999E-2</v>
      </c>
      <c r="V178" s="145">
        <v>0.44900000000000001</v>
      </c>
      <c r="W178" s="145">
        <v>21.164999999999999</v>
      </c>
      <c r="X178" s="145">
        <v>6.8000000000000005E-2</v>
      </c>
      <c r="Y178" s="145">
        <v>0.17699999999999999</v>
      </c>
      <c r="Z178" s="146">
        <v>4.2999999999999997E-2</v>
      </c>
      <c r="AA178" s="145">
        <v>0.32200000000000001</v>
      </c>
      <c r="AB178" s="145">
        <v>0.14699999999999999</v>
      </c>
      <c r="AC178" s="145">
        <v>1.1659999999999999</v>
      </c>
      <c r="AD178" s="145">
        <v>0.30199999999999999</v>
      </c>
      <c r="AE178" s="145">
        <v>11.233000000000001</v>
      </c>
      <c r="AF178" s="145">
        <v>0.50800000000000001</v>
      </c>
      <c r="AG178" s="145">
        <v>0.187</v>
      </c>
      <c r="AH178" s="145">
        <v>0.22600000000000001</v>
      </c>
      <c r="AI178" s="145" t="s">
        <v>400</v>
      </c>
      <c r="AJ178" s="145">
        <v>4.0279999999999996</v>
      </c>
      <c r="AK178" s="145">
        <v>30.094999999999999</v>
      </c>
      <c r="AL178" s="145">
        <v>7.1959999999999997</v>
      </c>
      <c r="AM178" s="145">
        <v>2.0779999999999998</v>
      </c>
    </row>
    <row r="179" spans="1:39">
      <c r="A179" s="143" t="s">
        <v>1238</v>
      </c>
      <c r="B179" s="144">
        <v>100</v>
      </c>
      <c r="C179" s="145">
        <v>252.49</v>
      </c>
      <c r="D179" s="145">
        <v>10.166</v>
      </c>
      <c r="E179" s="145">
        <v>8.2219999999999995</v>
      </c>
      <c r="F179" s="145">
        <v>3.2839999999999998</v>
      </c>
      <c r="G179" s="145">
        <v>2.105</v>
      </c>
      <c r="H179" s="145">
        <v>2.3290000000000002</v>
      </c>
      <c r="I179" s="145">
        <v>2.0430000000000001</v>
      </c>
      <c r="J179" s="145">
        <v>0.28599999999999998</v>
      </c>
      <c r="K179" s="145">
        <v>11.045</v>
      </c>
      <c r="L179" s="145">
        <v>33.725000000000001</v>
      </c>
      <c r="M179" s="145">
        <v>1.748</v>
      </c>
      <c r="N179" s="145">
        <v>166.41900000000001</v>
      </c>
      <c r="O179" s="145">
        <v>18.907</v>
      </c>
      <c r="P179" s="145">
        <v>0.31900000000000001</v>
      </c>
      <c r="Q179" s="145">
        <v>170.57499999999999</v>
      </c>
      <c r="R179" s="145">
        <v>2.218</v>
      </c>
      <c r="S179" s="145">
        <v>444.416</v>
      </c>
      <c r="T179" s="145">
        <v>140.691</v>
      </c>
      <c r="U179" s="145">
        <v>9.4E-2</v>
      </c>
      <c r="V179" s="145">
        <v>1.0249999999999999</v>
      </c>
      <c r="W179" s="145">
        <v>27.204999999999998</v>
      </c>
      <c r="X179" s="145">
        <v>0.36699999999999999</v>
      </c>
      <c r="Y179" s="145">
        <v>0.32400000000000001</v>
      </c>
      <c r="Z179" s="146">
        <v>7.0999999999999994E-2</v>
      </c>
      <c r="AA179" s="145">
        <v>2.99</v>
      </c>
      <c r="AB179" s="145">
        <v>1.929</v>
      </c>
      <c r="AC179" s="145">
        <v>6.0030000000000001</v>
      </c>
      <c r="AD179" s="145">
        <v>0.47599999999999998</v>
      </c>
      <c r="AE179" s="145">
        <v>106.527</v>
      </c>
      <c r="AF179" s="145">
        <v>3.3000000000000002E-2</v>
      </c>
      <c r="AG179" s="145">
        <v>0.79900000000000004</v>
      </c>
      <c r="AH179" s="145">
        <v>0.10199999999999999</v>
      </c>
      <c r="AI179" s="145" t="s">
        <v>400</v>
      </c>
      <c r="AJ179" s="145">
        <v>19.273</v>
      </c>
      <c r="AK179" s="145">
        <v>33.636000000000003</v>
      </c>
      <c r="AL179" s="145">
        <v>1.726</v>
      </c>
      <c r="AM179" s="145">
        <v>0.58299999999999996</v>
      </c>
    </row>
    <row r="180" spans="1:39">
      <c r="A180" s="143" t="s">
        <v>1239</v>
      </c>
      <c r="B180" s="144">
        <v>100</v>
      </c>
      <c r="C180" s="145">
        <v>252.49</v>
      </c>
      <c r="D180" s="145">
        <v>10.166</v>
      </c>
      <c r="E180" s="145">
        <v>8.2219999999999995</v>
      </c>
      <c r="F180" s="145">
        <v>3.2839999999999998</v>
      </c>
      <c r="G180" s="145">
        <v>2.105</v>
      </c>
      <c r="H180" s="145">
        <v>2.3290000000000002</v>
      </c>
      <c r="I180" s="145">
        <v>2.0430000000000001</v>
      </c>
      <c r="J180" s="145">
        <v>0.28599999999999998</v>
      </c>
      <c r="K180" s="145">
        <v>11.045</v>
      </c>
      <c r="L180" s="145">
        <v>33.725000000000001</v>
      </c>
      <c r="M180" s="145">
        <v>1.748</v>
      </c>
      <c r="N180" s="145">
        <v>166.41900000000001</v>
      </c>
      <c r="O180" s="145">
        <v>18.907</v>
      </c>
      <c r="P180" s="145">
        <v>0.31900000000000001</v>
      </c>
      <c r="Q180" s="145">
        <v>170.57499999999999</v>
      </c>
      <c r="R180" s="145">
        <v>2.218</v>
      </c>
      <c r="S180" s="145">
        <v>444.416</v>
      </c>
      <c r="T180" s="145">
        <v>140.691</v>
      </c>
      <c r="U180" s="145">
        <v>9.4E-2</v>
      </c>
      <c r="V180" s="145">
        <v>1.0249999999999999</v>
      </c>
      <c r="W180" s="145">
        <v>27.204999999999998</v>
      </c>
      <c r="X180" s="145">
        <v>0.36699999999999999</v>
      </c>
      <c r="Y180" s="145">
        <v>0.32400000000000001</v>
      </c>
      <c r="Z180" s="146">
        <v>7.0999999999999994E-2</v>
      </c>
      <c r="AA180" s="145">
        <v>2.99</v>
      </c>
      <c r="AB180" s="145">
        <v>1.929</v>
      </c>
      <c r="AC180" s="145">
        <v>6.0030000000000001</v>
      </c>
      <c r="AD180" s="145">
        <v>0.47599999999999998</v>
      </c>
      <c r="AE180" s="145">
        <v>106.527</v>
      </c>
      <c r="AF180" s="145">
        <v>3.3000000000000002E-2</v>
      </c>
      <c r="AG180" s="145">
        <v>0.79900000000000004</v>
      </c>
      <c r="AH180" s="145">
        <v>0.10199999999999999</v>
      </c>
      <c r="AI180" s="145" t="s">
        <v>400</v>
      </c>
      <c r="AJ180" s="145">
        <v>19.273</v>
      </c>
      <c r="AK180" s="145">
        <v>33.636000000000003</v>
      </c>
      <c r="AL180" s="145">
        <v>1.726</v>
      </c>
      <c r="AM180" s="145">
        <v>0.58299999999999996</v>
      </c>
    </row>
    <row r="181" spans="1:39">
      <c r="A181" s="143" t="s">
        <v>1240</v>
      </c>
      <c r="B181" s="144">
        <v>100</v>
      </c>
      <c r="C181" s="145">
        <v>252.49</v>
      </c>
      <c r="D181" s="145">
        <v>10.166</v>
      </c>
      <c r="E181" s="145">
        <v>8.2219999999999995</v>
      </c>
      <c r="F181" s="145">
        <v>3.2839999999999998</v>
      </c>
      <c r="G181" s="145">
        <v>2.105</v>
      </c>
      <c r="H181" s="145">
        <v>2.3290000000000002</v>
      </c>
      <c r="I181" s="145">
        <v>2.0430000000000001</v>
      </c>
      <c r="J181" s="145">
        <v>0.28599999999999998</v>
      </c>
      <c r="K181" s="145">
        <v>11.045</v>
      </c>
      <c r="L181" s="145">
        <v>33.725000000000001</v>
      </c>
      <c r="M181" s="145">
        <v>1.748</v>
      </c>
      <c r="N181" s="145">
        <v>166.41900000000001</v>
      </c>
      <c r="O181" s="145">
        <v>18.907</v>
      </c>
      <c r="P181" s="145">
        <v>0.31900000000000001</v>
      </c>
      <c r="Q181" s="145">
        <v>170.57499999999999</v>
      </c>
      <c r="R181" s="145">
        <v>2.218</v>
      </c>
      <c r="S181" s="145">
        <v>444.416</v>
      </c>
      <c r="T181" s="145">
        <v>140.691</v>
      </c>
      <c r="U181" s="145">
        <v>9.4E-2</v>
      </c>
      <c r="V181" s="145">
        <v>1.0249999999999999</v>
      </c>
      <c r="W181" s="145">
        <v>27.204999999999998</v>
      </c>
      <c r="X181" s="145">
        <v>0.36699999999999999</v>
      </c>
      <c r="Y181" s="145">
        <v>0.32400000000000001</v>
      </c>
      <c r="Z181" s="146">
        <v>7.0999999999999994E-2</v>
      </c>
      <c r="AA181" s="145">
        <v>2.99</v>
      </c>
      <c r="AB181" s="145">
        <v>1.929</v>
      </c>
      <c r="AC181" s="145">
        <v>6.0030000000000001</v>
      </c>
      <c r="AD181" s="145">
        <v>0.47599999999999998</v>
      </c>
      <c r="AE181" s="145">
        <v>106.527</v>
      </c>
      <c r="AF181" s="145">
        <v>3.3000000000000002E-2</v>
      </c>
      <c r="AG181" s="145">
        <v>0.79900000000000004</v>
      </c>
      <c r="AH181" s="145">
        <v>0.10199999999999999</v>
      </c>
      <c r="AI181" s="145" t="s">
        <v>400</v>
      </c>
      <c r="AJ181" s="145">
        <v>19.273</v>
      </c>
      <c r="AK181" s="145">
        <v>33.636000000000003</v>
      </c>
      <c r="AL181" s="145">
        <v>1.726</v>
      </c>
      <c r="AM181" s="145">
        <v>0.58299999999999996</v>
      </c>
    </row>
    <row r="182" spans="1:39">
      <c r="A182" s="143" t="s">
        <v>1241</v>
      </c>
      <c r="B182" s="144">
        <v>100</v>
      </c>
      <c r="C182" s="145">
        <v>252.49</v>
      </c>
      <c r="D182" s="145">
        <v>10.166</v>
      </c>
      <c r="E182" s="145">
        <v>8.2219999999999995</v>
      </c>
      <c r="F182" s="145">
        <v>3.2839999999999998</v>
      </c>
      <c r="G182" s="145">
        <v>2.105</v>
      </c>
      <c r="H182" s="145">
        <v>2.3290000000000002</v>
      </c>
      <c r="I182" s="145">
        <v>2.0430000000000001</v>
      </c>
      <c r="J182" s="145">
        <v>0.28599999999999998</v>
      </c>
      <c r="K182" s="145">
        <v>11.045</v>
      </c>
      <c r="L182" s="145">
        <v>33.725000000000001</v>
      </c>
      <c r="M182" s="145">
        <v>1.748</v>
      </c>
      <c r="N182" s="145">
        <v>166.41900000000001</v>
      </c>
      <c r="O182" s="145">
        <v>18.907</v>
      </c>
      <c r="P182" s="145">
        <v>0.31900000000000001</v>
      </c>
      <c r="Q182" s="145">
        <v>170.57499999999999</v>
      </c>
      <c r="R182" s="145">
        <v>2.218</v>
      </c>
      <c r="S182" s="145">
        <v>444.416</v>
      </c>
      <c r="T182" s="145">
        <v>140.691</v>
      </c>
      <c r="U182" s="145">
        <v>9.4E-2</v>
      </c>
      <c r="V182" s="145">
        <v>1.0249999999999999</v>
      </c>
      <c r="W182" s="145">
        <v>27.204999999999998</v>
      </c>
      <c r="X182" s="145">
        <v>0.36699999999999999</v>
      </c>
      <c r="Y182" s="145">
        <v>0.32400000000000001</v>
      </c>
      <c r="Z182" s="146">
        <v>7.0999999999999994E-2</v>
      </c>
      <c r="AA182" s="145">
        <v>2.99</v>
      </c>
      <c r="AB182" s="145">
        <v>1.929</v>
      </c>
      <c r="AC182" s="145">
        <v>6.0030000000000001</v>
      </c>
      <c r="AD182" s="145">
        <v>0.47599999999999998</v>
      </c>
      <c r="AE182" s="145">
        <v>106.527</v>
      </c>
      <c r="AF182" s="145">
        <v>3.3000000000000002E-2</v>
      </c>
      <c r="AG182" s="145">
        <v>0.79900000000000004</v>
      </c>
      <c r="AH182" s="145">
        <v>0.10199999999999999</v>
      </c>
      <c r="AI182" s="145" t="s">
        <v>400</v>
      </c>
      <c r="AJ182" s="145">
        <v>19.273</v>
      </c>
      <c r="AK182" s="145">
        <v>33.636000000000003</v>
      </c>
      <c r="AL182" s="145">
        <v>1.726</v>
      </c>
      <c r="AM182" s="145">
        <v>0.58299999999999996</v>
      </c>
    </row>
    <row r="183" spans="1:39">
      <c r="A183" s="143" t="s">
        <v>1242</v>
      </c>
      <c r="B183" s="144">
        <v>100</v>
      </c>
      <c r="C183" s="145">
        <v>252.49</v>
      </c>
      <c r="D183" s="145">
        <v>10.166</v>
      </c>
      <c r="E183" s="145">
        <v>8.2219999999999995</v>
      </c>
      <c r="F183" s="145">
        <v>3.2839999999999998</v>
      </c>
      <c r="G183" s="145">
        <v>2.105</v>
      </c>
      <c r="H183" s="145">
        <v>2.3290000000000002</v>
      </c>
      <c r="I183" s="145">
        <v>2.0430000000000001</v>
      </c>
      <c r="J183" s="145">
        <v>0.28599999999999998</v>
      </c>
      <c r="K183" s="145">
        <v>11.045</v>
      </c>
      <c r="L183" s="145">
        <v>33.725000000000001</v>
      </c>
      <c r="M183" s="145">
        <v>1.748</v>
      </c>
      <c r="N183" s="145">
        <v>166.41900000000001</v>
      </c>
      <c r="O183" s="145">
        <v>18.907</v>
      </c>
      <c r="P183" s="145">
        <v>0.31900000000000001</v>
      </c>
      <c r="Q183" s="145">
        <v>170.57499999999999</v>
      </c>
      <c r="R183" s="145">
        <v>2.218</v>
      </c>
      <c r="S183" s="145">
        <v>444.416</v>
      </c>
      <c r="T183" s="145">
        <v>140.691</v>
      </c>
      <c r="U183" s="145">
        <v>9.4E-2</v>
      </c>
      <c r="V183" s="145">
        <v>1.0249999999999999</v>
      </c>
      <c r="W183" s="145">
        <v>27.204999999999998</v>
      </c>
      <c r="X183" s="145">
        <v>0.36699999999999999</v>
      </c>
      <c r="Y183" s="145">
        <v>0.32400000000000001</v>
      </c>
      <c r="Z183" s="146">
        <v>7.0999999999999994E-2</v>
      </c>
      <c r="AA183" s="145">
        <v>2.99</v>
      </c>
      <c r="AB183" s="145">
        <v>1.929</v>
      </c>
      <c r="AC183" s="145">
        <v>6.0030000000000001</v>
      </c>
      <c r="AD183" s="145">
        <v>0.47599999999999998</v>
      </c>
      <c r="AE183" s="145">
        <v>106.527</v>
      </c>
      <c r="AF183" s="145">
        <v>3.3000000000000002E-2</v>
      </c>
      <c r="AG183" s="145">
        <v>0.79900000000000004</v>
      </c>
      <c r="AH183" s="145">
        <v>0.10199999999999999</v>
      </c>
      <c r="AI183" s="145" t="s">
        <v>400</v>
      </c>
      <c r="AJ183" s="145">
        <v>19.273</v>
      </c>
      <c r="AK183" s="145">
        <v>33.636000000000003</v>
      </c>
      <c r="AL183" s="145">
        <v>1.726</v>
      </c>
      <c r="AM183" s="145">
        <v>0.58299999999999996</v>
      </c>
    </row>
    <row r="184" spans="1:39">
      <c r="A184" s="143" t="s">
        <v>1243</v>
      </c>
      <c r="B184" s="144">
        <v>100</v>
      </c>
      <c r="C184" s="145">
        <v>70</v>
      </c>
      <c r="D184" s="145">
        <v>12</v>
      </c>
      <c r="E184" s="145">
        <v>2</v>
      </c>
      <c r="F184" s="145">
        <v>0.28999999999999998</v>
      </c>
      <c r="G184" s="145">
        <v>0.44</v>
      </c>
      <c r="H184" s="145">
        <v>1.1299999999999999</v>
      </c>
      <c r="I184" s="145">
        <v>1</v>
      </c>
      <c r="J184" s="145">
        <v>0.13</v>
      </c>
      <c r="K184" s="145" t="s">
        <v>400</v>
      </c>
      <c r="L184" s="145">
        <v>74</v>
      </c>
      <c r="M184" s="145">
        <v>73</v>
      </c>
      <c r="N184" s="145">
        <v>521</v>
      </c>
      <c r="O184" s="145">
        <v>234</v>
      </c>
      <c r="P184" s="145">
        <v>2</v>
      </c>
      <c r="Q184" s="145">
        <v>193</v>
      </c>
      <c r="R184" s="145">
        <v>40</v>
      </c>
      <c r="S184" s="145">
        <v>20</v>
      </c>
      <c r="T184" s="145">
        <v>1420</v>
      </c>
      <c r="U184" s="145">
        <v>1</v>
      </c>
      <c r="V184" s="145">
        <v>5</v>
      </c>
      <c r="W184" s="145" t="s">
        <v>400</v>
      </c>
      <c r="X184" s="145" t="s">
        <v>400</v>
      </c>
      <c r="Y184" s="145" t="s">
        <v>400</v>
      </c>
      <c r="Z184" s="146" t="s">
        <v>400</v>
      </c>
      <c r="AA184" s="145" t="s">
        <v>400</v>
      </c>
      <c r="AB184" s="145" t="s">
        <v>400</v>
      </c>
      <c r="AC184" s="145">
        <v>2.8330000000000002</v>
      </c>
      <c r="AD184" s="145" t="s">
        <v>400</v>
      </c>
      <c r="AE184" s="145" t="s">
        <v>400</v>
      </c>
      <c r="AF184" s="145" t="s">
        <v>400</v>
      </c>
      <c r="AG184" s="145">
        <v>7.8E-2</v>
      </c>
      <c r="AH184" s="145" t="s">
        <v>400</v>
      </c>
      <c r="AI184" s="145" t="s">
        <v>400</v>
      </c>
      <c r="AJ184" s="145" t="s">
        <v>400</v>
      </c>
      <c r="AK184" s="145" t="s">
        <v>400</v>
      </c>
      <c r="AL184" s="145">
        <v>0.21</v>
      </c>
      <c r="AM184" s="145" t="s">
        <v>400</v>
      </c>
    </row>
    <row r="185" spans="1:39">
      <c r="A185" s="143" t="s">
        <v>1244</v>
      </c>
      <c r="B185" s="144">
        <v>100</v>
      </c>
      <c r="C185" s="145">
        <v>319.80700000000002</v>
      </c>
      <c r="D185" s="145">
        <v>10.384</v>
      </c>
      <c r="E185" s="145">
        <v>15.676</v>
      </c>
      <c r="F185" s="145">
        <v>3.161</v>
      </c>
      <c r="G185" s="145">
        <v>4.2439999999999998</v>
      </c>
      <c r="H185" s="145">
        <v>7.28</v>
      </c>
      <c r="I185" s="145">
        <v>6.4119999999999999</v>
      </c>
      <c r="J185" s="145">
        <v>0.80900000000000005</v>
      </c>
      <c r="K185" s="145">
        <v>61.192</v>
      </c>
      <c r="L185" s="145">
        <v>33.512999999999998</v>
      </c>
      <c r="M185" s="145">
        <v>1.4470000000000001</v>
      </c>
      <c r="N185" s="145">
        <v>18.338999999999999</v>
      </c>
      <c r="O185" s="145">
        <v>16.773</v>
      </c>
      <c r="P185" s="145">
        <v>0.31</v>
      </c>
      <c r="Q185" s="145">
        <v>108.94799999999999</v>
      </c>
      <c r="R185" s="145">
        <v>2.4750000000000001</v>
      </c>
      <c r="S185" s="145">
        <v>413.19499999999999</v>
      </c>
      <c r="T185" s="145">
        <v>127.61199999999999</v>
      </c>
      <c r="U185" s="145">
        <v>9.4E-2</v>
      </c>
      <c r="V185" s="145">
        <v>0.92500000000000004</v>
      </c>
      <c r="W185" s="145">
        <v>19.178000000000001</v>
      </c>
      <c r="X185" s="145">
        <v>0.42099999999999999</v>
      </c>
      <c r="Y185" s="145">
        <v>0.30299999999999999</v>
      </c>
      <c r="Z185" s="146">
        <v>0.1</v>
      </c>
      <c r="AA185" s="145">
        <v>3.33</v>
      </c>
      <c r="AB185" s="145">
        <v>1.1850000000000001</v>
      </c>
      <c r="AC185" s="145">
        <v>5.4640000000000004</v>
      </c>
      <c r="AD185" s="145">
        <v>0.28000000000000003</v>
      </c>
      <c r="AE185" s="145">
        <v>92.195999999999998</v>
      </c>
      <c r="AF185" s="145">
        <v>0.49099999999999999</v>
      </c>
      <c r="AG185" s="145">
        <v>1.212</v>
      </c>
      <c r="AH185" s="145">
        <v>6.8000000000000005E-2</v>
      </c>
      <c r="AI185" s="145">
        <v>100</v>
      </c>
      <c r="AJ185" s="145">
        <v>30.806000000000001</v>
      </c>
      <c r="AK185" s="145">
        <v>20.353000000000002</v>
      </c>
      <c r="AL185" s="145">
        <v>0.36299999999999999</v>
      </c>
      <c r="AM185" s="145" t="s">
        <v>400</v>
      </c>
    </row>
    <row r="186" spans="1:39">
      <c r="A186" s="143" t="s">
        <v>1245</v>
      </c>
      <c r="B186" s="144">
        <v>100</v>
      </c>
      <c r="C186" s="145">
        <v>158</v>
      </c>
      <c r="D186" s="145">
        <v>5.8</v>
      </c>
      <c r="E186" s="145">
        <v>0.93</v>
      </c>
      <c r="F186" s="145">
        <v>0.17599999999999999</v>
      </c>
      <c r="G186" s="145">
        <v>0.13100000000000001</v>
      </c>
      <c r="H186" s="145">
        <v>0.31900000000000001</v>
      </c>
      <c r="I186" s="145">
        <v>0.29499999999999998</v>
      </c>
      <c r="J186" s="145">
        <v>2.4E-2</v>
      </c>
      <c r="K186" s="145" t="s">
        <v>400</v>
      </c>
      <c r="L186" s="145">
        <v>30.86</v>
      </c>
      <c r="M186" s="145">
        <v>1.8</v>
      </c>
      <c r="N186" s="145">
        <v>7</v>
      </c>
      <c r="O186" s="145">
        <v>18</v>
      </c>
      <c r="P186" s="145">
        <v>0.32200000000000001</v>
      </c>
      <c r="Q186" s="145">
        <v>58</v>
      </c>
      <c r="R186" s="145">
        <v>1.28</v>
      </c>
      <c r="S186" s="145">
        <v>1</v>
      </c>
      <c r="T186" s="145">
        <v>44</v>
      </c>
      <c r="U186" s="145">
        <v>0.1</v>
      </c>
      <c r="V186" s="145">
        <v>0.51</v>
      </c>
      <c r="W186" s="145" t="s">
        <v>400</v>
      </c>
      <c r="X186" s="145">
        <v>0.27400000000000002</v>
      </c>
      <c r="Y186" s="145">
        <v>0.13600000000000001</v>
      </c>
      <c r="Z186" s="146">
        <v>4.9000000000000002E-2</v>
      </c>
      <c r="AA186" s="145">
        <v>1.6890000000000001</v>
      </c>
      <c r="AB186" s="145" t="s">
        <v>400</v>
      </c>
      <c r="AC186" s="145">
        <v>3.0720000000000001</v>
      </c>
      <c r="AD186" s="145" t="s">
        <v>400</v>
      </c>
      <c r="AE186" s="145">
        <v>123.3</v>
      </c>
      <c r="AF186" s="145" t="s">
        <v>400</v>
      </c>
      <c r="AG186" s="145">
        <v>0.06</v>
      </c>
      <c r="AH186" s="145" t="s">
        <v>400</v>
      </c>
      <c r="AI186" s="145">
        <v>141</v>
      </c>
      <c r="AJ186" s="145">
        <v>26.4</v>
      </c>
      <c r="AK186" s="145" t="s">
        <v>400</v>
      </c>
      <c r="AL186" s="145">
        <v>0.56000000000000005</v>
      </c>
      <c r="AM186" s="145" t="s">
        <v>400</v>
      </c>
    </row>
    <row r="187" spans="1:39">
      <c r="A187" s="143" t="s">
        <v>1246</v>
      </c>
      <c r="B187" s="144">
        <v>100</v>
      </c>
      <c r="C187" s="145">
        <v>158</v>
      </c>
      <c r="D187" s="145">
        <v>5.8</v>
      </c>
      <c r="E187" s="145">
        <v>0.93</v>
      </c>
      <c r="F187" s="145">
        <v>0.17599999999999999</v>
      </c>
      <c r="G187" s="145">
        <v>0.13100000000000001</v>
      </c>
      <c r="H187" s="145">
        <v>0.31900000000000001</v>
      </c>
      <c r="I187" s="145">
        <v>0.29499999999999998</v>
      </c>
      <c r="J187" s="145">
        <v>2.4E-2</v>
      </c>
      <c r="K187" s="145" t="s">
        <v>400</v>
      </c>
      <c r="L187" s="145">
        <v>30.86</v>
      </c>
      <c r="M187" s="145">
        <v>1.8</v>
      </c>
      <c r="N187" s="145">
        <v>7</v>
      </c>
      <c r="O187" s="145">
        <v>18</v>
      </c>
      <c r="P187" s="145">
        <v>0.32200000000000001</v>
      </c>
      <c r="Q187" s="145">
        <v>58</v>
      </c>
      <c r="R187" s="145">
        <v>1.28</v>
      </c>
      <c r="S187" s="145">
        <v>1</v>
      </c>
      <c r="T187" s="145">
        <v>44</v>
      </c>
      <c r="U187" s="145">
        <v>0.1</v>
      </c>
      <c r="V187" s="145">
        <v>0.51</v>
      </c>
      <c r="W187" s="145" t="s">
        <v>400</v>
      </c>
      <c r="X187" s="145">
        <v>0.27400000000000002</v>
      </c>
      <c r="Y187" s="145">
        <v>0.13600000000000001</v>
      </c>
      <c r="Z187" s="146">
        <v>4.9000000000000002E-2</v>
      </c>
      <c r="AA187" s="145">
        <v>1.6890000000000001</v>
      </c>
      <c r="AB187" s="145" t="s">
        <v>400</v>
      </c>
      <c r="AC187" s="145">
        <v>3.0720000000000001</v>
      </c>
      <c r="AD187" s="145" t="s">
        <v>400</v>
      </c>
      <c r="AE187" s="145">
        <v>123.3</v>
      </c>
      <c r="AF187" s="145" t="s">
        <v>400</v>
      </c>
      <c r="AG187" s="145">
        <v>0.06</v>
      </c>
      <c r="AH187" s="145" t="s">
        <v>400</v>
      </c>
      <c r="AI187" s="145">
        <v>141</v>
      </c>
      <c r="AJ187" s="145">
        <v>26.4</v>
      </c>
      <c r="AK187" s="145" t="s">
        <v>400</v>
      </c>
      <c r="AL187" s="145">
        <v>0.56000000000000005</v>
      </c>
      <c r="AM187" s="145" t="s">
        <v>400</v>
      </c>
    </row>
    <row r="188" spans="1:39">
      <c r="A188" s="143" t="s">
        <v>1247</v>
      </c>
      <c r="B188" s="144">
        <v>100</v>
      </c>
      <c r="C188" s="145">
        <v>158</v>
      </c>
      <c r="D188" s="145">
        <v>5.8</v>
      </c>
      <c r="E188" s="145">
        <v>0.93</v>
      </c>
      <c r="F188" s="145">
        <v>0.17599999999999999</v>
      </c>
      <c r="G188" s="145">
        <v>0.13100000000000001</v>
      </c>
      <c r="H188" s="145">
        <v>0.31900000000000001</v>
      </c>
      <c r="I188" s="145">
        <v>0.29499999999999998</v>
      </c>
      <c r="J188" s="145">
        <v>2.4E-2</v>
      </c>
      <c r="K188" s="145" t="s">
        <v>400</v>
      </c>
      <c r="L188" s="145">
        <v>30.86</v>
      </c>
      <c r="M188" s="145">
        <v>1.8</v>
      </c>
      <c r="N188" s="145">
        <v>7</v>
      </c>
      <c r="O188" s="145">
        <v>18</v>
      </c>
      <c r="P188" s="145">
        <v>0.32200000000000001</v>
      </c>
      <c r="Q188" s="145">
        <v>58</v>
      </c>
      <c r="R188" s="145">
        <v>1.28</v>
      </c>
      <c r="S188" s="145">
        <v>1</v>
      </c>
      <c r="T188" s="145">
        <v>44</v>
      </c>
      <c r="U188" s="145">
        <v>0.1</v>
      </c>
      <c r="V188" s="145">
        <v>0.51</v>
      </c>
      <c r="W188" s="145" t="s">
        <v>400</v>
      </c>
      <c r="X188" s="145">
        <v>0.27400000000000002</v>
      </c>
      <c r="Y188" s="145">
        <v>0.13600000000000001</v>
      </c>
      <c r="Z188" s="146">
        <v>4.9000000000000002E-2</v>
      </c>
      <c r="AA188" s="145">
        <v>1.6890000000000001</v>
      </c>
      <c r="AB188" s="145" t="s">
        <v>400</v>
      </c>
      <c r="AC188" s="145">
        <v>3.0720000000000001</v>
      </c>
      <c r="AD188" s="145" t="s">
        <v>400</v>
      </c>
      <c r="AE188" s="145">
        <v>123.3</v>
      </c>
      <c r="AF188" s="145" t="s">
        <v>400</v>
      </c>
      <c r="AG188" s="145">
        <v>0.06</v>
      </c>
      <c r="AH188" s="145" t="s">
        <v>400</v>
      </c>
      <c r="AI188" s="145">
        <v>141</v>
      </c>
      <c r="AJ188" s="145">
        <v>26.4</v>
      </c>
      <c r="AK188" s="145" t="s">
        <v>400</v>
      </c>
      <c r="AL188" s="145">
        <v>0.56000000000000005</v>
      </c>
      <c r="AM188" s="145" t="s">
        <v>400</v>
      </c>
    </row>
    <row r="189" spans="1:39">
      <c r="A189" s="143" t="s">
        <v>1248</v>
      </c>
      <c r="B189" s="144">
        <v>100</v>
      </c>
      <c r="C189" s="145">
        <v>158</v>
      </c>
      <c r="D189" s="145">
        <v>5.8</v>
      </c>
      <c r="E189" s="145">
        <v>0.93</v>
      </c>
      <c r="F189" s="145">
        <v>0.17599999999999999</v>
      </c>
      <c r="G189" s="145">
        <v>0.13100000000000001</v>
      </c>
      <c r="H189" s="145">
        <v>0.31900000000000001</v>
      </c>
      <c r="I189" s="145">
        <v>0.29499999999999998</v>
      </c>
      <c r="J189" s="145">
        <v>2.4E-2</v>
      </c>
      <c r="K189" s="145" t="s">
        <v>400</v>
      </c>
      <c r="L189" s="145">
        <v>30.86</v>
      </c>
      <c r="M189" s="145">
        <v>1.8</v>
      </c>
      <c r="N189" s="145">
        <v>7</v>
      </c>
      <c r="O189" s="145">
        <v>18</v>
      </c>
      <c r="P189" s="145">
        <v>0.32200000000000001</v>
      </c>
      <c r="Q189" s="145">
        <v>58</v>
      </c>
      <c r="R189" s="145">
        <v>1.28</v>
      </c>
      <c r="S189" s="145">
        <v>1</v>
      </c>
      <c r="T189" s="145">
        <v>44</v>
      </c>
      <c r="U189" s="145">
        <v>0.1</v>
      </c>
      <c r="V189" s="145">
        <v>0.51</v>
      </c>
      <c r="W189" s="145" t="s">
        <v>400</v>
      </c>
      <c r="X189" s="145">
        <v>0.27400000000000002</v>
      </c>
      <c r="Y189" s="145">
        <v>0.13600000000000001</v>
      </c>
      <c r="Z189" s="146">
        <v>4.9000000000000002E-2</v>
      </c>
      <c r="AA189" s="145">
        <v>1.6890000000000001</v>
      </c>
      <c r="AB189" s="145" t="s">
        <v>400</v>
      </c>
      <c r="AC189" s="145">
        <v>3.0720000000000001</v>
      </c>
      <c r="AD189" s="145" t="s">
        <v>400</v>
      </c>
      <c r="AE189" s="145">
        <v>123.3</v>
      </c>
      <c r="AF189" s="145" t="s">
        <v>400</v>
      </c>
      <c r="AG189" s="145">
        <v>0.06</v>
      </c>
      <c r="AH189" s="145" t="s">
        <v>400</v>
      </c>
      <c r="AI189" s="145">
        <v>141</v>
      </c>
      <c r="AJ189" s="145">
        <v>26.4</v>
      </c>
      <c r="AK189" s="145" t="s">
        <v>400</v>
      </c>
      <c r="AL189" s="145">
        <v>0.56000000000000005</v>
      </c>
      <c r="AM189" s="145" t="s">
        <v>400</v>
      </c>
    </row>
    <row r="190" spans="1:39">
      <c r="A190" s="143" t="s">
        <v>1249</v>
      </c>
      <c r="B190" s="144">
        <v>100</v>
      </c>
      <c r="C190" s="145">
        <v>186.67699999999999</v>
      </c>
      <c r="D190" s="145">
        <v>5.8</v>
      </c>
      <c r="E190" s="145">
        <v>4.1740000000000004</v>
      </c>
      <c r="F190" s="145">
        <v>0.68400000000000005</v>
      </c>
      <c r="G190" s="145">
        <v>0.87</v>
      </c>
      <c r="H190" s="145">
        <v>2.1920000000000002</v>
      </c>
      <c r="I190" s="145">
        <v>1.948</v>
      </c>
      <c r="J190" s="145">
        <v>0.24399999999999999</v>
      </c>
      <c r="K190" s="145" t="s">
        <v>400</v>
      </c>
      <c r="L190" s="145">
        <v>30.86</v>
      </c>
      <c r="M190" s="145">
        <v>1.8</v>
      </c>
      <c r="N190" s="145">
        <v>7</v>
      </c>
      <c r="O190" s="145">
        <v>18</v>
      </c>
      <c r="P190" s="145">
        <v>0.32200000000000001</v>
      </c>
      <c r="Q190" s="145">
        <v>58</v>
      </c>
      <c r="R190" s="145">
        <v>1.282</v>
      </c>
      <c r="S190" s="145">
        <v>1</v>
      </c>
      <c r="T190" s="145">
        <v>44</v>
      </c>
      <c r="U190" s="145">
        <v>0.1</v>
      </c>
      <c r="V190" s="145">
        <v>0.51</v>
      </c>
      <c r="W190" s="145" t="s">
        <v>400</v>
      </c>
      <c r="X190" s="145">
        <v>0.27400000000000002</v>
      </c>
      <c r="Y190" s="145">
        <v>0.13600000000000001</v>
      </c>
      <c r="Z190" s="146">
        <v>4.9000000000000002E-2</v>
      </c>
      <c r="AA190" s="145">
        <v>1.6890000000000001</v>
      </c>
      <c r="AB190" s="145" t="s">
        <v>400</v>
      </c>
      <c r="AC190" s="145">
        <v>3.0720000000000001</v>
      </c>
      <c r="AD190" s="145" t="s">
        <v>400</v>
      </c>
      <c r="AE190" s="145">
        <v>123.3</v>
      </c>
      <c r="AF190" s="145" t="s">
        <v>400</v>
      </c>
      <c r="AG190" s="145">
        <v>0.32500000000000001</v>
      </c>
      <c r="AH190" s="145">
        <v>1.7000000000000001E-2</v>
      </c>
      <c r="AI190" s="145">
        <v>141</v>
      </c>
      <c r="AJ190" s="145">
        <v>27.887</v>
      </c>
      <c r="AK190" s="145" t="s">
        <v>400</v>
      </c>
      <c r="AL190" s="145">
        <v>0.56000000000000005</v>
      </c>
      <c r="AM190" s="145" t="s">
        <v>400</v>
      </c>
    </row>
    <row r="191" spans="1:39">
      <c r="A191" s="143" t="s">
        <v>1250</v>
      </c>
      <c r="B191" s="144">
        <v>100</v>
      </c>
      <c r="C191" s="145">
        <v>186.67699999999999</v>
      </c>
      <c r="D191" s="145">
        <v>5.8</v>
      </c>
      <c r="E191" s="145">
        <v>4.1740000000000004</v>
      </c>
      <c r="F191" s="145">
        <v>0.68400000000000005</v>
      </c>
      <c r="G191" s="145">
        <v>0.87</v>
      </c>
      <c r="H191" s="145">
        <v>2.1920000000000002</v>
      </c>
      <c r="I191" s="145">
        <v>1.948</v>
      </c>
      <c r="J191" s="145">
        <v>0.24399999999999999</v>
      </c>
      <c r="K191" s="145" t="s">
        <v>400</v>
      </c>
      <c r="L191" s="145">
        <v>30.86</v>
      </c>
      <c r="M191" s="145">
        <v>1.8</v>
      </c>
      <c r="N191" s="145">
        <v>7</v>
      </c>
      <c r="O191" s="145">
        <v>18</v>
      </c>
      <c r="P191" s="145">
        <v>0.32200000000000001</v>
      </c>
      <c r="Q191" s="145">
        <v>58</v>
      </c>
      <c r="R191" s="145">
        <v>1.282</v>
      </c>
      <c r="S191" s="145">
        <v>1</v>
      </c>
      <c r="T191" s="145">
        <v>44</v>
      </c>
      <c r="U191" s="145">
        <v>0.1</v>
      </c>
      <c r="V191" s="145">
        <v>0.51</v>
      </c>
      <c r="W191" s="145" t="s">
        <v>400</v>
      </c>
      <c r="X191" s="145">
        <v>0.27400000000000002</v>
      </c>
      <c r="Y191" s="145">
        <v>0.13600000000000001</v>
      </c>
      <c r="Z191" s="146">
        <v>4.9000000000000002E-2</v>
      </c>
      <c r="AA191" s="145">
        <v>1.6890000000000001</v>
      </c>
      <c r="AB191" s="145" t="s">
        <v>400</v>
      </c>
      <c r="AC191" s="145">
        <v>3.0720000000000001</v>
      </c>
      <c r="AD191" s="145" t="s">
        <v>400</v>
      </c>
      <c r="AE191" s="145">
        <v>123.3</v>
      </c>
      <c r="AF191" s="145" t="s">
        <v>400</v>
      </c>
      <c r="AG191" s="145">
        <v>0.32500000000000001</v>
      </c>
      <c r="AH191" s="145">
        <v>1.7000000000000001E-2</v>
      </c>
      <c r="AI191" s="145">
        <v>141</v>
      </c>
      <c r="AJ191" s="145">
        <v>27.887</v>
      </c>
      <c r="AK191" s="145" t="s">
        <v>400</v>
      </c>
      <c r="AL191" s="145">
        <v>0.56000000000000005</v>
      </c>
      <c r="AM191" s="145" t="s">
        <v>400</v>
      </c>
    </row>
    <row r="192" spans="1:39">
      <c r="A192" s="143" t="s">
        <v>1251</v>
      </c>
      <c r="B192" s="144">
        <v>100</v>
      </c>
      <c r="C192" s="145">
        <v>186.67699999999999</v>
      </c>
      <c r="D192" s="145">
        <v>5.8</v>
      </c>
      <c r="E192" s="145">
        <v>4.1740000000000004</v>
      </c>
      <c r="F192" s="145">
        <v>0.68400000000000005</v>
      </c>
      <c r="G192" s="145">
        <v>0.87</v>
      </c>
      <c r="H192" s="145">
        <v>2.1920000000000002</v>
      </c>
      <c r="I192" s="145">
        <v>1.948</v>
      </c>
      <c r="J192" s="145">
        <v>0.24399999999999999</v>
      </c>
      <c r="K192" s="145" t="s">
        <v>400</v>
      </c>
      <c r="L192" s="145">
        <v>30.86</v>
      </c>
      <c r="M192" s="145">
        <v>1.8</v>
      </c>
      <c r="N192" s="145">
        <v>7</v>
      </c>
      <c r="O192" s="145">
        <v>18</v>
      </c>
      <c r="P192" s="145">
        <v>0.32200000000000001</v>
      </c>
      <c r="Q192" s="145">
        <v>58</v>
      </c>
      <c r="R192" s="145">
        <v>1.282</v>
      </c>
      <c r="S192" s="145">
        <v>1</v>
      </c>
      <c r="T192" s="145">
        <v>44</v>
      </c>
      <c r="U192" s="145">
        <v>0.1</v>
      </c>
      <c r="V192" s="145">
        <v>0.51</v>
      </c>
      <c r="W192" s="145" t="s">
        <v>400</v>
      </c>
      <c r="X192" s="145">
        <v>0.27400000000000002</v>
      </c>
      <c r="Y192" s="145">
        <v>0.13600000000000001</v>
      </c>
      <c r="Z192" s="146">
        <v>4.9000000000000002E-2</v>
      </c>
      <c r="AA192" s="145">
        <v>1.6890000000000001</v>
      </c>
      <c r="AB192" s="145" t="s">
        <v>400</v>
      </c>
      <c r="AC192" s="145">
        <v>3.0720000000000001</v>
      </c>
      <c r="AD192" s="145" t="s">
        <v>400</v>
      </c>
      <c r="AE192" s="145">
        <v>123.3</v>
      </c>
      <c r="AF192" s="145" t="s">
        <v>400</v>
      </c>
      <c r="AG192" s="145">
        <v>0.32500000000000001</v>
      </c>
      <c r="AH192" s="145">
        <v>1.7000000000000001E-2</v>
      </c>
      <c r="AI192" s="145">
        <v>141</v>
      </c>
      <c r="AJ192" s="145">
        <v>27.887</v>
      </c>
      <c r="AK192" s="145" t="s">
        <v>400</v>
      </c>
      <c r="AL192" s="145">
        <v>0.56000000000000005</v>
      </c>
      <c r="AM192" s="145" t="s">
        <v>400</v>
      </c>
    </row>
    <row r="193" spans="1:39">
      <c r="A193" s="143" t="s">
        <v>1252</v>
      </c>
      <c r="B193" s="144">
        <v>100</v>
      </c>
      <c r="C193" s="145">
        <v>103.72499999999999</v>
      </c>
      <c r="D193" s="145">
        <v>3.4990000000000001</v>
      </c>
      <c r="E193" s="145">
        <v>1.921</v>
      </c>
      <c r="F193" s="145">
        <v>0.97099999999999997</v>
      </c>
      <c r="G193" s="145">
        <v>0.433</v>
      </c>
      <c r="H193" s="145">
        <v>0.245</v>
      </c>
      <c r="I193" s="145">
        <v>0.224</v>
      </c>
      <c r="J193" s="145">
        <v>2.1000000000000001E-2</v>
      </c>
      <c r="K193" s="145">
        <v>3.6440000000000001</v>
      </c>
      <c r="L193" s="145">
        <v>18.27</v>
      </c>
      <c r="M193" s="145">
        <v>1.4630000000000001</v>
      </c>
      <c r="N193" s="145">
        <v>12.083</v>
      </c>
      <c r="O193" s="145">
        <v>15.052</v>
      </c>
      <c r="P193" s="145">
        <v>0.22500000000000001</v>
      </c>
      <c r="Q193" s="145">
        <v>43.923000000000002</v>
      </c>
      <c r="R193" s="145">
        <v>1.0369999999999999</v>
      </c>
      <c r="S193" s="145">
        <v>225.72399999999999</v>
      </c>
      <c r="T193" s="145">
        <v>145.67400000000001</v>
      </c>
      <c r="U193" s="145">
        <v>9.5000000000000001E-2</v>
      </c>
      <c r="V193" s="145">
        <v>0.34599999999999997</v>
      </c>
      <c r="W193" s="145">
        <v>11.374000000000001</v>
      </c>
      <c r="X193" s="145">
        <v>0.156</v>
      </c>
      <c r="Y193" s="145">
        <v>8.6999999999999994E-2</v>
      </c>
      <c r="Z193" s="146">
        <v>0.08</v>
      </c>
      <c r="AA193" s="145">
        <v>1.1599999999999999</v>
      </c>
      <c r="AB193" s="145">
        <v>10.673999999999999</v>
      </c>
      <c r="AC193" s="145">
        <v>1.9470000000000001</v>
      </c>
      <c r="AD193" s="145">
        <v>3.0000000000000001E-3</v>
      </c>
      <c r="AE193" s="145">
        <v>68.659000000000006</v>
      </c>
      <c r="AF193" s="145">
        <v>2.4E-2</v>
      </c>
      <c r="AG193" s="145">
        <v>0.433</v>
      </c>
      <c r="AH193" s="145">
        <v>5.6000000000000001E-2</v>
      </c>
      <c r="AI193" s="145">
        <v>113</v>
      </c>
      <c r="AJ193" s="145">
        <v>13.502000000000001</v>
      </c>
      <c r="AK193" s="145">
        <v>21.876000000000001</v>
      </c>
      <c r="AL193" s="145">
        <v>1.9390000000000001</v>
      </c>
      <c r="AM193" s="145" t="s">
        <v>400</v>
      </c>
    </row>
    <row r="194" spans="1:39">
      <c r="A194" s="143" t="s">
        <v>1253</v>
      </c>
      <c r="B194" s="144">
        <v>100</v>
      </c>
      <c r="C194" s="145">
        <v>158.99</v>
      </c>
      <c r="D194" s="145">
        <v>5.4189999999999996</v>
      </c>
      <c r="E194" s="145">
        <v>3.2330000000000001</v>
      </c>
      <c r="F194" s="145">
        <v>1.673</v>
      </c>
      <c r="G194" s="145">
        <v>0.74199999999999999</v>
      </c>
      <c r="H194" s="145">
        <v>0.36799999999999999</v>
      </c>
      <c r="I194" s="145">
        <v>0.32600000000000001</v>
      </c>
      <c r="J194" s="145">
        <v>4.1000000000000002E-2</v>
      </c>
      <c r="K194" s="145">
        <v>6.8330000000000002</v>
      </c>
      <c r="L194" s="145">
        <v>26.539000000000001</v>
      </c>
      <c r="M194" s="145">
        <v>1.4830000000000001</v>
      </c>
      <c r="N194" s="145">
        <v>28.478999999999999</v>
      </c>
      <c r="O194" s="145">
        <v>16.712</v>
      </c>
      <c r="P194" s="145">
        <v>0.26800000000000002</v>
      </c>
      <c r="Q194" s="145">
        <v>66.093000000000004</v>
      </c>
      <c r="R194" s="145">
        <v>1.0940000000000001</v>
      </c>
      <c r="S194" s="145">
        <v>21.716999999999999</v>
      </c>
      <c r="T194" s="145">
        <v>65.254000000000005</v>
      </c>
      <c r="U194" s="145">
        <v>8.4000000000000005E-2</v>
      </c>
      <c r="V194" s="145">
        <v>0.497</v>
      </c>
      <c r="W194" s="145">
        <v>20.266999999999999</v>
      </c>
      <c r="X194" s="145">
        <v>0.23799999999999999</v>
      </c>
      <c r="Y194" s="145">
        <v>0.152</v>
      </c>
      <c r="Z194" s="145">
        <v>4.7E-2</v>
      </c>
      <c r="AA194" s="145">
        <v>1.4470000000000001</v>
      </c>
      <c r="AB194" s="145">
        <v>4.0000000000000001E-3</v>
      </c>
      <c r="AC194" s="145">
        <v>2.8290000000000002</v>
      </c>
      <c r="AD194" s="145">
        <v>0.09</v>
      </c>
      <c r="AE194" s="145">
        <v>102.236</v>
      </c>
      <c r="AF194" s="145">
        <v>0.22700000000000001</v>
      </c>
      <c r="AG194" s="145">
        <v>0.113</v>
      </c>
      <c r="AH194" s="145">
        <v>9.7000000000000003E-2</v>
      </c>
      <c r="AI194" s="145">
        <v>160</v>
      </c>
      <c r="AJ194" s="145">
        <v>22.289000000000001</v>
      </c>
      <c r="AK194" s="145">
        <v>21.081</v>
      </c>
      <c r="AL194" s="145">
        <v>1.4810000000000001</v>
      </c>
      <c r="AM194" s="145" t="s">
        <v>400</v>
      </c>
    </row>
    <row r="195" spans="1:39">
      <c r="A195" s="143" t="s">
        <v>1254</v>
      </c>
      <c r="B195" s="144">
        <v>100</v>
      </c>
      <c r="C195" s="145">
        <v>186.67699999999999</v>
      </c>
      <c r="D195" s="145">
        <v>5.8</v>
      </c>
      <c r="E195" s="145">
        <v>4.1740000000000004</v>
      </c>
      <c r="F195" s="145">
        <v>0.68400000000000005</v>
      </c>
      <c r="G195" s="145">
        <v>0.87</v>
      </c>
      <c r="H195" s="145">
        <v>2.1920000000000002</v>
      </c>
      <c r="I195" s="145">
        <v>1.948</v>
      </c>
      <c r="J195" s="145">
        <v>0.24399999999999999</v>
      </c>
      <c r="K195" s="145" t="s">
        <v>400</v>
      </c>
      <c r="L195" s="145">
        <v>30.86</v>
      </c>
      <c r="M195" s="145">
        <v>1.8</v>
      </c>
      <c r="N195" s="145">
        <v>7</v>
      </c>
      <c r="O195" s="145">
        <v>18</v>
      </c>
      <c r="P195" s="145">
        <v>0.32200000000000001</v>
      </c>
      <c r="Q195" s="145">
        <v>58</v>
      </c>
      <c r="R195" s="145">
        <v>1.282</v>
      </c>
      <c r="S195" s="145">
        <v>1</v>
      </c>
      <c r="T195" s="145">
        <v>44</v>
      </c>
      <c r="U195" s="145">
        <v>0.1</v>
      </c>
      <c r="V195" s="145">
        <v>0.51</v>
      </c>
      <c r="W195" s="145" t="s">
        <v>400</v>
      </c>
      <c r="X195" s="145">
        <v>0.27400000000000002</v>
      </c>
      <c r="Y195" s="145">
        <v>0.13600000000000001</v>
      </c>
      <c r="Z195" s="146">
        <v>4.9000000000000002E-2</v>
      </c>
      <c r="AA195" s="145">
        <v>1.6890000000000001</v>
      </c>
      <c r="AB195" s="145" t="s">
        <v>400</v>
      </c>
      <c r="AC195" s="145">
        <v>3.0720000000000001</v>
      </c>
      <c r="AD195" s="145" t="s">
        <v>400</v>
      </c>
      <c r="AE195" s="145">
        <v>123.3</v>
      </c>
      <c r="AF195" s="145" t="s">
        <v>400</v>
      </c>
      <c r="AG195" s="145">
        <v>0.32500000000000001</v>
      </c>
      <c r="AH195" s="145">
        <v>1.7000000000000001E-2</v>
      </c>
      <c r="AI195" s="145">
        <v>141</v>
      </c>
      <c r="AJ195" s="145">
        <v>27.887</v>
      </c>
      <c r="AK195" s="145" t="s">
        <v>400</v>
      </c>
      <c r="AL195" s="145">
        <v>0.56000000000000005</v>
      </c>
      <c r="AM195" s="145" t="s">
        <v>400</v>
      </c>
    </row>
    <row r="196" spans="1:39">
      <c r="A196" s="143" t="s">
        <v>1255</v>
      </c>
      <c r="B196" s="144">
        <v>100</v>
      </c>
      <c r="C196" s="145">
        <v>182.22</v>
      </c>
      <c r="D196" s="145">
        <v>5.8289999999999997</v>
      </c>
      <c r="E196" s="145">
        <v>3.67</v>
      </c>
      <c r="F196" s="145">
        <v>1.911</v>
      </c>
      <c r="G196" s="145">
        <v>0.84099999999999997</v>
      </c>
      <c r="H196" s="145">
        <v>0.42199999999999999</v>
      </c>
      <c r="I196" s="145">
        <v>0.38700000000000001</v>
      </c>
      <c r="J196" s="145">
        <v>3.5000000000000003E-2</v>
      </c>
      <c r="K196" s="145">
        <v>7.2629999999999999</v>
      </c>
      <c r="L196" s="145">
        <v>30.861999999999998</v>
      </c>
      <c r="M196" s="145">
        <v>1.8</v>
      </c>
      <c r="N196" s="145">
        <v>7.8109999999999999</v>
      </c>
      <c r="O196" s="145">
        <v>18.068000000000001</v>
      </c>
      <c r="P196" s="145">
        <v>0.32200000000000001</v>
      </c>
      <c r="Q196" s="145">
        <v>58.811</v>
      </c>
      <c r="R196" s="145">
        <v>1.2809999999999999</v>
      </c>
      <c r="S196" s="145">
        <v>20.457000000000001</v>
      </c>
      <c r="T196" s="145">
        <v>44.811</v>
      </c>
      <c r="U196" s="145">
        <v>0.1</v>
      </c>
      <c r="V196" s="145">
        <v>0.51300000000000001</v>
      </c>
      <c r="W196" s="145">
        <v>22.666</v>
      </c>
      <c r="X196" s="145">
        <v>0.27400000000000002</v>
      </c>
      <c r="Y196" s="145">
        <v>0.13700000000000001</v>
      </c>
      <c r="Z196" s="146">
        <v>4.9000000000000002E-2</v>
      </c>
      <c r="AA196" s="145">
        <v>1.69</v>
      </c>
      <c r="AB196" s="145" t="s">
        <v>400</v>
      </c>
      <c r="AC196" s="145">
        <v>3.081</v>
      </c>
      <c r="AD196" s="145">
        <v>6.0000000000000001E-3</v>
      </c>
      <c r="AE196" s="145">
        <v>123.401</v>
      </c>
      <c r="AF196" s="145">
        <v>4.7E-2</v>
      </c>
      <c r="AG196" s="145">
        <v>0.13800000000000001</v>
      </c>
      <c r="AH196" s="145">
        <v>0.111</v>
      </c>
      <c r="AI196" s="145">
        <v>141</v>
      </c>
      <c r="AJ196" s="145">
        <v>26.434000000000001</v>
      </c>
      <c r="AK196" s="145">
        <v>23.111000000000001</v>
      </c>
      <c r="AL196" s="145">
        <v>0.56299999999999994</v>
      </c>
      <c r="AM196" s="145" t="s">
        <v>400</v>
      </c>
    </row>
    <row r="197" spans="1:39">
      <c r="A197" s="143" t="s">
        <v>1256</v>
      </c>
      <c r="B197" s="144">
        <v>100</v>
      </c>
      <c r="C197" s="145">
        <v>158</v>
      </c>
      <c r="D197" s="145">
        <v>5.8</v>
      </c>
      <c r="E197" s="145">
        <v>0.93</v>
      </c>
      <c r="F197" s="145">
        <v>0.17599999999999999</v>
      </c>
      <c r="G197" s="145">
        <v>0.13100000000000001</v>
      </c>
      <c r="H197" s="145">
        <v>0.31900000000000001</v>
      </c>
      <c r="I197" s="145">
        <v>0.29499999999999998</v>
      </c>
      <c r="J197" s="145">
        <v>2.4E-2</v>
      </c>
      <c r="K197" s="145" t="s">
        <v>400</v>
      </c>
      <c r="L197" s="145">
        <v>30.86</v>
      </c>
      <c r="M197" s="145">
        <v>1.8</v>
      </c>
      <c r="N197" s="145">
        <v>7</v>
      </c>
      <c r="O197" s="145">
        <v>18</v>
      </c>
      <c r="P197" s="145">
        <v>0.32200000000000001</v>
      </c>
      <c r="Q197" s="145">
        <v>58</v>
      </c>
      <c r="R197" s="145">
        <v>1.28</v>
      </c>
      <c r="S197" s="145">
        <v>1</v>
      </c>
      <c r="T197" s="145">
        <v>44</v>
      </c>
      <c r="U197" s="145">
        <v>0.1</v>
      </c>
      <c r="V197" s="145">
        <v>0.51</v>
      </c>
      <c r="W197" s="145" t="s">
        <v>400</v>
      </c>
      <c r="X197" s="145">
        <v>0.27400000000000002</v>
      </c>
      <c r="Y197" s="145">
        <v>0.13600000000000001</v>
      </c>
      <c r="Z197" s="146">
        <v>4.9000000000000002E-2</v>
      </c>
      <c r="AA197" s="145">
        <v>1.6890000000000001</v>
      </c>
      <c r="AB197" s="145" t="s">
        <v>400</v>
      </c>
      <c r="AC197" s="145">
        <v>3.0720000000000001</v>
      </c>
      <c r="AD197" s="145" t="s">
        <v>400</v>
      </c>
      <c r="AE197" s="145">
        <v>123.3</v>
      </c>
      <c r="AF197" s="145" t="s">
        <v>400</v>
      </c>
      <c r="AG197" s="145">
        <v>0.06</v>
      </c>
      <c r="AH197" s="145" t="s">
        <v>400</v>
      </c>
      <c r="AI197" s="145">
        <v>141</v>
      </c>
      <c r="AJ197" s="145">
        <v>26.4</v>
      </c>
      <c r="AK197" s="145" t="s">
        <v>400</v>
      </c>
      <c r="AL197" s="145">
        <v>0.56000000000000005</v>
      </c>
      <c r="AM197" s="145" t="s">
        <v>400</v>
      </c>
    </row>
    <row r="198" spans="1:39">
      <c r="A198" s="143" t="s">
        <v>1257</v>
      </c>
      <c r="B198" s="144">
        <v>100</v>
      </c>
      <c r="C198" s="145">
        <v>186.67699999999999</v>
      </c>
      <c r="D198" s="145">
        <v>5.8</v>
      </c>
      <c r="E198" s="145">
        <v>4.1740000000000004</v>
      </c>
      <c r="F198" s="145">
        <v>0.68400000000000005</v>
      </c>
      <c r="G198" s="145">
        <v>0.87</v>
      </c>
      <c r="H198" s="145">
        <v>2.1920000000000002</v>
      </c>
      <c r="I198" s="145">
        <v>1.948</v>
      </c>
      <c r="J198" s="145">
        <v>0.24399999999999999</v>
      </c>
      <c r="K198" s="145" t="s">
        <v>400</v>
      </c>
      <c r="L198" s="145">
        <v>30.86</v>
      </c>
      <c r="M198" s="145">
        <v>1.8</v>
      </c>
      <c r="N198" s="145">
        <v>7</v>
      </c>
      <c r="O198" s="145">
        <v>18</v>
      </c>
      <c r="P198" s="145">
        <v>0.32200000000000001</v>
      </c>
      <c r="Q198" s="145">
        <v>58</v>
      </c>
      <c r="R198" s="145">
        <v>1.282</v>
      </c>
      <c r="S198" s="145">
        <v>1</v>
      </c>
      <c r="T198" s="145">
        <v>44</v>
      </c>
      <c r="U198" s="145">
        <v>0.1</v>
      </c>
      <c r="V198" s="145">
        <v>0.51</v>
      </c>
      <c r="W198" s="145" t="s">
        <v>400</v>
      </c>
      <c r="X198" s="145">
        <v>0.27400000000000002</v>
      </c>
      <c r="Y198" s="145">
        <v>0.13600000000000001</v>
      </c>
      <c r="Z198" s="146">
        <v>4.9000000000000002E-2</v>
      </c>
      <c r="AA198" s="145">
        <v>1.6890000000000001</v>
      </c>
      <c r="AB198" s="145" t="s">
        <v>400</v>
      </c>
      <c r="AC198" s="145">
        <v>3.0720000000000001</v>
      </c>
      <c r="AD198" s="145" t="s">
        <v>400</v>
      </c>
      <c r="AE198" s="145">
        <v>123.3</v>
      </c>
      <c r="AF198" s="145" t="s">
        <v>400</v>
      </c>
      <c r="AG198" s="145">
        <v>0.32500000000000001</v>
      </c>
      <c r="AH198" s="145">
        <v>1.7000000000000001E-2</v>
      </c>
      <c r="AI198" s="145">
        <v>141</v>
      </c>
      <c r="AJ198" s="145">
        <v>27.887</v>
      </c>
      <c r="AK198" s="145" t="s">
        <v>400</v>
      </c>
      <c r="AL198" s="145">
        <v>0.56000000000000005</v>
      </c>
      <c r="AM198" s="145" t="s">
        <v>400</v>
      </c>
    </row>
    <row r="199" spans="1:39">
      <c r="A199" s="143" t="s">
        <v>1258</v>
      </c>
      <c r="B199" s="144">
        <v>100</v>
      </c>
      <c r="C199" s="145">
        <v>158</v>
      </c>
      <c r="D199" s="145">
        <v>5.8</v>
      </c>
      <c r="E199" s="145">
        <v>0.93</v>
      </c>
      <c r="F199" s="145">
        <v>0.17599999999999999</v>
      </c>
      <c r="G199" s="145">
        <v>0.13100000000000001</v>
      </c>
      <c r="H199" s="145">
        <v>0.31900000000000001</v>
      </c>
      <c r="I199" s="145">
        <v>0.29499999999999998</v>
      </c>
      <c r="J199" s="145">
        <v>2.4E-2</v>
      </c>
      <c r="K199" s="145" t="s">
        <v>400</v>
      </c>
      <c r="L199" s="145">
        <v>30.86</v>
      </c>
      <c r="M199" s="145">
        <v>1.8</v>
      </c>
      <c r="N199" s="145">
        <v>7</v>
      </c>
      <c r="O199" s="145">
        <v>18</v>
      </c>
      <c r="P199" s="145">
        <v>0.32200000000000001</v>
      </c>
      <c r="Q199" s="145">
        <v>58</v>
      </c>
      <c r="R199" s="145">
        <v>1.28</v>
      </c>
      <c r="S199" s="145">
        <v>1</v>
      </c>
      <c r="T199" s="145">
        <v>44</v>
      </c>
      <c r="U199" s="145">
        <v>0.1</v>
      </c>
      <c r="V199" s="145">
        <v>0.51</v>
      </c>
      <c r="W199" s="145" t="s">
        <v>400</v>
      </c>
      <c r="X199" s="145">
        <v>0.27400000000000002</v>
      </c>
      <c r="Y199" s="145">
        <v>0.13600000000000001</v>
      </c>
      <c r="Z199" s="146">
        <v>4.9000000000000002E-2</v>
      </c>
      <c r="AA199" s="145">
        <v>1.6890000000000001</v>
      </c>
      <c r="AB199" s="145" t="s">
        <v>400</v>
      </c>
      <c r="AC199" s="145">
        <v>3.0720000000000001</v>
      </c>
      <c r="AD199" s="145" t="s">
        <v>400</v>
      </c>
      <c r="AE199" s="145">
        <v>123.3</v>
      </c>
      <c r="AF199" s="145" t="s">
        <v>400</v>
      </c>
      <c r="AG199" s="145">
        <v>0.06</v>
      </c>
      <c r="AH199" s="145" t="s">
        <v>400</v>
      </c>
      <c r="AI199" s="145">
        <v>141</v>
      </c>
      <c r="AJ199" s="145">
        <v>26.4</v>
      </c>
      <c r="AK199" s="145" t="s">
        <v>400</v>
      </c>
      <c r="AL199" s="145">
        <v>0.56000000000000005</v>
      </c>
      <c r="AM199" s="145" t="s">
        <v>400</v>
      </c>
    </row>
    <row r="200" spans="1:39">
      <c r="A200" s="143" t="s">
        <v>1259</v>
      </c>
      <c r="B200" s="144">
        <v>100</v>
      </c>
      <c r="C200" s="145">
        <v>158</v>
      </c>
      <c r="D200" s="145">
        <v>5.8</v>
      </c>
      <c r="E200" s="145">
        <v>0.93</v>
      </c>
      <c r="F200" s="145">
        <v>0.17599999999999999</v>
      </c>
      <c r="G200" s="145">
        <v>0.13100000000000001</v>
      </c>
      <c r="H200" s="145">
        <v>0.31900000000000001</v>
      </c>
      <c r="I200" s="145">
        <v>0.29499999999999998</v>
      </c>
      <c r="J200" s="145">
        <v>2.4E-2</v>
      </c>
      <c r="K200" s="145" t="s">
        <v>400</v>
      </c>
      <c r="L200" s="145">
        <v>30.86</v>
      </c>
      <c r="M200" s="145">
        <v>1.8</v>
      </c>
      <c r="N200" s="145">
        <v>7</v>
      </c>
      <c r="O200" s="145">
        <v>18</v>
      </c>
      <c r="P200" s="145">
        <v>0.32200000000000001</v>
      </c>
      <c r="Q200" s="145">
        <v>58</v>
      </c>
      <c r="R200" s="145">
        <v>1.28</v>
      </c>
      <c r="S200" s="145">
        <v>1</v>
      </c>
      <c r="T200" s="145">
        <v>44</v>
      </c>
      <c r="U200" s="145">
        <v>0.1</v>
      </c>
      <c r="V200" s="145">
        <v>0.51</v>
      </c>
      <c r="W200" s="145" t="s">
        <v>400</v>
      </c>
      <c r="X200" s="145">
        <v>0.27400000000000002</v>
      </c>
      <c r="Y200" s="145">
        <v>0.13600000000000001</v>
      </c>
      <c r="Z200" s="146">
        <v>4.9000000000000002E-2</v>
      </c>
      <c r="AA200" s="145">
        <v>1.6890000000000001</v>
      </c>
      <c r="AB200" s="145" t="s">
        <v>400</v>
      </c>
      <c r="AC200" s="145">
        <v>3.0720000000000001</v>
      </c>
      <c r="AD200" s="145" t="s">
        <v>400</v>
      </c>
      <c r="AE200" s="145">
        <v>123.3</v>
      </c>
      <c r="AF200" s="145" t="s">
        <v>400</v>
      </c>
      <c r="AG200" s="145">
        <v>0.06</v>
      </c>
      <c r="AH200" s="145" t="s">
        <v>400</v>
      </c>
      <c r="AI200" s="145">
        <v>141</v>
      </c>
      <c r="AJ200" s="145">
        <v>26.4</v>
      </c>
      <c r="AK200" s="145" t="s">
        <v>400</v>
      </c>
      <c r="AL200" s="145">
        <v>0.56000000000000005</v>
      </c>
      <c r="AM200" s="145" t="s">
        <v>400</v>
      </c>
    </row>
    <row r="201" spans="1:39">
      <c r="A201" s="143" t="s">
        <v>1260</v>
      </c>
      <c r="B201" s="144">
        <v>100</v>
      </c>
      <c r="C201" s="145">
        <v>115.161</v>
      </c>
      <c r="D201" s="145">
        <v>1.8109999999999999</v>
      </c>
      <c r="E201" s="145">
        <v>4.3600000000000003</v>
      </c>
      <c r="F201" s="145">
        <v>2.7120000000000002</v>
      </c>
      <c r="G201" s="145">
        <v>1.107</v>
      </c>
      <c r="H201" s="145">
        <v>0.20399999999999999</v>
      </c>
      <c r="I201" s="145">
        <v>0.17199999999999999</v>
      </c>
      <c r="J201" s="145">
        <v>3.1E-2</v>
      </c>
      <c r="K201" s="145">
        <v>11.451000000000001</v>
      </c>
      <c r="L201" s="145">
        <v>17.763000000000002</v>
      </c>
      <c r="M201" s="145">
        <v>1.778</v>
      </c>
      <c r="N201" s="145">
        <v>18.209</v>
      </c>
      <c r="O201" s="145">
        <v>18.338999999999999</v>
      </c>
      <c r="P201" s="145">
        <v>0.122</v>
      </c>
      <c r="Q201" s="145">
        <v>43.954999999999998</v>
      </c>
      <c r="R201" s="145">
        <v>0.27300000000000002</v>
      </c>
      <c r="S201" s="145">
        <v>138.256</v>
      </c>
      <c r="T201" s="145">
        <v>298.43900000000002</v>
      </c>
      <c r="U201" s="145">
        <v>0.14599999999999999</v>
      </c>
      <c r="V201" s="145">
        <v>0.27400000000000002</v>
      </c>
      <c r="W201" s="145">
        <v>35.453000000000003</v>
      </c>
      <c r="X201" s="145">
        <v>8.8999999999999996E-2</v>
      </c>
      <c r="Y201" s="145">
        <v>3.4000000000000002E-2</v>
      </c>
      <c r="Z201" s="146">
        <v>0.23699999999999999</v>
      </c>
      <c r="AA201" s="145">
        <v>1.1499999999999999</v>
      </c>
      <c r="AB201" s="145">
        <v>6.42</v>
      </c>
      <c r="AC201" s="145">
        <v>1.661</v>
      </c>
      <c r="AD201" s="145">
        <v>4.7E-2</v>
      </c>
      <c r="AE201" s="145">
        <v>8.3989999999999991</v>
      </c>
      <c r="AF201" s="145">
        <v>0.158</v>
      </c>
      <c r="AG201" s="145">
        <v>0.17100000000000001</v>
      </c>
      <c r="AH201" s="145">
        <v>0.17100000000000001</v>
      </c>
      <c r="AI201" s="145">
        <v>102</v>
      </c>
      <c r="AJ201" s="145">
        <v>0.63800000000000001</v>
      </c>
      <c r="AK201" s="145">
        <v>36.281999999999996</v>
      </c>
      <c r="AL201" s="145">
        <v>1.218</v>
      </c>
      <c r="AM201" s="145" t="s">
        <v>400</v>
      </c>
    </row>
    <row r="202" spans="1:39">
      <c r="A202" s="143" t="s">
        <v>1261</v>
      </c>
      <c r="B202" s="144">
        <v>100</v>
      </c>
      <c r="C202" s="145">
        <v>142.37200000000001</v>
      </c>
      <c r="D202" s="145">
        <v>18.507000000000001</v>
      </c>
      <c r="E202" s="145">
        <v>5.3230000000000004</v>
      </c>
      <c r="F202" s="145">
        <v>0.82799999999999996</v>
      </c>
      <c r="G202" s="145">
        <v>1.1579999999999999</v>
      </c>
      <c r="H202" s="145">
        <v>3.0179999999999998</v>
      </c>
      <c r="I202" s="145">
        <v>2.673</v>
      </c>
      <c r="J202" s="145">
        <v>0.34499999999999997</v>
      </c>
      <c r="K202" s="145" t="s">
        <v>400</v>
      </c>
      <c r="L202" s="145">
        <v>5.8029999999999999</v>
      </c>
      <c r="M202" s="145">
        <v>0.44</v>
      </c>
      <c r="N202" s="145">
        <v>49.838000000000001</v>
      </c>
      <c r="O202" s="145">
        <v>13.019</v>
      </c>
      <c r="P202" s="145">
        <v>0.27500000000000002</v>
      </c>
      <c r="Q202" s="145">
        <v>98</v>
      </c>
      <c r="R202" s="145">
        <v>2.621</v>
      </c>
      <c r="S202" s="145">
        <v>455.73399999999998</v>
      </c>
      <c r="T202" s="145">
        <v>44.683</v>
      </c>
      <c r="U202" s="145">
        <v>9.0999999999999998E-2</v>
      </c>
      <c r="V202" s="145">
        <v>0.41299999999999998</v>
      </c>
      <c r="W202" s="145" t="s">
        <v>400</v>
      </c>
      <c r="X202" s="145">
        <v>0.219</v>
      </c>
      <c r="Y202" s="145">
        <v>0.186</v>
      </c>
      <c r="Z202" s="145">
        <v>0.36399999999999999</v>
      </c>
      <c r="AA202" s="145">
        <v>2.91</v>
      </c>
      <c r="AB202" s="145" t="s">
        <v>400</v>
      </c>
      <c r="AC202" s="145">
        <v>6.7489999999999997</v>
      </c>
      <c r="AD202" s="145">
        <v>4.3639999999999999</v>
      </c>
      <c r="AE202" s="145">
        <v>18.545000000000002</v>
      </c>
      <c r="AF202" s="145" t="s">
        <v>400</v>
      </c>
      <c r="AG202" s="145">
        <v>0.40400000000000003</v>
      </c>
      <c r="AH202" s="145">
        <v>2.5999999999999999E-2</v>
      </c>
      <c r="AI202" s="146" t="s">
        <v>400</v>
      </c>
      <c r="AJ202" s="145">
        <v>11.041</v>
      </c>
      <c r="AK202" s="145" t="s">
        <v>400</v>
      </c>
      <c r="AL202" s="145">
        <v>0.219</v>
      </c>
      <c r="AM202" s="145" t="s">
        <v>400</v>
      </c>
    </row>
    <row r="203" spans="1:39">
      <c r="A203" s="143" t="s">
        <v>1262</v>
      </c>
      <c r="B203" s="144">
        <v>100</v>
      </c>
      <c r="C203" s="145">
        <v>142.37200000000001</v>
      </c>
      <c r="D203" s="145">
        <v>18.507000000000001</v>
      </c>
      <c r="E203" s="145">
        <v>5.3230000000000004</v>
      </c>
      <c r="F203" s="145">
        <v>0.82799999999999996</v>
      </c>
      <c r="G203" s="145">
        <v>1.1579999999999999</v>
      </c>
      <c r="H203" s="145">
        <v>3.0179999999999998</v>
      </c>
      <c r="I203" s="145">
        <v>2.673</v>
      </c>
      <c r="J203" s="145">
        <v>0.34499999999999997</v>
      </c>
      <c r="K203" s="145" t="s">
        <v>400</v>
      </c>
      <c r="L203" s="145">
        <v>5.8029999999999999</v>
      </c>
      <c r="M203" s="145">
        <v>0.44</v>
      </c>
      <c r="N203" s="145">
        <v>49.838000000000001</v>
      </c>
      <c r="O203" s="145">
        <v>13.019</v>
      </c>
      <c r="P203" s="145">
        <v>0.27500000000000002</v>
      </c>
      <c r="Q203" s="145">
        <v>98</v>
      </c>
      <c r="R203" s="145">
        <v>2.621</v>
      </c>
      <c r="S203" s="145">
        <v>455.73399999999998</v>
      </c>
      <c r="T203" s="145">
        <v>44.683</v>
      </c>
      <c r="U203" s="145">
        <v>9.0999999999999998E-2</v>
      </c>
      <c r="V203" s="145">
        <v>0.41299999999999998</v>
      </c>
      <c r="W203" s="145" t="s">
        <v>400</v>
      </c>
      <c r="X203" s="145">
        <v>0.219</v>
      </c>
      <c r="Y203" s="145">
        <v>0.186</v>
      </c>
      <c r="Z203" s="145">
        <v>0.36399999999999999</v>
      </c>
      <c r="AA203" s="145">
        <v>2.91</v>
      </c>
      <c r="AB203" s="145" t="s">
        <v>400</v>
      </c>
      <c r="AC203" s="145">
        <v>6.7489999999999997</v>
      </c>
      <c r="AD203" s="145">
        <v>4.3639999999999999</v>
      </c>
      <c r="AE203" s="145">
        <v>18.545000000000002</v>
      </c>
      <c r="AF203" s="145" t="s">
        <v>400</v>
      </c>
      <c r="AG203" s="145">
        <v>0.40400000000000003</v>
      </c>
      <c r="AH203" s="145">
        <v>2.5999999999999999E-2</v>
      </c>
      <c r="AI203" s="146" t="s">
        <v>400</v>
      </c>
      <c r="AJ203" s="145">
        <v>11.041</v>
      </c>
      <c r="AK203" s="145" t="s">
        <v>400</v>
      </c>
      <c r="AL203" s="145">
        <v>0.219</v>
      </c>
      <c r="AM203" s="145" t="s">
        <v>400</v>
      </c>
    </row>
    <row r="204" spans="1:39">
      <c r="A204" s="143" t="s">
        <v>1263</v>
      </c>
      <c r="B204" s="144">
        <v>100</v>
      </c>
      <c r="C204" s="145">
        <v>62</v>
      </c>
      <c r="D204" s="145">
        <v>6.9</v>
      </c>
      <c r="E204" s="145">
        <v>2.7</v>
      </c>
      <c r="F204" s="145">
        <v>0.40600000000000003</v>
      </c>
      <c r="G204" s="145">
        <v>0.53900000000000003</v>
      </c>
      <c r="H204" s="145">
        <v>1.4850000000000001</v>
      </c>
      <c r="I204" s="145">
        <v>1.3140000000000001</v>
      </c>
      <c r="J204" s="145">
        <v>0.17799999999999999</v>
      </c>
      <c r="K204" s="145" t="s">
        <v>400</v>
      </c>
      <c r="L204" s="145">
        <v>2.4</v>
      </c>
      <c r="M204" s="145">
        <v>0.1</v>
      </c>
      <c r="N204" s="145">
        <v>32</v>
      </c>
      <c r="O204" s="145">
        <v>27</v>
      </c>
      <c r="P204" s="145">
        <v>0.41</v>
      </c>
      <c r="Q204" s="145">
        <v>90</v>
      </c>
      <c r="R204" s="145">
        <v>1.03</v>
      </c>
      <c r="S204" s="145">
        <v>36</v>
      </c>
      <c r="T204" s="145">
        <v>194</v>
      </c>
      <c r="U204" s="145">
        <v>0.20300000000000001</v>
      </c>
      <c r="V204" s="145">
        <v>0.61</v>
      </c>
      <c r="W204" s="145" t="s">
        <v>400</v>
      </c>
      <c r="X204" s="145">
        <v>0.10100000000000001</v>
      </c>
      <c r="Y204" s="145">
        <v>4.1000000000000002E-2</v>
      </c>
      <c r="Z204" s="146">
        <v>1.0999999999999999E-2</v>
      </c>
      <c r="AA204" s="145">
        <v>0.247</v>
      </c>
      <c r="AB204" s="145" t="s">
        <v>400</v>
      </c>
      <c r="AC204" s="145">
        <v>1.6639999999999999</v>
      </c>
      <c r="AD204" s="145" t="s">
        <v>400</v>
      </c>
      <c r="AE204" s="145">
        <v>46</v>
      </c>
      <c r="AF204" s="145" t="s">
        <v>400</v>
      </c>
      <c r="AG204" s="145">
        <v>0.19</v>
      </c>
      <c r="AH204" s="145" t="s">
        <v>400</v>
      </c>
      <c r="AI204" s="145" t="s">
        <v>400</v>
      </c>
      <c r="AJ204" s="145">
        <v>9.3759999999999994</v>
      </c>
      <c r="AK204" s="145" t="s">
        <v>400</v>
      </c>
      <c r="AL204" s="145">
        <v>1.27</v>
      </c>
      <c r="AM204" s="145" t="s">
        <v>400</v>
      </c>
    </row>
    <row r="205" spans="1:39">
      <c r="A205" s="143" t="s">
        <v>1264</v>
      </c>
      <c r="B205" s="144">
        <v>100</v>
      </c>
      <c r="C205" s="145">
        <v>142.37200000000001</v>
      </c>
      <c r="D205" s="145">
        <v>18.507000000000001</v>
      </c>
      <c r="E205" s="145">
        <v>5.3230000000000004</v>
      </c>
      <c r="F205" s="145">
        <v>0.82799999999999996</v>
      </c>
      <c r="G205" s="145">
        <v>1.1579999999999999</v>
      </c>
      <c r="H205" s="145">
        <v>3.0179999999999998</v>
      </c>
      <c r="I205" s="145">
        <v>2.673</v>
      </c>
      <c r="J205" s="145">
        <v>0.34499999999999997</v>
      </c>
      <c r="K205" s="145" t="s">
        <v>400</v>
      </c>
      <c r="L205" s="145">
        <v>5.8029999999999999</v>
      </c>
      <c r="M205" s="145">
        <v>0.44</v>
      </c>
      <c r="N205" s="145">
        <v>49.838000000000001</v>
      </c>
      <c r="O205" s="145">
        <v>13.019</v>
      </c>
      <c r="P205" s="145">
        <v>0.27500000000000002</v>
      </c>
      <c r="Q205" s="145">
        <v>98</v>
      </c>
      <c r="R205" s="145">
        <v>2.621</v>
      </c>
      <c r="S205" s="145">
        <v>455.73399999999998</v>
      </c>
      <c r="T205" s="145">
        <v>44.683</v>
      </c>
      <c r="U205" s="145">
        <v>9.0999999999999998E-2</v>
      </c>
      <c r="V205" s="145">
        <v>0.41299999999999998</v>
      </c>
      <c r="W205" s="145" t="s">
        <v>400</v>
      </c>
      <c r="X205" s="145">
        <v>0.219</v>
      </c>
      <c r="Y205" s="145">
        <v>0.186</v>
      </c>
      <c r="Z205" s="145">
        <v>0.36399999999999999</v>
      </c>
      <c r="AA205" s="145">
        <v>2.91</v>
      </c>
      <c r="AB205" s="145" t="s">
        <v>400</v>
      </c>
      <c r="AC205" s="145">
        <v>6.7489999999999997</v>
      </c>
      <c r="AD205" s="145">
        <v>4.3639999999999999</v>
      </c>
      <c r="AE205" s="145">
        <v>18.545000000000002</v>
      </c>
      <c r="AF205" s="145" t="s">
        <v>400</v>
      </c>
      <c r="AG205" s="145">
        <v>0.40400000000000003</v>
      </c>
      <c r="AH205" s="145">
        <v>2.5999999999999999E-2</v>
      </c>
      <c r="AI205" s="146" t="s">
        <v>400</v>
      </c>
      <c r="AJ205" s="145">
        <v>11.041</v>
      </c>
      <c r="AK205" s="145" t="s">
        <v>400</v>
      </c>
      <c r="AL205" s="145">
        <v>0.219</v>
      </c>
      <c r="AM205" s="145" t="s">
        <v>400</v>
      </c>
    </row>
    <row r="206" spans="1:39">
      <c r="A206" s="143" t="s">
        <v>1265</v>
      </c>
      <c r="B206" s="144">
        <v>100</v>
      </c>
      <c r="C206" s="145">
        <v>567</v>
      </c>
      <c r="D206" s="145">
        <v>25.8</v>
      </c>
      <c r="E206" s="145">
        <v>49.24</v>
      </c>
      <c r="F206" s="145">
        <v>6.8339999999999996</v>
      </c>
      <c r="G206" s="145">
        <v>24.428999999999998</v>
      </c>
      <c r="H206" s="145">
        <v>15.558999999999999</v>
      </c>
      <c r="I206" s="145">
        <v>15.555</v>
      </c>
      <c r="J206" s="145">
        <v>3.0000000000000001E-3</v>
      </c>
      <c r="K206" s="145" t="s">
        <v>400</v>
      </c>
      <c r="L206" s="145">
        <v>16.13</v>
      </c>
      <c r="M206" s="145">
        <v>8.5</v>
      </c>
      <c r="N206" s="145">
        <v>92</v>
      </c>
      <c r="O206" s="145">
        <v>168</v>
      </c>
      <c r="P206" s="145">
        <v>1.9339999999999999</v>
      </c>
      <c r="Q206" s="145">
        <v>376</v>
      </c>
      <c r="R206" s="145">
        <v>4.58</v>
      </c>
      <c r="S206" s="145">
        <v>18</v>
      </c>
      <c r="T206" s="145">
        <v>705</v>
      </c>
      <c r="U206" s="145">
        <v>1.1439999999999999</v>
      </c>
      <c r="V206" s="145">
        <v>3.27</v>
      </c>
      <c r="W206" s="145" t="s">
        <v>400</v>
      </c>
      <c r="X206" s="145">
        <v>0.64</v>
      </c>
      <c r="Y206" s="145">
        <v>0.13500000000000001</v>
      </c>
      <c r="Z206" s="146">
        <v>0.34799999999999998</v>
      </c>
      <c r="AA206" s="145">
        <v>12.066000000000001</v>
      </c>
      <c r="AB206" s="145" t="s">
        <v>400</v>
      </c>
      <c r="AC206" s="145">
        <v>16.233000000000001</v>
      </c>
      <c r="AD206" s="145" t="s">
        <v>400</v>
      </c>
      <c r="AE206" s="145">
        <v>240</v>
      </c>
      <c r="AF206" s="145" t="s">
        <v>400</v>
      </c>
      <c r="AG206" s="145">
        <v>8.33</v>
      </c>
      <c r="AH206" s="145" t="s">
        <v>400</v>
      </c>
      <c r="AI206" s="145" t="s">
        <v>400</v>
      </c>
      <c r="AJ206" s="145">
        <v>7.2</v>
      </c>
      <c r="AK206" s="145" t="s">
        <v>400</v>
      </c>
      <c r="AL206" s="145">
        <v>4</v>
      </c>
      <c r="AM206" s="145" t="s">
        <v>400</v>
      </c>
    </row>
    <row r="207" spans="1:39">
      <c r="A207" s="143" t="s">
        <v>1266</v>
      </c>
      <c r="B207" s="144">
        <v>100</v>
      </c>
      <c r="C207" s="145">
        <v>388</v>
      </c>
      <c r="D207" s="145">
        <v>9.5</v>
      </c>
      <c r="E207" s="145">
        <v>6.3</v>
      </c>
      <c r="F207" s="145">
        <v>0.71099999999999997</v>
      </c>
      <c r="G207" s="145">
        <v>3.2050000000000001</v>
      </c>
      <c r="H207" s="145">
        <v>1.6559999999999999</v>
      </c>
      <c r="I207" s="145">
        <v>1.548</v>
      </c>
      <c r="J207" s="145">
        <v>9.1999999999999998E-2</v>
      </c>
      <c r="K207" s="145" t="s">
        <v>400</v>
      </c>
      <c r="L207" s="145">
        <v>73.8</v>
      </c>
      <c r="M207" s="145">
        <v>8.5</v>
      </c>
      <c r="N207" s="145">
        <v>33.33</v>
      </c>
      <c r="O207" s="145">
        <v>317</v>
      </c>
      <c r="P207" s="145">
        <v>3.23</v>
      </c>
      <c r="Q207" s="145">
        <v>337</v>
      </c>
      <c r="R207" s="145">
        <v>2.78</v>
      </c>
      <c r="S207" s="145">
        <v>50</v>
      </c>
      <c r="T207" s="145">
        <v>494</v>
      </c>
      <c r="U207" s="145">
        <v>0.40699999999999997</v>
      </c>
      <c r="V207" s="145">
        <v>1.92</v>
      </c>
      <c r="W207" s="145" t="s">
        <v>400</v>
      </c>
      <c r="X207" s="145">
        <v>0.32</v>
      </c>
      <c r="Y207" s="145">
        <v>0.55000000000000004</v>
      </c>
      <c r="Z207" s="146">
        <v>0.1</v>
      </c>
      <c r="AA207" s="145">
        <v>1.8</v>
      </c>
      <c r="AB207" s="145">
        <v>0.6</v>
      </c>
      <c r="AC207" s="145">
        <v>3.9670000000000001</v>
      </c>
      <c r="AD207" s="145">
        <v>0.28999999999999998</v>
      </c>
      <c r="AE207" s="145">
        <v>16</v>
      </c>
      <c r="AF207" s="145" t="s">
        <v>400</v>
      </c>
      <c r="AG207" s="145">
        <v>1.1599999999999999</v>
      </c>
      <c r="AH207" s="145" t="s">
        <v>400</v>
      </c>
      <c r="AI207" s="145" t="s">
        <v>400</v>
      </c>
      <c r="AJ207" s="145">
        <v>17.3</v>
      </c>
      <c r="AK207" s="145">
        <v>0.29199999999999998</v>
      </c>
      <c r="AL207" s="145">
        <v>26.219000000000001</v>
      </c>
      <c r="AM207" s="145">
        <v>19.32</v>
      </c>
    </row>
    <row r="208" spans="1:39">
      <c r="A208" s="143" t="s">
        <v>1267</v>
      </c>
      <c r="B208" s="144">
        <v>100</v>
      </c>
      <c r="C208" s="145">
        <v>388</v>
      </c>
      <c r="D208" s="145">
        <v>9.5</v>
      </c>
      <c r="E208" s="145">
        <v>6.3</v>
      </c>
      <c r="F208" s="145">
        <v>0.71099999999999997</v>
      </c>
      <c r="G208" s="145">
        <v>3.2050000000000001</v>
      </c>
      <c r="H208" s="145">
        <v>1.6559999999999999</v>
      </c>
      <c r="I208" s="145">
        <v>1.548</v>
      </c>
      <c r="J208" s="145">
        <v>9.1999999999999998E-2</v>
      </c>
      <c r="K208" s="145" t="s">
        <v>400</v>
      </c>
      <c r="L208" s="145">
        <v>73.8</v>
      </c>
      <c r="M208" s="145">
        <v>8.5</v>
      </c>
      <c r="N208" s="145">
        <v>33.33</v>
      </c>
      <c r="O208" s="145">
        <v>317</v>
      </c>
      <c r="P208" s="145">
        <v>3.23</v>
      </c>
      <c r="Q208" s="145">
        <v>337</v>
      </c>
      <c r="R208" s="145">
        <v>2.78</v>
      </c>
      <c r="S208" s="145">
        <v>50</v>
      </c>
      <c r="T208" s="145">
        <v>494</v>
      </c>
      <c r="U208" s="145">
        <v>0.40699999999999997</v>
      </c>
      <c r="V208" s="145">
        <v>1.92</v>
      </c>
      <c r="W208" s="145" t="s">
        <v>400</v>
      </c>
      <c r="X208" s="145">
        <v>0.32</v>
      </c>
      <c r="Y208" s="145">
        <v>0.55000000000000004</v>
      </c>
      <c r="Z208" s="146">
        <v>0.1</v>
      </c>
      <c r="AA208" s="145">
        <v>1.8</v>
      </c>
      <c r="AB208" s="145">
        <v>0.6</v>
      </c>
      <c r="AC208" s="145">
        <v>3.9670000000000001</v>
      </c>
      <c r="AD208" s="145">
        <v>0.28999999999999998</v>
      </c>
      <c r="AE208" s="145">
        <v>16</v>
      </c>
      <c r="AF208" s="145" t="s">
        <v>400</v>
      </c>
      <c r="AG208" s="145">
        <v>1.1599999999999999</v>
      </c>
      <c r="AH208" s="145" t="s">
        <v>400</v>
      </c>
      <c r="AI208" s="145" t="s">
        <v>400</v>
      </c>
      <c r="AJ208" s="145">
        <v>17.3</v>
      </c>
      <c r="AK208" s="145">
        <v>0.29199999999999998</v>
      </c>
      <c r="AL208" s="145">
        <v>26.219000000000001</v>
      </c>
      <c r="AM208" s="145">
        <v>19.32</v>
      </c>
    </row>
    <row r="209" spans="1:39">
      <c r="A209" s="143" t="s">
        <v>1268</v>
      </c>
      <c r="B209" s="144">
        <v>100</v>
      </c>
      <c r="C209" s="145">
        <v>388</v>
      </c>
      <c r="D209" s="145">
        <v>9.5</v>
      </c>
      <c r="E209" s="145">
        <v>6.3</v>
      </c>
      <c r="F209" s="145">
        <v>0.71099999999999997</v>
      </c>
      <c r="G209" s="145">
        <v>3.2050000000000001</v>
      </c>
      <c r="H209" s="145">
        <v>1.6559999999999999</v>
      </c>
      <c r="I209" s="145">
        <v>1.548</v>
      </c>
      <c r="J209" s="145">
        <v>9.1999999999999998E-2</v>
      </c>
      <c r="K209" s="145" t="s">
        <v>400</v>
      </c>
      <c r="L209" s="145">
        <v>73.8</v>
      </c>
      <c r="M209" s="145">
        <v>8.5</v>
      </c>
      <c r="N209" s="145">
        <v>33.33</v>
      </c>
      <c r="O209" s="145">
        <v>317</v>
      </c>
      <c r="P209" s="145">
        <v>3.23</v>
      </c>
      <c r="Q209" s="145">
        <v>337</v>
      </c>
      <c r="R209" s="145">
        <v>2.78</v>
      </c>
      <c r="S209" s="145">
        <v>50</v>
      </c>
      <c r="T209" s="145">
        <v>494</v>
      </c>
      <c r="U209" s="145">
        <v>0.40699999999999997</v>
      </c>
      <c r="V209" s="145">
        <v>1.92</v>
      </c>
      <c r="W209" s="145" t="s">
        <v>400</v>
      </c>
      <c r="X209" s="145">
        <v>0.32</v>
      </c>
      <c r="Y209" s="145">
        <v>0.55000000000000004</v>
      </c>
      <c r="Z209" s="146">
        <v>0.1</v>
      </c>
      <c r="AA209" s="145">
        <v>1.8</v>
      </c>
      <c r="AB209" s="145">
        <v>0.6</v>
      </c>
      <c r="AC209" s="145">
        <v>3.9670000000000001</v>
      </c>
      <c r="AD209" s="145">
        <v>0.28999999999999998</v>
      </c>
      <c r="AE209" s="145">
        <v>16</v>
      </c>
      <c r="AF209" s="145" t="s">
        <v>400</v>
      </c>
      <c r="AG209" s="145">
        <v>1.1599999999999999</v>
      </c>
      <c r="AH209" s="145" t="s">
        <v>400</v>
      </c>
      <c r="AI209" s="145" t="s">
        <v>400</v>
      </c>
      <c r="AJ209" s="145">
        <v>17.3</v>
      </c>
      <c r="AK209" s="145">
        <v>0.29199999999999998</v>
      </c>
      <c r="AL209" s="145">
        <v>26.219000000000001</v>
      </c>
      <c r="AM209" s="145">
        <v>19.32</v>
      </c>
    </row>
    <row r="210" spans="1:39">
      <c r="A210" s="143" t="s">
        <v>1269</v>
      </c>
      <c r="B210" s="144">
        <v>100</v>
      </c>
      <c r="C210" s="145">
        <v>189.86199999999999</v>
      </c>
      <c r="D210" s="145">
        <v>5.6449999999999996</v>
      </c>
      <c r="E210" s="145">
        <v>7.1769999999999996</v>
      </c>
      <c r="F210" s="145">
        <v>2.363</v>
      </c>
      <c r="G210" s="145">
        <v>1.8220000000000001</v>
      </c>
      <c r="H210" s="145">
        <v>2.4849999999999999</v>
      </c>
      <c r="I210" s="145">
        <v>2.2080000000000002</v>
      </c>
      <c r="J210" s="145">
        <v>0.27500000000000002</v>
      </c>
      <c r="K210" s="145">
        <v>8.2759999999999998</v>
      </c>
      <c r="L210" s="145">
        <v>25.536999999999999</v>
      </c>
      <c r="M210" s="145">
        <v>1.1599999999999999</v>
      </c>
      <c r="N210" s="145">
        <v>94.043000000000006</v>
      </c>
      <c r="O210" s="145">
        <v>19.725999999999999</v>
      </c>
      <c r="P210" s="145">
        <v>0.20899999999999999</v>
      </c>
      <c r="Q210" s="145">
        <v>101.25700000000001</v>
      </c>
      <c r="R210" s="145">
        <v>0.86899999999999999</v>
      </c>
      <c r="S210" s="145">
        <v>429.67599999999999</v>
      </c>
      <c r="T210" s="145">
        <v>128.161</v>
      </c>
      <c r="U210" s="145">
        <v>7.2999999999999995E-2</v>
      </c>
      <c r="V210" s="145">
        <v>0.63700000000000001</v>
      </c>
      <c r="W210" s="145">
        <v>33.878</v>
      </c>
      <c r="X210" s="145">
        <v>0.20300000000000001</v>
      </c>
      <c r="Y210" s="145">
        <v>0.19500000000000001</v>
      </c>
      <c r="Z210" s="146">
        <v>5.8000000000000003E-2</v>
      </c>
      <c r="AA210" s="145">
        <v>1.1339999999999999</v>
      </c>
      <c r="AB210" s="145">
        <v>9.1999999999999998E-2</v>
      </c>
      <c r="AC210" s="145">
        <v>2.452</v>
      </c>
      <c r="AD210" s="145">
        <v>0.214</v>
      </c>
      <c r="AE210" s="145">
        <v>81.111999999999995</v>
      </c>
      <c r="AF210" s="145">
        <v>0.373</v>
      </c>
      <c r="AG210" s="145">
        <v>0.42699999999999999</v>
      </c>
      <c r="AH210" s="145">
        <v>0.20300000000000001</v>
      </c>
      <c r="AI210" s="145" t="s">
        <v>400</v>
      </c>
      <c r="AJ210" s="145">
        <v>20.213000000000001</v>
      </c>
      <c r="AK210" s="145">
        <v>33.491999999999997</v>
      </c>
      <c r="AL210" s="145">
        <v>4.4820000000000002</v>
      </c>
      <c r="AM210" s="145">
        <v>1.728</v>
      </c>
    </row>
    <row r="211" spans="1:39">
      <c r="A211" s="143" t="s">
        <v>1270</v>
      </c>
      <c r="B211" s="144">
        <v>100</v>
      </c>
      <c r="C211" s="145">
        <v>189.86199999999999</v>
      </c>
      <c r="D211" s="145">
        <v>5.6449999999999996</v>
      </c>
      <c r="E211" s="145">
        <v>7.1769999999999996</v>
      </c>
      <c r="F211" s="145">
        <v>2.363</v>
      </c>
      <c r="G211" s="145">
        <v>1.8220000000000001</v>
      </c>
      <c r="H211" s="145">
        <v>2.4849999999999999</v>
      </c>
      <c r="I211" s="145">
        <v>2.2080000000000002</v>
      </c>
      <c r="J211" s="145">
        <v>0.27500000000000002</v>
      </c>
      <c r="K211" s="145">
        <v>8.2759999999999998</v>
      </c>
      <c r="L211" s="145">
        <v>25.536999999999999</v>
      </c>
      <c r="M211" s="145">
        <v>1.1599999999999999</v>
      </c>
      <c r="N211" s="145">
        <v>94.043000000000006</v>
      </c>
      <c r="O211" s="145">
        <v>19.725999999999999</v>
      </c>
      <c r="P211" s="145">
        <v>0.20899999999999999</v>
      </c>
      <c r="Q211" s="145">
        <v>101.25700000000001</v>
      </c>
      <c r="R211" s="145">
        <v>0.86899999999999999</v>
      </c>
      <c r="S211" s="145">
        <v>429.67599999999999</v>
      </c>
      <c r="T211" s="145">
        <v>128.161</v>
      </c>
      <c r="U211" s="145">
        <v>7.2999999999999995E-2</v>
      </c>
      <c r="V211" s="145">
        <v>0.63700000000000001</v>
      </c>
      <c r="W211" s="145">
        <v>33.878</v>
      </c>
      <c r="X211" s="145">
        <v>0.20300000000000001</v>
      </c>
      <c r="Y211" s="145">
        <v>0.19500000000000001</v>
      </c>
      <c r="Z211" s="146">
        <v>5.8000000000000003E-2</v>
      </c>
      <c r="AA211" s="145">
        <v>1.1339999999999999</v>
      </c>
      <c r="AB211" s="145">
        <v>9.1999999999999998E-2</v>
      </c>
      <c r="AC211" s="145">
        <v>2.452</v>
      </c>
      <c r="AD211" s="145">
        <v>0.214</v>
      </c>
      <c r="AE211" s="145">
        <v>81.111999999999995</v>
      </c>
      <c r="AF211" s="145">
        <v>0.373</v>
      </c>
      <c r="AG211" s="145">
        <v>0.42699999999999999</v>
      </c>
      <c r="AH211" s="145">
        <v>0.20300000000000001</v>
      </c>
      <c r="AI211" s="145" t="s">
        <v>400</v>
      </c>
      <c r="AJ211" s="145">
        <v>20.213000000000001</v>
      </c>
      <c r="AK211" s="145">
        <v>33.491999999999997</v>
      </c>
      <c r="AL211" s="145">
        <v>4.4820000000000002</v>
      </c>
      <c r="AM211" s="145">
        <v>1.728</v>
      </c>
    </row>
    <row r="212" spans="1:39">
      <c r="A212" s="143" t="s">
        <v>1271</v>
      </c>
      <c r="B212" s="144">
        <v>100</v>
      </c>
      <c r="C212" s="145">
        <v>369.15199999999999</v>
      </c>
      <c r="D212" s="145">
        <v>24.05</v>
      </c>
      <c r="E212" s="145">
        <v>0.49299999999999999</v>
      </c>
      <c r="F212" s="145">
        <v>0.32200000000000001</v>
      </c>
      <c r="G212" s="145">
        <v>0.13</v>
      </c>
      <c r="H212" s="145">
        <v>2.1000000000000001E-2</v>
      </c>
      <c r="I212" s="145">
        <v>1.2E-2</v>
      </c>
      <c r="J212" s="145">
        <v>8.0000000000000002E-3</v>
      </c>
      <c r="K212" s="145">
        <v>12.333</v>
      </c>
      <c r="L212" s="145">
        <v>68.016999999999996</v>
      </c>
      <c r="M212" s="145" t="s">
        <v>400</v>
      </c>
      <c r="N212" s="145">
        <v>538.28599999999994</v>
      </c>
      <c r="O212" s="145">
        <v>194.44499999999999</v>
      </c>
      <c r="P212" s="145">
        <v>1.853</v>
      </c>
      <c r="Q212" s="145">
        <v>463.3</v>
      </c>
      <c r="R212" s="145">
        <v>11.11</v>
      </c>
      <c r="S212" s="145">
        <v>351.16</v>
      </c>
      <c r="T212" s="145">
        <v>1038.5450000000001</v>
      </c>
      <c r="U212" s="145">
        <v>1.298</v>
      </c>
      <c r="V212" s="145">
        <v>7.4059999999999997</v>
      </c>
      <c r="W212" s="145">
        <v>716.63</v>
      </c>
      <c r="X212" s="145">
        <v>0.74</v>
      </c>
      <c r="Y212" s="145">
        <v>0.373</v>
      </c>
      <c r="Z212" s="146">
        <v>1.018</v>
      </c>
      <c r="AA212" s="145">
        <v>12.592000000000001</v>
      </c>
      <c r="AB212" s="145">
        <v>37.036999999999999</v>
      </c>
      <c r="AC212" s="145">
        <v>18.244</v>
      </c>
      <c r="AD212" s="145">
        <v>1.8819999999999999</v>
      </c>
      <c r="AE212" s="145">
        <v>394.36799999999999</v>
      </c>
      <c r="AF212" s="145">
        <v>1.528</v>
      </c>
      <c r="AG212" s="145">
        <v>8.3320000000000007</v>
      </c>
      <c r="AH212" s="145">
        <v>2.7E-2</v>
      </c>
      <c r="AI212" s="145" t="s">
        <v>400</v>
      </c>
      <c r="AJ212" s="145">
        <v>18.952000000000002</v>
      </c>
      <c r="AK212" s="145">
        <v>716.68700000000001</v>
      </c>
      <c r="AL212" s="145">
        <v>57.576999999999998</v>
      </c>
      <c r="AM212" s="145">
        <v>32.256999999999998</v>
      </c>
    </row>
    <row r="213" spans="1:39">
      <c r="A213" s="143" t="s">
        <v>1272</v>
      </c>
      <c r="B213" s="144">
        <v>100</v>
      </c>
      <c r="C213" s="145">
        <v>142.37200000000001</v>
      </c>
      <c r="D213" s="145">
        <v>18.507000000000001</v>
      </c>
      <c r="E213" s="145">
        <v>5.3230000000000004</v>
      </c>
      <c r="F213" s="145">
        <v>0.82799999999999996</v>
      </c>
      <c r="G213" s="145">
        <v>1.1579999999999999</v>
      </c>
      <c r="H213" s="145">
        <v>3.0179999999999998</v>
      </c>
      <c r="I213" s="145">
        <v>2.673</v>
      </c>
      <c r="J213" s="145">
        <v>0.34499999999999997</v>
      </c>
      <c r="K213" s="145" t="s">
        <v>400</v>
      </c>
      <c r="L213" s="145">
        <v>5.8029999999999999</v>
      </c>
      <c r="M213" s="145">
        <v>0.44</v>
      </c>
      <c r="N213" s="145">
        <v>49.838000000000001</v>
      </c>
      <c r="O213" s="145">
        <v>13.019</v>
      </c>
      <c r="P213" s="145">
        <v>0.27500000000000002</v>
      </c>
      <c r="Q213" s="145">
        <v>98</v>
      </c>
      <c r="R213" s="145">
        <v>2.621</v>
      </c>
      <c r="S213" s="145">
        <v>455.73399999999998</v>
      </c>
      <c r="T213" s="145">
        <v>44.683</v>
      </c>
      <c r="U213" s="145">
        <v>9.0999999999999998E-2</v>
      </c>
      <c r="V213" s="145">
        <v>0.41299999999999998</v>
      </c>
      <c r="W213" s="145" t="s">
        <v>400</v>
      </c>
      <c r="X213" s="145">
        <v>0.219</v>
      </c>
      <c r="Y213" s="145">
        <v>0.186</v>
      </c>
      <c r="Z213" s="145">
        <v>0.36399999999999999</v>
      </c>
      <c r="AA213" s="145">
        <v>2.91</v>
      </c>
      <c r="AB213" s="145" t="s">
        <v>400</v>
      </c>
      <c r="AC213" s="145">
        <v>6.7489999999999997</v>
      </c>
      <c r="AD213" s="145">
        <v>4.3639999999999999</v>
      </c>
      <c r="AE213" s="145">
        <v>18.545000000000002</v>
      </c>
      <c r="AF213" s="145" t="s">
        <v>400</v>
      </c>
      <c r="AG213" s="145">
        <v>0.40400000000000003</v>
      </c>
      <c r="AH213" s="145">
        <v>2.5999999999999999E-2</v>
      </c>
      <c r="AI213" s="146" t="s">
        <v>400</v>
      </c>
      <c r="AJ213" s="145">
        <v>11.041</v>
      </c>
      <c r="AK213" s="145" t="s">
        <v>400</v>
      </c>
      <c r="AL213" s="145">
        <v>0.219</v>
      </c>
      <c r="AM213" s="145" t="s">
        <v>400</v>
      </c>
    </row>
    <row r="214" spans="1:39">
      <c r="A214" s="143" t="s">
        <v>1273</v>
      </c>
      <c r="B214" s="144">
        <v>100</v>
      </c>
      <c r="C214" s="145">
        <v>142.37200000000001</v>
      </c>
      <c r="D214" s="145">
        <v>18.507000000000001</v>
      </c>
      <c r="E214" s="145">
        <v>5.3230000000000004</v>
      </c>
      <c r="F214" s="145">
        <v>0.82799999999999996</v>
      </c>
      <c r="G214" s="145">
        <v>1.1579999999999999</v>
      </c>
      <c r="H214" s="145">
        <v>3.0179999999999998</v>
      </c>
      <c r="I214" s="145">
        <v>2.673</v>
      </c>
      <c r="J214" s="145">
        <v>0.34499999999999997</v>
      </c>
      <c r="K214" s="145" t="s">
        <v>400</v>
      </c>
      <c r="L214" s="145">
        <v>5.8029999999999999</v>
      </c>
      <c r="M214" s="145">
        <v>0.44</v>
      </c>
      <c r="N214" s="145">
        <v>49.838000000000001</v>
      </c>
      <c r="O214" s="145">
        <v>13.019</v>
      </c>
      <c r="P214" s="145">
        <v>0.27500000000000002</v>
      </c>
      <c r="Q214" s="145">
        <v>98</v>
      </c>
      <c r="R214" s="145">
        <v>2.621</v>
      </c>
      <c r="S214" s="145">
        <v>455.73399999999998</v>
      </c>
      <c r="T214" s="145">
        <v>44.683</v>
      </c>
      <c r="U214" s="145">
        <v>9.0999999999999998E-2</v>
      </c>
      <c r="V214" s="145">
        <v>0.41299999999999998</v>
      </c>
      <c r="W214" s="145" t="s">
        <v>400</v>
      </c>
      <c r="X214" s="145">
        <v>0.219</v>
      </c>
      <c r="Y214" s="145">
        <v>0.186</v>
      </c>
      <c r="Z214" s="145">
        <v>0.36399999999999999</v>
      </c>
      <c r="AA214" s="145">
        <v>2.91</v>
      </c>
      <c r="AB214" s="145" t="s">
        <v>400</v>
      </c>
      <c r="AC214" s="145">
        <v>6.7489999999999997</v>
      </c>
      <c r="AD214" s="145">
        <v>4.3639999999999999</v>
      </c>
      <c r="AE214" s="145">
        <v>18.545000000000002</v>
      </c>
      <c r="AF214" s="145" t="s">
        <v>400</v>
      </c>
      <c r="AG214" s="145">
        <v>0.40400000000000003</v>
      </c>
      <c r="AH214" s="145">
        <v>2.5999999999999999E-2</v>
      </c>
      <c r="AI214" s="146" t="s">
        <v>400</v>
      </c>
      <c r="AJ214" s="145">
        <v>11.041</v>
      </c>
      <c r="AK214" s="145" t="s">
        <v>400</v>
      </c>
      <c r="AL214" s="145">
        <v>0.219</v>
      </c>
      <c r="AM214" s="145" t="s">
        <v>400</v>
      </c>
    </row>
    <row r="215" spans="1:39">
      <c r="A215" s="143" t="s">
        <v>1274</v>
      </c>
      <c r="B215" s="144">
        <v>100</v>
      </c>
      <c r="C215" s="145">
        <v>369.15199999999999</v>
      </c>
      <c r="D215" s="145">
        <v>24.05</v>
      </c>
      <c r="E215" s="145">
        <v>0.49299999999999999</v>
      </c>
      <c r="F215" s="145">
        <v>0.32200000000000001</v>
      </c>
      <c r="G215" s="145">
        <v>0.13</v>
      </c>
      <c r="H215" s="145">
        <v>2.1000000000000001E-2</v>
      </c>
      <c r="I215" s="145">
        <v>1.2E-2</v>
      </c>
      <c r="J215" s="145">
        <v>8.0000000000000002E-3</v>
      </c>
      <c r="K215" s="145">
        <v>12.333</v>
      </c>
      <c r="L215" s="145">
        <v>68.016999999999996</v>
      </c>
      <c r="M215" s="145" t="s">
        <v>400</v>
      </c>
      <c r="N215" s="145">
        <v>538.28599999999994</v>
      </c>
      <c r="O215" s="145">
        <v>194.44499999999999</v>
      </c>
      <c r="P215" s="145">
        <v>1.853</v>
      </c>
      <c r="Q215" s="145">
        <v>463.3</v>
      </c>
      <c r="R215" s="145">
        <v>11.11</v>
      </c>
      <c r="S215" s="145">
        <v>351.16</v>
      </c>
      <c r="T215" s="145">
        <v>1038.5450000000001</v>
      </c>
      <c r="U215" s="145">
        <v>1.298</v>
      </c>
      <c r="V215" s="145">
        <v>7.4059999999999997</v>
      </c>
      <c r="W215" s="145">
        <v>716.63</v>
      </c>
      <c r="X215" s="145">
        <v>0.74</v>
      </c>
      <c r="Y215" s="145">
        <v>0.373</v>
      </c>
      <c r="Z215" s="146">
        <v>1.018</v>
      </c>
      <c r="AA215" s="145">
        <v>12.592000000000001</v>
      </c>
      <c r="AB215" s="145">
        <v>37.036999999999999</v>
      </c>
      <c r="AC215" s="145">
        <v>18.244</v>
      </c>
      <c r="AD215" s="145">
        <v>1.8819999999999999</v>
      </c>
      <c r="AE215" s="145">
        <v>394.36799999999999</v>
      </c>
      <c r="AF215" s="145">
        <v>1.528</v>
      </c>
      <c r="AG215" s="145">
        <v>8.3320000000000007</v>
      </c>
      <c r="AH215" s="145">
        <v>2.7E-2</v>
      </c>
      <c r="AI215" s="145" t="s">
        <v>400</v>
      </c>
      <c r="AJ215" s="145">
        <v>18.952000000000002</v>
      </c>
      <c r="AK215" s="145">
        <v>716.68700000000001</v>
      </c>
      <c r="AL215" s="145">
        <v>57.576999999999998</v>
      </c>
      <c r="AM215" s="145">
        <v>32.256999999999998</v>
      </c>
    </row>
    <row r="216" spans="1:39">
      <c r="A216" s="143" t="s">
        <v>1275</v>
      </c>
      <c r="B216" s="144">
        <v>100</v>
      </c>
      <c r="C216" s="145">
        <v>365</v>
      </c>
      <c r="D216" s="145">
        <v>7.2</v>
      </c>
      <c r="E216" s="145">
        <v>1</v>
      </c>
      <c r="F216" s="145" t="s">
        <v>400</v>
      </c>
      <c r="G216" s="145" t="s">
        <v>400</v>
      </c>
      <c r="H216" s="145" t="s">
        <v>400</v>
      </c>
      <c r="I216" s="145" t="s">
        <v>400</v>
      </c>
      <c r="J216" s="145" t="s">
        <v>400</v>
      </c>
      <c r="K216" s="145" t="s">
        <v>400</v>
      </c>
      <c r="L216" s="145">
        <v>83.8</v>
      </c>
      <c r="M216" s="145">
        <v>4.0999999999999996</v>
      </c>
      <c r="N216" s="145">
        <v>143</v>
      </c>
      <c r="O216" s="145">
        <v>11</v>
      </c>
      <c r="P216" s="145" t="s">
        <v>400</v>
      </c>
      <c r="Q216" s="145">
        <v>101</v>
      </c>
      <c r="R216" s="145">
        <v>3.1</v>
      </c>
      <c r="S216" s="145">
        <v>655</v>
      </c>
      <c r="T216" s="145">
        <v>83</v>
      </c>
      <c r="U216" s="145">
        <v>0.06</v>
      </c>
      <c r="V216" s="145">
        <v>7.6</v>
      </c>
      <c r="W216" s="145" t="s">
        <v>400</v>
      </c>
      <c r="X216" s="145">
        <v>0.76</v>
      </c>
      <c r="Y216" s="145">
        <v>1.02</v>
      </c>
      <c r="Z216" s="145">
        <v>2.25</v>
      </c>
      <c r="AA216" s="145">
        <v>11.04</v>
      </c>
      <c r="AB216" s="145" t="s">
        <v>400</v>
      </c>
      <c r="AC216" s="145" t="s">
        <v>400</v>
      </c>
      <c r="AD216" s="145" t="s">
        <v>400</v>
      </c>
      <c r="AE216" s="145" t="s">
        <v>400</v>
      </c>
      <c r="AF216" s="145" t="s">
        <v>400</v>
      </c>
      <c r="AG216" s="145" t="s">
        <v>400</v>
      </c>
      <c r="AH216" s="145" t="s">
        <v>400</v>
      </c>
      <c r="AI216" s="145" t="s">
        <v>400</v>
      </c>
      <c r="AJ216" s="145" t="s">
        <v>400</v>
      </c>
      <c r="AK216" s="145">
        <v>15</v>
      </c>
      <c r="AL216" s="145" t="s">
        <v>400</v>
      </c>
      <c r="AM216" s="145" t="s">
        <v>400</v>
      </c>
    </row>
    <row r="217" spans="1:39">
      <c r="A217" s="143" t="s">
        <v>1276</v>
      </c>
      <c r="B217" s="144">
        <v>100</v>
      </c>
      <c r="C217" s="145">
        <v>255.571</v>
      </c>
      <c r="D217" s="145">
        <v>14.597</v>
      </c>
      <c r="E217" s="145">
        <v>8.4499999999999993</v>
      </c>
      <c r="F217" s="145">
        <v>5.1159999999999997</v>
      </c>
      <c r="G217" s="145">
        <v>2.355</v>
      </c>
      <c r="H217" s="145">
        <v>0.43</v>
      </c>
      <c r="I217" s="145">
        <v>0.34100000000000003</v>
      </c>
      <c r="J217" s="145">
        <v>8.7999999999999995E-2</v>
      </c>
      <c r="K217" s="145">
        <v>21.884</v>
      </c>
      <c r="L217" s="145">
        <v>29.818999999999999</v>
      </c>
      <c r="M217" s="145">
        <v>1.7390000000000001</v>
      </c>
      <c r="N217" s="145">
        <v>308.76799999999997</v>
      </c>
      <c r="O217" s="145">
        <v>24.059000000000001</v>
      </c>
      <c r="P217" s="145">
        <v>0.28799999999999998</v>
      </c>
      <c r="Q217" s="145">
        <v>264.19099999999997</v>
      </c>
      <c r="R217" s="145">
        <v>2.1589999999999998</v>
      </c>
      <c r="S217" s="145">
        <v>736.75400000000002</v>
      </c>
      <c r="T217" s="145">
        <v>184.62</v>
      </c>
      <c r="U217" s="145">
        <v>0.106</v>
      </c>
      <c r="V217" s="145">
        <v>1.595</v>
      </c>
      <c r="W217" s="145">
        <v>51.246000000000002</v>
      </c>
      <c r="X217" s="145">
        <v>0.32600000000000001</v>
      </c>
      <c r="Y217" s="145">
        <v>0.35499999999999998</v>
      </c>
      <c r="Z217" s="146">
        <v>9.7000000000000003E-2</v>
      </c>
      <c r="AA217" s="145">
        <v>2.5659999999999998</v>
      </c>
      <c r="AB217" s="145">
        <v>2.1680000000000001</v>
      </c>
      <c r="AC217" s="145">
        <v>7.2629999999999999</v>
      </c>
      <c r="AD217" s="145">
        <v>0.89600000000000002</v>
      </c>
      <c r="AE217" s="145">
        <v>93.332999999999998</v>
      </c>
      <c r="AF217" s="145">
        <v>0.08</v>
      </c>
      <c r="AG217" s="145">
        <v>0.54500000000000004</v>
      </c>
      <c r="AH217" s="145">
        <v>0.16800000000000001</v>
      </c>
      <c r="AI217" s="145" t="s">
        <v>400</v>
      </c>
      <c r="AJ217" s="145">
        <v>17.98</v>
      </c>
      <c r="AK217" s="145">
        <v>57.591999999999999</v>
      </c>
      <c r="AL217" s="145">
        <v>2.194</v>
      </c>
      <c r="AM217" s="145">
        <v>0.443</v>
      </c>
    </row>
    <row r="218" spans="1:39">
      <c r="A218" s="143" t="s">
        <v>1277</v>
      </c>
      <c r="B218" s="144">
        <v>100</v>
      </c>
      <c r="C218" s="145">
        <v>189.86199999999999</v>
      </c>
      <c r="D218" s="145">
        <v>5.6449999999999996</v>
      </c>
      <c r="E218" s="145">
        <v>7.1769999999999996</v>
      </c>
      <c r="F218" s="145">
        <v>2.363</v>
      </c>
      <c r="G218" s="145">
        <v>1.8220000000000001</v>
      </c>
      <c r="H218" s="145">
        <v>2.4849999999999999</v>
      </c>
      <c r="I218" s="145">
        <v>2.2080000000000002</v>
      </c>
      <c r="J218" s="145">
        <v>0.27500000000000002</v>
      </c>
      <c r="K218" s="145">
        <v>8.2759999999999998</v>
      </c>
      <c r="L218" s="145">
        <v>25.536999999999999</v>
      </c>
      <c r="M218" s="145">
        <v>1.1599999999999999</v>
      </c>
      <c r="N218" s="145">
        <v>94.043000000000006</v>
      </c>
      <c r="O218" s="145">
        <v>19.725999999999999</v>
      </c>
      <c r="P218" s="145">
        <v>0.20899999999999999</v>
      </c>
      <c r="Q218" s="145">
        <v>101.25700000000001</v>
      </c>
      <c r="R218" s="145">
        <v>0.86899999999999999</v>
      </c>
      <c r="S218" s="145">
        <v>429.67599999999999</v>
      </c>
      <c r="T218" s="145">
        <v>128.161</v>
      </c>
      <c r="U218" s="145">
        <v>7.2999999999999995E-2</v>
      </c>
      <c r="V218" s="145">
        <v>0.63700000000000001</v>
      </c>
      <c r="W218" s="145">
        <v>33.878</v>
      </c>
      <c r="X218" s="145">
        <v>0.20300000000000001</v>
      </c>
      <c r="Y218" s="145">
        <v>0.19500000000000001</v>
      </c>
      <c r="Z218" s="146">
        <v>5.8000000000000003E-2</v>
      </c>
      <c r="AA218" s="145">
        <v>1.1339999999999999</v>
      </c>
      <c r="AB218" s="145">
        <v>9.1999999999999998E-2</v>
      </c>
      <c r="AC218" s="145">
        <v>2.452</v>
      </c>
      <c r="AD218" s="145">
        <v>0.214</v>
      </c>
      <c r="AE218" s="145">
        <v>81.111999999999995</v>
      </c>
      <c r="AF218" s="145">
        <v>0.373</v>
      </c>
      <c r="AG218" s="145">
        <v>0.42699999999999999</v>
      </c>
      <c r="AH218" s="145">
        <v>0.20300000000000001</v>
      </c>
      <c r="AI218" s="145" t="s">
        <v>400</v>
      </c>
      <c r="AJ218" s="145">
        <v>20.213000000000001</v>
      </c>
      <c r="AK218" s="145">
        <v>33.491999999999997</v>
      </c>
      <c r="AL218" s="145">
        <v>4.4820000000000002</v>
      </c>
      <c r="AM218" s="145">
        <v>1.728</v>
      </c>
    </row>
    <row r="219" spans="1:39">
      <c r="A219" s="143" t="s">
        <v>1278</v>
      </c>
      <c r="B219" s="144">
        <v>100</v>
      </c>
      <c r="C219" s="145">
        <v>189.86199999999999</v>
      </c>
      <c r="D219" s="145">
        <v>5.6449999999999996</v>
      </c>
      <c r="E219" s="145">
        <v>7.1769999999999996</v>
      </c>
      <c r="F219" s="145">
        <v>2.363</v>
      </c>
      <c r="G219" s="145">
        <v>1.8220000000000001</v>
      </c>
      <c r="H219" s="145">
        <v>2.4849999999999999</v>
      </c>
      <c r="I219" s="145">
        <v>2.2080000000000002</v>
      </c>
      <c r="J219" s="145">
        <v>0.27500000000000002</v>
      </c>
      <c r="K219" s="145">
        <v>8.2759999999999998</v>
      </c>
      <c r="L219" s="145">
        <v>25.536999999999999</v>
      </c>
      <c r="M219" s="145">
        <v>1.1599999999999999</v>
      </c>
      <c r="N219" s="145">
        <v>94.043000000000006</v>
      </c>
      <c r="O219" s="145">
        <v>19.725999999999999</v>
      </c>
      <c r="P219" s="145">
        <v>0.20899999999999999</v>
      </c>
      <c r="Q219" s="145">
        <v>101.25700000000001</v>
      </c>
      <c r="R219" s="145">
        <v>0.86899999999999999</v>
      </c>
      <c r="S219" s="145">
        <v>429.67599999999999</v>
      </c>
      <c r="T219" s="145">
        <v>128.161</v>
      </c>
      <c r="U219" s="145">
        <v>7.2999999999999995E-2</v>
      </c>
      <c r="V219" s="145">
        <v>0.63700000000000001</v>
      </c>
      <c r="W219" s="145">
        <v>33.878</v>
      </c>
      <c r="X219" s="145">
        <v>0.20300000000000001</v>
      </c>
      <c r="Y219" s="145">
        <v>0.19500000000000001</v>
      </c>
      <c r="Z219" s="146">
        <v>5.8000000000000003E-2</v>
      </c>
      <c r="AA219" s="145">
        <v>1.1339999999999999</v>
      </c>
      <c r="AB219" s="145">
        <v>9.1999999999999998E-2</v>
      </c>
      <c r="AC219" s="145">
        <v>2.452</v>
      </c>
      <c r="AD219" s="145">
        <v>0.214</v>
      </c>
      <c r="AE219" s="145">
        <v>81.111999999999995</v>
      </c>
      <c r="AF219" s="145">
        <v>0.373</v>
      </c>
      <c r="AG219" s="145">
        <v>0.42699999999999999</v>
      </c>
      <c r="AH219" s="145">
        <v>0.20300000000000001</v>
      </c>
      <c r="AI219" s="145" t="s">
        <v>400</v>
      </c>
      <c r="AJ219" s="145">
        <v>20.213000000000001</v>
      </c>
      <c r="AK219" s="145">
        <v>33.491999999999997</v>
      </c>
      <c r="AL219" s="145">
        <v>4.4820000000000002</v>
      </c>
      <c r="AM219" s="145">
        <v>1.728</v>
      </c>
    </row>
    <row r="220" spans="1:39">
      <c r="A220" s="143" t="s">
        <v>1279</v>
      </c>
      <c r="B220" s="144">
        <v>100</v>
      </c>
      <c r="C220" s="145">
        <v>142.37200000000001</v>
      </c>
      <c r="D220" s="145">
        <v>18.507000000000001</v>
      </c>
      <c r="E220" s="145">
        <v>5.3230000000000004</v>
      </c>
      <c r="F220" s="145">
        <v>0.82799999999999996</v>
      </c>
      <c r="G220" s="145">
        <v>1.1579999999999999</v>
      </c>
      <c r="H220" s="145">
        <v>3.0179999999999998</v>
      </c>
      <c r="I220" s="145">
        <v>2.673</v>
      </c>
      <c r="J220" s="145">
        <v>0.34499999999999997</v>
      </c>
      <c r="K220" s="145" t="s">
        <v>400</v>
      </c>
      <c r="L220" s="145">
        <v>5.8029999999999999</v>
      </c>
      <c r="M220" s="145">
        <v>0.44</v>
      </c>
      <c r="N220" s="145">
        <v>49.838000000000001</v>
      </c>
      <c r="O220" s="145">
        <v>13.019</v>
      </c>
      <c r="P220" s="145">
        <v>0.27500000000000002</v>
      </c>
      <c r="Q220" s="145">
        <v>98</v>
      </c>
      <c r="R220" s="145">
        <v>2.621</v>
      </c>
      <c r="S220" s="145">
        <v>455.73399999999998</v>
      </c>
      <c r="T220" s="145">
        <v>44.683</v>
      </c>
      <c r="U220" s="145">
        <v>9.0999999999999998E-2</v>
      </c>
      <c r="V220" s="145">
        <v>0.41299999999999998</v>
      </c>
      <c r="W220" s="145" t="s">
        <v>400</v>
      </c>
      <c r="X220" s="145">
        <v>0.219</v>
      </c>
      <c r="Y220" s="145">
        <v>0.186</v>
      </c>
      <c r="Z220" s="145">
        <v>0.36399999999999999</v>
      </c>
      <c r="AA220" s="145">
        <v>2.91</v>
      </c>
      <c r="AB220" s="145" t="s">
        <v>400</v>
      </c>
      <c r="AC220" s="145">
        <v>6.7489999999999997</v>
      </c>
      <c r="AD220" s="145">
        <v>4.3639999999999999</v>
      </c>
      <c r="AE220" s="145">
        <v>18.545000000000002</v>
      </c>
      <c r="AF220" s="145" t="s">
        <v>400</v>
      </c>
      <c r="AG220" s="145">
        <v>0.40400000000000003</v>
      </c>
      <c r="AH220" s="145">
        <v>2.5999999999999999E-2</v>
      </c>
      <c r="AI220" s="146" t="s">
        <v>400</v>
      </c>
      <c r="AJ220" s="145">
        <v>11.041</v>
      </c>
      <c r="AK220" s="145" t="s">
        <v>400</v>
      </c>
      <c r="AL220" s="145">
        <v>0.219</v>
      </c>
      <c r="AM220" s="145" t="s">
        <v>400</v>
      </c>
    </row>
    <row r="221" spans="1:39">
      <c r="A221" s="143" t="s">
        <v>1280</v>
      </c>
      <c r="B221" s="144">
        <v>100</v>
      </c>
      <c r="C221" s="145">
        <v>120.586</v>
      </c>
      <c r="D221" s="145">
        <v>6.2229999999999999</v>
      </c>
      <c r="E221" s="145">
        <v>2.7869999999999999</v>
      </c>
      <c r="F221" s="145">
        <v>0.74199999999999999</v>
      </c>
      <c r="G221" s="145">
        <v>0.82699999999999996</v>
      </c>
      <c r="H221" s="145">
        <v>0.82799999999999996</v>
      </c>
      <c r="I221" s="145">
        <v>0.73099999999999998</v>
      </c>
      <c r="J221" s="145">
        <v>9.0999999999999998E-2</v>
      </c>
      <c r="K221" s="145">
        <v>9.4309999999999992</v>
      </c>
      <c r="L221" s="145">
        <v>17.417999999999999</v>
      </c>
      <c r="M221" s="145">
        <v>1.25</v>
      </c>
      <c r="N221" s="145">
        <v>12.244</v>
      </c>
      <c r="O221" s="145">
        <v>15.385</v>
      </c>
      <c r="P221" s="145">
        <v>0.21</v>
      </c>
      <c r="Q221" s="145">
        <v>61.222999999999999</v>
      </c>
      <c r="R221" s="145">
        <v>1.3380000000000001</v>
      </c>
      <c r="S221" s="145">
        <v>82.207999999999998</v>
      </c>
      <c r="T221" s="145">
        <v>137.203</v>
      </c>
      <c r="U221" s="145">
        <v>8.7999999999999995E-2</v>
      </c>
      <c r="V221" s="145">
        <v>1.054</v>
      </c>
      <c r="W221" s="145" t="s">
        <v>400</v>
      </c>
      <c r="X221" s="145">
        <v>0.156</v>
      </c>
      <c r="Y221" s="145">
        <v>9.6000000000000002E-2</v>
      </c>
      <c r="Z221" s="145">
        <v>9.4E-2</v>
      </c>
      <c r="AA221" s="145">
        <v>1.6140000000000001</v>
      </c>
      <c r="AB221" s="145">
        <v>8.9369999999999994</v>
      </c>
      <c r="AC221" s="145">
        <v>2.6419999999999999</v>
      </c>
      <c r="AD221" s="145">
        <v>0.27400000000000002</v>
      </c>
      <c r="AE221" s="145">
        <v>69.108999999999995</v>
      </c>
      <c r="AF221" s="145">
        <v>4.9000000000000002E-2</v>
      </c>
      <c r="AG221" s="145">
        <v>0.34100000000000003</v>
      </c>
      <c r="AH221" s="145">
        <v>8.1000000000000003E-2</v>
      </c>
      <c r="AI221" s="145">
        <v>48</v>
      </c>
      <c r="AJ221" s="145">
        <v>16.280999999999999</v>
      </c>
      <c r="AK221" s="145">
        <v>12.706</v>
      </c>
      <c r="AL221" s="145">
        <v>1.403</v>
      </c>
      <c r="AM221" s="145">
        <v>0.16</v>
      </c>
    </row>
    <row r="222" spans="1:39">
      <c r="A222" s="143" t="s">
        <v>1281</v>
      </c>
      <c r="B222" s="144">
        <v>100</v>
      </c>
      <c r="C222" s="145">
        <v>163.16800000000001</v>
      </c>
      <c r="D222" s="145">
        <v>14.98</v>
      </c>
      <c r="E222" s="145">
        <v>4.1340000000000003</v>
      </c>
      <c r="F222" s="145">
        <v>0.72399999999999998</v>
      </c>
      <c r="G222" s="145">
        <v>0.86499999999999999</v>
      </c>
      <c r="H222" s="145">
        <v>2.1589999999999998</v>
      </c>
      <c r="I222" s="145">
        <v>1.6339999999999999</v>
      </c>
      <c r="J222" s="145">
        <v>0.217</v>
      </c>
      <c r="K222" s="145">
        <v>34</v>
      </c>
      <c r="L222" s="145">
        <v>15.43</v>
      </c>
      <c r="M222" s="145">
        <v>0.9</v>
      </c>
      <c r="N222" s="145">
        <v>12.5</v>
      </c>
      <c r="O222" s="145">
        <v>38</v>
      </c>
      <c r="P222" s="145">
        <v>0.17100000000000001</v>
      </c>
      <c r="Q222" s="145">
        <v>173.5</v>
      </c>
      <c r="R222" s="145">
        <v>0.81100000000000005</v>
      </c>
      <c r="S222" s="145">
        <v>53</v>
      </c>
      <c r="T222" s="145">
        <v>194</v>
      </c>
      <c r="U222" s="145">
        <v>6.3E-2</v>
      </c>
      <c r="V222" s="145">
        <v>0.56999999999999995</v>
      </c>
      <c r="W222" s="145">
        <v>6.5</v>
      </c>
      <c r="X222" s="145">
        <v>0.17699999999999999</v>
      </c>
      <c r="Y222" s="145">
        <v>0.125</v>
      </c>
      <c r="Z222" s="145">
        <v>0.14499999999999999</v>
      </c>
      <c r="AA222" s="145">
        <v>1.9339999999999999</v>
      </c>
      <c r="AB222" s="145" t="s">
        <v>400</v>
      </c>
      <c r="AC222" s="145">
        <v>4.8840000000000003</v>
      </c>
      <c r="AD222" s="145">
        <v>1.2549999999999999</v>
      </c>
      <c r="AE222" s="145">
        <v>66.150000000000006</v>
      </c>
      <c r="AF222" s="145">
        <v>0.55000000000000004</v>
      </c>
      <c r="AG222" s="145">
        <v>0.59799999999999998</v>
      </c>
      <c r="AH222" s="145">
        <v>1.4999999999999999E-2</v>
      </c>
      <c r="AI222" s="145">
        <v>24</v>
      </c>
      <c r="AJ222" s="145">
        <v>43.631</v>
      </c>
      <c r="AK222" s="145">
        <v>6.5</v>
      </c>
      <c r="AL222" s="145">
        <v>0.28000000000000003</v>
      </c>
      <c r="AM222" s="145" t="s">
        <v>400</v>
      </c>
    </row>
    <row r="223" spans="1:39">
      <c r="A223" s="143" t="s">
        <v>1282</v>
      </c>
      <c r="B223" s="144">
        <v>100</v>
      </c>
      <c r="C223" s="145">
        <v>354</v>
      </c>
      <c r="D223" s="145">
        <v>3.33</v>
      </c>
      <c r="E223" s="145">
        <v>33.49</v>
      </c>
      <c r="F223" s="145">
        <v>29.7</v>
      </c>
      <c r="G223" s="145">
        <v>1.43</v>
      </c>
      <c r="H223" s="145">
        <v>0.37</v>
      </c>
      <c r="I223" s="145">
        <v>0.37</v>
      </c>
      <c r="J223" s="145" t="s">
        <v>400</v>
      </c>
      <c r="K223" s="145" t="s">
        <v>400</v>
      </c>
      <c r="L223" s="145">
        <v>15.23</v>
      </c>
      <c r="M223" s="145">
        <v>9</v>
      </c>
      <c r="N223" s="145">
        <v>14</v>
      </c>
      <c r="O223" s="145">
        <v>32</v>
      </c>
      <c r="P223" s="145">
        <v>1.5</v>
      </c>
      <c r="Q223" s="145">
        <v>113</v>
      </c>
      <c r="R223" s="145">
        <v>2.4300000000000002</v>
      </c>
      <c r="S223" s="145">
        <v>20</v>
      </c>
      <c r="T223" s="145">
        <v>356</v>
      </c>
      <c r="U223" s="145">
        <v>0.44</v>
      </c>
      <c r="V223" s="145">
        <v>1.1000000000000001</v>
      </c>
      <c r="W223" s="145" t="s">
        <v>400</v>
      </c>
      <c r="X223" s="145">
        <v>7.0000000000000007E-2</v>
      </c>
      <c r="Y223" s="145">
        <v>0.02</v>
      </c>
      <c r="Z223" s="145">
        <v>0.05</v>
      </c>
      <c r="AA223" s="145">
        <v>0.54</v>
      </c>
      <c r="AB223" s="145">
        <v>3.3</v>
      </c>
      <c r="AC223" s="145">
        <v>1.19</v>
      </c>
      <c r="AD223" s="145" t="s">
        <v>400</v>
      </c>
      <c r="AE223" s="145">
        <v>26</v>
      </c>
      <c r="AF223" s="145" t="s">
        <v>400</v>
      </c>
      <c r="AG223" s="145" t="s">
        <v>400</v>
      </c>
      <c r="AH223" s="145" t="s">
        <v>400</v>
      </c>
      <c r="AI223" s="145" t="s">
        <v>400</v>
      </c>
      <c r="AJ223" s="145">
        <v>10.1</v>
      </c>
      <c r="AK223" s="145" t="s">
        <v>400</v>
      </c>
      <c r="AL223" s="145">
        <v>3.5</v>
      </c>
      <c r="AM223" s="145" t="s">
        <v>400</v>
      </c>
    </row>
    <row r="224" spans="1:39">
      <c r="A224" s="143" t="s">
        <v>1283</v>
      </c>
      <c r="B224" s="144">
        <v>100</v>
      </c>
      <c r="C224" s="145">
        <v>131</v>
      </c>
      <c r="D224" s="145">
        <v>2</v>
      </c>
      <c r="E224" s="145">
        <v>1.38</v>
      </c>
      <c r="F224" s="145">
        <v>0.26</v>
      </c>
      <c r="G224" s="145">
        <v>0.47599999999999998</v>
      </c>
      <c r="H224" s="145">
        <v>0.54500000000000004</v>
      </c>
      <c r="I224" s="145">
        <v>0.48699999999999999</v>
      </c>
      <c r="J224" s="145">
        <v>5.8000000000000003E-2</v>
      </c>
      <c r="K224" s="145" t="s">
        <v>400</v>
      </c>
      <c r="L224" s="145">
        <v>27.76</v>
      </c>
      <c r="M224" s="145">
        <v>4.1399999999999997</v>
      </c>
      <c r="N224" s="145">
        <v>46</v>
      </c>
      <c r="O224" s="145">
        <v>54</v>
      </c>
      <c r="P224" s="145">
        <v>0.85399999999999998</v>
      </c>
      <c r="Q224" s="145">
        <v>99</v>
      </c>
      <c r="R224" s="145">
        <v>1.73</v>
      </c>
      <c r="S224" s="145">
        <v>27</v>
      </c>
      <c r="T224" s="145">
        <v>715</v>
      </c>
      <c r="U224" s="145">
        <v>0.47199999999999998</v>
      </c>
      <c r="V224" s="145">
        <v>0.25</v>
      </c>
      <c r="W224" s="145" t="s">
        <v>400</v>
      </c>
      <c r="X224" s="145">
        <v>0.14799999999999999</v>
      </c>
      <c r="Y224" s="145">
        <v>0.104</v>
      </c>
      <c r="Z224" s="146">
        <v>0.23300000000000001</v>
      </c>
      <c r="AA224" s="145">
        <v>0.73099999999999998</v>
      </c>
      <c r="AB224" s="145">
        <v>26.7</v>
      </c>
      <c r="AC224" s="145">
        <v>1.0980000000000001</v>
      </c>
      <c r="AD224" s="145" t="s">
        <v>400</v>
      </c>
      <c r="AE224" s="145">
        <v>38</v>
      </c>
      <c r="AF224" s="145" t="s">
        <v>400</v>
      </c>
      <c r="AG224" s="145">
        <v>0.17699999999999999</v>
      </c>
      <c r="AH224" s="145" t="s">
        <v>400</v>
      </c>
      <c r="AI224" s="145" t="s">
        <v>400</v>
      </c>
      <c r="AJ224" s="145">
        <v>0.64</v>
      </c>
      <c r="AK224" s="145" t="s">
        <v>400</v>
      </c>
      <c r="AL224" s="145">
        <v>4.1539999999999999</v>
      </c>
      <c r="AM224" s="145" t="s">
        <v>400</v>
      </c>
    </row>
    <row r="225" spans="1:39">
      <c r="A225" s="143" t="s">
        <v>1284</v>
      </c>
      <c r="B225" s="144">
        <v>100</v>
      </c>
      <c r="C225" s="147">
        <v>174.36990200000002</v>
      </c>
      <c r="D225" s="147">
        <v>2.9803666666666659</v>
      </c>
      <c r="E225" s="148">
        <v>0.747</v>
      </c>
      <c r="F225" s="149">
        <v>0.3</v>
      </c>
      <c r="G225" s="149">
        <v>0.1</v>
      </c>
      <c r="H225" s="149">
        <v>0.2</v>
      </c>
      <c r="I225" s="149">
        <v>0.22</v>
      </c>
      <c r="J225" s="149" t="s">
        <v>400</v>
      </c>
      <c r="K225" s="145" t="s">
        <v>400</v>
      </c>
      <c r="L225" s="150">
        <v>43.917633333333335</v>
      </c>
      <c r="M225" s="147">
        <v>15.6033333333333</v>
      </c>
      <c r="N225" s="147">
        <v>15.767333333333333</v>
      </c>
      <c r="O225" s="147">
        <v>52.974333333333334</v>
      </c>
      <c r="P225" s="147">
        <v>0.40933333333333333</v>
      </c>
      <c r="Q225" s="147">
        <v>165.84100000000001</v>
      </c>
      <c r="R225" s="147">
        <v>0.7553333333333333</v>
      </c>
      <c r="S225" s="147">
        <v>0.86266666666666669</v>
      </c>
      <c r="T225" s="147">
        <v>727.00633333333326</v>
      </c>
      <c r="U225" s="147">
        <v>0.18333333333333335</v>
      </c>
      <c r="V225" s="147">
        <v>0.82699999999999996</v>
      </c>
      <c r="W225" s="151" t="s">
        <v>400</v>
      </c>
      <c r="X225" s="150" t="s">
        <v>400</v>
      </c>
      <c r="Y225" s="150" t="s">
        <v>400</v>
      </c>
      <c r="Z225" s="150" t="s">
        <v>400</v>
      </c>
      <c r="AA225" s="150" t="s">
        <v>400</v>
      </c>
      <c r="AB225" s="147">
        <v>27.69</v>
      </c>
      <c r="AC225" s="145" t="s">
        <v>400</v>
      </c>
      <c r="AD225" s="145" t="s">
        <v>400</v>
      </c>
      <c r="AE225" s="145" t="s">
        <v>400</v>
      </c>
      <c r="AF225" s="145" t="s">
        <v>400</v>
      </c>
      <c r="AG225" s="145" t="s">
        <v>400</v>
      </c>
      <c r="AH225" s="145" t="s">
        <v>400</v>
      </c>
      <c r="AI225" s="145" t="s">
        <v>400</v>
      </c>
      <c r="AJ225" s="145" t="s">
        <v>400</v>
      </c>
      <c r="AK225" s="145" t="s">
        <v>400</v>
      </c>
      <c r="AL225" s="145" t="s">
        <v>400</v>
      </c>
      <c r="AM225" s="145" t="s">
        <v>400</v>
      </c>
    </row>
    <row r="226" spans="1:39">
      <c r="A226" s="143" t="s">
        <v>1285</v>
      </c>
      <c r="B226" s="144">
        <v>100</v>
      </c>
      <c r="C226" s="145">
        <v>578</v>
      </c>
      <c r="D226" s="145">
        <v>21.26</v>
      </c>
      <c r="E226" s="145">
        <v>50.64</v>
      </c>
      <c r="F226" s="145">
        <v>3.88</v>
      </c>
      <c r="G226" s="145">
        <v>32.159999999999997</v>
      </c>
      <c r="H226" s="145">
        <v>12.21</v>
      </c>
      <c r="I226" s="145">
        <v>12.21</v>
      </c>
      <c r="J226" s="145" t="s">
        <v>400</v>
      </c>
      <c r="K226" s="145" t="s">
        <v>400</v>
      </c>
      <c r="L226" s="145">
        <v>19.739999999999998</v>
      </c>
      <c r="M226" s="145">
        <v>11.8</v>
      </c>
      <c r="N226" s="145">
        <v>248</v>
      </c>
      <c r="O226" s="145">
        <v>275</v>
      </c>
      <c r="P226" s="145">
        <v>2.54</v>
      </c>
      <c r="Q226" s="145">
        <v>474</v>
      </c>
      <c r="R226" s="145">
        <v>4.3</v>
      </c>
      <c r="S226" s="145">
        <v>1</v>
      </c>
      <c r="T226" s="145">
        <v>728</v>
      </c>
      <c r="U226" s="145">
        <v>1.1100000000000001</v>
      </c>
      <c r="V226" s="145">
        <v>3.36</v>
      </c>
      <c r="W226" s="145" t="s">
        <v>400</v>
      </c>
      <c r="X226" s="145">
        <v>0.24</v>
      </c>
      <c r="Y226" s="145">
        <v>0.81</v>
      </c>
      <c r="Z226" s="145">
        <v>0.13</v>
      </c>
      <c r="AA226" s="145">
        <v>3.93</v>
      </c>
      <c r="AB226" s="145" t="s">
        <v>400</v>
      </c>
      <c r="AC226" s="145">
        <v>7.13</v>
      </c>
      <c r="AD226" s="145" t="s">
        <v>400</v>
      </c>
      <c r="AE226" s="145">
        <v>29</v>
      </c>
      <c r="AF226" s="145" t="s">
        <v>400</v>
      </c>
      <c r="AG226" s="145">
        <v>25.87</v>
      </c>
      <c r="AH226" s="145" t="s">
        <v>400</v>
      </c>
      <c r="AI226" s="145">
        <v>338</v>
      </c>
      <c r="AJ226" s="145">
        <v>2.8</v>
      </c>
      <c r="AK226" s="145">
        <v>0.25</v>
      </c>
      <c r="AL226" s="145">
        <v>4.8</v>
      </c>
      <c r="AM226" s="145" t="s">
        <v>400</v>
      </c>
    </row>
    <row r="227" spans="1:39">
      <c r="A227" s="143" t="s">
        <v>1286</v>
      </c>
      <c r="B227" s="144">
        <v>100</v>
      </c>
      <c r="C227" s="145">
        <v>628</v>
      </c>
      <c r="D227" s="145">
        <v>14.95</v>
      </c>
      <c r="E227" s="145">
        <v>60.75</v>
      </c>
      <c r="F227" s="145">
        <v>4.4640000000000004</v>
      </c>
      <c r="G227" s="145">
        <v>45.652000000000001</v>
      </c>
      <c r="H227" s="145">
        <v>7.92</v>
      </c>
      <c r="I227" s="145">
        <v>7.8330000000000002</v>
      </c>
      <c r="J227" s="145">
        <v>8.6999999999999994E-2</v>
      </c>
      <c r="K227" s="145" t="s">
        <v>400</v>
      </c>
      <c r="L227" s="145">
        <v>16.7</v>
      </c>
      <c r="M227" s="145">
        <v>9.6999999999999993</v>
      </c>
      <c r="N227" s="145">
        <v>114</v>
      </c>
      <c r="O227" s="145">
        <v>163</v>
      </c>
      <c r="P227" s="145">
        <v>6.1749999999999998</v>
      </c>
      <c r="Q227" s="145">
        <v>290</v>
      </c>
      <c r="R227" s="145">
        <v>4.7</v>
      </c>
      <c r="S227" s="145" t="s">
        <v>400</v>
      </c>
      <c r="T227" s="145">
        <v>680</v>
      </c>
      <c r="U227" s="145">
        <v>1.7250000000000001</v>
      </c>
      <c r="V227" s="145">
        <v>2.4500000000000002</v>
      </c>
      <c r="W227" s="145" t="s">
        <v>400</v>
      </c>
      <c r="X227" s="145">
        <v>0.64300000000000002</v>
      </c>
      <c r="Y227" s="145">
        <v>0.113</v>
      </c>
      <c r="Z227" s="146">
        <v>0.56299999999999994</v>
      </c>
      <c r="AA227" s="145">
        <v>1.8</v>
      </c>
      <c r="AB227" s="145">
        <v>6.3</v>
      </c>
      <c r="AC227" s="145">
        <v>5.0170000000000003</v>
      </c>
      <c r="AD227" s="145" t="s">
        <v>400</v>
      </c>
      <c r="AE227" s="145">
        <v>113</v>
      </c>
      <c r="AF227" s="145" t="s">
        <v>400</v>
      </c>
      <c r="AG227" s="145">
        <v>15.03</v>
      </c>
      <c r="AH227" s="145" t="s">
        <v>400</v>
      </c>
      <c r="AI227" s="145" t="s">
        <v>400</v>
      </c>
      <c r="AJ227" s="145">
        <v>2.4</v>
      </c>
      <c r="AK227" s="145">
        <v>1.042</v>
      </c>
      <c r="AL227" s="145">
        <v>4.84</v>
      </c>
      <c r="AM227" s="145" t="s">
        <v>400</v>
      </c>
    </row>
    <row r="228" spans="1:39">
      <c r="A228" s="143" t="s">
        <v>1287</v>
      </c>
      <c r="B228" s="144">
        <v>100</v>
      </c>
      <c r="C228" s="145">
        <v>656</v>
      </c>
      <c r="D228" s="145">
        <v>14.32</v>
      </c>
      <c r="E228" s="145">
        <v>66.430000000000007</v>
      </c>
      <c r="F228" s="145">
        <v>15.14</v>
      </c>
      <c r="G228" s="145">
        <v>24.55</v>
      </c>
      <c r="H228" s="145">
        <v>20.58</v>
      </c>
      <c r="I228" s="145">
        <v>20.54</v>
      </c>
      <c r="J228" s="145">
        <v>0.04</v>
      </c>
      <c r="K228" s="145" t="s">
        <v>400</v>
      </c>
      <c r="L228" s="145">
        <v>12.27</v>
      </c>
      <c r="M228" s="145">
        <v>7.5</v>
      </c>
      <c r="N228" s="145">
        <v>160</v>
      </c>
      <c r="O228" s="145">
        <v>376</v>
      </c>
      <c r="P228" s="145">
        <v>1.22</v>
      </c>
      <c r="Q228" s="145">
        <v>725</v>
      </c>
      <c r="R228" s="145">
        <v>2.4300000000000002</v>
      </c>
      <c r="S228" s="145">
        <v>3</v>
      </c>
      <c r="T228" s="145">
        <v>659</v>
      </c>
      <c r="U228" s="145">
        <v>1.74</v>
      </c>
      <c r="V228" s="145">
        <v>4.0599999999999996</v>
      </c>
      <c r="W228" s="145" t="s">
        <v>400</v>
      </c>
      <c r="X228" s="145">
        <v>0.62</v>
      </c>
      <c r="Y228" s="145">
        <v>0.04</v>
      </c>
      <c r="Z228" s="145">
        <v>0.1</v>
      </c>
      <c r="AA228" s="145">
        <v>0.3</v>
      </c>
      <c r="AB228" s="145">
        <v>0.7</v>
      </c>
      <c r="AC228" s="145">
        <v>2.65</v>
      </c>
      <c r="AD228" s="145" t="s">
        <v>400</v>
      </c>
      <c r="AE228" s="145">
        <v>22</v>
      </c>
      <c r="AF228" s="145" t="s">
        <v>400</v>
      </c>
      <c r="AG228" s="145">
        <v>5.73</v>
      </c>
      <c r="AH228" s="145" t="s">
        <v>400</v>
      </c>
      <c r="AI228" s="145">
        <v>854</v>
      </c>
      <c r="AJ228" s="145">
        <v>1917</v>
      </c>
      <c r="AK228" s="145" t="s">
        <v>400</v>
      </c>
      <c r="AL228" s="145">
        <v>2.33</v>
      </c>
      <c r="AM228" s="145" t="s">
        <v>400</v>
      </c>
    </row>
    <row r="229" spans="1:39">
      <c r="A229" s="143" t="s">
        <v>1288</v>
      </c>
      <c r="B229" s="144">
        <v>100</v>
      </c>
      <c r="C229" s="145">
        <v>574</v>
      </c>
      <c r="D229" s="145">
        <v>15.31</v>
      </c>
      <c r="E229" s="145">
        <v>46.35</v>
      </c>
      <c r="F229" s="145">
        <v>9.16</v>
      </c>
      <c r="G229" s="145">
        <v>27.32</v>
      </c>
      <c r="H229" s="145">
        <v>7.84</v>
      </c>
      <c r="I229" s="145">
        <v>7.66</v>
      </c>
      <c r="J229" s="145">
        <v>0.16</v>
      </c>
      <c r="K229" s="145" t="s">
        <v>400</v>
      </c>
      <c r="L229" s="145">
        <v>32.69</v>
      </c>
      <c r="M229" s="145">
        <v>3</v>
      </c>
      <c r="N229" s="145">
        <v>45</v>
      </c>
      <c r="O229" s="145">
        <v>260</v>
      </c>
      <c r="P229" s="145">
        <v>0.83</v>
      </c>
      <c r="Q229" s="145">
        <v>490</v>
      </c>
      <c r="R229" s="145">
        <v>6</v>
      </c>
      <c r="S229" s="145">
        <v>16</v>
      </c>
      <c r="T229" s="145">
        <v>565</v>
      </c>
      <c r="U229" s="145">
        <v>2.2200000000000002</v>
      </c>
      <c r="V229" s="145">
        <v>5.6</v>
      </c>
      <c r="W229" s="145" t="s">
        <v>400</v>
      </c>
      <c r="X229" s="145">
        <v>0.2</v>
      </c>
      <c r="Y229" s="145">
        <v>0.2</v>
      </c>
      <c r="Z229" s="145">
        <v>0.26</v>
      </c>
      <c r="AA229" s="145">
        <v>1.4</v>
      </c>
      <c r="AB229" s="145" t="s">
        <v>400</v>
      </c>
      <c r="AC229" s="145">
        <v>5.35</v>
      </c>
      <c r="AD229" s="145" t="s">
        <v>400</v>
      </c>
      <c r="AE229" s="145">
        <v>69</v>
      </c>
      <c r="AF229" s="145" t="s">
        <v>400</v>
      </c>
      <c r="AG229" s="145">
        <v>0.92</v>
      </c>
      <c r="AH229" s="145" t="s">
        <v>400</v>
      </c>
      <c r="AI229" s="145">
        <v>624</v>
      </c>
      <c r="AJ229" s="145">
        <v>11.7</v>
      </c>
      <c r="AK229" s="145" t="s">
        <v>400</v>
      </c>
      <c r="AL229" s="145">
        <v>6.2</v>
      </c>
      <c r="AM229" s="145" t="s">
        <v>400</v>
      </c>
    </row>
    <row r="230" spans="1:39">
      <c r="A230" s="143" t="s">
        <v>1289</v>
      </c>
      <c r="B230" s="144">
        <v>100</v>
      </c>
      <c r="C230" s="145">
        <v>105</v>
      </c>
      <c r="D230" s="145">
        <v>1.9</v>
      </c>
      <c r="E230" s="145">
        <v>2</v>
      </c>
      <c r="F230" s="145" t="s">
        <v>400</v>
      </c>
      <c r="G230" s="145" t="s">
        <v>400</v>
      </c>
      <c r="H230" s="145" t="s">
        <v>400</v>
      </c>
      <c r="I230" s="145" t="s">
        <v>400</v>
      </c>
      <c r="J230" s="145" t="s">
        <v>400</v>
      </c>
      <c r="K230" s="145" t="s">
        <v>400</v>
      </c>
      <c r="L230" s="145">
        <v>22.8</v>
      </c>
      <c r="M230" s="145">
        <v>7.4</v>
      </c>
      <c r="N230" s="145">
        <v>20</v>
      </c>
      <c r="O230" s="145" t="s">
        <v>400</v>
      </c>
      <c r="P230" s="145" t="s">
        <v>400</v>
      </c>
      <c r="Q230" s="145">
        <v>36</v>
      </c>
      <c r="R230" s="145">
        <v>2.2000000000000002</v>
      </c>
      <c r="S230" s="145" t="s">
        <v>400</v>
      </c>
      <c r="T230" s="145" t="s">
        <v>400</v>
      </c>
      <c r="U230" s="145" t="s">
        <v>400</v>
      </c>
      <c r="V230" s="145" t="s">
        <v>400</v>
      </c>
      <c r="W230" s="145">
        <v>30</v>
      </c>
      <c r="X230" s="145">
        <v>0.04</v>
      </c>
      <c r="Y230" s="145">
        <v>0.04</v>
      </c>
      <c r="Z230" s="146" t="s">
        <v>400</v>
      </c>
      <c r="AA230" s="145">
        <v>0.5</v>
      </c>
      <c r="AB230" s="145">
        <v>33</v>
      </c>
      <c r="AC230" s="145" t="s">
        <v>400</v>
      </c>
      <c r="AD230" s="145" t="s">
        <v>400</v>
      </c>
      <c r="AE230" s="145" t="s">
        <v>400</v>
      </c>
      <c r="AF230" s="145" t="s">
        <v>400</v>
      </c>
      <c r="AG230" s="145" t="s">
        <v>400</v>
      </c>
      <c r="AH230" s="145" t="s">
        <v>400</v>
      </c>
      <c r="AI230" s="146" t="s">
        <v>400</v>
      </c>
      <c r="AJ230" s="145" t="s">
        <v>400</v>
      </c>
      <c r="AK230" s="145" t="s">
        <v>400</v>
      </c>
      <c r="AL230" s="145" t="s">
        <v>400</v>
      </c>
      <c r="AM230" s="145" t="s">
        <v>400</v>
      </c>
    </row>
    <row r="231" spans="1:39">
      <c r="A231" s="143" t="s">
        <v>1290</v>
      </c>
      <c r="B231" s="144">
        <v>100</v>
      </c>
      <c r="C231" s="145">
        <v>474</v>
      </c>
      <c r="D231" s="145">
        <v>5.5</v>
      </c>
      <c r="E231" s="145">
        <v>47.2</v>
      </c>
      <c r="F231" s="145" t="s">
        <v>400</v>
      </c>
      <c r="G231" s="145" t="s">
        <v>400</v>
      </c>
      <c r="H231" s="145" t="s">
        <v>400</v>
      </c>
      <c r="I231" s="145" t="s">
        <v>400</v>
      </c>
      <c r="J231" s="145" t="s">
        <v>400</v>
      </c>
      <c r="K231" s="145" t="s">
        <v>400</v>
      </c>
      <c r="L231" s="145">
        <v>6.8</v>
      </c>
      <c r="M231" s="145">
        <v>19.2</v>
      </c>
      <c r="N231" s="145" t="s">
        <v>400</v>
      </c>
      <c r="O231" s="145" t="s">
        <v>400</v>
      </c>
      <c r="P231" s="145" t="s">
        <v>400</v>
      </c>
      <c r="Q231" s="145" t="s">
        <v>400</v>
      </c>
      <c r="R231" s="145" t="s">
        <v>400</v>
      </c>
      <c r="S231" s="145" t="s">
        <v>400</v>
      </c>
      <c r="T231" s="145" t="s">
        <v>400</v>
      </c>
      <c r="U231" s="145" t="s">
        <v>400</v>
      </c>
      <c r="V231" s="145" t="s">
        <v>400</v>
      </c>
      <c r="W231" s="145">
        <v>5170</v>
      </c>
      <c r="X231" s="145" t="s">
        <v>400</v>
      </c>
      <c r="Y231" s="145" t="s">
        <v>400</v>
      </c>
      <c r="Z231" s="146" t="s">
        <v>400</v>
      </c>
      <c r="AA231" s="145" t="s">
        <v>400</v>
      </c>
      <c r="AB231" s="145" t="s">
        <v>400</v>
      </c>
      <c r="AC231" s="145" t="s">
        <v>400</v>
      </c>
      <c r="AD231" s="145" t="s">
        <v>400</v>
      </c>
      <c r="AE231" s="145" t="s">
        <v>400</v>
      </c>
      <c r="AF231" s="145" t="s">
        <v>400</v>
      </c>
      <c r="AG231" s="145" t="s">
        <v>400</v>
      </c>
      <c r="AH231" s="145" t="s">
        <v>400</v>
      </c>
      <c r="AI231" s="145" t="s">
        <v>400</v>
      </c>
      <c r="AJ231" s="145" t="s">
        <v>400</v>
      </c>
      <c r="AK231" s="145" t="s">
        <v>400</v>
      </c>
      <c r="AL231" s="145" t="s">
        <v>400</v>
      </c>
      <c r="AM231" s="145" t="s">
        <v>400</v>
      </c>
    </row>
    <row r="232" spans="1:39">
      <c r="A232" s="143" t="s">
        <v>1291</v>
      </c>
      <c r="B232" s="144">
        <v>100</v>
      </c>
      <c r="C232" s="147">
        <v>404.28187666666668</v>
      </c>
      <c r="D232" s="147">
        <v>2.0828999999999995</v>
      </c>
      <c r="E232" s="148">
        <v>40.656666666666666</v>
      </c>
      <c r="F232" s="149">
        <v>7.1</v>
      </c>
      <c r="G232" s="149">
        <v>25.3</v>
      </c>
      <c r="H232" s="149">
        <v>6.5</v>
      </c>
      <c r="I232" s="149">
        <v>6.18</v>
      </c>
      <c r="J232" s="149">
        <v>0.3</v>
      </c>
      <c r="K232" s="145" t="s">
        <v>400</v>
      </c>
      <c r="L232" s="150">
        <v>13.945433333333337</v>
      </c>
      <c r="M232" s="147">
        <v>13.4435</v>
      </c>
      <c r="N232" s="152">
        <v>66.532333333333341</v>
      </c>
      <c r="O232" s="147">
        <v>66.053333333333327</v>
      </c>
      <c r="P232" s="147">
        <v>7.4999999999999997E-2</v>
      </c>
      <c r="Q232" s="147">
        <v>43.867666666666672</v>
      </c>
      <c r="R232" s="147">
        <v>0.80800000000000016</v>
      </c>
      <c r="S232" s="147">
        <v>0.65433333333333332</v>
      </c>
      <c r="T232" s="147">
        <v>305.81300000000005</v>
      </c>
      <c r="U232" s="147">
        <v>0.35299999999999998</v>
      </c>
      <c r="V232" s="147">
        <v>0.66433333333333333</v>
      </c>
      <c r="W232" s="151" t="s">
        <v>400</v>
      </c>
      <c r="X232" s="147">
        <v>0.11333333333333333</v>
      </c>
      <c r="Y232" s="147">
        <v>0.11333333333333333</v>
      </c>
      <c r="Z232" s="147">
        <v>0.03</v>
      </c>
      <c r="AA232" s="153" t="s">
        <v>400</v>
      </c>
      <c r="AB232" s="147">
        <v>13.4435</v>
      </c>
      <c r="AC232" s="145" t="s">
        <v>400</v>
      </c>
      <c r="AD232" s="145" t="s">
        <v>400</v>
      </c>
      <c r="AE232" s="145" t="s">
        <v>400</v>
      </c>
      <c r="AF232" s="145" t="s">
        <v>400</v>
      </c>
      <c r="AG232" s="145" t="s">
        <v>400</v>
      </c>
      <c r="AH232" s="145" t="s">
        <v>400</v>
      </c>
      <c r="AI232" s="145" t="s">
        <v>400</v>
      </c>
      <c r="AJ232" s="145" t="s">
        <v>400</v>
      </c>
      <c r="AK232" s="145">
        <v>510</v>
      </c>
      <c r="AL232" s="145" t="s">
        <v>400</v>
      </c>
      <c r="AM232" s="145" t="s">
        <v>400</v>
      </c>
    </row>
    <row r="233" spans="1:39">
      <c r="A233" s="143" t="s">
        <v>1292</v>
      </c>
      <c r="B233" s="144">
        <v>100</v>
      </c>
      <c r="C233" s="145">
        <v>654</v>
      </c>
      <c r="D233" s="145">
        <v>15.23</v>
      </c>
      <c r="E233" s="145">
        <v>65.209999999999994</v>
      </c>
      <c r="F233" s="145">
        <v>6.13</v>
      </c>
      <c r="G233" s="145">
        <v>8.93</v>
      </c>
      <c r="H233" s="145">
        <v>47.17</v>
      </c>
      <c r="I233" s="145">
        <v>38.090000000000003</v>
      </c>
      <c r="J233" s="145">
        <v>9.08</v>
      </c>
      <c r="K233" s="145" t="s">
        <v>400</v>
      </c>
      <c r="L233" s="145">
        <v>13.71</v>
      </c>
      <c r="M233" s="145">
        <v>6.7</v>
      </c>
      <c r="N233" s="145">
        <v>98</v>
      </c>
      <c r="O233" s="145">
        <v>158</v>
      </c>
      <c r="P233" s="145">
        <v>3.41</v>
      </c>
      <c r="Q233" s="145">
        <v>346</v>
      </c>
      <c r="R233" s="145">
        <v>2.91</v>
      </c>
      <c r="S233" s="145">
        <v>2</v>
      </c>
      <c r="T233" s="145">
        <v>441</v>
      </c>
      <c r="U233" s="145">
        <v>1.59</v>
      </c>
      <c r="V233" s="145">
        <v>3.09</v>
      </c>
      <c r="W233" s="145" t="s">
        <v>400</v>
      </c>
      <c r="X233" s="145">
        <v>0.34</v>
      </c>
      <c r="Y233" s="145">
        <v>0.15</v>
      </c>
      <c r="Z233" s="145">
        <v>0.54</v>
      </c>
      <c r="AA233" s="145">
        <v>1.1299999999999999</v>
      </c>
      <c r="AB233" s="145">
        <v>1.3</v>
      </c>
      <c r="AC233" s="145">
        <v>3.96</v>
      </c>
      <c r="AD233" s="145" t="s">
        <v>400</v>
      </c>
      <c r="AE233" s="145">
        <v>98</v>
      </c>
      <c r="AF233" s="145" t="s">
        <v>400</v>
      </c>
      <c r="AG233" s="145">
        <v>0.7</v>
      </c>
      <c r="AH233" s="145" t="s">
        <v>400</v>
      </c>
      <c r="AI233" s="145" t="s">
        <v>400</v>
      </c>
      <c r="AJ233" s="145">
        <v>4.9000000000000004</v>
      </c>
      <c r="AK233" s="145">
        <v>1</v>
      </c>
      <c r="AL233" s="145">
        <v>2.6</v>
      </c>
      <c r="AM233" s="145" t="s">
        <v>400</v>
      </c>
    </row>
    <row r="234" spans="1:39">
      <c r="A234" s="143" t="s">
        <v>1293</v>
      </c>
      <c r="B234" s="144">
        <v>100</v>
      </c>
      <c r="C234" s="145">
        <v>262</v>
      </c>
      <c r="D234" s="145">
        <v>3.6</v>
      </c>
      <c r="E234" s="145">
        <v>2</v>
      </c>
      <c r="F234" s="145" t="s">
        <v>400</v>
      </c>
      <c r="G234" s="145" t="s">
        <v>400</v>
      </c>
      <c r="H234" s="145" t="s">
        <v>400</v>
      </c>
      <c r="I234" s="145" t="s">
        <v>400</v>
      </c>
      <c r="J234" s="145" t="s">
        <v>400</v>
      </c>
      <c r="K234" s="145" t="s">
        <v>400</v>
      </c>
      <c r="L234" s="145">
        <v>57.4</v>
      </c>
      <c r="M234" s="145">
        <v>5.92</v>
      </c>
      <c r="N234" s="145">
        <v>118</v>
      </c>
      <c r="O234" s="145" t="s">
        <v>400</v>
      </c>
      <c r="P234" s="145" t="s">
        <v>400</v>
      </c>
      <c r="Q234" s="145">
        <v>58</v>
      </c>
      <c r="R234" s="145">
        <v>1.0900000000000001</v>
      </c>
      <c r="S234" s="145" t="s">
        <v>400</v>
      </c>
      <c r="T234" s="145" t="s">
        <v>400</v>
      </c>
      <c r="U234" s="145" t="s">
        <v>400</v>
      </c>
      <c r="V234" s="145" t="s">
        <v>400</v>
      </c>
      <c r="W234" s="145">
        <v>11.8</v>
      </c>
      <c r="X234" s="145">
        <v>0.36</v>
      </c>
      <c r="Y234" s="145">
        <v>0.01</v>
      </c>
      <c r="Z234" s="146" t="s">
        <v>400</v>
      </c>
      <c r="AA234" s="145">
        <v>0.4</v>
      </c>
      <c r="AB234" s="145">
        <v>9</v>
      </c>
      <c r="AC234" s="145" t="s">
        <v>400</v>
      </c>
      <c r="AD234" s="145" t="s">
        <v>400</v>
      </c>
      <c r="AE234" s="145" t="s">
        <v>400</v>
      </c>
      <c r="AF234" s="145" t="s">
        <v>400</v>
      </c>
      <c r="AG234" s="145" t="s">
        <v>400</v>
      </c>
      <c r="AH234" s="145" t="s">
        <v>400</v>
      </c>
      <c r="AI234" s="145" t="s">
        <v>400</v>
      </c>
      <c r="AJ234" s="145" t="s">
        <v>400</v>
      </c>
      <c r="AK234" s="145" t="s">
        <v>400</v>
      </c>
      <c r="AL234" s="145" t="s">
        <v>400</v>
      </c>
      <c r="AM234" s="145" t="s">
        <v>400</v>
      </c>
    </row>
    <row r="235" spans="1:39">
      <c r="A235" s="143" t="s">
        <v>1294</v>
      </c>
      <c r="B235" s="144">
        <v>100</v>
      </c>
      <c r="C235" s="145">
        <v>262</v>
      </c>
      <c r="D235" s="145">
        <v>3.6</v>
      </c>
      <c r="E235" s="145">
        <v>2</v>
      </c>
      <c r="F235" s="145" t="s">
        <v>400</v>
      </c>
      <c r="G235" s="145" t="s">
        <v>400</v>
      </c>
      <c r="H235" s="145" t="s">
        <v>400</v>
      </c>
      <c r="I235" s="145" t="s">
        <v>400</v>
      </c>
      <c r="J235" s="145" t="s">
        <v>400</v>
      </c>
      <c r="K235" s="145" t="s">
        <v>400</v>
      </c>
      <c r="L235" s="145">
        <v>57.4</v>
      </c>
      <c r="M235" s="145">
        <v>5.92</v>
      </c>
      <c r="N235" s="145">
        <v>118</v>
      </c>
      <c r="O235" s="145" t="s">
        <v>400</v>
      </c>
      <c r="P235" s="145" t="s">
        <v>400</v>
      </c>
      <c r="Q235" s="145">
        <v>58</v>
      </c>
      <c r="R235" s="145">
        <v>1.0900000000000001</v>
      </c>
      <c r="S235" s="145" t="s">
        <v>400</v>
      </c>
      <c r="T235" s="145" t="s">
        <v>400</v>
      </c>
      <c r="U235" s="145" t="s">
        <v>400</v>
      </c>
      <c r="V235" s="145" t="s">
        <v>400</v>
      </c>
      <c r="W235" s="145">
        <v>11.8</v>
      </c>
      <c r="X235" s="145">
        <v>0.36</v>
      </c>
      <c r="Y235" s="145">
        <v>0.01</v>
      </c>
      <c r="Z235" s="146" t="s">
        <v>400</v>
      </c>
      <c r="AA235" s="145">
        <v>0.4</v>
      </c>
      <c r="AB235" s="145">
        <v>9</v>
      </c>
      <c r="AC235" s="145" t="s">
        <v>400</v>
      </c>
      <c r="AD235" s="145" t="s">
        <v>400</v>
      </c>
      <c r="AE235" s="145" t="s">
        <v>400</v>
      </c>
      <c r="AF235" s="145" t="s">
        <v>400</v>
      </c>
      <c r="AG235" s="145" t="s">
        <v>400</v>
      </c>
      <c r="AH235" s="145" t="s">
        <v>400</v>
      </c>
      <c r="AI235" s="145" t="s">
        <v>400</v>
      </c>
      <c r="AJ235" s="145" t="s">
        <v>400</v>
      </c>
      <c r="AK235" s="145" t="s">
        <v>400</v>
      </c>
      <c r="AL235" s="145" t="s">
        <v>400</v>
      </c>
      <c r="AM235" s="145" t="s">
        <v>400</v>
      </c>
    </row>
    <row r="236" spans="1:39">
      <c r="A236" s="143" t="s">
        <v>1295</v>
      </c>
      <c r="B236" s="144">
        <v>100</v>
      </c>
      <c r="C236" s="145">
        <v>262</v>
      </c>
      <c r="D236" s="145">
        <v>3.6</v>
      </c>
      <c r="E236" s="145">
        <v>2</v>
      </c>
      <c r="F236" s="145" t="s">
        <v>400</v>
      </c>
      <c r="G236" s="145" t="s">
        <v>400</v>
      </c>
      <c r="H236" s="145" t="s">
        <v>400</v>
      </c>
      <c r="I236" s="145" t="s">
        <v>400</v>
      </c>
      <c r="J236" s="145" t="s">
        <v>400</v>
      </c>
      <c r="K236" s="145" t="s">
        <v>400</v>
      </c>
      <c r="L236" s="145">
        <v>57.4</v>
      </c>
      <c r="M236" s="145">
        <v>5.92</v>
      </c>
      <c r="N236" s="145">
        <v>118</v>
      </c>
      <c r="O236" s="145" t="s">
        <v>400</v>
      </c>
      <c r="P236" s="145" t="s">
        <v>400</v>
      </c>
      <c r="Q236" s="145">
        <v>58</v>
      </c>
      <c r="R236" s="145">
        <v>1.0900000000000001</v>
      </c>
      <c r="S236" s="145" t="s">
        <v>400</v>
      </c>
      <c r="T236" s="145" t="s">
        <v>400</v>
      </c>
      <c r="U236" s="145" t="s">
        <v>400</v>
      </c>
      <c r="V236" s="145" t="s">
        <v>400</v>
      </c>
      <c r="W236" s="145">
        <v>11.8</v>
      </c>
      <c r="X236" s="145">
        <v>0.36</v>
      </c>
      <c r="Y236" s="145">
        <v>0.01</v>
      </c>
      <c r="Z236" s="146" t="s">
        <v>400</v>
      </c>
      <c r="AA236" s="145">
        <v>0.4</v>
      </c>
      <c r="AB236" s="145">
        <v>9</v>
      </c>
      <c r="AC236" s="145" t="s">
        <v>400</v>
      </c>
      <c r="AD236" s="145" t="s">
        <v>400</v>
      </c>
      <c r="AE236" s="145" t="s">
        <v>400</v>
      </c>
      <c r="AF236" s="145" t="s">
        <v>400</v>
      </c>
      <c r="AG236" s="145" t="s">
        <v>400</v>
      </c>
      <c r="AH236" s="145" t="s">
        <v>400</v>
      </c>
      <c r="AI236" s="145" t="s">
        <v>400</v>
      </c>
      <c r="AJ236" s="145" t="s">
        <v>400</v>
      </c>
      <c r="AK236" s="145" t="s">
        <v>400</v>
      </c>
      <c r="AL236" s="145" t="s">
        <v>400</v>
      </c>
      <c r="AM236" s="145" t="s">
        <v>400</v>
      </c>
    </row>
    <row r="237" spans="1:39">
      <c r="A237" s="143" t="s">
        <v>1296</v>
      </c>
      <c r="B237" s="144">
        <v>100</v>
      </c>
      <c r="C237" s="145">
        <v>262</v>
      </c>
      <c r="D237" s="145">
        <v>3.6</v>
      </c>
      <c r="E237" s="145">
        <v>2</v>
      </c>
      <c r="F237" s="145" t="s">
        <v>400</v>
      </c>
      <c r="G237" s="145" t="s">
        <v>400</v>
      </c>
      <c r="H237" s="145" t="s">
        <v>400</v>
      </c>
      <c r="I237" s="145" t="s">
        <v>400</v>
      </c>
      <c r="J237" s="145" t="s">
        <v>400</v>
      </c>
      <c r="K237" s="145" t="s">
        <v>400</v>
      </c>
      <c r="L237" s="145">
        <v>57.4</v>
      </c>
      <c r="M237" s="145">
        <v>5.92</v>
      </c>
      <c r="N237" s="145">
        <v>118</v>
      </c>
      <c r="O237" s="145" t="s">
        <v>400</v>
      </c>
      <c r="P237" s="145" t="s">
        <v>400</v>
      </c>
      <c r="Q237" s="145">
        <v>58</v>
      </c>
      <c r="R237" s="145">
        <v>1.0900000000000001</v>
      </c>
      <c r="S237" s="145" t="s">
        <v>400</v>
      </c>
      <c r="T237" s="145" t="s">
        <v>400</v>
      </c>
      <c r="U237" s="145" t="s">
        <v>400</v>
      </c>
      <c r="V237" s="145" t="s">
        <v>400</v>
      </c>
      <c r="W237" s="145">
        <v>11.8</v>
      </c>
      <c r="X237" s="145">
        <v>0.36</v>
      </c>
      <c r="Y237" s="145">
        <v>0.01</v>
      </c>
      <c r="Z237" s="146" t="s">
        <v>400</v>
      </c>
      <c r="AA237" s="145">
        <v>0.4</v>
      </c>
      <c r="AB237" s="145">
        <v>9</v>
      </c>
      <c r="AC237" s="145" t="s">
        <v>400</v>
      </c>
      <c r="AD237" s="145" t="s">
        <v>400</v>
      </c>
      <c r="AE237" s="145" t="s">
        <v>400</v>
      </c>
      <c r="AF237" s="145" t="s">
        <v>400</v>
      </c>
      <c r="AG237" s="145" t="s">
        <v>400</v>
      </c>
      <c r="AH237" s="145" t="s">
        <v>400</v>
      </c>
      <c r="AI237" s="145" t="s">
        <v>400</v>
      </c>
      <c r="AJ237" s="145" t="s">
        <v>400</v>
      </c>
      <c r="AK237" s="145" t="s">
        <v>400</v>
      </c>
      <c r="AL237" s="145" t="s">
        <v>400</v>
      </c>
      <c r="AM237" s="145" t="s">
        <v>400</v>
      </c>
    </row>
    <row r="238" spans="1:39">
      <c r="A238" s="143" t="s">
        <v>1297</v>
      </c>
      <c r="B238" s="144">
        <v>100</v>
      </c>
      <c r="C238" s="145">
        <v>28</v>
      </c>
      <c r="D238" s="145">
        <v>2.52</v>
      </c>
      <c r="E238" s="145">
        <v>0.62</v>
      </c>
      <c r="F238" s="145">
        <v>0.13</v>
      </c>
      <c r="G238" s="145">
        <v>0.1</v>
      </c>
      <c r="H238" s="145">
        <v>0.2</v>
      </c>
      <c r="I238" s="145">
        <v>0.18</v>
      </c>
      <c r="J238" s="145">
        <v>0.02</v>
      </c>
      <c r="K238" s="145" t="s">
        <v>400</v>
      </c>
      <c r="L238" s="145">
        <v>4.62</v>
      </c>
      <c r="M238" s="145">
        <v>2.4</v>
      </c>
      <c r="N238" s="145">
        <v>58</v>
      </c>
      <c r="O238" s="145">
        <v>38</v>
      </c>
      <c r="P238" s="145">
        <v>1.39</v>
      </c>
      <c r="Q238" s="145">
        <v>65</v>
      </c>
      <c r="R238" s="145">
        <v>3.13</v>
      </c>
      <c r="S238" s="145">
        <v>426</v>
      </c>
      <c r="T238" s="145">
        <v>177</v>
      </c>
      <c r="U238" s="145">
        <v>0.13</v>
      </c>
      <c r="V238" s="145">
        <v>1.1499999999999999</v>
      </c>
      <c r="W238" s="145" t="s">
        <v>400</v>
      </c>
      <c r="X238" s="145">
        <v>0.01</v>
      </c>
      <c r="Y238" s="145">
        <v>0.06</v>
      </c>
      <c r="Z238" s="145">
        <v>0.02</v>
      </c>
      <c r="AA238" s="145">
        <v>0.44</v>
      </c>
      <c r="AB238" s="145">
        <v>7.9</v>
      </c>
      <c r="AC238" s="145">
        <v>0.82</v>
      </c>
      <c r="AD238" s="145" t="s">
        <v>400</v>
      </c>
      <c r="AE238" s="145">
        <v>39</v>
      </c>
      <c r="AF238" s="145" t="s">
        <v>400</v>
      </c>
      <c r="AG238" s="145">
        <v>0.5</v>
      </c>
      <c r="AH238" s="145" t="s">
        <v>400</v>
      </c>
      <c r="AI238" s="145" t="s">
        <v>400</v>
      </c>
      <c r="AJ238" s="145">
        <v>0.7</v>
      </c>
      <c r="AK238" s="145" t="s">
        <v>400</v>
      </c>
      <c r="AL238" s="145" t="s">
        <v>400</v>
      </c>
      <c r="AM238" s="145" t="s">
        <v>400</v>
      </c>
    </row>
    <row r="239" spans="1:39">
      <c r="A239" s="143" t="s">
        <v>1298</v>
      </c>
      <c r="B239" s="144">
        <v>100</v>
      </c>
      <c r="C239" s="145">
        <v>212</v>
      </c>
      <c r="D239" s="145">
        <v>3.12</v>
      </c>
      <c r="E239" s="145">
        <v>19.8</v>
      </c>
      <c r="F239" s="145" t="s">
        <v>400</v>
      </c>
      <c r="G239" s="145" t="s">
        <v>400</v>
      </c>
      <c r="H239" s="145" t="s">
        <v>400</v>
      </c>
      <c r="I239" s="145" t="s">
        <v>400</v>
      </c>
      <c r="J239" s="145" t="s">
        <v>400</v>
      </c>
      <c r="K239" s="145" t="s">
        <v>400</v>
      </c>
      <c r="L239" s="145">
        <v>6.6</v>
      </c>
      <c r="M239" s="145" t="s">
        <v>400</v>
      </c>
      <c r="N239" s="145" t="s">
        <v>400</v>
      </c>
      <c r="O239" s="145" t="s">
        <v>400</v>
      </c>
      <c r="P239" s="145" t="s">
        <v>400</v>
      </c>
      <c r="Q239" s="145" t="s">
        <v>400</v>
      </c>
      <c r="R239" s="145" t="s">
        <v>400</v>
      </c>
      <c r="S239" s="145" t="s">
        <v>400</v>
      </c>
      <c r="T239" s="145" t="s">
        <v>400</v>
      </c>
      <c r="U239" s="145" t="s">
        <v>400</v>
      </c>
      <c r="V239" s="145" t="s">
        <v>400</v>
      </c>
      <c r="W239" s="145" t="s">
        <v>400</v>
      </c>
      <c r="X239" s="145" t="s">
        <v>400</v>
      </c>
      <c r="Y239" s="145" t="s">
        <v>400</v>
      </c>
      <c r="Z239" s="146" t="s">
        <v>400</v>
      </c>
      <c r="AA239" s="145" t="s">
        <v>400</v>
      </c>
      <c r="AB239" s="145" t="s">
        <v>400</v>
      </c>
      <c r="AC239" s="145" t="s">
        <v>400</v>
      </c>
      <c r="AD239" s="145" t="s">
        <v>400</v>
      </c>
      <c r="AE239" s="145" t="s">
        <v>400</v>
      </c>
      <c r="AF239" s="145" t="s">
        <v>400</v>
      </c>
      <c r="AG239" s="145" t="s">
        <v>400</v>
      </c>
      <c r="AH239" s="145" t="s">
        <v>400</v>
      </c>
      <c r="AI239" s="145" t="s">
        <v>400</v>
      </c>
      <c r="AJ239" s="145" t="s">
        <v>400</v>
      </c>
      <c r="AK239" s="145" t="s">
        <v>400</v>
      </c>
      <c r="AL239" s="145" t="s">
        <v>400</v>
      </c>
      <c r="AM239" s="145" t="s">
        <v>400</v>
      </c>
    </row>
    <row r="240" spans="1:39">
      <c r="A240" s="143" t="s">
        <v>1299</v>
      </c>
      <c r="B240" s="144">
        <v>100</v>
      </c>
      <c r="C240" s="145">
        <v>212</v>
      </c>
      <c r="D240" s="145">
        <v>3.12</v>
      </c>
      <c r="E240" s="145">
        <v>19.8</v>
      </c>
      <c r="F240" s="145" t="s">
        <v>400</v>
      </c>
      <c r="G240" s="145" t="s">
        <v>400</v>
      </c>
      <c r="H240" s="145" t="s">
        <v>400</v>
      </c>
      <c r="I240" s="145" t="s">
        <v>400</v>
      </c>
      <c r="J240" s="145" t="s">
        <v>400</v>
      </c>
      <c r="K240" s="145" t="s">
        <v>400</v>
      </c>
      <c r="L240" s="145">
        <v>6.6</v>
      </c>
      <c r="M240" s="145" t="s">
        <v>400</v>
      </c>
      <c r="N240" s="145" t="s">
        <v>400</v>
      </c>
      <c r="O240" s="145" t="s">
        <v>400</v>
      </c>
      <c r="P240" s="145" t="s">
        <v>400</v>
      </c>
      <c r="Q240" s="145" t="s">
        <v>400</v>
      </c>
      <c r="R240" s="145" t="s">
        <v>400</v>
      </c>
      <c r="S240" s="145" t="s">
        <v>400</v>
      </c>
      <c r="T240" s="145" t="s">
        <v>400</v>
      </c>
      <c r="U240" s="145" t="s">
        <v>400</v>
      </c>
      <c r="V240" s="145" t="s">
        <v>400</v>
      </c>
      <c r="W240" s="145" t="s">
        <v>400</v>
      </c>
      <c r="X240" s="145" t="s">
        <v>400</v>
      </c>
      <c r="Y240" s="145" t="s">
        <v>400</v>
      </c>
      <c r="Z240" s="146" t="s">
        <v>400</v>
      </c>
      <c r="AA240" s="145" t="s">
        <v>400</v>
      </c>
      <c r="AB240" s="145" t="s">
        <v>400</v>
      </c>
      <c r="AC240" s="145" t="s">
        <v>400</v>
      </c>
      <c r="AD240" s="145" t="s">
        <v>400</v>
      </c>
      <c r="AE240" s="145" t="s">
        <v>400</v>
      </c>
      <c r="AF240" s="145" t="s">
        <v>400</v>
      </c>
      <c r="AG240" s="145" t="s">
        <v>400</v>
      </c>
      <c r="AH240" s="145" t="s">
        <v>400</v>
      </c>
      <c r="AI240" s="145" t="s">
        <v>400</v>
      </c>
      <c r="AJ240" s="145" t="s">
        <v>400</v>
      </c>
      <c r="AK240" s="145" t="s">
        <v>400</v>
      </c>
      <c r="AL240" s="145" t="s">
        <v>400</v>
      </c>
      <c r="AM240" s="145" t="s">
        <v>400</v>
      </c>
    </row>
    <row r="241" spans="1:39">
      <c r="A241" s="143" t="s">
        <v>1300</v>
      </c>
      <c r="B241" s="144">
        <v>100</v>
      </c>
      <c r="C241" s="145">
        <v>656</v>
      </c>
      <c r="D241" s="145">
        <v>14.32</v>
      </c>
      <c r="E241" s="145">
        <v>66.430000000000007</v>
      </c>
      <c r="F241" s="145">
        <v>15.14</v>
      </c>
      <c r="G241" s="145">
        <v>24.55</v>
      </c>
      <c r="H241" s="145">
        <v>20.58</v>
      </c>
      <c r="I241" s="145">
        <v>20.54</v>
      </c>
      <c r="J241" s="145">
        <v>0.04</v>
      </c>
      <c r="K241" s="145" t="s">
        <v>400</v>
      </c>
      <c r="L241" s="145">
        <v>12.27</v>
      </c>
      <c r="M241" s="145">
        <v>7.5</v>
      </c>
      <c r="N241" s="145">
        <v>160</v>
      </c>
      <c r="O241" s="145">
        <v>376</v>
      </c>
      <c r="P241" s="145">
        <v>1.22</v>
      </c>
      <c r="Q241" s="145">
        <v>725</v>
      </c>
      <c r="R241" s="145">
        <v>2.4300000000000002</v>
      </c>
      <c r="S241" s="145">
        <v>3</v>
      </c>
      <c r="T241" s="145">
        <v>659</v>
      </c>
      <c r="U241" s="145">
        <v>1.74</v>
      </c>
      <c r="V241" s="145">
        <v>4.0599999999999996</v>
      </c>
      <c r="W241" s="145" t="s">
        <v>400</v>
      </c>
      <c r="X241" s="145">
        <v>0.62</v>
      </c>
      <c r="Y241" s="145">
        <v>0.04</v>
      </c>
      <c r="Z241" s="145">
        <v>0.1</v>
      </c>
      <c r="AA241" s="145">
        <v>0.3</v>
      </c>
      <c r="AB241" s="145">
        <v>0.7</v>
      </c>
      <c r="AC241" s="145">
        <v>2.65</v>
      </c>
      <c r="AD241" s="145" t="s">
        <v>400</v>
      </c>
      <c r="AE241" s="145">
        <v>22</v>
      </c>
      <c r="AF241" s="145" t="s">
        <v>400</v>
      </c>
      <c r="AG241" s="145">
        <v>5.73</v>
      </c>
      <c r="AH241" s="145" t="s">
        <v>400</v>
      </c>
      <c r="AI241" s="145" t="s">
        <v>400</v>
      </c>
      <c r="AJ241" s="145">
        <v>1917</v>
      </c>
      <c r="AK241" s="145" t="s">
        <v>400</v>
      </c>
      <c r="AL241" s="145">
        <v>2.33</v>
      </c>
      <c r="AM241" s="145" t="s">
        <v>400</v>
      </c>
    </row>
    <row r="242" spans="1:39">
      <c r="A242" s="143" t="s">
        <v>1301</v>
      </c>
      <c r="B242" s="144">
        <v>100</v>
      </c>
      <c r="C242" s="145">
        <v>557</v>
      </c>
      <c r="D242" s="145">
        <v>20.61</v>
      </c>
      <c r="E242" s="145">
        <v>44.44</v>
      </c>
      <c r="F242" s="145">
        <v>5.44</v>
      </c>
      <c r="G242" s="145">
        <v>23.318999999999999</v>
      </c>
      <c r="H242" s="145">
        <v>13.455</v>
      </c>
      <c r="I242" s="145">
        <v>13.201000000000001</v>
      </c>
      <c r="J242" s="145">
        <v>0.254</v>
      </c>
      <c r="K242" s="145" t="s">
        <v>400</v>
      </c>
      <c r="L242" s="145">
        <v>27.97</v>
      </c>
      <c r="M242" s="145">
        <v>10.3</v>
      </c>
      <c r="N242" s="145">
        <v>107</v>
      </c>
      <c r="O242" s="145">
        <v>121</v>
      </c>
      <c r="P242" s="145">
        <v>1.2</v>
      </c>
      <c r="Q242" s="145">
        <v>490</v>
      </c>
      <c r="R242" s="145">
        <v>4.1500000000000004</v>
      </c>
      <c r="S242" s="145">
        <v>1</v>
      </c>
      <c r="T242" s="145">
        <v>1025</v>
      </c>
      <c r="U242" s="145">
        <v>1.3</v>
      </c>
      <c r="V242" s="145">
        <v>2.2000000000000002</v>
      </c>
      <c r="W242" s="145" t="s">
        <v>400</v>
      </c>
      <c r="X242" s="145">
        <v>0.87</v>
      </c>
      <c r="Y242" s="145">
        <v>0.16</v>
      </c>
      <c r="Z242" s="146">
        <v>1.7</v>
      </c>
      <c r="AA242" s="145">
        <v>1.3</v>
      </c>
      <c r="AB242" s="145">
        <v>5</v>
      </c>
      <c r="AC242" s="145">
        <v>5.85</v>
      </c>
      <c r="AD242" s="145" t="s">
        <v>400</v>
      </c>
      <c r="AE242" s="145">
        <v>51</v>
      </c>
      <c r="AF242" s="145" t="s">
        <v>400</v>
      </c>
      <c r="AG242" s="145">
        <v>2.2999999999999998</v>
      </c>
      <c r="AH242" s="145" t="s">
        <v>400</v>
      </c>
      <c r="AI242" s="145" t="s">
        <v>400</v>
      </c>
      <c r="AJ242" s="145">
        <v>7</v>
      </c>
      <c r="AK242" s="145">
        <v>27.667000000000002</v>
      </c>
      <c r="AL242" s="145">
        <v>7.64</v>
      </c>
      <c r="AM242" s="145" t="s">
        <v>400</v>
      </c>
    </row>
    <row r="243" spans="1:39">
      <c r="A243" s="143" t="s">
        <v>1302</v>
      </c>
      <c r="B243" s="144">
        <v>100</v>
      </c>
      <c r="C243" s="145">
        <v>145</v>
      </c>
      <c r="D243" s="145">
        <v>1.8</v>
      </c>
      <c r="E243" s="145">
        <v>8.1</v>
      </c>
      <c r="F243" s="145" t="s">
        <v>400</v>
      </c>
      <c r="G243" s="145" t="s">
        <v>400</v>
      </c>
      <c r="H243" s="145" t="s">
        <v>400</v>
      </c>
      <c r="I243" s="145" t="s">
        <v>400</v>
      </c>
      <c r="J243" s="145" t="s">
        <v>400</v>
      </c>
      <c r="K243" s="145" t="s">
        <v>400</v>
      </c>
      <c r="L243" s="145">
        <v>10.199999999999999</v>
      </c>
      <c r="M243" s="145">
        <v>9.6</v>
      </c>
      <c r="N243" s="145">
        <v>156</v>
      </c>
      <c r="O243" s="145" t="s">
        <v>400</v>
      </c>
      <c r="P243" s="145" t="s">
        <v>400</v>
      </c>
      <c r="Q243" s="145">
        <v>54</v>
      </c>
      <c r="R243" s="145">
        <v>5</v>
      </c>
      <c r="S243" s="145" t="s">
        <v>400</v>
      </c>
      <c r="T243" s="145" t="s">
        <v>400</v>
      </c>
      <c r="U243" s="145" t="s">
        <v>400</v>
      </c>
      <c r="V243" s="145" t="s">
        <v>400</v>
      </c>
      <c r="W243" s="145">
        <v>4104</v>
      </c>
      <c r="X243" s="145">
        <v>0.03</v>
      </c>
      <c r="Y243" s="145">
        <v>0.23</v>
      </c>
      <c r="Z243" s="146" t="s">
        <v>400</v>
      </c>
      <c r="AA243" s="145">
        <v>0.7</v>
      </c>
      <c r="AB243" s="145">
        <v>26</v>
      </c>
      <c r="AC243" s="145" t="s">
        <v>400</v>
      </c>
      <c r="AD243" s="145" t="s">
        <v>400</v>
      </c>
      <c r="AE243" s="145" t="s">
        <v>400</v>
      </c>
      <c r="AF243" s="145" t="s">
        <v>400</v>
      </c>
      <c r="AG243" s="145" t="s">
        <v>400</v>
      </c>
      <c r="AH243" s="145" t="s">
        <v>400</v>
      </c>
      <c r="AI243" s="145" t="s">
        <v>400</v>
      </c>
      <c r="AJ243" s="145" t="s">
        <v>400</v>
      </c>
      <c r="AK243" s="145" t="s">
        <v>400</v>
      </c>
      <c r="AL243" s="145" t="s">
        <v>400</v>
      </c>
      <c r="AM243" s="145" t="s">
        <v>400</v>
      </c>
    </row>
    <row r="244" spans="1:39">
      <c r="A244" s="143" t="s">
        <v>1303</v>
      </c>
      <c r="B244" s="144">
        <v>100</v>
      </c>
      <c r="C244" s="145">
        <v>354</v>
      </c>
      <c r="D244" s="145">
        <v>3.33</v>
      </c>
      <c r="E244" s="145">
        <v>33.49</v>
      </c>
      <c r="F244" s="145">
        <v>29.7</v>
      </c>
      <c r="G244" s="145">
        <v>1.43</v>
      </c>
      <c r="H244" s="145">
        <v>0.37</v>
      </c>
      <c r="I244" s="145">
        <v>0.37</v>
      </c>
      <c r="J244" s="145" t="s">
        <v>400</v>
      </c>
      <c r="K244" s="145" t="s">
        <v>400</v>
      </c>
      <c r="L244" s="145">
        <v>15.23</v>
      </c>
      <c r="M244" s="145">
        <v>9</v>
      </c>
      <c r="N244" s="145">
        <v>14</v>
      </c>
      <c r="O244" s="145">
        <v>32</v>
      </c>
      <c r="P244" s="145">
        <v>1.5</v>
      </c>
      <c r="Q244" s="145">
        <v>113</v>
      </c>
      <c r="R244" s="145">
        <v>2.4300000000000002</v>
      </c>
      <c r="S244" s="145">
        <v>20</v>
      </c>
      <c r="T244" s="145">
        <v>356</v>
      </c>
      <c r="U244" s="145">
        <v>0.44</v>
      </c>
      <c r="V244" s="145">
        <v>1.1000000000000001</v>
      </c>
      <c r="W244" s="145" t="s">
        <v>400</v>
      </c>
      <c r="X244" s="145">
        <v>7.0000000000000007E-2</v>
      </c>
      <c r="Y244" s="145">
        <v>0.02</v>
      </c>
      <c r="Z244" s="145">
        <v>0.05</v>
      </c>
      <c r="AA244" s="145">
        <v>0.54</v>
      </c>
      <c r="AB244" s="145">
        <v>3.3</v>
      </c>
      <c r="AC244" s="145">
        <v>1.19</v>
      </c>
      <c r="AD244" s="145" t="s">
        <v>400</v>
      </c>
      <c r="AE244" s="145">
        <v>26</v>
      </c>
      <c r="AF244" s="145" t="s">
        <v>400</v>
      </c>
      <c r="AG244" s="145" t="s">
        <v>400</v>
      </c>
      <c r="AH244" s="145" t="s">
        <v>400</v>
      </c>
      <c r="AI244" s="145" t="s">
        <v>400</v>
      </c>
      <c r="AJ244" s="145">
        <v>10.1</v>
      </c>
      <c r="AK244" s="145" t="s">
        <v>400</v>
      </c>
      <c r="AL244" s="145">
        <v>3.5</v>
      </c>
      <c r="AM244" s="145" t="s">
        <v>400</v>
      </c>
    </row>
    <row r="245" spans="1:39">
      <c r="A245" s="143" t="s">
        <v>1304</v>
      </c>
      <c r="B245" s="144">
        <v>100</v>
      </c>
      <c r="C245" s="145">
        <v>105</v>
      </c>
      <c r="D245" s="145">
        <v>1.9</v>
      </c>
      <c r="E245" s="145">
        <v>2</v>
      </c>
      <c r="F245" s="145" t="s">
        <v>400</v>
      </c>
      <c r="G245" s="145" t="s">
        <v>400</v>
      </c>
      <c r="H245" s="145" t="s">
        <v>400</v>
      </c>
      <c r="I245" s="145" t="s">
        <v>400</v>
      </c>
      <c r="J245" s="145" t="s">
        <v>400</v>
      </c>
      <c r="K245" s="145" t="s">
        <v>400</v>
      </c>
      <c r="L245" s="145">
        <v>22.8</v>
      </c>
      <c r="M245" s="145">
        <v>7.4</v>
      </c>
      <c r="N245" s="145">
        <v>20</v>
      </c>
      <c r="O245" s="145" t="s">
        <v>400</v>
      </c>
      <c r="P245" s="145" t="s">
        <v>400</v>
      </c>
      <c r="Q245" s="145">
        <v>36</v>
      </c>
      <c r="R245" s="145">
        <v>2.2000000000000002</v>
      </c>
      <c r="S245" s="145" t="s">
        <v>400</v>
      </c>
      <c r="T245" s="145" t="s">
        <v>400</v>
      </c>
      <c r="U245" s="145" t="s">
        <v>400</v>
      </c>
      <c r="V245" s="145" t="s">
        <v>400</v>
      </c>
      <c r="W245" s="145">
        <v>30</v>
      </c>
      <c r="X245" s="145">
        <v>0.04</v>
      </c>
      <c r="Y245" s="145">
        <v>0.04</v>
      </c>
      <c r="Z245" s="146" t="s">
        <v>400</v>
      </c>
      <c r="AA245" s="145">
        <v>0.5</v>
      </c>
      <c r="AB245" s="145">
        <v>33</v>
      </c>
      <c r="AC245" s="145" t="s">
        <v>400</v>
      </c>
      <c r="AD245" s="145" t="s">
        <v>400</v>
      </c>
      <c r="AE245" s="145" t="s">
        <v>400</v>
      </c>
      <c r="AF245" s="145" t="s">
        <v>400</v>
      </c>
      <c r="AG245" s="145" t="s">
        <v>400</v>
      </c>
      <c r="AH245" s="145" t="s">
        <v>400</v>
      </c>
      <c r="AI245" s="146" t="s">
        <v>400</v>
      </c>
      <c r="AJ245" s="145" t="s">
        <v>400</v>
      </c>
      <c r="AK245" s="145" t="s">
        <v>400</v>
      </c>
      <c r="AL245" s="145" t="s">
        <v>400</v>
      </c>
      <c r="AM245" s="145" t="s">
        <v>400</v>
      </c>
    </row>
    <row r="246" spans="1:39">
      <c r="A246" s="143" t="s">
        <v>1305</v>
      </c>
      <c r="B246" s="144">
        <v>100</v>
      </c>
      <c r="C246" s="145">
        <v>15</v>
      </c>
      <c r="D246" s="145">
        <v>1.36</v>
      </c>
      <c r="E246" s="145">
        <v>0.15</v>
      </c>
      <c r="F246" s="145">
        <v>0.02</v>
      </c>
      <c r="G246" s="145">
        <v>0.01</v>
      </c>
      <c r="H246" s="145">
        <v>0.08</v>
      </c>
      <c r="I246" s="145">
        <v>0.02</v>
      </c>
      <c r="J246" s="145">
        <v>0.06</v>
      </c>
      <c r="K246" s="145" t="s">
        <v>400</v>
      </c>
      <c r="L246" s="145">
        <v>2.79</v>
      </c>
      <c r="M246" s="145">
        <v>1.3</v>
      </c>
      <c r="N246" s="145">
        <v>36</v>
      </c>
      <c r="O246" s="145">
        <v>13</v>
      </c>
      <c r="P246" s="145">
        <v>0.25</v>
      </c>
      <c r="Q246" s="145">
        <v>29</v>
      </c>
      <c r="R246" s="145">
        <v>0.86</v>
      </c>
      <c r="S246" s="145">
        <v>28</v>
      </c>
      <c r="T246" s="145">
        <v>194</v>
      </c>
      <c r="U246" s="145">
        <v>0.03</v>
      </c>
      <c r="V246" s="145">
        <v>0.18</v>
      </c>
      <c r="W246" s="145" t="s">
        <v>400</v>
      </c>
      <c r="X246" s="145">
        <v>7.0000000000000007E-2</v>
      </c>
      <c r="Y246" s="145">
        <v>0.08</v>
      </c>
      <c r="Z246" s="145">
        <v>0.09</v>
      </c>
      <c r="AA246" s="145">
        <v>0.38</v>
      </c>
      <c r="AB246" s="145">
        <v>18</v>
      </c>
      <c r="AC246" s="145">
        <v>0.53</v>
      </c>
      <c r="AD246" s="145" t="s">
        <v>400</v>
      </c>
      <c r="AE246" s="145">
        <v>38</v>
      </c>
      <c r="AF246" s="145" t="s">
        <v>400</v>
      </c>
      <c r="AG246" s="145">
        <v>0.31</v>
      </c>
      <c r="AH246" s="145" t="s">
        <v>400</v>
      </c>
      <c r="AI246" s="145" t="s">
        <v>400</v>
      </c>
      <c r="AJ246" s="145">
        <v>0.6</v>
      </c>
      <c r="AK246" s="145">
        <v>370.25</v>
      </c>
      <c r="AL246" s="145">
        <v>0.79</v>
      </c>
      <c r="AM246" s="145" t="s">
        <v>400</v>
      </c>
    </row>
    <row r="247" spans="1:39">
      <c r="A247" s="143" t="s">
        <v>1306</v>
      </c>
      <c r="B247" s="144">
        <v>100</v>
      </c>
      <c r="C247" s="145">
        <v>45.3</v>
      </c>
      <c r="D247" s="145">
        <v>2.97</v>
      </c>
      <c r="E247" s="145">
        <v>2.78</v>
      </c>
      <c r="F247" s="145">
        <v>0.41</v>
      </c>
      <c r="G247" s="145">
        <v>0.59</v>
      </c>
      <c r="H247" s="145">
        <v>1.57</v>
      </c>
      <c r="I247" s="145">
        <v>1.3</v>
      </c>
      <c r="J247" s="145">
        <v>0.26</v>
      </c>
      <c r="K247" s="145" t="s">
        <v>400</v>
      </c>
      <c r="L247" s="145">
        <v>3.75</v>
      </c>
      <c r="M247" s="145">
        <v>2.4</v>
      </c>
      <c r="N247" s="145">
        <v>136</v>
      </c>
      <c r="O247" s="145">
        <v>87</v>
      </c>
      <c r="P247" s="145">
        <v>0.94</v>
      </c>
      <c r="Q247" s="145">
        <v>56</v>
      </c>
      <c r="R247" s="145">
        <v>3.57</v>
      </c>
      <c r="S247" s="145">
        <v>70</v>
      </c>
      <c r="T247" s="145">
        <v>466</v>
      </c>
      <c r="U247" s="145">
        <v>0.17</v>
      </c>
      <c r="V247" s="145">
        <v>0.76</v>
      </c>
      <c r="W247" s="145" t="s">
        <v>400</v>
      </c>
      <c r="X247" s="145">
        <v>0.1</v>
      </c>
      <c r="Y247" s="145">
        <v>0.24</v>
      </c>
      <c r="Z247" s="145">
        <v>0.24</v>
      </c>
      <c r="AA247" s="145">
        <v>0.49</v>
      </c>
      <c r="AB247" s="145">
        <v>9.8000000000000007</v>
      </c>
      <c r="AC247" s="145">
        <v>1.1599999999999999</v>
      </c>
      <c r="AD247" s="145" t="s">
        <v>400</v>
      </c>
      <c r="AE247" s="145">
        <v>146</v>
      </c>
      <c r="AF247" s="145" t="s">
        <v>400</v>
      </c>
      <c r="AG247" s="145">
        <v>2.31</v>
      </c>
      <c r="AH247" s="145" t="s">
        <v>400</v>
      </c>
      <c r="AI247" s="145">
        <v>210</v>
      </c>
      <c r="AJ247" s="145">
        <v>2.66</v>
      </c>
      <c r="AK247" s="145">
        <v>524</v>
      </c>
      <c r="AL247" s="145">
        <v>0.89</v>
      </c>
      <c r="AM247" s="145" t="s">
        <v>400</v>
      </c>
    </row>
    <row r="248" spans="1:39">
      <c r="A248" s="143" t="s">
        <v>1307</v>
      </c>
      <c r="B248" s="144">
        <v>100</v>
      </c>
      <c r="C248" s="145">
        <v>17</v>
      </c>
      <c r="D248" s="145">
        <v>1.25</v>
      </c>
      <c r="E248" s="145">
        <v>0.2</v>
      </c>
      <c r="F248" s="145">
        <v>0.05</v>
      </c>
      <c r="G248" s="145" t="s">
        <v>400</v>
      </c>
      <c r="H248" s="145">
        <v>0.09</v>
      </c>
      <c r="I248" s="145">
        <v>0.08</v>
      </c>
      <c r="J248" s="145">
        <v>0.01</v>
      </c>
      <c r="K248" s="145" t="s">
        <v>400</v>
      </c>
      <c r="L248" s="145">
        <v>3.35</v>
      </c>
      <c r="M248" s="145">
        <v>3.1</v>
      </c>
      <c r="N248" s="145">
        <v>52</v>
      </c>
      <c r="O248" s="145">
        <v>15</v>
      </c>
      <c r="P248" s="145">
        <v>0.42</v>
      </c>
      <c r="Q248" s="145">
        <v>28</v>
      </c>
      <c r="R248" s="145">
        <v>0.83</v>
      </c>
      <c r="S248" s="145">
        <v>22</v>
      </c>
      <c r="T248" s="145">
        <v>314</v>
      </c>
      <c r="U248" s="145">
        <v>0.1</v>
      </c>
      <c r="V248" s="145">
        <v>0.79</v>
      </c>
      <c r="W248" s="145" t="s">
        <v>400</v>
      </c>
      <c r="X248" s="145">
        <v>0.08</v>
      </c>
      <c r="Y248" s="145">
        <v>0.08</v>
      </c>
      <c r="Z248" s="145">
        <v>0.02</v>
      </c>
      <c r="AA248" s="145">
        <v>0.4</v>
      </c>
      <c r="AB248" s="145">
        <v>6.5</v>
      </c>
      <c r="AC248" s="145">
        <v>0.48</v>
      </c>
      <c r="AD248" s="145" t="s">
        <v>400</v>
      </c>
      <c r="AE248" s="145">
        <v>142</v>
      </c>
      <c r="AF248" s="145" t="s">
        <v>400</v>
      </c>
      <c r="AG248" s="145">
        <v>0.44</v>
      </c>
      <c r="AH248" s="145" t="s">
        <v>400</v>
      </c>
      <c r="AI248" s="145" t="s">
        <v>400</v>
      </c>
      <c r="AJ248" s="145">
        <v>0.2</v>
      </c>
      <c r="AK248" s="145">
        <v>108.33</v>
      </c>
      <c r="AL248" s="145">
        <v>0.5</v>
      </c>
      <c r="AM248" s="145" t="s">
        <v>400</v>
      </c>
    </row>
    <row r="249" spans="1:39">
      <c r="A249" s="143" t="s">
        <v>1308</v>
      </c>
      <c r="B249" s="144">
        <v>100</v>
      </c>
      <c r="C249" s="145">
        <v>58.883000000000003</v>
      </c>
      <c r="D249" s="145">
        <v>1.9</v>
      </c>
      <c r="E249" s="145">
        <v>3.8940000000000001</v>
      </c>
      <c r="F249" s="145">
        <v>0.59899999999999998</v>
      </c>
      <c r="G249" s="145">
        <v>0.82599999999999996</v>
      </c>
      <c r="H249" s="145">
        <v>2.21</v>
      </c>
      <c r="I249" s="145">
        <v>1.859</v>
      </c>
      <c r="J249" s="145">
        <v>0.34</v>
      </c>
      <c r="K249" s="145" t="s">
        <v>400</v>
      </c>
      <c r="L249" s="145">
        <v>5.63</v>
      </c>
      <c r="M249" s="145">
        <v>2</v>
      </c>
      <c r="N249" s="145">
        <v>72</v>
      </c>
      <c r="O249" s="145">
        <v>18</v>
      </c>
      <c r="P249" s="145">
        <v>0.41599999999999998</v>
      </c>
      <c r="Q249" s="145">
        <v>28</v>
      </c>
      <c r="R249" s="145">
        <v>0.90200000000000002</v>
      </c>
      <c r="S249" s="145">
        <v>23</v>
      </c>
      <c r="T249" s="145">
        <v>228</v>
      </c>
      <c r="U249" s="145">
        <v>0.156</v>
      </c>
      <c r="V249" s="145">
        <v>0.24</v>
      </c>
      <c r="W249" s="145" t="s">
        <v>400</v>
      </c>
      <c r="X249" s="145">
        <v>5.2999999999999999E-2</v>
      </c>
      <c r="Y249" s="145">
        <v>7.0000000000000007E-2</v>
      </c>
      <c r="Z249" s="146">
        <v>0.13800000000000001</v>
      </c>
      <c r="AA249" s="145">
        <v>0.5</v>
      </c>
      <c r="AB249" s="145">
        <v>41</v>
      </c>
      <c r="AC249" s="145">
        <v>0.88300000000000001</v>
      </c>
      <c r="AD249" s="145" t="s">
        <v>400</v>
      </c>
      <c r="AE249" s="145">
        <v>13</v>
      </c>
      <c r="AF249" s="145" t="s">
        <v>400</v>
      </c>
      <c r="AG249" s="145">
        <v>1.1359999999999999</v>
      </c>
      <c r="AH249" s="145">
        <v>1.9E-2</v>
      </c>
      <c r="AI249" s="145">
        <v>290</v>
      </c>
      <c r="AJ249" s="145">
        <v>2.5009999999999999</v>
      </c>
      <c r="AK249" s="145">
        <v>681.08299999999997</v>
      </c>
      <c r="AL249" s="145">
        <v>0.89500000000000002</v>
      </c>
      <c r="AM249" s="145" t="s">
        <v>400</v>
      </c>
    </row>
    <row r="250" spans="1:39">
      <c r="A250" s="143" t="s">
        <v>1309</v>
      </c>
      <c r="B250" s="144">
        <v>100</v>
      </c>
      <c r="C250" s="145">
        <v>58.883000000000003</v>
      </c>
      <c r="D250" s="145">
        <v>1.9</v>
      </c>
      <c r="E250" s="145">
        <v>3.8940000000000001</v>
      </c>
      <c r="F250" s="145">
        <v>0.59899999999999998</v>
      </c>
      <c r="G250" s="145">
        <v>0.82599999999999996</v>
      </c>
      <c r="H250" s="145">
        <v>2.21</v>
      </c>
      <c r="I250" s="145">
        <v>1.859</v>
      </c>
      <c r="J250" s="145">
        <v>0.34</v>
      </c>
      <c r="K250" s="145" t="s">
        <v>400</v>
      </c>
      <c r="L250" s="145">
        <v>5.63</v>
      </c>
      <c r="M250" s="145">
        <v>2</v>
      </c>
      <c r="N250" s="145">
        <v>72</v>
      </c>
      <c r="O250" s="145">
        <v>18</v>
      </c>
      <c r="P250" s="145">
        <v>0.41599999999999998</v>
      </c>
      <c r="Q250" s="145">
        <v>28</v>
      </c>
      <c r="R250" s="145">
        <v>0.90200000000000002</v>
      </c>
      <c r="S250" s="145">
        <v>23</v>
      </c>
      <c r="T250" s="145">
        <v>228</v>
      </c>
      <c r="U250" s="145">
        <v>0.156</v>
      </c>
      <c r="V250" s="145">
        <v>0.24</v>
      </c>
      <c r="W250" s="145" t="s">
        <v>400</v>
      </c>
      <c r="X250" s="145">
        <v>5.2999999999999999E-2</v>
      </c>
      <c r="Y250" s="145">
        <v>7.0000000000000007E-2</v>
      </c>
      <c r="Z250" s="145">
        <v>0.13800000000000001</v>
      </c>
      <c r="AA250" s="145">
        <v>0.5</v>
      </c>
      <c r="AB250" s="145">
        <v>41</v>
      </c>
      <c r="AC250" s="145">
        <v>0.88300000000000001</v>
      </c>
      <c r="AD250" s="145" t="s">
        <v>400</v>
      </c>
      <c r="AE250" s="145">
        <v>13</v>
      </c>
      <c r="AF250" s="145" t="s">
        <v>400</v>
      </c>
      <c r="AG250" s="145">
        <v>1.1359999999999999</v>
      </c>
      <c r="AH250" s="145">
        <v>1.9E-2</v>
      </c>
      <c r="AI250" s="145">
        <v>290</v>
      </c>
      <c r="AJ250" s="145">
        <v>2.5009999999999999</v>
      </c>
      <c r="AK250" s="145">
        <v>681.08299999999997</v>
      </c>
      <c r="AL250" s="145">
        <v>0.89500000000000002</v>
      </c>
      <c r="AM250" s="145" t="s">
        <v>400</v>
      </c>
    </row>
    <row r="251" spans="1:39">
      <c r="A251" s="143" t="s">
        <v>1310</v>
      </c>
      <c r="B251" s="144">
        <v>100</v>
      </c>
      <c r="C251" s="145">
        <v>58.883000000000003</v>
      </c>
      <c r="D251" s="145">
        <v>1.9</v>
      </c>
      <c r="E251" s="145">
        <v>3.8940000000000001</v>
      </c>
      <c r="F251" s="145">
        <v>0.59899999999999998</v>
      </c>
      <c r="G251" s="145">
        <v>0.82599999999999996</v>
      </c>
      <c r="H251" s="145">
        <v>2.21</v>
      </c>
      <c r="I251" s="145">
        <v>1.859</v>
      </c>
      <c r="J251" s="145">
        <v>0.34</v>
      </c>
      <c r="K251" s="145" t="s">
        <v>400</v>
      </c>
      <c r="L251" s="145">
        <v>5.63</v>
      </c>
      <c r="M251" s="145">
        <v>2</v>
      </c>
      <c r="N251" s="145">
        <v>72</v>
      </c>
      <c r="O251" s="145">
        <v>18</v>
      </c>
      <c r="P251" s="145">
        <v>0.41599999999999998</v>
      </c>
      <c r="Q251" s="145">
        <v>28</v>
      </c>
      <c r="R251" s="145">
        <v>0.90200000000000002</v>
      </c>
      <c r="S251" s="145">
        <v>23</v>
      </c>
      <c r="T251" s="145">
        <v>228</v>
      </c>
      <c r="U251" s="145">
        <v>0.156</v>
      </c>
      <c r="V251" s="145">
        <v>0.24</v>
      </c>
      <c r="W251" s="145" t="s">
        <v>400</v>
      </c>
      <c r="X251" s="145">
        <v>5.2999999999999999E-2</v>
      </c>
      <c r="Y251" s="145">
        <v>7.0000000000000007E-2</v>
      </c>
      <c r="Z251" s="146">
        <v>0.13800000000000001</v>
      </c>
      <c r="AA251" s="145">
        <v>0.5</v>
      </c>
      <c r="AB251" s="145">
        <v>41</v>
      </c>
      <c r="AC251" s="145">
        <v>0.88300000000000001</v>
      </c>
      <c r="AD251" s="145" t="s">
        <v>400</v>
      </c>
      <c r="AE251" s="145">
        <v>13</v>
      </c>
      <c r="AF251" s="145" t="s">
        <v>400</v>
      </c>
      <c r="AG251" s="145">
        <v>1.1359999999999999</v>
      </c>
      <c r="AH251" s="145">
        <v>1.9E-2</v>
      </c>
      <c r="AI251" s="145">
        <v>290</v>
      </c>
      <c r="AJ251" s="145">
        <v>2.5009999999999999</v>
      </c>
      <c r="AK251" s="145">
        <v>681.08299999999997</v>
      </c>
      <c r="AL251" s="145">
        <v>0.89500000000000002</v>
      </c>
      <c r="AM251" s="145" t="s">
        <v>400</v>
      </c>
    </row>
    <row r="252" spans="1:39">
      <c r="A252" s="143" t="s">
        <v>1311</v>
      </c>
      <c r="B252" s="144">
        <v>100</v>
      </c>
      <c r="C252" s="145">
        <v>52.88</v>
      </c>
      <c r="D252" s="145">
        <v>1.61</v>
      </c>
      <c r="E252" s="145">
        <v>3.75</v>
      </c>
      <c r="F252" s="145">
        <v>0.56000000000000005</v>
      </c>
      <c r="G252" s="145">
        <v>0.81</v>
      </c>
      <c r="H252" s="145">
        <v>2.13</v>
      </c>
      <c r="I252" s="145">
        <v>1.88</v>
      </c>
      <c r="J252" s="145">
        <v>0.26</v>
      </c>
      <c r="K252" s="145" t="s">
        <v>400</v>
      </c>
      <c r="L252" s="145">
        <v>4.3099999999999996</v>
      </c>
      <c r="M252" s="145">
        <v>3.99</v>
      </c>
      <c r="N252" s="145">
        <v>64</v>
      </c>
      <c r="O252" s="145">
        <v>18</v>
      </c>
      <c r="P252" s="145">
        <v>0.55000000000000004</v>
      </c>
      <c r="Q252" s="145">
        <v>32</v>
      </c>
      <c r="R252" s="145">
        <v>1.02</v>
      </c>
      <c r="S252" s="145">
        <v>29</v>
      </c>
      <c r="T252" s="145">
        <v>364</v>
      </c>
      <c r="U252" s="145">
        <v>0.12</v>
      </c>
      <c r="V252" s="145">
        <v>0.97</v>
      </c>
      <c r="W252" s="145" t="s">
        <v>400</v>
      </c>
      <c r="X252" s="145">
        <v>0.09</v>
      </c>
      <c r="Y252" s="145">
        <v>0.09</v>
      </c>
      <c r="Z252" s="145">
        <v>0.02</v>
      </c>
      <c r="AA252" s="145">
        <v>0.46</v>
      </c>
      <c r="AB252" s="145">
        <v>5.0199999999999996</v>
      </c>
      <c r="AC252" s="145">
        <v>0.63</v>
      </c>
      <c r="AD252" s="145" t="s">
        <v>400</v>
      </c>
      <c r="AE252" s="145">
        <v>119</v>
      </c>
      <c r="AF252" s="145" t="s">
        <v>400</v>
      </c>
      <c r="AG252" s="145">
        <v>0.97</v>
      </c>
      <c r="AH252" s="145" t="s">
        <v>400</v>
      </c>
      <c r="AI252" s="145" t="s">
        <v>400</v>
      </c>
      <c r="AJ252" s="145">
        <v>1.86</v>
      </c>
      <c r="AK252" s="145">
        <v>80</v>
      </c>
      <c r="AL252" s="145">
        <v>0.65</v>
      </c>
      <c r="AM252" s="145" t="s">
        <v>400</v>
      </c>
    </row>
    <row r="253" spans="1:39">
      <c r="A253" s="143" t="s">
        <v>1312</v>
      </c>
      <c r="B253" s="144">
        <v>100</v>
      </c>
      <c r="C253" s="145">
        <v>30</v>
      </c>
      <c r="D253" s="145">
        <v>2.4500000000000002</v>
      </c>
      <c r="E253" s="145">
        <v>0.42</v>
      </c>
      <c r="F253" s="145">
        <v>0.06</v>
      </c>
      <c r="G253" s="145">
        <v>0.03</v>
      </c>
      <c r="H253" s="145">
        <v>0.2</v>
      </c>
      <c r="I253" s="145">
        <v>0.08</v>
      </c>
      <c r="J253" s="145">
        <v>0.11</v>
      </c>
      <c r="K253" s="145" t="s">
        <v>400</v>
      </c>
      <c r="L253" s="145">
        <v>5.69</v>
      </c>
      <c r="M253" s="145">
        <v>3.6</v>
      </c>
      <c r="N253" s="145">
        <v>145</v>
      </c>
      <c r="O253" s="145">
        <v>9</v>
      </c>
      <c r="P253" s="145">
        <v>0.28000000000000003</v>
      </c>
      <c r="Q253" s="145">
        <v>10</v>
      </c>
      <c r="R253" s="145">
        <v>0.19</v>
      </c>
      <c r="S253" s="145">
        <v>20</v>
      </c>
      <c r="T253" s="145">
        <v>169</v>
      </c>
      <c r="U253" s="145">
        <v>0.04</v>
      </c>
      <c r="V253" s="145">
        <v>0.13</v>
      </c>
      <c r="W253" s="145" t="s">
        <v>400</v>
      </c>
      <c r="X253" s="145">
        <v>0.05</v>
      </c>
      <c r="Y253" s="145">
        <v>0.13</v>
      </c>
      <c r="Z253" s="145">
        <v>0.17</v>
      </c>
      <c r="AA253" s="145">
        <v>0.74</v>
      </c>
      <c r="AB253" s="145">
        <v>35.299999999999997</v>
      </c>
      <c r="AC253" s="145">
        <v>1.26</v>
      </c>
      <c r="AD253" s="145" t="s">
        <v>400</v>
      </c>
      <c r="AE253" s="145">
        <v>166</v>
      </c>
      <c r="AF253" s="145" t="s">
        <v>400</v>
      </c>
      <c r="AG253" s="145">
        <v>2.2599999999999998</v>
      </c>
      <c r="AH253" s="145" t="s">
        <v>400</v>
      </c>
      <c r="AI253" s="145" t="s">
        <v>400</v>
      </c>
      <c r="AJ253" s="145">
        <v>1.3</v>
      </c>
      <c r="AK253" s="145">
        <v>333.42</v>
      </c>
      <c r="AL253" s="145">
        <v>1.63</v>
      </c>
      <c r="AM253" s="145" t="s">
        <v>400</v>
      </c>
    </row>
    <row r="254" spans="1:39">
      <c r="A254" s="143" t="s">
        <v>1313</v>
      </c>
      <c r="B254" s="144">
        <v>100</v>
      </c>
      <c r="C254" s="145">
        <v>26</v>
      </c>
      <c r="D254" s="145">
        <v>2.11</v>
      </c>
      <c r="E254" s="145">
        <v>0.36</v>
      </c>
      <c r="F254" s="145">
        <v>0.05</v>
      </c>
      <c r="G254" s="145">
        <v>0.03</v>
      </c>
      <c r="H254" s="145">
        <v>0.17</v>
      </c>
      <c r="I254" s="145">
        <v>7.0000000000000007E-2</v>
      </c>
      <c r="J254" s="145">
        <v>0.09</v>
      </c>
      <c r="K254" s="145" t="s">
        <v>400</v>
      </c>
      <c r="L254" s="145">
        <v>4.91</v>
      </c>
      <c r="M254" s="145">
        <v>2.8</v>
      </c>
      <c r="N254" s="145">
        <v>140</v>
      </c>
      <c r="O254" s="145">
        <v>20</v>
      </c>
      <c r="P254" s="145">
        <v>0.44</v>
      </c>
      <c r="Q254" s="145">
        <v>30</v>
      </c>
      <c r="R254" s="145">
        <v>1.1599999999999999</v>
      </c>
      <c r="S254" s="145">
        <v>16</v>
      </c>
      <c r="T254" s="145">
        <v>116</v>
      </c>
      <c r="U254" s="145">
        <v>0.04</v>
      </c>
      <c r="V254" s="145">
        <v>0.23</v>
      </c>
      <c r="W254" s="145" t="s">
        <v>400</v>
      </c>
      <c r="X254" s="145">
        <v>0.04</v>
      </c>
      <c r="Y254" s="145">
        <v>0.11</v>
      </c>
      <c r="Z254" s="145">
        <v>0.13</v>
      </c>
      <c r="AA254" s="145">
        <v>0.57999999999999996</v>
      </c>
      <c r="AB254" s="145">
        <v>18.2</v>
      </c>
      <c r="AC254" s="145">
        <v>1.03</v>
      </c>
      <c r="AD254" s="145" t="s">
        <v>400</v>
      </c>
      <c r="AE254" s="145">
        <v>93</v>
      </c>
      <c r="AF254" s="145" t="s">
        <v>400</v>
      </c>
      <c r="AG254" s="145">
        <v>0.88</v>
      </c>
      <c r="AH254" s="145" t="s">
        <v>400</v>
      </c>
      <c r="AI254" s="145">
        <v>199</v>
      </c>
      <c r="AJ254" s="145">
        <v>0.5</v>
      </c>
      <c r="AK254" s="145">
        <v>405.75</v>
      </c>
      <c r="AL254" s="145">
        <v>1.41</v>
      </c>
      <c r="AM254" s="145" t="s">
        <v>400</v>
      </c>
    </row>
    <row r="255" spans="1:39">
      <c r="A255" s="143" t="s">
        <v>1314</v>
      </c>
      <c r="B255" s="144">
        <v>100</v>
      </c>
      <c r="C255" s="145">
        <v>47.13</v>
      </c>
      <c r="D255" s="145">
        <v>2.11</v>
      </c>
      <c r="E255" s="145">
        <v>2.75</v>
      </c>
      <c r="F255" s="145">
        <v>0.39</v>
      </c>
      <c r="G255" s="145">
        <v>0.57999999999999996</v>
      </c>
      <c r="H255" s="145">
        <v>1.56</v>
      </c>
      <c r="I255" s="145">
        <v>1.29</v>
      </c>
      <c r="J255" s="145">
        <v>0.26</v>
      </c>
      <c r="K255" s="145" t="s">
        <v>400</v>
      </c>
      <c r="L255" s="145">
        <v>4.91</v>
      </c>
      <c r="M255" s="145">
        <v>2.8</v>
      </c>
      <c r="N255" s="145">
        <v>140</v>
      </c>
      <c r="O255" s="145">
        <v>20</v>
      </c>
      <c r="P255" s="145">
        <v>0.44</v>
      </c>
      <c r="Q255" s="145">
        <v>30</v>
      </c>
      <c r="R255" s="145">
        <v>1.1599999999999999</v>
      </c>
      <c r="S255" s="145">
        <v>16</v>
      </c>
      <c r="T255" s="145">
        <v>116</v>
      </c>
      <c r="U255" s="145">
        <v>0.04</v>
      </c>
      <c r="V255" s="145">
        <v>0.23</v>
      </c>
      <c r="W255" s="145" t="s">
        <v>400</v>
      </c>
      <c r="X255" s="145">
        <v>0.04</v>
      </c>
      <c r="Y255" s="145">
        <v>0.11</v>
      </c>
      <c r="Z255" s="145">
        <v>0.13</v>
      </c>
      <c r="AA255" s="145">
        <v>0.57999999999999996</v>
      </c>
      <c r="AB255" s="145">
        <v>18.2</v>
      </c>
      <c r="AC255" s="145">
        <v>1.03</v>
      </c>
      <c r="AD255" s="145" t="s">
        <v>400</v>
      </c>
      <c r="AE255" s="145">
        <v>93</v>
      </c>
      <c r="AF255" s="145" t="s">
        <v>400</v>
      </c>
      <c r="AG255" s="145">
        <v>1.1000000000000001</v>
      </c>
      <c r="AH255" s="145" t="s">
        <v>400</v>
      </c>
      <c r="AI255" s="145">
        <v>199</v>
      </c>
      <c r="AJ255" s="145">
        <v>1.6</v>
      </c>
      <c r="AK255" s="145">
        <v>405.75</v>
      </c>
      <c r="AL255" s="145">
        <v>1.41</v>
      </c>
      <c r="AM255" s="145" t="s">
        <v>400</v>
      </c>
    </row>
    <row r="256" spans="1:39">
      <c r="A256" s="143" t="s">
        <v>1315</v>
      </c>
      <c r="B256" s="144">
        <v>100</v>
      </c>
      <c r="C256" s="145">
        <v>47.13</v>
      </c>
      <c r="D256" s="145">
        <v>2.11</v>
      </c>
      <c r="E256" s="145">
        <v>2.75</v>
      </c>
      <c r="F256" s="145">
        <v>0.39</v>
      </c>
      <c r="G256" s="145">
        <v>0.57999999999999996</v>
      </c>
      <c r="H256" s="145">
        <v>1.56</v>
      </c>
      <c r="I256" s="145">
        <v>1.29</v>
      </c>
      <c r="J256" s="145">
        <v>0.26</v>
      </c>
      <c r="K256" s="145" t="s">
        <v>400</v>
      </c>
      <c r="L256" s="145">
        <v>4.91</v>
      </c>
      <c r="M256" s="145">
        <v>2.8</v>
      </c>
      <c r="N256" s="145">
        <v>140</v>
      </c>
      <c r="O256" s="145">
        <v>20</v>
      </c>
      <c r="P256" s="145">
        <v>0.44</v>
      </c>
      <c r="Q256" s="145">
        <v>30</v>
      </c>
      <c r="R256" s="145">
        <v>1.1599999999999999</v>
      </c>
      <c r="S256" s="145">
        <v>16</v>
      </c>
      <c r="T256" s="145">
        <v>116</v>
      </c>
      <c r="U256" s="145">
        <v>0.04</v>
      </c>
      <c r="V256" s="145">
        <v>0.23</v>
      </c>
      <c r="W256" s="145" t="s">
        <v>400</v>
      </c>
      <c r="X256" s="145">
        <v>0.04</v>
      </c>
      <c r="Y256" s="145">
        <v>0.11</v>
      </c>
      <c r="Z256" s="145">
        <v>0.13</v>
      </c>
      <c r="AA256" s="145">
        <v>0.57999999999999996</v>
      </c>
      <c r="AB256" s="145">
        <v>18.2</v>
      </c>
      <c r="AC256" s="145">
        <v>1.03</v>
      </c>
      <c r="AD256" s="145" t="s">
        <v>400</v>
      </c>
      <c r="AE256" s="145">
        <v>93</v>
      </c>
      <c r="AF256" s="145" t="s">
        <v>400</v>
      </c>
      <c r="AG256" s="145">
        <v>1.1000000000000001</v>
      </c>
      <c r="AH256" s="145" t="s">
        <v>400</v>
      </c>
      <c r="AI256" s="145">
        <v>199</v>
      </c>
      <c r="AJ256" s="145">
        <v>1.6</v>
      </c>
      <c r="AK256" s="145">
        <v>405.75</v>
      </c>
      <c r="AL256" s="145">
        <v>1.41</v>
      </c>
      <c r="AM256" s="145" t="s">
        <v>400</v>
      </c>
    </row>
    <row r="257" spans="1:39">
      <c r="A257" s="143" t="s">
        <v>1316</v>
      </c>
      <c r="B257" s="144">
        <v>100</v>
      </c>
      <c r="C257" s="145">
        <v>25.6</v>
      </c>
      <c r="D257" s="145">
        <v>1.952</v>
      </c>
      <c r="E257" s="145">
        <v>0.32400000000000001</v>
      </c>
      <c r="F257" s="145">
        <v>4.2999999999999997E-2</v>
      </c>
      <c r="G257" s="145">
        <v>2.5999999999999999E-2</v>
      </c>
      <c r="H257" s="145">
        <v>0.153</v>
      </c>
      <c r="I257" s="145">
        <v>7.0000000000000007E-2</v>
      </c>
      <c r="J257" s="145">
        <v>7.4999999999999997E-2</v>
      </c>
      <c r="K257" s="145" t="s">
        <v>400</v>
      </c>
      <c r="L257" s="145">
        <v>5.0039999999999996</v>
      </c>
      <c r="M257" s="145">
        <v>2.54</v>
      </c>
      <c r="N257" s="145">
        <v>114.6</v>
      </c>
      <c r="O257" s="145">
        <v>19.2</v>
      </c>
      <c r="P257" s="145">
        <v>0.37</v>
      </c>
      <c r="Q257" s="145">
        <v>29.2</v>
      </c>
      <c r="R257" s="145">
        <v>1.1319999999999999</v>
      </c>
      <c r="S257" s="145">
        <v>117.6</v>
      </c>
      <c r="T257" s="145">
        <v>159</v>
      </c>
      <c r="U257" s="145">
        <v>5.3999999999999999E-2</v>
      </c>
      <c r="V257" s="145">
        <v>0.224</v>
      </c>
      <c r="W257" s="145" t="s">
        <v>400</v>
      </c>
      <c r="X257" s="145">
        <v>3.6999999999999998E-2</v>
      </c>
      <c r="Y257" s="145">
        <v>9.8000000000000004E-2</v>
      </c>
      <c r="Z257" s="145">
        <v>0.122</v>
      </c>
      <c r="AA257" s="145">
        <v>0.65500000000000003</v>
      </c>
      <c r="AB257" s="145">
        <v>15.96</v>
      </c>
      <c r="AC257" s="145">
        <v>1.048</v>
      </c>
      <c r="AD257" s="145" t="s">
        <v>400</v>
      </c>
      <c r="AE257" s="145">
        <v>76.599999999999994</v>
      </c>
      <c r="AF257" s="145" t="s">
        <v>400</v>
      </c>
      <c r="AG257" s="145">
        <v>0.98799999999999999</v>
      </c>
      <c r="AH257" s="145" t="s">
        <v>400</v>
      </c>
      <c r="AI257" s="145">
        <v>199</v>
      </c>
      <c r="AJ257" s="145">
        <v>0.44</v>
      </c>
      <c r="AK257" s="145">
        <v>328.08300000000003</v>
      </c>
      <c r="AL257" s="145">
        <v>1.978</v>
      </c>
      <c r="AM257" s="145" t="s">
        <v>400</v>
      </c>
    </row>
    <row r="258" spans="1:39">
      <c r="A258" s="143" t="s">
        <v>1317</v>
      </c>
      <c r="B258" s="144">
        <v>100</v>
      </c>
      <c r="C258" s="145">
        <v>47.13</v>
      </c>
      <c r="D258" s="145">
        <v>2.11</v>
      </c>
      <c r="E258" s="145">
        <v>2.75</v>
      </c>
      <c r="F258" s="145">
        <v>0.39</v>
      </c>
      <c r="G258" s="145">
        <v>0.57999999999999996</v>
      </c>
      <c r="H258" s="145">
        <v>1.56</v>
      </c>
      <c r="I258" s="145">
        <v>1.29</v>
      </c>
      <c r="J258" s="145">
        <v>0.26</v>
      </c>
      <c r="K258" s="145" t="s">
        <v>400</v>
      </c>
      <c r="L258" s="145">
        <v>4.91</v>
      </c>
      <c r="M258" s="145">
        <v>2.8</v>
      </c>
      <c r="N258" s="145">
        <v>140</v>
      </c>
      <c r="O258" s="145">
        <v>20</v>
      </c>
      <c r="P258" s="145">
        <v>0.44</v>
      </c>
      <c r="Q258" s="145">
        <v>30</v>
      </c>
      <c r="R258" s="145">
        <v>1.1599999999999999</v>
      </c>
      <c r="S258" s="145">
        <v>16</v>
      </c>
      <c r="T258" s="145">
        <v>116</v>
      </c>
      <c r="U258" s="145">
        <v>0.04</v>
      </c>
      <c r="V258" s="145">
        <v>0.23</v>
      </c>
      <c r="W258" s="145" t="s">
        <v>400</v>
      </c>
      <c r="X258" s="145">
        <v>0.04</v>
      </c>
      <c r="Y258" s="145">
        <v>0.11</v>
      </c>
      <c r="Z258" s="145">
        <v>0.13</v>
      </c>
      <c r="AA258" s="145">
        <v>0.57999999999999996</v>
      </c>
      <c r="AB258" s="145">
        <v>18.2</v>
      </c>
      <c r="AC258" s="145">
        <v>1.03</v>
      </c>
      <c r="AD258" s="145" t="s">
        <v>400</v>
      </c>
      <c r="AE258" s="145">
        <v>93</v>
      </c>
      <c r="AF258" s="145" t="s">
        <v>400</v>
      </c>
      <c r="AG258" s="145">
        <v>1.1000000000000001</v>
      </c>
      <c r="AH258" s="145" t="s">
        <v>400</v>
      </c>
      <c r="AI258" s="145">
        <v>199</v>
      </c>
      <c r="AJ258" s="145">
        <v>1.6</v>
      </c>
      <c r="AK258" s="145">
        <v>405.75</v>
      </c>
      <c r="AL258" s="145">
        <v>1.41</v>
      </c>
      <c r="AM258" s="145" t="s">
        <v>400</v>
      </c>
    </row>
    <row r="259" spans="1:39">
      <c r="A259" s="143" t="s">
        <v>1318</v>
      </c>
      <c r="B259" s="144">
        <v>100</v>
      </c>
      <c r="C259" s="145">
        <v>43.845999999999997</v>
      </c>
      <c r="D259" s="145">
        <v>2.1309999999999998</v>
      </c>
      <c r="E259" s="145">
        <v>2.379</v>
      </c>
      <c r="F259" s="145">
        <v>1.3260000000000001</v>
      </c>
      <c r="G259" s="145">
        <v>0.54900000000000004</v>
      </c>
      <c r="H259" s="145">
        <v>0.249</v>
      </c>
      <c r="I259" s="145">
        <v>0.13800000000000001</v>
      </c>
      <c r="J259" s="145">
        <v>0.10100000000000001</v>
      </c>
      <c r="K259" s="145">
        <v>5.351</v>
      </c>
      <c r="L259" s="145">
        <v>4.9109999999999996</v>
      </c>
      <c r="M259" s="145">
        <v>2.8</v>
      </c>
      <c r="N259" s="145">
        <v>140.59700000000001</v>
      </c>
      <c r="O259" s="145">
        <v>20.05</v>
      </c>
      <c r="P259" s="145">
        <v>0.436</v>
      </c>
      <c r="Q259" s="145">
        <v>30.597000000000001</v>
      </c>
      <c r="R259" s="145">
        <v>1.1599999999999999</v>
      </c>
      <c r="S259" s="145">
        <v>30.337</v>
      </c>
      <c r="T259" s="145">
        <v>116.59699999999999</v>
      </c>
      <c r="U259" s="145">
        <v>3.7999999999999999E-2</v>
      </c>
      <c r="V259" s="145">
        <v>0.23200000000000001</v>
      </c>
      <c r="W259" s="145">
        <v>16.701000000000001</v>
      </c>
      <c r="X259" s="145">
        <v>0.04</v>
      </c>
      <c r="Y259" s="145">
        <v>0.107</v>
      </c>
      <c r="Z259" s="145">
        <v>0.128</v>
      </c>
      <c r="AA259" s="145">
        <v>0.57599999999999996</v>
      </c>
      <c r="AB259" s="145">
        <v>18.2</v>
      </c>
      <c r="AC259" s="145">
        <v>1.0309999999999999</v>
      </c>
      <c r="AD259" s="145">
        <v>4.0000000000000001E-3</v>
      </c>
      <c r="AE259" s="145">
        <v>93.075000000000003</v>
      </c>
      <c r="AF259" s="145">
        <v>3.5000000000000003E-2</v>
      </c>
      <c r="AG259" s="145">
        <v>0.93799999999999994</v>
      </c>
      <c r="AH259" s="145">
        <v>8.2000000000000003E-2</v>
      </c>
      <c r="AI259" s="145">
        <v>199</v>
      </c>
      <c r="AJ259" s="145">
        <v>0.52500000000000002</v>
      </c>
      <c r="AK259" s="145">
        <v>422.779</v>
      </c>
      <c r="AL259" s="145">
        <v>1.4119999999999999</v>
      </c>
      <c r="AM259" s="145" t="s">
        <v>400</v>
      </c>
    </row>
    <row r="260" spans="1:39">
      <c r="A260" s="143" t="s">
        <v>1319</v>
      </c>
      <c r="B260" s="144">
        <v>100</v>
      </c>
      <c r="C260" s="145">
        <v>26</v>
      </c>
      <c r="D260" s="145">
        <v>2.11</v>
      </c>
      <c r="E260" s="145">
        <v>0.36</v>
      </c>
      <c r="F260" s="145">
        <v>0.05</v>
      </c>
      <c r="G260" s="145">
        <v>0.03</v>
      </c>
      <c r="H260" s="145">
        <v>0.17</v>
      </c>
      <c r="I260" s="145">
        <v>7.0000000000000007E-2</v>
      </c>
      <c r="J260" s="145">
        <v>0.09</v>
      </c>
      <c r="K260" s="145" t="s">
        <v>400</v>
      </c>
      <c r="L260" s="145">
        <v>4.91</v>
      </c>
      <c r="M260" s="145">
        <v>2.8</v>
      </c>
      <c r="N260" s="145">
        <v>140</v>
      </c>
      <c r="O260" s="145">
        <v>20</v>
      </c>
      <c r="P260" s="145">
        <v>0.44</v>
      </c>
      <c r="Q260" s="145">
        <v>30</v>
      </c>
      <c r="R260" s="145">
        <v>1.1599999999999999</v>
      </c>
      <c r="S260" s="145">
        <v>16</v>
      </c>
      <c r="T260" s="145">
        <v>116</v>
      </c>
      <c r="U260" s="145">
        <v>0.04</v>
      </c>
      <c r="V260" s="145">
        <v>0.23</v>
      </c>
      <c r="W260" s="145" t="s">
        <v>400</v>
      </c>
      <c r="X260" s="145">
        <v>0.04</v>
      </c>
      <c r="Y260" s="145">
        <v>0.11</v>
      </c>
      <c r="Z260" s="145">
        <v>0.13</v>
      </c>
      <c r="AA260" s="145">
        <v>0.57999999999999996</v>
      </c>
      <c r="AB260" s="145">
        <v>18.2</v>
      </c>
      <c r="AC260" s="145">
        <v>1.03</v>
      </c>
      <c r="AD260" s="145" t="s">
        <v>400</v>
      </c>
      <c r="AE260" s="145">
        <v>93</v>
      </c>
      <c r="AF260" s="145" t="s">
        <v>400</v>
      </c>
      <c r="AG260" s="145">
        <v>0.88</v>
      </c>
      <c r="AH260" s="145" t="s">
        <v>400</v>
      </c>
      <c r="AI260" s="145">
        <v>199</v>
      </c>
      <c r="AJ260" s="145">
        <v>0.5</v>
      </c>
      <c r="AK260" s="145">
        <v>405.75</v>
      </c>
      <c r="AL260" s="145">
        <v>1.41</v>
      </c>
      <c r="AM260" s="145" t="s">
        <v>400</v>
      </c>
    </row>
    <row r="261" spans="1:39">
      <c r="A261" s="143" t="s">
        <v>1320</v>
      </c>
      <c r="B261" s="144">
        <v>100</v>
      </c>
      <c r="C261" s="145">
        <v>47.13</v>
      </c>
      <c r="D261" s="145">
        <v>2.11</v>
      </c>
      <c r="E261" s="145">
        <v>2.75</v>
      </c>
      <c r="F261" s="145">
        <v>0.39</v>
      </c>
      <c r="G261" s="145">
        <v>0.57999999999999996</v>
      </c>
      <c r="H261" s="145">
        <v>1.56</v>
      </c>
      <c r="I261" s="145">
        <v>1.29</v>
      </c>
      <c r="J261" s="145">
        <v>0.26</v>
      </c>
      <c r="K261" s="145" t="s">
        <v>400</v>
      </c>
      <c r="L261" s="145">
        <v>4.91</v>
      </c>
      <c r="M261" s="145">
        <v>2.8</v>
      </c>
      <c r="N261" s="145">
        <v>140</v>
      </c>
      <c r="O261" s="145">
        <v>20</v>
      </c>
      <c r="P261" s="145">
        <v>0.44</v>
      </c>
      <c r="Q261" s="145">
        <v>30</v>
      </c>
      <c r="R261" s="145">
        <v>1.1599999999999999</v>
      </c>
      <c r="S261" s="145">
        <v>16</v>
      </c>
      <c r="T261" s="145">
        <v>116</v>
      </c>
      <c r="U261" s="145">
        <v>0.04</v>
      </c>
      <c r="V261" s="145">
        <v>0.23</v>
      </c>
      <c r="W261" s="145" t="s">
        <v>400</v>
      </c>
      <c r="X261" s="145">
        <v>0.04</v>
      </c>
      <c r="Y261" s="145">
        <v>0.11</v>
      </c>
      <c r="Z261" s="145">
        <v>0.13</v>
      </c>
      <c r="AA261" s="145">
        <v>0.57999999999999996</v>
      </c>
      <c r="AB261" s="145">
        <v>18.2</v>
      </c>
      <c r="AC261" s="145">
        <v>1.03</v>
      </c>
      <c r="AD261" s="145" t="s">
        <v>400</v>
      </c>
      <c r="AE261" s="145">
        <v>93</v>
      </c>
      <c r="AF261" s="145" t="s">
        <v>400</v>
      </c>
      <c r="AG261" s="145">
        <v>1.1000000000000001</v>
      </c>
      <c r="AH261" s="145" t="s">
        <v>400</v>
      </c>
      <c r="AI261" s="145">
        <v>199</v>
      </c>
      <c r="AJ261" s="145">
        <v>1.6</v>
      </c>
      <c r="AK261" s="145">
        <v>405.75</v>
      </c>
      <c r="AL261" s="145">
        <v>1.41</v>
      </c>
      <c r="AM261" s="145" t="s">
        <v>400</v>
      </c>
    </row>
    <row r="262" spans="1:39">
      <c r="A262" s="143" t="s">
        <v>1321</v>
      </c>
      <c r="B262" s="144">
        <v>100</v>
      </c>
      <c r="C262" s="145">
        <v>26</v>
      </c>
      <c r="D262" s="145">
        <v>2.11</v>
      </c>
      <c r="E262" s="145">
        <v>0.36</v>
      </c>
      <c r="F262" s="145">
        <v>0.05</v>
      </c>
      <c r="G262" s="145">
        <v>0.03</v>
      </c>
      <c r="H262" s="145">
        <v>0.17</v>
      </c>
      <c r="I262" s="145">
        <v>7.0000000000000007E-2</v>
      </c>
      <c r="J262" s="145">
        <v>0.09</v>
      </c>
      <c r="K262" s="145" t="s">
        <v>400</v>
      </c>
      <c r="L262" s="145">
        <v>4.91</v>
      </c>
      <c r="M262" s="145">
        <v>2.8</v>
      </c>
      <c r="N262" s="145">
        <v>140</v>
      </c>
      <c r="O262" s="145">
        <v>20</v>
      </c>
      <c r="P262" s="145">
        <v>0.44</v>
      </c>
      <c r="Q262" s="145">
        <v>30</v>
      </c>
      <c r="R262" s="145">
        <v>1.1599999999999999</v>
      </c>
      <c r="S262" s="145">
        <v>16</v>
      </c>
      <c r="T262" s="145">
        <v>116</v>
      </c>
      <c r="U262" s="145">
        <v>0.04</v>
      </c>
      <c r="V262" s="145">
        <v>0.23</v>
      </c>
      <c r="W262" s="145" t="s">
        <v>400</v>
      </c>
      <c r="X262" s="145">
        <v>0.04</v>
      </c>
      <c r="Y262" s="145">
        <v>0.11</v>
      </c>
      <c r="Z262" s="145">
        <v>0.13</v>
      </c>
      <c r="AA262" s="145">
        <v>0.57999999999999996</v>
      </c>
      <c r="AB262" s="145">
        <v>18.2</v>
      </c>
      <c r="AC262" s="145">
        <v>1.03</v>
      </c>
      <c r="AD262" s="145" t="s">
        <v>400</v>
      </c>
      <c r="AE262" s="145">
        <v>93</v>
      </c>
      <c r="AF262" s="145" t="s">
        <v>400</v>
      </c>
      <c r="AG262" s="145">
        <v>0.88</v>
      </c>
      <c r="AH262" s="145" t="s">
        <v>400</v>
      </c>
      <c r="AI262" s="145">
        <v>199</v>
      </c>
      <c r="AJ262" s="145">
        <v>0.5</v>
      </c>
      <c r="AK262" s="145">
        <v>405.75</v>
      </c>
      <c r="AL262" s="145">
        <v>1.41</v>
      </c>
      <c r="AM262" s="145" t="s">
        <v>400</v>
      </c>
    </row>
    <row r="263" spans="1:39">
      <c r="A263" s="143" t="s">
        <v>1322</v>
      </c>
      <c r="B263" s="144">
        <v>100</v>
      </c>
      <c r="C263" s="145">
        <v>26</v>
      </c>
      <c r="D263" s="145">
        <v>2.11</v>
      </c>
      <c r="E263" s="145">
        <v>0.36</v>
      </c>
      <c r="F263" s="145">
        <v>0.05</v>
      </c>
      <c r="G263" s="145">
        <v>0.03</v>
      </c>
      <c r="H263" s="145">
        <v>0.17</v>
      </c>
      <c r="I263" s="145">
        <v>7.0000000000000007E-2</v>
      </c>
      <c r="J263" s="145">
        <v>0.09</v>
      </c>
      <c r="K263" s="145" t="s">
        <v>400</v>
      </c>
      <c r="L263" s="145">
        <v>4.91</v>
      </c>
      <c r="M263" s="145">
        <v>2.8</v>
      </c>
      <c r="N263" s="145">
        <v>140</v>
      </c>
      <c r="O263" s="145">
        <v>20</v>
      </c>
      <c r="P263" s="145">
        <v>0.44</v>
      </c>
      <c r="Q263" s="145">
        <v>30</v>
      </c>
      <c r="R263" s="145">
        <v>1.1599999999999999</v>
      </c>
      <c r="S263" s="145">
        <v>16</v>
      </c>
      <c r="T263" s="145">
        <v>116</v>
      </c>
      <c r="U263" s="145">
        <v>0.04</v>
      </c>
      <c r="V263" s="145">
        <v>0.23</v>
      </c>
      <c r="W263" s="145" t="s">
        <v>400</v>
      </c>
      <c r="X263" s="145">
        <v>0.04</v>
      </c>
      <c r="Y263" s="145">
        <v>0.11</v>
      </c>
      <c r="Z263" s="145">
        <v>0.13</v>
      </c>
      <c r="AA263" s="145">
        <v>0.57999999999999996</v>
      </c>
      <c r="AB263" s="145">
        <v>18.2</v>
      </c>
      <c r="AC263" s="145">
        <v>1.03</v>
      </c>
      <c r="AD263" s="145" t="s">
        <v>400</v>
      </c>
      <c r="AE263" s="145">
        <v>93</v>
      </c>
      <c r="AF263" s="145" t="s">
        <v>400</v>
      </c>
      <c r="AG263" s="145">
        <v>0.88</v>
      </c>
      <c r="AH263" s="145" t="s">
        <v>400</v>
      </c>
      <c r="AI263" s="145">
        <v>199</v>
      </c>
      <c r="AJ263" s="145">
        <v>0.5</v>
      </c>
      <c r="AK263" s="145">
        <v>405.75</v>
      </c>
      <c r="AL263" s="145">
        <v>1.41</v>
      </c>
      <c r="AM263" s="145" t="s">
        <v>400</v>
      </c>
    </row>
    <row r="264" spans="1:39">
      <c r="A264" s="143" t="s">
        <v>1323</v>
      </c>
      <c r="B264" s="144">
        <v>100</v>
      </c>
      <c r="C264" s="145">
        <v>23</v>
      </c>
      <c r="D264" s="145">
        <v>1.84</v>
      </c>
      <c r="E264" s="145">
        <v>0.45</v>
      </c>
      <c r="F264" s="145">
        <v>7.0000000000000007E-2</v>
      </c>
      <c r="G264" s="145">
        <v>0.03</v>
      </c>
      <c r="H264" s="145">
        <v>0.22</v>
      </c>
      <c r="I264" s="145">
        <v>0.05</v>
      </c>
      <c r="J264" s="145">
        <v>0.17</v>
      </c>
      <c r="K264" s="145" t="s">
        <v>400</v>
      </c>
      <c r="L264" s="145">
        <v>4.1100000000000003</v>
      </c>
      <c r="M264" s="145">
        <v>2.2999999999999998</v>
      </c>
      <c r="N264" s="145">
        <v>16</v>
      </c>
      <c r="O264" s="145">
        <v>9</v>
      </c>
      <c r="P264" s="145">
        <v>0.13</v>
      </c>
      <c r="Q264" s="145">
        <v>32</v>
      </c>
      <c r="R264" s="145">
        <v>0.32</v>
      </c>
      <c r="S264" s="145">
        <v>15</v>
      </c>
      <c r="T264" s="145">
        <v>142</v>
      </c>
      <c r="U264" s="145">
        <v>0.02</v>
      </c>
      <c r="V264" s="145">
        <v>0.17</v>
      </c>
      <c r="W264" s="145" t="s">
        <v>400</v>
      </c>
      <c r="X264" s="145">
        <v>0.04</v>
      </c>
      <c r="Y264" s="145">
        <v>0.05</v>
      </c>
      <c r="Z264" s="145">
        <v>0.17</v>
      </c>
      <c r="AA264" s="145">
        <v>0.41</v>
      </c>
      <c r="AB264" s="145">
        <v>44.3</v>
      </c>
      <c r="AC264" s="145">
        <v>0.81</v>
      </c>
      <c r="AD264" s="145" t="s">
        <v>400</v>
      </c>
      <c r="AE264" s="145">
        <v>44</v>
      </c>
      <c r="AF264" s="145" t="s">
        <v>400</v>
      </c>
      <c r="AG264" s="145">
        <v>7.0000000000000007E-2</v>
      </c>
      <c r="AH264" s="145" t="s">
        <v>400</v>
      </c>
      <c r="AI264" s="145">
        <v>304</v>
      </c>
      <c r="AJ264" s="145">
        <v>0.6</v>
      </c>
      <c r="AK264" s="145">
        <v>0.57999999999999996</v>
      </c>
      <c r="AL264" s="145">
        <v>1.8</v>
      </c>
      <c r="AM264" s="145" t="s">
        <v>400</v>
      </c>
    </row>
    <row r="265" spans="1:39">
      <c r="A265" s="143" t="s">
        <v>1324</v>
      </c>
      <c r="B265" s="144">
        <v>100</v>
      </c>
      <c r="C265" s="145">
        <v>23</v>
      </c>
      <c r="D265" s="145">
        <v>1.84</v>
      </c>
      <c r="E265" s="145">
        <v>0.45</v>
      </c>
      <c r="F265" s="145">
        <v>7.0000000000000007E-2</v>
      </c>
      <c r="G265" s="145">
        <v>0.03</v>
      </c>
      <c r="H265" s="145">
        <v>0.22</v>
      </c>
      <c r="I265" s="145">
        <v>0.05</v>
      </c>
      <c r="J265" s="145">
        <v>0.17</v>
      </c>
      <c r="K265" s="145" t="s">
        <v>400</v>
      </c>
      <c r="L265" s="145">
        <v>4.1100000000000003</v>
      </c>
      <c r="M265" s="145">
        <v>2.2999999999999998</v>
      </c>
      <c r="N265" s="145">
        <v>16</v>
      </c>
      <c r="O265" s="145">
        <v>9</v>
      </c>
      <c r="P265" s="145">
        <v>0.13</v>
      </c>
      <c r="Q265" s="145">
        <v>32</v>
      </c>
      <c r="R265" s="145">
        <v>0.32</v>
      </c>
      <c r="S265" s="145">
        <v>15</v>
      </c>
      <c r="T265" s="145">
        <v>142</v>
      </c>
      <c r="U265" s="145">
        <v>0.02</v>
      </c>
      <c r="V265" s="145">
        <v>0.17</v>
      </c>
      <c r="W265" s="145" t="s">
        <v>400</v>
      </c>
      <c r="X265" s="145">
        <v>0.04</v>
      </c>
      <c r="Y265" s="145">
        <v>0.05</v>
      </c>
      <c r="Z265" s="145">
        <v>0.17</v>
      </c>
      <c r="AA265" s="145">
        <v>0.41</v>
      </c>
      <c r="AB265" s="145">
        <v>44.3</v>
      </c>
      <c r="AC265" s="145">
        <v>0.81</v>
      </c>
      <c r="AD265" s="145" t="s">
        <v>400</v>
      </c>
      <c r="AE265" s="145">
        <v>44</v>
      </c>
      <c r="AF265" s="145" t="s">
        <v>400</v>
      </c>
      <c r="AG265" s="145">
        <v>7.0000000000000007E-2</v>
      </c>
      <c r="AH265" s="145" t="s">
        <v>400</v>
      </c>
      <c r="AI265" s="145">
        <v>304</v>
      </c>
      <c r="AJ265" s="145">
        <v>0.6</v>
      </c>
      <c r="AK265" s="145">
        <v>0.57999999999999996</v>
      </c>
      <c r="AL265" s="145">
        <v>1.8</v>
      </c>
      <c r="AM265" s="145" t="s">
        <v>400</v>
      </c>
    </row>
    <row r="266" spans="1:39">
      <c r="A266" s="143" t="s">
        <v>1325</v>
      </c>
      <c r="B266" s="144">
        <v>100</v>
      </c>
      <c r="C266" s="145">
        <v>55.38</v>
      </c>
      <c r="D266" s="145">
        <v>1.84</v>
      </c>
      <c r="E266" s="145">
        <v>4.1100000000000003</v>
      </c>
      <c r="F266" s="145">
        <v>0.6</v>
      </c>
      <c r="G266" s="145">
        <v>0.89</v>
      </c>
      <c r="H266" s="145">
        <v>2.34</v>
      </c>
      <c r="I266" s="145">
        <v>1.92</v>
      </c>
      <c r="J266" s="145">
        <v>0.42</v>
      </c>
      <c r="K266" s="145" t="s">
        <v>400</v>
      </c>
      <c r="L266" s="145">
        <v>4.1100000000000003</v>
      </c>
      <c r="M266" s="145">
        <v>2.2999999999999998</v>
      </c>
      <c r="N266" s="145">
        <v>16</v>
      </c>
      <c r="O266" s="145">
        <v>9</v>
      </c>
      <c r="P266" s="145">
        <v>0.13</v>
      </c>
      <c r="Q266" s="145">
        <v>32</v>
      </c>
      <c r="R266" s="145">
        <v>0.32</v>
      </c>
      <c r="S266" s="145">
        <v>15</v>
      </c>
      <c r="T266" s="145">
        <v>142</v>
      </c>
      <c r="U266" s="145">
        <v>0.02</v>
      </c>
      <c r="V266" s="145">
        <v>0.17</v>
      </c>
      <c r="W266" s="145" t="s">
        <v>400</v>
      </c>
      <c r="X266" s="145">
        <v>0.04</v>
      </c>
      <c r="Y266" s="145">
        <v>0.05</v>
      </c>
      <c r="Z266" s="145">
        <v>0.17</v>
      </c>
      <c r="AA266" s="145">
        <v>0.41</v>
      </c>
      <c r="AB266" s="145">
        <v>44.3</v>
      </c>
      <c r="AC266" s="145">
        <v>0.81</v>
      </c>
      <c r="AD266" s="145" t="s">
        <v>400</v>
      </c>
      <c r="AE266" s="145">
        <v>44</v>
      </c>
      <c r="AF266" s="145" t="s">
        <v>400</v>
      </c>
      <c r="AG266" s="145">
        <v>0.41</v>
      </c>
      <c r="AH266" s="145" t="s">
        <v>400</v>
      </c>
      <c r="AI266" s="145">
        <v>304</v>
      </c>
      <c r="AJ266" s="145">
        <v>2.2799999999999998</v>
      </c>
      <c r="AK266" s="145">
        <v>0.57999999999999996</v>
      </c>
      <c r="AL266" s="145">
        <v>1.8</v>
      </c>
      <c r="AM266" s="145" t="s">
        <v>400</v>
      </c>
    </row>
    <row r="267" spans="1:39">
      <c r="A267" s="143" t="s">
        <v>1326</v>
      </c>
      <c r="B267" s="144">
        <v>100</v>
      </c>
      <c r="C267" s="145">
        <v>137.44</v>
      </c>
      <c r="D267" s="145">
        <v>4.17</v>
      </c>
      <c r="E267" s="145">
        <v>9.2100000000000009</v>
      </c>
      <c r="F267" s="145">
        <v>1.59</v>
      </c>
      <c r="G267" s="145">
        <v>2.27</v>
      </c>
      <c r="H267" s="145">
        <v>4.63</v>
      </c>
      <c r="I267" s="145">
        <v>3.97</v>
      </c>
      <c r="J267" s="145">
        <v>0.62</v>
      </c>
      <c r="K267" s="145">
        <v>51.39</v>
      </c>
      <c r="L267" s="145">
        <v>10.31</v>
      </c>
      <c r="M267" s="145">
        <v>2.08</v>
      </c>
      <c r="N267" s="145">
        <v>35.86</v>
      </c>
      <c r="O267" s="145">
        <v>11.92</v>
      </c>
      <c r="P267" s="145">
        <v>0.19</v>
      </c>
      <c r="Q267" s="145">
        <v>60.14</v>
      </c>
      <c r="R267" s="145">
        <v>0.86</v>
      </c>
      <c r="S267" s="145">
        <v>99.57</v>
      </c>
      <c r="T267" s="145">
        <v>135.47999999999999</v>
      </c>
      <c r="U267" s="145">
        <v>0.04</v>
      </c>
      <c r="V267" s="145">
        <v>0.39</v>
      </c>
      <c r="W267" s="145">
        <v>20.36</v>
      </c>
      <c r="X267" s="145">
        <v>0.14000000000000001</v>
      </c>
      <c r="Y267" s="145">
        <v>0.14000000000000001</v>
      </c>
      <c r="Z267" s="145">
        <v>0.15</v>
      </c>
      <c r="AA267" s="145">
        <v>0.97</v>
      </c>
      <c r="AB267" s="145">
        <v>31.32</v>
      </c>
      <c r="AC267" s="145">
        <v>1.83</v>
      </c>
      <c r="AD267" s="145">
        <v>0.17</v>
      </c>
      <c r="AE267" s="145">
        <v>53.01</v>
      </c>
      <c r="AF267" s="145">
        <v>0.16</v>
      </c>
      <c r="AG267" s="145">
        <v>0.83</v>
      </c>
      <c r="AH267" s="145">
        <v>0.01</v>
      </c>
      <c r="AI267" s="145">
        <v>304</v>
      </c>
      <c r="AJ267" s="145">
        <v>9.94</v>
      </c>
      <c r="AK267" s="145">
        <v>20.94</v>
      </c>
      <c r="AL267" s="145">
        <v>2.04</v>
      </c>
      <c r="AM267" s="145">
        <v>1.23</v>
      </c>
    </row>
    <row r="268" spans="1:39">
      <c r="A268" s="143" t="s">
        <v>1327</v>
      </c>
      <c r="B268" s="144">
        <v>100</v>
      </c>
      <c r="C268" s="145">
        <v>55.38</v>
      </c>
      <c r="D268" s="145">
        <v>1.84</v>
      </c>
      <c r="E268" s="145">
        <v>4.1100000000000003</v>
      </c>
      <c r="F268" s="145">
        <v>0.6</v>
      </c>
      <c r="G268" s="145">
        <v>0.89</v>
      </c>
      <c r="H268" s="145">
        <v>2.34</v>
      </c>
      <c r="I268" s="145">
        <v>1.92</v>
      </c>
      <c r="J268" s="145">
        <v>0.42</v>
      </c>
      <c r="K268" s="145" t="s">
        <v>400</v>
      </c>
      <c r="L268" s="145">
        <v>4.1100000000000003</v>
      </c>
      <c r="M268" s="145">
        <v>2.2999999999999998</v>
      </c>
      <c r="N268" s="145">
        <v>16</v>
      </c>
      <c r="O268" s="145">
        <v>9</v>
      </c>
      <c r="P268" s="145">
        <v>0.13</v>
      </c>
      <c r="Q268" s="145">
        <v>32</v>
      </c>
      <c r="R268" s="145">
        <v>0.32</v>
      </c>
      <c r="S268" s="145">
        <v>15</v>
      </c>
      <c r="T268" s="145">
        <v>142</v>
      </c>
      <c r="U268" s="145">
        <v>0.02</v>
      </c>
      <c r="V268" s="145">
        <v>0.17</v>
      </c>
      <c r="W268" s="145" t="s">
        <v>400</v>
      </c>
      <c r="X268" s="145">
        <v>0.04</v>
      </c>
      <c r="Y268" s="145">
        <v>0.05</v>
      </c>
      <c r="Z268" s="145">
        <v>0.17</v>
      </c>
      <c r="AA268" s="145">
        <v>0.41</v>
      </c>
      <c r="AB268" s="145">
        <v>44.3</v>
      </c>
      <c r="AC268" s="145">
        <v>0.81</v>
      </c>
      <c r="AD268" s="145" t="s">
        <v>400</v>
      </c>
      <c r="AE268" s="145">
        <v>44</v>
      </c>
      <c r="AF268" s="145" t="s">
        <v>400</v>
      </c>
      <c r="AG268" s="145">
        <v>0.41</v>
      </c>
      <c r="AH268" s="145" t="s">
        <v>400</v>
      </c>
      <c r="AI268" s="145">
        <v>304</v>
      </c>
      <c r="AJ268" s="145">
        <v>2.2799999999999998</v>
      </c>
      <c r="AK268" s="145">
        <v>0.57999999999999996</v>
      </c>
      <c r="AL268" s="145">
        <v>1.8</v>
      </c>
      <c r="AM268" s="145" t="s">
        <v>400</v>
      </c>
    </row>
    <row r="269" spans="1:39">
      <c r="A269" s="143" t="s">
        <v>1328</v>
      </c>
      <c r="B269" s="144">
        <v>100</v>
      </c>
      <c r="C269" s="145">
        <v>23</v>
      </c>
      <c r="D269" s="145">
        <v>1.84</v>
      </c>
      <c r="E269" s="145">
        <v>0.45</v>
      </c>
      <c r="F269" s="145">
        <v>7.0000000000000007E-2</v>
      </c>
      <c r="G269" s="145">
        <v>0.03</v>
      </c>
      <c r="H269" s="145">
        <v>0.22</v>
      </c>
      <c r="I269" s="145">
        <v>0.05</v>
      </c>
      <c r="J269" s="145">
        <v>0.17</v>
      </c>
      <c r="K269" s="145" t="s">
        <v>400</v>
      </c>
      <c r="L269" s="145">
        <v>4.1100000000000003</v>
      </c>
      <c r="M269" s="145">
        <v>2.2999999999999998</v>
      </c>
      <c r="N269" s="145">
        <v>16</v>
      </c>
      <c r="O269" s="145">
        <v>9</v>
      </c>
      <c r="P269" s="145">
        <v>0.13</v>
      </c>
      <c r="Q269" s="145">
        <v>32</v>
      </c>
      <c r="R269" s="145">
        <v>0.32</v>
      </c>
      <c r="S269" s="145">
        <v>15</v>
      </c>
      <c r="T269" s="145">
        <v>142</v>
      </c>
      <c r="U269" s="145">
        <v>0.02</v>
      </c>
      <c r="V269" s="145">
        <v>0.17</v>
      </c>
      <c r="W269" s="145" t="s">
        <v>400</v>
      </c>
      <c r="X269" s="145">
        <v>0.04</v>
      </c>
      <c r="Y269" s="145">
        <v>0.05</v>
      </c>
      <c r="Z269" s="145">
        <v>0.17</v>
      </c>
      <c r="AA269" s="145">
        <v>0.41</v>
      </c>
      <c r="AB269" s="145">
        <v>44.3</v>
      </c>
      <c r="AC269" s="145">
        <v>0.81</v>
      </c>
      <c r="AD269" s="145" t="s">
        <v>400</v>
      </c>
      <c r="AE269" s="145">
        <v>44</v>
      </c>
      <c r="AF269" s="145" t="s">
        <v>400</v>
      </c>
      <c r="AG269" s="145">
        <v>7.0000000000000007E-2</v>
      </c>
      <c r="AH269" s="145" t="s">
        <v>400</v>
      </c>
      <c r="AI269" s="145">
        <v>304</v>
      </c>
      <c r="AJ269" s="145">
        <v>0.6</v>
      </c>
      <c r="AK269" s="145">
        <v>0.57999999999999996</v>
      </c>
      <c r="AL269" s="145">
        <v>1.8</v>
      </c>
      <c r="AM269" s="145" t="s">
        <v>400</v>
      </c>
    </row>
    <row r="270" spans="1:39">
      <c r="A270" s="143" t="s">
        <v>1329</v>
      </c>
      <c r="B270" s="144">
        <v>100</v>
      </c>
      <c r="C270" s="145">
        <v>23</v>
      </c>
      <c r="D270" s="145">
        <v>1.84</v>
      </c>
      <c r="E270" s="145">
        <v>0.45</v>
      </c>
      <c r="F270" s="145">
        <v>7.0000000000000007E-2</v>
      </c>
      <c r="G270" s="145">
        <v>0.03</v>
      </c>
      <c r="H270" s="145">
        <v>0.22</v>
      </c>
      <c r="I270" s="145">
        <v>0.05</v>
      </c>
      <c r="J270" s="145">
        <v>0.17</v>
      </c>
      <c r="K270" s="145" t="s">
        <v>400</v>
      </c>
      <c r="L270" s="145">
        <v>4.1100000000000003</v>
      </c>
      <c r="M270" s="145">
        <v>2.2999999999999998</v>
      </c>
      <c r="N270" s="145">
        <v>16</v>
      </c>
      <c r="O270" s="145">
        <v>9</v>
      </c>
      <c r="P270" s="145">
        <v>0.13</v>
      </c>
      <c r="Q270" s="145">
        <v>32</v>
      </c>
      <c r="R270" s="145">
        <v>0.32</v>
      </c>
      <c r="S270" s="145">
        <v>15</v>
      </c>
      <c r="T270" s="145">
        <v>142</v>
      </c>
      <c r="U270" s="145">
        <v>0.02</v>
      </c>
      <c r="V270" s="145">
        <v>0.17</v>
      </c>
      <c r="W270" s="145" t="s">
        <v>400</v>
      </c>
      <c r="X270" s="145">
        <v>0.04</v>
      </c>
      <c r="Y270" s="145">
        <v>0.05</v>
      </c>
      <c r="Z270" s="145">
        <v>0.17</v>
      </c>
      <c r="AA270" s="145">
        <v>0.41</v>
      </c>
      <c r="AB270" s="145">
        <v>44.3</v>
      </c>
      <c r="AC270" s="145">
        <v>0.81</v>
      </c>
      <c r="AD270" s="145" t="s">
        <v>400</v>
      </c>
      <c r="AE270" s="145">
        <v>44</v>
      </c>
      <c r="AF270" s="145" t="s">
        <v>400</v>
      </c>
      <c r="AG270" s="145">
        <v>7.0000000000000007E-2</v>
      </c>
      <c r="AH270" s="145" t="s">
        <v>400</v>
      </c>
      <c r="AI270" s="145">
        <v>304</v>
      </c>
      <c r="AJ270" s="145">
        <v>0.6</v>
      </c>
      <c r="AK270" s="145">
        <v>0.57999999999999996</v>
      </c>
      <c r="AL270" s="145">
        <v>1.8</v>
      </c>
      <c r="AM270" s="145" t="s">
        <v>400</v>
      </c>
    </row>
    <row r="271" spans="1:39">
      <c r="A271" s="143" t="s">
        <v>1330</v>
      </c>
      <c r="B271" s="144">
        <v>100</v>
      </c>
      <c r="C271" s="145">
        <v>23</v>
      </c>
      <c r="D271" s="145">
        <v>2.97</v>
      </c>
      <c r="E271" s="145">
        <v>0.26</v>
      </c>
      <c r="F271" s="145">
        <v>0.04</v>
      </c>
      <c r="G271" s="145">
        <v>0.01</v>
      </c>
      <c r="H271" s="145">
        <v>0.11</v>
      </c>
      <c r="I271" s="145">
        <v>0.02</v>
      </c>
      <c r="J271" s="145">
        <v>0.09</v>
      </c>
      <c r="K271" s="145" t="s">
        <v>400</v>
      </c>
      <c r="L271" s="145">
        <v>3.75</v>
      </c>
      <c r="M271" s="145">
        <v>2.4</v>
      </c>
      <c r="N271" s="145">
        <v>136</v>
      </c>
      <c r="O271" s="145">
        <v>87</v>
      </c>
      <c r="P271" s="145">
        <v>0.94</v>
      </c>
      <c r="Q271" s="145">
        <v>56</v>
      </c>
      <c r="R271" s="145">
        <v>3.57</v>
      </c>
      <c r="S271" s="145">
        <v>70</v>
      </c>
      <c r="T271" s="145">
        <v>466</v>
      </c>
      <c r="U271" s="145">
        <v>0.17</v>
      </c>
      <c r="V271" s="145">
        <v>0.76</v>
      </c>
      <c r="W271" s="145" t="s">
        <v>400</v>
      </c>
      <c r="X271" s="145">
        <v>0.1</v>
      </c>
      <c r="Y271" s="145">
        <v>0.24</v>
      </c>
      <c r="Z271" s="145">
        <v>0.24</v>
      </c>
      <c r="AA271" s="145">
        <v>0.49</v>
      </c>
      <c r="AB271" s="145">
        <v>9.8000000000000007</v>
      </c>
      <c r="AC271" s="145">
        <v>1.1599999999999999</v>
      </c>
      <c r="AD271" s="145" t="s">
        <v>400</v>
      </c>
      <c r="AE271" s="145">
        <v>146</v>
      </c>
      <c r="AF271" s="145" t="s">
        <v>400</v>
      </c>
      <c r="AG271" s="145">
        <v>2.08</v>
      </c>
      <c r="AH271" s="145" t="s">
        <v>400</v>
      </c>
      <c r="AI271" s="145">
        <v>210</v>
      </c>
      <c r="AJ271" s="145">
        <v>1.5</v>
      </c>
      <c r="AK271" s="145">
        <v>524</v>
      </c>
      <c r="AL271" s="145">
        <v>0.89</v>
      </c>
      <c r="AM271" s="145" t="s">
        <v>400</v>
      </c>
    </row>
    <row r="272" spans="1:39">
      <c r="A272" s="143" t="s">
        <v>1331</v>
      </c>
      <c r="B272" s="144">
        <v>100</v>
      </c>
      <c r="C272" s="145">
        <v>23</v>
      </c>
      <c r="D272" s="145">
        <v>2.97</v>
      </c>
      <c r="E272" s="145">
        <v>0.26</v>
      </c>
      <c r="F272" s="145">
        <v>0.04</v>
      </c>
      <c r="G272" s="145">
        <v>0.01</v>
      </c>
      <c r="H272" s="145">
        <v>0.11</v>
      </c>
      <c r="I272" s="145">
        <v>0.02</v>
      </c>
      <c r="J272" s="145">
        <v>0.09</v>
      </c>
      <c r="K272" s="145" t="s">
        <v>400</v>
      </c>
      <c r="L272" s="145">
        <v>3.75</v>
      </c>
      <c r="M272" s="145">
        <v>2.4</v>
      </c>
      <c r="N272" s="145">
        <v>136</v>
      </c>
      <c r="O272" s="145">
        <v>87</v>
      </c>
      <c r="P272" s="145">
        <v>0.94</v>
      </c>
      <c r="Q272" s="145">
        <v>56</v>
      </c>
      <c r="R272" s="145">
        <v>3.57</v>
      </c>
      <c r="S272" s="145">
        <v>70</v>
      </c>
      <c r="T272" s="145">
        <v>466</v>
      </c>
      <c r="U272" s="145">
        <v>0.17</v>
      </c>
      <c r="V272" s="145">
        <v>0.76</v>
      </c>
      <c r="W272" s="145" t="s">
        <v>400</v>
      </c>
      <c r="X272" s="145">
        <v>0.1</v>
      </c>
      <c r="Y272" s="145">
        <v>0.24</v>
      </c>
      <c r="Z272" s="145">
        <v>0.24</v>
      </c>
      <c r="AA272" s="145">
        <v>0.49</v>
      </c>
      <c r="AB272" s="145">
        <v>9.8000000000000007</v>
      </c>
      <c r="AC272" s="145">
        <v>1.1599999999999999</v>
      </c>
      <c r="AD272" s="145" t="s">
        <v>400</v>
      </c>
      <c r="AE272" s="145">
        <v>146</v>
      </c>
      <c r="AF272" s="145" t="s">
        <v>400</v>
      </c>
      <c r="AG272" s="145">
        <v>2.08</v>
      </c>
      <c r="AH272" s="145" t="s">
        <v>400</v>
      </c>
      <c r="AI272" s="145">
        <v>210</v>
      </c>
      <c r="AJ272" s="145">
        <v>1.5</v>
      </c>
      <c r="AK272" s="145">
        <v>524</v>
      </c>
      <c r="AL272" s="145">
        <v>0.89</v>
      </c>
      <c r="AM272" s="145" t="s">
        <v>400</v>
      </c>
    </row>
    <row r="273" spans="1:39">
      <c r="A273" s="143" t="s">
        <v>1332</v>
      </c>
      <c r="B273" s="144">
        <v>100</v>
      </c>
      <c r="C273" s="145">
        <v>45.3</v>
      </c>
      <c r="D273" s="145">
        <v>2.97</v>
      </c>
      <c r="E273" s="145">
        <v>2.78</v>
      </c>
      <c r="F273" s="145">
        <v>0.41</v>
      </c>
      <c r="G273" s="145">
        <v>0.59</v>
      </c>
      <c r="H273" s="145">
        <v>1.57</v>
      </c>
      <c r="I273" s="145">
        <v>1.3</v>
      </c>
      <c r="J273" s="145">
        <v>0.26</v>
      </c>
      <c r="K273" s="145" t="s">
        <v>400</v>
      </c>
      <c r="L273" s="145">
        <v>3.75</v>
      </c>
      <c r="M273" s="145">
        <v>2.4</v>
      </c>
      <c r="N273" s="145">
        <v>136</v>
      </c>
      <c r="O273" s="145">
        <v>87</v>
      </c>
      <c r="P273" s="145">
        <v>0.94</v>
      </c>
      <c r="Q273" s="145">
        <v>56</v>
      </c>
      <c r="R273" s="145">
        <v>3.57</v>
      </c>
      <c r="S273" s="145">
        <v>70</v>
      </c>
      <c r="T273" s="145">
        <v>466</v>
      </c>
      <c r="U273" s="145">
        <v>0.17</v>
      </c>
      <c r="V273" s="145">
        <v>0.76</v>
      </c>
      <c r="W273" s="145" t="s">
        <v>400</v>
      </c>
      <c r="X273" s="145">
        <v>0.1</v>
      </c>
      <c r="Y273" s="145">
        <v>0.24</v>
      </c>
      <c r="Z273" s="145">
        <v>0.24</v>
      </c>
      <c r="AA273" s="145">
        <v>0.49</v>
      </c>
      <c r="AB273" s="145">
        <v>9.8000000000000007</v>
      </c>
      <c r="AC273" s="145">
        <v>1.1599999999999999</v>
      </c>
      <c r="AD273" s="145" t="s">
        <v>400</v>
      </c>
      <c r="AE273" s="145">
        <v>146</v>
      </c>
      <c r="AF273" s="145" t="s">
        <v>400</v>
      </c>
      <c r="AG273" s="145">
        <v>2.31</v>
      </c>
      <c r="AH273" s="145" t="s">
        <v>400</v>
      </c>
      <c r="AI273" s="145">
        <v>210</v>
      </c>
      <c r="AJ273" s="145">
        <v>2.66</v>
      </c>
      <c r="AK273" s="145">
        <v>524</v>
      </c>
      <c r="AL273" s="145">
        <v>0.89</v>
      </c>
      <c r="AM273" s="145" t="s">
        <v>400</v>
      </c>
    </row>
    <row r="274" spans="1:39">
      <c r="A274" s="143" t="s">
        <v>1333</v>
      </c>
      <c r="B274" s="144">
        <v>100</v>
      </c>
      <c r="C274" s="145">
        <v>23</v>
      </c>
      <c r="D274" s="145">
        <v>2.97</v>
      </c>
      <c r="E274" s="145">
        <v>0.26</v>
      </c>
      <c r="F274" s="145">
        <v>0.04</v>
      </c>
      <c r="G274" s="145">
        <v>0.01</v>
      </c>
      <c r="H274" s="145">
        <v>0.11</v>
      </c>
      <c r="I274" s="145">
        <v>0.02</v>
      </c>
      <c r="J274" s="145">
        <v>0.09</v>
      </c>
      <c r="K274" s="145" t="s">
        <v>400</v>
      </c>
      <c r="L274" s="145">
        <v>3.75</v>
      </c>
      <c r="M274" s="145">
        <v>2.4</v>
      </c>
      <c r="N274" s="145">
        <v>136</v>
      </c>
      <c r="O274" s="145">
        <v>87</v>
      </c>
      <c r="P274" s="145">
        <v>0.94</v>
      </c>
      <c r="Q274" s="145">
        <v>56</v>
      </c>
      <c r="R274" s="145">
        <v>3.57</v>
      </c>
      <c r="S274" s="145">
        <v>70</v>
      </c>
      <c r="T274" s="145">
        <v>466</v>
      </c>
      <c r="U274" s="145">
        <v>0.17</v>
      </c>
      <c r="V274" s="145">
        <v>0.76</v>
      </c>
      <c r="W274" s="145" t="s">
        <v>400</v>
      </c>
      <c r="X274" s="145">
        <v>0.1</v>
      </c>
      <c r="Y274" s="145">
        <v>0.24</v>
      </c>
      <c r="Z274" s="145">
        <v>0.24</v>
      </c>
      <c r="AA274" s="145">
        <v>0.49</v>
      </c>
      <c r="AB274" s="145">
        <v>9.8000000000000007</v>
      </c>
      <c r="AC274" s="145">
        <v>1.1599999999999999</v>
      </c>
      <c r="AD274" s="145" t="s">
        <v>400</v>
      </c>
      <c r="AE274" s="145">
        <v>146</v>
      </c>
      <c r="AF274" s="145" t="s">
        <v>400</v>
      </c>
      <c r="AG274" s="145">
        <v>2.08</v>
      </c>
      <c r="AH274" s="145" t="s">
        <v>400</v>
      </c>
      <c r="AI274" s="145">
        <v>210</v>
      </c>
      <c r="AJ274" s="145">
        <v>1.5</v>
      </c>
      <c r="AK274" s="145">
        <v>524</v>
      </c>
      <c r="AL274" s="145">
        <v>0.89</v>
      </c>
      <c r="AM274" s="145" t="s">
        <v>400</v>
      </c>
    </row>
    <row r="275" spans="1:39">
      <c r="A275" s="143" t="s">
        <v>1334</v>
      </c>
      <c r="B275" s="144">
        <v>100</v>
      </c>
      <c r="C275" s="145">
        <v>23</v>
      </c>
      <c r="D275" s="145">
        <v>2.97</v>
      </c>
      <c r="E275" s="145">
        <v>0.26</v>
      </c>
      <c r="F275" s="145">
        <v>0.04</v>
      </c>
      <c r="G275" s="145">
        <v>0.01</v>
      </c>
      <c r="H275" s="145">
        <v>0.11</v>
      </c>
      <c r="I275" s="145">
        <v>0.02</v>
      </c>
      <c r="J275" s="145">
        <v>0.09</v>
      </c>
      <c r="K275" s="145" t="s">
        <v>400</v>
      </c>
      <c r="L275" s="145">
        <v>3.75</v>
      </c>
      <c r="M275" s="145">
        <v>2.4</v>
      </c>
      <c r="N275" s="145">
        <v>136</v>
      </c>
      <c r="O275" s="145">
        <v>87</v>
      </c>
      <c r="P275" s="145">
        <v>0.94</v>
      </c>
      <c r="Q275" s="145">
        <v>56</v>
      </c>
      <c r="R275" s="145">
        <v>3.57</v>
      </c>
      <c r="S275" s="145">
        <v>70</v>
      </c>
      <c r="T275" s="145">
        <v>466</v>
      </c>
      <c r="U275" s="145">
        <v>0.17</v>
      </c>
      <c r="V275" s="145">
        <v>0.76</v>
      </c>
      <c r="W275" s="145" t="s">
        <v>400</v>
      </c>
      <c r="X275" s="145">
        <v>0.1</v>
      </c>
      <c r="Y275" s="145">
        <v>0.24</v>
      </c>
      <c r="Z275" s="145">
        <v>0.24</v>
      </c>
      <c r="AA275" s="145">
        <v>0.49</v>
      </c>
      <c r="AB275" s="145">
        <v>9.8000000000000007</v>
      </c>
      <c r="AC275" s="145">
        <v>1.1599999999999999</v>
      </c>
      <c r="AD275" s="145" t="s">
        <v>400</v>
      </c>
      <c r="AE275" s="145">
        <v>146</v>
      </c>
      <c r="AF275" s="145" t="s">
        <v>400</v>
      </c>
      <c r="AG275" s="145">
        <v>2.08</v>
      </c>
      <c r="AH275" s="145" t="s">
        <v>400</v>
      </c>
      <c r="AI275" s="145">
        <v>210</v>
      </c>
      <c r="AJ275" s="145">
        <v>1.5</v>
      </c>
      <c r="AK275" s="145">
        <v>524</v>
      </c>
      <c r="AL275" s="145">
        <v>0.89</v>
      </c>
      <c r="AM275" s="145" t="s">
        <v>400</v>
      </c>
    </row>
    <row r="276" spans="1:39">
      <c r="A276" s="143" t="s">
        <v>1335</v>
      </c>
      <c r="B276" s="144">
        <v>100</v>
      </c>
      <c r="C276" s="145">
        <v>26</v>
      </c>
      <c r="D276" s="145">
        <v>2.7</v>
      </c>
      <c r="E276" s="145">
        <v>0.2</v>
      </c>
      <c r="F276" s="145">
        <v>0.01</v>
      </c>
      <c r="G276" s="145">
        <v>0.09</v>
      </c>
      <c r="H276" s="145">
        <v>0.04</v>
      </c>
      <c r="I276" s="145">
        <v>0.02</v>
      </c>
      <c r="J276" s="145">
        <v>0.02</v>
      </c>
      <c r="K276" s="145" t="s">
        <v>400</v>
      </c>
      <c r="L276" s="145">
        <v>4.9000000000000004</v>
      </c>
      <c r="M276" s="145">
        <v>3.3</v>
      </c>
      <c r="N276" s="145">
        <v>103</v>
      </c>
      <c r="O276" s="145">
        <v>32</v>
      </c>
      <c r="P276" s="145">
        <v>0.48</v>
      </c>
      <c r="Q276" s="145">
        <v>43</v>
      </c>
      <c r="R276" s="145">
        <v>1.46</v>
      </c>
      <c r="S276" s="145">
        <v>25</v>
      </c>
      <c r="T276" s="145">
        <v>354</v>
      </c>
      <c r="U276" s="145">
        <v>0.15</v>
      </c>
      <c r="V276" s="145">
        <v>0.2</v>
      </c>
      <c r="W276" s="145" t="s">
        <v>400</v>
      </c>
      <c r="X276" s="145">
        <v>0.08</v>
      </c>
      <c r="Y276" s="145">
        <v>0.11</v>
      </c>
      <c r="Z276" s="145">
        <v>0.18</v>
      </c>
      <c r="AA276" s="145">
        <v>0.8</v>
      </c>
      <c r="AB276" s="145">
        <v>70</v>
      </c>
      <c r="AC276" s="145">
        <v>1.3</v>
      </c>
      <c r="AD276" s="145" t="s">
        <v>400</v>
      </c>
      <c r="AE276" s="145">
        <v>187</v>
      </c>
      <c r="AF276" s="145" t="s">
        <v>400</v>
      </c>
      <c r="AG276" s="145">
        <v>2.0099999999999998</v>
      </c>
      <c r="AH276" s="145" t="s">
        <v>400</v>
      </c>
      <c r="AI276" s="145" t="s">
        <v>400</v>
      </c>
      <c r="AJ276" s="145">
        <v>0.9</v>
      </c>
      <c r="AK276" s="145">
        <v>525</v>
      </c>
      <c r="AL276" s="145">
        <v>0.7</v>
      </c>
      <c r="AM276" s="145" t="s">
        <v>400</v>
      </c>
    </row>
    <row r="277" spans="1:39">
      <c r="A277" s="143" t="s">
        <v>1336</v>
      </c>
      <c r="B277" s="144">
        <v>100</v>
      </c>
      <c r="C277" s="145">
        <v>15</v>
      </c>
      <c r="D277" s="145">
        <v>2.2599999999999998</v>
      </c>
      <c r="E277" s="145">
        <v>0.24</v>
      </c>
      <c r="F277" s="145">
        <v>0.01</v>
      </c>
      <c r="G277" s="145">
        <v>0.11</v>
      </c>
      <c r="H277" s="145">
        <v>0.05</v>
      </c>
      <c r="I277" s="145">
        <v>0.02</v>
      </c>
      <c r="J277" s="145">
        <v>0.02</v>
      </c>
      <c r="K277" s="145" t="s">
        <v>400</v>
      </c>
      <c r="L277" s="145">
        <v>2.1</v>
      </c>
      <c r="M277" s="145">
        <v>2</v>
      </c>
      <c r="N277" s="145">
        <v>74</v>
      </c>
      <c r="O277" s="145">
        <v>15</v>
      </c>
      <c r="P277" s="145">
        <v>0.27</v>
      </c>
      <c r="Q277" s="145">
        <v>41</v>
      </c>
      <c r="R277" s="145">
        <v>0.7</v>
      </c>
      <c r="S277" s="145">
        <v>16</v>
      </c>
      <c r="T277" s="145">
        <v>202</v>
      </c>
      <c r="U277" s="145">
        <v>0.08</v>
      </c>
      <c r="V277" s="145">
        <v>0.11</v>
      </c>
      <c r="W277" s="145" t="s">
        <v>400</v>
      </c>
      <c r="X277" s="145">
        <v>0.04</v>
      </c>
      <c r="Y277" s="145">
        <v>0.06</v>
      </c>
      <c r="Z277" s="145">
        <v>0.1</v>
      </c>
      <c r="AA277" s="145">
        <v>0.43</v>
      </c>
      <c r="AB277" s="145">
        <v>25.3</v>
      </c>
      <c r="AC277" s="145">
        <v>0.85</v>
      </c>
      <c r="AD277" s="145" t="s">
        <v>400</v>
      </c>
      <c r="AE277" s="145">
        <v>73</v>
      </c>
      <c r="AF277" s="145" t="s">
        <v>400</v>
      </c>
      <c r="AG277" s="145">
        <v>1.21</v>
      </c>
      <c r="AH277" s="145" t="s">
        <v>400</v>
      </c>
      <c r="AI277" s="145">
        <v>222</v>
      </c>
      <c r="AJ277" s="145">
        <v>0.6</v>
      </c>
      <c r="AK277" s="145">
        <v>316.17</v>
      </c>
      <c r="AL277" s="145">
        <v>0.5</v>
      </c>
      <c r="AM277" s="145" t="s">
        <v>400</v>
      </c>
    </row>
    <row r="278" spans="1:39">
      <c r="A278" s="143" t="s">
        <v>1337</v>
      </c>
      <c r="B278" s="144">
        <v>100</v>
      </c>
      <c r="C278" s="145">
        <v>43.68</v>
      </c>
      <c r="D278" s="145">
        <v>2.2599999999999998</v>
      </c>
      <c r="E278" s="145">
        <v>3.48</v>
      </c>
      <c r="F278" s="145">
        <v>0.48</v>
      </c>
      <c r="G278" s="145">
        <v>0.87</v>
      </c>
      <c r="H278" s="145">
        <v>1.92</v>
      </c>
      <c r="I278" s="145">
        <v>1.68</v>
      </c>
      <c r="J278" s="145">
        <v>0.24</v>
      </c>
      <c r="K278" s="145" t="s">
        <v>400</v>
      </c>
      <c r="L278" s="145">
        <v>2.1</v>
      </c>
      <c r="M278" s="145">
        <v>2</v>
      </c>
      <c r="N278" s="145">
        <v>74</v>
      </c>
      <c r="O278" s="145">
        <v>15</v>
      </c>
      <c r="P278" s="145">
        <v>0.27</v>
      </c>
      <c r="Q278" s="145">
        <v>41</v>
      </c>
      <c r="R278" s="145">
        <v>0.7</v>
      </c>
      <c r="S278" s="145">
        <v>16</v>
      </c>
      <c r="T278" s="145">
        <v>202</v>
      </c>
      <c r="U278" s="145">
        <v>0.08</v>
      </c>
      <c r="V278" s="145">
        <v>0.11</v>
      </c>
      <c r="W278" s="145" t="s">
        <v>400</v>
      </c>
      <c r="X278" s="145">
        <v>0.04</v>
      </c>
      <c r="Y278" s="145">
        <v>0.06</v>
      </c>
      <c r="Z278" s="145">
        <v>0.1</v>
      </c>
      <c r="AA278" s="145">
        <v>0.43</v>
      </c>
      <c r="AB278" s="145">
        <v>25.3</v>
      </c>
      <c r="AC278" s="145">
        <v>0.85</v>
      </c>
      <c r="AD278" s="145" t="s">
        <v>400</v>
      </c>
      <c r="AE278" s="145">
        <v>73</v>
      </c>
      <c r="AF278" s="145" t="s">
        <v>400</v>
      </c>
      <c r="AG278" s="145">
        <v>1.51</v>
      </c>
      <c r="AH278" s="145" t="s">
        <v>400</v>
      </c>
      <c r="AI278" s="145">
        <v>222</v>
      </c>
      <c r="AJ278" s="145">
        <v>2.09</v>
      </c>
      <c r="AK278" s="145">
        <v>316.17</v>
      </c>
      <c r="AL278" s="145">
        <v>0.5</v>
      </c>
      <c r="AM278" s="145" t="s">
        <v>400</v>
      </c>
    </row>
    <row r="279" spans="1:39">
      <c r="A279" s="143" t="s">
        <v>1338</v>
      </c>
      <c r="B279" s="144">
        <v>100</v>
      </c>
      <c r="C279" s="145">
        <v>15</v>
      </c>
      <c r="D279" s="145">
        <v>2.2599999999999998</v>
      </c>
      <c r="E279" s="145">
        <v>0.24</v>
      </c>
      <c r="F279" s="145">
        <v>0.01</v>
      </c>
      <c r="G279" s="145">
        <v>0.11</v>
      </c>
      <c r="H279" s="145">
        <v>0.05</v>
      </c>
      <c r="I279" s="145">
        <v>0.02</v>
      </c>
      <c r="J279" s="145">
        <v>0.02</v>
      </c>
      <c r="K279" s="145" t="s">
        <v>400</v>
      </c>
      <c r="L279" s="145">
        <v>2.1</v>
      </c>
      <c r="M279" s="145">
        <v>2</v>
      </c>
      <c r="N279" s="145">
        <v>74</v>
      </c>
      <c r="O279" s="145">
        <v>15</v>
      </c>
      <c r="P279" s="145">
        <v>0.27</v>
      </c>
      <c r="Q279" s="145">
        <v>41</v>
      </c>
      <c r="R279" s="145">
        <v>0.7</v>
      </c>
      <c r="S279" s="145">
        <v>16</v>
      </c>
      <c r="T279" s="145">
        <v>202</v>
      </c>
      <c r="U279" s="145">
        <v>0.08</v>
      </c>
      <c r="V279" s="145">
        <v>0.11</v>
      </c>
      <c r="W279" s="145" t="s">
        <v>400</v>
      </c>
      <c r="X279" s="145">
        <v>0.04</v>
      </c>
      <c r="Y279" s="145">
        <v>0.06</v>
      </c>
      <c r="Z279" s="145">
        <v>0.1</v>
      </c>
      <c r="AA279" s="145">
        <v>0.43</v>
      </c>
      <c r="AB279" s="145">
        <v>25.3</v>
      </c>
      <c r="AC279" s="145">
        <v>0.85</v>
      </c>
      <c r="AD279" s="145" t="s">
        <v>400</v>
      </c>
      <c r="AE279" s="145">
        <v>73</v>
      </c>
      <c r="AF279" s="145" t="s">
        <v>400</v>
      </c>
      <c r="AG279" s="145">
        <v>1.21</v>
      </c>
      <c r="AH279" s="145" t="s">
        <v>400</v>
      </c>
      <c r="AI279" s="145">
        <v>222</v>
      </c>
      <c r="AJ279" s="145">
        <v>0.6</v>
      </c>
      <c r="AK279" s="145">
        <v>316.17</v>
      </c>
      <c r="AL279" s="145">
        <v>0.5</v>
      </c>
      <c r="AM279" s="145" t="s">
        <v>400</v>
      </c>
    </row>
    <row r="280" spans="1:39">
      <c r="A280" s="143" t="s">
        <v>1339</v>
      </c>
      <c r="B280" s="144">
        <v>100</v>
      </c>
      <c r="C280" s="145">
        <v>25</v>
      </c>
      <c r="D280" s="145">
        <v>1.28</v>
      </c>
      <c r="E280" s="145">
        <v>0.1</v>
      </c>
      <c r="F280" s="145">
        <v>0.03</v>
      </c>
      <c r="G280" s="145">
        <v>0.02</v>
      </c>
      <c r="H280" s="145">
        <v>0.02</v>
      </c>
      <c r="I280" s="145">
        <v>0.02</v>
      </c>
      <c r="J280" s="145" t="s">
        <v>400</v>
      </c>
      <c r="K280" s="145" t="s">
        <v>400</v>
      </c>
      <c r="L280" s="145">
        <v>5.8</v>
      </c>
      <c r="M280" s="145">
        <v>2.2400000000000002</v>
      </c>
      <c r="N280" s="145">
        <v>40</v>
      </c>
      <c r="O280" s="145">
        <v>12</v>
      </c>
      <c r="P280" s="145">
        <v>0.16</v>
      </c>
      <c r="Q280" s="145">
        <v>26</v>
      </c>
      <c r="R280" s="145">
        <v>0.47</v>
      </c>
      <c r="S280" s="145">
        <v>18</v>
      </c>
      <c r="T280" s="145">
        <v>170</v>
      </c>
      <c r="U280" s="145">
        <v>0.02</v>
      </c>
      <c r="V280" s="145">
        <v>0.18</v>
      </c>
      <c r="W280" s="145" t="s">
        <v>400</v>
      </c>
      <c r="X280" s="145">
        <v>0.06</v>
      </c>
      <c r="Y280" s="145">
        <v>0.04</v>
      </c>
      <c r="Z280" s="145">
        <v>0.12</v>
      </c>
      <c r="AA280" s="145">
        <v>0.23</v>
      </c>
      <c r="AB280" s="145">
        <v>36.6</v>
      </c>
      <c r="AC280" s="145">
        <v>0.42</v>
      </c>
      <c r="AD280" s="145" t="s">
        <v>400</v>
      </c>
      <c r="AE280" s="145">
        <v>43</v>
      </c>
      <c r="AF280" s="145" t="s">
        <v>400</v>
      </c>
      <c r="AG280" s="145">
        <v>0.15</v>
      </c>
      <c r="AH280" s="145" t="s">
        <v>400</v>
      </c>
      <c r="AI280" s="145" t="s">
        <v>400</v>
      </c>
      <c r="AJ280" s="145">
        <v>0.3</v>
      </c>
      <c r="AK280" s="145">
        <v>4.88</v>
      </c>
      <c r="AL280" s="145">
        <v>3.21</v>
      </c>
      <c r="AM280" s="145" t="s">
        <v>400</v>
      </c>
    </row>
    <row r="281" spans="1:39">
      <c r="A281" s="143" t="s">
        <v>1340</v>
      </c>
      <c r="B281" s="144">
        <v>100</v>
      </c>
      <c r="C281" s="145">
        <v>23</v>
      </c>
      <c r="D281" s="145">
        <v>1.27</v>
      </c>
      <c r="E281" s="145">
        <v>0.06</v>
      </c>
      <c r="F281" s="145" t="s">
        <v>400</v>
      </c>
      <c r="G281" s="145">
        <v>1.9E-2</v>
      </c>
      <c r="H281" s="145">
        <v>2.3E-2</v>
      </c>
      <c r="I281" s="145">
        <v>8.9999999999999993E-3</v>
      </c>
      <c r="J281" s="145">
        <v>1.4E-2</v>
      </c>
      <c r="K281" s="145" t="s">
        <v>400</v>
      </c>
      <c r="L281" s="145">
        <v>5.51</v>
      </c>
      <c r="M281" s="145">
        <v>1.9</v>
      </c>
      <c r="N281" s="145">
        <v>48</v>
      </c>
      <c r="O281" s="145">
        <v>15</v>
      </c>
      <c r="P281" s="145">
        <v>0.20499999999999999</v>
      </c>
      <c r="Q281" s="145">
        <v>33</v>
      </c>
      <c r="R281" s="145">
        <v>0.17</v>
      </c>
      <c r="S281" s="145">
        <v>8</v>
      </c>
      <c r="T281" s="145">
        <v>196</v>
      </c>
      <c r="U281" s="145">
        <v>1.7000000000000001E-2</v>
      </c>
      <c r="V281" s="145">
        <v>0.2</v>
      </c>
      <c r="W281" s="145" t="s">
        <v>400</v>
      </c>
      <c r="X281" s="145">
        <v>6.0999999999999999E-2</v>
      </c>
      <c r="Y281" s="145">
        <v>3.7999999999999999E-2</v>
      </c>
      <c r="Z281" s="146">
        <v>0.112</v>
      </c>
      <c r="AA281" s="145">
        <v>0.248</v>
      </c>
      <c r="AB281" s="145">
        <v>37.5</v>
      </c>
      <c r="AC281" s="145">
        <v>0.43099999999999999</v>
      </c>
      <c r="AD281" s="145" t="s">
        <v>400</v>
      </c>
      <c r="AE281" s="145">
        <v>30</v>
      </c>
      <c r="AF281" s="145" t="s">
        <v>400</v>
      </c>
      <c r="AG281" s="145">
        <v>0.14000000000000001</v>
      </c>
      <c r="AH281" s="145" t="s">
        <v>400</v>
      </c>
      <c r="AI281" s="145">
        <v>251</v>
      </c>
      <c r="AJ281" s="145">
        <v>0.6</v>
      </c>
      <c r="AK281" s="145">
        <v>4</v>
      </c>
      <c r="AL281" s="145">
        <v>2.78</v>
      </c>
      <c r="AM281" s="145" t="s">
        <v>400</v>
      </c>
    </row>
    <row r="282" spans="1:39">
      <c r="A282" s="143" t="s">
        <v>1341</v>
      </c>
      <c r="B282" s="144">
        <v>100</v>
      </c>
      <c r="C282" s="145">
        <v>49.765999999999998</v>
      </c>
      <c r="D282" s="145">
        <v>1.27</v>
      </c>
      <c r="E282" s="145">
        <v>3.0880000000000001</v>
      </c>
      <c r="F282" s="145">
        <v>0.47399999999999998</v>
      </c>
      <c r="G282" s="145">
        <v>0.70899999999999996</v>
      </c>
      <c r="H282" s="145">
        <v>1.7709999999999999</v>
      </c>
      <c r="I282" s="145">
        <v>1.552</v>
      </c>
      <c r="J282" s="145">
        <v>0.22</v>
      </c>
      <c r="K282" s="145" t="s">
        <v>400</v>
      </c>
      <c r="L282" s="145">
        <v>5.51</v>
      </c>
      <c r="M282" s="145">
        <v>1.9</v>
      </c>
      <c r="N282" s="145">
        <v>48</v>
      </c>
      <c r="O282" s="145">
        <v>15</v>
      </c>
      <c r="P282" s="145">
        <v>0.20499999999999999</v>
      </c>
      <c r="Q282" s="145">
        <v>33</v>
      </c>
      <c r="R282" s="145">
        <v>0.17199999999999999</v>
      </c>
      <c r="S282" s="145">
        <v>8</v>
      </c>
      <c r="T282" s="145">
        <v>196</v>
      </c>
      <c r="U282" s="145">
        <v>1.7000000000000001E-2</v>
      </c>
      <c r="V282" s="145">
        <v>0.2</v>
      </c>
      <c r="W282" s="145" t="s">
        <v>400</v>
      </c>
      <c r="X282" s="145">
        <v>6.0999999999999999E-2</v>
      </c>
      <c r="Y282" s="145">
        <v>3.7999999999999999E-2</v>
      </c>
      <c r="Z282" s="146">
        <v>0.112</v>
      </c>
      <c r="AA282" s="145">
        <v>0.248</v>
      </c>
      <c r="AB282" s="145">
        <v>37.5</v>
      </c>
      <c r="AC282" s="145">
        <v>0.43099999999999999</v>
      </c>
      <c r="AD282" s="145" t="s">
        <v>400</v>
      </c>
      <c r="AE282" s="145">
        <v>30</v>
      </c>
      <c r="AF282" s="145" t="s">
        <v>400</v>
      </c>
      <c r="AG282" s="145">
        <v>0.38800000000000001</v>
      </c>
      <c r="AH282" s="145">
        <v>1.6E-2</v>
      </c>
      <c r="AI282" s="145">
        <v>251</v>
      </c>
      <c r="AJ282" s="145">
        <v>1.988</v>
      </c>
      <c r="AK282" s="145">
        <v>4</v>
      </c>
      <c r="AL282" s="145">
        <v>2.78</v>
      </c>
      <c r="AM282" s="145" t="s">
        <v>400</v>
      </c>
    </row>
    <row r="283" spans="1:39">
      <c r="A283" s="143" t="s">
        <v>1342</v>
      </c>
      <c r="B283" s="144">
        <v>100</v>
      </c>
      <c r="C283" s="145">
        <v>49.765999999999998</v>
      </c>
      <c r="D283" s="145">
        <v>1.27</v>
      </c>
      <c r="E283" s="145">
        <v>3.0880000000000001</v>
      </c>
      <c r="F283" s="145">
        <v>0.47399999999999998</v>
      </c>
      <c r="G283" s="145">
        <v>0.70899999999999996</v>
      </c>
      <c r="H283" s="145">
        <v>1.7709999999999999</v>
      </c>
      <c r="I283" s="145">
        <v>1.552</v>
      </c>
      <c r="J283" s="145">
        <v>0.22</v>
      </c>
      <c r="K283" s="145" t="s">
        <v>400</v>
      </c>
      <c r="L283" s="145">
        <v>5.51</v>
      </c>
      <c r="M283" s="145">
        <v>1.9</v>
      </c>
      <c r="N283" s="145">
        <v>48</v>
      </c>
      <c r="O283" s="145">
        <v>15</v>
      </c>
      <c r="P283" s="145">
        <v>0.20499999999999999</v>
      </c>
      <c r="Q283" s="145">
        <v>33</v>
      </c>
      <c r="R283" s="145">
        <v>0.17199999999999999</v>
      </c>
      <c r="S283" s="145">
        <v>8</v>
      </c>
      <c r="T283" s="145">
        <v>196</v>
      </c>
      <c r="U283" s="145">
        <v>1.7000000000000001E-2</v>
      </c>
      <c r="V283" s="145">
        <v>0.2</v>
      </c>
      <c r="W283" s="145" t="s">
        <v>400</v>
      </c>
      <c r="X283" s="145">
        <v>6.0999999999999999E-2</v>
      </c>
      <c r="Y283" s="145">
        <v>3.7999999999999999E-2</v>
      </c>
      <c r="Z283" s="146">
        <v>0.112</v>
      </c>
      <c r="AA283" s="145">
        <v>0.248</v>
      </c>
      <c r="AB283" s="145">
        <v>37.5</v>
      </c>
      <c r="AC283" s="145">
        <v>0.43099999999999999</v>
      </c>
      <c r="AD283" s="145" t="s">
        <v>400</v>
      </c>
      <c r="AE283" s="145">
        <v>30</v>
      </c>
      <c r="AF283" s="145" t="s">
        <v>400</v>
      </c>
      <c r="AG283" s="145">
        <v>0.38800000000000001</v>
      </c>
      <c r="AH283" s="145">
        <v>1.6E-2</v>
      </c>
      <c r="AI283" s="145">
        <v>251</v>
      </c>
      <c r="AJ283" s="145">
        <v>1.988</v>
      </c>
      <c r="AK283" s="145">
        <v>4</v>
      </c>
      <c r="AL283" s="145">
        <v>2.78</v>
      </c>
      <c r="AM283" s="145" t="s">
        <v>400</v>
      </c>
    </row>
    <row r="284" spans="1:39">
      <c r="A284" s="143" t="s">
        <v>1343</v>
      </c>
      <c r="B284" s="144">
        <v>100</v>
      </c>
      <c r="C284" s="145">
        <v>23</v>
      </c>
      <c r="D284" s="145">
        <v>1.27</v>
      </c>
      <c r="E284" s="145">
        <v>0.06</v>
      </c>
      <c r="F284" s="145" t="s">
        <v>400</v>
      </c>
      <c r="G284" s="145">
        <v>1.9E-2</v>
      </c>
      <c r="H284" s="145">
        <v>2.3E-2</v>
      </c>
      <c r="I284" s="145">
        <v>8.9999999999999993E-3</v>
      </c>
      <c r="J284" s="145">
        <v>1.4E-2</v>
      </c>
      <c r="K284" s="145" t="s">
        <v>400</v>
      </c>
      <c r="L284" s="145">
        <v>5.51</v>
      </c>
      <c r="M284" s="145">
        <v>1.9</v>
      </c>
      <c r="N284" s="145">
        <v>48</v>
      </c>
      <c r="O284" s="145">
        <v>15</v>
      </c>
      <c r="P284" s="145">
        <v>0.20499999999999999</v>
      </c>
      <c r="Q284" s="145">
        <v>33</v>
      </c>
      <c r="R284" s="145">
        <v>0.17</v>
      </c>
      <c r="S284" s="145">
        <v>8</v>
      </c>
      <c r="T284" s="145">
        <v>196</v>
      </c>
      <c r="U284" s="145">
        <v>1.7000000000000001E-2</v>
      </c>
      <c r="V284" s="145">
        <v>0.2</v>
      </c>
      <c r="W284" s="145" t="s">
        <v>400</v>
      </c>
      <c r="X284" s="145">
        <v>6.0999999999999999E-2</v>
      </c>
      <c r="Y284" s="145">
        <v>3.7999999999999999E-2</v>
      </c>
      <c r="Z284" s="146">
        <v>0.112</v>
      </c>
      <c r="AA284" s="145">
        <v>0.248</v>
      </c>
      <c r="AB284" s="145">
        <v>37.5</v>
      </c>
      <c r="AC284" s="145">
        <v>0.43099999999999999</v>
      </c>
      <c r="AD284" s="145" t="s">
        <v>400</v>
      </c>
      <c r="AE284" s="145">
        <v>30</v>
      </c>
      <c r="AF284" s="145" t="s">
        <v>400</v>
      </c>
      <c r="AG284" s="145">
        <v>0.14000000000000001</v>
      </c>
      <c r="AH284" s="145" t="s">
        <v>400</v>
      </c>
      <c r="AI284" s="145">
        <v>251</v>
      </c>
      <c r="AJ284" s="145">
        <v>0.6</v>
      </c>
      <c r="AK284" s="145">
        <v>4</v>
      </c>
      <c r="AL284" s="145">
        <v>2.78</v>
      </c>
      <c r="AM284" s="145" t="s">
        <v>400</v>
      </c>
    </row>
    <row r="285" spans="1:39">
      <c r="A285" s="143" t="s">
        <v>1344</v>
      </c>
      <c r="B285" s="144">
        <v>100</v>
      </c>
      <c r="C285" s="145">
        <v>49.765999999999998</v>
      </c>
      <c r="D285" s="145">
        <v>1.27</v>
      </c>
      <c r="E285" s="145">
        <v>3.0880000000000001</v>
      </c>
      <c r="F285" s="145">
        <v>0.47399999999999998</v>
      </c>
      <c r="G285" s="145">
        <v>0.70899999999999996</v>
      </c>
      <c r="H285" s="145">
        <v>1.7709999999999999</v>
      </c>
      <c r="I285" s="145">
        <v>1.552</v>
      </c>
      <c r="J285" s="145">
        <v>0.22</v>
      </c>
      <c r="K285" s="145" t="s">
        <v>400</v>
      </c>
      <c r="L285" s="145">
        <v>5.51</v>
      </c>
      <c r="M285" s="145">
        <v>1.9</v>
      </c>
      <c r="N285" s="145">
        <v>48</v>
      </c>
      <c r="O285" s="145">
        <v>15</v>
      </c>
      <c r="P285" s="145">
        <v>0.20499999999999999</v>
      </c>
      <c r="Q285" s="145">
        <v>33</v>
      </c>
      <c r="R285" s="145">
        <v>0.17199999999999999</v>
      </c>
      <c r="S285" s="145">
        <v>8</v>
      </c>
      <c r="T285" s="145">
        <v>196</v>
      </c>
      <c r="U285" s="145">
        <v>1.7000000000000001E-2</v>
      </c>
      <c r="V285" s="145">
        <v>0.2</v>
      </c>
      <c r="W285" s="145" t="s">
        <v>400</v>
      </c>
      <c r="X285" s="145">
        <v>6.0999999999999999E-2</v>
      </c>
      <c r="Y285" s="145">
        <v>3.7999999999999999E-2</v>
      </c>
      <c r="Z285" s="146">
        <v>0.112</v>
      </c>
      <c r="AA285" s="145">
        <v>0.248</v>
      </c>
      <c r="AB285" s="145">
        <v>37.5</v>
      </c>
      <c r="AC285" s="145">
        <v>0.43099999999999999</v>
      </c>
      <c r="AD285" s="145" t="s">
        <v>400</v>
      </c>
      <c r="AE285" s="145">
        <v>30</v>
      </c>
      <c r="AF285" s="145" t="s">
        <v>400</v>
      </c>
      <c r="AG285" s="145">
        <v>0.38800000000000001</v>
      </c>
      <c r="AH285" s="145">
        <v>1.6E-2</v>
      </c>
      <c r="AI285" s="145">
        <v>251</v>
      </c>
      <c r="AJ285" s="145">
        <v>1.988</v>
      </c>
      <c r="AK285" s="145">
        <v>4</v>
      </c>
      <c r="AL285" s="145">
        <v>2.78</v>
      </c>
      <c r="AM285" s="145" t="s">
        <v>400</v>
      </c>
    </row>
    <row r="286" spans="1:39">
      <c r="A286" s="143" t="s">
        <v>1345</v>
      </c>
      <c r="B286" s="144">
        <v>100</v>
      </c>
      <c r="C286" s="145">
        <v>23</v>
      </c>
      <c r="D286" s="145">
        <v>1.27</v>
      </c>
      <c r="E286" s="145">
        <v>0.06</v>
      </c>
      <c r="F286" s="145" t="s">
        <v>400</v>
      </c>
      <c r="G286" s="145">
        <v>1.9E-2</v>
      </c>
      <c r="H286" s="145">
        <v>2.3E-2</v>
      </c>
      <c r="I286" s="145">
        <v>8.9999999999999993E-3</v>
      </c>
      <c r="J286" s="145">
        <v>1.4E-2</v>
      </c>
      <c r="K286" s="145" t="s">
        <v>400</v>
      </c>
      <c r="L286" s="145">
        <v>5.51</v>
      </c>
      <c r="M286" s="145">
        <v>1.9</v>
      </c>
      <c r="N286" s="145">
        <v>48</v>
      </c>
      <c r="O286" s="145">
        <v>15</v>
      </c>
      <c r="P286" s="145">
        <v>0.20499999999999999</v>
      </c>
      <c r="Q286" s="145">
        <v>33</v>
      </c>
      <c r="R286" s="145">
        <v>0.17</v>
      </c>
      <c r="S286" s="145">
        <v>8</v>
      </c>
      <c r="T286" s="145">
        <v>196</v>
      </c>
      <c r="U286" s="145">
        <v>1.7000000000000001E-2</v>
      </c>
      <c r="V286" s="145">
        <v>0.2</v>
      </c>
      <c r="W286" s="145" t="s">
        <v>400</v>
      </c>
      <c r="X286" s="145">
        <v>6.0999999999999999E-2</v>
      </c>
      <c r="Y286" s="145">
        <v>3.7999999999999999E-2</v>
      </c>
      <c r="Z286" s="146">
        <v>0.112</v>
      </c>
      <c r="AA286" s="145">
        <v>0.248</v>
      </c>
      <c r="AB286" s="145">
        <v>37.5</v>
      </c>
      <c r="AC286" s="145">
        <v>0.43099999999999999</v>
      </c>
      <c r="AD286" s="145" t="s">
        <v>400</v>
      </c>
      <c r="AE286" s="145">
        <v>30</v>
      </c>
      <c r="AF286" s="145" t="s">
        <v>400</v>
      </c>
      <c r="AG286" s="145">
        <v>0.14000000000000001</v>
      </c>
      <c r="AH286" s="145" t="s">
        <v>400</v>
      </c>
      <c r="AI286" s="145">
        <v>251</v>
      </c>
      <c r="AJ286" s="145">
        <v>0.6</v>
      </c>
      <c r="AK286" s="145">
        <v>4</v>
      </c>
      <c r="AL286" s="145">
        <v>2.78</v>
      </c>
      <c r="AM286" s="145" t="s">
        <v>400</v>
      </c>
    </row>
    <row r="287" spans="1:39">
      <c r="A287" s="143" t="s">
        <v>1346</v>
      </c>
      <c r="B287" s="144">
        <v>100</v>
      </c>
      <c r="C287" s="145">
        <v>49.765999999999998</v>
      </c>
      <c r="D287" s="145">
        <v>1.27</v>
      </c>
      <c r="E287" s="145">
        <v>3.0880000000000001</v>
      </c>
      <c r="F287" s="145">
        <v>0.47399999999999998</v>
      </c>
      <c r="G287" s="145">
        <v>0.70899999999999996</v>
      </c>
      <c r="H287" s="145">
        <v>1.7709999999999999</v>
      </c>
      <c r="I287" s="145">
        <v>1.552</v>
      </c>
      <c r="J287" s="145">
        <v>0.22</v>
      </c>
      <c r="K287" s="145" t="s">
        <v>400</v>
      </c>
      <c r="L287" s="145">
        <v>5.51</v>
      </c>
      <c r="M287" s="145">
        <v>1.9</v>
      </c>
      <c r="N287" s="145">
        <v>48</v>
      </c>
      <c r="O287" s="145">
        <v>15</v>
      </c>
      <c r="P287" s="145">
        <v>0.20499999999999999</v>
      </c>
      <c r="Q287" s="145">
        <v>33</v>
      </c>
      <c r="R287" s="145">
        <v>0.17199999999999999</v>
      </c>
      <c r="S287" s="145">
        <v>8</v>
      </c>
      <c r="T287" s="145">
        <v>196</v>
      </c>
      <c r="U287" s="145">
        <v>1.7000000000000001E-2</v>
      </c>
      <c r="V287" s="145">
        <v>0.2</v>
      </c>
      <c r="W287" s="145" t="s">
        <v>400</v>
      </c>
      <c r="X287" s="145">
        <v>6.0999999999999999E-2</v>
      </c>
      <c r="Y287" s="145">
        <v>3.7999999999999999E-2</v>
      </c>
      <c r="Z287" s="146">
        <v>0.112</v>
      </c>
      <c r="AA287" s="145">
        <v>0.248</v>
      </c>
      <c r="AB287" s="145">
        <v>37.5</v>
      </c>
      <c r="AC287" s="145">
        <v>0.43099999999999999</v>
      </c>
      <c r="AD287" s="145" t="s">
        <v>400</v>
      </c>
      <c r="AE287" s="145">
        <v>30</v>
      </c>
      <c r="AF287" s="145" t="s">
        <v>400</v>
      </c>
      <c r="AG287" s="145">
        <v>0.38800000000000001</v>
      </c>
      <c r="AH287" s="145">
        <v>1.6E-2</v>
      </c>
      <c r="AI287" s="145">
        <v>251</v>
      </c>
      <c r="AJ287" s="145">
        <v>1.988</v>
      </c>
      <c r="AK287" s="145">
        <v>4</v>
      </c>
      <c r="AL287" s="145">
        <v>2.78</v>
      </c>
      <c r="AM287" s="145" t="s">
        <v>400</v>
      </c>
    </row>
    <row r="288" spans="1:39">
      <c r="A288" s="143" t="s">
        <v>1347</v>
      </c>
      <c r="B288" s="144">
        <v>100</v>
      </c>
      <c r="C288" s="145">
        <v>31.443000000000001</v>
      </c>
      <c r="D288" s="145">
        <v>0.94799999999999995</v>
      </c>
      <c r="E288" s="145">
        <v>0.123</v>
      </c>
      <c r="F288" s="145">
        <v>3.9E-2</v>
      </c>
      <c r="G288" s="145">
        <v>2.7E-2</v>
      </c>
      <c r="H288" s="145">
        <v>3.2000000000000001E-2</v>
      </c>
      <c r="I288" s="145">
        <v>2.7E-2</v>
      </c>
      <c r="J288" s="145">
        <v>5.0000000000000001E-3</v>
      </c>
      <c r="K288" s="145" t="s">
        <v>400</v>
      </c>
      <c r="L288" s="145">
        <v>7.0119999999999996</v>
      </c>
      <c r="M288" s="145">
        <v>0.71099999999999997</v>
      </c>
      <c r="N288" s="145">
        <v>8.5549999999999997</v>
      </c>
      <c r="O288" s="145">
        <v>6.3470000000000004</v>
      </c>
      <c r="P288" s="145">
        <v>6.8000000000000005E-2</v>
      </c>
      <c r="Q288" s="145">
        <v>15.762</v>
      </c>
      <c r="R288" s="145">
        <v>0.28499999999999998</v>
      </c>
      <c r="S288" s="145">
        <v>310.43200000000002</v>
      </c>
      <c r="T288" s="145">
        <v>88.314999999999998</v>
      </c>
      <c r="U288" s="145">
        <v>3.9E-2</v>
      </c>
      <c r="V288" s="145">
        <v>0.115</v>
      </c>
      <c r="W288" s="145" t="s">
        <v>400</v>
      </c>
      <c r="X288" s="145">
        <v>0.03</v>
      </c>
      <c r="Y288" s="145">
        <v>2.5999999999999999E-2</v>
      </c>
      <c r="Z288" s="146">
        <v>0.04</v>
      </c>
      <c r="AA288" s="145">
        <v>0.505</v>
      </c>
      <c r="AB288" s="145">
        <v>2.0990000000000002</v>
      </c>
      <c r="AC288" s="145">
        <v>0.66700000000000004</v>
      </c>
      <c r="AD288" s="145">
        <v>1.4999999999999999E-2</v>
      </c>
      <c r="AE288" s="145">
        <v>9.2759999999999998</v>
      </c>
      <c r="AF288" s="145" t="s">
        <v>400</v>
      </c>
      <c r="AG288" s="145">
        <v>0.20399999999999999</v>
      </c>
      <c r="AH288" s="145">
        <v>2E-3</v>
      </c>
      <c r="AI288" s="145" t="s">
        <v>400</v>
      </c>
      <c r="AJ288" s="145">
        <v>1.3440000000000001</v>
      </c>
      <c r="AK288" s="145">
        <v>33.475999999999999</v>
      </c>
      <c r="AL288" s="145">
        <v>3.2749999999999999</v>
      </c>
      <c r="AM288" s="145">
        <v>2.5230000000000001</v>
      </c>
    </row>
    <row r="289" spans="1:39">
      <c r="A289" s="143" t="s">
        <v>1348</v>
      </c>
      <c r="B289" s="144">
        <v>100</v>
      </c>
      <c r="C289" s="145">
        <v>23</v>
      </c>
      <c r="D289" s="145">
        <v>1.27</v>
      </c>
      <c r="E289" s="145">
        <v>0.06</v>
      </c>
      <c r="F289" s="145" t="s">
        <v>400</v>
      </c>
      <c r="G289" s="145">
        <v>1.9E-2</v>
      </c>
      <c r="H289" s="145">
        <v>2.3E-2</v>
      </c>
      <c r="I289" s="145">
        <v>8.9999999999999993E-3</v>
      </c>
      <c r="J289" s="145">
        <v>1.4E-2</v>
      </c>
      <c r="K289" s="145" t="s">
        <v>400</v>
      </c>
      <c r="L289" s="145">
        <v>5.51</v>
      </c>
      <c r="M289" s="145">
        <v>1.9</v>
      </c>
      <c r="N289" s="145">
        <v>48</v>
      </c>
      <c r="O289" s="145">
        <v>15</v>
      </c>
      <c r="P289" s="145">
        <v>0.20499999999999999</v>
      </c>
      <c r="Q289" s="145">
        <v>33</v>
      </c>
      <c r="R289" s="145">
        <v>0.17</v>
      </c>
      <c r="S289" s="145">
        <v>8</v>
      </c>
      <c r="T289" s="145">
        <v>196</v>
      </c>
      <c r="U289" s="145">
        <v>1.7000000000000001E-2</v>
      </c>
      <c r="V289" s="145">
        <v>0.2</v>
      </c>
      <c r="W289" s="145" t="s">
        <v>400</v>
      </c>
      <c r="X289" s="145">
        <v>6.0999999999999999E-2</v>
      </c>
      <c r="Y289" s="145">
        <v>3.7999999999999999E-2</v>
      </c>
      <c r="Z289" s="146">
        <v>0.112</v>
      </c>
      <c r="AA289" s="145">
        <v>0.248</v>
      </c>
      <c r="AB289" s="145">
        <v>37.5</v>
      </c>
      <c r="AC289" s="145">
        <v>0.43099999999999999</v>
      </c>
      <c r="AD289" s="145" t="s">
        <v>400</v>
      </c>
      <c r="AE289" s="145">
        <v>30</v>
      </c>
      <c r="AF289" s="145" t="s">
        <v>400</v>
      </c>
      <c r="AG289" s="145">
        <v>0.14000000000000001</v>
      </c>
      <c r="AH289" s="145" t="s">
        <v>400</v>
      </c>
      <c r="AI289" s="145">
        <v>251</v>
      </c>
      <c r="AJ289" s="145">
        <v>0.6</v>
      </c>
      <c r="AK289" s="145">
        <v>4</v>
      </c>
      <c r="AL289" s="145">
        <v>2.78</v>
      </c>
      <c r="AM289" s="145" t="s">
        <v>400</v>
      </c>
    </row>
    <row r="290" spans="1:39">
      <c r="A290" s="143" t="s">
        <v>1349</v>
      </c>
      <c r="B290" s="144">
        <v>100</v>
      </c>
      <c r="C290" s="145">
        <v>25</v>
      </c>
      <c r="D290" s="145">
        <v>1.8</v>
      </c>
      <c r="E290" s="145">
        <v>0.1</v>
      </c>
      <c r="F290" s="145">
        <v>0.02</v>
      </c>
      <c r="G290" s="145">
        <v>0.01</v>
      </c>
      <c r="H290" s="145">
        <v>0.04</v>
      </c>
      <c r="I290" s="145">
        <v>0.04</v>
      </c>
      <c r="J290" s="145" t="s">
        <v>400</v>
      </c>
      <c r="K290" s="145" t="s">
        <v>400</v>
      </c>
      <c r="L290" s="145">
        <v>5.65</v>
      </c>
      <c r="M290" s="145">
        <v>3.5</v>
      </c>
      <c r="N290" s="145">
        <v>61</v>
      </c>
      <c r="O290" s="145">
        <v>20</v>
      </c>
      <c r="P290" s="145">
        <v>0.13</v>
      </c>
      <c r="Q290" s="145">
        <v>33</v>
      </c>
      <c r="R290" s="145">
        <v>1.92</v>
      </c>
      <c r="S290" s="145">
        <v>4</v>
      </c>
      <c r="T290" s="145">
        <v>260</v>
      </c>
      <c r="U290" s="145">
        <v>0.06</v>
      </c>
      <c r="V290" s="145">
        <v>0.45</v>
      </c>
      <c r="W290" s="145" t="s">
        <v>400</v>
      </c>
      <c r="X290" s="145">
        <v>7.0000000000000007E-2</v>
      </c>
      <c r="Y290" s="145">
        <v>0.14000000000000001</v>
      </c>
      <c r="Z290" s="145">
        <v>0.06</v>
      </c>
      <c r="AA290" s="145">
        <v>0.2</v>
      </c>
      <c r="AB290" s="145">
        <v>45.6</v>
      </c>
      <c r="AC290" s="145">
        <v>0.53</v>
      </c>
      <c r="AD290" s="145" t="s">
        <v>400</v>
      </c>
      <c r="AE290" s="145">
        <v>14</v>
      </c>
      <c r="AF290" s="145" t="s">
        <v>400</v>
      </c>
      <c r="AG290" s="145">
        <v>0.21</v>
      </c>
      <c r="AH290" s="145" t="s">
        <v>400</v>
      </c>
      <c r="AI290" s="145" t="s">
        <v>400</v>
      </c>
      <c r="AJ290" s="145">
        <v>0.5</v>
      </c>
      <c r="AK290" s="145">
        <v>200</v>
      </c>
      <c r="AL290" s="145">
        <v>2.09</v>
      </c>
      <c r="AM290" s="145" t="s">
        <v>400</v>
      </c>
    </row>
    <row r="291" spans="1:39">
      <c r="A291" s="143" t="s">
        <v>1350</v>
      </c>
      <c r="B291" s="144">
        <v>100</v>
      </c>
      <c r="C291" s="145">
        <v>25</v>
      </c>
      <c r="D291" s="145">
        <v>2.58</v>
      </c>
      <c r="E291" s="145">
        <v>0.66</v>
      </c>
      <c r="F291" s="145">
        <v>0.09</v>
      </c>
      <c r="G291" s="145">
        <v>0.05</v>
      </c>
      <c r="H291" s="145">
        <v>0.32</v>
      </c>
      <c r="I291" s="145">
        <v>0.13</v>
      </c>
      <c r="J291" s="145">
        <v>0.17</v>
      </c>
      <c r="K291" s="145" t="s">
        <v>400</v>
      </c>
      <c r="L291" s="145">
        <v>3.65</v>
      </c>
      <c r="M291" s="145">
        <v>1.6</v>
      </c>
      <c r="N291" s="145">
        <v>160</v>
      </c>
      <c r="O291" s="145">
        <v>47</v>
      </c>
      <c r="P291" s="145">
        <v>0.32</v>
      </c>
      <c r="Q291" s="145">
        <v>52</v>
      </c>
      <c r="R291" s="145">
        <v>1.46</v>
      </c>
      <c r="S291" s="145">
        <v>27</v>
      </c>
      <c r="T291" s="145">
        <v>369</v>
      </c>
      <c r="U291" s="145">
        <v>0.08</v>
      </c>
      <c r="V291" s="145">
        <v>0.47</v>
      </c>
      <c r="W291" s="145" t="s">
        <v>400</v>
      </c>
      <c r="X291" s="145">
        <v>0.04</v>
      </c>
      <c r="Y291" s="145">
        <v>0.09</v>
      </c>
      <c r="Z291" s="145">
        <v>7.0000000000000007E-2</v>
      </c>
      <c r="AA291" s="145">
        <v>0.31</v>
      </c>
      <c r="AB291" s="145">
        <v>15</v>
      </c>
      <c r="AC291" s="145">
        <v>0.31</v>
      </c>
      <c r="AD291" s="145" t="s">
        <v>400</v>
      </c>
      <c r="AE291" s="145">
        <v>97</v>
      </c>
      <c r="AF291" s="145" t="s">
        <v>400</v>
      </c>
      <c r="AG291" s="145">
        <v>0.43</v>
      </c>
      <c r="AH291" s="145" t="s">
        <v>400</v>
      </c>
      <c r="AI291" s="145" t="s">
        <v>400</v>
      </c>
      <c r="AJ291" s="145">
        <v>0.3</v>
      </c>
      <c r="AK291" s="145">
        <v>118.67</v>
      </c>
      <c r="AL291" s="145">
        <v>1.6</v>
      </c>
      <c r="AM291" s="145" t="s">
        <v>400</v>
      </c>
    </row>
    <row r="292" spans="1:39">
      <c r="A292" s="143" t="s">
        <v>1351</v>
      </c>
      <c r="B292" s="144">
        <v>100</v>
      </c>
      <c r="C292" s="145">
        <v>11</v>
      </c>
      <c r="D292" s="145">
        <v>2.2999999999999998</v>
      </c>
      <c r="E292" s="145">
        <v>0.1</v>
      </c>
      <c r="F292" s="145">
        <v>2.7E-2</v>
      </c>
      <c r="G292" s="145">
        <v>8.0000000000000002E-3</v>
      </c>
      <c r="H292" s="145">
        <v>3.5000000000000003E-2</v>
      </c>
      <c r="I292" s="145">
        <v>1.2E-2</v>
      </c>
      <c r="J292" s="145">
        <v>2.3E-2</v>
      </c>
      <c r="K292" s="145" t="s">
        <v>400</v>
      </c>
      <c r="L292" s="145">
        <v>1.29</v>
      </c>
      <c r="M292" s="145">
        <v>0.5</v>
      </c>
      <c r="N292" s="145">
        <v>120.17100000000001</v>
      </c>
      <c r="O292" s="145">
        <v>21.007000000000001</v>
      </c>
      <c r="P292" s="145">
        <v>0.245</v>
      </c>
      <c r="Q292" s="145">
        <v>60</v>
      </c>
      <c r="R292" s="145">
        <v>0.20200000000000001</v>
      </c>
      <c r="S292" s="145">
        <v>316.36099999999999</v>
      </c>
      <c r="T292" s="145">
        <v>330.05700000000002</v>
      </c>
      <c r="U292" s="145">
        <v>7.6999999999999999E-2</v>
      </c>
      <c r="V292" s="145">
        <v>0.111</v>
      </c>
      <c r="W292" s="145" t="s">
        <v>400</v>
      </c>
      <c r="X292" s="145">
        <v>0.09</v>
      </c>
      <c r="Y292" s="145">
        <v>0.12</v>
      </c>
      <c r="Z292" s="146">
        <v>0.129</v>
      </c>
      <c r="AA292" s="145">
        <v>0.2</v>
      </c>
      <c r="AB292" s="145">
        <v>30</v>
      </c>
      <c r="AC292" s="145">
        <v>0.7</v>
      </c>
      <c r="AD292" s="145" t="s">
        <v>400</v>
      </c>
      <c r="AE292" s="145">
        <v>9</v>
      </c>
      <c r="AF292" s="145" t="s">
        <v>400</v>
      </c>
      <c r="AG292" s="145">
        <v>1</v>
      </c>
      <c r="AH292" s="145" t="s">
        <v>400</v>
      </c>
      <c r="AI292" s="145">
        <v>275</v>
      </c>
      <c r="AJ292" s="145">
        <v>0.90100000000000002</v>
      </c>
      <c r="AK292" s="145">
        <v>159.5</v>
      </c>
      <c r="AL292" s="145">
        <v>0.7</v>
      </c>
      <c r="AM292" s="145" t="s">
        <v>400</v>
      </c>
    </row>
    <row r="293" spans="1:39">
      <c r="A293" s="143" t="s">
        <v>1352</v>
      </c>
      <c r="B293" s="144">
        <v>100</v>
      </c>
      <c r="C293" s="145">
        <v>11</v>
      </c>
      <c r="D293" s="145">
        <v>2.2999999999999998</v>
      </c>
      <c r="E293" s="145">
        <v>0.1</v>
      </c>
      <c r="F293" s="145">
        <v>2.7E-2</v>
      </c>
      <c r="G293" s="145">
        <v>8.0000000000000002E-3</v>
      </c>
      <c r="H293" s="145">
        <v>3.5000000000000003E-2</v>
      </c>
      <c r="I293" s="145">
        <v>1.2E-2</v>
      </c>
      <c r="J293" s="145">
        <v>2.3E-2</v>
      </c>
      <c r="K293" s="145" t="s">
        <v>400</v>
      </c>
      <c r="L293" s="145">
        <v>1.29</v>
      </c>
      <c r="M293" s="145">
        <v>0.5</v>
      </c>
      <c r="N293" s="145">
        <v>120.17100000000001</v>
      </c>
      <c r="O293" s="145">
        <v>21.007000000000001</v>
      </c>
      <c r="P293" s="145">
        <v>0.245</v>
      </c>
      <c r="Q293" s="145">
        <v>60</v>
      </c>
      <c r="R293" s="145">
        <v>0.20200000000000001</v>
      </c>
      <c r="S293" s="145">
        <v>316.36099999999999</v>
      </c>
      <c r="T293" s="145">
        <v>330.05700000000002</v>
      </c>
      <c r="U293" s="145">
        <v>7.6999999999999999E-2</v>
      </c>
      <c r="V293" s="145">
        <v>0.111</v>
      </c>
      <c r="W293" s="145" t="s">
        <v>400</v>
      </c>
      <c r="X293" s="145">
        <v>0.09</v>
      </c>
      <c r="Y293" s="145">
        <v>0.12</v>
      </c>
      <c r="Z293" s="146">
        <v>0.129</v>
      </c>
      <c r="AA293" s="145">
        <v>0.2</v>
      </c>
      <c r="AB293" s="145">
        <v>30</v>
      </c>
      <c r="AC293" s="145">
        <v>0.7</v>
      </c>
      <c r="AD293" s="145" t="s">
        <v>400</v>
      </c>
      <c r="AE293" s="145">
        <v>9</v>
      </c>
      <c r="AF293" s="145" t="s">
        <v>400</v>
      </c>
      <c r="AG293" s="145">
        <v>1</v>
      </c>
      <c r="AH293" s="145" t="s">
        <v>400</v>
      </c>
      <c r="AI293" s="145">
        <v>275</v>
      </c>
      <c r="AJ293" s="145">
        <v>0.90100000000000002</v>
      </c>
      <c r="AK293" s="145">
        <v>159.5</v>
      </c>
      <c r="AL293" s="145">
        <v>0.7</v>
      </c>
      <c r="AM293" s="145" t="s">
        <v>400</v>
      </c>
    </row>
    <row r="294" spans="1:39">
      <c r="A294" s="143" t="s">
        <v>1353</v>
      </c>
      <c r="B294" s="144">
        <v>100</v>
      </c>
      <c r="C294" s="145">
        <v>35.75</v>
      </c>
      <c r="D294" s="145">
        <v>2.3290000000000002</v>
      </c>
      <c r="E294" s="145">
        <v>2.9</v>
      </c>
      <c r="F294" s="145">
        <v>1.8</v>
      </c>
      <c r="G294" s="145">
        <v>0.73399999999999999</v>
      </c>
      <c r="H294" s="145">
        <v>0.14000000000000001</v>
      </c>
      <c r="I294" s="145">
        <v>0.106</v>
      </c>
      <c r="J294" s="145">
        <v>3.4000000000000002E-2</v>
      </c>
      <c r="K294" s="145">
        <v>7.4219999999999997</v>
      </c>
      <c r="L294" s="145">
        <v>1.292</v>
      </c>
      <c r="M294" s="145">
        <v>0.5</v>
      </c>
      <c r="N294" s="145">
        <v>120.828</v>
      </c>
      <c r="O294" s="145">
        <v>21.068999999999999</v>
      </c>
      <c r="P294" s="145">
        <v>0.24399999999999999</v>
      </c>
      <c r="Q294" s="145">
        <v>60.828000000000003</v>
      </c>
      <c r="R294" s="145">
        <v>0.20100000000000001</v>
      </c>
      <c r="S294" s="145">
        <v>60.883000000000003</v>
      </c>
      <c r="T294" s="145">
        <v>330.82799999999997</v>
      </c>
      <c r="U294" s="145">
        <v>7.6999999999999999E-2</v>
      </c>
      <c r="V294" s="145">
        <v>0.113</v>
      </c>
      <c r="W294" s="145">
        <v>23.163</v>
      </c>
      <c r="X294" s="145">
        <v>0.09</v>
      </c>
      <c r="Y294" s="145">
        <v>0.121</v>
      </c>
      <c r="Z294" s="146">
        <v>0.129</v>
      </c>
      <c r="AA294" s="145">
        <v>0.20100000000000001</v>
      </c>
      <c r="AB294" s="145">
        <v>30</v>
      </c>
      <c r="AC294" s="145">
        <v>0.70799999999999996</v>
      </c>
      <c r="AD294" s="145">
        <v>6.0000000000000001E-3</v>
      </c>
      <c r="AE294" s="145">
        <v>9.1039999999999992</v>
      </c>
      <c r="AF294" s="145">
        <v>4.8000000000000001E-2</v>
      </c>
      <c r="AG294" s="145">
        <v>1.08</v>
      </c>
      <c r="AH294" s="145">
        <v>0.113</v>
      </c>
      <c r="AI294" s="145">
        <v>275</v>
      </c>
      <c r="AJ294" s="145">
        <v>0.93500000000000005</v>
      </c>
      <c r="AK294" s="145">
        <v>183.11699999999999</v>
      </c>
      <c r="AL294" s="145">
        <v>0.70299999999999996</v>
      </c>
      <c r="AM294" s="145" t="s">
        <v>400</v>
      </c>
    </row>
    <row r="295" spans="1:39">
      <c r="A295" s="143" t="s">
        <v>1354</v>
      </c>
      <c r="B295" s="144">
        <v>100</v>
      </c>
      <c r="C295" s="145">
        <v>25</v>
      </c>
      <c r="D295" s="145">
        <v>2.58</v>
      </c>
      <c r="E295" s="145">
        <v>0.66</v>
      </c>
      <c r="F295" s="145">
        <v>0.09</v>
      </c>
      <c r="G295" s="145">
        <v>0.05</v>
      </c>
      <c r="H295" s="145">
        <v>0.32</v>
      </c>
      <c r="I295" s="145">
        <v>0.13</v>
      </c>
      <c r="J295" s="145">
        <v>0.17</v>
      </c>
      <c r="K295" s="145" t="s">
        <v>400</v>
      </c>
      <c r="L295" s="145">
        <v>3.65</v>
      </c>
      <c r="M295" s="145">
        <v>1.6</v>
      </c>
      <c r="N295" s="145">
        <v>160</v>
      </c>
      <c r="O295" s="145">
        <v>47</v>
      </c>
      <c r="P295" s="145">
        <v>0.32</v>
      </c>
      <c r="Q295" s="145">
        <v>52</v>
      </c>
      <c r="R295" s="145">
        <v>1.46</v>
      </c>
      <c r="S295" s="145">
        <v>27</v>
      </c>
      <c r="T295" s="145">
        <v>369</v>
      </c>
      <c r="U295" s="145">
        <v>0.08</v>
      </c>
      <c r="V295" s="145">
        <v>0.47</v>
      </c>
      <c r="W295" s="145" t="s">
        <v>400</v>
      </c>
      <c r="X295" s="145">
        <v>0.04</v>
      </c>
      <c r="Y295" s="145">
        <v>0.09</v>
      </c>
      <c r="Z295" s="145">
        <v>7.0000000000000007E-2</v>
      </c>
      <c r="AA295" s="145">
        <v>0.31</v>
      </c>
      <c r="AB295" s="145">
        <v>15</v>
      </c>
      <c r="AC295" s="145">
        <v>0.31</v>
      </c>
      <c r="AD295" s="145" t="s">
        <v>400</v>
      </c>
      <c r="AE295" s="145">
        <v>97</v>
      </c>
      <c r="AF295" s="145" t="s">
        <v>400</v>
      </c>
      <c r="AG295" s="145">
        <v>0.43</v>
      </c>
      <c r="AH295" s="145" t="s">
        <v>400</v>
      </c>
      <c r="AI295" s="145" t="s">
        <v>400</v>
      </c>
      <c r="AJ295" s="145">
        <v>0.3</v>
      </c>
      <c r="AK295" s="145">
        <v>118.67</v>
      </c>
      <c r="AL295" s="145">
        <v>1.6</v>
      </c>
      <c r="AM295" s="145" t="s">
        <v>400</v>
      </c>
    </row>
    <row r="296" spans="1:39">
      <c r="A296" s="143" t="s">
        <v>1355</v>
      </c>
      <c r="B296" s="144">
        <v>100</v>
      </c>
      <c r="C296" s="145">
        <v>34</v>
      </c>
      <c r="D296" s="145">
        <v>2.9</v>
      </c>
      <c r="E296" s="145">
        <v>0.9</v>
      </c>
      <c r="F296" s="145">
        <v>0.2</v>
      </c>
      <c r="G296" s="145">
        <v>0.1</v>
      </c>
      <c r="H296" s="145">
        <v>0.4</v>
      </c>
      <c r="I296" s="145">
        <v>0.12</v>
      </c>
      <c r="J296" s="145">
        <v>0.25</v>
      </c>
      <c r="K296" s="145" t="s">
        <v>400</v>
      </c>
      <c r="L296" s="145">
        <v>5.4</v>
      </c>
      <c r="M296" s="145">
        <v>4.5</v>
      </c>
      <c r="N296" s="145">
        <v>141</v>
      </c>
      <c r="O296" s="145">
        <v>38</v>
      </c>
      <c r="P296" s="145">
        <v>0.66</v>
      </c>
      <c r="Q296" s="145">
        <v>53</v>
      </c>
      <c r="R296" s="145">
        <v>1.9</v>
      </c>
      <c r="S296" s="145">
        <v>1</v>
      </c>
      <c r="T296" s="145">
        <v>290</v>
      </c>
      <c r="U296" s="145">
        <v>0.16</v>
      </c>
      <c r="V296" s="145">
        <v>0.6</v>
      </c>
      <c r="W296" s="145" t="s">
        <v>400</v>
      </c>
      <c r="X296" s="145" t="s">
        <v>400</v>
      </c>
      <c r="Y296" s="145">
        <v>0.1</v>
      </c>
      <c r="Z296" s="146">
        <v>0.1</v>
      </c>
      <c r="AA296" s="145" t="s">
        <v>400</v>
      </c>
      <c r="AB296" s="145">
        <v>17.899999999999999</v>
      </c>
      <c r="AC296" s="145" t="s">
        <v>400</v>
      </c>
      <c r="AD296" s="145" t="s">
        <v>400</v>
      </c>
      <c r="AE296" s="145" t="s">
        <v>400</v>
      </c>
      <c r="AF296" s="145" t="s">
        <v>400</v>
      </c>
      <c r="AG296" s="145" t="s">
        <v>400</v>
      </c>
      <c r="AH296" s="145" t="s">
        <v>400</v>
      </c>
      <c r="AI296" s="145" t="s">
        <v>400</v>
      </c>
      <c r="AJ296" s="145" t="s">
        <v>400</v>
      </c>
      <c r="AK296" s="145">
        <v>580</v>
      </c>
      <c r="AL296" s="145" t="s">
        <v>400</v>
      </c>
      <c r="AM296" s="145" t="s">
        <v>400</v>
      </c>
    </row>
    <row r="297" spans="1:39">
      <c r="A297" s="143" t="s">
        <v>1356</v>
      </c>
      <c r="B297" s="144">
        <v>100</v>
      </c>
      <c r="C297" s="145">
        <v>26</v>
      </c>
      <c r="D297" s="145">
        <v>2.11</v>
      </c>
      <c r="E297" s="145">
        <v>0.36</v>
      </c>
      <c r="F297" s="145">
        <v>0.05</v>
      </c>
      <c r="G297" s="145">
        <v>0.03</v>
      </c>
      <c r="H297" s="145">
        <v>0.17</v>
      </c>
      <c r="I297" s="145">
        <v>7.0000000000000007E-2</v>
      </c>
      <c r="J297" s="145">
        <v>0.09</v>
      </c>
      <c r="K297" s="145" t="s">
        <v>400</v>
      </c>
      <c r="L297" s="145">
        <v>4.91</v>
      </c>
      <c r="M297" s="145">
        <v>2.8</v>
      </c>
      <c r="N297" s="145">
        <v>140</v>
      </c>
      <c r="O297" s="145">
        <v>20</v>
      </c>
      <c r="P297" s="145">
        <v>0.44</v>
      </c>
      <c r="Q297" s="145">
        <v>30</v>
      </c>
      <c r="R297" s="145">
        <v>1.1599999999999999</v>
      </c>
      <c r="S297" s="145">
        <v>16</v>
      </c>
      <c r="T297" s="145">
        <v>116</v>
      </c>
      <c r="U297" s="145">
        <v>0.04</v>
      </c>
      <c r="V297" s="145">
        <v>0.23</v>
      </c>
      <c r="W297" s="145" t="s">
        <v>400</v>
      </c>
      <c r="X297" s="145">
        <v>0.04</v>
      </c>
      <c r="Y297" s="145">
        <v>0.11</v>
      </c>
      <c r="Z297" s="145">
        <v>0.13</v>
      </c>
      <c r="AA297" s="145">
        <v>0.57999999999999996</v>
      </c>
      <c r="AB297" s="145">
        <v>18.2</v>
      </c>
      <c r="AC297" s="145">
        <v>1.03</v>
      </c>
      <c r="AD297" s="145" t="s">
        <v>400</v>
      </c>
      <c r="AE297" s="145">
        <v>93</v>
      </c>
      <c r="AF297" s="145" t="s">
        <v>400</v>
      </c>
      <c r="AG297" s="145">
        <v>0.88</v>
      </c>
      <c r="AH297" s="145" t="s">
        <v>400</v>
      </c>
      <c r="AI297" s="145">
        <v>199</v>
      </c>
      <c r="AJ297" s="145">
        <v>0.5</v>
      </c>
      <c r="AK297" s="145">
        <v>405.75</v>
      </c>
      <c r="AL297" s="145">
        <v>1.41</v>
      </c>
      <c r="AM297" s="145" t="s">
        <v>400</v>
      </c>
    </row>
    <row r="298" spans="1:39">
      <c r="A298" s="143" t="s">
        <v>1357</v>
      </c>
      <c r="B298" s="144">
        <v>100</v>
      </c>
      <c r="C298" s="145">
        <v>47.13</v>
      </c>
      <c r="D298" s="145">
        <v>2.11</v>
      </c>
      <c r="E298" s="145">
        <v>2.75</v>
      </c>
      <c r="F298" s="145">
        <v>0.39</v>
      </c>
      <c r="G298" s="145">
        <v>0.57999999999999996</v>
      </c>
      <c r="H298" s="145">
        <v>1.56</v>
      </c>
      <c r="I298" s="145">
        <v>1.29</v>
      </c>
      <c r="J298" s="145">
        <v>0.26</v>
      </c>
      <c r="K298" s="145" t="s">
        <v>400</v>
      </c>
      <c r="L298" s="145">
        <v>4.91</v>
      </c>
      <c r="M298" s="145">
        <v>2.8</v>
      </c>
      <c r="N298" s="145">
        <v>140</v>
      </c>
      <c r="O298" s="145">
        <v>20</v>
      </c>
      <c r="P298" s="145">
        <v>0.44</v>
      </c>
      <c r="Q298" s="145">
        <v>30</v>
      </c>
      <c r="R298" s="145">
        <v>1.1599999999999999</v>
      </c>
      <c r="S298" s="145">
        <v>16</v>
      </c>
      <c r="T298" s="145">
        <v>116</v>
      </c>
      <c r="U298" s="145">
        <v>0.04</v>
      </c>
      <c r="V298" s="145">
        <v>0.23</v>
      </c>
      <c r="W298" s="145" t="s">
        <v>400</v>
      </c>
      <c r="X298" s="145">
        <v>0.04</v>
      </c>
      <c r="Y298" s="145">
        <v>0.11</v>
      </c>
      <c r="Z298" s="145">
        <v>0.13</v>
      </c>
      <c r="AA298" s="145">
        <v>0.57999999999999996</v>
      </c>
      <c r="AB298" s="145">
        <v>18.2</v>
      </c>
      <c r="AC298" s="145">
        <v>1.03</v>
      </c>
      <c r="AD298" s="145" t="s">
        <v>400</v>
      </c>
      <c r="AE298" s="145">
        <v>93</v>
      </c>
      <c r="AF298" s="145" t="s">
        <v>400</v>
      </c>
      <c r="AG298" s="145">
        <v>1.1000000000000001</v>
      </c>
      <c r="AH298" s="145" t="s">
        <v>400</v>
      </c>
      <c r="AI298" s="145">
        <v>222</v>
      </c>
      <c r="AJ298" s="145">
        <v>1.6</v>
      </c>
      <c r="AK298" s="145">
        <v>405.75</v>
      </c>
      <c r="AL298" s="145">
        <v>1.41</v>
      </c>
      <c r="AM298" s="145" t="s">
        <v>400</v>
      </c>
    </row>
    <row r="299" spans="1:39">
      <c r="A299" s="143" t="s">
        <v>1358</v>
      </c>
      <c r="B299" s="144">
        <v>100</v>
      </c>
      <c r="C299" s="145">
        <v>19</v>
      </c>
      <c r="D299" s="145">
        <v>1.8</v>
      </c>
      <c r="E299" s="145">
        <v>0.2</v>
      </c>
      <c r="F299" s="145">
        <v>0.03</v>
      </c>
      <c r="G299" s="145">
        <v>0.04</v>
      </c>
      <c r="H299" s="145">
        <v>7.0000000000000007E-2</v>
      </c>
      <c r="I299" s="145">
        <v>0.06</v>
      </c>
      <c r="J299" s="145">
        <v>0.01</v>
      </c>
      <c r="K299" s="145" t="s">
        <v>400</v>
      </c>
      <c r="L299" s="145">
        <v>3.74</v>
      </c>
      <c r="M299" s="145">
        <v>1.6</v>
      </c>
      <c r="N299" s="145">
        <v>51</v>
      </c>
      <c r="O299" s="145">
        <v>81</v>
      </c>
      <c r="P299" s="145">
        <v>0.37</v>
      </c>
      <c r="Q299" s="145">
        <v>46</v>
      </c>
      <c r="R299" s="145">
        <v>1.8</v>
      </c>
      <c r="S299" s="145">
        <v>213</v>
      </c>
      <c r="T299" s="145">
        <v>379</v>
      </c>
      <c r="U299" s="145">
        <v>0.18</v>
      </c>
      <c r="V299" s="145">
        <v>0.36</v>
      </c>
      <c r="W299" s="145" t="s">
        <v>400</v>
      </c>
      <c r="X299" s="145">
        <v>0.04</v>
      </c>
      <c r="Y299" s="145">
        <v>0.09</v>
      </c>
      <c r="Z299" s="145">
        <v>0.1</v>
      </c>
      <c r="AA299" s="145">
        <v>0.4</v>
      </c>
      <c r="AB299" s="145">
        <v>30</v>
      </c>
      <c r="AC299" s="145">
        <v>0.68</v>
      </c>
      <c r="AD299" s="145" t="s">
        <v>400</v>
      </c>
      <c r="AE299" s="145">
        <v>14</v>
      </c>
      <c r="AF299" s="145" t="s">
        <v>400</v>
      </c>
      <c r="AG299" s="145">
        <v>1.89</v>
      </c>
      <c r="AH299" s="145" t="s">
        <v>400</v>
      </c>
      <c r="AI299" s="145" t="s">
        <v>400</v>
      </c>
      <c r="AJ299" s="145">
        <v>0.9</v>
      </c>
      <c r="AK299" s="145">
        <v>305.79000000000002</v>
      </c>
      <c r="AL299" s="145">
        <v>0.6</v>
      </c>
      <c r="AM299" s="145" t="s">
        <v>400</v>
      </c>
    </row>
    <row r="300" spans="1:39">
      <c r="A300" s="143" t="s">
        <v>1359</v>
      </c>
      <c r="B300" s="144">
        <v>100</v>
      </c>
      <c r="C300" s="145">
        <v>14</v>
      </c>
      <c r="D300" s="145">
        <v>1.5</v>
      </c>
      <c r="E300" s="145">
        <v>0.17</v>
      </c>
      <c r="F300" s="145">
        <v>3.5999999999999997E-2</v>
      </c>
      <c r="G300" s="145">
        <v>0.02</v>
      </c>
      <c r="H300" s="145">
        <v>6.0999999999999999E-2</v>
      </c>
      <c r="I300" s="145">
        <v>1.2999999999999999E-2</v>
      </c>
      <c r="J300" s="145">
        <v>4.8000000000000001E-2</v>
      </c>
      <c r="K300" s="145" t="s">
        <v>400</v>
      </c>
      <c r="L300" s="145">
        <v>2.41</v>
      </c>
      <c r="M300" s="145">
        <v>1.7</v>
      </c>
      <c r="N300" s="145">
        <v>32</v>
      </c>
      <c r="O300" s="145">
        <v>10</v>
      </c>
      <c r="P300" s="145">
        <v>0.153</v>
      </c>
      <c r="Q300" s="145">
        <v>39</v>
      </c>
      <c r="R300" s="145">
        <v>0.3</v>
      </c>
      <c r="S300" s="145">
        <v>9</v>
      </c>
      <c r="T300" s="145">
        <v>225</v>
      </c>
      <c r="U300" s="145">
        <v>2.9000000000000001E-2</v>
      </c>
      <c r="V300" s="145">
        <v>0.18</v>
      </c>
      <c r="W300" s="145" t="s">
        <v>400</v>
      </c>
      <c r="X300" s="145">
        <v>4.3999999999999997E-2</v>
      </c>
      <c r="Y300" s="145">
        <v>4.3999999999999997E-2</v>
      </c>
      <c r="Z300" s="146">
        <v>0.17699999999999999</v>
      </c>
      <c r="AA300" s="145">
        <v>0.5</v>
      </c>
      <c r="AB300" s="145">
        <v>15.8</v>
      </c>
      <c r="AC300" s="145">
        <v>0.75</v>
      </c>
      <c r="AD300" s="145" t="s">
        <v>400</v>
      </c>
      <c r="AE300" s="145">
        <v>53</v>
      </c>
      <c r="AF300" s="145" t="s">
        <v>400</v>
      </c>
      <c r="AG300" s="145">
        <v>0.12</v>
      </c>
      <c r="AH300" s="145" t="s">
        <v>400</v>
      </c>
      <c r="AI300" s="145">
        <v>216</v>
      </c>
      <c r="AJ300" s="145">
        <v>0.4</v>
      </c>
      <c r="AK300" s="145">
        <v>13.458</v>
      </c>
      <c r="AL300" s="145">
        <v>0.67</v>
      </c>
      <c r="AM300" s="145" t="s">
        <v>400</v>
      </c>
    </row>
    <row r="301" spans="1:39">
      <c r="A301" s="143" t="s">
        <v>1360</v>
      </c>
      <c r="B301" s="144">
        <v>100</v>
      </c>
      <c r="C301" s="145">
        <v>47.738</v>
      </c>
      <c r="D301" s="145">
        <v>1.5</v>
      </c>
      <c r="E301" s="145">
        <v>3.9870000000000001</v>
      </c>
      <c r="F301" s="145">
        <v>0.63300000000000001</v>
      </c>
      <c r="G301" s="145">
        <v>0.89</v>
      </c>
      <c r="H301" s="145">
        <v>2.2650000000000001</v>
      </c>
      <c r="I301" s="145">
        <v>1.958</v>
      </c>
      <c r="J301" s="145">
        <v>0.307</v>
      </c>
      <c r="K301" s="145" t="s">
        <v>400</v>
      </c>
      <c r="L301" s="145">
        <v>2.41</v>
      </c>
      <c r="M301" s="145">
        <v>1.7</v>
      </c>
      <c r="N301" s="145">
        <v>32</v>
      </c>
      <c r="O301" s="145">
        <v>10</v>
      </c>
      <c r="P301" s="145">
        <v>0.153</v>
      </c>
      <c r="Q301" s="145">
        <v>39</v>
      </c>
      <c r="R301" s="145">
        <v>0.30199999999999999</v>
      </c>
      <c r="S301" s="145">
        <v>9</v>
      </c>
      <c r="T301" s="145">
        <v>225</v>
      </c>
      <c r="U301" s="145">
        <v>2.9000000000000001E-2</v>
      </c>
      <c r="V301" s="145">
        <v>0.18</v>
      </c>
      <c r="W301" s="145" t="s">
        <v>400</v>
      </c>
      <c r="X301" s="145">
        <v>4.3999999999999997E-2</v>
      </c>
      <c r="Y301" s="145">
        <v>4.3999999999999997E-2</v>
      </c>
      <c r="Z301" s="146">
        <v>0.17699999999999999</v>
      </c>
      <c r="AA301" s="145">
        <v>0.5</v>
      </c>
      <c r="AB301" s="145">
        <v>15.8</v>
      </c>
      <c r="AC301" s="145">
        <v>0.75</v>
      </c>
      <c r="AD301" s="145" t="s">
        <v>400</v>
      </c>
      <c r="AE301" s="145">
        <v>53</v>
      </c>
      <c r="AF301" s="145" t="s">
        <v>400</v>
      </c>
      <c r="AG301" s="145">
        <v>0.432</v>
      </c>
      <c r="AH301" s="145">
        <v>0.02</v>
      </c>
      <c r="AI301" s="145">
        <v>216</v>
      </c>
      <c r="AJ301" s="145">
        <v>2.149</v>
      </c>
      <c r="AK301" s="145">
        <v>13.458</v>
      </c>
      <c r="AL301" s="145">
        <v>0.67</v>
      </c>
      <c r="AM301" s="145" t="s">
        <v>400</v>
      </c>
    </row>
    <row r="302" spans="1:39">
      <c r="A302" s="143" t="s">
        <v>1361</v>
      </c>
      <c r="B302" s="144">
        <v>100</v>
      </c>
      <c r="C302" s="145">
        <v>19</v>
      </c>
      <c r="D302" s="145">
        <v>1.8</v>
      </c>
      <c r="E302" s="145">
        <v>0.2</v>
      </c>
      <c r="F302" s="145">
        <v>0.03</v>
      </c>
      <c r="G302" s="145">
        <v>0.04</v>
      </c>
      <c r="H302" s="145">
        <v>7.0000000000000007E-2</v>
      </c>
      <c r="I302" s="145">
        <v>0.06</v>
      </c>
      <c r="J302" s="145">
        <v>0.01</v>
      </c>
      <c r="K302" s="145" t="s">
        <v>400</v>
      </c>
      <c r="L302" s="145">
        <v>3.74</v>
      </c>
      <c r="M302" s="145">
        <v>1.6</v>
      </c>
      <c r="N302" s="145">
        <v>51</v>
      </c>
      <c r="O302" s="145">
        <v>81</v>
      </c>
      <c r="P302" s="145">
        <v>0.37</v>
      </c>
      <c r="Q302" s="145">
        <v>46</v>
      </c>
      <c r="R302" s="145">
        <v>1.8</v>
      </c>
      <c r="S302" s="145">
        <v>213</v>
      </c>
      <c r="T302" s="145">
        <v>379</v>
      </c>
      <c r="U302" s="145">
        <v>0.18</v>
      </c>
      <c r="V302" s="145">
        <v>0.36</v>
      </c>
      <c r="W302" s="145" t="s">
        <v>400</v>
      </c>
      <c r="X302" s="145">
        <v>0.04</v>
      </c>
      <c r="Y302" s="145">
        <v>0.09</v>
      </c>
      <c r="Z302" s="145">
        <v>0.1</v>
      </c>
      <c r="AA302" s="145">
        <v>0.4</v>
      </c>
      <c r="AB302" s="145">
        <v>30</v>
      </c>
      <c r="AC302" s="145">
        <v>0.68</v>
      </c>
      <c r="AD302" s="145" t="s">
        <v>400</v>
      </c>
      <c r="AE302" s="145">
        <v>14</v>
      </c>
      <c r="AF302" s="145" t="s">
        <v>400</v>
      </c>
      <c r="AG302" s="145">
        <v>1.89</v>
      </c>
      <c r="AH302" s="145" t="s">
        <v>400</v>
      </c>
      <c r="AI302" s="145" t="s">
        <v>400</v>
      </c>
      <c r="AJ302" s="145">
        <v>0.9</v>
      </c>
      <c r="AK302" s="145">
        <v>305.79000000000002</v>
      </c>
      <c r="AL302" s="145">
        <v>0.6</v>
      </c>
      <c r="AM302" s="145" t="s">
        <v>400</v>
      </c>
    </row>
    <row r="303" spans="1:39">
      <c r="A303" s="143" t="s">
        <v>1362</v>
      </c>
      <c r="B303" s="144">
        <v>100</v>
      </c>
      <c r="C303" s="145">
        <v>14</v>
      </c>
      <c r="D303" s="145">
        <v>1.5</v>
      </c>
      <c r="E303" s="145">
        <v>0.17</v>
      </c>
      <c r="F303" s="145">
        <v>3.5999999999999997E-2</v>
      </c>
      <c r="G303" s="145">
        <v>0.02</v>
      </c>
      <c r="H303" s="145">
        <v>6.0999999999999999E-2</v>
      </c>
      <c r="I303" s="145">
        <v>1.2999999999999999E-2</v>
      </c>
      <c r="J303" s="145">
        <v>4.8000000000000001E-2</v>
      </c>
      <c r="K303" s="145" t="s">
        <v>400</v>
      </c>
      <c r="L303" s="145">
        <v>2.41</v>
      </c>
      <c r="M303" s="145">
        <v>1.7</v>
      </c>
      <c r="N303" s="145">
        <v>32</v>
      </c>
      <c r="O303" s="145">
        <v>10</v>
      </c>
      <c r="P303" s="145">
        <v>0.153</v>
      </c>
      <c r="Q303" s="145">
        <v>39</v>
      </c>
      <c r="R303" s="145">
        <v>0.3</v>
      </c>
      <c r="S303" s="145">
        <v>9</v>
      </c>
      <c r="T303" s="145">
        <v>225</v>
      </c>
      <c r="U303" s="145">
        <v>2.9000000000000001E-2</v>
      </c>
      <c r="V303" s="145">
        <v>0.18</v>
      </c>
      <c r="W303" s="145" t="s">
        <v>400</v>
      </c>
      <c r="X303" s="145">
        <v>4.3999999999999997E-2</v>
      </c>
      <c r="Y303" s="145">
        <v>4.3999999999999997E-2</v>
      </c>
      <c r="Z303" s="146">
        <v>0.17699999999999999</v>
      </c>
      <c r="AA303" s="145">
        <v>0.5</v>
      </c>
      <c r="AB303" s="145">
        <v>15.8</v>
      </c>
      <c r="AC303" s="145">
        <v>0.75</v>
      </c>
      <c r="AD303" s="145" t="s">
        <v>400</v>
      </c>
      <c r="AE303" s="145">
        <v>53</v>
      </c>
      <c r="AF303" s="145" t="s">
        <v>400</v>
      </c>
      <c r="AG303" s="145">
        <v>0.12</v>
      </c>
      <c r="AH303" s="145" t="s">
        <v>400</v>
      </c>
      <c r="AI303" s="145">
        <v>216</v>
      </c>
      <c r="AJ303" s="145">
        <v>0.4</v>
      </c>
      <c r="AK303" s="145">
        <v>13.458</v>
      </c>
      <c r="AL303" s="145">
        <v>0.67</v>
      </c>
      <c r="AM303" s="145" t="s">
        <v>400</v>
      </c>
    </row>
    <row r="304" spans="1:39">
      <c r="A304" s="143" t="s">
        <v>1363</v>
      </c>
      <c r="B304" s="144">
        <v>100</v>
      </c>
      <c r="C304" s="145">
        <v>17</v>
      </c>
      <c r="D304" s="145">
        <v>1.25</v>
      </c>
      <c r="E304" s="145">
        <v>0.2</v>
      </c>
      <c r="F304" s="145">
        <v>0.05</v>
      </c>
      <c r="G304" s="145" t="s">
        <v>400</v>
      </c>
      <c r="H304" s="145">
        <v>0.09</v>
      </c>
      <c r="I304" s="145">
        <v>0.08</v>
      </c>
      <c r="J304" s="145">
        <v>0.01</v>
      </c>
      <c r="K304" s="145" t="s">
        <v>400</v>
      </c>
      <c r="L304" s="145">
        <v>3.35</v>
      </c>
      <c r="M304" s="145">
        <v>3.1</v>
      </c>
      <c r="N304" s="145">
        <v>52</v>
      </c>
      <c r="O304" s="145">
        <v>15</v>
      </c>
      <c r="P304" s="145">
        <v>0.42</v>
      </c>
      <c r="Q304" s="145">
        <v>28</v>
      </c>
      <c r="R304" s="145">
        <v>0.83</v>
      </c>
      <c r="S304" s="145">
        <v>22</v>
      </c>
      <c r="T304" s="145">
        <v>314</v>
      </c>
      <c r="U304" s="145">
        <v>0.1</v>
      </c>
      <c r="V304" s="145">
        <v>0.79</v>
      </c>
      <c r="W304" s="145" t="s">
        <v>400</v>
      </c>
      <c r="X304" s="145">
        <v>0.08</v>
      </c>
      <c r="Y304" s="145">
        <v>0.08</v>
      </c>
      <c r="Z304" s="145">
        <v>0.02</v>
      </c>
      <c r="AA304" s="145">
        <v>0.4</v>
      </c>
      <c r="AB304" s="145">
        <v>6.5</v>
      </c>
      <c r="AC304" s="145">
        <v>0.48</v>
      </c>
      <c r="AD304" s="145" t="s">
        <v>400</v>
      </c>
      <c r="AE304" s="145">
        <v>142</v>
      </c>
      <c r="AF304" s="145" t="s">
        <v>400</v>
      </c>
      <c r="AG304" s="145">
        <v>0.44</v>
      </c>
      <c r="AH304" s="145" t="s">
        <v>400</v>
      </c>
      <c r="AI304" s="145" t="s">
        <v>400</v>
      </c>
      <c r="AJ304" s="145">
        <v>0.2</v>
      </c>
      <c r="AK304" s="145">
        <v>108.33</v>
      </c>
      <c r="AL304" s="145">
        <v>0.5</v>
      </c>
      <c r="AM304" s="145" t="s">
        <v>400</v>
      </c>
    </row>
    <row r="305" spans="1:39">
      <c r="A305" s="143" t="s">
        <v>1364</v>
      </c>
      <c r="B305" s="144">
        <v>100</v>
      </c>
      <c r="C305" s="145">
        <v>22</v>
      </c>
      <c r="D305" s="145">
        <v>1.61</v>
      </c>
      <c r="E305" s="145">
        <v>0.26</v>
      </c>
      <c r="F305" s="145">
        <v>0.06</v>
      </c>
      <c r="G305" s="145" t="s">
        <v>400</v>
      </c>
      <c r="H305" s="145">
        <v>0.11</v>
      </c>
      <c r="I305" s="145">
        <v>0.1</v>
      </c>
      <c r="J305" s="145">
        <v>0.02</v>
      </c>
      <c r="K305" s="145" t="s">
        <v>400</v>
      </c>
      <c r="L305" s="145">
        <v>4.3099999999999996</v>
      </c>
      <c r="M305" s="145">
        <v>3.99</v>
      </c>
      <c r="N305" s="145">
        <v>64</v>
      </c>
      <c r="O305" s="145">
        <v>18</v>
      </c>
      <c r="P305" s="145">
        <v>0.55000000000000004</v>
      </c>
      <c r="Q305" s="145">
        <v>32</v>
      </c>
      <c r="R305" s="145">
        <v>1.02</v>
      </c>
      <c r="S305" s="145">
        <v>29</v>
      </c>
      <c r="T305" s="145">
        <v>364</v>
      </c>
      <c r="U305" s="145">
        <v>0.12</v>
      </c>
      <c r="V305" s="145">
        <v>0.97</v>
      </c>
      <c r="W305" s="145" t="s">
        <v>400</v>
      </c>
      <c r="X305" s="145">
        <v>0.09</v>
      </c>
      <c r="Y305" s="145">
        <v>0.09</v>
      </c>
      <c r="Z305" s="145">
        <v>0.02</v>
      </c>
      <c r="AA305" s="145">
        <v>0.46</v>
      </c>
      <c r="AB305" s="145">
        <v>5.0199999999999996</v>
      </c>
      <c r="AC305" s="145">
        <v>0.63</v>
      </c>
      <c r="AD305" s="145" t="s">
        <v>400</v>
      </c>
      <c r="AE305" s="145">
        <v>119</v>
      </c>
      <c r="AF305" s="145" t="s">
        <v>400</v>
      </c>
      <c r="AG305" s="145">
        <v>0.65</v>
      </c>
      <c r="AH305" s="145" t="s">
        <v>400</v>
      </c>
      <c r="AI305" s="145">
        <v>210</v>
      </c>
      <c r="AJ305" s="145">
        <v>0.26</v>
      </c>
      <c r="AK305" s="145">
        <v>80</v>
      </c>
      <c r="AL305" s="145">
        <v>0.65</v>
      </c>
      <c r="AM305" s="145" t="s">
        <v>400</v>
      </c>
    </row>
    <row r="306" spans="1:39">
      <c r="A306" s="143" t="s">
        <v>1365</v>
      </c>
      <c r="B306" s="144">
        <v>100</v>
      </c>
      <c r="C306" s="145">
        <v>52.88</v>
      </c>
      <c r="D306" s="145">
        <v>1.61</v>
      </c>
      <c r="E306" s="145">
        <v>3.75</v>
      </c>
      <c r="F306" s="145">
        <v>0.56000000000000005</v>
      </c>
      <c r="G306" s="145">
        <v>0.81</v>
      </c>
      <c r="H306" s="145">
        <v>2.13</v>
      </c>
      <c r="I306" s="145">
        <v>1.88</v>
      </c>
      <c r="J306" s="145">
        <v>0.26</v>
      </c>
      <c r="K306" s="145" t="s">
        <v>400</v>
      </c>
      <c r="L306" s="145">
        <v>4.3099999999999996</v>
      </c>
      <c r="M306" s="145">
        <v>3.99</v>
      </c>
      <c r="N306" s="145">
        <v>64</v>
      </c>
      <c r="O306" s="145">
        <v>18</v>
      </c>
      <c r="P306" s="145">
        <v>0.55000000000000004</v>
      </c>
      <c r="Q306" s="145">
        <v>32</v>
      </c>
      <c r="R306" s="145">
        <v>1.02</v>
      </c>
      <c r="S306" s="145">
        <v>29</v>
      </c>
      <c r="T306" s="145">
        <v>364</v>
      </c>
      <c r="U306" s="145">
        <v>0.12</v>
      </c>
      <c r="V306" s="145">
        <v>0.97</v>
      </c>
      <c r="W306" s="145" t="s">
        <v>400</v>
      </c>
      <c r="X306" s="145">
        <v>0.09</v>
      </c>
      <c r="Y306" s="145">
        <v>0.09</v>
      </c>
      <c r="Z306" s="145">
        <v>0.02</v>
      </c>
      <c r="AA306" s="145">
        <v>0.46</v>
      </c>
      <c r="AB306" s="145">
        <v>5.0199999999999996</v>
      </c>
      <c r="AC306" s="145">
        <v>0.63</v>
      </c>
      <c r="AD306" s="145" t="s">
        <v>400</v>
      </c>
      <c r="AE306" s="145">
        <v>119</v>
      </c>
      <c r="AF306" s="145" t="s">
        <v>400</v>
      </c>
      <c r="AG306" s="145">
        <v>0.97</v>
      </c>
      <c r="AH306" s="145" t="s">
        <v>400</v>
      </c>
      <c r="AI306" s="145">
        <v>210</v>
      </c>
      <c r="AJ306" s="145">
        <v>1.86</v>
      </c>
      <c r="AK306" s="145">
        <v>80</v>
      </c>
      <c r="AL306" s="145">
        <v>0.65</v>
      </c>
      <c r="AM306" s="145" t="s">
        <v>400</v>
      </c>
    </row>
    <row r="307" spans="1:39">
      <c r="A307" s="143" t="s">
        <v>1366</v>
      </c>
      <c r="B307" s="144">
        <v>100</v>
      </c>
      <c r="C307" s="145">
        <v>22</v>
      </c>
      <c r="D307" s="145">
        <v>1.61</v>
      </c>
      <c r="E307" s="145">
        <v>0.26</v>
      </c>
      <c r="F307" s="145">
        <v>0.06</v>
      </c>
      <c r="G307" s="145" t="s">
        <v>400</v>
      </c>
      <c r="H307" s="145">
        <v>0.11</v>
      </c>
      <c r="I307" s="145">
        <v>0.1</v>
      </c>
      <c r="J307" s="145">
        <v>0.02</v>
      </c>
      <c r="K307" s="145" t="s">
        <v>400</v>
      </c>
      <c r="L307" s="145">
        <v>4.3099999999999996</v>
      </c>
      <c r="M307" s="145">
        <v>3.99</v>
      </c>
      <c r="N307" s="145">
        <v>64</v>
      </c>
      <c r="O307" s="145">
        <v>18</v>
      </c>
      <c r="P307" s="145">
        <v>0.55000000000000004</v>
      </c>
      <c r="Q307" s="145">
        <v>32</v>
      </c>
      <c r="R307" s="145">
        <v>1.02</v>
      </c>
      <c r="S307" s="145">
        <v>29</v>
      </c>
      <c r="T307" s="145">
        <v>364</v>
      </c>
      <c r="U307" s="145">
        <v>0.12</v>
      </c>
      <c r="V307" s="145">
        <v>0.97</v>
      </c>
      <c r="W307" s="145" t="s">
        <v>400</v>
      </c>
      <c r="X307" s="145">
        <v>0.09</v>
      </c>
      <c r="Y307" s="145">
        <v>0.09</v>
      </c>
      <c r="Z307" s="145">
        <v>0.02</v>
      </c>
      <c r="AA307" s="145">
        <v>0.46</v>
      </c>
      <c r="AB307" s="145">
        <v>5.0199999999999996</v>
      </c>
      <c r="AC307" s="145">
        <v>0.63</v>
      </c>
      <c r="AD307" s="145" t="s">
        <v>400</v>
      </c>
      <c r="AE307" s="145">
        <v>119</v>
      </c>
      <c r="AF307" s="145" t="s">
        <v>400</v>
      </c>
      <c r="AG307" s="145">
        <v>0.65</v>
      </c>
      <c r="AH307" s="145" t="s">
        <v>400</v>
      </c>
      <c r="AI307" s="145">
        <v>210</v>
      </c>
      <c r="AJ307" s="145">
        <v>0.26</v>
      </c>
      <c r="AK307" s="145">
        <v>80</v>
      </c>
      <c r="AL307" s="145">
        <v>0.65</v>
      </c>
      <c r="AM307" s="145" t="s">
        <v>400</v>
      </c>
    </row>
    <row r="308" spans="1:39">
      <c r="A308" s="143" t="s">
        <v>1367</v>
      </c>
      <c r="B308" s="144">
        <v>100</v>
      </c>
      <c r="C308" s="145">
        <v>17</v>
      </c>
      <c r="D308" s="145">
        <v>1.25</v>
      </c>
      <c r="E308" s="145">
        <v>0.2</v>
      </c>
      <c r="F308" s="145">
        <v>0.05</v>
      </c>
      <c r="G308" s="145" t="s">
        <v>400</v>
      </c>
      <c r="H308" s="145">
        <v>0.09</v>
      </c>
      <c r="I308" s="145">
        <v>0.08</v>
      </c>
      <c r="J308" s="145">
        <v>0.01</v>
      </c>
      <c r="K308" s="145" t="s">
        <v>400</v>
      </c>
      <c r="L308" s="145">
        <v>3.35</v>
      </c>
      <c r="M308" s="145">
        <v>3.1</v>
      </c>
      <c r="N308" s="145">
        <v>52</v>
      </c>
      <c r="O308" s="145">
        <v>15</v>
      </c>
      <c r="P308" s="145">
        <v>0.42</v>
      </c>
      <c r="Q308" s="145">
        <v>28</v>
      </c>
      <c r="R308" s="145">
        <v>0.83</v>
      </c>
      <c r="S308" s="145">
        <v>22</v>
      </c>
      <c r="T308" s="145">
        <v>314</v>
      </c>
      <c r="U308" s="145">
        <v>0.1</v>
      </c>
      <c r="V308" s="145">
        <v>0.79</v>
      </c>
      <c r="W308" s="145" t="s">
        <v>400</v>
      </c>
      <c r="X308" s="145">
        <v>0.08</v>
      </c>
      <c r="Y308" s="145">
        <v>0.08</v>
      </c>
      <c r="Z308" s="145">
        <v>0.02</v>
      </c>
      <c r="AA308" s="145">
        <v>0.4</v>
      </c>
      <c r="AB308" s="145">
        <v>6.5</v>
      </c>
      <c r="AC308" s="145">
        <v>0.48</v>
      </c>
      <c r="AD308" s="145" t="s">
        <v>400</v>
      </c>
      <c r="AE308" s="145">
        <v>142</v>
      </c>
      <c r="AF308" s="145" t="s">
        <v>400</v>
      </c>
      <c r="AG308" s="145">
        <v>0.44</v>
      </c>
      <c r="AH308" s="145" t="s">
        <v>400</v>
      </c>
      <c r="AI308" s="145" t="s">
        <v>400</v>
      </c>
      <c r="AJ308" s="145">
        <v>0.2</v>
      </c>
      <c r="AK308" s="145">
        <v>108.33</v>
      </c>
      <c r="AL308" s="145">
        <v>0.5</v>
      </c>
      <c r="AM308" s="145" t="s">
        <v>400</v>
      </c>
    </row>
    <row r="309" spans="1:39">
      <c r="A309" s="143" t="s">
        <v>1368</v>
      </c>
      <c r="B309" s="144">
        <v>100</v>
      </c>
      <c r="C309" s="145">
        <v>52.88</v>
      </c>
      <c r="D309" s="145">
        <v>1.61</v>
      </c>
      <c r="E309" s="145">
        <v>3.75</v>
      </c>
      <c r="F309" s="145">
        <v>0.56000000000000005</v>
      </c>
      <c r="G309" s="145">
        <v>0.81</v>
      </c>
      <c r="H309" s="145">
        <v>2.13</v>
      </c>
      <c r="I309" s="145">
        <v>1.88</v>
      </c>
      <c r="J309" s="145">
        <v>0.26</v>
      </c>
      <c r="K309" s="145" t="s">
        <v>400</v>
      </c>
      <c r="L309" s="145">
        <v>4.3099999999999996</v>
      </c>
      <c r="M309" s="145">
        <v>3.99</v>
      </c>
      <c r="N309" s="145">
        <v>64</v>
      </c>
      <c r="O309" s="145">
        <v>18</v>
      </c>
      <c r="P309" s="145">
        <v>0.55000000000000004</v>
      </c>
      <c r="Q309" s="145">
        <v>32</v>
      </c>
      <c r="R309" s="145">
        <v>1.02</v>
      </c>
      <c r="S309" s="145">
        <v>29</v>
      </c>
      <c r="T309" s="145">
        <v>364</v>
      </c>
      <c r="U309" s="145">
        <v>0.12</v>
      </c>
      <c r="V309" s="145">
        <v>0.97</v>
      </c>
      <c r="W309" s="145" t="s">
        <v>400</v>
      </c>
      <c r="X309" s="145">
        <v>0.09</v>
      </c>
      <c r="Y309" s="145">
        <v>0.09</v>
      </c>
      <c r="Z309" s="145">
        <v>0.02</v>
      </c>
      <c r="AA309" s="145">
        <v>0.46</v>
      </c>
      <c r="AB309" s="145">
        <v>5.0199999999999996</v>
      </c>
      <c r="AC309" s="145">
        <v>0.63</v>
      </c>
      <c r="AD309" s="145" t="s">
        <v>400</v>
      </c>
      <c r="AE309" s="145">
        <v>119</v>
      </c>
      <c r="AF309" s="145" t="s">
        <v>400</v>
      </c>
      <c r="AG309" s="145">
        <v>0.97</v>
      </c>
      <c r="AH309" s="145" t="s">
        <v>400</v>
      </c>
      <c r="AI309" s="145">
        <v>210</v>
      </c>
      <c r="AJ309" s="145">
        <v>1.86</v>
      </c>
      <c r="AK309" s="145">
        <v>80</v>
      </c>
      <c r="AL309" s="145">
        <v>0.65</v>
      </c>
      <c r="AM309" s="145" t="s">
        <v>400</v>
      </c>
    </row>
    <row r="310" spans="1:39">
      <c r="A310" s="143" t="s">
        <v>1369</v>
      </c>
      <c r="B310" s="144">
        <v>100</v>
      </c>
      <c r="C310" s="145">
        <v>22</v>
      </c>
      <c r="D310" s="145">
        <v>1.61</v>
      </c>
      <c r="E310" s="145">
        <v>0.26</v>
      </c>
      <c r="F310" s="145">
        <v>0.06</v>
      </c>
      <c r="G310" s="145" t="s">
        <v>400</v>
      </c>
      <c r="H310" s="145">
        <v>0.11</v>
      </c>
      <c r="I310" s="145">
        <v>0.1</v>
      </c>
      <c r="J310" s="145">
        <v>0.02</v>
      </c>
      <c r="K310" s="145" t="s">
        <v>400</v>
      </c>
      <c r="L310" s="145">
        <v>4.3099999999999996</v>
      </c>
      <c r="M310" s="145">
        <v>3.99</v>
      </c>
      <c r="N310" s="145">
        <v>64</v>
      </c>
      <c r="O310" s="145">
        <v>18</v>
      </c>
      <c r="P310" s="145">
        <v>0.55000000000000004</v>
      </c>
      <c r="Q310" s="145">
        <v>32</v>
      </c>
      <c r="R310" s="145">
        <v>1.02</v>
      </c>
      <c r="S310" s="145">
        <v>29</v>
      </c>
      <c r="T310" s="145">
        <v>364</v>
      </c>
      <c r="U310" s="145">
        <v>0.12</v>
      </c>
      <c r="V310" s="145">
        <v>0.97</v>
      </c>
      <c r="W310" s="145" t="s">
        <v>400</v>
      </c>
      <c r="X310" s="145">
        <v>0.09</v>
      </c>
      <c r="Y310" s="145">
        <v>0.09</v>
      </c>
      <c r="Z310" s="145">
        <v>0.02</v>
      </c>
      <c r="AA310" s="145">
        <v>0.46</v>
      </c>
      <c r="AB310" s="145">
        <v>5.0199999999999996</v>
      </c>
      <c r="AC310" s="145">
        <v>0.63</v>
      </c>
      <c r="AD310" s="145" t="s">
        <v>400</v>
      </c>
      <c r="AE310" s="145">
        <v>119</v>
      </c>
      <c r="AF310" s="145" t="s">
        <v>400</v>
      </c>
      <c r="AG310" s="145">
        <v>0.65</v>
      </c>
      <c r="AH310" s="145" t="s">
        <v>400</v>
      </c>
      <c r="AI310" s="145">
        <v>210</v>
      </c>
      <c r="AJ310" s="145">
        <v>0.26</v>
      </c>
      <c r="AK310" s="145">
        <v>80</v>
      </c>
      <c r="AL310" s="145">
        <v>0.65</v>
      </c>
      <c r="AM310" s="145" t="s">
        <v>400</v>
      </c>
    </row>
    <row r="311" spans="1:39">
      <c r="A311" s="143" t="s">
        <v>1370</v>
      </c>
      <c r="B311" s="144">
        <v>100</v>
      </c>
      <c r="C311" s="145">
        <v>34</v>
      </c>
      <c r="D311" s="145">
        <v>2.82</v>
      </c>
      <c r="E311" s="145">
        <v>0.37</v>
      </c>
      <c r="F311" s="145">
        <v>3.9E-2</v>
      </c>
      <c r="G311" s="145">
        <v>1.0999999999999999E-2</v>
      </c>
      <c r="H311" s="145">
        <v>3.7999999999999999E-2</v>
      </c>
      <c r="I311" s="145">
        <v>1.7000000000000001E-2</v>
      </c>
      <c r="J311" s="145">
        <v>2.1000000000000001E-2</v>
      </c>
      <c r="K311" s="145" t="s">
        <v>400</v>
      </c>
      <c r="L311" s="145">
        <v>6.64</v>
      </c>
      <c r="M311" s="145">
        <v>2.6</v>
      </c>
      <c r="N311" s="145">
        <v>47</v>
      </c>
      <c r="O311" s="145">
        <v>21</v>
      </c>
      <c r="P311" s="145">
        <v>0.21</v>
      </c>
      <c r="Q311" s="145">
        <v>66</v>
      </c>
      <c r="R311" s="145">
        <v>0.73</v>
      </c>
      <c r="S311" s="145">
        <v>33</v>
      </c>
      <c r="T311" s="145">
        <v>316</v>
      </c>
      <c r="U311" s="145">
        <v>4.9000000000000002E-2</v>
      </c>
      <c r="V311" s="145">
        <v>0.41</v>
      </c>
      <c r="W311" s="145" t="s">
        <v>400</v>
      </c>
      <c r="X311" s="145">
        <v>7.0999999999999994E-2</v>
      </c>
      <c r="Y311" s="145">
        <v>0.11700000000000001</v>
      </c>
      <c r="Z311" s="145">
        <v>0.17499999999999999</v>
      </c>
      <c r="AA311" s="145">
        <v>0.63900000000000001</v>
      </c>
      <c r="AB311" s="145">
        <v>89.2</v>
      </c>
      <c r="AC311" s="145">
        <v>1.1890000000000001</v>
      </c>
      <c r="AD311" s="145" t="s">
        <v>400</v>
      </c>
      <c r="AE311" s="145">
        <v>63</v>
      </c>
      <c r="AF311" s="145" t="s">
        <v>400</v>
      </c>
      <c r="AG311" s="145">
        <v>1.44</v>
      </c>
      <c r="AH311" s="145" t="s">
        <v>400</v>
      </c>
      <c r="AI311" s="145" t="s">
        <v>400</v>
      </c>
      <c r="AJ311" s="145">
        <v>2.5</v>
      </c>
      <c r="AK311" s="145">
        <v>31.167000000000002</v>
      </c>
      <c r="AL311" s="145">
        <v>1.69</v>
      </c>
      <c r="AM311" s="145" t="s">
        <v>400</v>
      </c>
    </row>
    <row r="312" spans="1:39">
      <c r="A312" s="143" t="s">
        <v>1371</v>
      </c>
      <c r="B312" s="144">
        <v>100</v>
      </c>
      <c r="C312" s="145">
        <v>35</v>
      </c>
      <c r="D312" s="145">
        <v>2.38</v>
      </c>
      <c r="E312" s="145">
        <v>0.41</v>
      </c>
      <c r="F312" s="145">
        <v>0.08</v>
      </c>
      <c r="G312" s="145">
        <v>0.04</v>
      </c>
      <c r="H312" s="145">
        <v>0.17</v>
      </c>
      <c r="I312" s="145">
        <v>0.05</v>
      </c>
      <c r="J312" s="145">
        <v>0.12</v>
      </c>
      <c r="K312" s="145" t="s">
        <v>400</v>
      </c>
      <c r="L312" s="145">
        <v>7.18</v>
      </c>
      <c r="M312" s="145">
        <v>3.3</v>
      </c>
      <c r="N312" s="145">
        <v>40</v>
      </c>
      <c r="O312" s="145">
        <v>21</v>
      </c>
      <c r="P312" s="145">
        <v>0.19</v>
      </c>
      <c r="Q312" s="145">
        <v>67</v>
      </c>
      <c r="R312" s="145">
        <v>0.67</v>
      </c>
      <c r="S312" s="145">
        <v>41</v>
      </c>
      <c r="T312" s="145">
        <v>293</v>
      </c>
      <c r="U312" s="145">
        <v>0.06</v>
      </c>
      <c r="V312" s="145">
        <v>0.45</v>
      </c>
      <c r="W312" s="145" t="s">
        <v>400</v>
      </c>
      <c r="X312" s="145">
        <v>0.06</v>
      </c>
      <c r="Y312" s="145">
        <v>0.12</v>
      </c>
      <c r="Z312" s="145">
        <v>0.2</v>
      </c>
      <c r="AA312" s="145">
        <v>0.55000000000000004</v>
      </c>
      <c r="AB312" s="145">
        <v>64.900000000000006</v>
      </c>
      <c r="AC312" s="145">
        <v>1.07</v>
      </c>
      <c r="AD312" s="145" t="s">
        <v>400</v>
      </c>
      <c r="AE312" s="145">
        <v>108</v>
      </c>
      <c r="AF312" s="145" t="s">
        <v>400</v>
      </c>
      <c r="AG312" s="145">
        <v>2.02</v>
      </c>
      <c r="AH312" s="145" t="s">
        <v>400</v>
      </c>
      <c r="AI312" s="145">
        <v>242</v>
      </c>
      <c r="AJ312" s="145">
        <v>1.6</v>
      </c>
      <c r="AK312" s="145">
        <v>77.42</v>
      </c>
      <c r="AL312" s="145">
        <v>1.31</v>
      </c>
      <c r="AM312" s="145" t="s">
        <v>400</v>
      </c>
    </row>
    <row r="313" spans="1:39">
      <c r="A313" s="143" t="s">
        <v>1372</v>
      </c>
      <c r="B313" s="144">
        <v>100</v>
      </c>
      <c r="C313" s="145">
        <v>181.23</v>
      </c>
      <c r="D313" s="145">
        <v>4.18</v>
      </c>
      <c r="E313" s="145">
        <v>11.48</v>
      </c>
      <c r="F313" s="145">
        <v>1.87</v>
      </c>
      <c r="G313" s="145">
        <v>2.82</v>
      </c>
      <c r="H313" s="145">
        <v>6.03</v>
      </c>
      <c r="I313" s="145">
        <v>5.26</v>
      </c>
      <c r="J313" s="145">
        <v>0.74</v>
      </c>
      <c r="K313" s="145">
        <v>49.88</v>
      </c>
      <c r="L313" s="145">
        <v>15.43</v>
      </c>
      <c r="M313" s="145">
        <v>2.06</v>
      </c>
      <c r="N313" s="145">
        <v>29.41</v>
      </c>
      <c r="O313" s="145">
        <v>16.96</v>
      </c>
      <c r="P313" s="145">
        <v>0.22</v>
      </c>
      <c r="Q313" s="145">
        <v>73</v>
      </c>
      <c r="R313" s="145">
        <v>1.23</v>
      </c>
      <c r="S313" s="145">
        <v>243.98</v>
      </c>
      <c r="T313" s="145">
        <v>194.28</v>
      </c>
      <c r="U313" s="145">
        <v>0.05</v>
      </c>
      <c r="V313" s="145">
        <v>0.47</v>
      </c>
      <c r="W313" s="145">
        <v>19.760000000000002</v>
      </c>
      <c r="X313" s="145">
        <v>0.16</v>
      </c>
      <c r="Y313" s="145">
        <v>0.2</v>
      </c>
      <c r="Z313" s="145">
        <v>0.13</v>
      </c>
      <c r="AA313" s="145">
        <v>1.18</v>
      </c>
      <c r="AB313" s="145">
        <v>31.69</v>
      </c>
      <c r="AC313" s="145">
        <v>2.04</v>
      </c>
      <c r="AD313" s="145">
        <v>0.13</v>
      </c>
      <c r="AE313" s="145">
        <v>88.12</v>
      </c>
      <c r="AF313" s="145">
        <v>0.15</v>
      </c>
      <c r="AG313" s="145">
        <v>2.0299999999999998</v>
      </c>
      <c r="AH313" s="145" t="s">
        <v>400</v>
      </c>
      <c r="AI313" s="145">
        <v>242</v>
      </c>
      <c r="AJ313" s="145">
        <v>13.96</v>
      </c>
      <c r="AK313" s="145">
        <v>57.72</v>
      </c>
      <c r="AL313" s="145">
        <v>1.21</v>
      </c>
      <c r="AM313" s="145" t="s">
        <v>400</v>
      </c>
    </row>
    <row r="314" spans="1:39">
      <c r="A314" s="143" t="s">
        <v>1373</v>
      </c>
      <c r="B314" s="144">
        <v>100</v>
      </c>
      <c r="C314" s="145">
        <v>60.74</v>
      </c>
      <c r="D314" s="145">
        <v>2.38</v>
      </c>
      <c r="E314" s="145">
        <v>3.32</v>
      </c>
      <c r="F314" s="145">
        <v>0.5</v>
      </c>
      <c r="G314" s="145">
        <v>0.72</v>
      </c>
      <c r="H314" s="145">
        <v>1.86</v>
      </c>
      <c r="I314" s="145">
        <v>1.54</v>
      </c>
      <c r="J314" s="145">
        <v>0.32</v>
      </c>
      <c r="K314" s="145" t="s">
        <v>400</v>
      </c>
      <c r="L314" s="145">
        <v>7.18</v>
      </c>
      <c r="M314" s="145">
        <v>3.3</v>
      </c>
      <c r="N314" s="145">
        <v>40</v>
      </c>
      <c r="O314" s="145">
        <v>21</v>
      </c>
      <c r="P314" s="145">
        <v>0.19</v>
      </c>
      <c r="Q314" s="145">
        <v>67</v>
      </c>
      <c r="R314" s="145">
        <v>0.67</v>
      </c>
      <c r="S314" s="145">
        <v>41</v>
      </c>
      <c r="T314" s="145">
        <v>293</v>
      </c>
      <c r="U314" s="145">
        <v>0.06</v>
      </c>
      <c r="V314" s="145">
        <v>0.45</v>
      </c>
      <c r="W314" s="145" t="s">
        <v>400</v>
      </c>
      <c r="X314" s="145">
        <v>0.06</v>
      </c>
      <c r="Y314" s="145">
        <v>0.12</v>
      </c>
      <c r="Z314" s="145">
        <v>0.2</v>
      </c>
      <c r="AA314" s="145">
        <v>0.55000000000000004</v>
      </c>
      <c r="AB314" s="145">
        <v>64.900000000000006</v>
      </c>
      <c r="AC314" s="145">
        <v>1.07</v>
      </c>
      <c r="AD314" s="145" t="s">
        <v>400</v>
      </c>
      <c r="AE314" s="145">
        <v>108</v>
      </c>
      <c r="AF314" s="145" t="s">
        <v>400</v>
      </c>
      <c r="AG314" s="145">
        <v>2.29</v>
      </c>
      <c r="AH314" s="145" t="s">
        <v>400</v>
      </c>
      <c r="AI314" s="145">
        <v>242</v>
      </c>
      <c r="AJ314" s="145">
        <v>2.93</v>
      </c>
      <c r="AK314" s="145">
        <v>77.42</v>
      </c>
      <c r="AL314" s="145">
        <v>1.31</v>
      </c>
      <c r="AM314" s="145" t="s">
        <v>400</v>
      </c>
    </row>
    <row r="315" spans="1:39">
      <c r="A315" s="143" t="s">
        <v>1374</v>
      </c>
      <c r="B315" s="144">
        <v>100</v>
      </c>
      <c r="C315" s="145">
        <v>60.74</v>
      </c>
      <c r="D315" s="145">
        <v>2.38</v>
      </c>
      <c r="E315" s="145">
        <v>3.32</v>
      </c>
      <c r="F315" s="145">
        <v>0.5</v>
      </c>
      <c r="G315" s="145">
        <v>0.72</v>
      </c>
      <c r="H315" s="145">
        <v>1.86</v>
      </c>
      <c r="I315" s="145">
        <v>1.54</v>
      </c>
      <c r="J315" s="145">
        <v>0.32</v>
      </c>
      <c r="K315" s="145" t="s">
        <v>400</v>
      </c>
      <c r="L315" s="145">
        <v>7.18</v>
      </c>
      <c r="M315" s="145">
        <v>3.3</v>
      </c>
      <c r="N315" s="145">
        <v>40</v>
      </c>
      <c r="O315" s="145">
        <v>21</v>
      </c>
      <c r="P315" s="145">
        <v>0.19</v>
      </c>
      <c r="Q315" s="145">
        <v>67</v>
      </c>
      <c r="R315" s="145">
        <v>0.67</v>
      </c>
      <c r="S315" s="145">
        <v>41</v>
      </c>
      <c r="T315" s="145">
        <v>293</v>
      </c>
      <c r="U315" s="145">
        <v>0.06</v>
      </c>
      <c r="V315" s="145">
        <v>0.45</v>
      </c>
      <c r="W315" s="145" t="s">
        <v>400</v>
      </c>
      <c r="X315" s="145">
        <v>0.06</v>
      </c>
      <c r="Y315" s="145">
        <v>0.12</v>
      </c>
      <c r="Z315" s="145">
        <v>0.2</v>
      </c>
      <c r="AA315" s="145">
        <v>0.55000000000000004</v>
      </c>
      <c r="AB315" s="145">
        <v>64.900000000000006</v>
      </c>
      <c r="AC315" s="145">
        <v>1.07</v>
      </c>
      <c r="AD315" s="145" t="s">
        <v>400</v>
      </c>
      <c r="AE315" s="145">
        <v>108</v>
      </c>
      <c r="AF315" s="145" t="s">
        <v>400</v>
      </c>
      <c r="AG315" s="145">
        <v>2.29</v>
      </c>
      <c r="AH315" s="145" t="s">
        <v>400</v>
      </c>
      <c r="AI315" s="145">
        <v>242</v>
      </c>
      <c r="AJ315" s="145">
        <v>2.93</v>
      </c>
      <c r="AK315" s="145">
        <v>77.42</v>
      </c>
      <c r="AL315" s="145">
        <v>1.31</v>
      </c>
      <c r="AM315" s="145" t="s">
        <v>400</v>
      </c>
    </row>
    <row r="316" spans="1:39">
      <c r="A316" s="143" t="s">
        <v>1375</v>
      </c>
      <c r="B316" s="144">
        <v>100</v>
      </c>
      <c r="C316" s="145">
        <v>35</v>
      </c>
      <c r="D316" s="145">
        <v>2.38</v>
      </c>
      <c r="E316" s="145">
        <v>0.41</v>
      </c>
      <c r="F316" s="145">
        <v>0.08</v>
      </c>
      <c r="G316" s="145">
        <v>0.04</v>
      </c>
      <c r="H316" s="145">
        <v>0.17</v>
      </c>
      <c r="I316" s="145">
        <v>0.05</v>
      </c>
      <c r="J316" s="145">
        <v>0.12</v>
      </c>
      <c r="K316" s="145" t="s">
        <v>400</v>
      </c>
      <c r="L316" s="145">
        <v>7.18</v>
      </c>
      <c r="M316" s="145">
        <v>3.3</v>
      </c>
      <c r="N316" s="145">
        <v>40</v>
      </c>
      <c r="O316" s="145">
        <v>21</v>
      </c>
      <c r="P316" s="145">
        <v>0.19</v>
      </c>
      <c r="Q316" s="145">
        <v>67</v>
      </c>
      <c r="R316" s="145">
        <v>0.67</v>
      </c>
      <c r="S316" s="145">
        <v>41</v>
      </c>
      <c r="T316" s="145">
        <v>293</v>
      </c>
      <c r="U316" s="145">
        <v>0.06</v>
      </c>
      <c r="V316" s="145">
        <v>0.45</v>
      </c>
      <c r="W316" s="145" t="s">
        <v>400</v>
      </c>
      <c r="X316" s="145">
        <v>0.06</v>
      </c>
      <c r="Y316" s="145">
        <v>0.12</v>
      </c>
      <c r="Z316" s="145">
        <v>0.2</v>
      </c>
      <c r="AA316" s="145">
        <v>0.55000000000000004</v>
      </c>
      <c r="AB316" s="145">
        <v>64.900000000000006</v>
      </c>
      <c r="AC316" s="145">
        <v>1.07</v>
      </c>
      <c r="AD316" s="145" t="s">
        <v>400</v>
      </c>
      <c r="AE316" s="145">
        <v>108</v>
      </c>
      <c r="AF316" s="145" t="s">
        <v>400</v>
      </c>
      <c r="AG316" s="145">
        <v>2.02</v>
      </c>
      <c r="AH316" s="145" t="s">
        <v>400</v>
      </c>
      <c r="AI316" s="145">
        <v>242</v>
      </c>
      <c r="AJ316" s="145">
        <v>1.6</v>
      </c>
      <c r="AK316" s="145">
        <v>77.42</v>
      </c>
      <c r="AL316" s="145">
        <v>1.31</v>
      </c>
      <c r="AM316" s="145" t="s">
        <v>400</v>
      </c>
    </row>
    <row r="317" spans="1:39">
      <c r="A317" s="143" t="s">
        <v>1376</v>
      </c>
      <c r="B317" s="144">
        <v>100</v>
      </c>
      <c r="C317" s="145">
        <v>35</v>
      </c>
      <c r="D317" s="145">
        <v>2.38</v>
      </c>
      <c r="E317" s="145">
        <v>0.41</v>
      </c>
      <c r="F317" s="145">
        <v>0.08</v>
      </c>
      <c r="G317" s="145">
        <v>0.04</v>
      </c>
      <c r="H317" s="145">
        <v>0.17</v>
      </c>
      <c r="I317" s="145">
        <v>0.05</v>
      </c>
      <c r="J317" s="145">
        <v>0.12</v>
      </c>
      <c r="K317" s="145" t="s">
        <v>400</v>
      </c>
      <c r="L317" s="145">
        <v>7.18</v>
      </c>
      <c r="M317" s="145">
        <v>3.3</v>
      </c>
      <c r="N317" s="145">
        <v>40</v>
      </c>
      <c r="O317" s="145">
        <v>21</v>
      </c>
      <c r="P317" s="145">
        <v>0.19</v>
      </c>
      <c r="Q317" s="145">
        <v>67</v>
      </c>
      <c r="R317" s="145">
        <v>0.67</v>
      </c>
      <c r="S317" s="145">
        <v>41</v>
      </c>
      <c r="T317" s="145">
        <v>293</v>
      </c>
      <c r="U317" s="145">
        <v>0.06</v>
      </c>
      <c r="V317" s="145">
        <v>0.45</v>
      </c>
      <c r="W317" s="145" t="s">
        <v>400</v>
      </c>
      <c r="X317" s="145">
        <v>0.06</v>
      </c>
      <c r="Y317" s="145">
        <v>0.12</v>
      </c>
      <c r="Z317" s="145">
        <v>0.2</v>
      </c>
      <c r="AA317" s="145">
        <v>0.55000000000000004</v>
      </c>
      <c r="AB317" s="145">
        <v>64.900000000000006</v>
      </c>
      <c r="AC317" s="145">
        <v>1.07</v>
      </c>
      <c r="AD317" s="145" t="s">
        <v>400</v>
      </c>
      <c r="AE317" s="145">
        <v>108</v>
      </c>
      <c r="AF317" s="145" t="s">
        <v>400</v>
      </c>
      <c r="AG317" s="145">
        <v>2.02</v>
      </c>
      <c r="AH317" s="145" t="s">
        <v>400</v>
      </c>
      <c r="AI317" s="145">
        <v>242</v>
      </c>
      <c r="AJ317" s="145">
        <v>1.6</v>
      </c>
      <c r="AK317" s="145">
        <v>77.42</v>
      </c>
      <c r="AL317" s="145">
        <v>1.31</v>
      </c>
      <c r="AM317" s="145" t="s">
        <v>400</v>
      </c>
    </row>
    <row r="318" spans="1:39">
      <c r="A318" s="143" t="s">
        <v>1377</v>
      </c>
      <c r="B318" s="144">
        <v>100</v>
      </c>
      <c r="C318" s="145">
        <v>23</v>
      </c>
      <c r="D318" s="145">
        <v>2.97</v>
      </c>
      <c r="E318" s="145">
        <v>0.26</v>
      </c>
      <c r="F318" s="145">
        <v>0.04</v>
      </c>
      <c r="G318" s="145">
        <v>0.01</v>
      </c>
      <c r="H318" s="145">
        <v>0.11</v>
      </c>
      <c r="I318" s="145">
        <v>0.02</v>
      </c>
      <c r="J318" s="145">
        <v>0.09</v>
      </c>
      <c r="K318" s="145" t="s">
        <v>400</v>
      </c>
      <c r="L318" s="145">
        <v>3.75</v>
      </c>
      <c r="M318" s="145">
        <v>2.4</v>
      </c>
      <c r="N318" s="145">
        <v>136</v>
      </c>
      <c r="O318" s="145">
        <v>87</v>
      </c>
      <c r="P318" s="145">
        <v>0.94</v>
      </c>
      <c r="Q318" s="145">
        <v>56</v>
      </c>
      <c r="R318" s="145">
        <v>3.57</v>
      </c>
      <c r="S318" s="145">
        <v>70</v>
      </c>
      <c r="T318" s="145">
        <v>466</v>
      </c>
      <c r="U318" s="145">
        <v>0.17</v>
      </c>
      <c r="V318" s="145">
        <v>0.76</v>
      </c>
      <c r="W318" s="145" t="s">
        <v>400</v>
      </c>
      <c r="X318" s="145">
        <v>0.1</v>
      </c>
      <c r="Y318" s="145">
        <v>0.24</v>
      </c>
      <c r="Z318" s="145">
        <v>0.24</v>
      </c>
      <c r="AA318" s="145">
        <v>0.49</v>
      </c>
      <c r="AB318" s="145">
        <v>9.8000000000000007</v>
      </c>
      <c r="AC318" s="145">
        <v>1.1599999999999999</v>
      </c>
      <c r="AD318" s="145" t="s">
        <v>400</v>
      </c>
      <c r="AE318" s="145">
        <v>146</v>
      </c>
      <c r="AF318" s="145" t="s">
        <v>400</v>
      </c>
      <c r="AG318" s="145">
        <v>2.08</v>
      </c>
      <c r="AH318" s="145" t="s">
        <v>400</v>
      </c>
      <c r="AI318" s="145">
        <v>210</v>
      </c>
      <c r="AJ318" s="145">
        <v>1.5</v>
      </c>
      <c r="AK318" s="145">
        <v>524</v>
      </c>
      <c r="AL318" s="145">
        <v>0.89</v>
      </c>
      <c r="AM318" s="145" t="s">
        <v>400</v>
      </c>
    </row>
    <row r="319" spans="1:39">
      <c r="A319" s="143" t="s">
        <v>1378</v>
      </c>
      <c r="B319" s="144">
        <v>100</v>
      </c>
      <c r="C319" s="145">
        <v>23</v>
      </c>
      <c r="D319" s="145">
        <v>2.97</v>
      </c>
      <c r="E319" s="145">
        <v>0.26</v>
      </c>
      <c r="F319" s="145">
        <v>0.04</v>
      </c>
      <c r="G319" s="145">
        <v>0.01</v>
      </c>
      <c r="H319" s="145">
        <v>0.11</v>
      </c>
      <c r="I319" s="145">
        <v>0.02</v>
      </c>
      <c r="J319" s="145">
        <v>0.09</v>
      </c>
      <c r="K319" s="145" t="s">
        <v>400</v>
      </c>
      <c r="L319" s="145">
        <v>3.75</v>
      </c>
      <c r="M319" s="145">
        <v>2.4</v>
      </c>
      <c r="N319" s="145">
        <v>136</v>
      </c>
      <c r="O319" s="145">
        <v>87</v>
      </c>
      <c r="P319" s="145">
        <v>0.94</v>
      </c>
      <c r="Q319" s="145">
        <v>56</v>
      </c>
      <c r="R319" s="145">
        <v>3.57</v>
      </c>
      <c r="S319" s="145">
        <v>70</v>
      </c>
      <c r="T319" s="145">
        <v>466</v>
      </c>
      <c r="U319" s="145">
        <v>0.17</v>
      </c>
      <c r="V319" s="145">
        <v>0.76</v>
      </c>
      <c r="W319" s="145" t="s">
        <v>400</v>
      </c>
      <c r="X319" s="145">
        <v>0.1</v>
      </c>
      <c r="Y319" s="145">
        <v>0.24</v>
      </c>
      <c r="Z319" s="145">
        <v>0.24</v>
      </c>
      <c r="AA319" s="145">
        <v>0.49</v>
      </c>
      <c r="AB319" s="145">
        <v>9.8000000000000007</v>
      </c>
      <c r="AC319" s="145">
        <v>1.1599999999999999</v>
      </c>
      <c r="AD319" s="145" t="s">
        <v>400</v>
      </c>
      <c r="AE319" s="145">
        <v>146</v>
      </c>
      <c r="AF319" s="145" t="s">
        <v>400</v>
      </c>
      <c r="AG319" s="145">
        <v>2.08</v>
      </c>
      <c r="AH319" s="145" t="s">
        <v>400</v>
      </c>
      <c r="AI319" s="145">
        <v>210</v>
      </c>
      <c r="AJ319" s="145">
        <v>1.5</v>
      </c>
      <c r="AK319" s="145">
        <v>524</v>
      </c>
      <c r="AL319" s="145">
        <v>0.89</v>
      </c>
      <c r="AM319" s="145" t="s">
        <v>400</v>
      </c>
    </row>
    <row r="320" spans="1:39">
      <c r="A320" s="143" t="s">
        <v>1379</v>
      </c>
      <c r="B320" s="144">
        <v>100</v>
      </c>
      <c r="C320" s="145">
        <v>45.3</v>
      </c>
      <c r="D320" s="145">
        <v>2.97</v>
      </c>
      <c r="E320" s="145">
        <v>2.78</v>
      </c>
      <c r="F320" s="145">
        <v>0.41</v>
      </c>
      <c r="G320" s="145">
        <v>0.59</v>
      </c>
      <c r="H320" s="145">
        <v>1.57</v>
      </c>
      <c r="I320" s="145">
        <v>1.3</v>
      </c>
      <c r="J320" s="145">
        <v>0.26</v>
      </c>
      <c r="K320" s="145" t="s">
        <v>400</v>
      </c>
      <c r="L320" s="145">
        <v>3.75</v>
      </c>
      <c r="M320" s="145">
        <v>2.4</v>
      </c>
      <c r="N320" s="145">
        <v>136</v>
      </c>
      <c r="O320" s="145">
        <v>87</v>
      </c>
      <c r="P320" s="145">
        <v>0.94</v>
      </c>
      <c r="Q320" s="145">
        <v>56</v>
      </c>
      <c r="R320" s="145">
        <v>3.57</v>
      </c>
      <c r="S320" s="145">
        <v>70</v>
      </c>
      <c r="T320" s="145">
        <v>466</v>
      </c>
      <c r="U320" s="145">
        <v>0.17</v>
      </c>
      <c r="V320" s="145">
        <v>0.76</v>
      </c>
      <c r="W320" s="145" t="s">
        <v>400</v>
      </c>
      <c r="X320" s="145">
        <v>0.1</v>
      </c>
      <c r="Y320" s="145">
        <v>0.24</v>
      </c>
      <c r="Z320" s="145">
        <v>0.24</v>
      </c>
      <c r="AA320" s="145">
        <v>0.49</v>
      </c>
      <c r="AB320" s="145">
        <v>9.8000000000000007</v>
      </c>
      <c r="AC320" s="145">
        <v>1.1599999999999999</v>
      </c>
      <c r="AD320" s="145" t="s">
        <v>400</v>
      </c>
      <c r="AE320" s="145">
        <v>146</v>
      </c>
      <c r="AF320" s="145" t="s">
        <v>400</v>
      </c>
      <c r="AG320" s="145">
        <v>2.31</v>
      </c>
      <c r="AH320" s="145" t="s">
        <v>400</v>
      </c>
      <c r="AI320" s="145">
        <v>210</v>
      </c>
      <c r="AJ320" s="145">
        <v>2.66</v>
      </c>
      <c r="AK320" s="145">
        <v>524</v>
      </c>
      <c r="AL320" s="145">
        <v>0.89</v>
      </c>
      <c r="AM320" s="145" t="s">
        <v>400</v>
      </c>
    </row>
    <row r="321" spans="1:39">
      <c r="A321" s="143" t="s">
        <v>1380</v>
      </c>
      <c r="B321" s="144">
        <v>100</v>
      </c>
      <c r="C321" s="145">
        <v>26</v>
      </c>
      <c r="D321" s="145">
        <v>2.11</v>
      </c>
      <c r="E321" s="145">
        <v>0.36</v>
      </c>
      <c r="F321" s="145">
        <v>0.05</v>
      </c>
      <c r="G321" s="145">
        <v>0.03</v>
      </c>
      <c r="H321" s="145">
        <v>0.17</v>
      </c>
      <c r="I321" s="145">
        <v>7.0000000000000007E-2</v>
      </c>
      <c r="J321" s="145">
        <v>0.09</v>
      </c>
      <c r="K321" s="145" t="s">
        <v>400</v>
      </c>
      <c r="L321" s="145">
        <v>4.91</v>
      </c>
      <c r="M321" s="145">
        <v>2.8</v>
      </c>
      <c r="N321" s="145">
        <v>140</v>
      </c>
      <c r="O321" s="145">
        <v>20</v>
      </c>
      <c r="P321" s="145">
        <v>0.44</v>
      </c>
      <c r="Q321" s="145">
        <v>30</v>
      </c>
      <c r="R321" s="145">
        <v>1.1599999999999999</v>
      </c>
      <c r="S321" s="145">
        <v>16</v>
      </c>
      <c r="T321" s="145">
        <v>116</v>
      </c>
      <c r="U321" s="145">
        <v>0.04</v>
      </c>
      <c r="V321" s="145">
        <v>0.23</v>
      </c>
      <c r="W321" s="145" t="s">
        <v>400</v>
      </c>
      <c r="X321" s="145">
        <v>0.04</v>
      </c>
      <c r="Y321" s="145">
        <v>0.11</v>
      </c>
      <c r="Z321" s="145">
        <v>0.13</v>
      </c>
      <c r="AA321" s="145">
        <v>0.57999999999999996</v>
      </c>
      <c r="AB321" s="145">
        <v>18.2</v>
      </c>
      <c r="AC321" s="145">
        <v>1.03</v>
      </c>
      <c r="AD321" s="145" t="s">
        <v>400</v>
      </c>
      <c r="AE321" s="145">
        <v>93</v>
      </c>
      <c r="AF321" s="145" t="s">
        <v>400</v>
      </c>
      <c r="AG321" s="145">
        <v>0.88</v>
      </c>
      <c r="AH321" s="145" t="s">
        <v>400</v>
      </c>
      <c r="AI321" s="145">
        <v>199</v>
      </c>
      <c r="AJ321" s="145">
        <v>0.5</v>
      </c>
      <c r="AK321" s="145">
        <v>405.75</v>
      </c>
      <c r="AL321" s="145">
        <v>1.41</v>
      </c>
      <c r="AM321" s="145" t="s">
        <v>400</v>
      </c>
    </row>
    <row r="322" spans="1:39">
      <c r="A322" s="143" t="s">
        <v>1381</v>
      </c>
      <c r="B322" s="144">
        <v>100</v>
      </c>
      <c r="C322" s="145">
        <v>26</v>
      </c>
      <c r="D322" s="145">
        <v>2.11</v>
      </c>
      <c r="E322" s="145">
        <v>0.36</v>
      </c>
      <c r="F322" s="145">
        <v>0.05</v>
      </c>
      <c r="G322" s="145">
        <v>0.03</v>
      </c>
      <c r="H322" s="145">
        <v>0.17</v>
      </c>
      <c r="I322" s="145">
        <v>7.0000000000000007E-2</v>
      </c>
      <c r="J322" s="145">
        <v>0.09</v>
      </c>
      <c r="K322" s="145" t="s">
        <v>400</v>
      </c>
      <c r="L322" s="145">
        <v>4.91</v>
      </c>
      <c r="M322" s="145">
        <v>2.8</v>
      </c>
      <c r="N322" s="145">
        <v>140</v>
      </c>
      <c r="O322" s="145">
        <v>20</v>
      </c>
      <c r="P322" s="145">
        <v>0.44</v>
      </c>
      <c r="Q322" s="145">
        <v>30</v>
      </c>
      <c r="R322" s="145">
        <v>1.1599999999999999</v>
      </c>
      <c r="S322" s="145">
        <v>16</v>
      </c>
      <c r="T322" s="145">
        <v>116</v>
      </c>
      <c r="U322" s="145">
        <v>0.04</v>
      </c>
      <c r="V322" s="145">
        <v>0.23</v>
      </c>
      <c r="W322" s="145" t="s">
        <v>400</v>
      </c>
      <c r="X322" s="145">
        <v>0.04</v>
      </c>
      <c r="Y322" s="145">
        <v>0.11</v>
      </c>
      <c r="Z322" s="145">
        <v>0.13</v>
      </c>
      <c r="AA322" s="145">
        <v>0.57999999999999996</v>
      </c>
      <c r="AB322" s="145">
        <v>18.2</v>
      </c>
      <c r="AC322" s="145">
        <v>1.03</v>
      </c>
      <c r="AD322" s="145" t="s">
        <v>400</v>
      </c>
      <c r="AE322" s="145">
        <v>93</v>
      </c>
      <c r="AF322" s="145" t="s">
        <v>400</v>
      </c>
      <c r="AG322" s="145">
        <v>0.88</v>
      </c>
      <c r="AH322" s="145" t="s">
        <v>400</v>
      </c>
      <c r="AI322" s="145">
        <v>199</v>
      </c>
      <c r="AJ322" s="145">
        <v>0.5</v>
      </c>
      <c r="AK322" s="145">
        <v>405.75</v>
      </c>
      <c r="AL322" s="145">
        <v>1.41</v>
      </c>
      <c r="AM322" s="145" t="s">
        <v>400</v>
      </c>
    </row>
    <row r="323" spans="1:39">
      <c r="A323" s="143" t="s">
        <v>1382</v>
      </c>
      <c r="B323" s="144">
        <v>100</v>
      </c>
      <c r="C323" s="145">
        <v>26</v>
      </c>
      <c r="D323" s="145">
        <v>2.11</v>
      </c>
      <c r="E323" s="145">
        <v>0.36</v>
      </c>
      <c r="F323" s="145">
        <v>0.05</v>
      </c>
      <c r="G323" s="145">
        <v>0.03</v>
      </c>
      <c r="H323" s="145">
        <v>0.17</v>
      </c>
      <c r="I323" s="145">
        <v>7.0000000000000007E-2</v>
      </c>
      <c r="J323" s="145">
        <v>0.09</v>
      </c>
      <c r="K323" s="145" t="s">
        <v>400</v>
      </c>
      <c r="L323" s="145">
        <v>4.91</v>
      </c>
      <c r="M323" s="145">
        <v>2.8</v>
      </c>
      <c r="N323" s="145">
        <v>140</v>
      </c>
      <c r="O323" s="145">
        <v>20</v>
      </c>
      <c r="P323" s="145">
        <v>0.44</v>
      </c>
      <c r="Q323" s="145">
        <v>30</v>
      </c>
      <c r="R323" s="145">
        <v>1.1599999999999999</v>
      </c>
      <c r="S323" s="145">
        <v>16</v>
      </c>
      <c r="T323" s="145">
        <v>116</v>
      </c>
      <c r="U323" s="145">
        <v>0.04</v>
      </c>
      <c r="V323" s="145">
        <v>0.23</v>
      </c>
      <c r="W323" s="145" t="s">
        <v>400</v>
      </c>
      <c r="X323" s="145">
        <v>0.04</v>
      </c>
      <c r="Y323" s="145">
        <v>0.11</v>
      </c>
      <c r="Z323" s="145">
        <v>0.13</v>
      </c>
      <c r="AA323" s="145">
        <v>0.57999999999999996</v>
      </c>
      <c r="AB323" s="145">
        <v>18.2</v>
      </c>
      <c r="AC323" s="145">
        <v>1.03</v>
      </c>
      <c r="AD323" s="145" t="s">
        <v>400</v>
      </c>
      <c r="AE323" s="145">
        <v>93</v>
      </c>
      <c r="AF323" s="145" t="s">
        <v>400</v>
      </c>
      <c r="AG323" s="145">
        <v>0.88</v>
      </c>
      <c r="AH323" s="145" t="s">
        <v>400</v>
      </c>
      <c r="AI323" s="145">
        <v>199</v>
      </c>
      <c r="AJ323" s="145">
        <v>0.5</v>
      </c>
      <c r="AK323" s="145">
        <v>405.75</v>
      </c>
      <c r="AL323" s="145">
        <v>1.41</v>
      </c>
      <c r="AM323" s="145" t="s">
        <v>400</v>
      </c>
    </row>
    <row r="324" spans="1:39">
      <c r="A324" s="143" t="s">
        <v>1383</v>
      </c>
      <c r="B324" s="144">
        <v>100</v>
      </c>
      <c r="C324" s="145">
        <v>26</v>
      </c>
      <c r="D324" s="145">
        <v>2.11</v>
      </c>
      <c r="E324" s="145">
        <v>0.36</v>
      </c>
      <c r="F324" s="145">
        <v>0.05</v>
      </c>
      <c r="G324" s="145">
        <v>0.03</v>
      </c>
      <c r="H324" s="145">
        <v>0.17</v>
      </c>
      <c r="I324" s="145">
        <v>7.0000000000000007E-2</v>
      </c>
      <c r="J324" s="145">
        <v>0.09</v>
      </c>
      <c r="K324" s="145" t="s">
        <v>400</v>
      </c>
      <c r="L324" s="145">
        <v>4.91</v>
      </c>
      <c r="M324" s="145">
        <v>2.8</v>
      </c>
      <c r="N324" s="145">
        <v>140</v>
      </c>
      <c r="O324" s="145">
        <v>20</v>
      </c>
      <c r="P324" s="145">
        <v>0.44</v>
      </c>
      <c r="Q324" s="145">
        <v>30</v>
      </c>
      <c r="R324" s="145">
        <v>1.1599999999999999</v>
      </c>
      <c r="S324" s="145">
        <v>16</v>
      </c>
      <c r="T324" s="145">
        <v>116</v>
      </c>
      <c r="U324" s="145">
        <v>0.04</v>
      </c>
      <c r="V324" s="145">
        <v>0.23</v>
      </c>
      <c r="W324" s="145" t="s">
        <v>400</v>
      </c>
      <c r="X324" s="145">
        <v>0.04</v>
      </c>
      <c r="Y324" s="145">
        <v>0.11</v>
      </c>
      <c r="Z324" s="145">
        <v>0.13</v>
      </c>
      <c r="AA324" s="145">
        <v>0.57999999999999996</v>
      </c>
      <c r="AB324" s="145">
        <v>18.2</v>
      </c>
      <c r="AC324" s="145">
        <v>1.03</v>
      </c>
      <c r="AD324" s="145" t="s">
        <v>400</v>
      </c>
      <c r="AE324" s="145">
        <v>93</v>
      </c>
      <c r="AF324" s="145" t="s">
        <v>400</v>
      </c>
      <c r="AG324" s="145">
        <v>0.88</v>
      </c>
      <c r="AH324" s="145" t="s">
        <v>400</v>
      </c>
      <c r="AI324" s="145">
        <v>199</v>
      </c>
      <c r="AJ324" s="145">
        <v>0.5</v>
      </c>
      <c r="AK324" s="145">
        <v>405.75</v>
      </c>
      <c r="AL324" s="145">
        <v>1.41</v>
      </c>
      <c r="AM324" s="145" t="s">
        <v>400</v>
      </c>
    </row>
    <row r="325" spans="1:39">
      <c r="A325" s="143" t="s">
        <v>1384</v>
      </c>
      <c r="B325" s="144">
        <v>100</v>
      </c>
      <c r="C325" s="145">
        <v>25</v>
      </c>
      <c r="D325" s="145">
        <v>2.58</v>
      </c>
      <c r="E325" s="145">
        <v>0.66</v>
      </c>
      <c r="F325" s="145">
        <v>8.5999999999999993E-2</v>
      </c>
      <c r="G325" s="145">
        <v>4.9000000000000002E-2</v>
      </c>
      <c r="H325" s="145">
        <v>0.31900000000000001</v>
      </c>
      <c r="I325" s="145">
        <v>0.13</v>
      </c>
      <c r="J325" s="145">
        <v>0.17</v>
      </c>
      <c r="K325" s="145" t="s">
        <v>400</v>
      </c>
      <c r="L325" s="145">
        <v>3.65</v>
      </c>
      <c r="M325" s="145">
        <v>1.6</v>
      </c>
      <c r="N325" s="145">
        <v>160</v>
      </c>
      <c r="O325" s="145">
        <v>47</v>
      </c>
      <c r="P325" s="145">
        <v>0.32100000000000001</v>
      </c>
      <c r="Q325" s="145">
        <v>52</v>
      </c>
      <c r="R325" s="145">
        <v>1.46</v>
      </c>
      <c r="S325" s="145">
        <v>27</v>
      </c>
      <c r="T325" s="145">
        <v>369</v>
      </c>
      <c r="U325" s="145">
        <v>7.5999999999999998E-2</v>
      </c>
      <c r="V325" s="145">
        <v>0.47</v>
      </c>
      <c r="W325" s="145" t="s">
        <v>400</v>
      </c>
      <c r="X325" s="145">
        <v>4.3999999999999997E-2</v>
      </c>
      <c r="Y325" s="145">
        <v>8.5999999999999993E-2</v>
      </c>
      <c r="Z325" s="146">
        <v>7.2999999999999995E-2</v>
      </c>
      <c r="AA325" s="145">
        <v>0.30499999999999999</v>
      </c>
      <c r="AB325" s="145">
        <v>15</v>
      </c>
      <c r="AC325" s="145">
        <v>0.30499999999999999</v>
      </c>
      <c r="AD325" s="145" t="s">
        <v>400</v>
      </c>
      <c r="AE325" s="145">
        <v>97</v>
      </c>
      <c r="AF325" s="145" t="s">
        <v>400</v>
      </c>
      <c r="AG325" s="145">
        <v>0.43</v>
      </c>
      <c r="AH325" s="145" t="s">
        <v>400</v>
      </c>
      <c r="AI325" s="145" t="s">
        <v>400</v>
      </c>
      <c r="AJ325" s="145">
        <v>0.3</v>
      </c>
      <c r="AK325" s="145">
        <v>118.667</v>
      </c>
      <c r="AL325" s="145">
        <v>1.6</v>
      </c>
      <c r="AM325" s="145" t="s">
        <v>400</v>
      </c>
    </row>
    <row r="326" spans="1:39">
      <c r="A326" s="143" t="s">
        <v>1385</v>
      </c>
      <c r="B326" s="144">
        <v>100</v>
      </c>
      <c r="C326" s="145">
        <v>32</v>
      </c>
      <c r="D326" s="145">
        <v>1.9</v>
      </c>
      <c r="E326" s="145">
        <v>0.3</v>
      </c>
      <c r="F326" s="145" t="s">
        <v>400</v>
      </c>
      <c r="G326" s="145" t="s">
        <v>400</v>
      </c>
      <c r="H326" s="145" t="s">
        <v>400</v>
      </c>
      <c r="I326" s="145" t="s">
        <v>400</v>
      </c>
      <c r="J326" s="145" t="s">
        <v>400</v>
      </c>
      <c r="K326" s="145" t="s">
        <v>400</v>
      </c>
      <c r="L326" s="145">
        <v>7.2</v>
      </c>
      <c r="M326" s="145">
        <v>1.3</v>
      </c>
      <c r="N326" s="145">
        <v>162</v>
      </c>
      <c r="O326" s="145" t="s">
        <v>400</v>
      </c>
      <c r="P326" s="145" t="s">
        <v>400</v>
      </c>
      <c r="Q326" s="145">
        <v>41</v>
      </c>
      <c r="R326" s="145">
        <v>4</v>
      </c>
      <c r="S326" s="145" t="s">
        <v>400</v>
      </c>
      <c r="T326" s="145" t="s">
        <v>400</v>
      </c>
      <c r="U326" s="145" t="s">
        <v>400</v>
      </c>
      <c r="V326" s="145" t="s">
        <v>400</v>
      </c>
      <c r="W326" s="145">
        <v>392</v>
      </c>
      <c r="X326" s="145">
        <v>0.03</v>
      </c>
      <c r="Y326" s="145">
        <v>0.21</v>
      </c>
      <c r="Z326" s="146" t="s">
        <v>400</v>
      </c>
      <c r="AA326" s="145">
        <v>1</v>
      </c>
      <c r="AB326" s="145">
        <v>20</v>
      </c>
      <c r="AC326" s="145" t="s">
        <v>400</v>
      </c>
      <c r="AD326" s="145" t="s">
        <v>400</v>
      </c>
      <c r="AE326" s="145" t="s">
        <v>400</v>
      </c>
      <c r="AF326" s="145" t="s">
        <v>400</v>
      </c>
      <c r="AG326" s="145" t="s">
        <v>400</v>
      </c>
      <c r="AH326" s="145" t="s">
        <v>400</v>
      </c>
      <c r="AI326" s="145" t="s">
        <v>400</v>
      </c>
      <c r="AJ326" s="145" t="s">
        <v>400</v>
      </c>
      <c r="AK326" s="145" t="s">
        <v>400</v>
      </c>
      <c r="AL326" s="145" t="s">
        <v>400</v>
      </c>
      <c r="AM326" s="145" t="s">
        <v>400</v>
      </c>
    </row>
    <row r="327" spans="1:39">
      <c r="A327" s="143" t="s">
        <v>1386</v>
      </c>
      <c r="B327" s="144">
        <v>100</v>
      </c>
      <c r="C327" s="145">
        <v>30</v>
      </c>
      <c r="D327" s="145">
        <v>2.4500000000000002</v>
      </c>
      <c r="E327" s="145">
        <v>0.42</v>
      </c>
      <c r="F327" s="145">
        <v>0.06</v>
      </c>
      <c r="G327" s="145">
        <v>0.03</v>
      </c>
      <c r="H327" s="145">
        <v>0.2</v>
      </c>
      <c r="I327" s="145">
        <v>0.08</v>
      </c>
      <c r="J327" s="145">
        <v>0.11</v>
      </c>
      <c r="K327" s="145" t="s">
        <v>400</v>
      </c>
      <c r="L327" s="145">
        <v>5.69</v>
      </c>
      <c r="M327" s="145">
        <v>3.6</v>
      </c>
      <c r="N327" s="145">
        <v>145</v>
      </c>
      <c r="O327" s="145">
        <v>9</v>
      </c>
      <c r="P327" s="145">
        <v>0.28000000000000003</v>
      </c>
      <c r="Q327" s="145">
        <v>10</v>
      </c>
      <c r="R327" s="145">
        <v>0.19</v>
      </c>
      <c r="S327" s="145">
        <v>20</v>
      </c>
      <c r="T327" s="145">
        <v>169</v>
      </c>
      <c r="U327" s="145">
        <v>0.04</v>
      </c>
      <c r="V327" s="145">
        <v>0.13</v>
      </c>
      <c r="W327" s="145" t="s">
        <v>400</v>
      </c>
      <c r="X327" s="145">
        <v>0.05</v>
      </c>
      <c r="Y327" s="145">
        <v>0.13</v>
      </c>
      <c r="Z327" s="145">
        <v>0.17</v>
      </c>
      <c r="AA327" s="145">
        <v>0.74</v>
      </c>
      <c r="AB327" s="145">
        <v>35.299999999999997</v>
      </c>
      <c r="AC327" s="145">
        <v>1.26</v>
      </c>
      <c r="AD327" s="145" t="s">
        <v>400</v>
      </c>
      <c r="AE327" s="145">
        <v>166</v>
      </c>
      <c r="AF327" s="145" t="s">
        <v>400</v>
      </c>
      <c r="AG327" s="145">
        <v>2.2599999999999998</v>
      </c>
      <c r="AH327" s="145" t="s">
        <v>400</v>
      </c>
      <c r="AI327" s="145" t="s">
        <v>400</v>
      </c>
      <c r="AJ327" s="145">
        <v>1.3</v>
      </c>
      <c r="AK327" s="145">
        <v>333.42</v>
      </c>
      <c r="AL327" s="145">
        <v>1.63</v>
      </c>
      <c r="AM327" s="145" t="s">
        <v>400</v>
      </c>
    </row>
    <row r="328" spans="1:39">
      <c r="A328" s="143" t="s">
        <v>1387</v>
      </c>
      <c r="B328" s="144">
        <v>100</v>
      </c>
      <c r="C328" s="145">
        <v>53</v>
      </c>
      <c r="D328" s="145">
        <v>2.89</v>
      </c>
      <c r="E328" s="145">
        <v>0.34</v>
      </c>
      <c r="F328" s="145">
        <v>8.1000000000000003E-2</v>
      </c>
      <c r="G328" s="145">
        <v>1.0999999999999999E-2</v>
      </c>
      <c r="H328" s="145">
        <v>0.14299999999999999</v>
      </c>
      <c r="I328" s="145">
        <v>0.105</v>
      </c>
      <c r="J328" s="145">
        <v>3.7999999999999999E-2</v>
      </c>
      <c r="K328" s="145" t="s">
        <v>400</v>
      </c>
      <c r="L328" s="145">
        <v>11.95</v>
      </c>
      <c r="M328" s="145">
        <v>8.6</v>
      </c>
      <c r="N328" s="145">
        <v>21</v>
      </c>
      <c r="O328" s="145">
        <v>42</v>
      </c>
      <c r="P328" s="145">
        <v>0.22500000000000001</v>
      </c>
      <c r="Q328" s="145">
        <v>73</v>
      </c>
      <c r="R328" s="145">
        <v>0.61</v>
      </c>
      <c r="S328" s="145">
        <v>60</v>
      </c>
      <c r="T328" s="145">
        <v>286</v>
      </c>
      <c r="U328" s="145">
        <v>0.127</v>
      </c>
      <c r="V328" s="145">
        <v>0.4</v>
      </c>
      <c r="W328" s="145" t="s">
        <v>400</v>
      </c>
      <c r="X328" s="145">
        <v>0.05</v>
      </c>
      <c r="Y328" s="145">
        <v>8.8999999999999996E-2</v>
      </c>
      <c r="Z328" s="146">
        <v>8.1000000000000003E-2</v>
      </c>
      <c r="AA328" s="145">
        <v>1.1100000000000001</v>
      </c>
      <c r="AB328" s="145">
        <v>7.4</v>
      </c>
      <c r="AC328" s="145">
        <v>1.1100000000000001</v>
      </c>
      <c r="AD328" s="145" t="s">
        <v>400</v>
      </c>
      <c r="AE328" s="145">
        <v>89</v>
      </c>
      <c r="AF328" s="145" t="s">
        <v>400</v>
      </c>
      <c r="AG328" s="145">
        <v>0.19</v>
      </c>
      <c r="AH328" s="145" t="s">
        <v>400</v>
      </c>
      <c r="AI328" s="145">
        <v>225</v>
      </c>
      <c r="AJ328" s="145">
        <v>0.2</v>
      </c>
      <c r="AK328" s="145">
        <v>0.66700000000000004</v>
      </c>
      <c r="AL328" s="145">
        <v>0.99</v>
      </c>
      <c r="AM328" s="145" t="s">
        <v>400</v>
      </c>
    </row>
    <row r="329" spans="1:39">
      <c r="A329" s="143" t="s">
        <v>1388</v>
      </c>
      <c r="B329" s="144">
        <v>100</v>
      </c>
      <c r="C329" s="145">
        <v>26</v>
      </c>
      <c r="D329" s="145">
        <v>2.11</v>
      </c>
      <c r="E329" s="145">
        <v>0.36</v>
      </c>
      <c r="F329" s="145">
        <v>0.05</v>
      </c>
      <c r="G329" s="145">
        <v>0.03</v>
      </c>
      <c r="H329" s="145">
        <v>0.17</v>
      </c>
      <c r="I329" s="145">
        <v>7.0000000000000007E-2</v>
      </c>
      <c r="J329" s="145">
        <v>0.09</v>
      </c>
      <c r="K329" s="145" t="s">
        <v>400</v>
      </c>
      <c r="L329" s="145">
        <v>4.91</v>
      </c>
      <c r="M329" s="145">
        <v>2.8</v>
      </c>
      <c r="N329" s="145">
        <v>140</v>
      </c>
      <c r="O329" s="145">
        <v>20</v>
      </c>
      <c r="P329" s="145">
        <v>0.44</v>
      </c>
      <c r="Q329" s="145">
        <v>30</v>
      </c>
      <c r="R329" s="145">
        <v>1.1599999999999999</v>
      </c>
      <c r="S329" s="145">
        <v>16</v>
      </c>
      <c r="T329" s="145">
        <v>116</v>
      </c>
      <c r="U329" s="145">
        <v>0.04</v>
      </c>
      <c r="V329" s="145">
        <v>0.23</v>
      </c>
      <c r="W329" s="145" t="s">
        <v>400</v>
      </c>
      <c r="X329" s="145">
        <v>0.04</v>
      </c>
      <c r="Y329" s="145">
        <v>0.11</v>
      </c>
      <c r="Z329" s="145">
        <v>0.13</v>
      </c>
      <c r="AA329" s="145">
        <v>0.57999999999999996</v>
      </c>
      <c r="AB329" s="145">
        <v>18.2</v>
      </c>
      <c r="AC329" s="145">
        <v>1.03</v>
      </c>
      <c r="AD329" s="145" t="s">
        <v>400</v>
      </c>
      <c r="AE329" s="145">
        <v>93</v>
      </c>
      <c r="AF329" s="145" t="s">
        <v>400</v>
      </c>
      <c r="AG329" s="145">
        <v>0.88</v>
      </c>
      <c r="AH329" s="145" t="s">
        <v>400</v>
      </c>
      <c r="AI329" s="145">
        <v>199</v>
      </c>
      <c r="AJ329" s="145">
        <v>0.5</v>
      </c>
      <c r="AK329" s="145">
        <v>405.75</v>
      </c>
      <c r="AL329" s="145">
        <v>1.41</v>
      </c>
      <c r="AM329" s="145" t="s">
        <v>400</v>
      </c>
    </row>
    <row r="330" spans="1:39">
      <c r="A330" s="143" t="s">
        <v>1389</v>
      </c>
      <c r="B330" s="144">
        <v>100</v>
      </c>
      <c r="C330" s="145">
        <v>18</v>
      </c>
      <c r="D330" s="145">
        <v>0.83</v>
      </c>
      <c r="E330" s="145">
        <v>0.16</v>
      </c>
      <c r="F330" s="145">
        <v>0.04</v>
      </c>
      <c r="G330" s="145">
        <v>0.03</v>
      </c>
      <c r="H330" s="145">
        <v>7.4999999999999997E-2</v>
      </c>
      <c r="I330" s="145">
        <v>7.4999999999999997E-2</v>
      </c>
      <c r="J330" s="145" t="s">
        <v>400</v>
      </c>
      <c r="K330" s="145" t="s">
        <v>400</v>
      </c>
      <c r="L330" s="145">
        <v>4</v>
      </c>
      <c r="M330" s="145">
        <v>1.6</v>
      </c>
      <c r="N330" s="145">
        <v>42</v>
      </c>
      <c r="O330" s="145">
        <v>12</v>
      </c>
      <c r="P330" s="145">
        <v>0.106</v>
      </c>
      <c r="Q330" s="145">
        <v>25</v>
      </c>
      <c r="R330" s="145">
        <v>0.42</v>
      </c>
      <c r="S330" s="145">
        <v>91</v>
      </c>
      <c r="T330" s="145">
        <v>284</v>
      </c>
      <c r="U330" s="145">
        <v>3.5999999999999997E-2</v>
      </c>
      <c r="V330" s="145">
        <v>0.14000000000000001</v>
      </c>
      <c r="W330" s="145" t="s">
        <v>400</v>
      </c>
      <c r="X330" s="145">
        <v>4.2999999999999997E-2</v>
      </c>
      <c r="Y330" s="145">
        <v>4.7E-2</v>
      </c>
      <c r="Z330" s="146">
        <v>8.5999999999999993E-2</v>
      </c>
      <c r="AA330" s="145">
        <v>0.31900000000000001</v>
      </c>
      <c r="AB330" s="145">
        <v>6.1</v>
      </c>
      <c r="AC330" s="145">
        <v>0.502</v>
      </c>
      <c r="AD330" s="145" t="s">
        <v>400</v>
      </c>
      <c r="AE330" s="145">
        <v>22</v>
      </c>
      <c r="AF330" s="145" t="s">
        <v>400</v>
      </c>
      <c r="AG330" s="145">
        <v>0.35</v>
      </c>
      <c r="AH330" s="145" t="s">
        <v>400</v>
      </c>
      <c r="AI330" s="145">
        <v>251</v>
      </c>
      <c r="AJ330" s="145">
        <v>1</v>
      </c>
      <c r="AK330" s="145">
        <v>26.082999999999998</v>
      </c>
      <c r="AL330" s="145">
        <v>2.36</v>
      </c>
      <c r="AM330" s="145" t="s">
        <v>400</v>
      </c>
    </row>
    <row r="331" spans="1:39">
      <c r="A331" s="143" t="s">
        <v>1390</v>
      </c>
      <c r="B331" s="144">
        <v>100</v>
      </c>
      <c r="C331" s="145">
        <v>31</v>
      </c>
      <c r="D331" s="145">
        <v>1.24</v>
      </c>
      <c r="E331" s="145">
        <v>0.2</v>
      </c>
      <c r="F331" s="145" t="s">
        <v>400</v>
      </c>
      <c r="G331" s="145" t="s">
        <v>400</v>
      </c>
      <c r="H331" s="145" t="s">
        <v>400</v>
      </c>
      <c r="I331" s="145" t="s">
        <v>400</v>
      </c>
      <c r="J331" s="145" t="s">
        <v>400</v>
      </c>
      <c r="K331" s="145" t="s">
        <v>400</v>
      </c>
      <c r="L331" s="145">
        <v>7.29</v>
      </c>
      <c r="M331" s="145">
        <v>3.1</v>
      </c>
      <c r="N331" s="145">
        <v>49</v>
      </c>
      <c r="O331" s="145">
        <v>17</v>
      </c>
      <c r="P331" s="145">
        <v>0.191</v>
      </c>
      <c r="Q331" s="145">
        <v>50</v>
      </c>
      <c r="R331" s="145">
        <v>0.73</v>
      </c>
      <c r="S331" s="145">
        <v>52</v>
      </c>
      <c r="T331" s="145">
        <v>414</v>
      </c>
      <c r="U331" s="145">
        <v>6.6000000000000003E-2</v>
      </c>
      <c r="V331" s="145">
        <v>0.2</v>
      </c>
      <c r="W331" s="145" t="s">
        <v>400</v>
      </c>
      <c r="X331" s="145">
        <v>0.01</v>
      </c>
      <c r="Y331" s="145">
        <v>3.2000000000000001E-2</v>
      </c>
      <c r="Z331" s="146">
        <v>4.7E-2</v>
      </c>
      <c r="AA331" s="145">
        <v>0.64</v>
      </c>
      <c r="AB331" s="145">
        <v>12</v>
      </c>
      <c r="AC331" s="145">
        <v>0.64</v>
      </c>
      <c r="AD331" s="145" t="s">
        <v>400</v>
      </c>
      <c r="AE331" s="145">
        <v>27</v>
      </c>
      <c r="AF331" s="145" t="s">
        <v>400</v>
      </c>
      <c r="AG331" s="145">
        <v>0.02</v>
      </c>
      <c r="AH331" s="145" t="s">
        <v>400</v>
      </c>
      <c r="AI331" s="145" t="s">
        <v>400</v>
      </c>
      <c r="AJ331" s="145">
        <v>0.7</v>
      </c>
      <c r="AK331" s="145">
        <v>6.6669999999999998</v>
      </c>
      <c r="AL331" s="145">
        <v>1.7</v>
      </c>
      <c r="AM331" s="145" t="s">
        <v>400</v>
      </c>
    </row>
    <row r="332" spans="1:39">
      <c r="A332" s="143" t="s">
        <v>1391</v>
      </c>
      <c r="B332" s="144">
        <v>100</v>
      </c>
      <c r="C332" s="145">
        <v>30</v>
      </c>
      <c r="D332" s="145">
        <v>2.4500000000000002</v>
      </c>
      <c r="E332" s="145">
        <v>0.42</v>
      </c>
      <c r="F332" s="145">
        <v>0.06</v>
      </c>
      <c r="G332" s="145">
        <v>0.03</v>
      </c>
      <c r="H332" s="145">
        <v>0.2</v>
      </c>
      <c r="I332" s="145">
        <v>0.08</v>
      </c>
      <c r="J332" s="145">
        <v>0.11</v>
      </c>
      <c r="K332" s="145" t="s">
        <v>400</v>
      </c>
      <c r="L332" s="145">
        <v>5.69</v>
      </c>
      <c r="M332" s="145">
        <v>3.6</v>
      </c>
      <c r="N332" s="145">
        <v>145</v>
      </c>
      <c r="O332" s="145">
        <v>9</v>
      </c>
      <c r="P332" s="145">
        <v>0.28000000000000003</v>
      </c>
      <c r="Q332" s="145">
        <v>10</v>
      </c>
      <c r="R332" s="145">
        <v>0.19</v>
      </c>
      <c r="S332" s="145">
        <v>20</v>
      </c>
      <c r="T332" s="145">
        <v>169</v>
      </c>
      <c r="U332" s="145">
        <v>0.04</v>
      </c>
      <c r="V332" s="145">
        <v>0.13</v>
      </c>
      <c r="W332" s="145" t="s">
        <v>400</v>
      </c>
      <c r="X332" s="145">
        <v>0.05</v>
      </c>
      <c r="Y332" s="145">
        <v>0.13</v>
      </c>
      <c r="Z332" s="145">
        <v>0.17</v>
      </c>
      <c r="AA332" s="145">
        <v>0.74</v>
      </c>
      <c r="AB332" s="145">
        <v>35.299999999999997</v>
      </c>
      <c r="AC332" s="145">
        <v>1.26</v>
      </c>
      <c r="AD332" s="145" t="s">
        <v>400</v>
      </c>
      <c r="AE332" s="145">
        <v>166</v>
      </c>
      <c r="AF332" s="145" t="s">
        <v>400</v>
      </c>
      <c r="AG332" s="145">
        <v>2.2599999999999998</v>
      </c>
      <c r="AH332" s="145" t="s">
        <v>400</v>
      </c>
      <c r="AI332" s="145" t="s">
        <v>400</v>
      </c>
      <c r="AJ332" s="145">
        <v>1.3</v>
      </c>
      <c r="AK332" s="145">
        <v>333.42</v>
      </c>
      <c r="AL332" s="145">
        <v>1.63</v>
      </c>
      <c r="AM332" s="145" t="s">
        <v>400</v>
      </c>
    </row>
    <row r="333" spans="1:39">
      <c r="A333" s="143" t="s">
        <v>1392</v>
      </c>
      <c r="B333" s="144">
        <v>100</v>
      </c>
      <c r="C333" s="145">
        <v>26</v>
      </c>
      <c r="D333" s="145">
        <v>2.11</v>
      </c>
      <c r="E333" s="145">
        <v>0.36</v>
      </c>
      <c r="F333" s="145">
        <v>0.05</v>
      </c>
      <c r="G333" s="145">
        <v>0.03</v>
      </c>
      <c r="H333" s="145">
        <v>0.17</v>
      </c>
      <c r="I333" s="145">
        <v>7.0000000000000007E-2</v>
      </c>
      <c r="J333" s="145">
        <v>0.09</v>
      </c>
      <c r="K333" s="145" t="s">
        <v>400</v>
      </c>
      <c r="L333" s="145">
        <v>4.91</v>
      </c>
      <c r="M333" s="145">
        <v>2.8</v>
      </c>
      <c r="N333" s="145">
        <v>140</v>
      </c>
      <c r="O333" s="145">
        <v>20</v>
      </c>
      <c r="P333" s="145">
        <v>0.44</v>
      </c>
      <c r="Q333" s="145">
        <v>30</v>
      </c>
      <c r="R333" s="145">
        <v>1.1599999999999999</v>
      </c>
      <c r="S333" s="145">
        <v>16</v>
      </c>
      <c r="T333" s="145">
        <v>116</v>
      </c>
      <c r="U333" s="145">
        <v>0.04</v>
      </c>
      <c r="V333" s="145">
        <v>0.23</v>
      </c>
      <c r="W333" s="145" t="s">
        <v>400</v>
      </c>
      <c r="X333" s="145">
        <v>0.04</v>
      </c>
      <c r="Y333" s="145">
        <v>0.11</v>
      </c>
      <c r="Z333" s="145">
        <v>0.13</v>
      </c>
      <c r="AA333" s="145">
        <v>0.57999999999999996</v>
      </c>
      <c r="AB333" s="145">
        <v>18.2</v>
      </c>
      <c r="AC333" s="145">
        <v>1.03</v>
      </c>
      <c r="AD333" s="145" t="s">
        <v>400</v>
      </c>
      <c r="AE333" s="145">
        <v>93</v>
      </c>
      <c r="AF333" s="145" t="s">
        <v>400</v>
      </c>
      <c r="AG333" s="145">
        <v>0.88</v>
      </c>
      <c r="AH333" s="145" t="s">
        <v>400</v>
      </c>
      <c r="AI333" s="145">
        <v>199</v>
      </c>
      <c r="AJ333" s="145">
        <v>0.5</v>
      </c>
      <c r="AK333" s="145">
        <v>405.75</v>
      </c>
      <c r="AL333" s="145">
        <v>1.41</v>
      </c>
      <c r="AM333" s="145" t="s">
        <v>400</v>
      </c>
    </row>
    <row r="334" spans="1:39">
      <c r="A334" s="143" t="s">
        <v>1393</v>
      </c>
      <c r="B334" s="144">
        <v>100</v>
      </c>
      <c r="C334" s="145">
        <v>30</v>
      </c>
      <c r="D334" s="145">
        <v>3.04</v>
      </c>
      <c r="E334" s="145">
        <v>0.18</v>
      </c>
      <c r="F334" s="145">
        <v>4.5999999999999999E-2</v>
      </c>
      <c r="G334" s="145">
        <v>2.1999999999999999E-2</v>
      </c>
      <c r="H334" s="145">
        <v>5.8000000000000003E-2</v>
      </c>
      <c r="I334" s="145">
        <v>4.2000000000000003E-2</v>
      </c>
      <c r="J334" s="145">
        <v>1.6E-2</v>
      </c>
      <c r="K334" s="145" t="s">
        <v>400</v>
      </c>
      <c r="L334" s="145">
        <v>5.94</v>
      </c>
      <c r="M334" s="145">
        <v>1.8</v>
      </c>
      <c r="N334" s="145">
        <v>13</v>
      </c>
      <c r="O334" s="145">
        <v>21</v>
      </c>
      <c r="P334" s="145">
        <v>0.188</v>
      </c>
      <c r="Q334" s="145">
        <v>54</v>
      </c>
      <c r="R334" s="145">
        <v>0.91</v>
      </c>
      <c r="S334" s="145">
        <v>6</v>
      </c>
      <c r="T334" s="145">
        <v>149</v>
      </c>
      <c r="U334" s="145">
        <v>0.16400000000000001</v>
      </c>
      <c r="V334" s="145">
        <v>0.41</v>
      </c>
      <c r="W334" s="145">
        <v>2</v>
      </c>
      <c r="X334" s="145">
        <v>8.4000000000000005E-2</v>
      </c>
      <c r="Y334" s="145">
        <v>0.124</v>
      </c>
      <c r="Z334" s="145">
        <v>8.7999999999999995E-2</v>
      </c>
      <c r="AA334" s="145">
        <v>0.749</v>
      </c>
      <c r="AB334" s="145">
        <v>13.2</v>
      </c>
      <c r="AC334" s="145">
        <v>1.3660000000000001</v>
      </c>
      <c r="AD334" s="145" t="s">
        <v>400</v>
      </c>
      <c r="AE334" s="145">
        <v>61</v>
      </c>
      <c r="AF334" s="145" t="s">
        <v>400</v>
      </c>
      <c r="AG334" s="145">
        <v>0.1</v>
      </c>
      <c r="AH334" s="145" t="s">
        <v>400</v>
      </c>
      <c r="AI334" s="145" t="s">
        <v>400</v>
      </c>
      <c r="AJ334" s="145">
        <v>0.6</v>
      </c>
      <c r="AK334" s="145">
        <v>1</v>
      </c>
      <c r="AL334" s="145">
        <v>2.1</v>
      </c>
      <c r="AM334" s="145" t="s">
        <v>400</v>
      </c>
    </row>
    <row r="335" spans="1:39">
      <c r="A335" s="143" t="s">
        <v>1394</v>
      </c>
      <c r="B335" s="144">
        <v>100</v>
      </c>
      <c r="C335" s="145">
        <v>53.378</v>
      </c>
      <c r="D335" s="145">
        <v>2.0299999999999998</v>
      </c>
      <c r="E335" s="145">
        <v>3.7530000000000001</v>
      </c>
      <c r="F335" s="145">
        <v>0.59799999999999998</v>
      </c>
      <c r="G335" s="145">
        <v>0.84599999999999997</v>
      </c>
      <c r="H335" s="145">
        <v>2.1469999999999998</v>
      </c>
      <c r="I335" s="145">
        <v>1.889</v>
      </c>
      <c r="J335" s="145">
        <v>0.25800000000000001</v>
      </c>
      <c r="K335" s="145" t="s">
        <v>400</v>
      </c>
      <c r="L335" s="145">
        <v>4.1900000000000004</v>
      </c>
      <c r="M335" s="145">
        <v>0.8</v>
      </c>
      <c r="N335" s="145">
        <v>12</v>
      </c>
      <c r="O335" s="145">
        <v>14</v>
      </c>
      <c r="P335" s="145">
        <v>0.14000000000000001</v>
      </c>
      <c r="Q335" s="145">
        <v>28</v>
      </c>
      <c r="R335" s="145">
        <v>0.65200000000000002</v>
      </c>
      <c r="S335" s="145">
        <v>10</v>
      </c>
      <c r="T335" s="145">
        <v>101</v>
      </c>
      <c r="U335" s="145">
        <v>0.122</v>
      </c>
      <c r="V335" s="145">
        <v>0.47</v>
      </c>
      <c r="W335" s="145" t="s">
        <v>400</v>
      </c>
      <c r="X335" s="145">
        <v>0.05</v>
      </c>
      <c r="Y335" s="145">
        <v>0.10199999999999999</v>
      </c>
      <c r="Z335" s="146">
        <v>5.3999999999999999E-2</v>
      </c>
      <c r="AA335" s="145">
        <v>0.81699999999999995</v>
      </c>
      <c r="AB335" s="145">
        <v>11.4</v>
      </c>
      <c r="AC335" s="145">
        <v>1.284</v>
      </c>
      <c r="AD335" s="145" t="s">
        <v>400</v>
      </c>
      <c r="AE335" s="145">
        <v>29</v>
      </c>
      <c r="AF335" s="145" t="s">
        <v>400</v>
      </c>
      <c r="AG335" s="145">
        <v>0.37</v>
      </c>
      <c r="AH335" s="145">
        <v>0.02</v>
      </c>
      <c r="AI335" s="145">
        <v>304</v>
      </c>
      <c r="AJ335" s="145">
        <v>2.2789999999999999</v>
      </c>
      <c r="AK335" s="145">
        <v>0.66700000000000004</v>
      </c>
      <c r="AL335" s="145">
        <v>1.4</v>
      </c>
      <c r="AM335" s="145" t="s">
        <v>400</v>
      </c>
    </row>
    <row r="336" spans="1:39">
      <c r="A336" s="143" t="s">
        <v>1395</v>
      </c>
      <c r="B336" s="144">
        <v>100</v>
      </c>
      <c r="C336" s="145">
        <v>20</v>
      </c>
      <c r="D336" s="145">
        <v>0.72</v>
      </c>
      <c r="E336" s="145">
        <v>7.0000000000000007E-2</v>
      </c>
      <c r="F336" s="145">
        <v>0.04</v>
      </c>
      <c r="G336" s="145">
        <v>0.01</v>
      </c>
      <c r="H336" s="145" t="s">
        <v>400</v>
      </c>
      <c r="I336" s="145" t="s">
        <v>400</v>
      </c>
      <c r="J336" s="145" t="s">
        <v>400</v>
      </c>
      <c r="K336" s="145" t="s">
        <v>400</v>
      </c>
      <c r="L336" s="145">
        <v>4.9000000000000004</v>
      </c>
      <c r="M336" s="145">
        <v>1.1000000000000001</v>
      </c>
      <c r="N336" s="145">
        <v>15</v>
      </c>
      <c r="O336" s="145">
        <v>9</v>
      </c>
      <c r="P336" s="145">
        <v>0.09</v>
      </c>
      <c r="Q336" s="145">
        <v>30</v>
      </c>
      <c r="R336" s="145">
        <v>0.56999999999999995</v>
      </c>
      <c r="S336" s="145">
        <v>1</v>
      </c>
      <c r="T336" s="145">
        <v>230</v>
      </c>
      <c r="U336" s="145">
        <v>0.09</v>
      </c>
      <c r="V336" s="145">
        <v>0.23</v>
      </c>
      <c r="W336" s="145" t="s">
        <v>400</v>
      </c>
      <c r="X336" s="145">
        <v>0.03</v>
      </c>
      <c r="Y336" s="145">
        <v>0.08</v>
      </c>
      <c r="Z336" s="145">
        <v>0.04</v>
      </c>
      <c r="AA336" s="145">
        <v>0.41</v>
      </c>
      <c r="AB336" s="145">
        <v>4.7</v>
      </c>
      <c r="AC336" s="145">
        <v>0.56000000000000005</v>
      </c>
      <c r="AD336" s="145" t="s">
        <v>400</v>
      </c>
      <c r="AE336" s="145">
        <v>9</v>
      </c>
      <c r="AF336" s="145" t="s">
        <v>400</v>
      </c>
      <c r="AG336" s="145">
        <v>0.8</v>
      </c>
      <c r="AH336" s="145" t="s">
        <v>400</v>
      </c>
      <c r="AI336" s="145">
        <v>154</v>
      </c>
      <c r="AJ336" s="145">
        <v>0.2</v>
      </c>
      <c r="AK336" s="145">
        <v>249.58</v>
      </c>
      <c r="AL336" s="145">
        <v>3.3</v>
      </c>
      <c r="AM336" s="145" t="s">
        <v>400</v>
      </c>
    </row>
    <row r="337" spans="1:39">
      <c r="A337" s="143" t="s">
        <v>1396</v>
      </c>
      <c r="B337" s="144">
        <v>100</v>
      </c>
      <c r="C337" s="145">
        <v>36.39</v>
      </c>
      <c r="D337" s="145">
        <v>0.72</v>
      </c>
      <c r="E337" s="145">
        <v>1.92</v>
      </c>
      <c r="F337" s="145">
        <v>0.3</v>
      </c>
      <c r="G337" s="145">
        <v>0.44</v>
      </c>
      <c r="H337" s="145">
        <v>1.08</v>
      </c>
      <c r="I337" s="145">
        <v>0.95</v>
      </c>
      <c r="J337" s="145">
        <v>0.13</v>
      </c>
      <c r="K337" s="145" t="s">
        <v>400</v>
      </c>
      <c r="L337" s="145">
        <v>4.9000000000000004</v>
      </c>
      <c r="M337" s="145">
        <v>1.1000000000000001</v>
      </c>
      <c r="N337" s="145">
        <v>15</v>
      </c>
      <c r="O337" s="145">
        <v>9</v>
      </c>
      <c r="P337" s="145">
        <v>0.09</v>
      </c>
      <c r="Q337" s="145">
        <v>30</v>
      </c>
      <c r="R337" s="145">
        <v>0.56999999999999995</v>
      </c>
      <c r="S337" s="145">
        <v>1</v>
      </c>
      <c r="T337" s="145">
        <v>230</v>
      </c>
      <c r="U337" s="145">
        <v>0.09</v>
      </c>
      <c r="V337" s="145">
        <v>0.23</v>
      </c>
      <c r="W337" s="145" t="s">
        <v>400</v>
      </c>
      <c r="X337" s="145">
        <v>0.03</v>
      </c>
      <c r="Y337" s="145">
        <v>0.08</v>
      </c>
      <c r="Z337" s="145">
        <v>0.04</v>
      </c>
      <c r="AA337" s="145">
        <v>0.41</v>
      </c>
      <c r="AB337" s="145">
        <v>4.7</v>
      </c>
      <c r="AC337" s="145">
        <v>0.56000000000000005</v>
      </c>
      <c r="AD337" s="145" t="s">
        <v>400</v>
      </c>
      <c r="AE337" s="145">
        <v>9</v>
      </c>
      <c r="AF337" s="145" t="s">
        <v>400</v>
      </c>
      <c r="AG337" s="145">
        <v>0.97</v>
      </c>
      <c r="AH337" s="145" t="s">
        <v>400</v>
      </c>
      <c r="AI337" s="145">
        <v>154</v>
      </c>
      <c r="AJ337" s="145">
        <v>1.05</v>
      </c>
      <c r="AK337" s="145">
        <v>249.58</v>
      </c>
      <c r="AL337" s="145">
        <v>3.3</v>
      </c>
      <c r="AM337" s="145" t="s">
        <v>400</v>
      </c>
    </row>
    <row r="338" spans="1:39">
      <c r="A338" s="143" t="s">
        <v>1397</v>
      </c>
      <c r="B338" s="144">
        <v>100</v>
      </c>
      <c r="C338" s="145">
        <v>36.39</v>
      </c>
      <c r="D338" s="145">
        <v>0.72</v>
      </c>
      <c r="E338" s="145">
        <v>1.92</v>
      </c>
      <c r="F338" s="145">
        <v>0.3</v>
      </c>
      <c r="G338" s="145">
        <v>0.44</v>
      </c>
      <c r="H338" s="145">
        <v>1.08</v>
      </c>
      <c r="I338" s="145">
        <v>0.95</v>
      </c>
      <c r="J338" s="145">
        <v>0.13</v>
      </c>
      <c r="K338" s="145" t="s">
        <v>400</v>
      </c>
      <c r="L338" s="145">
        <v>4.9000000000000004</v>
      </c>
      <c r="M338" s="145">
        <v>1.1000000000000001</v>
      </c>
      <c r="N338" s="145">
        <v>15</v>
      </c>
      <c r="O338" s="145">
        <v>9</v>
      </c>
      <c r="P338" s="145">
        <v>0.09</v>
      </c>
      <c r="Q338" s="145">
        <v>30</v>
      </c>
      <c r="R338" s="145">
        <v>0.56999999999999995</v>
      </c>
      <c r="S338" s="145">
        <v>1</v>
      </c>
      <c r="T338" s="145">
        <v>230</v>
      </c>
      <c r="U338" s="145">
        <v>0.09</v>
      </c>
      <c r="V338" s="145">
        <v>0.23</v>
      </c>
      <c r="W338" s="145" t="s">
        <v>400</v>
      </c>
      <c r="X338" s="145">
        <v>0.03</v>
      </c>
      <c r="Y338" s="145">
        <v>0.08</v>
      </c>
      <c r="Z338" s="145">
        <v>0.04</v>
      </c>
      <c r="AA338" s="145">
        <v>0.41</v>
      </c>
      <c r="AB338" s="145">
        <v>4.7</v>
      </c>
      <c r="AC338" s="145">
        <v>0.56000000000000005</v>
      </c>
      <c r="AD338" s="145" t="s">
        <v>400</v>
      </c>
      <c r="AE338" s="145">
        <v>9</v>
      </c>
      <c r="AF338" s="145" t="s">
        <v>400</v>
      </c>
      <c r="AG338" s="145">
        <v>0.97</v>
      </c>
      <c r="AH338" s="145" t="s">
        <v>400</v>
      </c>
      <c r="AI338" s="145">
        <v>154</v>
      </c>
      <c r="AJ338" s="145">
        <v>1.05</v>
      </c>
      <c r="AK338" s="145">
        <v>249.58</v>
      </c>
      <c r="AL338" s="145">
        <v>3.3</v>
      </c>
      <c r="AM338" s="145" t="s">
        <v>400</v>
      </c>
    </row>
    <row r="339" spans="1:39">
      <c r="A339" s="143" t="s">
        <v>1398</v>
      </c>
      <c r="B339" s="144">
        <v>100</v>
      </c>
      <c r="C339" s="145">
        <v>20</v>
      </c>
      <c r="D339" s="145">
        <v>0.72</v>
      </c>
      <c r="E339" s="145">
        <v>7.0000000000000007E-2</v>
      </c>
      <c r="F339" s="145">
        <v>0.04</v>
      </c>
      <c r="G339" s="145">
        <v>0.01</v>
      </c>
      <c r="H339" s="145" t="s">
        <v>400</v>
      </c>
      <c r="I339" s="145" t="s">
        <v>400</v>
      </c>
      <c r="J339" s="145" t="s">
        <v>400</v>
      </c>
      <c r="K339" s="145" t="s">
        <v>400</v>
      </c>
      <c r="L339" s="145">
        <v>4.9000000000000004</v>
      </c>
      <c r="M339" s="145">
        <v>1.1000000000000001</v>
      </c>
      <c r="N339" s="145">
        <v>15</v>
      </c>
      <c r="O339" s="145">
        <v>9</v>
      </c>
      <c r="P339" s="145">
        <v>0.09</v>
      </c>
      <c r="Q339" s="145">
        <v>30</v>
      </c>
      <c r="R339" s="145">
        <v>0.56999999999999995</v>
      </c>
      <c r="S339" s="145">
        <v>1</v>
      </c>
      <c r="T339" s="145">
        <v>230</v>
      </c>
      <c r="U339" s="145">
        <v>0.09</v>
      </c>
      <c r="V339" s="145">
        <v>0.23</v>
      </c>
      <c r="W339" s="145" t="s">
        <v>400</v>
      </c>
      <c r="X339" s="145">
        <v>0.03</v>
      </c>
      <c r="Y339" s="145">
        <v>0.08</v>
      </c>
      <c r="Z339" s="145">
        <v>0.04</v>
      </c>
      <c r="AA339" s="145">
        <v>0.41</v>
      </c>
      <c r="AB339" s="145">
        <v>4.7</v>
      </c>
      <c r="AC339" s="145">
        <v>0.56000000000000005</v>
      </c>
      <c r="AD339" s="145" t="s">
        <v>400</v>
      </c>
      <c r="AE339" s="145">
        <v>9</v>
      </c>
      <c r="AF339" s="145" t="s">
        <v>400</v>
      </c>
      <c r="AG339" s="145">
        <v>0.8</v>
      </c>
      <c r="AH339" s="145" t="s">
        <v>400</v>
      </c>
      <c r="AI339" s="145">
        <v>154</v>
      </c>
      <c r="AJ339" s="145">
        <v>0.2</v>
      </c>
      <c r="AK339" s="145">
        <v>249.58</v>
      </c>
      <c r="AL339" s="145">
        <v>3.3</v>
      </c>
      <c r="AM339" s="145" t="s">
        <v>400</v>
      </c>
    </row>
    <row r="340" spans="1:39">
      <c r="A340" s="143" t="s">
        <v>1399</v>
      </c>
      <c r="B340" s="144">
        <v>100</v>
      </c>
      <c r="C340" s="145">
        <v>16</v>
      </c>
      <c r="D340" s="145">
        <v>1.21</v>
      </c>
      <c r="E340" s="145">
        <v>0.18</v>
      </c>
      <c r="F340" s="145">
        <v>0.04</v>
      </c>
      <c r="G340" s="145">
        <v>0.02</v>
      </c>
      <c r="H340" s="145">
        <v>0.09</v>
      </c>
      <c r="I340" s="145">
        <v>0.03</v>
      </c>
      <c r="J340" s="145">
        <v>0.06</v>
      </c>
      <c r="K340" s="145" t="s">
        <v>400</v>
      </c>
      <c r="L340" s="145">
        <v>3.35</v>
      </c>
      <c r="M340" s="145">
        <v>1.1000000000000001</v>
      </c>
      <c r="N340" s="145">
        <v>15</v>
      </c>
      <c r="O340" s="145">
        <v>17</v>
      </c>
      <c r="P340" s="145">
        <v>0.18</v>
      </c>
      <c r="Q340" s="145">
        <v>38</v>
      </c>
      <c r="R340" s="145">
        <v>0.35</v>
      </c>
      <c r="S340" s="145">
        <v>2</v>
      </c>
      <c r="T340" s="145">
        <v>262</v>
      </c>
      <c r="U340" s="145">
        <v>0.05</v>
      </c>
      <c r="V340" s="145">
        <v>0.28999999999999998</v>
      </c>
      <c r="W340" s="145" t="s">
        <v>400</v>
      </c>
      <c r="X340" s="145">
        <v>0.05</v>
      </c>
      <c r="Y340" s="145">
        <v>0.14000000000000001</v>
      </c>
      <c r="Z340" s="145">
        <v>0.22</v>
      </c>
      <c r="AA340" s="145">
        <v>0.49</v>
      </c>
      <c r="AB340" s="145">
        <v>17</v>
      </c>
      <c r="AC340" s="145">
        <v>0.67</v>
      </c>
      <c r="AD340" s="145" t="s">
        <v>400</v>
      </c>
      <c r="AE340" s="145">
        <v>29</v>
      </c>
      <c r="AF340" s="145" t="s">
        <v>400</v>
      </c>
      <c r="AG340" s="145">
        <v>0.12</v>
      </c>
      <c r="AH340" s="145" t="s">
        <v>400</v>
      </c>
      <c r="AI340" s="145" t="s">
        <v>400</v>
      </c>
      <c r="AJ340" s="145">
        <v>0.2</v>
      </c>
      <c r="AK340" s="145">
        <v>10</v>
      </c>
      <c r="AL340" s="145">
        <v>1.73</v>
      </c>
      <c r="AM340" s="145" t="s">
        <v>400</v>
      </c>
    </row>
    <row r="341" spans="1:39">
      <c r="A341" s="143" t="s">
        <v>1400</v>
      </c>
      <c r="B341" s="144">
        <v>100</v>
      </c>
      <c r="C341" s="145">
        <v>20</v>
      </c>
      <c r="D341" s="145">
        <v>0.91</v>
      </c>
      <c r="E341" s="145">
        <v>0.31</v>
      </c>
      <c r="F341" s="145">
        <v>0.06</v>
      </c>
      <c r="G341" s="145">
        <v>0.02</v>
      </c>
      <c r="H341" s="145">
        <v>0.13</v>
      </c>
      <c r="I341" s="145">
        <v>0.05</v>
      </c>
      <c r="J341" s="145">
        <v>0.08</v>
      </c>
      <c r="K341" s="145" t="s">
        <v>400</v>
      </c>
      <c r="L341" s="145">
        <v>4.3099999999999996</v>
      </c>
      <c r="M341" s="145">
        <v>1.4</v>
      </c>
      <c r="N341" s="145">
        <v>27</v>
      </c>
      <c r="O341" s="145">
        <v>24</v>
      </c>
      <c r="P341" s="145">
        <v>0.21</v>
      </c>
      <c r="Q341" s="145">
        <v>39</v>
      </c>
      <c r="R341" s="145">
        <v>0.36</v>
      </c>
      <c r="S341" s="145">
        <v>1</v>
      </c>
      <c r="T341" s="145">
        <v>192</v>
      </c>
      <c r="U341" s="145">
        <v>0.1</v>
      </c>
      <c r="V341" s="145">
        <v>0.39</v>
      </c>
      <c r="W341" s="145" t="s">
        <v>400</v>
      </c>
      <c r="X341" s="145">
        <v>0.04</v>
      </c>
      <c r="Y341" s="145">
        <v>0.04</v>
      </c>
      <c r="Z341" s="145">
        <v>7.0000000000000007E-2</v>
      </c>
      <c r="AA341" s="145">
        <v>0.51</v>
      </c>
      <c r="AB341" s="145">
        <v>5.5</v>
      </c>
      <c r="AC341" s="145">
        <v>0.65</v>
      </c>
      <c r="AD341" s="145" t="s">
        <v>400</v>
      </c>
      <c r="AE341" s="145">
        <v>20</v>
      </c>
      <c r="AF341" s="145" t="s">
        <v>400</v>
      </c>
      <c r="AG341" s="145">
        <v>0.14000000000000001</v>
      </c>
      <c r="AH341" s="145" t="s">
        <v>400</v>
      </c>
      <c r="AI341" s="145">
        <v>212</v>
      </c>
      <c r="AJ341" s="145">
        <v>0.2</v>
      </c>
      <c r="AK341" s="145">
        <v>10.58</v>
      </c>
      <c r="AL341" s="145">
        <v>1.66</v>
      </c>
      <c r="AM341" s="145" t="s">
        <v>400</v>
      </c>
    </row>
    <row r="342" spans="1:39">
      <c r="A342" s="143" t="s">
        <v>1401</v>
      </c>
      <c r="B342" s="144">
        <v>100</v>
      </c>
      <c r="C342" s="145">
        <v>20</v>
      </c>
      <c r="D342" s="145">
        <v>0.91</v>
      </c>
      <c r="E342" s="145">
        <v>0.31</v>
      </c>
      <c r="F342" s="145">
        <v>0.06</v>
      </c>
      <c r="G342" s="145">
        <v>0.02</v>
      </c>
      <c r="H342" s="145">
        <v>0.13</v>
      </c>
      <c r="I342" s="145">
        <v>0.05</v>
      </c>
      <c r="J342" s="145">
        <v>0.08</v>
      </c>
      <c r="K342" s="145" t="s">
        <v>400</v>
      </c>
      <c r="L342" s="145">
        <v>4.3099999999999996</v>
      </c>
      <c r="M342" s="145">
        <v>1.4</v>
      </c>
      <c r="N342" s="145">
        <v>27</v>
      </c>
      <c r="O342" s="145">
        <v>24</v>
      </c>
      <c r="P342" s="145">
        <v>0.21</v>
      </c>
      <c r="Q342" s="145">
        <v>39</v>
      </c>
      <c r="R342" s="145">
        <v>0.36</v>
      </c>
      <c r="S342" s="145">
        <v>1</v>
      </c>
      <c r="T342" s="145">
        <v>192</v>
      </c>
      <c r="U342" s="145">
        <v>0.1</v>
      </c>
      <c r="V342" s="145">
        <v>0.39</v>
      </c>
      <c r="W342" s="145" t="s">
        <v>400</v>
      </c>
      <c r="X342" s="145">
        <v>0.04</v>
      </c>
      <c r="Y342" s="145">
        <v>0.04</v>
      </c>
      <c r="Z342" s="145">
        <v>7.0000000000000007E-2</v>
      </c>
      <c r="AA342" s="145">
        <v>0.51</v>
      </c>
      <c r="AB342" s="145">
        <v>5.5</v>
      </c>
      <c r="AC342" s="145">
        <v>0.65</v>
      </c>
      <c r="AD342" s="145" t="s">
        <v>400</v>
      </c>
      <c r="AE342" s="145">
        <v>20</v>
      </c>
      <c r="AF342" s="145" t="s">
        <v>400</v>
      </c>
      <c r="AG342" s="145">
        <v>0.14000000000000001</v>
      </c>
      <c r="AH342" s="145" t="s">
        <v>400</v>
      </c>
      <c r="AI342" s="145">
        <v>212</v>
      </c>
      <c r="AJ342" s="145">
        <v>0.2</v>
      </c>
      <c r="AK342" s="145">
        <v>10.58</v>
      </c>
      <c r="AL342" s="145">
        <v>1.66</v>
      </c>
      <c r="AM342" s="145" t="s">
        <v>400</v>
      </c>
    </row>
    <row r="343" spans="1:39">
      <c r="A343" s="143" t="s">
        <v>1402</v>
      </c>
      <c r="B343" s="144">
        <v>100</v>
      </c>
      <c r="C343" s="145">
        <v>20</v>
      </c>
      <c r="D343" s="145">
        <v>0.91</v>
      </c>
      <c r="E343" s="145">
        <v>0.31</v>
      </c>
      <c r="F343" s="145">
        <v>0.06</v>
      </c>
      <c r="G343" s="145">
        <v>0.02</v>
      </c>
      <c r="H343" s="145">
        <v>0.13</v>
      </c>
      <c r="I343" s="145">
        <v>0.05</v>
      </c>
      <c r="J343" s="145">
        <v>0.08</v>
      </c>
      <c r="K343" s="145" t="s">
        <v>400</v>
      </c>
      <c r="L343" s="145">
        <v>4.3099999999999996</v>
      </c>
      <c r="M343" s="145">
        <v>1.4</v>
      </c>
      <c r="N343" s="145">
        <v>27</v>
      </c>
      <c r="O343" s="145">
        <v>24</v>
      </c>
      <c r="P343" s="145">
        <v>0.21</v>
      </c>
      <c r="Q343" s="145">
        <v>39</v>
      </c>
      <c r="R343" s="145">
        <v>0.36</v>
      </c>
      <c r="S343" s="145">
        <v>1</v>
      </c>
      <c r="T343" s="145">
        <v>192</v>
      </c>
      <c r="U343" s="145">
        <v>0.1</v>
      </c>
      <c r="V343" s="145">
        <v>0.39</v>
      </c>
      <c r="W343" s="145" t="s">
        <v>400</v>
      </c>
      <c r="X343" s="145">
        <v>0.04</v>
      </c>
      <c r="Y343" s="145">
        <v>0.04</v>
      </c>
      <c r="Z343" s="145">
        <v>7.0000000000000007E-2</v>
      </c>
      <c r="AA343" s="145">
        <v>0.51</v>
      </c>
      <c r="AB343" s="145">
        <v>5.5</v>
      </c>
      <c r="AC343" s="145">
        <v>0.65</v>
      </c>
      <c r="AD343" s="145" t="s">
        <v>400</v>
      </c>
      <c r="AE343" s="145">
        <v>20</v>
      </c>
      <c r="AF343" s="145" t="s">
        <v>400</v>
      </c>
      <c r="AG343" s="145">
        <v>0.14000000000000001</v>
      </c>
      <c r="AH343" s="145" t="s">
        <v>400</v>
      </c>
      <c r="AI343" s="145">
        <v>212</v>
      </c>
      <c r="AJ343" s="145">
        <v>0.2</v>
      </c>
      <c r="AK343" s="145">
        <v>10.58</v>
      </c>
      <c r="AL343" s="145">
        <v>1.66</v>
      </c>
      <c r="AM343" s="145" t="s">
        <v>400</v>
      </c>
    </row>
    <row r="344" spans="1:39">
      <c r="A344" s="143" t="s">
        <v>1403</v>
      </c>
      <c r="B344" s="144">
        <v>100</v>
      </c>
      <c r="C344" s="145">
        <v>42.3</v>
      </c>
      <c r="D344" s="145">
        <v>0.91</v>
      </c>
      <c r="E344" s="145">
        <v>2.83</v>
      </c>
      <c r="F344" s="145">
        <v>0.43</v>
      </c>
      <c r="G344" s="145">
        <v>0.61</v>
      </c>
      <c r="H344" s="145">
        <v>1.59</v>
      </c>
      <c r="I344" s="145">
        <v>1.34</v>
      </c>
      <c r="J344" s="145">
        <v>0.25</v>
      </c>
      <c r="K344" s="145" t="s">
        <v>400</v>
      </c>
      <c r="L344" s="145">
        <v>4.3099999999999996</v>
      </c>
      <c r="M344" s="145">
        <v>1.4</v>
      </c>
      <c r="N344" s="145">
        <v>27</v>
      </c>
      <c r="O344" s="145">
        <v>24</v>
      </c>
      <c r="P344" s="145">
        <v>0.21</v>
      </c>
      <c r="Q344" s="145">
        <v>39</v>
      </c>
      <c r="R344" s="145">
        <v>0.36</v>
      </c>
      <c r="S344" s="145">
        <v>1</v>
      </c>
      <c r="T344" s="145">
        <v>192</v>
      </c>
      <c r="U344" s="145">
        <v>0.1</v>
      </c>
      <c r="V344" s="145">
        <v>0.39</v>
      </c>
      <c r="W344" s="145" t="s">
        <v>400</v>
      </c>
      <c r="X344" s="145">
        <v>0.04</v>
      </c>
      <c r="Y344" s="145">
        <v>0.04</v>
      </c>
      <c r="Z344" s="145">
        <v>7.0000000000000007E-2</v>
      </c>
      <c r="AA344" s="145">
        <v>0.51</v>
      </c>
      <c r="AB344" s="145">
        <v>5.5</v>
      </c>
      <c r="AC344" s="145">
        <v>0.65</v>
      </c>
      <c r="AD344" s="145" t="s">
        <v>400</v>
      </c>
      <c r="AE344" s="145">
        <v>20</v>
      </c>
      <c r="AF344" s="145" t="s">
        <v>400</v>
      </c>
      <c r="AG344" s="145">
        <v>0.37</v>
      </c>
      <c r="AH344" s="145" t="s">
        <v>400</v>
      </c>
      <c r="AI344" s="145">
        <v>212</v>
      </c>
      <c r="AJ344" s="145">
        <v>1.36</v>
      </c>
      <c r="AK344" s="145">
        <v>10.58</v>
      </c>
      <c r="AL344" s="145">
        <v>1.66</v>
      </c>
      <c r="AM344" s="145" t="s">
        <v>400</v>
      </c>
    </row>
    <row r="345" spans="1:39">
      <c r="A345" s="143" t="s">
        <v>1404</v>
      </c>
      <c r="B345" s="144">
        <v>100</v>
      </c>
      <c r="C345" s="145">
        <v>160.71</v>
      </c>
      <c r="D345" s="145">
        <v>4.3499999999999996</v>
      </c>
      <c r="E345" s="145">
        <v>8.92</v>
      </c>
      <c r="F345" s="145">
        <v>1.67</v>
      </c>
      <c r="G345" s="145">
        <v>2.2400000000000002</v>
      </c>
      <c r="H345" s="145">
        <v>4.32</v>
      </c>
      <c r="I345" s="145">
        <v>3.79</v>
      </c>
      <c r="J345" s="145">
        <v>0.49</v>
      </c>
      <c r="K345" s="145">
        <v>52.96</v>
      </c>
      <c r="L345" s="145">
        <v>16.010000000000002</v>
      </c>
      <c r="M345" s="145">
        <v>1.56</v>
      </c>
      <c r="N345" s="145">
        <v>43.61</v>
      </c>
      <c r="O345" s="145">
        <v>21.73</v>
      </c>
      <c r="P345" s="145">
        <v>0.21</v>
      </c>
      <c r="Q345" s="145">
        <v>78.48</v>
      </c>
      <c r="R345" s="145">
        <v>1.22</v>
      </c>
      <c r="S345" s="145">
        <v>93.58</v>
      </c>
      <c r="T345" s="145">
        <v>212.17</v>
      </c>
      <c r="U345" s="145">
        <v>0.09</v>
      </c>
      <c r="V345" s="145">
        <v>0.47</v>
      </c>
      <c r="W345" s="145">
        <v>23.07</v>
      </c>
      <c r="X345" s="145">
        <v>0.19</v>
      </c>
      <c r="Y345" s="145">
        <v>0.18</v>
      </c>
      <c r="Z345" s="145">
        <v>0.08</v>
      </c>
      <c r="AA345" s="145">
        <v>1.39</v>
      </c>
      <c r="AB345" s="145">
        <v>2.84</v>
      </c>
      <c r="AC345" s="145">
        <v>0.65</v>
      </c>
      <c r="AD345" s="145">
        <v>0.21</v>
      </c>
      <c r="AE345" s="145">
        <v>20</v>
      </c>
      <c r="AF345" s="145">
        <v>0.24</v>
      </c>
      <c r="AG345" s="145">
        <v>0.8</v>
      </c>
      <c r="AH345" s="145">
        <v>0.02</v>
      </c>
      <c r="AI345" s="145">
        <v>212</v>
      </c>
      <c r="AJ345" s="145">
        <v>12.41</v>
      </c>
      <c r="AK345" s="145">
        <v>10.58</v>
      </c>
      <c r="AL345" s="145">
        <v>1.66</v>
      </c>
      <c r="AM345" s="145" t="s">
        <v>400</v>
      </c>
    </row>
    <row r="346" spans="1:39">
      <c r="A346" s="143" t="s">
        <v>1405</v>
      </c>
      <c r="B346" s="144">
        <v>100</v>
      </c>
      <c r="C346" s="145">
        <v>42.3</v>
      </c>
      <c r="D346" s="145">
        <v>0.91</v>
      </c>
      <c r="E346" s="145">
        <v>2.83</v>
      </c>
      <c r="F346" s="145">
        <v>0.43</v>
      </c>
      <c r="G346" s="145">
        <v>0.61</v>
      </c>
      <c r="H346" s="145">
        <v>1.59</v>
      </c>
      <c r="I346" s="145">
        <v>1.34</v>
      </c>
      <c r="J346" s="145">
        <v>0.25</v>
      </c>
      <c r="K346" s="145" t="s">
        <v>400</v>
      </c>
      <c r="L346" s="145">
        <v>4.3099999999999996</v>
      </c>
      <c r="M346" s="145">
        <v>1.4</v>
      </c>
      <c r="N346" s="145">
        <v>27</v>
      </c>
      <c r="O346" s="145">
        <v>24</v>
      </c>
      <c r="P346" s="145">
        <v>0.21</v>
      </c>
      <c r="Q346" s="145">
        <v>39</v>
      </c>
      <c r="R346" s="145">
        <v>0.36</v>
      </c>
      <c r="S346" s="145">
        <v>1</v>
      </c>
      <c r="T346" s="145">
        <v>192</v>
      </c>
      <c r="U346" s="145">
        <v>0.1</v>
      </c>
      <c r="V346" s="145">
        <v>0.39</v>
      </c>
      <c r="W346" s="145" t="s">
        <v>400</v>
      </c>
      <c r="X346" s="145">
        <v>0.04</v>
      </c>
      <c r="Y346" s="145">
        <v>0.04</v>
      </c>
      <c r="Z346" s="145">
        <v>7.0000000000000007E-2</v>
      </c>
      <c r="AA346" s="145">
        <v>0.51</v>
      </c>
      <c r="AB346" s="145">
        <v>5.5</v>
      </c>
      <c r="AC346" s="145">
        <v>0.65</v>
      </c>
      <c r="AD346" s="145" t="s">
        <v>400</v>
      </c>
      <c r="AE346" s="145">
        <v>20</v>
      </c>
      <c r="AF346" s="145" t="s">
        <v>400</v>
      </c>
      <c r="AG346" s="145">
        <v>0.37</v>
      </c>
      <c r="AH346" s="145" t="s">
        <v>400</v>
      </c>
      <c r="AI346" s="145">
        <v>212</v>
      </c>
      <c r="AJ346" s="145">
        <v>1.36</v>
      </c>
      <c r="AK346" s="145">
        <v>10.58</v>
      </c>
      <c r="AL346" s="145">
        <v>1.66</v>
      </c>
      <c r="AM346" s="145" t="s">
        <v>400</v>
      </c>
    </row>
    <row r="347" spans="1:39">
      <c r="A347" s="143" t="s">
        <v>1406</v>
      </c>
      <c r="B347" s="144">
        <v>100</v>
      </c>
      <c r="C347" s="145">
        <v>42.3</v>
      </c>
      <c r="D347" s="145">
        <v>0.91</v>
      </c>
      <c r="E347" s="145">
        <v>2.83</v>
      </c>
      <c r="F347" s="145">
        <v>0.43</v>
      </c>
      <c r="G347" s="145">
        <v>0.61</v>
      </c>
      <c r="H347" s="145">
        <v>1.59</v>
      </c>
      <c r="I347" s="145">
        <v>1.34</v>
      </c>
      <c r="J347" s="145">
        <v>0.25</v>
      </c>
      <c r="K347" s="145" t="s">
        <v>400</v>
      </c>
      <c r="L347" s="145">
        <v>4.3099999999999996</v>
      </c>
      <c r="M347" s="145">
        <v>1.4</v>
      </c>
      <c r="N347" s="145">
        <v>27</v>
      </c>
      <c r="O347" s="145">
        <v>24</v>
      </c>
      <c r="P347" s="145">
        <v>0.21</v>
      </c>
      <c r="Q347" s="145">
        <v>39</v>
      </c>
      <c r="R347" s="145">
        <v>0.36</v>
      </c>
      <c r="S347" s="145">
        <v>1</v>
      </c>
      <c r="T347" s="145">
        <v>192</v>
      </c>
      <c r="U347" s="145">
        <v>0.1</v>
      </c>
      <c r="V347" s="145">
        <v>0.39</v>
      </c>
      <c r="W347" s="145" t="s">
        <v>400</v>
      </c>
      <c r="X347" s="145">
        <v>0.04</v>
      </c>
      <c r="Y347" s="145">
        <v>0.04</v>
      </c>
      <c r="Z347" s="145">
        <v>7.0000000000000007E-2</v>
      </c>
      <c r="AA347" s="145">
        <v>0.51</v>
      </c>
      <c r="AB347" s="145">
        <v>5.5</v>
      </c>
      <c r="AC347" s="145">
        <v>0.65</v>
      </c>
      <c r="AD347" s="145" t="s">
        <v>400</v>
      </c>
      <c r="AE347" s="145">
        <v>20</v>
      </c>
      <c r="AF347" s="145" t="s">
        <v>400</v>
      </c>
      <c r="AG347" s="145">
        <v>0.37</v>
      </c>
      <c r="AH347" s="145" t="s">
        <v>400</v>
      </c>
      <c r="AI347" s="145">
        <v>212</v>
      </c>
      <c r="AJ347" s="145">
        <v>1.36</v>
      </c>
      <c r="AK347" s="145">
        <v>10.58</v>
      </c>
      <c r="AL347" s="145">
        <v>1.66</v>
      </c>
      <c r="AM347" s="145" t="s">
        <v>400</v>
      </c>
    </row>
    <row r="348" spans="1:39">
      <c r="A348" s="143" t="s">
        <v>1407</v>
      </c>
      <c r="B348" s="144">
        <v>100</v>
      </c>
      <c r="C348" s="145">
        <v>20</v>
      </c>
      <c r="D348" s="145">
        <v>0.72</v>
      </c>
      <c r="E348" s="145">
        <v>7.0000000000000007E-2</v>
      </c>
      <c r="F348" s="145">
        <v>0.04</v>
      </c>
      <c r="G348" s="145">
        <v>0.01</v>
      </c>
      <c r="H348" s="145" t="s">
        <v>400</v>
      </c>
      <c r="I348" s="145" t="s">
        <v>400</v>
      </c>
      <c r="J348" s="145" t="s">
        <v>400</v>
      </c>
      <c r="K348" s="145" t="s">
        <v>400</v>
      </c>
      <c r="L348" s="145">
        <v>4.9000000000000004</v>
      </c>
      <c r="M348" s="145">
        <v>1.1000000000000001</v>
      </c>
      <c r="N348" s="145">
        <v>15</v>
      </c>
      <c r="O348" s="145">
        <v>9</v>
      </c>
      <c r="P348" s="145">
        <v>0.09</v>
      </c>
      <c r="Q348" s="145">
        <v>30</v>
      </c>
      <c r="R348" s="145">
        <v>0.56999999999999995</v>
      </c>
      <c r="S348" s="145">
        <v>1</v>
      </c>
      <c r="T348" s="145">
        <v>230</v>
      </c>
      <c r="U348" s="145">
        <v>0.09</v>
      </c>
      <c r="V348" s="145">
        <v>0.23</v>
      </c>
      <c r="W348" s="145" t="s">
        <v>400</v>
      </c>
      <c r="X348" s="145">
        <v>0.03</v>
      </c>
      <c r="Y348" s="145">
        <v>0.08</v>
      </c>
      <c r="Z348" s="145">
        <v>0.04</v>
      </c>
      <c r="AA348" s="145">
        <v>0.41</v>
      </c>
      <c r="AB348" s="145">
        <v>4.7</v>
      </c>
      <c r="AC348" s="145">
        <v>0.56000000000000005</v>
      </c>
      <c r="AD348" s="145" t="s">
        <v>400</v>
      </c>
      <c r="AE348" s="145">
        <v>9</v>
      </c>
      <c r="AF348" s="145" t="s">
        <v>400</v>
      </c>
      <c r="AG348" s="145">
        <v>0.8</v>
      </c>
      <c r="AH348" s="145" t="s">
        <v>400</v>
      </c>
      <c r="AI348" s="145">
        <v>154</v>
      </c>
      <c r="AJ348" s="145">
        <v>0.2</v>
      </c>
      <c r="AK348" s="145">
        <v>249.58</v>
      </c>
      <c r="AL348" s="145">
        <v>3.3</v>
      </c>
      <c r="AM348" s="145" t="s">
        <v>400</v>
      </c>
    </row>
    <row r="349" spans="1:39">
      <c r="A349" s="143" t="s">
        <v>1408</v>
      </c>
      <c r="B349" s="144">
        <v>100</v>
      </c>
      <c r="C349" s="145">
        <v>20</v>
      </c>
      <c r="D349" s="145">
        <v>0.72</v>
      </c>
      <c r="E349" s="145">
        <v>7.0000000000000007E-2</v>
      </c>
      <c r="F349" s="145">
        <v>0.04</v>
      </c>
      <c r="G349" s="145">
        <v>0.01</v>
      </c>
      <c r="H349" s="145" t="s">
        <v>400</v>
      </c>
      <c r="I349" s="145" t="s">
        <v>400</v>
      </c>
      <c r="J349" s="145" t="s">
        <v>400</v>
      </c>
      <c r="K349" s="145" t="s">
        <v>400</v>
      </c>
      <c r="L349" s="145">
        <v>4.9000000000000004</v>
      </c>
      <c r="M349" s="145">
        <v>1.1000000000000001</v>
      </c>
      <c r="N349" s="145">
        <v>15</v>
      </c>
      <c r="O349" s="145">
        <v>9</v>
      </c>
      <c r="P349" s="145">
        <v>0.09</v>
      </c>
      <c r="Q349" s="145">
        <v>30</v>
      </c>
      <c r="R349" s="145">
        <v>0.56999999999999995</v>
      </c>
      <c r="S349" s="145">
        <v>1</v>
      </c>
      <c r="T349" s="145">
        <v>230</v>
      </c>
      <c r="U349" s="145">
        <v>0.09</v>
      </c>
      <c r="V349" s="145">
        <v>0.23</v>
      </c>
      <c r="W349" s="145" t="s">
        <v>400</v>
      </c>
      <c r="X349" s="145">
        <v>0.03</v>
      </c>
      <c r="Y349" s="145">
        <v>0.08</v>
      </c>
      <c r="Z349" s="145">
        <v>0.04</v>
      </c>
      <c r="AA349" s="145">
        <v>0.41</v>
      </c>
      <c r="AB349" s="145">
        <v>4.7</v>
      </c>
      <c r="AC349" s="145">
        <v>0.56000000000000005</v>
      </c>
      <c r="AD349" s="145" t="s">
        <v>400</v>
      </c>
      <c r="AE349" s="145">
        <v>9</v>
      </c>
      <c r="AF349" s="145" t="s">
        <v>400</v>
      </c>
      <c r="AG349" s="145">
        <v>0.8</v>
      </c>
      <c r="AH349" s="145" t="s">
        <v>400</v>
      </c>
      <c r="AI349" s="145">
        <v>154</v>
      </c>
      <c r="AJ349" s="145">
        <v>0.2</v>
      </c>
      <c r="AK349" s="145">
        <v>249.58</v>
      </c>
      <c r="AL349" s="145">
        <v>3.3</v>
      </c>
      <c r="AM349" s="145" t="s">
        <v>400</v>
      </c>
    </row>
    <row r="350" spans="1:39">
      <c r="A350" s="143" t="s">
        <v>1409</v>
      </c>
      <c r="B350" s="144">
        <v>100</v>
      </c>
      <c r="C350" s="145">
        <v>20</v>
      </c>
      <c r="D350" s="145">
        <v>0.72</v>
      </c>
      <c r="E350" s="145">
        <v>7.0000000000000007E-2</v>
      </c>
      <c r="F350" s="145">
        <v>0.04</v>
      </c>
      <c r="G350" s="145">
        <v>0.01</v>
      </c>
      <c r="H350" s="145" t="s">
        <v>400</v>
      </c>
      <c r="I350" s="145" t="s">
        <v>400</v>
      </c>
      <c r="J350" s="145" t="s">
        <v>400</v>
      </c>
      <c r="K350" s="145" t="s">
        <v>400</v>
      </c>
      <c r="L350" s="145">
        <v>4.9000000000000004</v>
      </c>
      <c r="M350" s="145">
        <v>1.1000000000000001</v>
      </c>
      <c r="N350" s="145">
        <v>15</v>
      </c>
      <c r="O350" s="145">
        <v>9</v>
      </c>
      <c r="P350" s="145">
        <v>0.09</v>
      </c>
      <c r="Q350" s="145">
        <v>30</v>
      </c>
      <c r="R350" s="145">
        <v>0.56999999999999995</v>
      </c>
      <c r="S350" s="145">
        <v>1</v>
      </c>
      <c r="T350" s="145">
        <v>230</v>
      </c>
      <c r="U350" s="145">
        <v>0.09</v>
      </c>
      <c r="V350" s="145">
        <v>0.23</v>
      </c>
      <c r="W350" s="145" t="s">
        <v>400</v>
      </c>
      <c r="X350" s="145">
        <v>0.03</v>
      </c>
      <c r="Y350" s="145">
        <v>0.08</v>
      </c>
      <c r="Z350" s="145">
        <v>0.04</v>
      </c>
      <c r="AA350" s="145">
        <v>0.41</v>
      </c>
      <c r="AB350" s="145">
        <v>4.7</v>
      </c>
      <c r="AC350" s="145">
        <v>0.56000000000000005</v>
      </c>
      <c r="AD350" s="145" t="s">
        <v>400</v>
      </c>
      <c r="AE350" s="145">
        <v>9</v>
      </c>
      <c r="AF350" s="145" t="s">
        <v>400</v>
      </c>
      <c r="AG350" s="145">
        <v>0.8</v>
      </c>
      <c r="AH350" s="145" t="s">
        <v>400</v>
      </c>
      <c r="AI350" s="145">
        <v>154</v>
      </c>
      <c r="AJ350" s="145">
        <v>0.2</v>
      </c>
      <c r="AK350" s="145">
        <v>249.58</v>
      </c>
      <c r="AL350" s="145">
        <v>3.3</v>
      </c>
      <c r="AM350" s="145" t="s">
        <v>400</v>
      </c>
    </row>
    <row r="351" spans="1:39">
      <c r="A351" s="143" t="s">
        <v>1410</v>
      </c>
      <c r="B351" s="144">
        <v>100</v>
      </c>
      <c r="C351" s="145">
        <v>20</v>
      </c>
      <c r="D351" s="145">
        <v>0.72</v>
      </c>
      <c r="E351" s="145">
        <v>7.0000000000000007E-2</v>
      </c>
      <c r="F351" s="145">
        <v>0.04</v>
      </c>
      <c r="G351" s="145">
        <v>0.01</v>
      </c>
      <c r="H351" s="145" t="s">
        <v>400</v>
      </c>
      <c r="I351" s="145" t="s">
        <v>400</v>
      </c>
      <c r="J351" s="145" t="s">
        <v>400</v>
      </c>
      <c r="K351" s="145" t="s">
        <v>400</v>
      </c>
      <c r="L351" s="145">
        <v>4.9000000000000004</v>
      </c>
      <c r="M351" s="145">
        <v>1.1000000000000001</v>
      </c>
      <c r="N351" s="145">
        <v>15</v>
      </c>
      <c r="O351" s="145">
        <v>9</v>
      </c>
      <c r="P351" s="145">
        <v>0.09</v>
      </c>
      <c r="Q351" s="145">
        <v>30</v>
      </c>
      <c r="R351" s="145">
        <v>0.56999999999999995</v>
      </c>
      <c r="S351" s="145">
        <v>1</v>
      </c>
      <c r="T351" s="145">
        <v>230</v>
      </c>
      <c r="U351" s="145">
        <v>0.09</v>
      </c>
      <c r="V351" s="145">
        <v>0.23</v>
      </c>
      <c r="W351" s="145" t="s">
        <v>400</v>
      </c>
      <c r="X351" s="145">
        <v>0.03</v>
      </c>
      <c r="Y351" s="145">
        <v>0.08</v>
      </c>
      <c r="Z351" s="145">
        <v>0.04</v>
      </c>
      <c r="AA351" s="145">
        <v>0.41</v>
      </c>
      <c r="AB351" s="145">
        <v>4.7</v>
      </c>
      <c r="AC351" s="145">
        <v>0.56000000000000005</v>
      </c>
      <c r="AD351" s="145" t="s">
        <v>400</v>
      </c>
      <c r="AE351" s="145">
        <v>9</v>
      </c>
      <c r="AF351" s="145" t="s">
        <v>400</v>
      </c>
      <c r="AG351" s="145">
        <v>0.8</v>
      </c>
      <c r="AH351" s="145" t="s">
        <v>400</v>
      </c>
      <c r="AI351" s="145">
        <v>154</v>
      </c>
      <c r="AJ351" s="145">
        <v>0.2</v>
      </c>
      <c r="AK351" s="145">
        <v>249.58</v>
      </c>
      <c r="AL351" s="145">
        <v>3.3</v>
      </c>
      <c r="AM351" s="145" t="s">
        <v>400</v>
      </c>
    </row>
    <row r="352" spans="1:39">
      <c r="A352" s="143" t="s">
        <v>1411</v>
      </c>
      <c r="B352" s="144">
        <v>100</v>
      </c>
      <c r="C352" s="145">
        <v>20</v>
      </c>
      <c r="D352" s="145">
        <v>0.72</v>
      </c>
      <c r="E352" s="145">
        <v>7.0000000000000007E-2</v>
      </c>
      <c r="F352" s="145">
        <v>0.04</v>
      </c>
      <c r="G352" s="145">
        <v>0.01</v>
      </c>
      <c r="H352" s="145" t="s">
        <v>400</v>
      </c>
      <c r="I352" s="145" t="s">
        <v>400</v>
      </c>
      <c r="J352" s="145" t="s">
        <v>400</v>
      </c>
      <c r="K352" s="145" t="s">
        <v>400</v>
      </c>
      <c r="L352" s="145">
        <v>4.9000000000000004</v>
      </c>
      <c r="M352" s="145">
        <v>1.1000000000000001</v>
      </c>
      <c r="N352" s="145">
        <v>15</v>
      </c>
      <c r="O352" s="145">
        <v>9</v>
      </c>
      <c r="P352" s="145">
        <v>0.09</v>
      </c>
      <c r="Q352" s="145">
        <v>30</v>
      </c>
      <c r="R352" s="145">
        <v>0.56999999999999995</v>
      </c>
      <c r="S352" s="145">
        <v>1</v>
      </c>
      <c r="T352" s="145">
        <v>230</v>
      </c>
      <c r="U352" s="145">
        <v>0.09</v>
      </c>
      <c r="V352" s="145">
        <v>0.23</v>
      </c>
      <c r="W352" s="145" t="s">
        <v>400</v>
      </c>
      <c r="X352" s="145">
        <v>0.03</v>
      </c>
      <c r="Y352" s="145">
        <v>0.08</v>
      </c>
      <c r="Z352" s="145">
        <v>0.04</v>
      </c>
      <c r="AA352" s="145">
        <v>0.41</v>
      </c>
      <c r="AB352" s="145">
        <v>4.7</v>
      </c>
      <c r="AC352" s="145">
        <v>0.56000000000000005</v>
      </c>
      <c r="AD352" s="145" t="s">
        <v>400</v>
      </c>
      <c r="AE352" s="145">
        <v>9</v>
      </c>
      <c r="AF352" s="145" t="s">
        <v>400</v>
      </c>
      <c r="AG352" s="145">
        <v>0.8</v>
      </c>
      <c r="AH352" s="145" t="s">
        <v>400</v>
      </c>
      <c r="AI352" s="145">
        <v>154</v>
      </c>
      <c r="AJ352" s="145">
        <v>0.2</v>
      </c>
      <c r="AK352" s="145">
        <v>249.58</v>
      </c>
      <c r="AL352" s="145">
        <v>3.3</v>
      </c>
      <c r="AM352" s="145" t="s">
        <v>400</v>
      </c>
    </row>
    <row r="353" spans="1:39">
      <c r="A353" s="143" t="s">
        <v>1412</v>
      </c>
      <c r="B353" s="144">
        <v>100</v>
      </c>
      <c r="C353" s="145">
        <v>36.39</v>
      </c>
      <c r="D353" s="145">
        <v>0.72</v>
      </c>
      <c r="E353" s="145">
        <v>1.92</v>
      </c>
      <c r="F353" s="145">
        <v>0.3</v>
      </c>
      <c r="G353" s="145">
        <v>0.44</v>
      </c>
      <c r="H353" s="145">
        <v>1.08</v>
      </c>
      <c r="I353" s="145">
        <v>0.95</v>
      </c>
      <c r="J353" s="145">
        <v>0.13</v>
      </c>
      <c r="K353" s="145" t="s">
        <v>400</v>
      </c>
      <c r="L353" s="145">
        <v>4.9000000000000004</v>
      </c>
      <c r="M353" s="145">
        <v>1.1000000000000001</v>
      </c>
      <c r="N353" s="145">
        <v>15</v>
      </c>
      <c r="O353" s="145">
        <v>9</v>
      </c>
      <c r="P353" s="145">
        <v>0.09</v>
      </c>
      <c r="Q353" s="145">
        <v>30</v>
      </c>
      <c r="R353" s="145">
        <v>0.56999999999999995</v>
      </c>
      <c r="S353" s="145">
        <v>1</v>
      </c>
      <c r="T353" s="145">
        <v>230</v>
      </c>
      <c r="U353" s="145">
        <v>0.09</v>
      </c>
      <c r="V353" s="145">
        <v>0.23</v>
      </c>
      <c r="W353" s="145" t="s">
        <v>400</v>
      </c>
      <c r="X353" s="145">
        <v>0.03</v>
      </c>
      <c r="Y353" s="145">
        <v>0.08</v>
      </c>
      <c r="Z353" s="145">
        <v>0.04</v>
      </c>
      <c r="AA353" s="145">
        <v>0.41</v>
      </c>
      <c r="AB353" s="145">
        <v>4.7</v>
      </c>
      <c r="AC353" s="145">
        <v>0.56000000000000005</v>
      </c>
      <c r="AD353" s="145" t="s">
        <v>400</v>
      </c>
      <c r="AE353" s="145">
        <v>9</v>
      </c>
      <c r="AF353" s="145" t="s">
        <v>400</v>
      </c>
      <c r="AG353" s="145">
        <v>0.97</v>
      </c>
      <c r="AH353" s="145" t="s">
        <v>400</v>
      </c>
      <c r="AI353" s="145">
        <v>154</v>
      </c>
      <c r="AJ353" s="145">
        <v>1.05</v>
      </c>
      <c r="AK353" s="145">
        <v>249.58</v>
      </c>
      <c r="AL353" s="145">
        <v>3.3</v>
      </c>
      <c r="AM353" s="145" t="s">
        <v>400</v>
      </c>
    </row>
    <row r="354" spans="1:39">
      <c r="A354" s="143" t="s">
        <v>1413</v>
      </c>
      <c r="B354" s="144">
        <v>100</v>
      </c>
      <c r="C354" s="145">
        <v>36.39</v>
      </c>
      <c r="D354" s="145">
        <v>0.72</v>
      </c>
      <c r="E354" s="145">
        <v>1.92</v>
      </c>
      <c r="F354" s="145">
        <v>0.3</v>
      </c>
      <c r="G354" s="145">
        <v>0.44</v>
      </c>
      <c r="H354" s="145">
        <v>1.08</v>
      </c>
      <c r="I354" s="145">
        <v>0.95</v>
      </c>
      <c r="J354" s="145">
        <v>0.13</v>
      </c>
      <c r="K354" s="145" t="s">
        <v>400</v>
      </c>
      <c r="L354" s="145">
        <v>4.9000000000000004</v>
      </c>
      <c r="M354" s="145">
        <v>1.1000000000000001</v>
      </c>
      <c r="N354" s="145">
        <v>15</v>
      </c>
      <c r="O354" s="145">
        <v>9</v>
      </c>
      <c r="P354" s="145">
        <v>0.09</v>
      </c>
      <c r="Q354" s="145">
        <v>30</v>
      </c>
      <c r="R354" s="145">
        <v>0.56999999999999995</v>
      </c>
      <c r="S354" s="145">
        <v>1</v>
      </c>
      <c r="T354" s="145">
        <v>230</v>
      </c>
      <c r="U354" s="145">
        <v>0.09</v>
      </c>
      <c r="V354" s="145">
        <v>0.23</v>
      </c>
      <c r="W354" s="145" t="s">
        <v>400</v>
      </c>
      <c r="X354" s="145">
        <v>0.03</v>
      </c>
      <c r="Y354" s="145">
        <v>0.08</v>
      </c>
      <c r="Z354" s="145">
        <v>0.04</v>
      </c>
      <c r="AA354" s="145">
        <v>0.41</v>
      </c>
      <c r="AB354" s="145">
        <v>4.7</v>
      </c>
      <c r="AC354" s="145">
        <v>0.56000000000000005</v>
      </c>
      <c r="AD354" s="145" t="s">
        <v>400</v>
      </c>
      <c r="AE354" s="145">
        <v>9</v>
      </c>
      <c r="AF354" s="145" t="s">
        <v>400</v>
      </c>
      <c r="AG354" s="145">
        <v>0.97</v>
      </c>
      <c r="AH354" s="145" t="s">
        <v>400</v>
      </c>
      <c r="AI354" s="145">
        <v>154</v>
      </c>
      <c r="AJ354" s="145">
        <v>1.05</v>
      </c>
      <c r="AK354" s="145">
        <v>249.58</v>
      </c>
      <c r="AL354" s="145">
        <v>3.3</v>
      </c>
      <c r="AM354" s="145" t="s">
        <v>400</v>
      </c>
    </row>
    <row r="355" spans="1:39">
      <c r="A355" s="143" t="s">
        <v>1414</v>
      </c>
      <c r="B355" s="144">
        <v>100</v>
      </c>
      <c r="C355" s="145">
        <v>20.8</v>
      </c>
      <c r="D355" s="145">
        <v>0.84</v>
      </c>
      <c r="E355" s="145">
        <v>9.1999999999999998E-2</v>
      </c>
      <c r="F355" s="145">
        <v>3.5000000000000003E-2</v>
      </c>
      <c r="G355" s="145">
        <v>1.2999999999999999E-2</v>
      </c>
      <c r="H355" s="145">
        <v>1.7999999999999999E-2</v>
      </c>
      <c r="I355" s="145">
        <v>1.4999999999999999E-2</v>
      </c>
      <c r="J355" s="145">
        <v>2E-3</v>
      </c>
      <c r="K355" s="145" t="s">
        <v>400</v>
      </c>
      <c r="L355" s="145">
        <v>4.9960000000000004</v>
      </c>
      <c r="M355" s="145">
        <v>1.18</v>
      </c>
      <c r="N355" s="145">
        <v>14.6</v>
      </c>
      <c r="O355" s="145">
        <v>10.4</v>
      </c>
      <c r="P355" s="145">
        <v>9.2999999999999999E-2</v>
      </c>
      <c r="Q355" s="145">
        <v>29.2</v>
      </c>
      <c r="R355" s="145">
        <v>0.66</v>
      </c>
      <c r="S355" s="145">
        <v>105.6</v>
      </c>
      <c r="T355" s="145">
        <v>250.2</v>
      </c>
      <c r="U355" s="145">
        <v>9.6000000000000002E-2</v>
      </c>
      <c r="V355" s="145">
        <v>0.224</v>
      </c>
      <c r="W355" s="145" t="s">
        <v>400</v>
      </c>
      <c r="X355" s="145">
        <v>0.03</v>
      </c>
      <c r="Y355" s="145">
        <v>7.5999999999999998E-2</v>
      </c>
      <c r="Z355" s="145">
        <v>5.5E-2</v>
      </c>
      <c r="AA355" s="145">
        <v>0.52500000000000002</v>
      </c>
      <c r="AB355" s="145">
        <v>5.16</v>
      </c>
      <c r="AC355" s="145">
        <v>0.67900000000000005</v>
      </c>
      <c r="AD355" s="145" t="s">
        <v>400</v>
      </c>
      <c r="AE355" s="145">
        <v>9.4</v>
      </c>
      <c r="AF355" s="145" t="s">
        <v>400</v>
      </c>
      <c r="AG355" s="145">
        <v>0.92400000000000004</v>
      </c>
      <c r="AH355" s="145" t="s">
        <v>400</v>
      </c>
      <c r="AI355" s="145">
        <v>154</v>
      </c>
      <c r="AJ355" s="145">
        <v>0.2</v>
      </c>
      <c r="AK355" s="145">
        <v>203.15</v>
      </c>
      <c r="AL355" s="145">
        <v>3.49</v>
      </c>
      <c r="AM355" s="145" t="s">
        <v>400</v>
      </c>
    </row>
    <row r="356" spans="1:39">
      <c r="A356" s="143" t="s">
        <v>1415</v>
      </c>
      <c r="B356" s="144">
        <v>100</v>
      </c>
      <c r="C356" s="145">
        <v>36.39</v>
      </c>
      <c r="D356" s="145">
        <v>0.72</v>
      </c>
      <c r="E356" s="145">
        <v>1.92</v>
      </c>
      <c r="F356" s="145">
        <v>0.3</v>
      </c>
      <c r="G356" s="145">
        <v>0.44</v>
      </c>
      <c r="H356" s="145">
        <v>1.08</v>
      </c>
      <c r="I356" s="145">
        <v>0.95</v>
      </c>
      <c r="J356" s="145">
        <v>0.13</v>
      </c>
      <c r="K356" s="145" t="s">
        <v>400</v>
      </c>
      <c r="L356" s="145">
        <v>4.9000000000000004</v>
      </c>
      <c r="M356" s="145">
        <v>1.1000000000000001</v>
      </c>
      <c r="N356" s="145">
        <v>15</v>
      </c>
      <c r="O356" s="145">
        <v>9</v>
      </c>
      <c r="P356" s="145">
        <v>0.09</v>
      </c>
      <c r="Q356" s="145">
        <v>30</v>
      </c>
      <c r="R356" s="145">
        <v>0.56999999999999995</v>
      </c>
      <c r="S356" s="145">
        <v>1</v>
      </c>
      <c r="T356" s="145">
        <v>230</v>
      </c>
      <c r="U356" s="145">
        <v>0.09</v>
      </c>
      <c r="V356" s="145">
        <v>0.23</v>
      </c>
      <c r="W356" s="145" t="s">
        <v>400</v>
      </c>
      <c r="X356" s="145">
        <v>0.03</v>
      </c>
      <c r="Y356" s="145">
        <v>0.08</v>
      </c>
      <c r="Z356" s="145">
        <v>0.04</v>
      </c>
      <c r="AA356" s="145">
        <v>0.41</v>
      </c>
      <c r="AB356" s="145">
        <v>4.7</v>
      </c>
      <c r="AC356" s="145">
        <v>0.56000000000000005</v>
      </c>
      <c r="AD356" s="145" t="s">
        <v>400</v>
      </c>
      <c r="AE356" s="145">
        <v>9</v>
      </c>
      <c r="AF356" s="145" t="s">
        <v>400</v>
      </c>
      <c r="AG356" s="145">
        <v>0.97</v>
      </c>
      <c r="AH356" s="145" t="s">
        <v>400</v>
      </c>
      <c r="AI356" s="145">
        <v>154</v>
      </c>
      <c r="AJ356" s="145">
        <v>1.05</v>
      </c>
      <c r="AK356" s="145">
        <v>249.58</v>
      </c>
      <c r="AL356" s="145">
        <v>3.3</v>
      </c>
      <c r="AM356" s="145" t="s">
        <v>400</v>
      </c>
    </row>
    <row r="357" spans="1:39">
      <c r="A357" s="143" t="s">
        <v>1416</v>
      </c>
      <c r="B357" s="144">
        <v>100</v>
      </c>
      <c r="C357" s="145">
        <v>31.443000000000001</v>
      </c>
      <c r="D357" s="145">
        <v>0.94799999999999995</v>
      </c>
      <c r="E357" s="145">
        <v>0.123</v>
      </c>
      <c r="F357" s="145">
        <v>3.9E-2</v>
      </c>
      <c r="G357" s="145">
        <v>2.7E-2</v>
      </c>
      <c r="H357" s="145">
        <v>3.2000000000000001E-2</v>
      </c>
      <c r="I357" s="145">
        <v>2.7E-2</v>
      </c>
      <c r="J357" s="145">
        <v>5.0000000000000001E-3</v>
      </c>
      <c r="K357" s="145" t="s">
        <v>400</v>
      </c>
      <c r="L357" s="145">
        <v>7.0119999999999996</v>
      </c>
      <c r="M357" s="145">
        <v>0.71099999999999997</v>
      </c>
      <c r="N357" s="145">
        <v>8.5549999999999997</v>
      </c>
      <c r="O357" s="145">
        <v>6.3470000000000004</v>
      </c>
      <c r="P357" s="145">
        <v>6.8000000000000005E-2</v>
      </c>
      <c r="Q357" s="145">
        <v>15.762</v>
      </c>
      <c r="R357" s="145">
        <v>0.28499999999999998</v>
      </c>
      <c r="S357" s="145">
        <v>310.43200000000002</v>
      </c>
      <c r="T357" s="145">
        <v>88.314999999999998</v>
      </c>
      <c r="U357" s="145">
        <v>3.9E-2</v>
      </c>
      <c r="V357" s="145">
        <v>0.115</v>
      </c>
      <c r="W357" s="145" t="s">
        <v>400</v>
      </c>
      <c r="X357" s="145">
        <v>0.03</v>
      </c>
      <c r="Y357" s="145">
        <v>2.5999999999999999E-2</v>
      </c>
      <c r="Z357" s="146">
        <v>0.04</v>
      </c>
      <c r="AA357" s="145">
        <v>0.505</v>
      </c>
      <c r="AB357" s="145">
        <v>2.0990000000000002</v>
      </c>
      <c r="AC357" s="145">
        <v>0.66700000000000004</v>
      </c>
      <c r="AD357" s="145">
        <v>1.4999999999999999E-2</v>
      </c>
      <c r="AE357" s="145">
        <v>9.2759999999999998</v>
      </c>
      <c r="AF357" s="145" t="s">
        <v>400</v>
      </c>
      <c r="AG357" s="145">
        <v>0.20399999999999999</v>
      </c>
      <c r="AH357" s="145">
        <v>2E-3</v>
      </c>
      <c r="AI357" s="145" t="s">
        <v>400</v>
      </c>
      <c r="AJ357" s="145">
        <v>1.3440000000000001</v>
      </c>
      <c r="AK357" s="145">
        <v>33.475999999999999</v>
      </c>
      <c r="AL357" s="145">
        <v>3.2749999999999999</v>
      </c>
      <c r="AM357" s="145">
        <v>2.5230000000000001</v>
      </c>
    </row>
    <row r="358" spans="1:39">
      <c r="A358" s="143" t="s">
        <v>1417</v>
      </c>
      <c r="B358" s="144">
        <v>100</v>
      </c>
      <c r="C358" s="145">
        <v>20</v>
      </c>
      <c r="D358" s="145">
        <v>0.72</v>
      </c>
      <c r="E358" s="145">
        <v>7.0000000000000007E-2</v>
      </c>
      <c r="F358" s="145">
        <v>0.04</v>
      </c>
      <c r="G358" s="145">
        <v>0.01</v>
      </c>
      <c r="H358" s="145" t="s">
        <v>400</v>
      </c>
      <c r="I358" s="145" t="s">
        <v>400</v>
      </c>
      <c r="J358" s="145" t="s">
        <v>400</v>
      </c>
      <c r="K358" s="145" t="s">
        <v>400</v>
      </c>
      <c r="L358" s="145">
        <v>4.9000000000000004</v>
      </c>
      <c r="M358" s="145">
        <v>1.1000000000000001</v>
      </c>
      <c r="N358" s="145">
        <v>15</v>
      </c>
      <c r="O358" s="145">
        <v>9</v>
      </c>
      <c r="P358" s="145">
        <v>0.09</v>
      </c>
      <c r="Q358" s="145">
        <v>30</v>
      </c>
      <c r="R358" s="145">
        <v>0.56999999999999995</v>
      </c>
      <c r="S358" s="145">
        <v>1</v>
      </c>
      <c r="T358" s="145">
        <v>230</v>
      </c>
      <c r="U358" s="145">
        <v>0.09</v>
      </c>
      <c r="V358" s="145">
        <v>0.23</v>
      </c>
      <c r="W358" s="145" t="s">
        <v>400</v>
      </c>
      <c r="X358" s="145">
        <v>0.03</v>
      </c>
      <c r="Y358" s="145">
        <v>0.08</v>
      </c>
      <c r="Z358" s="145">
        <v>0.04</v>
      </c>
      <c r="AA358" s="145">
        <v>0.41</v>
      </c>
      <c r="AB358" s="145">
        <v>4.7</v>
      </c>
      <c r="AC358" s="145">
        <v>0.56000000000000005</v>
      </c>
      <c r="AD358" s="145" t="s">
        <v>400</v>
      </c>
      <c r="AE358" s="145">
        <v>9</v>
      </c>
      <c r="AF358" s="145" t="s">
        <v>400</v>
      </c>
      <c r="AG358" s="145">
        <v>0.8</v>
      </c>
      <c r="AH358" s="145" t="s">
        <v>400</v>
      </c>
      <c r="AI358" s="145">
        <v>154</v>
      </c>
      <c r="AJ358" s="145">
        <v>0.2</v>
      </c>
      <c r="AK358" s="145">
        <v>249.58</v>
      </c>
      <c r="AL358" s="145">
        <v>3.3</v>
      </c>
      <c r="AM358" s="145" t="s">
        <v>400</v>
      </c>
    </row>
    <row r="359" spans="1:39">
      <c r="A359" s="143" t="s">
        <v>1418</v>
      </c>
      <c r="B359" s="144">
        <v>100</v>
      </c>
      <c r="C359" s="145">
        <v>15</v>
      </c>
      <c r="D359" s="145">
        <v>0.65</v>
      </c>
      <c r="E359" s="145">
        <v>0.11</v>
      </c>
      <c r="F359" s="145">
        <v>0.04</v>
      </c>
      <c r="G359" s="145">
        <v>0.01</v>
      </c>
      <c r="H359" s="145">
        <v>0.03</v>
      </c>
      <c r="I359" s="145">
        <v>0.03</v>
      </c>
      <c r="J359" s="145">
        <v>0.01</v>
      </c>
      <c r="K359" s="145" t="s">
        <v>400</v>
      </c>
      <c r="L359" s="145">
        <v>3.63</v>
      </c>
      <c r="M359" s="145">
        <v>1.1399999999999999</v>
      </c>
      <c r="N359" s="145">
        <v>16</v>
      </c>
      <c r="O359" s="145">
        <v>13</v>
      </c>
      <c r="P359" s="145">
        <v>0.08</v>
      </c>
      <c r="Q359" s="145">
        <v>24</v>
      </c>
      <c r="R359" s="145">
        <v>0.28000000000000003</v>
      </c>
      <c r="S359" s="145">
        <v>2</v>
      </c>
      <c r="T359" s="145">
        <v>147</v>
      </c>
      <c r="U359" s="145">
        <v>0.04</v>
      </c>
      <c r="V359" s="145">
        <v>0.2</v>
      </c>
      <c r="W359" s="145" t="s">
        <v>400</v>
      </c>
      <c r="X359" s="145">
        <v>0.03</v>
      </c>
      <c r="Y359" s="145">
        <v>0.03</v>
      </c>
      <c r="Z359" s="145">
        <v>0.04</v>
      </c>
      <c r="AA359" s="145">
        <v>0.1</v>
      </c>
      <c r="AB359" s="145">
        <v>2.8</v>
      </c>
      <c r="AC359" s="145">
        <v>0.18</v>
      </c>
      <c r="AD359" s="145" t="s">
        <v>400</v>
      </c>
      <c r="AE359" s="145">
        <v>7</v>
      </c>
      <c r="AF359" s="145" t="s">
        <v>400</v>
      </c>
      <c r="AG359" s="145">
        <v>0.03</v>
      </c>
      <c r="AH359" s="145" t="s">
        <v>400</v>
      </c>
      <c r="AI359" s="145" t="s">
        <v>400</v>
      </c>
      <c r="AJ359" s="145">
        <v>0.3</v>
      </c>
      <c r="AK359" s="145">
        <v>5.29</v>
      </c>
      <c r="AL359" s="145">
        <v>1.67</v>
      </c>
      <c r="AM359" s="145" t="s">
        <v>400</v>
      </c>
    </row>
    <row r="360" spans="1:39">
      <c r="A360" s="143" t="s">
        <v>1419</v>
      </c>
      <c r="B360" s="144">
        <v>100</v>
      </c>
      <c r="C360" s="145">
        <v>24</v>
      </c>
      <c r="D360" s="145">
        <v>0.62</v>
      </c>
      <c r="E360" s="145">
        <v>0.48</v>
      </c>
      <c r="F360" s="145">
        <v>0.09</v>
      </c>
      <c r="G360" s="145" t="s">
        <v>400</v>
      </c>
      <c r="H360" s="145" t="s">
        <v>400</v>
      </c>
      <c r="I360" s="145" t="s">
        <v>400</v>
      </c>
      <c r="J360" s="145" t="s">
        <v>400</v>
      </c>
      <c r="K360" s="145" t="s">
        <v>400</v>
      </c>
      <c r="L360" s="145">
        <v>5.09</v>
      </c>
      <c r="M360" s="145">
        <v>2.8</v>
      </c>
      <c r="N360" s="145">
        <v>13</v>
      </c>
      <c r="O360" s="145">
        <v>12</v>
      </c>
      <c r="P360" s="145">
        <v>0.17</v>
      </c>
      <c r="Q360" s="145">
        <v>29</v>
      </c>
      <c r="R360" s="145">
        <v>0.22</v>
      </c>
      <c r="S360" s="145">
        <v>1</v>
      </c>
      <c r="T360" s="145">
        <v>173</v>
      </c>
      <c r="U360" s="145">
        <v>0.11</v>
      </c>
      <c r="V360" s="145">
        <v>0.31</v>
      </c>
      <c r="W360" s="145" t="s">
        <v>400</v>
      </c>
      <c r="X360" s="145">
        <v>0.03</v>
      </c>
      <c r="Y360" s="145">
        <v>0.04</v>
      </c>
      <c r="Z360" s="145">
        <v>0.12</v>
      </c>
      <c r="AA360" s="145">
        <v>0.42</v>
      </c>
      <c r="AB360" s="145">
        <v>8</v>
      </c>
      <c r="AC360" s="145">
        <v>0.55000000000000004</v>
      </c>
      <c r="AD360" s="145" t="s">
        <v>400</v>
      </c>
      <c r="AE360" s="145">
        <v>18</v>
      </c>
      <c r="AF360" s="145" t="s">
        <v>400</v>
      </c>
      <c r="AG360" s="145">
        <v>0.12</v>
      </c>
      <c r="AH360" s="145" t="s">
        <v>400</v>
      </c>
      <c r="AI360" s="145">
        <v>236</v>
      </c>
      <c r="AJ360" s="145">
        <v>0.3</v>
      </c>
      <c r="AK360" s="145" t="s">
        <v>400</v>
      </c>
      <c r="AL360" s="145">
        <v>1.97</v>
      </c>
      <c r="AM360" s="145" t="s">
        <v>400</v>
      </c>
    </row>
    <row r="361" spans="1:39">
      <c r="A361" s="143" t="s">
        <v>1420</v>
      </c>
      <c r="B361" s="144">
        <v>100</v>
      </c>
      <c r="C361" s="145">
        <v>24</v>
      </c>
      <c r="D361" s="145">
        <v>0.62</v>
      </c>
      <c r="E361" s="145">
        <v>0.48</v>
      </c>
      <c r="F361" s="145">
        <v>0.09</v>
      </c>
      <c r="G361" s="145" t="s">
        <v>400</v>
      </c>
      <c r="H361" s="145" t="s">
        <v>400</v>
      </c>
      <c r="I361" s="145" t="s">
        <v>400</v>
      </c>
      <c r="J361" s="145" t="s">
        <v>400</v>
      </c>
      <c r="K361" s="145" t="s">
        <v>400</v>
      </c>
      <c r="L361" s="145">
        <v>5.09</v>
      </c>
      <c r="M361" s="145">
        <v>2.8</v>
      </c>
      <c r="N361" s="145">
        <v>13</v>
      </c>
      <c r="O361" s="145">
        <v>12</v>
      </c>
      <c r="P361" s="145">
        <v>0.17</v>
      </c>
      <c r="Q361" s="145">
        <v>29</v>
      </c>
      <c r="R361" s="145">
        <v>0.22</v>
      </c>
      <c r="S361" s="145">
        <v>1</v>
      </c>
      <c r="T361" s="145">
        <v>173</v>
      </c>
      <c r="U361" s="145">
        <v>0.11</v>
      </c>
      <c r="V361" s="145">
        <v>0.31</v>
      </c>
      <c r="W361" s="145" t="s">
        <v>400</v>
      </c>
      <c r="X361" s="145">
        <v>0.03</v>
      </c>
      <c r="Y361" s="145">
        <v>0.04</v>
      </c>
      <c r="Z361" s="145">
        <v>0.12</v>
      </c>
      <c r="AA361" s="145">
        <v>0.42</v>
      </c>
      <c r="AB361" s="145">
        <v>8</v>
      </c>
      <c r="AC361" s="145">
        <v>0.55000000000000004</v>
      </c>
      <c r="AD361" s="145" t="s">
        <v>400</v>
      </c>
      <c r="AE361" s="145">
        <v>18</v>
      </c>
      <c r="AF361" s="145" t="s">
        <v>400</v>
      </c>
      <c r="AG361" s="145">
        <v>0.12</v>
      </c>
      <c r="AH361" s="145" t="s">
        <v>400</v>
      </c>
      <c r="AI361" s="145">
        <v>236</v>
      </c>
      <c r="AJ361" s="145">
        <v>0.3</v>
      </c>
      <c r="AK361" s="145" t="s">
        <v>400</v>
      </c>
      <c r="AL361" s="145">
        <v>1.97</v>
      </c>
      <c r="AM361" s="145" t="s">
        <v>400</v>
      </c>
    </row>
    <row r="362" spans="1:39">
      <c r="A362" s="143" t="s">
        <v>1421</v>
      </c>
      <c r="B362" s="144">
        <v>100</v>
      </c>
      <c r="C362" s="145">
        <v>24</v>
      </c>
      <c r="D362" s="145">
        <v>0.76</v>
      </c>
      <c r="E362" s="145">
        <v>0.42</v>
      </c>
      <c r="F362" s="145">
        <v>7.0000000000000007E-2</v>
      </c>
      <c r="G362" s="145">
        <v>0.01</v>
      </c>
      <c r="H362" s="145">
        <v>0.01</v>
      </c>
      <c r="I362" s="145">
        <v>0.01</v>
      </c>
      <c r="J362" s="145" t="s">
        <v>400</v>
      </c>
      <c r="K362" s="145" t="s">
        <v>400</v>
      </c>
      <c r="L362" s="145">
        <v>5.15</v>
      </c>
      <c r="M362" s="145">
        <v>2.54</v>
      </c>
      <c r="N362" s="145">
        <v>13</v>
      </c>
      <c r="O362" s="145">
        <v>12.8</v>
      </c>
      <c r="P362" s="145">
        <v>0.17</v>
      </c>
      <c r="Q362" s="145">
        <v>28.4</v>
      </c>
      <c r="R362" s="145">
        <v>0.38</v>
      </c>
      <c r="S362" s="145">
        <v>105.6</v>
      </c>
      <c r="T362" s="145">
        <v>204.6</v>
      </c>
      <c r="U362" s="145">
        <v>0.11</v>
      </c>
      <c r="V362" s="145">
        <v>0.28999999999999998</v>
      </c>
      <c r="W362" s="145" t="s">
        <v>400</v>
      </c>
      <c r="X362" s="145">
        <v>0.03</v>
      </c>
      <c r="Y362" s="145">
        <v>0.05</v>
      </c>
      <c r="Z362" s="145">
        <v>0.11</v>
      </c>
      <c r="AA362" s="145">
        <v>0.53</v>
      </c>
      <c r="AB362" s="145">
        <v>7.8</v>
      </c>
      <c r="AC362" s="145">
        <v>0.55000000000000004</v>
      </c>
      <c r="AD362" s="145" t="s">
        <v>400</v>
      </c>
      <c r="AE362" s="145">
        <v>18</v>
      </c>
      <c r="AF362" s="145" t="s">
        <v>400</v>
      </c>
      <c r="AG362" s="145">
        <v>0.38</v>
      </c>
      <c r="AH362" s="145" t="s">
        <v>400</v>
      </c>
      <c r="AI362" s="145">
        <v>236</v>
      </c>
      <c r="AJ362" s="145">
        <v>0.28000000000000003</v>
      </c>
      <c r="AK362" s="145" t="s">
        <v>400</v>
      </c>
      <c r="AL362" s="145">
        <v>1.97</v>
      </c>
      <c r="AM362" s="145" t="s">
        <v>400</v>
      </c>
    </row>
    <row r="363" spans="1:39">
      <c r="A363" s="143" t="s">
        <v>1422</v>
      </c>
      <c r="B363" s="144">
        <v>100</v>
      </c>
      <c r="C363" s="145">
        <v>49.09</v>
      </c>
      <c r="D363" s="145">
        <v>0.62</v>
      </c>
      <c r="E363" s="145">
        <v>3.32</v>
      </c>
      <c r="F363" s="145">
        <v>0.49</v>
      </c>
      <c r="G363" s="145">
        <v>0.66</v>
      </c>
      <c r="H363" s="145">
        <v>1.64</v>
      </c>
      <c r="I363" s="145">
        <v>1.45</v>
      </c>
      <c r="J363" s="145">
        <v>0.19</v>
      </c>
      <c r="K363" s="145" t="s">
        <v>400</v>
      </c>
      <c r="L363" s="145">
        <v>5.09</v>
      </c>
      <c r="M363" s="145">
        <v>2.8</v>
      </c>
      <c r="N363" s="145">
        <v>13</v>
      </c>
      <c r="O363" s="145">
        <v>12</v>
      </c>
      <c r="P363" s="145">
        <v>0.17</v>
      </c>
      <c r="Q363" s="145">
        <v>29</v>
      </c>
      <c r="R363" s="145">
        <v>0.22</v>
      </c>
      <c r="S363" s="145">
        <v>1</v>
      </c>
      <c r="T363" s="145">
        <v>173</v>
      </c>
      <c r="U363" s="145">
        <v>0.11</v>
      </c>
      <c r="V363" s="145">
        <v>0.31</v>
      </c>
      <c r="W363" s="145" t="s">
        <v>400</v>
      </c>
      <c r="X363" s="145">
        <v>0.03</v>
      </c>
      <c r="Y363" s="145">
        <v>0.04</v>
      </c>
      <c r="Z363" s="145">
        <v>0.12</v>
      </c>
      <c r="AA363" s="145">
        <v>0.42</v>
      </c>
      <c r="AB363" s="145">
        <v>8</v>
      </c>
      <c r="AC363" s="145">
        <v>0.55000000000000004</v>
      </c>
      <c r="AD363" s="145" t="s">
        <v>400</v>
      </c>
      <c r="AE363" s="145">
        <v>18</v>
      </c>
      <c r="AF363" s="145" t="s">
        <v>400</v>
      </c>
      <c r="AG363" s="145">
        <v>0.38</v>
      </c>
      <c r="AH363" s="145" t="s">
        <v>400</v>
      </c>
      <c r="AI363" s="145">
        <v>236</v>
      </c>
      <c r="AJ363" s="145">
        <v>1.6</v>
      </c>
      <c r="AK363" s="145" t="s">
        <v>400</v>
      </c>
      <c r="AL363" s="145">
        <v>1.97</v>
      </c>
      <c r="AM363" s="145" t="s">
        <v>400</v>
      </c>
    </row>
    <row r="364" spans="1:39">
      <c r="A364" s="143" t="s">
        <v>1423</v>
      </c>
      <c r="B364" s="144">
        <v>100</v>
      </c>
      <c r="C364" s="145">
        <v>24</v>
      </c>
      <c r="D364" s="145">
        <v>0.76</v>
      </c>
      <c r="E364" s="145">
        <v>0.42</v>
      </c>
      <c r="F364" s="145">
        <v>7.3999999999999996E-2</v>
      </c>
      <c r="G364" s="145">
        <v>5.0000000000000001E-3</v>
      </c>
      <c r="H364" s="145">
        <v>1.4999999999999999E-2</v>
      </c>
      <c r="I364" s="145">
        <v>1.4E-2</v>
      </c>
      <c r="J364" s="145">
        <v>1E-3</v>
      </c>
      <c r="K364" s="145" t="s">
        <v>400</v>
      </c>
      <c r="L364" s="145">
        <v>5.1479999999999997</v>
      </c>
      <c r="M364" s="145">
        <v>2.54</v>
      </c>
      <c r="N364" s="145">
        <v>13</v>
      </c>
      <c r="O364" s="145">
        <v>12.8</v>
      </c>
      <c r="P364" s="145">
        <v>0.157</v>
      </c>
      <c r="Q364" s="145">
        <v>28.4</v>
      </c>
      <c r="R364" s="145">
        <v>0.38</v>
      </c>
      <c r="S364" s="145">
        <v>105.6</v>
      </c>
      <c r="T364" s="145">
        <v>204.6</v>
      </c>
      <c r="U364" s="145">
        <v>0.111</v>
      </c>
      <c r="V364" s="145">
        <v>0.28799999999999998</v>
      </c>
      <c r="W364" s="145" t="s">
        <v>400</v>
      </c>
      <c r="X364" s="145">
        <v>2.5999999999999999E-2</v>
      </c>
      <c r="Y364" s="145">
        <v>4.4999999999999998E-2</v>
      </c>
      <c r="Z364" s="145">
        <v>0.114</v>
      </c>
      <c r="AA364" s="145">
        <v>0.53100000000000003</v>
      </c>
      <c r="AB364" s="145">
        <v>7.8</v>
      </c>
      <c r="AC364" s="145">
        <v>0.67100000000000004</v>
      </c>
      <c r="AD364" s="145" t="s">
        <v>400</v>
      </c>
      <c r="AE364" s="145">
        <v>16.600000000000001</v>
      </c>
      <c r="AF364" s="145" t="s">
        <v>400</v>
      </c>
      <c r="AG364" s="145">
        <v>0.38</v>
      </c>
      <c r="AH364" s="145" t="s">
        <v>400</v>
      </c>
      <c r="AI364" s="145">
        <v>236</v>
      </c>
      <c r="AJ364" s="145">
        <v>0.28000000000000003</v>
      </c>
      <c r="AK364" s="145">
        <v>3.4830000000000001</v>
      </c>
      <c r="AL364" s="145">
        <v>2.4260000000000002</v>
      </c>
      <c r="AM364" s="145" t="s">
        <v>400</v>
      </c>
    </row>
    <row r="365" spans="1:39">
      <c r="A365" s="143" t="s">
        <v>1424</v>
      </c>
      <c r="B365" s="144">
        <v>100</v>
      </c>
      <c r="C365" s="145">
        <v>49.09</v>
      </c>
      <c r="D365" s="145">
        <v>0.62</v>
      </c>
      <c r="E365" s="145">
        <v>3.32</v>
      </c>
      <c r="F365" s="145">
        <v>0.49</v>
      </c>
      <c r="G365" s="145">
        <v>0.66</v>
      </c>
      <c r="H365" s="145">
        <v>1.64</v>
      </c>
      <c r="I365" s="145">
        <v>1.45</v>
      </c>
      <c r="J365" s="145">
        <v>0.19</v>
      </c>
      <c r="K365" s="145" t="s">
        <v>400</v>
      </c>
      <c r="L365" s="145">
        <v>5.09</v>
      </c>
      <c r="M365" s="145">
        <v>2.8</v>
      </c>
      <c r="N365" s="145">
        <v>13</v>
      </c>
      <c r="O365" s="145">
        <v>12</v>
      </c>
      <c r="P365" s="145">
        <v>0.17</v>
      </c>
      <c r="Q365" s="145">
        <v>29</v>
      </c>
      <c r="R365" s="145">
        <v>0.22</v>
      </c>
      <c r="S365" s="145">
        <v>1</v>
      </c>
      <c r="T365" s="145">
        <v>173</v>
      </c>
      <c r="U365" s="145">
        <v>0.11</v>
      </c>
      <c r="V365" s="145">
        <v>0.31</v>
      </c>
      <c r="W365" s="145" t="s">
        <v>400</v>
      </c>
      <c r="X365" s="145">
        <v>0.03</v>
      </c>
      <c r="Y365" s="145">
        <v>0.04</v>
      </c>
      <c r="Z365" s="145">
        <v>0.12</v>
      </c>
      <c r="AA365" s="145">
        <v>0.42</v>
      </c>
      <c r="AB365" s="145">
        <v>8</v>
      </c>
      <c r="AC365" s="145">
        <v>0.55000000000000004</v>
      </c>
      <c r="AD365" s="145" t="s">
        <v>400</v>
      </c>
      <c r="AE365" s="145">
        <v>18</v>
      </c>
      <c r="AF365" s="145" t="s">
        <v>400</v>
      </c>
      <c r="AG365" s="145">
        <v>0.38</v>
      </c>
      <c r="AH365" s="145" t="s">
        <v>400</v>
      </c>
      <c r="AI365" s="145">
        <v>236</v>
      </c>
      <c r="AJ365" s="145">
        <v>1.6</v>
      </c>
      <c r="AK365" s="145" t="s">
        <v>400</v>
      </c>
      <c r="AL365" s="145">
        <v>1.97</v>
      </c>
      <c r="AM365" s="145" t="s">
        <v>400</v>
      </c>
    </row>
    <row r="366" spans="1:39">
      <c r="A366" s="143" t="s">
        <v>1425</v>
      </c>
      <c r="B366" s="144">
        <v>100</v>
      </c>
      <c r="C366" s="145">
        <v>24</v>
      </c>
      <c r="D366" s="145">
        <v>0.62</v>
      </c>
      <c r="E366" s="145">
        <v>0.48</v>
      </c>
      <c r="F366" s="145">
        <v>0.09</v>
      </c>
      <c r="G366" s="145" t="s">
        <v>400</v>
      </c>
      <c r="H366" s="145" t="s">
        <v>400</v>
      </c>
      <c r="I366" s="145" t="s">
        <v>400</v>
      </c>
      <c r="J366" s="145" t="s">
        <v>400</v>
      </c>
      <c r="K366" s="145" t="s">
        <v>400</v>
      </c>
      <c r="L366" s="145">
        <v>5.09</v>
      </c>
      <c r="M366" s="145">
        <v>2.8</v>
      </c>
      <c r="N366" s="145">
        <v>13</v>
      </c>
      <c r="O366" s="145">
        <v>12</v>
      </c>
      <c r="P366" s="145">
        <v>0.17</v>
      </c>
      <c r="Q366" s="145">
        <v>29</v>
      </c>
      <c r="R366" s="145">
        <v>0.22</v>
      </c>
      <c r="S366" s="145">
        <v>1</v>
      </c>
      <c r="T366" s="145">
        <v>173</v>
      </c>
      <c r="U366" s="145">
        <v>0.11</v>
      </c>
      <c r="V366" s="145">
        <v>0.31</v>
      </c>
      <c r="W366" s="145" t="s">
        <v>400</v>
      </c>
      <c r="X366" s="145">
        <v>0.03</v>
      </c>
      <c r="Y366" s="145">
        <v>0.04</v>
      </c>
      <c r="Z366" s="145">
        <v>0.12</v>
      </c>
      <c r="AA366" s="145">
        <v>0.42</v>
      </c>
      <c r="AB366" s="145">
        <v>8</v>
      </c>
      <c r="AC366" s="145">
        <v>0.55000000000000004</v>
      </c>
      <c r="AD366" s="145" t="s">
        <v>400</v>
      </c>
      <c r="AE366" s="145">
        <v>18</v>
      </c>
      <c r="AF366" s="145" t="s">
        <v>400</v>
      </c>
      <c r="AG366" s="145">
        <v>0.12</v>
      </c>
      <c r="AH366" s="145" t="s">
        <v>400</v>
      </c>
      <c r="AI366" s="145">
        <v>236</v>
      </c>
      <c r="AJ366" s="145">
        <v>0.3</v>
      </c>
      <c r="AK366" s="145" t="s">
        <v>400</v>
      </c>
      <c r="AL366" s="145">
        <v>1.97</v>
      </c>
      <c r="AM366" s="145" t="s">
        <v>400</v>
      </c>
    </row>
    <row r="367" spans="1:39">
      <c r="A367" s="143" t="s">
        <v>1426</v>
      </c>
      <c r="B367" s="144">
        <v>100</v>
      </c>
      <c r="C367" s="145">
        <v>49.09</v>
      </c>
      <c r="D367" s="145">
        <v>0.62</v>
      </c>
      <c r="E367" s="145">
        <v>3.32</v>
      </c>
      <c r="F367" s="145">
        <v>0.49</v>
      </c>
      <c r="G367" s="145">
        <v>0.66</v>
      </c>
      <c r="H367" s="145">
        <v>1.64</v>
      </c>
      <c r="I367" s="145">
        <v>1.45</v>
      </c>
      <c r="J367" s="145">
        <v>0.19</v>
      </c>
      <c r="K367" s="145" t="s">
        <v>400</v>
      </c>
      <c r="L367" s="145">
        <v>5.09</v>
      </c>
      <c r="M367" s="145">
        <v>2.8</v>
      </c>
      <c r="N367" s="145">
        <v>13</v>
      </c>
      <c r="O367" s="145">
        <v>12</v>
      </c>
      <c r="P367" s="145">
        <v>0.17</v>
      </c>
      <c r="Q367" s="145">
        <v>29</v>
      </c>
      <c r="R367" s="145">
        <v>0.22</v>
      </c>
      <c r="S367" s="145">
        <v>1</v>
      </c>
      <c r="T367" s="145">
        <v>173</v>
      </c>
      <c r="U367" s="145">
        <v>0.11</v>
      </c>
      <c r="V367" s="145">
        <v>0.31</v>
      </c>
      <c r="W367" s="145" t="s">
        <v>400</v>
      </c>
      <c r="X367" s="145">
        <v>0.03</v>
      </c>
      <c r="Y367" s="145">
        <v>0.04</v>
      </c>
      <c r="Z367" s="145">
        <v>0.12</v>
      </c>
      <c r="AA367" s="145">
        <v>0.42</v>
      </c>
      <c r="AB367" s="145">
        <v>8</v>
      </c>
      <c r="AC367" s="145">
        <v>0.55000000000000004</v>
      </c>
      <c r="AD367" s="145" t="s">
        <v>400</v>
      </c>
      <c r="AE367" s="145">
        <v>18</v>
      </c>
      <c r="AF367" s="145" t="s">
        <v>400</v>
      </c>
      <c r="AG367" s="145">
        <v>0.38</v>
      </c>
      <c r="AH367" s="145" t="s">
        <v>400</v>
      </c>
      <c r="AI367" s="145">
        <v>236</v>
      </c>
      <c r="AJ367" s="145">
        <v>1.6</v>
      </c>
      <c r="AK367" s="145" t="s">
        <v>400</v>
      </c>
      <c r="AL367" s="145">
        <v>1.97</v>
      </c>
      <c r="AM367" s="145" t="s">
        <v>400</v>
      </c>
    </row>
    <row r="368" spans="1:39">
      <c r="A368" s="143" t="s">
        <v>1427</v>
      </c>
      <c r="B368" s="144">
        <v>100</v>
      </c>
      <c r="C368" s="145">
        <v>31.443000000000001</v>
      </c>
      <c r="D368" s="145">
        <v>0.94799999999999995</v>
      </c>
      <c r="E368" s="145">
        <v>0.123</v>
      </c>
      <c r="F368" s="145">
        <v>3.9E-2</v>
      </c>
      <c r="G368" s="145">
        <v>2.7E-2</v>
      </c>
      <c r="H368" s="145">
        <v>3.2000000000000001E-2</v>
      </c>
      <c r="I368" s="145">
        <v>2.7E-2</v>
      </c>
      <c r="J368" s="145">
        <v>5.0000000000000001E-3</v>
      </c>
      <c r="K368" s="145" t="s">
        <v>400</v>
      </c>
      <c r="L368" s="145">
        <v>7.0119999999999996</v>
      </c>
      <c r="M368" s="145">
        <v>0.71099999999999997</v>
      </c>
      <c r="N368" s="145">
        <v>8.5549999999999997</v>
      </c>
      <c r="O368" s="145">
        <v>6.3470000000000004</v>
      </c>
      <c r="P368" s="145">
        <v>6.8000000000000005E-2</v>
      </c>
      <c r="Q368" s="145">
        <v>15.762</v>
      </c>
      <c r="R368" s="145">
        <v>0.28499999999999998</v>
      </c>
      <c r="S368" s="145">
        <v>310.43200000000002</v>
      </c>
      <c r="T368" s="145">
        <v>88.314999999999998</v>
      </c>
      <c r="U368" s="145">
        <v>3.9E-2</v>
      </c>
      <c r="V368" s="145">
        <v>0.115</v>
      </c>
      <c r="W368" s="145" t="s">
        <v>400</v>
      </c>
      <c r="X368" s="145">
        <v>0.03</v>
      </c>
      <c r="Y368" s="145">
        <v>2.5999999999999999E-2</v>
      </c>
      <c r="Z368" s="146">
        <v>0.04</v>
      </c>
      <c r="AA368" s="145">
        <v>0.505</v>
      </c>
      <c r="AB368" s="145">
        <v>2.0990000000000002</v>
      </c>
      <c r="AC368" s="145">
        <v>0.66700000000000004</v>
      </c>
      <c r="AD368" s="145">
        <v>1.4999999999999999E-2</v>
      </c>
      <c r="AE368" s="145">
        <v>9.2759999999999998</v>
      </c>
      <c r="AF368" s="145" t="s">
        <v>400</v>
      </c>
      <c r="AG368" s="145">
        <v>0.20399999999999999</v>
      </c>
      <c r="AH368" s="145">
        <v>2E-3</v>
      </c>
      <c r="AI368" s="145" t="s">
        <v>400</v>
      </c>
      <c r="AJ368" s="145">
        <v>1.3440000000000001</v>
      </c>
      <c r="AK368" s="145">
        <v>33.475999999999999</v>
      </c>
      <c r="AL368" s="145">
        <v>3.2749999999999999</v>
      </c>
      <c r="AM368" s="145">
        <v>2.5230000000000001</v>
      </c>
    </row>
    <row r="369" spans="1:39">
      <c r="A369" s="143" t="s">
        <v>1428</v>
      </c>
      <c r="B369" s="144">
        <v>100</v>
      </c>
      <c r="C369" s="145">
        <v>22</v>
      </c>
      <c r="D369" s="145">
        <v>1.87</v>
      </c>
      <c r="E369" s="145">
        <v>0.21</v>
      </c>
      <c r="F369" s="145">
        <v>4.4999999999999998E-2</v>
      </c>
      <c r="G369" s="145">
        <v>2.8000000000000001E-2</v>
      </c>
      <c r="H369" s="145">
        <v>4.5999999999999999E-2</v>
      </c>
      <c r="I369" s="145">
        <v>4.4999999999999998E-2</v>
      </c>
      <c r="J369" s="145">
        <v>1E-3</v>
      </c>
      <c r="K369" s="145" t="s">
        <v>400</v>
      </c>
      <c r="L369" s="145">
        <v>4.51</v>
      </c>
      <c r="M369" s="145">
        <v>2.5</v>
      </c>
      <c r="N369" s="145">
        <v>77</v>
      </c>
      <c r="O369" s="145">
        <v>36</v>
      </c>
      <c r="P369" s="145">
        <v>0.29399999999999998</v>
      </c>
      <c r="Q369" s="145">
        <v>32</v>
      </c>
      <c r="R369" s="145">
        <v>0.28000000000000003</v>
      </c>
      <c r="S369" s="145">
        <v>6</v>
      </c>
      <c r="T369" s="145">
        <v>135</v>
      </c>
      <c r="U369" s="145">
        <v>8.5000000000000006E-2</v>
      </c>
      <c r="V369" s="145">
        <v>0.43</v>
      </c>
      <c r="W369" s="145" t="s">
        <v>400</v>
      </c>
      <c r="X369" s="145">
        <v>0.13200000000000001</v>
      </c>
      <c r="Y369" s="145">
        <v>5.5E-2</v>
      </c>
      <c r="Z369" s="146">
        <v>0.187</v>
      </c>
      <c r="AA369" s="145">
        <v>0.871</v>
      </c>
      <c r="AB369" s="145">
        <v>16.3</v>
      </c>
      <c r="AC369" s="145">
        <v>1.1379999999999999</v>
      </c>
      <c r="AD369" s="145" t="s">
        <v>400</v>
      </c>
      <c r="AE369" s="145">
        <v>46</v>
      </c>
      <c r="AF369" s="145" t="s">
        <v>400</v>
      </c>
      <c r="AG369" s="145">
        <v>0.27</v>
      </c>
      <c r="AH369" s="145" t="s">
        <v>400</v>
      </c>
      <c r="AI369" s="145">
        <v>236</v>
      </c>
      <c r="AJ369" s="145">
        <v>0.4</v>
      </c>
      <c r="AK369" s="145">
        <v>14.167</v>
      </c>
      <c r="AL369" s="145">
        <v>2.2549999999999999</v>
      </c>
      <c r="AM369" s="145" t="s">
        <v>400</v>
      </c>
    </row>
    <row r="370" spans="1:39">
      <c r="A370" s="143" t="s">
        <v>1429</v>
      </c>
      <c r="B370" s="144">
        <v>100</v>
      </c>
      <c r="C370" s="145">
        <v>22</v>
      </c>
      <c r="D370" s="145">
        <v>1.87</v>
      </c>
      <c r="E370" s="145">
        <v>0.21</v>
      </c>
      <c r="F370" s="145">
        <v>4.4999999999999998E-2</v>
      </c>
      <c r="G370" s="145">
        <v>2.8000000000000001E-2</v>
      </c>
      <c r="H370" s="145">
        <v>4.5999999999999999E-2</v>
      </c>
      <c r="I370" s="145">
        <v>4.4999999999999998E-2</v>
      </c>
      <c r="J370" s="145">
        <v>1E-3</v>
      </c>
      <c r="K370" s="145" t="s">
        <v>400</v>
      </c>
      <c r="L370" s="145">
        <v>4.51</v>
      </c>
      <c r="M370" s="145">
        <v>2.5</v>
      </c>
      <c r="N370" s="145">
        <v>77</v>
      </c>
      <c r="O370" s="145">
        <v>36</v>
      </c>
      <c r="P370" s="145">
        <v>0.29399999999999998</v>
      </c>
      <c r="Q370" s="145">
        <v>32</v>
      </c>
      <c r="R370" s="145">
        <v>0.28000000000000003</v>
      </c>
      <c r="S370" s="145">
        <v>6</v>
      </c>
      <c r="T370" s="145">
        <v>135</v>
      </c>
      <c r="U370" s="145">
        <v>8.5000000000000006E-2</v>
      </c>
      <c r="V370" s="145">
        <v>0.43</v>
      </c>
      <c r="W370" s="145" t="s">
        <v>400</v>
      </c>
      <c r="X370" s="145">
        <v>0.13200000000000001</v>
      </c>
      <c r="Y370" s="145">
        <v>5.5E-2</v>
      </c>
      <c r="Z370" s="146">
        <v>0.187</v>
      </c>
      <c r="AA370" s="145">
        <v>0.871</v>
      </c>
      <c r="AB370" s="145">
        <v>16.3</v>
      </c>
      <c r="AC370" s="145">
        <v>1.1379999999999999</v>
      </c>
      <c r="AD370" s="145" t="s">
        <v>400</v>
      </c>
      <c r="AE370" s="145">
        <v>46</v>
      </c>
      <c r="AF370" s="145" t="s">
        <v>400</v>
      </c>
      <c r="AG370" s="145">
        <v>0.27</v>
      </c>
      <c r="AH370" s="145" t="s">
        <v>400</v>
      </c>
      <c r="AI370" s="145">
        <v>236</v>
      </c>
      <c r="AJ370" s="145">
        <v>0.4</v>
      </c>
      <c r="AK370" s="145">
        <v>14.167</v>
      </c>
      <c r="AL370" s="145">
        <v>2.2549999999999999</v>
      </c>
      <c r="AM370" s="145" t="s">
        <v>400</v>
      </c>
    </row>
    <row r="371" spans="1:39">
      <c r="A371" s="143" t="s">
        <v>1430</v>
      </c>
      <c r="B371" s="144">
        <v>100</v>
      </c>
      <c r="C371" s="145">
        <v>22</v>
      </c>
      <c r="D371" s="145">
        <v>1.87</v>
      </c>
      <c r="E371" s="145">
        <v>0.21</v>
      </c>
      <c r="F371" s="145">
        <v>4.4999999999999998E-2</v>
      </c>
      <c r="G371" s="145">
        <v>2.8000000000000001E-2</v>
      </c>
      <c r="H371" s="145">
        <v>4.5999999999999999E-2</v>
      </c>
      <c r="I371" s="145">
        <v>4.4999999999999998E-2</v>
      </c>
      <c r="J371" s="145">
        <v>1E-3</v>
      </c>
      <c r="K371" s="145" t="s">
        <v>400</v>
      </c>
      <c r="L371" s="145">
        <v>4.51</v>
      </c>
      <c r="M371" s="145">
        <v>2.5</v>
      </c>
      <c r="N371" s="145">
        <v>77</v>
      </c>
      <c r="O371" s="145">
        <v>36</v>
      </c>
      <c r="P371" s="145">
        <v>0.29399999999999998</v>
      </c>
      <c r="Q371" s="145">
        <v>32</v>
      </c>
      <c r="R371" s="145">
        <v>0.28000000000000003</v>
      </c>
      <c r="S371" s="145">
        <v>6</v>
      </c>
      <c r="T371" s="145">
        <v>135</v>
      </c>
      <c r="U371" s="145">
        <v>8.5000000000000006E-2</v>
      </c>
      <c r="V371" s="145">
        <v>0.43</v>
      </c>
      <c r="W371" s="145" t="s">
        <v>400</v>
      </c>
      <c r="X371" s="145">
        <v>0.13200000000000001</v>
      </c>
      <c r="Y371" s="145">
        <v>5.5E-2</v>
      </c>
      <c r="Z371" s="146">
        <v>0.187</v>
      </c>
      <c r="AA371" s="145">
        <v>0.871</v>
      </c>
      <c r="AB371" s="145">
        <v>16.3</v>
      </c>
      <c r="AC371" s="145">
        <v>1.1379999999999999</v>
      </c>
      <c r="AD371" s="145" t="s">
        <v>400</v>
      </c>
      <c r="AE371" s="145">
        <v>46</v>
      </c>
      <c r="AF371" s="145" t="s">
        <v>400</v>
      </c>
      <c r="AG371" s="145">
        <v>0.27</v>
      </c>
      <c r="AH371" s="145" t="s">
        <v>400</v>
      </c>
      <c r="AI371" s="145">
        <v>236</v>
      </c>
      <c r="AJ371" s="145">
        <v>0.4</v>
      </c>
      <c r="AK371" s="145">
        <v>14.167</v>
      </c>
      <c r="AL371" s="145">
        <v>2.2549999999999999</v>
      </c>
      <c r="AM371" s="145" t="s">
        <v>400</v>
      </c>
    </row>
    <row r="372" spans="1:39">
      <c r="A372" s="143" t="s">
        <v>1431</v>
      </c>
      <c r="B372" s="144">
        <v>100</v>
      </c>
      <c r="C372" s="145">
        <v>47.093000000000004</v>
      </c>
      <c r="D372" s="145">
        <v>1.87</v>
      </c>
      <c r="E372" s="145">
        <v>3.0489999999999999</v>
      </c>
      <c r="F372" s="145">
        <v>0.48899999999999999</v>
      </c>
      <c r="G372" s="145">
        <v>0.67500000000000004</v>
      </c>
      <c r="H372" s="145">
        <v>1.6850000000000001</v>
      </c>
      <c r="I372" s="145">
        <v>1.4910000000000001</v>
      </c>
      <c r="J372" s="145">
        <v>0.19400000000000001</v>
      </c>
      <c r="K372" s="145" t="s">
        <v>400</v>
      </c>
      <c r="L372" s="145">
        <v>4.51</v>
      </c>
      <c r="M372" s="145">
        <v>2.5</v>
      </c>
      <c r="N372" s="145">
        <v>77</v>
      </c>
      <c r="O372" s="145">
        <v>36</v>
      </c>
      <c r="P372" s="145">
        <v>0.29399999999999998</v>
      </c>
      <c r="Q372" s="145">
        <v>32</v>
      </c>
      <c r="R372" s="145">
        <v>0.28100000000000003</v>
      </c>
      <c r="S372" s="145">
        <v>6</v>
      </c>
      <c r="T372" s="145">
        <v>135</v>
      </c>
      <c r="U372" s="145">
        <v>8.5000000000000006E-2</v>
      </c>
      <c r="V372" s="145">
        <v>0.43</v>
      </c>
      <c r="W372" s="145" t="s">
        <v>400</v>
      </c>
      <c r="X372" s="145">
        <v>0.13200000000000001</v>
      </c>
      <c r="Y372" s="145">
        <v>5.5E-2</v>
      </c>
      <c r="Z372" s="146">
        <v>0.187</v>
      </c>
      <c r="AA372" s="145">
        <v>0.871</v>
      </c>
      <c r="AB372" s="145">
        <v>16.3</v>
      </c>
      <c r="AC372" s="145">
        <v>1.1379999999999999</v>
      </c>
      <c r="AD372" s="145" t="s">
        <v>400</v>
      </c>
      <c r="AE372" s="145">
        <v>46</v>
      </c>
      <c r="AF372" s="145" t="s">
        <v>400</v>
      </c>
      <c r="AG372" s="145">
        <v>0.502</v>
      </c>
      <c r="AH372" s="145">
        <v>1.4999999999999999E-2</v>
      </c>
      <c r="AI372" s="145">
        <v>236</v>
      </c>
      <c r="AJ372" s="145">
        <v>1.7010000000000001</v>
      </c>
      <c r="AK372" s="145">
        <v>14.167</v>
      </c>
      <c r="AL372" s="145">
        <v>2.2549999999999999</v>
      </c>
      <c r="AM372" s="145" t="s">
        <v>400</v>
      </c>
    </row>
    <row r="373" spans="1:39">
      <c r="A373" s="143" t="s">
        <v>1432</v>
      </c>
      <c r="B373" s="144">
        <v>100</v>
      </c>
      <c r="C373" s="145">
        <v>47.093000000000004</v>
      </c>
      <c r="D373" s="145">
        <v>1.87</v>
      </c>
      <c r="E373" s="145">
        <v>3.0489999999999999</v>
      </c>
      <c r="F373" s="145">
        <v>0.48899999999999999</v>
      </c>
      <c r="G373" s="145">
        <v>0.67500000000000004</v>
      </c>
      <c r="H373" s="145">
        <v>1.6850000000000001</v>
      </c>
      <c r="I373" s="145">
        <v>1.4910000000000001</v>
      </c>
      <c r="J373" s="145">
        <v>0.19400000000000001</v>
      </c>
      <c r="K373" s="145" t="s">
        <v>400</v>
      </c>
      <c r="L373" s="145">
        <v>4.51</v>
      </c>
      <c r="M373" s="145">
        <v>2.5</v>
      </c>
      <c r="N373" s="145">
        <v>77</v>
      </c>
      <c r="O373" s="145">
        <v>36</v>
      </c>
      <c r="P373" s="145">
        <v>0.29399999999999998</v>
      </c>
      <c r="Q373" s="145">
        <v>32</v>
      </c>
      <c r="R373" s="145">
        <v>0.28100000000000003</v>
      </c>
      <c r="S373" s="145">
        <v>6</v>
      </c>
      <c r="T373" s="145">
        <v>135</v>
      </c>
      <c r="U373" s="145">
        <v>8.5000000000000006E-2</v>
      </c>
      <c r="V373" s="145">
        <v>0.43</v>
      </c>
      <c r="W373" s="145" t="s">
        <v>400</v>
      </c>
      <c r="X373" s="145">
        <v>0.13200000000000001</v>
      </c>
      <c r="Y373" s="145">
        <v>5.5E-2</v>
      </c>
      <c r="Z373" s="146">
        <v>0.187</v>
      </c>
      <c r="AA373" s="145">
        <v>0.871</v>
      </c>
      <c r="AB373" s="145">
        <v>16.3</v>
      </c>
      <c r="AC373" s="145">
        <v>1.1379999999999999</v>
      </c>
      <c r="AD373" s="145" t="s">
        <v>400</v>
      </c>
      <c r="AE373" s="145">
        <v>46</v>
      </c>
      <c r="AF373" s="145" t="s">
        <v>400</v>
      </c>
      <c r="AG373" s="145">
        <v>0.502</v>
      </c>
      <c r="AH373" s="145">
        <v>1.4999999999999999E-2</v>
      </c>
      <c r="AI373" s="145">
        <v>236</v>
      </c>
      <c r="AJ373" s="145">
        <v>1.7010000000000001</v>
      </c>
      <c r="AK373" s="145">
        <v>14.167</v>
      </c>
      <c r="AL373" s="145">
        <v>2.2549999999999999</v>
      </c>
      <c r="AM373" s="145" t="s">
        <v>400</v>
      </c>
    </row>
    <row r="374" spans="1:39">
      <c r="A374" s="143" t="s">
        <v>1433</v>
      </c>
      <c r="B374" s="144">
        <v>100</v>
      </c>
      <c r="C374" s="145">
        <v>43.192999999999998</v>
      </c>
      <c r="D374" s="145">
        <v>1.895</v>
      </c>
      <c r="E374" s="145">
        <v>2.6070000000000002</v>
      </c>
      <c r="F374" s="145">
        <v>1.5629999999999999</v>
      </c>
      <c r="G374" s="145">
        <v>0.64900000000000002</v>
      </c>
      <c r="H374" s="145">
        <v>0.13600000000000001</v>
      </c>
      <c r="I374" s="145">
        <v>0.126</v>
      </c>
      <c r="J374" s="145">
        <v>0.01</v>
      </c>
      <c r="K374" s="145">
        <v>6.3550000000000004</v>
      </c>
      <c r="L374" s="145">
        <v>4.5119999999999996</v>
      </c>
      <c r="M374" s="145">
        <v>2.5</v>
      </c>
      <c r="N374" s="145">
        <v>77.709000000000003</v>
      </c>
      <c r="O374" s="145">
        <v>36.058999999999997</v>
      </c>
      <c r="P374" s="145">
        <v>0.29399999999999998</v>
      </c>
      <c r="Q374" s="145">
        <v>32.709000000000003</v>
      </c>
      <c r="R374" s="145">
        <v>0.28100000000000003</v>
      </c>
      <c r="S374" s="145">
        <v>23.024999999999999</v>
      </c>
      <c r="T374" s="145">
        <v>135.709</v>
      </c>
      <c r="U374" s="145">
        <v>8.5000000000000006E-2</v>
      </c>
      <c r="V374" s="145">
        <v>0.433</v>
      </c>
      <c r="W374" s="145">
        <v>19.832999999999998</v>
      </c>
      <c r="X374" s="145">
        <v>0.13200000000000001</v>
      </c>
      <c r="Y374" s="145">
        <v>5.6000000000000001E-2</v>
      </c>
      <c r="Z374" s="146">
        <v>0.187</v>
      </c>
      <c r="AA374" s="145">
        <v>0.872</v>
      </c>
      <c r="AB374" s="145">
        <v>16.3</v>
      </c>
      <c r="AC374" s="145">
        <v>1.145</v>
      </c>
      <c r="AD374" s="145">
        <v>5.0000000000000001E-3</v>
      </c>
      <c r="AE374" s="145">
        <v>46.088999999999999</v>
      </c>
      <c r="AF374" s="145">
        <v>4.1000000000000002E-2</v>
      </c>
      <c r="AG374" s="145">
        <v>0.33900000000000002</v>
      </c>
      <c r="AH374" s="145">
        <v>9.7000000000000003E-2</v>
      </c>
      <c r="AI374" s="145">
        <v>236</v>
      </c>
      <c r="AJ374" s="145">
        <v>0.43</v>
      </c>
      <c r="AK374" s="145">
        <v>34.389000000000003</v>
      </c>
      <c r="AL374" s="145">
        <v>2.258</v>
      </c>
      <c r="AM374" s="145" t="s">
        <v>400</v>
      </c>
    </row>
    <row r="375" spans="1:39">
      <c r="A375" s="143" t="s">
        <v>1434</v>
      </c>
      <c r="B375" s="144">
        <v>100</v>
      </c>
      <c r="C375" s="145">
        <v>47.093000000000004</v>
      </c>
      <c r="D375" s="145">
        <v>1.87</v>
      </c>
      <c r="E375" s="145">
        <v>3.0489999999999999</v>
      </c>
      <c r="F375" s="145">
        <v>0.48899999999999999</v>
      </c>
      <c r="G375" s="145">
        <v>0.67500000000000004</v>
      </c>
      <c r="H375" s="145">
        <v>1.6850000000000001</v>
      </c>
      <c r="I375" s="145">
        <v>1.4910000000000001</v>
      </c>
      <c r="J375" s="145">
        <v>0.19400000000000001</v>
      </c>
      <c r="K375" s="145" t="s">
        <v>400</v>
      </c>
      <c r="L375" s="145">
        <v>4.51</v>
      </c>
      <c r="M375" s="145">
        <v>2.5</v>
      </c>
      <c r="N375" s="145">
        <v>77</v>
      </c>
      <c r="O375" s="145">
        <v>36</v>
      </c>
      <c r="P375" s="145">
        <v>0.29399999999999998</v>
      </c>
      <c r="Q375" s="145">
        <v>32</v>
      </c>
      <c r="R375" s="145">
        <v>0.28100000000000003</v>
      </c>
      <c r="S375" s="145">
        <v>6</v>
      </c>
      <c r="T375" s="145">
        <v>135</v>
      </c>
      <c r="U375" s="145">
        <v>8.5000000000000006E-2</v>
      </c>
      <c r="V375" s="145">
        <v>0.43</v>
      </c>
      <c r="W375" s="145" t="s">
        <v>400</v>
      </c>
      <c r="X375" s="145">
        <v>0.13200000000000001</v>
      </c>
      <c r="Y375" s="145">
        <v>5.5E-2</v>
      </c>
      <c r="Z375" s="146">
        <v>0.187</v>
      </c>
      <c r="AA375" s="145">
        <v>0.871</v>
      </c>
      <c r="AB375" s="145">
        <v>16.3</v>
      </c>
      <c r="AC375" s="145">
        <v>1.1379999999999999</v>
      </c>
      <c r="AD375" s="145" t="s">
        <v>400</v>
      </c>
      <c r="AE375" s="145">
        <v>46</v>
      </c>
      <c r="AF375" s="145" t="s">
        <v>400</v>
      </c>
      <c r="AG375" s="145">
        <v>0.502</v>
      </c>
      <c r="AH375" s="145">
        <v>1.4999999999999999E-2</v>
      </c>
      <c r="AI375" s="145">
        <v>236</v>
      </c>
      <c r="AJ375" s="145">
        <v>1.7010000000000001</v>
      </c>
      <c r="AK375" s="145">
        <v>14.167</v>
      </c>
      <c r="AL375" s="145">
        <v>2.2549999999999999</v>
      </c>
      <c r="AM375" s="145" t="s">
        <v>400</v>
      </c>
    </row>
    <row r="376" spans="1:39">
      <c r="A376" s="143" t="s">
        <v>1435</v>
      </c>
      <c r="B376" s="144">
        <v>100</v>
      </c>
      <c r="C376" s="145">
        <v>22</v>
      </c>
      <c r="D376" s="145">
        <v>1.87</v>
      </c>
      <c r="E376" s="145">
        <v>0.21</v>
      </c>
      <c r="F376" s="145">
        <v>4.4999999999999998E-2</v>
      </c>
      <c r="G376" s="145">
        <v>2.8000000000000001E-2</v>
      </c>
      <c r="H376" s="145">
        <v>4.5999999999999999E-2</v>
      </c>
      <c r="I376" s="145">
        <v>4.4999999999999998E-2</v>
      </c>
      <c r="J376" s="145">
        <v>1E-3</v>
      </c>
      <c r="K376" s="145" t="s">
        <v>400</v>
      </c>
      <c r="L376" s="145">
        <v>4.51</v>
      </c>
      <c r="M376" s="145">
        <v>2.5</v>
      </c>
      <c r="N376" s="145">
        <v>77</v>
      </c>
      <c r="O376" s="145">
        <v>36</v>
      </c>
      <c r="P376" s="145">
        <v>0.29399999999999998</v>
      </c>
      <c r="Q376" s="145">
        <v>32</v>
      </c>
      <c r="R376" s="145">
        <v>0.28000000000000003</v>
      </c>
      <c r="S376" s="145">
        <v>6</v>
      </c>
      <c r="T376" s="145">
        <v>135</v>
      </c>
      <c r="U376" s="145">
        <v>8.5000000000000006E-2</v>
      </c>
      <c r="V376" s="145">
        <v>0.43</v>
      </c>
      <c r="W376" s="145" t="s">
        <v>400</v>
      </c>
      <c r="X376" s="145">
        <v>0.13200000000000001</v>
      </c>
      <c r="Y376" s="145">
        <v>5.5E-2</v>
      </c>
      <c r="Z376" s="146">
        <v>0.187</v>
      </c>
      <c r="AA376" s="145">
        <v>0.871</v>
      </c>
      <c r="AB376" s="145">
        <v>16.3</v>
      </c>
      <c r="AC376" s="145">
        <v>1.1379999999999999</v>
      </c>
      <c r="AD376" s="145" t="s">
        <v>400</v>
      </c>
      <c r="AE376" s="145">
        <v>46</v>
      </c>
      <c r="AF376" s="145" t="s">
        <v>400</v>
      </c>
      <c r="AG376" s="145">
        <v>0.27</v>
      </c>
      <c r="AH376" s="145" t="s">
        <v>400</v>
      </c>
      <c r="AI376" s="145">
        <v>236</v>
      </c>
      <c r="AJ376" s="145">
        <v>0.4</v>
      </c>
      <c r="AK376" s="145">
        <v>14.167</v>
      </c>
      <c r="AL376" s="145">
        <v>2.2549999999999999</v>
      </c>
      <c r="AM376" s="145" t="s">
        <v>400</v>
      </c>
    </row>
    <row r="377" spans="1:39">
      <c r="A377" s="143" t="s">
        <v>1436</v>
      </c>
      <c r="B377" s="144">
        <v>100</v>
      </c>
      <c r="C377" s="145">
        <v>14</v>
      </c>
      <c r="D377" s="145">
        <v>1.4</v>
      </c>
      <c r="E377" s="145">
        <v>0.1</v>
      </c>
      <c r="F377" s="145" t="s">
        <v>400</v>
      </c>
      <c r="G377" s="145" t="s">
        <v>400</v>
      </c>
      <c r="H377" s="145" t="s">
        <v>400</v>
      </c>
      <c r="I377" s="145" t="s">
        <v>400</v>
      </c>
      <c r="J377" s="145" t="s">
        <v>400</v>
      </c>
      <c r="K377" s="145" t="s">
        <v>400</v>
      </c>
      <c r="L377" s="145">
        <v>2.7</v>
      </c>
      <c r="M377" s="145">
        <v>2.2000000000000002</v>
      </c>
      <c r="N377" s="145">
        <v>21</v>
      </c>
      <c r="O377" s="145">
        <v>10</v>
      </c>
      <c r="P377" s="145">
        <v>7.0000000000000007E-2</v>
      </c>
      <c r="Q377" s="145">
        <v>25</v>
      </c>
      <c r="R377" s="145">
        <v>0.4</v>
      </c>
      <c r="S377" s="145">
        <v>11</v>
      </c>
      <c r="T377" s="145">
        <v>328</v>
      </c>
      <c r="U377" s="145">
        <v>0.02</v>
      </c>
      <c r="V377" s="145">
        <v>0.2</v>
      </c>
      <c r="W377" s="145" t="s">
        <v>400</v>
      </c>
      <c r="X377" s="145">
        <v>0.06</v>
      </c>
      <c r="Y377" s="145">
        <v>0.02</v>
      </c>
      <c r="Z377" s="146">
        <v>0.04</v>
      </c>
      <c r="AA377" s="145" t="s">
        <v>400</v>
      </c>
      <c r="AB377" s="145">
        <v>9.6</v>
      </c>
      <c r="AC377" s="145" t="s">
        <v>400</v>
      </c>
      <c r="AD377" s="145" t="s">
        <v>400</v>
      </c>
      <c r="AE377" s="145" t="s">
        <v>400</v>
      </c>
      <c r="AF377" s="145" t="s">
        <v>400</v>
      </c>
      <c r="AG377" s="145" t="s">
        <v>400</v>
      </c>
      <c r="AH377" s="145" t="s">
        <v>400</v>
      </c>
      <c r="AI377" s="145" t="s">
        <v>400</v>
      </c>
      <c r="AJ377" s="145" t="s">
        <v>400</v>
      </c>
      <c r="AK377" s="145">
        <v>3</v>
      </c>
      <c r="AL377" s="145" t="s">
        <v>400</v>
      </c>
      <c r="AM377" s="145" t="s">
        <v>400</v>
      </c>
    </row>
    <row r="378" spans="1:39">
      <c r="A378" s="143" t="s">
        <v>1437</v>
      </c>
      <c r="B378" s="144">
        <v>100</v>
      </c>
      <c r="C378" s="145">
        <v>14</v>
      </c>
      <c r="D378" s="145">
        <v>0.4</v>
      </c>
      <c r="E378" s="145">
        <v>0.2</v>
      </c>
      <c r="F378" s="145">
        <v>0.02</v>
      </c>
      <c r="G378" s="145">
        <v>0.04</v>
      </c>
      <c r="H378" s="145">
        <v>0.09</v>
      </c>
      <c r="I378" s="145">
        <v>0.09</v>
      </c>
      <c r="J378" s="145" t="s">
        <v>400</v>
      </c>
      <c r="K378" s="145" t="s">
        <v>400</v>
      </c>
      <c r="L378" s="145">
        <v>3.04</v>
      </c>
      <c r="M378" s="145">
        <v>1</v>
      </c>
      <c r="N378" s="145">
        <v>18</v>
      </c>
      <c r="O378" s="145">
        <v>10</v>
      </c>
      <c r="P378" s="145">
        <v>0.06</v>
      </c>
      <c r="Q378" s="145">
        <v>17</v>
      </c>
      <c r="R378" s="145">
        <v>0.38</v>
      </c>
      <c r="S378" s="145">
        <v>107</v>
      </c>
      <c r="T378" s="145">
        <v>5</v>
      </c>
      <c r="U378" s="145">
        <v>0.02</v>
      </c>
      <c r="V378" s="145">
        <v>0.59</v>
      </c>
      <c r="W378" s="145" t="s">
        <v>400</v>
      </c>
      <c r="X378" s="145">
        <v>0.03</v>
      </c>
      <c r="Y378" s="145" t="s">
        <v>400</v>
      </c>
      <c r="Z378" s="145">
        <v>0.03</v>
      </c>
      <c r="AA378" s="145">
        <v>0.38</v>
      </c>
      <c r="AB378" s="145">
        <v>10.5</v>
      </c>
      <c r="AC378" s="145">
        <v>0.42</v>
      </c>
      <c r="AD378" s="145" t="s">
        <v>400</v>
      </c>
      <c r="AE378" s="145">
        <v>4</v>
      </c>
      <c r="AF378" s="145" t="s">
        <v>400</v>
      </c>
      <c r="AG378" s="145">
        <v>0.39</v>
      </c>
      <c r="AH378" s="145" t="s">
        <v>400</v>
      </c>
      <c r="AI378" s="145">
        <v>212</v>
      </c>
      <c r="AJ378" s="145">
        <v>0.2</v>
      </c>
      <c r="AK378" s="145" t="s">
        <v>400</v>
      </c>
      <c r="AL378" s="145">
        <v>1.18</v>
      </c>
      <c r="AM378" s="145" t="s">
        <v>400</v>
      </c>
    </row>
    <row r="379" spans="1:39">
      <c r="A379" s="143" t="s">
        <v>1438</v>
      </c>
      <c r="B379" s="144">
        <v>100</v>
      </c>
      <c r="C379" s="145">
        <v>36.94</v>
      </c>
      <c r="D379" s="145">
        <v>0.4</v>
      </c>
      <c r="E379" s="145">
        <v>2.8</v>
      </c>
      <c r="F379" s="145">
        <v>0.39</v>
      </c>
      <c r="G379" s="145">
        <v>0.64</v>
      </c>
      <c r="H379" s="145">
        <v>1.59</v>
      </c>
      <c r="I379" s="145">
        <v>1.41</v>
      </c>
      <c r="J379" s="145">
        <v>0.18</v>
      </c>
      <c r="K379" s="145" t="s">
        <v>400</v>
      </c>
      <c r="L379" s="145">
        <v>3.04</v>
      </c>
      <c r="M379" s="145">
        <v>1</v>
      </c>
      <c r="N379" s="145">
        <v>18</v>
      </c>
      <c r="O379" s="145">
        <v>10</v>
      </c>
      <c r="P379" s="145">
        <v>0.06</v>
      </c>
      <c r="Q379" s="145">
        <v>17</v>
      </c>
      <c r="R379" s="145">
        <v>0.38</v>
      </c>
      <c r="S379" s="145">
        <v>107</v>
      </c>
      <c r="T379" s="145">
        <v>5</v>
      </c>
      <c r="U379" s="145">
        <v>0.02</v>
      </c>
      <c r="V379" s="145">
        <v>0.59</v>
      </c>
      <c r="W379" s="145" t="s">
        <v>400</v>
      </c>
      <c r="X379" s="145">
        <v>0.03</v>
      </c>
      <c r="Y379" s="145" t="s">
        <v>400</v>
      </c>
      <c r="Z379" s="145">
        <v>0.03</v>
      </c>
      <c r="AA379" s="145">
        <v>0.38</v>
      </c>
      <c r="AB379" s="145">
        <v>10.5</v>
      </c>
      <c r="AC379" s="145">
        <v>0.42</v>
      </c>
      <c r="AD379" s="145" t="s">
        <v>400</v>
      </c>
      <c r="AE379" s="145">
        <v>4</v>
      </c>
      <c r="AF379" s="145" t="s">
        <v>400</v>
      </c>
      <c r="AG379" s="145">
        <v>0.63</v>
      </c>
      <c r="AH379" s="145" t="s">
        <v>400</v>
      </c>
      <c r="AI379" s="145">
        <v>212</v>
      </c>
      <c r="AJ379" s="145">
        <v>1.39</v>
      </c>
      <c r="AK379" s="145" t="s">
        <v>400</v>
      </c>
      <c r="AL379" s="145">
        <v>1.18</v>
      </c>
      <c r="AM379" s="145" t="s">
        <v>400</v>
      </c>
    </row>
    <row r="380" spans="1:39">
      <c r="A380" s="143" t="s">
        <v>1439</v>
      </c>
      <c r="B380" s="144">
        <v>100</v>
      </c>
      <c r="C380" s="145">
        <v>36.94</v>
      </c>
      <c r="D380" s="145">
        <v>0.4</v>
      </c>
      <c r="E380" s="145">
        <v>2.8</v>
      </c>
      <c r="F380" s="145">
        <v>0.39</v>
      </c>
      <c r="G380" s="145">
        <v>0.64</v>
      </c>
      <c r="H380" s="145">
        <v>1.59</v>
      </c>
      <c r="I380" s="145">
        <v>1.41</v>
      </c>
      <c r="J380" s="145">
        <v>0.18</v>
      </c>
      <c r="K380" s="145" t="s">
        <v>400</v>
      </c>
      <c r="L380" s="145">
        <v>3.04</v>
      </c>
      <c r="M380" s="145">
        <v>1</v>
      </c>
      <c r="N380" s="145">
        <v>18</v>
      </c>
      <c r="O380" s="145">
        <v>10</v>
      </c>
      <c r="P380" s="145">
        <v>0.06</v>
      </c>
      <c r="Q380" s="145">
        <v>17</v>
      </c>
      <c r="R380" s="145">
        <v>0.38</v>
      </c>
      <c r="S380" s="145">
        <v>107</v>
      </c>
      <c r="T380" s="145">
        <v>5</v>
      </c>
      <c r="U380" s="145">
        <v>0.02</v>
      </c>
      <c r="V380" s="145">
        <v>0.59</v>
      </c>
      <c r="W380" s="145" t="s">
        <v>400</v>
      </c>
      <c r="X380" s="145">
        <v>0.03</v>
      </c>
      <c r="Y380" s="145" t="s">
        <v>400</v>
      </c>
      <c r="Z380" s="145">
        <v>0.03</v>
      </c>
      <c r="AA380" s="145">
        <v>0.38</v>
      </c>
      <c r="AB380" s="145">
        <v>10.5</v>
      </c>
      <c r="AC380" s="145">
        <v>0.42</v>
      </c>
      <c r="AD380" s="145" t="s">
        <v>400</v>
      </c>
      <c r="AE380" s="145">
        <v>4</v>
      </c>
      <c r="AF380" s="145" t="s">
        <v>400</v>
      </c>
      <c r="AG380" s="145">
        <v>0.63</v>
      </c>
      <c r="AH380" s="145" t="s">
        <v>400</v>
      </c>
      <c r="AI380" s="145">
        <v>212</v>
      </c>
      <c r="AJ380" s="145">
        <v>1.39</v>
      </c>
      <c r="AK380" s="145" t="s">
        <v>400</v>
      </c>
      <c r="AL380" s="145">
        <v>1.18</v>
      </c>
      <c r="AM380" s="145" t="s">
        <v>400</v>
      </c>
    </row>
    <row r="381" spans="1:39">
      <c r="A381" s="143" t="s">
        <v>1440</v>
      </c>
      <c r="B381" s="144">
        <v>100</v>
      </c>
      <c r="C381" s="145">
        <v>14</v>
      </c>
      <c r="D381" s="145">
        <v>0.4</v>
      </c>
      <c r="E381" s="145">
        <v>0.2</v>
      </c>
      <c r="F381" s="145">
        <v>0.02</v>
      </c>
      <c r="G381" s="145">
        <v>0.04</v>
      </c>
      <c r="H381" s="145">
        <v>0.09</v>
      </c>
      <c r="I381" s="145">
        <v>0.09</v>
      </c>
      <c r="J381" s="145" t="s">
        <v>400</v>
      </c>
      <c r="K381" s="145" t="s">
        <v>400</v>
      </c>
      <c r="L381" s="145">
        <v>3.04</v>
      </c>
      <c r="M381" s="145">
        <v>1</v>
      </c>
      <c r="N381" s="145">
        <v>18</v>
      </c>
      <c r="O381" s="145">
        <v>10</v>
      </c>
      <c r="P381" s="145">
        <v>0.06</v>
      </c>
      <c r="Q381" s="145">
        <v>17</v>
      </c>
      <c r="R381" s="145">
        <v>0.38</v>
      </c>
      <c r="S381" s="145">
        <v>107</v>
      </c>
      <c r="T381" s="145">
        <v>5</v>
      </c>
      <c r="U381" s="145">
        <v>0.02</v>
      </c>
      <c r="V381" s="145">
        <v>0.59</v>
      </c>
      <c r="W381" s="145" t="s">
        <v>400</v>
      </c>
      <c r="X381" s="145">
        <v>0.03</v>
      </c>
      <c r="Y381" s="145" t="s">
        <v>400</v>
      </c>
      <c r="Z381" s="145">
        <v>0.03</v>
      </c>
      <c r="AA381" s="145">
        <v>0.38</v>
      </c>
      <c r="AB381" s="145">
        <v>10.5</v>
      </c>
      <c r="AC381" s="145">
        <v>0.42</v>
      </c>
      <c r="AD381" s="145" t="s">
        <v>400</v>
      </c>
      <c r="AE381" s="145">
        <v>4</v>
      </c>
      <c r="AF381" s="145" t="s">
        <v>400</v>
      </c>
      <c r="AG381" s="145">
        <v>0.39</v>
      </c>
      <c r="AH381" s="145" t="s">
        <v>400</v>
      </c>
      <c r="AI381" s="145">
        <v>212</v>
      </c>
      <c r="AJ381" s="145">
        <v>0.2</v>
      </c>
      <c r="AK381" s="145" t="s">
        <v>400</v>
      </c>
      <c r="AL381" s="145">
        <v>1.18</v>
      </c>
      <c r="AM381" s="145" t="s">
        <v>400</v>
      </c>
    </row>
    <row r="382" spans="1:39">
      <c r="A382" s="143" t="s">
        <v>1441</v>
      </c>
      <c r="B382" s="144">
        <v>100</v>
      </c>
      <c r="C382" s="145">
        <v>14</v>
      </c>
      <c r="D382" s="145">
        <v>0.4</v>
      </c>
      <c r="E382" s="145">
        <v>0.2</v>
      </c>
      <c r="F382" s="145">
        <v>0.02</v>
      </c>
      <c r="G382" s="145">
        <v>0.04</v>
      </c>
      <c r="H382" s="145">
        <v>0.09</v>
      </c>
      <c r="I382" s="145">
        <v>0.09</v>
      </c>
      <c r="J382" s="145" t="s">
        <v>400</v>
      </c>
      <c r="K382" s="145" t="s">
        <v>400</v>
      </c>
      <c r="L382" s="145">
        <v>3.04</v>
      </c>
      <c r="M382" s="145">
        <v>1</v>
      </c>
      <c r="N382" s="145">
        <v>18</v>
      </c>
      <c r="O382" s="145">
        <v>10</v>
      </c>
      <c r="P382" s="145">
        <v>0.06</v>
      </c>
      <c r="Q382" s="145">
        <v>17</v>
      </c>
      <c r="R382" s="145">
        <v>0.38</v>
      </c>
      <c r="S382" s="145">
        <v>107</v>
      </c>
      <c r="T382" s="145">
        <v>5</v>
      </c>
      <c r="U382" s="145">
        <v>0.02</v>
      </c>
      <c r="V382" s="145">
        <v>0.59</v>
      </c>
      <c r="W382" s="145" t="s">
        <v>400</v>
      </c>
      <c r="X382" s="145">
        <v>0.03</v>
      </c>
      <c r="Y382" s="145" t="s">
        <v>400</v>
      </c>
      <c r="Z382" s="145">
        <v>0.03</v>
      </c>
      <c r="AA382" s="145">
        <v>0.38</v>
      </c>
      <c r="AB382" s="145">
        <v>10.5</v>
      </c>
      <c r="AC382" s="145">
        <v>0.42</v>
      </c>
      <c r="AD382" s="145" t="s">
        <v>400</v>
      </c>
      <c r="AE382" s="145">
        <v>4</v>
      </c>
      <c r="AF382" s="145" t="s">
        <v>400</v>
      </c>
      <c r="AG382" s="145">
        <v>0.39</v>
      </c>
      <c r="AH382" s="145" t="s">
        <v>400</v>
      </c>
      <c r="AI382" s="145">
        <v>212</v>
      </c>
      <c r="AJ382" s="145">
        <v>0.2</v>
      </c>
      <c r="AK382" s="145" t="s">
        <v>400</v>
      </c>
      <c r="AL382" s="145">
        <v>1.18</v>
      </c>
      <c r="AM382" s="145" t="s">
        <v>400</v>
      </c>
    </row>
    <row r="383" spans="1:39">
      <c r="A383" s="143" t="s">
        <v>1442</v>
      </c>
      <c r="B383" s="144">
        <v>100</v>
      </c>
      <c r="C383" s="145">
        <v>28</v>
      </c>
      <c r="D383" s="145">
        <v>2.52</v>
      </c>
      <c r="E383" s="145">
        <v>0.62</v>
      </c>
      <c r="F383" s="145">
        <v>0.13</v>
      </c>
      <c r="G383" s="145">
        <v>0.1</v>
      </c>
      <c r="H383" s="145">
        <v>0.2</v>
      </c>
      <c r="I383" s="145">
        <v>0.18</v>
      </c>
      <c r="J383" s="145">
        <v>0.02</v>
      </c>
      <c r="K383" s="145" t="s">
        <v>400</v>
      </c>
      <c r="L383" s="145">
        <v>4.62</v>
      </c>
      <c r="M383" s="145">
        <v>2.4</v>
      </c>
      <c r="N383" s="145">
        <v>58</v>
      </c>
      <c r="O383" s="145">
        <v>38</v>
      </c>
      <c r="P383" s="145">
        <v>1.39</v>
      </c>
      <c r="Q383" s="145">
        <v>65</v>
      </c>
      <c r="R383" s="145">
        <v>3.13</v>
      </c>
      <c r="S383" s="145">
        <v>426</v>
      </c>
      <c r="T383" s="145">
        <v>177</v>
      </c>
      <c r="U383" s="145">
        <v>0.13</v>
      </c>
      <c r="V383" s="145">
        <v>1.1499999999999999</v>
      </c>
      <c r="W383" s="145" t="s">
        <v>400</v>
      </c>
      <c r="X383" s="145">
        <v>0.01</v>
      </c>
      <c r="Y383" s="145">
        <v>0.06</v>
      </c>
      <c r="Z383" s="145">
        <v>0.02</v>
      </c>
      <c r="AA383" s="145">
        <v>0.44</v>
      </c>
      <c r="AB383" s="145">
        <v>7.9</v>
      </c>
      <c r="AC383" s="145">
        <v>0.82</v>
      </c>
      <c r="AD383" s="145" t="s">
        <v>400</v>
      </c>
      <c r="AE383" s="145">
        <v>39</v>
      </c>
      <c r="AF383" s="145" t="s">
        <v>400</v>
      </c>
      <c r="AG383" s="145">
        <v>0.5</v>
      </c>
      <c r="AH383" s="145" t="s">
        <v>400</v>
      </c>
      <c r="AI383" s="145" t="s">
        <v>400</v>
      </c>
      <c r="AJ383" s="145">
        <v>0.7</v>
      </c>
      <c r="AK383" s="145" t="s">
        <v>400</v>
      </c>
      <c r="AL383" s="145" t="s">
        <v>400</v>
      </c>
      <c r="AM383" s="145" t="s">
        <v>400</v>
      </c>
    </row>
    <row r="384" spans="1:39">
      <c r="A384" s="143" t="s">
        <v>1443</v>
      </c>
      <c r="B384" s="144">
        <v>100</v>
      </c>
      <c r="C384" s="145">
        <v>28</v>
      </c>
      <c r="D384" s="145">
        <v>2.52</v>
      </c>
      <c r="E384" s="145">
        <v>0.62</v>
      </c>
      <c r="F384" s="145">
        <v>0.13</v>
      </c>
      <c r="G384" s="145">
        <v>0.1</v>
      </c>
      <c r="H384" s="145">
        <v>0.2</v>
      </c>
      <c r="I384" s="145">
        <v>0.18</v>
      </c>
      <c r="J384" s="145">
        <v>0.02</v>
      </c>
      <c r="K384" s="145" t="s">
        <v>400</v>
      </c>
      <c r="L384" s="145">
        <v>4.62</v>
      </c>
      <c r="M384" s="145">
        <v>2.4</v>
      </c>
      <c r="N384" s="145">
        <v>58</v>
      </c>
      <c r="O384" s="145">
        <v>38</v>
      </c>
      <c r="P384" s="145">
        <v>1.39</v>
      </c>
      <c r="Q384" s="145">
        <v>65</v>
      </c>
      <c r="R384" s="145">
        <v>3.13</v>
      </c>
      <c r="S384" s="145">
        <v>426</v>
      </c>
      <c r="T384" s="145">
        <v>177</v>
      </c>
      <c r="U384" s="145">
        <v>0.13</v>
      </c>
      <c r="V384" s="145">
        <v>1.1499999999999999</v>
      </c>
      <c r="W384" s="145" t="s">
        <v>400</v>
      </c>
      <c r="X384" s="145">
        <v>0.01</v>
      </c>
      <c r="Y384" s="145">
        <v>0.06</v>
      </c>
      <c r="Z384" s="145">
        <v>0.02</v>
      </c>
      <c r="AA384" s="145">
        <v>0.44</v>
      </c>
      <c r="AB384" s="145">
        <v>7.9</v>
      </c>
      <c r="AC384" s="145">
        <v>0.82</v>
      </c>
      <c r="AD384" s="145" t="s">
        <v>400</v>
      </c>
      <c r="AE384" s="145">
        <v>39</v>
      </c>
      <c r="AF384" s="145" t="s">
        <v>400</v>
      </c>
      <c r="AG384" s="145">
        <v>0.5</v>
      </c>
      <c r="AH384" s="145" t="s">
        <v>400</v>
      </c>
      <c r="AI384" s="145" t="s">
        <v>400</v>
      </c>
      <c r="AJ384" s="145">
        <v>0.7</v>
      </c>
      <c r="AK384" s="145" t="s">
        <v>400</v>
      </c>
      <c r="AL384" s="145" t="s">
        <v>400</v>
      </c>
      <c r="AM384" s="145" t="s">
        <v>400</v>
      </c>
    </row>
    <row r="385" spans="1:39">
      <c r="A385" s="143" t="s">
        <v>1444</v>
      </c>
      <c r="B385" s="144">
        <v>100</v>
      </c>
      <c r="C385" s="145">
        <v>28</v>
      </c>
      <c r="D385" s="145">
        <v>2.52</v>
      </c>
      <c r="E385" s="145">
        <v>0.62</v>
      </c>
      <c r="F385" s="145">
        <v>0.13</v>
      </c>
      <c r="G385" s="145">
        <v>0.1</v>
      </c>
      <c r="H385" s="145">
        <v>0.2</v>
      </c>
      <c r="I385" s="145">
        <v>0.18</v>
      </c>
      <c r="J385" s="145">
        <v>0.02</v>
      </c>
      <c r="K385" s="145" t="s">
        <v>400</v>
      </c>
      <c r="L385" s="145">
        <v>4.62</v>
      </c>
      <c r="M385" s="145">
        <v>2.4</v>
      </c>
      <c r="N385" s="145">
        <v>58</v>
      </c>
      <c r="O385" s="145">
        <v>38</v>
      </c>
      <c r="P385" s="145">
        <v>1.39</v>
      </c>
      <c r="Q385" s="145">
        <v>65</v>
      </c>
      <c r="R385" s="145">
        <v>3.13</v>
      </c>
      <c r="S385" s="145">
        <v>426</v>
      </c>
      <c r="T385" s="145">
        <v>177</v>
      </c>
      <c r="U385" s="145">
        <v>0.13</v>
      </c>
      <c r="V385" s="145">
        <v>1.1499999999999999</v>
      </c>
      <c r="W385" s="145" t="s">
        <v>400</v>
      </c>
      <c r="X385" s="145">
        <v>0.01</v>
      </c>
      <c r="Y385" s="145">
        <v>0.06</v>
      </c>
      <c r="Z385" s="145">
        <v>0.02</v>
      </c>
      <c r="AA385" s="145">
        <v>0.44</v>
      </c>
      <c r="AB385" s="145">
        <v>7.9</v>
      </c>
      <c r="AC385" s="145">
        <v>0.82</v>
      </c>
      <c r="AD385" s="145" t="s">
        <v>400</v>
      </c>
      <c r="AE385" s="145">
        <v>39</v>
      </c>
      <c r="AF385" s="145" t="s">
        <v>400</v>
      </c>
      <c r="AG385" s="145">
        <v>0.5</v>
      </c>
      <c r="AH385" s="145" t="s">
        <v>400</v>
      </c>
      <c r="AI385" s="145" t="s">
        <v>400</v>
      </c>
      <c r="AJ385" s="145">
        <v>0.7</v>
      </c>
      <c r="AK385" s="145" t="s">
        <v>400</v>
      </c>
      <c r="AL385" s="145" t="s">
        <v>400</v>
      </c>
      <c r="AM385" s="145" t="s">
        <v>400</v>
      </c>
    </row>
    <row r="386" spans="1:39">
      <c r="A386" s="143" t="s">
        <v>1445</v>
      </c>
      <c r="B386" s="144">
        <v>100</v>
      </c>
      <c r="C386" s="145">
        <v>28</v>
      </c>
      <c r="D386" s="145">
        <v>2.52</v>
      </c>
      <c r="E386" s="145">
        <v>0.62</v>
      </c>
      <c r="F386" s="145">
        <v>0.13</v>
      </c>
      <c r="G386" s="145">
        <v>0.1</v>
      </c>
      <c r="H386" s="145">
        <v>0.2</v>
      </c>
      <c r="I386" s="145">
        <v>0.18</v>
      </c>
      <c r="J386" s="145">
        <v>0.02</v>
      </c>
      <c r="K386" s="145" t="s">
        <v>400</v>
      </c>
      <c r="L386" s="145">
        <v>4.62</v>
      </c>
      <c r="M386" s="145">
        <v>2.4</v>
      </c>
      <c r="N386" s="145">
        <v>58</v>
      </c>
      <c r="O386" s="145">
        <v>38</v>
      </c>
      <c r="P386" s="145">
        <v>1.39</v>
      </c>
      <c r="Q386" s="145">
        <v>65</v>
      </c>
      <c r="R386" s="145">
        <v>3.13</v>
      </c>
      <c r="S386" s="145">
        <v>426</v>
      </c>
      <c r="T386" s="145">
        <v>177</v>
      </c>
      <c r="U386" s="145">
        <v>0.13</v>
      </c>
      <c r="V386" s="145">
        <v>1.1499999999999999</v>
      </c>
      <c r="W386" s="145" t="s">
        <v>400</v>
      </c>
      <c r="X386" s="145">
        <v>0.01</v>
      </c>
      <c r="Y386" s="145">
        <v>0.06</v>
      </c>
      <c r="Z386" s="145">
        <v>0.02</v>
      </c>
      <c r="AA386" s="145">
        <v>0.44</v>
      </c>
      <c r="AB386" s="145">
        <v>7.9</v>
      </c>
      <c r="AC386" s="145">
        <v>0.82</v>
      </c>
      <c r="AD386" s="145" t="s">
        <v>400</v>
      </c>
      <c r="AE386" s="145">
        <v>39</v>
      </c>
      <c r="AF386" s="145" t="s">
        <v>400</v>
      </c>
      <c r="AG386" s="145">
        <v>0.5</v>
      </c>
      <c r="AH386" s="145" t="s">
        <v>400</v>
      </c>
      <c r="AI386" s="145" t="s">
        <v>400</v>
      </c>
      <c r="AJ386" s="145">
        <v>0.7</v>
      </c>
      <c r="AK386" s="145" t="s">
        <v>400</v>
      </c>
      <c r="AL386" s="145" t="s">
        <v>400</v>
      </c>
      <c r="AM386" s="145" t="s">
        <v>400</v>
      </c>
    </row>
    <row r="387" spans="1:39">
      <c r="A387" s="143" t="s">
        <v>1446</v>
      </c>
      <c r="B387" s="144">
        <v>100</v>
      </c>
      <c r="C387" s="145">
        <v>28</v>
      </c>
      <c r="D387" s="145">
        <v>2.52</v>
      </c>
      <c r="E387" s="145">
        <v>0.62</v>
      </c>
      <c r="F387" s="145">
        <v>0.13</v>
      </c>
      <c r="G387" s="145">
        <v>0.1</v>
      </c>
      <c r="H387" s="145">
        <v>0.2</v>
      </c>
      <c r="I387" s="145">
        <v>0.18</v>
      </c>
      <c r="J387" s="145">
        <v>0.02</v>
      </c>
      <c r="K387" s="145" t="s">
        <v>400</v>
      </c>
      <c r="L387" s="145">
        <v>4.62</v>
      </c>
      <c r="M387" s="145">
        <v>2.4</v>
      </c>
      <c r="N387" s="145">
        <v>58</v>
      </c>
      <c r="O387" s="145">
        <v>38</v>
      </c>
      <c r="P387" s="145">
        <v>1.39</v>
      </c>
      <c r="Q387" s="145">
        <v>65</v>
      </c>
      <c r="R387" s="145">
        <v>3.13</v>
      </c>
      <c r="S387" s="145">
        <v>426</v>
      </c>
      <c r="T387" s="145">
        <v>177</v>
      </c>
      <c r="U387" s="145">
        <v>0.13</v>
      </c>
      <c r="V387" s="145">
        <v>1.1499999999999999</v>
      </c>
      <c r="W387" s="145" t="s">
        <v>400</v>
      </c>
      <c r="X387" s="145">
        <v>0.01</v>
      </c>
      <c r="Y387" s="145">
        <v>0.06</v>
      </c>
      <c r="Z387" s="145">
        <v>0.02</v>
      </c>
      <c r="AA387" s="145">
        <v>0.44</v>
      </c>
      <c r="AB387" s="145">
        <v>7.9</v>
      </c>
      <c r="AC387" s="145">
        <v>0.82</v>
      </c>
      <c r="AD387" s="145" t="s">
        <v>400</v>
      </c>
      <c r="AE387" s="145">
        <v>39</v>
      </c>
      <c r="AF387" s="145" t="s">
        <v>400</v>
      </c>
      <c r="AG387" s="145">
        <v>0.5</v>
      </c>
      <c r="AH387" s="145" t="s">
        <v>400</v>
      </c>
      <c r="AI387" s="145" t="s">
        <v>400</v>
      </c>
      <c r="AJ387" s="145">
        <v>0.7</v>
      </c>
      <c r="AK387" s="145" t="s">
        <v>400</v>
      </c>
      <c r="AL387" s="145" t="s">
        <v>400</v>
      </c>
      <c r="AM387" s="145" t="s">
        <v>400</v>
      </c>
    </row>
    <row r="388" spans="1:39">
      <c r="A388" s="143" t="s">
        <v>1447</v>
      </c>
      <c r="B388" s="144">
        <v>100</v>
      </c>
      <c r="C388" s="145">
        <v>28</v>
      </c>
      <c r="D388" s="145">
        <v>2.52</v>
      </c>
      <c r="E388" s="145">
        <v>0.62</v>
      </c>
      <c r="F388" s="145">
        <v>0.13</v>
      </c>
      <c r="G388" s="145">
        <v>0.1</v>
      </c>
      <c r="H388" s="145">
        <v>0.2</v>
      </c>
      <c r="I388" s="145">
        <v>0.18</v>
      </c>
      <c r="J388" s="145">
        <v>0.02</v>
      </c>
      <c r="K388" s="145" t="s">
        <v>400</v>
      </c>
      <c r="L388" s="145">
        <v>4.62</v>
      </c>
      <c r="M388" s="145">
        <v>2.4</v>
      </c>
      <c r="N388" s="145">
        <v>58</v>
      </c>
      <c r="O388" s="145">
        <v>38</v>
      </c>
      <c r="P388" s="145">
        <v>1.39</v>
      </c>
      <c r="Q388" s="145">
        <v>65</v>
      </c>
      <c r="R388" s="145">
        <v>3.13</v>
      </c>
      <c r="S388" s="145">
        <v>426</v>
      </c>
      <c r="T388" s="145">
        <v>177</v>
      </c>
      <c r="U388" s="145">
        <v>0.13</v>
      </c>
      <c r="V388" s="145">
        <v>1.1499999999999999</v>
      </c>
      <c r="W388" s="145" t="s">
        <v>400</v>
      </c>
      <c r="X388" s="145">
        <v>0.01</v>
      </c>
      <c r="Y388" s="145">
        <v>0.06</v>
      </c>
      <c r="Z388" s="145">
        <v>0.02</v>
      </c>
      <c r="AA388" s="145">
        <v>0.44</v>
      </c>
      <c r="AB388" s="145">
        <v>7.9</v>
      </c>
      <c r="AC388" s="145">
        <v>0.82</v>
      </c>
      <c r="AD388" s="145" t="s">
        <v>400</v>
      </c>
      <c r="AE388" s="145">
        <v>39</v>
      </c>
      <c r="AF388" s="145" t="s">
        <v>400</v>
      </c>
      <c r="AG388" s="145">
        <v>0.5</v>
      </c>
      <c r="AH388" s="145" t="s">
        <v>400</v>
      </c>
      <c r="AI388" s="145" t="s">
        <v>400</v>
      </c>
      <c r="AJ388" s="145">
        <v>0.7</v>
      </c>
      <c r="AK388" s="145" t="s">
        <v>400</v>
      </c>
      <c r="AL388" s="145" t="s">
        <v>400</v>
      </c>
      <c r="AM388" s="145" t="s">
        <v>400</v>
      </c>
    </row>
    <row r="389" spans="1:39">
      <c r="A389" s="143" t="s">
        <v>1448</v>
      </c>
      <c r="B389" s="144">
        <v>100</v>
      </c>
      <c r="C389" s="145">
        <v>28</v>
      </c>
      <c r="D389" s="145">
        <v>2.52</v>
      </c>
      <c r="E389" s="145">
        <v>0.62</v>
      </c>
      <c r="F389" s="145">
        <v>0.13</v>
      </c>
      <c r="G389" s="145">
        <v>0.1</v>
      </c>
      <c r="H389" s="145">
        <v>0.2</v>
      </c>
      <c r="I389" s="145">
        <v>0.18</v>
      </c>
      <c r="J389" s="145">
        <v>0.02</v>
      </c>
      <c r="K389" s="145" t="s">
        <v>400</v>
      </c>
      <c r="L389" s="145">
        <v>4.62</v>
      </c>
      <c r="M389" s="145">
        <v>2.4</v>
      </c>
      <c r="N389" s="145">
        <v>58</v>
      </c>
      <c r="O389" s="145">
        <v>38</v>
      </c>
      <c r="P389" s="145">
        <v>1.39</v>
      </c>
      <c r="Q389" s="145">
        <v>65</v>
      </c>
      <c r="R389" s="145">
        <v>3.13</v>
      </c>
      <c r="S389" s="145">
        <v>426</v>
      </c>
      <c r="T389" s="145">
        <v>177</v>
      </c>
      <c r="U389" s="145">
        <v>0.13</v>
      </c>
      <c r="V389" s="145">
        <v>1.1499999999999999</v>
      </c>
      <c r="W389" s="145" t="s">
        <v>400</v>
      </c>
      <c r="X389" s="145">
        <v>0.01</v>
      </c>
      <c r="Y389" s="145">
        <v>0.06</v>
      </c>
      <c r="Z389" s="145">
        <v>0.02</v>
      </c>
      <c r="AA389" s="145">
        <v>0.44</v>
      </c>
      <c r="AB389" s="145">
        <v>7.9</v>
      </c>
      <c r="AC389" s="145">
        <v>0.82</v>
      </c>
      <c r="AD389" s="145" t="s">
        <v>400</v>
      </c>
      <c r="AE389" s="145">
        <v>39</v>
      </c>
      <c r="AF389" s="145" t="s">
        <v>400</v>
      </c>
      <c r="AG389" s="145">
        <v>0.5</v>
      </c>
      <c r="AH389" s="145" t="s">
        <v>400</v>
      </c>
      <c r="AI389" s="145" t="s">
        <v>400</v>
      </c>
      <c r="AJ389" s="145">
        <v>0.7</v>
      </c>
      <c r="AK389" s="145" t="s">
        <v>400</v>
      </c>
      <c r="AL389" s="145" t="s">
        <v>400</v>
      </c>
      <c r="AM389" s="145" t="s">
        <v>400</v>
      </c>
    </row>
    <row r="390" spans="1:39">
      <c r="A390" s="143" t="s">
        <v>1449</v>
      </c>
      <c r="B390" s="144">
        <v>100</v>
      </c>
      <c r="C390" s="145">
        <v>28</v>
      </c>
      <c r="D390" s="145">
        <v>2.52</v>
      </c>
      <c r="E390" s="145">
        <v>0.62</v>
      </c>
      <c r="F390" s="145">
        <v>0.13</v>
      </c>
      <c r="G390" s="145">
        <v>0.1</v>
      </c>
      <c r="H390" s="145">
        <v>0.2</v>
      </c>
      <c r="I390" s="145">
        <v>0.18</v>
      </c>
      <c r="J390" s="145">
        <v>0.02</v>
      </c>
      <c r="K390" s="145" t="s">
        <v>400</v>
      </c>
      <c r="L390" s="145">
        <v>4.62</v>
      </c>
      <c r="M390" s="145">
        <v>2.4</v>
      </c>
      <c r="N390" s="145">
        <v>58</v>
      </c>
      <c r="O390" s="145">
        <v>38</v>
      </c>
      <c r="P390" s="145">
        <v>1.39</v>
      </c>
      <c r="Q390" s="145">
        <v>65</v>
      </c>
      <c r="R390" s="145">
        <v>3.13</v>
      </c>
      <c r="S390" s="145">
        <v>426</v>
      </c>
      <c r="T390" s="145">
        <v>177</v>
      </c>
      <c r="U390" s="145">
        <v>0.13</v>
      </c>
      <c r="V390" s="145">
        <v>1.1499999999999999</v>
      </c>
      <c r="W390" s="145" t="s">
        <v>400</v>
      </c>
      <c r="X390" s="145">
        <v>0.01</v>
      </c>
      <c r="Y390" s="145">
        <v>0.06</v>
      </c>
      <c r="Z390" s="145">
        <v>0.02</v>
      </c>
      <c r="AA390" s="145">
        <v>0.44</v>
      </c>
      <c r="AB390" s="145">
        <v>7.9</v>
      </c>
      <c r="AC390" s="145">
        <v>0.82</v>
      </c>
      <c r="AD390" s="145" t="s">
        <v>400</v>
      </c>
      <c r="AE390" s="145">
        <v>39</v>
      </c>
      <c r="AF390" s="145" t="s">
        <v>400</v>
      </c>
      <c r="AG390" s="145">
        <v>0.5</v>
      </c>
      <c r="AH390" s="145" t="s">
        <v>400</v>
      </c>
      <c r="AI390" s="145" t="s">
        <v>400</v>
      </c>
      <c r="AJ390" s="145">
        <v>0.7</v>
      </c>
      <c r="AK390" s="145" t="s">
        <v>400</v>
      </c>
      <c r="AL390" s="145" t="s">
        <v>400</v>
      </c>
      <c r="AM390" s="145" t="s">
        <v>400</v>
      </c>
    </row>
    <row r="391" spans="1:39">
      <c r="A391" s="143" t="s">
        <v>1450</v>
      </c>
      <c r="B391" s="144">
        <v>100</v>
      </c>
      <c r="C391" s="145">
        <v>28</v>
      </c>
      <c r="D391" s="145">
        <v>2.52</v>
      </c>
      <c r="E391" s="145">
        <v>0.62</v>
      </c>
      <c r="F391" s="145">
        <v>0.13</v>
      </c>
      <c r="G391" s="145">
        <v>0.1</v>
      </c>
      <c r="H391" s="145">
        <v>0.2</v>
      </c>
      <c r="I391" s="145">
        <v>0.18</v>
      </c>
      <c r="J391" s="145">
        <v>0.02</v>
      </c>
      <c r="K391" s="145" t="s">
        <v>400</v>
      </c>
      <c r="L391" s="145">
        <v>4.62</v>
      </c>
      <c r="M391" s="145">
        <v>2.4</v>
      </c>
      <c r="N391" s="145">
        <v>58</v>
      </c>
      <c r="O391" s="145">
        <v>38</v>
      </c>
      <c r="P391" s="145">
        <v>1.39</v>
      </c>
      <c r="Q391" s="145">
        <v>65</v>
      </c>
      <c r="R391" s="145">
        <v>3.13</v>
      </c>
      <c r="S391" s="145">
        <v>426</v>
      </c>
      <c r="T391" s="145">
        <v>177</v>
      </c>
      <c r="U391" s="145">
        <v>0.13</v>
      </c>
      <c r="V391" s="145">
        <v>1.1499999999999999</v>
      </c>
      <c r="W391" s="145" t="s">
        <v>400</v>
      </c>
      <c r="X391" s="145">
        <v>0.01</v>
      </c>
      <c r="Y391" s="145">
        <v>0.06</v>
      </c>
      <c r="Z391" s="145">
        <v>0.02</v>
      </c>
      <c r="AA391" s="145">
        <v>0.44</v>
      </c>
      <c r="AB391" s="145">
        <v>7.9</v>
      </c>
      <c r="AC391" s="145">
        <v>0.82</v>
      </c>
      <c r="AD391" s="145" t="s">
        <v>400</v>
      </c>
      <c r="AE391" s="145">
        <v>39</v>
      </c>
      <c r="AF391" s="145" t="s">
        <v>400</v>
      </c>
      <c r="AG391" s="145">
        <v>0.5</v>
      </c>
      <c r="AH391" s="145" t="s">
        <v>400</v>
      </c>
      <c r="AI391" s="145" t="s">
        <v>400</v>
      </c>
      <c r="AJ391" s="145">
        <v>0.7</v>
      </c>
      <c r="AK391" s="145" t="s">
        <v>400</v>
      </c>
      <c r="AL391" s="145" t="s">
        <v>400</v>
      </c>
      <c r="AM391" s="145" t="s">
        <v>400</v>
      </c>
    </row>
    <row r="392" spans="1:39">
      <c r="A392" s="143" t="s">
        <v>1451</v>
      </c>
      <c r="B392" s="144">
        <v>100</v>
      </c>
      <c r="C392" s="145">
        <v>20</v>
      </c>
      <c r="D392" s="145">
        <v>0.86</v>
      </c>
      <c r="E392" s="145">
        <v>0.17</v>
      </c>
      <c r="F392" s="145">
        <v>0.06</v>
      </c>
      <c r="G392" s="145">
        <v>0.01</v>
      </c>
      <c r="H392" s="145">
        <v>0.06</v>
      </c>
      <c r="I392" s="145">
        <v>0.05</v>
      </c>
      <c r="J392" s="145">
        <v>0.01</v>
      </c>
      <c r="K392" s="145" t="s">
        <v>400</v>
      </c>
      <c r="L392" s="145">
        <v>4.6399999999999997</v>
      </c>
      <c r="M392" s="145">
        <v>1.7</v>
      </c>
      <c r="N392" s="145">
        <v>10</v>
      </c>
      <c r="O392" s="145">
        <v>10</v>
      </c>
      <c r="P392" s="145">
        <v>0.12</v>
      </c>
      <c r="Q392" s="145">
        <v>20</v>
      </c>
      <c r="R392" s="145">
        <v>0.34</v>
      </c>
      <c r="S392" s="145">
        <v>3</v>
      </c>
      <c r="T392" s="145">
        <v>175</v>
      </c>
      <c r="U392" s="145">
        <v>7.0000000000000007E-2</v>
      </c>
      <c r="V392" s="145">
        <v>0.13</v>
      </c>
      <c r="W392" s="145" t="s">
        <v>400</v>
      </c>
      <c r="X392" s="145">
        <v>0.06</v>
      </c>
      <c r="Y392" s="145">
        <v>0.03</v>
      </c>
      <c r="Z392" s="145">
        <v>0.22</v>
      </c>
      <c r="AA392" s="145">
        <v>0.48</v>
      </c>
      <c r="AB392" s="145">
        <v>80.400000000000006</v>
      </c>
      <c r="AC392" s="145">
        <v>0.68</v>
      </c>
      <c r="AD392" s="145" t="s">
        <v>400</v>
      </c>
      <c r="AE392" s="145">
        <v>10</v>
      </c>
      <c r="AF392" s="145" t="s">
        <v>400</v>
      </c>
      <c r="AG392" s="145">
        <v>0.08</v>
      </c>
      <c r="AH392" s="145" t="s">
        <v>400</v>
      </c>
      <c r="AI392" s="145" t="s">
        <v>400</v>
      </c>
      <c r="AJ392" s="145" t="s">
        <v>400</v>
      </c>
      <c r="AK392" s="145">
        <v>18.5</v>
      </c>
      <c r="AL392" s="145">
        <v>2.39</v>
      </c>
      <c r="AM392" s="145" t="s">
        <v>400</v>
      </c>
    </row>
    <row r="393" spans="1:39">
      <c r="A393" s="143" t="s">
        <v>1452</v>
      </c>
      <c r="B393" s="144">
        <v>100</v>
      </c>
      <c r="C393" s="145">
        <v>22</v>
      </c>
      <c r="D393" s="145">
        <v>1.87</v>
      </c>
      <c r="E393" s="145">
        <v>0.21</v>
      </c>
      <c r="F393" s="145">
        <v>4.4999999999999998E-2</v>
      </c>
      <c r="G393" s="145">
        <v>2.8000000000000001E-2</v>
      </c>
      <c r="H393" s="145">
        <v>4.5999999999999999E-2</v>
      </c>
      <c r="I393" s="145">
        <v>4.4999999999999998E-2</v>
      </c>
      <c r="J393" s="145">
        <v>1E-3</v>
      </c>
      <c r="K393" s="145" t="s">
        <v>400</v>
      </c>
      <c r="L393" s="145">
        <v>4.51</v>
      </c>
      <c r="M393" s="145">
        <v>2.5</v>
      </c>
      <c r="N393" s="145">
        <v>77</v>
      </c>
      <c r="O393" s="145">
        <v>36</v>
      </c>
      <c r="P393" s="145">
        <v>0.29399999999999998</v>
      </c>
      <c r="Q393" s="145">
        <v>32</v>
      </c>
      <c r="R393" s="145">
        <v>0.28000000000000003</v>
      </c>
      <c r="S393" s="145">
        <v>6</v>
      </c>
      <c r="T393" s="145">
        <v>135</v>
      </c>
      <c r="U393" s="145">
        <v>8.5000000000000006E-2</v>
      </c>
      <c r="V393" s="145">
        <v>0.43</v>
      </c>
      <c r="W393" s="145" t="s">
        <v>400</v>
      </c>
      <c r="X393" s="145">
        <v>0.13200000000000001</v>
      </c>
      <c r="Y393" s="145">
        <v>5.5E-2</v>
      </c>
      <c r="Z393" s="146">
        <v>0.187</v>
      </c>
      <c r="AA393" s="145">
        <v>0.871</v>
      </c>
      <c r="AB393" s="145">
        <v>16.3</v>
      </c>
      <c r="AC393" s="145">
        <v>1.1379999999999999</v>
      </c>
      <c r="AD393" s="145" t="s">
        <v>400</v>
      </c>
      <c r="AE393" s="145">
        <v>46</v>
      </c>
      <c r="AF393" s="145" t="s">
        <v>400</v>
      </c>
      <c r="AG393" s="145">
        <v>0.27</v>
      </c>
      <c r="AH393" s="145" t="s">
        <v>400</v>
      </c>
      <c r="AI393" s="145">
        <v>236</v>
      </c>
      <c r="AJ393" s="145">
        <v>0.4</v>
      </c>
      <c r="AK393" s="145">
        <v>14.167</v>
      </c>
      <c r="AL393" s="145">
        <v>2.2549999999999999</v>
      </c>
      <c r="AM393" s="145" t="s">
        <v>400</v>
      </c>
    </row>
    <row r="394" spans="1:39">
      <c r="A394" s="143" t="s">
        <v>1453</v>
      </c>
      <c r="B394" s="144">
        <v>100</v>
      </c>
      <c r="C394" s="145">
        <v>22</v>
      </c>
      <c r="D394" s="145">
        <v>1.87</v>
      </c>
      <c r="E394" s="145">
        <v>0.21</v>
      </c>
      <c r="F394" s="145">
        <v>4.4999999999999998E-2</v>
      </c>
      <c r="G394" s="145">
        <v>2.8000000000000001E-2</v>
      </c>
      <c r="H394" s="145">
        <v>4.5999999999999999E-2</v>
      </c>
      <c r="I394" s="145">
        <v>4.4999999999999998E-2</v>
      </c>
      <c r="J394" s="145">
        <v>1E-3</v>
      </c>
      <c r="K394" s="145" t="s">
        <v>400</v>
      </c>
      <c r="L394" s="145">
        <v>4.51</v>
      </c>
      <c r="M394" s="145">
        <v>2.5</v>
      </c>
      <c r="N394" s="145">
        <v>77</v>
      </c>
      <c r="O394" s="145">
        <v>36</v>
      </c>
      <c r="P394" s="145">
        <v>0.29399999999999998</v>
      </c>
      <c r="Q394" s="145">
        <v>32</v>
      </c>
      <c r="R394" s="145">
        <v>0.28000000000000003</v>
      </c>
      <c r="S394" s="145">
        <v>6</v>
      </c>
      <c r="T394" s="145">
        <v>135</v>
      </c>
      <c r="U394" s="145">
        <v>8.5000000000000006E-2</v>
      </c>
      <c r="V394" s="145">
        <v>0.43</v>
      </c>
      <c r="W394" s="145" t="s">
        <v>400</v>
      </c>
      <c r="X394" s="145">
        <v>0.13200000000000001</v>
      </c>
      <c r="Y394" s="145">
        <v>5.5E-2</v>
      </c>
      <c r="Z394" s="146">
        <v>0.187</v>
      </c>
      <c r="AA394" s="145">
        <v>0.871</v>
      </c>
      <c r="AB394" s="145">
        <v>16.3</v>
      </c>
      <c r="AC394" s="145">
        <v>1.1379999999999999</v>
      </c>
      <c r="AD394" s="145" t="s">
        <v>400</v>
      </c>
      <c r="AE394" s="145">
        <v>46</v>
      </c>
      <c r="AF394" s="145" t="s">
        <v>400</v>
      </c>
      <c r="AG394" s="145">
        <v>0.27</v>
      </c>
      <c r="AH394" s="145" t="s">
        <v>400</v>
      </c>
      <c r="AI394" s="145">
        <v>236</v>
      </c>
      <c r="AJ394" s="145">
        <v>0.4</v>
      </c>
      <c r="AK394" s="145">
        <v>14.167</v>
      </c>
      <c r="AL394" s="145">
        <v>2.2549999999999999</v>
      </c>
      <c r="AM394" s="145" t="s">
        <v>400</v>
      </c>
    </row>
    <row r="395" spans="1:39">
      <c r="A395" s="143" t="s">
        <v>1454</v>
      </c>
      <c r="B395" s="144">
        <v>100</v>
      </c>
      <c r="C395" s="145">
        <v>47.093000000000004</v>
      </c>
      <c r="D395" s="145">
        <v>1.87</v>
      </c>
      <c r="E395" s="145">
        <v>3.0489999999999999</v>
      </c>
      <c r="F395" s="145">
        <v>0.48899999999999999</v>
      </c>
      <c r="G395" s="145">
        <v>0.67500000000000004</v>
      </c>
      <c r="H395" s="145">
        <v>1.6850000000000001</v>
      </c>
      <c r="I395" s="145">
        <v>1.4910000000000001</v>
      </c>
      <c r="J395" s="145">
        <v>0.19400000000000001</v>
      </c>
      <c r="K395" s="145" t="s">
        <v>400</v>
      </c>
      <c r="L395" s="145">
        <v>4.51</v>
      </c>
      <c r="M395" s="145">
        <v>2.5</v>
      </c>
      <c r="N395" s="145">
        <v>77</v>
      </c>
      <c r="O395" s="145">
        <v>36</v>
      </c>
      <c r="P395" s="145">
        <v>0.29399999999999998</v>
      </c>
      <c r="Q395" s="145">
        <v>32</v>
      </c>
      <c r="R395" s="145">
        <v>0.28100000000000003</v>
      </c>
      <c r="S395" s="145">
        <v>6</v>
      </c>
      <c r="T395" s="145">
        <v>135</v>
      </c>
      <c r="U395" s="145">
        <v>8.5000000000000006E-2</v>
      </c>
      <c r="V395" s="145">
        <v>0.43</v>
      </c>
      <c r="W395" s="145" t="s">
        <v>400</v>
      </c>
      <c r="X395" s="145">
        <v>0.13200000000000001</v>
      </c>
      <c r="Y395" s="145">
        <v>5.5E-2</v>
      </c>
      <c r="Z395" s="146">
        <v>0.187</v>
      </c>
      <c r="AA395" s="145">
        <v>0.871</v>
      </c>
      <c r="AB395" s="145">
        <v>16.3</v>
      </c>
      <c r="AC395" s="145">
        <v>1.1379999999999999</v>
      </c>
      <c r="AD395" s="145" t="s">
        <v>400</v>
      </c>
      <c r="AE395" s="145">
        <v>46</v>
      </c>
      <c r="AF395" s="145" t="s">
        <v>400</v>
      </c>
      <c r="AG395" s="145">
        <v>0.502</v>
      </c>
      <c r="AH395" s="145">
        <v>1.4999999999999999E-2</v>
      </c>
      <c r="AI395" s="145">
        <v>236</v>
      </c>
      <c r="AJ395" s="145">
        <v>1.7010000000000001</v>
      </c>
      <c r="AK395" s="145">
        <v>14.167</v>
      </c>
      <c r="AL395" s="145">
        <v>2.2549999999999999</v>
      </c>
      <c r="AM395" s="145" t="s">
        <v>400</v>
      </c>
    </row>
    <row r="396" spans="1:39">
      <c r="A396" s="143" t="s">
        <v>1455</v>
      </c>
      <c r="B396" s="144">
        <v>100</v>
      </c>
      <c r="C396" s="145">
        <v>47.093000000000004</v>
      </c>
      <c r="D396" s="145">
        <v>1.87</v>
      </c>
      <c r="E396" s="145">
        <v>3.0489999999999999</v>
      </c>
      <c r="F396" s="145">
        <v>0.48899999999999999</v>
      </c>
      <c r="G396" s="145">
        <v>0.67500000000000004</v>
      </c>
      <c r="H396" s="145">
        <v>1.6850000000000001</v>
      </c>
      <c r="I396" s="145">
        <v>1.4910000000000001</v>
      </c>
      <c r="J396" s="145">
        <v>0.19400000000000001</v>
      </c>
      <c r="K396" s="145" t="s">
        <v>400</v>
      </c>
      <c r="L396" s="145">
        <v>4.51</v>
      </c>
      <c r="M396" s="145">
        <v>2.5</v>
      </c>
      <c r="N396" s="145">
        <v>77</v>
      </c>
      <c r="O396" s="145">
        <v>36</v>
      </c>
      <c r="P396" s="145">
        <v>0.29399999999999998</v>
      </c>
      <c r="Q396" s="145">
        <v>32</v>
      </c>
      <c r="R396" s="145">
        <v>0.28100000000000003</v>
      </c>
      <c r="S396" s="145">
        <v>6</v>
      </c>
      <c r="T396" s="145">
        <v>135</v>
      </c>
      <c r="U396" s="145">
        <v>8.5000000000000006E-2</v>
      </c>
      <c r="V396" s="145">
        <v>0.43</v>
      </c>
      <c r="W396" s="145" t="s">
        <v>400</v>
      </c>
      <c r="X396" s="145">
        <v>0.13200000000000001</v>
      </c>
      <c r="Y396" s="145">
        <v>5.5E-2</v>
      </c>
      <c r="Z396" s="146">
        <v>0.187</v>
      </c>
      <c r="AA396" s="145">
        <v>0.871</v>
      </c>
      <c r="AB396" s="145">
        <v>16.3</v>
      </c>
      <c r="AC396" s="145">
        <v>1.1379999999999999</v>
      </c>
      <c r="AD396" s="145" t="s">
        <v>400</v>
      </c>
      <c r="AE396" s="145">
        <v>46</v>
      </c>
      <c r="AF396" s="145" t="s">
        <v>400</v>
      </c>
      <c r="AG396" s="145">
        <v>0.502</v>
      </c>
      <c r="AH396" s="145">
        <v>1.4999999999999999E-2</v>
      </c>
      <c r="AI396" s="145">
        <v>236</v>
      </c>
      <c r="AJ396" s="145">
        <v>1.7010000000000001</v>
      </c>
      <c r="AK396" s="145">
        <v>14.167</v>
      </c>
      <c r="AL396" s="145">
        <v>2.2549999999999999</v>
      </c>
      <c r="AM396" s="145" t="s">
        <v>400</v>
      </c>
    </row>
    <row r="397" spans="1:39">
      <c r="A397" s="143" t="s">
        <v>1456</v>
      </c>
      <c r="B397" s="144">
        <v>100</v>
      </c>
      <c r="C397" s="145">
        <v>47.093000000000004</v>
      </c>
      <c r="D397" s="145">
        <v>1.87</v>
      </c>
      <c r="E397" s="145">
        <v>3.0489999999999999</v>
      </c>
      <c r="F397" s="145">
        <v>0.48899999999999999</v>
      </c>
      <c r="G397" s="145">
        <v>0.67500000000000004</v>
      </c>
      <c r="H397" s="145">
        <v>1.6850000000000001</v>
      </c>
      <c r="I397" s="145">
        <v>1.4910000000000001</v>
      </c>
      <c r="J397" s="145">
        <v>0.19400000000000001</v>
      </c>
      <c r="K397" s="145" t="s">
        <v>400</v>
      </c>
      <c r="L397" s="145">
        <v>4.51</v>
      </c>
      <c r="M397" s="145">
        <v>2.5</v>
      </c>
      <c r="N397" s="145">
        <v>77</v>
      </c>
      <c r="O397" s="145">
        <v>36</v>
      </c>
      <c r="P397" s="145">
        <v>0.29399999999999998</v>
      </c>
      <c r="Q397" s="145">
        <v>32</v>
      </c>
      <c r="R397" s="145">
        <v>0.28100000000000003</v>
      </c>
      <c r="S397" s="145">
        <v>6</v>
      </c>
      <c r="T397" s="145">
        <v>135</v>
      </c>
      <c r="U397" s="145">
        <v>8.5000000000000006E-2</v>
      </c>
      <c r="V397" s="145">
        <v>0.43</v>
      </c>
      <c r="W397" s="145" t="s">
        <v>400</v>
      </c>
      <c r="X397" s="145">
        <v>0.13200000000000001</v>
      </c>
      <c r="Y397" s="145">
        <v>5.5E-2</v>
      </c>
      <c r="Z397" s="146">
        <v>0.187</v>
      </c>
      <c r="AA397" s="145">
        <v>0.871</v>
      </c>
      <c r="AB397" s="145">
        <v>16.3</v>
      </c>
      <c r="AC397" s="145">
        <v>1.1379999999999999</v>
      </c>
      <c r="AD397" s="145" t="s">
        <v>400</v>
      </c>
      <c r="AE397" s="145">
        <v>46</v>
      </c>
      <c r="AF397" s="145" t="s">
        <v>400</v>
      </c>
      <c r="AG397" s="145">
        <v>0.502</v>
      </c>
      <c r="AH397" s="145">
        <v>1.4999999999999999E-2</v>
      </c>
      <c r="AI397" s="145">
        <v>236</v>
      </c>
      <c r="AJ397" s="145">
        <v>1.7010000000000001</v>
      </c>
      <c r="AK397" s="145">
        <v>14.167</v>
      </c>
      <c r="AL397" s="145">
        <v>2.2549999999999999</v>
      </c>
      <c r="AM397" s="145" t="s">
        <v>400</v>
      </c>
    </row>
    <row r="398" spans="1:39">
      <c r="A398" s="143" t="s">
        <v>1457</v>
      </c>
      <c r="B398" s="144">
        <v>100</v>
      </c>
      <c r="C398" s="145">
        <v>47.093000000000004</v>
      </c>
      <c r="D398" s="145">
        <v>1.87</v>
      </c>
      <c r="E398" s="145">
        <v>3.0489999999999999</v>
      </c>
      <c r="F398" s="145">
        <v>0.48899999999999999</v>
      </c>
      <c r="G398" s="145">
        <v>0.67500000000000004</v>
      </c>
      <c r="H398" s="145">
        <v>1.6850000000000001</v>
      </c>
      <c r="I398" s="145">
        <v>1.4910000000000001</v>
      </c>
      <c r="J398" s="145">
        <v>0.19400000000000001</v>
      </c>
      <c r="K398" s="145" t="s">
        <v>400</v>
      </c>
      <c r="L398" s="145">
        <v>4.51</v>
      </c>
      <c r="M398" s="145">
        <v>2.5</v>
      </c>
      <c r="N398" s="145">
        <v>77</v>
      </c>
      <c r="O398" s="145">
        <v>36</v>
      </c>
      <c r="P398" s="145">
        <v>0.29399999999999998</v>
      </c>
      <c r="Q398" s="145">
        <v>32</v>
      </c>
      <c r="R398" s="145">
        <v>0.28100000000000003</v>
      </c>
      <c r="S398" s="145">
        <v>6</v>
      </c>
      <c r="T398" s="145">
        <v>135</v>
      </c>
      <c r="U398" s="145">
        <v>8.5000000000000006E-2</v>
      </c>
      <c r="V398" s="145">
        <v>0.43</v>
      </c>
      <c r="W398" s="145" t="s">
        <v>400</v>
      </c>
      <c r="X398" s="145">
        <v>0.13200000000000001</v>
      </c>
      <c r="Y398" s="145">
        <v>5.5E-2</v>
      </c>
      <c r="Z398" s="146">
        <v>0.187</v>
      </c>
      <c r="AA398" s="145">
        <v>0.871</v>
      </c>
      <c r="AB398" s="145">
        <v>16.3</v>
      </c>
      <c r="AC398" s="145">
        <v>1.1379999999999999</v>
      </c>
      <c r="AD398" s="145" t="s">
        <v>400</v>
      </c>
      <c r="AE398" s="145">
        <v>46</v>
      </c>
      <c r="AF398" s="145" t="s">
        <v>400</v>
      </c>
      <c r="AG398" s="145">
        <v>0.502</v>
      </c>
      <c r="AH398" s="145">
        <v>1.4999999999999999E-2</v>
      </c>
      <c r="AI398" s="145">
        <v>236</v>
      </c>
      <c r="AJ398" s="145">
        <v>1.7010000000000001</v>
      </c>
      <c r="AK398" s="145">
        <v>14.167</v>
      </c>
      <c r="AL398" s="145">
        <v>2.2549999999999999</v>
      </c>
      <c r="AM398" s="145" t="s">
        <v>400</v>
      </c>
    </row>
    <row r="399" spans="1:39">
      <c r="A399" s="143" t="s">
        <v>1458</v>
      </c>
      <c r="B399" s="144">
        <v>100</v>
      </c>
      <c r="C399" s="145">
        <v>22</v>
      </c>
      <c r="D399" s="145">
        <v>1.87</v>
      </c>
      <c r="E399" s="145">
        <v>0.21</v>
      </c>
      <c r="F399" s="145">
        <v>4.4999999999999998E-2</v>
      </c>
      <c r="G399" s="145">
        <v>2.8000000000000001E-2</v>
      </c>
      <c r="H399" s="145">
        <v>4.5999999999999999E-2</v>
      </c>
      <c r="I399" s="145">
        <v>4.4999999999999998E-2</v>
      </c>
      <c r="J399" s="145">
        <v>1E-3</v>
      </c>
      <c r="K399" s="145" t="s">
        <v>400</v>
      </c>
      <c r="L399" s="145">
        <v>4.51</v>
      </c>
      <c r="M399" s="145">
        <v>2.5</v>
      </c>
      <c r="N399" s="145">
        <v>77</v>
      </c>
      <c r="O399" s="145">
        <v>36</v>
      </c>
      <c r="P399" s="145">
        <v>0.29399999999999998</v>
      </c>
      <c r="Q399" s="145">
        <v>32</v>
      </c>
      <c r="R399" s="145">
        <v>0.28000000000000003</v>
      </c>
      <c r="S399" s="145">
        <v>6</v>
      </c>
      <c r="T399" s="145">
        <v>135</v>
      </c>
      <c r="U399" s="145">
        <v>8.5000000000000006E-2</v>
      </c>
      <c r="V399" s="145">
        <v>0.43</v>
      </c>
      <c r="W399" s="145" t="s">
        <v>400</v>
      </c>
      <c r="X399" s="145">
        <v>0.13200000000000001</v>
      </c>
      <c r="Y399" s="145">
        <v>5.5E-2</v>
      </c>
      <c r="Z399" s="146">
        <v>0.187</v>
      </c>
      <c r="AA399" s="145">
        <v>0.871</v>
      </c>
      <c r="AB399" s="145">
        <v>16.3</v>
      </c>
      <c r="AC399" s="145">
        <v>1.1379999999999999</v>
      </c>
      <c r="AD399" s="145" t="s">
        <v>400</v>
      </c>
      <c r="AE399" s="145">
        <v>46</v>
      </c>
      <c r="AF399" s="145" t="s">
        <v>400</v>
      </c>
      <c r="AG399" s="145">
        <v>0.27</v>
      </c>
      <c r="AH399" s="145" t="s">
        <v>400</v>
      </c>
      <c r="AI399" s="145">
        <v>236</v>
      </c>
      <c r="AJ399" s="145">
        <v>0.4</v>
      </c>
      <c r="AK399" s="145">
        <v>14.167</v>
      </c>
      <c r="AL399" s="145">
        <v>2.2549999999999999</v>
      </c>
      <c r="AM399" s="145" t="s">
        <v>400</v>
      </c>
    </row>
    <row r="400" spans="1:39">
      <c r="A400" s="143" t="s">
        <v>1459</v>
      </c>
      <c r="B400" s="144">
        <v>100</v>
      </c>
      <c r="C400" s="145">
        <v>18</v>
      </c>
      <c r="D400" s="145">
        <v>0.88</v>
      </c>
      <c r="E400" s="145">
        <v>0.2</v>
      </c>
      <c r="F400" s="145">
        <v>0.03</v>
      </c>
      <c r="G400" s="145">
        <v>0.03</v>
      </c>
      <c r="H400" s="145">
        <v>0.08</v>
      </c>
      <c r="I400" s="145">
        <v>0.08</v>
      </c>
      <c r="J400" s="145" t="s">
        <v>400</v>
      </c>
      <c r="K400" s="145" t="s">
        <v>400</v>
      </c>
      <c r="L400" s="145">
        <v>3.92</v>
      </c>
      <c r="M400" s="145">
        <v>1.2</v>
      </c>
      <c r="N400" s="145">
        <v>10</v>
      </c>
      <c r="O400" s="145">
        <v>11</v>
      </c>
      <c r="P400" s="145">
        <v>0.11</v>
      </c>
      <c r="Q400" s="145">
        <v>24</v>
      </c>
      <c r="R400" s="145">
        <v>0.27</v>
      </c>
      <c r="S400" s="145">
        <v>5</v>
      </c>
      <c r="T400" s="145">
        <v>237</v>
      </c>
      <c r="U400" s="145">
        <v>0.06</v>
      </c>
      <c r="V400" s="145">
        <v>0.17</v>
      </c>
      <c r="W400" s="145" t="s">
        <v>400</v>
      </c>
      <c r="X400" s="145">
        <v>0.04</v>
      </c>
      <c r="Y400" s="145">
        <v>0.02</v>
      </c>
      <c r="Z400" s="145">
        <v>0.08</v>
      </c>
      <c r="AA400" s="145">
        <v>0.59</v>
      </c>
      <c r="AB400" s="145">
        <v>12.7</v>
      </c>
      <c r="AC400" s="145">
        <v>0.69</v>
      </c>
      <c r="AD400" s="145" t="s">
        <v>400</v>
      </c>
      <c r="AE400" s="145">
        <v>15</v>
      </c>
      <c r="AF400" s="145" t="s">
        <v>400</v>
      </c>
      <c r="AG400" s="145">
        <v>0.54</v>
      </c>
      <c r="AH400" s="145" t="s">
        <v>400</v>
      </c>
      <c r="AI400" s="145" t="s">
        <v>400</v>
      </c>
      <c r="AJ400" s="145" t="s">
        <v>400</v>
      </c>
      <c r="AK400" s="145">
        <v>41.63</v>
      </c>
      <c r="AL400" s="145">
        <v>2.62</v>
      </c>
      <c r="AM400" s="145" t="s">
        <v>400</v>
      </c>
    </row>
    <row r="401" spans="1:39">
      <c r="A401" s="143" t="s">
        <v>1460</v>
      </c>
      <c r="B401" s="144">
        <v>100</v>
      </c>
      <c r="C401" s="145">
        <v>35</v>
      </c>
      <c r="D401" s="145">
        <v>1.89</v>
      </c>
      <c r="E401" s="145">
        <v>0.28000000000000003</v>
      </c>
      <c r="F401" s="145">
        <v>6.2E-2</v>
      </c>
      <c r="G401" s="145">
        <v>1.2E-2</v>
      </c>
      <c r="H401" s="145">
        <v>0.14499999999999999</v>
      </c>
      <c r="I401" s="145">
        <v>5.6000000000000001E-2</v>
      </c>
      <c r="J401" s="145">
        <v>8.8999999999999996E-2</v>
      </c>
      <c r="K401" s="145" t="s">
        <v>400</v>
      </c>
      <c r="L401" s="145">
        <v>7.88</v>
      </c>
      <c r="M401" s="145">
        <v>3.2</v>
      </c>
      <c r="N401" s="145">
        <v>44</v>
      </c>
      <c r="O401" s="145">
        <v>18</v>
      </c>
      <c r="P401" s="145">
        <v>0.28499999999999998</v>
      </c>
      <c r="Q401" s="145">
        <v>29</v>
      </c>
      <c r="R401" s="145">
        <v>0.65</v>
      </c>
      <c r="S401" s="145">
        <v>1</v>
      </c>
      <c r="T401" s="145">
        <v>146</v>
      </c>
      <c r="U401" s="145">
        <v>5.7000000000000002E-2</v>
      </c>
      <c r="V401" s="145">
        <v>0.25</v>
      </c>
      <c r="W401" s="145" t="s">
        <v>400</v>
      </c>
      <c r="X401" s="145">
        <v>7.3999999999999996E-2</v>
      </c>
      <c r="Y401" s="145">
        <v>9.7000000000000003E-2</v>
      </c>
      <c r="Z401" s="146">
        <v>5.6000000000000001E-2</v>
      </c>
      <c r="AA401" s="145">
        <v>0.61399999999999999</v>
      </c>
      <c r="AB401" s="145">
        <v>9.6999999999999993</v>
      </c>
      <c r="AC401" s="145">
        <v>0.94699999999999995</v>
      </c>
      <c r="AD401" s="145" t="s">
        <v>400</v>
      </c>
      <c r="AE401" s="145">
        <v>33</v>
      </c>
      <c r="AF401" s="145" t="s">
        <v>400</v>
      </c>
      <c r="AG401" s="145">
        <v>0.45</v>
      </c>
      <c r="AH401" s="145" t="s">
        <v>400</v>
      </c>
      <c r="AI401" s="145">
        <v>302</v>
      </c>
      <c r="AJ401" s="145">
        <v>0.2</v>
      </c>
      <c r="AK401" s="145">
        <v>35</v>
      </c>
      <c r="AL401" s="145">
        <v>2.2999999999999998</v>
      </c>
      <c r="AM401" s="145" t="s">
        <v>400</v>
      </c>
    </row>
    <row r="402" spans="1:39">
      <c r="A402" s="143" t="s">
        <v>1461</v>
      </c>
      <c r="B402" s="144">
        <v>100</v>
      </c>
      <c r="C402" s="145">
        <v>35</v>
      </c>
      <c r="D402" s="145">
        <v>1.89</v>
      </c>
      <c r="E402" s="145">
        <v>0.28000000000000003</v>
      </c>
      <c r="F402" s="145">
        <v>6.2E-2</v>
      </c>
      <c r="G402" s="145">
        <v>1.2E-2</v>
      </c>
      <c r="H402" s="145">
        <v>0.14499999999999999</v>
      </c>
      <c r="I402" s="145">
        <v>5.6000000000000001E-2</v>
      </c>
      <c r="J402" s="145">
        <v>8.8999999999999996E-2</v>
      </c>
      <c r="K402" s="145" t="s">
        <v>400</v>
      </c>
      <c r="L402" s="145">
        <v>7.88</v>
      </c>
      <c r="M402" s="145">
        <v>3.2</v>
      </c>
      <c r="N402" s="145">
        <v>44</v>
      </c>
      <c r="O402" s="145">
        <v>18</v>
      </c>
      <c r="P402" s="145">
        <v>0.28499999999999998</v>
      </c>
      <c r="Q402" s="145">
        <v>29</v>
      </c>
      <c r="R402" s="145">
        <v>0.65</v>
      </c>
      <c r="S402" s="145">
        <v>1</v>
      </c>
      <c r="T402" s="145">
        <v>146</v>
      </c>
      <c r="U402" s="145">
        <v>5.7000000000000002E-2</v>
      </c>
      <c r="V402" s="145">
        <v>0.25</v>
      </c>
      <c r="W402" s="145" t="s">
        <v>400</v>
      </c>
      <c r="X402" s="145">
        <v>7.3999999999999996E-2</v>
      </c>
      <c r="Y402" s="145">
        <v>9.7000000000000003E-2</v>
      </c>
      <c r="Z402" s="146">
        <v>5.6000000000000001E-2</v>
      </c>
      <c r="AA402" s="145">
        <v>0.61399999999999999</v>
      </c>
      <c r="AB402" s="145">
        <v>9.6999999999999993</v>
      </c>
      <c r="AC402" s="145">
        <v>0.94699999999999995</v>
      </c>
      <c r="AD402" s="145" t="s">
        <v>400</v>
      </c>
      <c r="AE402" s="145">
        <v>33</v>
      </c>
      <c r="AF402" s="145" t="s">
        <v>400</v>
      </c>
      <c r="AG402" s="145">
        <v>0.45</v>
      </c>
      <c r="AH402" s="145" t="s">
        <v>400</v>
      </c>
      <c r="AI402" s="145">
        <v>302</v>
      </c>
      <c r="AJ402" s="145">
        <v>0.2</v>
      </c>
      <c r="AK402" s="145">
        <v>35</v>
      </c>
      <c r="AL402" s="145">
        <v>2.2999999999999998</v>
      </c>
      <c r="AM402" s="145" t="s">
        <v>400</v>
      </c>
    </row>
    <row r="403" spans="1:39">
      <c r="A403" s="143" t="s">
        <v>1462</v>
      </c>
      <c r="B403" s="144">
        <v>100</v>
      </c>
      <c r="C403" s="145">
        <v>67.119</v>
      </c>
      <c r="D403" s="145">
        <v>1.89</v>
      </c>
      <c r="E403" s="145">
        <v>3.9129999999999998</v>
      </c>
      <c r="F403" s="145">
        <v>0.63100000000000001</v>
      </c>
      <c r="G403" s="145">
        <v>0.84</v>
      </c>
      <c r="H403" s="145">
        <v>2.2429999999999999</v>
      </c>
      <c r="I403" s="145">
        <v>1.907</v>
      </c>
      <c r="J403" s="145">
        <v>0.33600000000000002</v>
      </c>
      <c r="K403" s="145" t="s">
        <v>400</v>
      </c>
      <c r="L403" s="145">
        <v>7.88</v>
      </c>
      <c r="M403" s="145">
        <v>3.2</v>
      </c>
      <c r="N403" s="145">
        <v>44</v>
      </c>
      <c r="O403" s="145">
        <v>18</v>
      </c>
      <c r="P403" s="145">
        <v>0.28499999999999998</v>
      </c>
      <c r="Q403" s="145">
        <v>29</v>
      </c>
      <c r="R403" s="145">
        <v>0.65200000000000002</v>
      </c>
      <c r="S403" s="145">
        <v>1</v>
      </c>
      <c r="T403" s="145">
        <v>146</v>
      </c>
      <c r="U403" s="145">
        <v>5.7000000000000002E-2</v>
      </c>
      <c r="V403" s="145">
        <v>0.25</v>
      </c>
      <c r="W403" s="145" t="s">
        <v>400</v>
      </c>
      <c r="X403" s="145">
        <v>7.3999999999999996E-2</v>
      </c>
      <c r="Y403" s="145">
        <v>9.7000000000000003E-2</v>
      </c>
      <c r="Z403" s="146">
        <v>5.6000000000000001E-2</v>
      </c>
      <c r="AA403" s="145">
        <v>0.61399999999999999</v>
      </c>
      <c r="AB403" s="145">
        <v>9.6999999999999993</v>
      </c>
      <c r="AC403" s="145">
        <v>0.94699999999999995</v>
      </c>
      <c r="AD403" s="145" t="s">
        <v>400</v>
      </c>
      <c r="AE403" s="145">
        <v>33</v>
      </c>
      <c r="AF403" s="145" t="s">
        <v>400</v>
      </c>
      <c r="AG403" s="145">
        <v>0.747</v>
      </c>
      <c r="AH403" s="145">
        <v>1.9E-2</v>
      </c>
      <c r="AI403" s="145">
        <v>302</v>
      </c>
      <c r="AJ403" s="145">
        <v>1.865</v>
      </c>
      <c r="AK403" s="145">
        <v>35</v>
      </c>
      <c r="AL403" s="145">
        <v>2.2999999999999998</v>
      </c>
      <c r="AM403" s="145" t="s">
        <v>400</v>
      </c>
    </row>
    <row r="404" spans="1:39">
      <c r="A404" s="143" t="s">
        <v>1463</v>
      </c>
      <c r="B404" s="144">
        <v>100</v>
      </c>
      <c r="C404" s="145">
        <v>67.119</v>
      </c>
      <c r="D404" s="145">
        <v>1.89</v>
      </c>
      <c r="E404" s="145">
        <v>3.9129999999999998</v>
      </c>
      <c r="F404" s="145">
        <v>0.63100000000000001</v>
      </c>
      <c r="G404" s="145">
        <v>0.84</v>
      </c>
      <c r="H404" s="145">
        <v>2.2429999999999999</v>
      </c>
      <c r="I404" s="145">
        <v>1.907</v>
      </c>
      <c r="J404" s="145">
        <v>0.33600000000000002</v>
      </c>
      <c r="K404" s="145" t="s">
        <v>400</v>
      </c>
      <c r="L404" s="145">
        <v>7.88</v>
      </c>
      <c r="M404" s="145">
        <v>3.2</v>
      </c>
      <c r="N404" s="145">
        <v>44</v>
      </c>
      <c r="O404" s="145">
        <v>18</v>
      </c>
      <c r="P404" s="145">
        <v>0.28499999999999998</v>
      </c>
      <c r="Q404" s="145">
        <v>29</v>
      </c>
      <c r="R404" s="145">
        <v>0.65200000000000002</v>
      </c>
      <c r="S404" s="145">
        <v>1</v>
      </c>
      <c r="T404" s="145">
        <v>146</v>
      </c>
      <c r="U404" s="145">
        <v>5.7000000000000002E-2</v>
      </c>
      <c r="V404" s="145">
        <v>0.25</v>
      </c>
      <c r="W404" s="145" t="s">
        <v>400</v>
      </c>
      <c r="X404" s="145">
        <v>7.3999999999999996E-2</v>
      </c>
      <c r="Y404" s="145">
        <v>9.7000000000000003E-2</v>
      </c>
      <c r="Z404" s="146">
        <v>5.6000000000000001E-2</v>
      </c>
      <c r="AA404" s="145">
        <v>0.61399999999999999</v>
      </c>
      <c r="AB404" s="145">
        <v>9.6999999999999993</v>
      </c>
      <c r="AC404" s="145">
        <v>0.94699999999999995</v>
      </c>
      <c r="AD404" s="145" t="s">
        <v>400</v>
      </c>
      <c r="AE404" s="145">
        <v>33</v>
      </c>
      <c r="AF404" s="145" t="s">
        <v>400</v>
      </c>
      <c r="AG404" s="145">
        <v>0.747</v>
      </c>
      <c r="AH404" s="145">
        <v>1.9E-2</v>
      </c>
      <c r="AI404" s="145">
        <v>302</v>
      </c>
      <c r="AJ404" s="145">
        <v>1.865</v>
      </c>
      <c r="AK404" s="145">
        <v>35</v>
      </c>
      <c r="AL404" s="145">
        <v>2.2999999999999998</v>
      </c>
      <c r="AM404" s="145" t="s">
        <v>400</v>
      </c>
    </row>
    <row r="405" spans="1:39">
      <c r="A405" s="143" t="s">
        <v>1464</v>
      </c>
      <c r="B405" s="144">
        <v>100</v>
      </c>
      <c r="C405" s="145">
        <v>67.119</v>
      </c>
      <c r="D405" s="145">
        <v>1.89</v>
      </c>
      <c r="E405" s="145">
        <v>3.9129999999999998</v>
      </c>
      <c r="F405" s="145">
        <v>0.63100000000000001</v>
      </c>
      <c r="G405" s="145">
        <v>0.84</v>
      </c>
      <c r="H405" s="145">
        <v>2.2429999999999999</v>
      </c>
      <c r="I405" s="145">
        <v>1.907</v>
      </c>
      <c r="J405" s="145">
        <v>0.33600000000000002</v>
      </c>
      <c r="K405" s="145" t="s">
        <v>400</v>
      </c>
      <c r="L405" s="145">
        <v>7.88</v>
      </c>
      <c r="M405" s="145">
        <v>3.2</v>
      </c>
      <c r="N405" s="145">
        <v>44</v>
      </c>
      <c r="O405" s="145">
        <v>18</v>
      </c>
      <c r="P405" s="145">
        <v>0.28499999999999998</v>
      </c>
      <c r="Q405" s="145">
        <v>29</v>
      </c>
      <c r="R405" s="145">
        <v>0.65200000000000002</v>
      </c>
      <c r="S405" s="145">
        <v>1</v>
      </c>
      <c r="T405" s="145">
        <v>146</v>
      </c>
      <c r="U405" s="145">
        <v>5.7000000000000002E-2</v>
      </c>
      <c r="V405" s="145">
        <v>0.25</v>
      </c>
      <c r="W405" s="145" t="s">
        <v>400</v>
      </c>
      <c r="X405" s="145">
        <v>7.3999999999999996E-2</v>
      </c>
      <c r="Y405" s="145">
        <v>9.7000000000000003E-2</v>
      </c>
      <c r="Z405" s="146">
        <v>5.6000000000000001E-2</v>
      </c>
      <c r="AA405" s="145">
        <v>0.61399999999999999</v>
      </c>
      <c r="AB405" s="145">
        <v>9.6999999999999993</v>
      </c>
      <c r="AC405" s="145">
        <v>0.94699999999999995</v>
      </c>
      <c r="AD405" s="145" t="s">
        <v>400</v>
      </c>
      <c r="AE405" s="145">
        <v>33</v>
      </c>
      <c r="AF405" s="145" t="s">
        <v>400</v>
      </c>
      <c r="AG405" s="145">
        <v>0.747</v>
      </c>
      <c r="AH405" s="145">
        <v>1.9E-2</v>
      </c>
      <c r="AI405" s="145">
        <v>302</v>
      </c>
      <c r="AJ405" s="145">
        <v>1.865</v>
      </c>
      <c r="AK405" s="145">
        <v>35</v>
      </c>
      <c r="AL405" s="145">
        <v>2.2999999999999998</v>
      </c>
      <c r="AM405" s="145" t="s">
        <v>400</v>
      </c>
    </row>
    <row r="406" spans="1:39">
      <c r="A406" s="143" t="s">
        <v>1465</v>
      </c>
      <c r="B406" s="144">
        <v>100</v>
      </c>
      <c r="C406" s="145">
        <v>35</v>
      </c>
      <c r="D406" s="145">
        <v>1.89</v>
      </c>
      <c r="E406" s="145">
        <v>0.28000000000000003</v>
      </c>
      <c r="F406" s="145">
        <v>6.2E-2</v>
      </c>
      <c r="G406" s="145">
        <v>1.2E-2</v>
      </c>
      <c r="H406" s="145">
        <v>0.14499999999999999</v>
      </c>
      <c r="I406" s="145">
        <v>5.6000000000000001E-2</v>
      </c>
      <c r="J406" s="145">
        <v>8.8999999999999996E-2</v>
      </c>
      <c r="K406" s="145" t="s">
        <v>400</v>
      </c>
      <c r="L406" s="145">
        <v>7.88</v>
      </c>
      <c r="M406" s="145">
        <v>3.2</v>
      </c>
      <c r="N406" s="145">
        <v>44</v>
      </c>
      <c r="O406" s="145">
        <v>18</v>
      </c>
      <c r="P406" s="145">
        <v>0.28499999999999998</v>
      </c>
      <c r="Q406" s="145">
        <v>29</v>
      </c>
      <c r="R406" s="145">
        <v>0.65</v>
      </c>
      <c r="S406" s="145">
        <v>1</v>
      </c>
      <c r="T406" s="145">
        <v>146</v>
      </c>
      <c r="U406" s="145">
        <v>5.7000000000000002E-2</v>
      </c>
      <c r="V406" s="145">
        <v>0.25</v>
      </c>
      <c r="W406" s="145" t="s">
        <v>400</v>
      </c>
      <c r="X406" s="145">
        <v>7.3999999999999996E-2</v>
      </c>
      <c r="Y406" s="145">
        <v>9.7000000000000003E-2</v>
      </c>
      <c r="Z406" s="146">
        <v>5.6000000000000001E-2</v>
      </c>
      <c r="AA406" s="145">
        <v>0.61399999999999999</v>
      </c>
      <c r="AB406" s="145">
        <v>9.6999999999999993</v>
      </c>
      <c r="AC406" s="145">
        <v>0.94699999999999995</v>
      </c>
      <c r="AD406" s="145" t="s">
        <v>400</v>
      </c>
      <c r="AE406" s="145">
        <v>33</v>
      </c>
      <c r="AF406" s="145" t="s">
        <v>400</v>
      </c>
      <c r="AG406" s="145">
        <v>0.45</v>
      </c>
      <c r="AH406" s="145" t="s">
        <v>400</v>
      </c>
      <c r="AI406" s="145">
        <v>302</v>
      </c>
      <c r="AJ406" s="145">
        <v>0.2</v>
      </c>
      <c r="AK406" s="145">
        <v>35</v>
      </c>
      <c r="AL406" s="145">
        <v>2.2999999999999998</v>
      </c>
      <c r="AM406" s="145" t="s">
        <v>400</v>
      </c>
    </row>
    <row r="407" spans="1:39">
      <c r="A407" s="143" t="s">
        <v>1466</v>
      </c>
      <c r="B407" s="144">
        <v>100</v>
      </c>
      <c r="C407" s="145">
        <v>28</v>
      </c>
      <c r="D407" s="145">
        <v>2.17</v>
      </c>
      <c r="E407" s="145">
        <v>0.47</v>
      </c>
      <c r="F407" s="145">
        <v>5.0999999999999997E-2</v>
      </c>
      <c r="G407" s="145">
        <v>7.0000000000000001E-3</v>
      </c>
      <c r="H407" s="145">
        <v>0.191</v>
      </c>
      <c r="I407" s="145">
        <v>0.19</v>
      </c>
      <c r="J407" s="145">
        <v>1E-3</v>
      </c>
      <c r="K407" s="145" t="s">
        <v>400</v>
      </c>
      <c r="L407" s="145">
        <v>5.29</v>
      </c>
      <c r="M407" s="145">
        <v>2.2000000000000002</v>
      </c>
      <c r="N407" s="145">
        <v>6</v>
      </c>
      <c r="O407" s="145">
        <v>12</v>
      </c>
      <c r="P407" s="145">
        <v>0.115</v>
      </c>
      <c r="Q407" s="145">
        <v>87</v>
      </c>
      <c r="R407" s="145">
        <v>1.74</v>
      </c>
      <c r="S407" s="145">
        <v>2</v>
      </c>
      <c r="T407" s="145">
        <v>356</v>
      </c>
      <c r="U407" s="145">
        <v>0.504</v>
      </c>
      <c r="V407" s="145">
        <v>0.87</v>
      </c>
      <c r="W407" s="145" t="s">
        <v>400</v>
      </c>
      <c r="X407" s="145">
        <v>7.2999999999999995E-2</v>
      </c>
      <c r="Y407" s="145">
        <v>0.3</v>
      </c>
      <c r="Z407" s="146">
        <v>9.5000000000000001E-2</v>
      </c>
      <c r="AA407" s="145">
        <v>4.46</v>
      </c>
      <c r="AB407" s="145">
        <v>4</v>
      </c>
      <c r="AC407" s="145">
        <v>4.8600000000000003</v>
      </c>
      <c r="AD407" s="145" t="s">
        <v>400</v>
      </c>
      <c r="AE407" s="145">
        <v>18</v>
      </c>
      <c r="AF407" s="145">
        <v>0.52500000000000002</v>
      </c>
      <c r="AG407" s="145">
        <v>0.01</v>
      </c>
      <c r="AH407" s="145" t="s">
        <v>400</v>
      </c>
      <c r="AI407" s="145" t="s">
        <v>400</v>
      </c>
      <c r="AJ407" s="145">
        <v>11.9</v>
      </c>
      <c r="AK407" s="145" t="s">
        <v>400</v>
      </c>
      <c r="AL407" s="145">
        <v>0.3</v>
      </c>
      <c r="AM407" s="145" t="s">
        <v>400</v>
      </c>
    </row>
    <row r="408" spans="1:39">
      <c r="A408" s="143" t="s">
        <v>1467</v>
      </c>
      <c r="B408" s="144">
        <v>100</v>
      </c>
      <c r="C408" s="145">
        <v>32.9</v>
      </c>
      <c r="D408" s="145">
        <v>0.78</v>
      </c>
      <c r="E408" s="145">
        <v>0.22</v>
      </c>
      <c r="F408" s="145">
        <v>0.04</v>
      </c>
      <c r="G408" s="145">
        <v>0.02</v>
      </c>
      <c r="H408" s="145">
        <v>0.09</v>
      </c>
      <c r="I408" s="145">
        <v>7.0000000000000007E-2</v>
      </c>
      <c r="J408" s="145">
        <v>0.01</v>
      </c>
      <c r="K408" s="145" t="s">
        <v>400</v>
      </c>
      <c r="L408" s="145">
        <v>8.2100000000000009</v>
      </c>
      <c r="M408" s="145">
        <v>2.35</v>
      </c>
      <c r="N408" s="145">
        <v>5.64</v>
      </c>
      <c r="O408" s="145">
        <v>10.34</v>
      </c>
      <c r="P408" s="145">
        <v>0.11</v>
      </c>
      <c r="Q408" s="145">
        <v>14.1</v>
      </c>
      <c r="R408" s="145">
        <v>0.24</v>
      </c>
      <c r="S408" s="145">
        <v>0.94</v>
      </c>
      <c r="T408" s="145">
        <v>115.62</v>
      </c>
      <c r="U408" s="145">
        <v>0.06</v>
      </c>
      <c r="V408" s="145">
        <v>0.11</v>
      </c>
      <c r="W408" s="145" t="s">
        <v>400</v>
      </c>
      <c r="X408" s="145">
        <v>7.0000000000000007E-2</v>
      </c>
      <c r="Y408" s="145">
        <v>0.02</v>
      </c>
      <c r="Z408" s="145">
        <v>0.08</v>
      </c>
      <c r="AA408" s="145">
        <v>0.56000000000000005</v>
      </c>
      <c r="AB408" s="145">
        <v>1.22</v>
      </c>
      <c r="AC408" s="145">
        <v>0.69</v>
      </c>
      <c r="AD408" s="145" t="s">
        <v>400</v>
      </c>
      <c r="AE408" s="145">
        <v>13.16</v>
      </c>
      <c r="AF408" s="145" t="s">
        <v>400</v>
      </c>
      <c r="AG408" s="145">
        <v>0.39</v>
      </c>
      <c r="AH408" s="145" t="s">
        <v>400</v>
      </c>
      <c r="AI408" s="145">
        <v>381</v>
      </c>
      <c r="AJ408" s="145">
        <v>0.09</v>
      </c>
      <c r="AK408" s="145">
        <v>1.72</v>
      </c>
      <c r="AL408" s="145">
        <v>3.67</v>
      </c>
      <c r="AM408" s="145" t="s">
        <v>400</v>
      </c>
    </row>
    <row r="409" spans="1:39">
      <c r="A409" s="143" t="s">
        <v>1468</v>
      </c>
      <c r="B409" s="144">
        <v>100</v>
      </c>
      <c r="C409" s="145">
        <v>35</v>
      </c>
      <c r="D409" s="145">
        <v>0.83</v>
      </c>
      <c r="E409" s="145">
        <v>0.23</v>
      </c>
      <c r="F409" s="145">
        <v>0.04</v>
      </c>
      <c r="G409" s="145">
        <v>0.02</v>
      </c>
      <c r="H409" s="145">
        <v>0.09</v>
      </c>
      <c r="I409" s="145">
        <v>0.08</v>
      </c>
      <c r="J409" s="145">
        <v>0.02</v>
      </c>
      <c r="K409" s="145" t="s">
        <v>400</v>
      </c>
      <c r="L409" s="145">
        <v>8.73</v>
      </c>
      <c r="M409" s="145">
        <v>2.5</v>
      </c>
      <c r="N409" s="145">
        <v>6</v>
      </c>
      <c r="O409" s="145">
        <v>11</v>
      </c>
      <c r="P409" s="145">
        <v>0.11</v>
      </c>
      <c r="Q409" s="145">
        <v>15</v>
      </c>
      <c r="R409" s="145">
        <v>0.25</v>
      </c>
      <c r="S409" s="145">
        <v>1</v>
      </c>
      <c r="T409" s="145">
        <v>123</v>
      </c>
      <c r="U409" s="145">
        <v>0.06</v>
      </c>
      <c r="V409" s="145">
        <v>0.12</v>
      </c>
      <c r="W409" s="145" t="s">
        <v>400</v>
      </c>
      <c r="X409" s="145">
        <v>0.08</v>
      </c>
      <c r="Y409" s="145">
        <v>0.02</v>
      </c>
      <c r="Z409" s="145">
        <v>0.09</v>
      </c>
      <c r="AA409" s="145">
        <v>0.6</v>
      </c>
      <c r="AB409" s="145">
        <v>1.3</v>
      </c>
      <c r="AC409" s="145">
        <v>0.73</v>
      </c>
      <c r="AD409" s="145" t="s">
        <v>400</v>
      </c>
      <c r="AE409" s="145">
        <v>14</v>
      </c>
      <c r="AF409" s="145" t="s">
        <v>400</v>
      </c>
      <c r="AG409" s="145">
        <v>0.41</v>
      </c>
      <c r="AH409" s="145" t="s">
        <v>400</v>
      </c>
      <c r="AI409" s="145">
        <v>381</v>
      </c>
      <c r="AJ409" s="145">
        <v>0.1</v>
      </c>
      <c r="AK409" s="145">
        <v>1.83</v>
      </c>
      <c r="AL409" s="145">
        <v>3.9</v>
      </c>
      <c r="AM409" s="145" t="s">
        <v>400</v>
      </c>
    </row>
    <row r="410" spans="1:39">
      <c r="A410" s="143" t="s">
        <v>1469</v>
      </c>
      <c r="B410" s="144">
        <v>100</v>
      </c>
      <c r="C410" s="145">
        <v>35</v>
      </c>
      <c r="D410" s="145">
        <v>0.83</v>
      </c>
      <c r="E410" s="145">
        <v>0.23</v>
      </c>
      <c r="F410" s="145">
        <v>0.04</v>
      </c>
      <c r="G410" s="145">
        <v>0.02</v>
      </c>
      <c r="H410" s="145">
        <v>0.09</v>
      </c>
      <c r="I410" s="145">
        <v>0.08</v>
      </c>
      <c r="J410" s="145">
        <v>0.02</v>
      </c>
      <c r="K410" s="145" t="s">
        <v>400</v>
      </c>
      <c r="L410" s="145">
        <v>8.73</v>
      </c>
      <c r="M410" s="145">
        <v>2.5</v>
      </c>
      <c r="N410" s="145">
        <v>6</v>
      </c>
      <c r="O410" s="145">
        <v>11</v>
      </c>
      <c r="P410" s="145">
        <v>0.11</v>
      </c>
      <c r="Q410" s="145">
        <v>15</v>
      </c>
      <c r="R410" s="145">
        <v>0.25</v>
      </c>
      <c r="S410" s="145">
        <v>1</v>
      </c>
      <c r="T410" s="145">
        <v>123</v>
      </c>
      <c r="U410" s="145">
        <v>0.06</v>
      </c>
      <c r="V410" s="145">
        <v>0.12</v>
      </c>
      <c r="W410" s="145" t="s">
        <v>400</v>
      </c>
      <c r="X410" s="145">
        <v>0.08</v>
      </c>
      <c r="Y410" s="145">
        <v>0.02</v>
      </c>
      <c r="Z410" s="145">
        <v>0.09</v>
      </c>
      <c r="AA410" s="145">
        <v>0.6</v>
      </c>
      <c r="AB410" s="145">
        <v>1.3</v>
      </c>
      <c r="AC410" s="145">
        <v>0.73</v>
      </c>
      <c r="AD410" s="145" t="s">
        <v>400</v>
      </c>
      <c r="AE410" s="145">
        <v>14</v>
      </c>
      <c r="AF410" s="145" t="s">
        <v>400</v>
      </c>
      <c r="AG410" s="145">
        <v>0.41</v>
      </c>
      <c r="AH410" s="145" t="s">
        <v>400</v>
      </c>
      <c r="AI410" s="145">
        <v>381</v>
      </c>
      <c r="AJ410" s="145">
        <v>0.1</v>
      </c>
      <c r="AK410" s="145">
        <v>1.83</v>
      </c>
      <c r="AL410" s="145">
        <v>3.9</v>
      </c>
      <c r="AM410" s="145" t="s">
        <v>400</v>
      </c>
    </row>
    <row r="411" spans="1:39">
      <c r="A411" s="143" t="s">
        <v>1470</v>
      </c>
      <c r="B411" s="144">
        <v>100</v>
      </c>
      <c r="C411" s="145">
        <v>75.55</v>
      </c>
      <c r="D411" s="145">
        <v>0.83</v>
      </c>
      <c r="E411" s="145">
        <v>4.82</v>
      </c>
      <c r="F411" s="145">
        <v>0.7</v>
      </c>
      <c r="G411" s="145">
        <v>1.0900000000000001</v>
      </c>
      <c r="H411" s="145">
        <v>2.75</v>
      </c>
      <c r="I411" s="145">
        <v>2.42</v>
      </c>
      <c r="J411" s="145">
        <v>0.33</v>
      </c>
      <c r="K411" s="145" t="s">
        <v>400</v>
      </c>
      <c r="L411" s="145">
        <v>8.73</v>
      </c>
      <c r="M411" s="145">
        <v>2.5</v>
      </c>
      <c r="N411" s="145">
        <v>6</v>
      </c>
      <c r="O411" s="145">
        <v>11</v>
      </c>
      <c r="P411" s="145">
        <v>0.11</v>
      </c>
      <c r="Q411" s="145">
        <v>15</v>
      </c>
      <c r="R411" s="145">
        <v>0.25</v>
      </c>
      <c r="S411" s="145">
        <v>1</v>
      </c>
      <c r="T411" s="145">
        <v>123</v>
      </c>
      <c r="U411" s="145">
        <v>0.06</v>
      </c>
      <c r="V411" s="145">
        <v>0.12</v>
      </c>
      <c r="W411" s="145" t="s">
        <v>400</v>
      </c>
      <c r="X411" s="145">
        <v>0.08</v>
      </c>
      <c r="Y411" s="145">
        <v>0.02</v>
      </c>
      <c r="Z411" s="145">
        <v>0.09</v>
      </c>
      <c r="AA411" s="145">
        <v>0.6</v>
      </c>
      <c r="AB411" s="145">
        <v>1.3</v>
      </c>
      <c r="AC411" s="145">
        <v>0.73</v>
      </c>
      <c r="AD411" s="145" t="s">
        <v>400</v>
      </c>
      <c r="AE411" s="145">
        <v>14</v>
      </c>
      <c r="AF411" s="145" t="s">
        <v>400</v>
      </c>
      <c r="AG411" s="145">
        <v>0.83</v>
      </c>
      <c r="AH411" s="145" t="s">
        <v>400</v>
      </c>
      <c r="AI411" s="145">
        <v>381</v>
      </c>
      <c r="AJ411" s="145">
        <v>2.2000000000000002</v>
      </c>
      <c r="AK411" s="145">
        <v>1.83</v>
      </c>
      <c r="AL411" s="145">
        <v>3.9</v>
      </c>
      <c r="AM411" s="145" t="s">
        <v>400</v>
      </c>
    </row>
    <row r="412" spans="1:39">
      <c r="A412" s="143" t="s">
        <v>1471</v>
      </c>
      <c r="B412" s="144">
        <v>100</v>
      </c>
      <c r="C412" s="145">
        <v>164.87</v>
      </c>
      <c r="D412" s="145">
        <v>3.69</v>
      </c>
      <c r="E412" s="145">
        <v>10.18</v>
      </c>
      <c r="F412" s="145">
        <v>1.74</v>
      </c>
      <c r="G412" s="145">
        <v>2.57</v>
      </c>
      <c r="H412" s="145">
        <v>5.12</v>
      </c>
      <c r="I412" s="145">
        <v>4.5</v>
      </c>
      <c r="J412" s="145">
        <v>0.57999999999999996</v>
      </c>
      <c r="K412" s="145">
        <v>64.239999999999995</v>
      </c>
      <c r="L412" s="145">
        <v>15.86</v>
      </c>
      <c r="M412" s="145">
        <v>2.71</v>
      </c>
      <c r="N412" s="145">
        <v>14.81</v>
      </c>
      <c r="O412" s="145">
        <v>14.26</v>
      </c>
      <c r="P412" s="145">
        <v>0.18</v>
      </c>
      <c r="Q412" s="145">
        <v>50.82</v>
      </c>
      <c r="R412" s="145">
        <v>0.86</v>
      </c>
      <c r="S412" s="145">
        <v>19.95</v>
      </c>
      <c r="T412" s="145">
        <v>148.41999999999999</v>
      </c>
      <c r="U412" s="145">
        <v>7.0000000000000007E-2</v>
      </c>
      <c r="V412" s="145">
        <v>0.34</v>
      </c>
      <c r="W412" s="145">
        <v>25.45</v>
      </c>
      <c r="X412" s="145">
        <v>0.16</v>
      </c>
      <c r="Y412" s="145">
        <v>0.14000000000000001</v>
      </c>
      <c r="Z412" s="145">
        <v>0.11</v>
      </c>
      <c r="AA412" s="145">
        <v>1.1499999999999999</v>
      </c>
      <c r="AB412" s="145">
        <v>1.26</v>
      </c>
      <c r="AC412" s="145">
        <v>1.87</v>
      </c>
      <c r="AD412" s="145">
        <v>0.17</v>
      </c>
      <c r="AE412" s="145">
        <v>39.549999999999997</v>
      </c>
      <c r="AF412" s="145">
        <v>0.19</v>
      </c>
      <c r="AG412" s="145">
        <v>1.32</v>
      </c>
      <c r="AH412" s="145" t="s">
        <v>400</v>
      </c>
      <c r="AI412" s="145">
        <v>381</v>
      </c>
      <c r="AJ412" s="145">
        <v>11.76</v>
      </c>
      <c r="AK412" s="145">
        <v>27.43</v>
      </c>
      <c r="AL412" s="145">
        <v>3.99</v>
      </c>
      <c r="AM412" s="145" t="s">
        <v>400</v>
      </c>
    </row>
    <row r="413" spans="1:39">
      <c r="A413" s="143" t="s">
        <v>1472</v>
      </c>
      <c r="B413" s="144">
        <v>100</v>
      </c>
      <c r="C413" s="145">
        <v>75.55</v>
      </c>
      <c r="D413" s="145">
        <v>0.83</v>
      </c>
      <c r="E413" s="145">
        <v>4.82</v>
      </c>
      <c r="F413" s="145">
        <v>0.7</v>
      </c>
      <c r="G413" s="145">
        <v>1.0900000000000001</v>
      </c>
      <c r="H413" s="145">
        <v>2.75</v>
      </c>
      <c r="I413" s="145">
        <v>2.42</v>
      </c>
      <c r="J413" s="145">
        <v>0.33</v>
      </c>
      <c r="K413" s="145" t="s">
        <v>400</v>
      </c>
      <c r="L413" s="145">
        <v>8.73</v>
      </c>
      <c r="M413" s="145">
        <v>2.5</v>
      </c>
      <c r="N413" s="145">
        <v>6</v>
      </c>
      <c r="O413" s="145">
        <v>11</v>
      </c>
      <c r="P413" s="145">
        <v>0.11</v>
      </c>
      <c r="Q413" s="145">
        <v>15</v>
      </c>
      <c r="R413" s="145">
        <v>0.25</v>
      </c>
      <c r="S413" s="145">
        <v>1</v>
      </c>
      <c r="T413" s="145">
        <v>123</v>
      </c>
      <c r="U413" s="145">
        <v>0.06</v>
      </c>
      <c r="V413" s="145">
        <v>0.12</v>
      </c>
      <c r="W413" s="145" t="s">
        <v>400</v>
      </c>
      <c r="X413" s="145">
        <v>0.08</v>
      </c>
      <c r="Y413" s="145">
        <v>0.02</v>
      </c>
      <c r="Z413" s="145">
        <v>0.09</v>
      </c>
      <c r="AA413" s="145">
        <v>0.6</v>
      </c>
      <c r="AB413" s="145">
        <v>1.3</v>
      </c>
      <c r="AC413" s="145">
        <v>0.73</v>
      </c>
      <c r="AD413" s="145" t="s">
        <v>400</v>
      </c>
      <c r="AE413" s="145">
        <v>14</v>
      </c>
      <c r="AF413" s="145" t="s">
        <v>400</v>
      </c>
      <c r="AG413" s="145">
        <v>0.83</v>
      </c>
      <c r="AH413" s="145" t="s">
        <v>400</v>
      </c>
      <c r="AI413" s="145">
        <v>381</v>
      </c>
      <c r="AJ413" s="145">
        <v>2.2000000000000002</v>
      </c>
      <c r="AK413" s="145">
        <v>1.83</v>
      </c>
      <c r="AL413" s="145">
        <v>3.9</v>
      </c>
      <c r="AM413" s="145" t="s">
        <v>400</v>
      </c>
    </row>
    <row r="414" spans="1:39">
      <c r="A414" s="143" t="s">
        <v>1473</v>
      </c>
      <c r="B414" s="144">
        <v>100</v>
      </c>
      <c r="C414" s="145">
        <v>35</v>
      </c>
      <c r="D414" s="145">
        <v>0.83</v>
      </c>
      <c r="E414" s="145">
        <v>0.23</v>
      </c>
      <c r="F414" s="145">
        <v>0.04</v>
      </c>
      <c r="G414" s="145">
        <v>0.02</v>
      </c>
      <c r="H414" s="145">
        <v>0.09</v>
      </c>
      <c r="I414" s="145">
        <v>0.08</v>
      </c>
      <c r="J414" s="145">
        <v>0.02</v>
      </c>
      <c r="K414" s="145" t="s">
        <v>400</v>
      </c>
      <c r="L414" s="145">
        <v>8.73</v>
      </c>
      <c r="M414" s="145">
        <v>2.5</v>
      </c>
      <c r="N414" s="145">
        <v>6</v>
      </c>
      <c r="O414" s="145">
        <v>11</v>
      </c>
      <c r="P414" s="145">
        <v>0.11</v>
      </c>
      <c r="Q414" s="145">
        <v>15</v>
      </c>
      <c r="R414" s="145">
        <v>0.25</v>
      </c>
      <c r="S414" s="145">
        <v>1</v>
      </c>
      <c r="T414" s="145">
        <v>123</v>
      </c>
      <c r="U414" s="145">
        <v>0.06</v>
      </c>
      <c r="V414" s="145">
        <v>0.12</v>
      </c>
      <c r="W414" s="145" t="s">
        <v>400</v>
      </c>
      <c r="X414" s="145">
        <v>0.08</v>
      </c>
      <c r="Y414" s="145">
        <v>0.02</v>
      </c>
      <c r="Z414" s="145">
        <v>0.09</v>
      </c>
      <c r="AA414" s="145">
        <v>0.6</v>
      </c>
      <c r="AB414" s="145">
        <v>1.3</v>
      </c>
      <c r="AC414" s="145">
        <v>0.73</v>
      </c>
      <c r="AD414" s="145" t="s">
        <v>400</v>
      </c>
      <c r="AE414" s="145">
        <v>14</v>
      </c>
      <c r="AF414" s="145" t="s">
        <v>400</v>
      </c>
      <c r="AG414" s="145">
        <v>0.41</v>
      </c>
      <c r="AH414" s="145" t="s">
        <v>400</v>
      </c>
      <c r="AI414" s="145">
        <v>381</v>
      </c>
      <c r="AJ414" s="145">
        <v>0.1</v>
      </c>
      <c r="AK414" s="145">
        <v>1.83</v>
      </c>
      <c r="AL414" s="145">
        <v>3.9</v>
      </c>
      <c r="AM414" s="145" t="s">
        <v>400</v>
      </c>
    </row>
    <row r="415" spans="1:39">
      <c r="A415" s="143" t="s">
        <v>1474</v>
      </c>
      <c r="B415" s="144">
        <v>100</v>
      </c>
      <c r="C415" s="145">
        <v>75.55</v>
      </c>
      <c r="D415" s="145">
        <v>0.83</v>
      </c>
      <c r="E415" s="145">
        <v>4.82</v>
      </c>
      <c r="F415" s="145">
        <v>0.7</v>
      </c>
      <c r="G415" s="145">
        <v>1.0900000000000001</v>
      </c>
      <c r="H415" s="145">
        <v>2.75</v>
      </c>
      <c r="I415" s="145">
        <v>2.42</v>
      </c>
      <c r="J415" s="145">
        <v>0.33</v>
      </c>
      <c r="K415" s="145" t="s">
        <v>400</v>
      </c>
      <c r="L415" s="145">
        <v>8.73</v>
      </c>
      <c r="M415" s="145">
        <v>2.5</v>
      </c>
      <c r="N415" s="145">
        <v>6</v>
      </c>
      <c r="O415" s="145">
        <v>11</v>
      </c>
      <c r="P415" s="145">
        <v>0.11</v>
      </c>
      <c r="Q415" s="145">
        <v>15</v>
      </c>
      <c r="R415" s="145">
        <v>0.25</v>
      </c>
      <c r="S415" s="145">
        <v>1</v>
      </c>
      <c r="T415" s="145">
        <v>123</v>
      </c>
      <c r="U415" s="145">
        <v>0.06</v>
      </c>
      <c r="V415" s="145">
        <v>0.12</v>
      </c>
      <c r="W415" s="145" t="s">
        <v>400</v>
      </c>
      <c r="X415" s="145">
        <v>0.08</v>
      </c>
      <c r="Y415" s="145">
        <v>0.02</v>
      </c>
      <c r="Z415" s="145">
        <v>0.09</v>
      </c>
      <c r="AA415" s="145">
        <v>0.6</v>
      </c>
      <c r="AB415" s="145">
        <v>1.3</v>
      </c>
      <c r="AC415" s="145">
        <v>0.73</v>
      </c>
      <c r="AD415" s="145" t="s">
        <v>400</v>
      </c>
      <c r="AE415" s="145">
        <v>14</v>
      </c>
      <c r="AF415" s="145" t="s">
        <v>400</v>
      </c>
      <c r="AG415" s="145">
        <v>0.83</v>
      </c>
      <c r="AH415" s="145" t="s">
        <v>400</v>
      </c>
      <c r="AI415" s="145">
        <v>381</v>
      </c>
      <c r="AJ415" s="145">
        <v>2.2000000000000002</v>
      </c>
      <c r="AK415" s="145">
        <v>1.83</v>
      </c>
      <c r="AL415" s="145">
        <v>3.9</v>
      </c>
      <c r="AM415" s="145" t="s">
        <v>400</v>
      </c>
    </row>
    <row r="416" spans="1:39">
      <c r="A416" s="143" t="s">
        <v>1475</v>
      </c>
      <c r="B416" s="144">
        <v>100</v>
      </c>
      <c r="C416" s="145">
        <v>35</v>
      </c>
      <c r="D416" s="145">
        <v>0.83</v>
      </c>
      <c r="E416" s="145">
        <v>0.23</v>
      </c>
      <c r="F416" s="145">
        <v>0.04</v>
      </c>
      <c r="G416" s="145">
        <v>0.02</v>
      </c>
      <c r="H416" s="145">
        <v>0.09</v>
      </c>
      <c r="I416" s="145">
        <v>0.08</v>
      </c>
      <c r="J416" s="145">
        <v>0.02</v>
      </c>
      <c r="K416" s="145" t="s">
        <v>400</v>
      </c>
      <c r="L416" s="145">
        <v>8.73</v>
      </c>
      <c r="M416" s="145">
        <v>2.5</v>
      </c>
      <c r="N416" s="145">
        <v>6</v>
      </c>
      <c r="O416" s="145">
        <v>11</v>
      </c>
      <c r="P416" s="145">
        <v>0.11</v>
      </c>
      <c r="Q416" s="145">
        <v>15</v>
      </c>
      <c r="R416" s="145">
        <v>0.25</v>
      </c>
      <c r="S416" s="145">
        <v>1</v>
      </c>
      <c r="T416" s="145">
        <v>123</v>
      </c>
      <c r="U416" s="145">
        <v>0.06</v>
      </c>
      <c r="V416" s="145">
        <v>0.12</v>
      </c>
      <c r="W416" s="145" t="s">
        <v>400</v>
      </c>
      <c r="X416" s="145">
        <v>0.08</v>
      </c>
      <c r="Y416" s="145">
        <v>0.02</v>
      </c>
      <c r="Z416" s="145">
        <v>0.09</v>
      </c>
      <c r="AA416" s="145">
        <v>0.6</v>
      </c>
      <c r="AB416" s="145">
        <v>1.3</v>
      </c>
      <c r="AC416" s="145">
        <v>0.73</v>
      </c>
      <c r="AD416" s="145" t="s">
        <v>400</v>
      </c>
      <c r="AE416" s="145">
        <v>14</v>
      </c>
      <c r="AF416" s="145" t="s">
        <v>400</v>
      </c>
      <c r="AG416" s="145">
        <v>0.41</v>
      </c>
      <c r="AH416" s="145" t="s">
        <v>400</v>
      </c>
      <c r="AI416" s="145">
        <v>381</v>
      </c>
      <c r="AJ416" s="145">
        <v>0.1</v>
      </c>
      <c r="AK416" s="145">
        <v>1.83</v>
      </c>
      <c r="AL416" s="145">
        <v>3.9</v>
      </c>
      <c r="AM416" s="145" t="s">
        <v>400</v>
      </c>
    </row>
    <row r="417" spans="1:39">
      <c r="A417" s="143" t="s">
        <v>1476</v>
      </c>
      <c r="B417" s="144">
        <v>100</v>
      </c>
      <c r="C417" s="145">
        <v>67.093000000000004</v>
      </c>
      <c r="D417" s="145">
        <v>3.27</v>
      </c>
      <c r="E417" s="145">
        <v>3.069</v>
      </c>
      <c r="F417" s="145">
        <v>0.48799999999999999</v>
      </c>
      <c r="G417" s="145">
        <v>0.67</v>
      </c>
      <c r="H417" s="145">
        <v>1.7390000000000001</v>
      </c>
      <c r="I417" s="145">
        <v>1.5309999999999999</v>
      </c>
      <c r="J417" s="145">
        <v>0.20799999999999999</v>
      </c>
      <c r="K417" s="145" t="s">
        <v>400</v>
      </c>
      <c r="L417" s="145">
        <v>7.05</v>
      </c>
      <c r="M417" s="145">
        <v>2.8</v>
      </c>
      <c r="N417" s="145">
        <v>42.146000000000001</v>
      </c>
      <c r="O417" s="145">
        <v>26.006</v>
      </c>
      <c r="P417" s="145">
        <v>0.16900000000000001</v>
      </c>
      <c r="Q417" s="145">
        <v>55</v>
      </c>
      <c r="R417" s="145">
        <v>1.9730000000000001</v>
      </c>
      <c r="S417" s="145">
        <v>239.77799999999999</v>
      </c>
      <c r="T417" s="145">
        <v>240.04900000000001</v>
      </c>
      <c r="U417" s="145">
        <v>7.6999999999999999E-2</v>
      </c>
      <c r="V417" s="145">
        <v>0.371</v>
      </c>
      <c r="W417" s="145" t="s">
        <v>400</v>
      </c>
      <c r="X417" s="145">
        <v>0.128</v>
      </c>
      <c r="Y417" s="145">
        <v>7.5999999999999998E-2</v>
      </c>
      <c r="Z417" s="146">
        <v>0.14399999999999999</v>
      </c>
      <c r="AA417" s="145">
        <v>0.53900000000000003</v>
      </c>
      <c r="AB417" s="145">
        <v>47.9</v>
      </c>
      <c r="AC417" s="145">
        <v>1.0720000000000001</v>
      </c>
      <c r="AD417" s="145" t="s">
        <v>400</v>
      </c>
      <c r="AE417" s="145">
        <v>29</v>
      </c>
      <c r="AF417" s="145" t="s">
        <v>400</v>
      </c>
      <c r="AG417" s="145">
        <v>0.622</v>
      </c>
      <c r="AH417" s="145">
        <v>1.4999999999999999E-2</v>
      </c>
      <c r="AI417" s="145">
        <v>236</v>
      </c>
      <c r="AJ417" s="145">
        <v>2.0019999999999998</v>
      </c>
      <c r="AK417" s="145">
        <v>51.5</v>
      </c>
      <c r="AL417" s="145">
        <v>3.4</v>
      </c>
      <c r="AM417" s="145" t="s">
        <v>400</v>
      </c>
    </row>
    <row r="418" spans="1:39">
      <c r="A418" s="143" t="s">
        <v>1477</v>
      </c>
      <c r="B418" s="144">
        <v>100</v>
      </c>
      <c r="C418" s="145">
        <v>67.093000000000004</v>
      </c>
      <c r="D418" s="145">
        <v>3.27</v>
      </c>
      <c r="E418" s="145">
        <v>3.069</v>
      </c>
      <c r="F418" s="145">
        <v>0.48799999999999999</v>
      </c>
      <c r="G418" s="145">
        <v>0.67</v>
      </c>
      <c r="H418" s="145">
        <v>1.7390000000000001</v>
      </c>
      <c r="I418" s="145">
        <v>1.5309999999999999</v>
      </c>
      <c r="J418" s="145">
        <v>0.20799999999999999</v>
      </c>
      <c r="K418" s="145" t="s">
        <v>400</v>
      </c>
      <c r="L418" s="145">
        <v>7.05</v>
      </c>
      <c r="M418" s="145">
        <v>2.8</v>
      </c>
      <c r="N418" s="145">
        <v>42</v>
      </c>
      <c r="O418" s="145">
        <v>26</v>
      </c>
      <c r="P418" s="145">
        <v>0.16800000000000001</v>
      </c>
      <c r="Q418" s="145">
        <v>55</v>
      </c>
      <c r="R418" s="145">
        <v>1.9710000000000001</v>
      </c>
      <c r="S418" s="145">
        <v>4</v>
      </c>
      <c r="T418" s="145">
        <v>240</v>
      </c>
      <c r="U418" s="145">
        <v>7.6999999999999999E-2</v>
      </c>
      <c r="V418" s="145">
        <v>0.37</v>
      </c>
      <c r="W418" s="145" t="s">
        <v>400</v>
      </c>
      <c r="X418" s="145">
        <v>0.128</v>
      </c>
      <c r="Y418" s="145">
        <v>7.5999999999999998E-2</v>
      </c>
      <c r="Z418" s="145">
        <v>0.14399999999999999</v>
      </c>
      <c r="AA418" s="145">
        <v>0.53900000000000003</v>
      </c>
      <c r="AB418" s="145">
        <v>47.9</v>
      </c>
      <c r="AC418" s="145">
        <v>1.0720000000000001</v>
      </c>
      <c r="AD418" s="145" t="s">
        <v>400</v>
      </c>
      <c r="AE418" s="145">
        <v>29</v>
      </c>
      <c r="AF418" s="145" t="s">
        <v>400</v>
      </c>
      <c r="AG418" s="145">
        <v>0.622</v>
      </c>
      <c r="AH418" s="145">
        <v>1.4999999999999999E-2</v>
      </c>
      <c r="AI418" s="145">
        <v>236</v>
      </c>
      <c r="AJ418" s="145">
        <v>2.0009999999999999</v>
      </c>
      <c r="AK418" s="145">
        <v>51.5</v>
      </c>
      <c r="AL418" s="145">
        <v>3.4</v>
      </c>
      <c r="AM418" s="145" t="s">
        <v>400</v>
      </c>
    </row>
    <row r="419" spans="1:39">
      <c r="A419" s="143" t="s">
        <v>1478</v>
      </c>
      <c r="B419" s="144">
        <v>100</v>
      </c>
      <c r="C419" s="145">
        <v>40</v>
      </c>
      <c r="D419" s="145">
        <v>1.1000000000000001</v>
      </c>
      <c r="E419" s="145">
        <v>0.1</v>
      </c>
      <c r="F419" s="145">
        <v>0.04</v>
      </c>
      <c r="G419" s="145">
        <v>0.01</v>
      </c>
      <c r="H419" s="145">
        <v>0.02</v>
      </c>
      <c r="I419" s="145">
        <v>0.01</v>
      </c>
      <c r="J419" s="145" t="s">
        <v>400</v>
      </c>
      <c r="K419" s="145" t="s">
        <v>400</v>
      </c>
      <c r="L419" s="145">
        <v>9.34</v>
      </c>
      <c r="M419" s="145">
        <v>1.93</v>
      </c>
      <c r="N419" s="145">
        <v>23</v>
      </c>
      <c r="O419" s="145">
        <v>10</v>
      </c>
      <c r="P419" s="145">
        <v>0.13</v>
      </c>
      <c r="Q419" s="145">
        <v>29</v>
      </c>
      <c r="R419" s="145">
        <v>0.21</v>
      </c>
      <c r="S419" s="145">
        <v>4</v>
      </c>
      <c r="T419" s="145">
        <v>146</v>
      </c>
      <c r="U419" s="145">
        <v>0.04</v>
      </c>
      <c r="V419" s="145">
        <v>0.17</v>
      </c>
      <c r="W419" s="145" t="s">
        <v>400</v>
      </c>
      <c r="X419" s="145">
        <v>0.05</v>
      </c>
      <c r="Y419" s="145">
        <v>0.03</v>
      </c>
      <c r="Z419" s="145">
        <v>0.12</v>
      </c>
      <c r="AA419" s="145">
        <v>0.12</v>
      </c>
      <c r="AB419" s="145">
        <v>7.4</v>
      </c>
      <c r="AC419" s="145">
        <v>0.35</v>
      </c>
      <c r="AD419" s="145" t="s">
        <v>400</v>
      </c>
      <c r="AE419" s="145">
        <v>19</v>
      </c>
      <c r="AF419" s="145" t="s">
        <v>400</v>
      </c>
      <c r="AG419" s="145">
        <v>0.02</v>
      </c>
      <c r="AH419" s="145" t="s">
        <v>400</v>
      </c>
      <c r="AI419" s="145" t="s">
        <v>400</v>
      </c>
      <c r="AJ419" s="145">
        <v>0.5</v>
      </c>
      <c r="AK419" s="145">
        <v>0.08</v>
      </c>
      <c r="AL419" s="145">
        <v>4.26</v>
      </c>
      <c r="AM419" s="145" t="s">
        <v>400</v>
      </c>
    </row>
    <row r="420" spans="1:39">
      <c r="A420" s="143" t="s">
        <v>1479</v>
      </c>
      <c r="B420" s="144">
        <v>100</v>
      </c>
      <c r="C420" s="145">
        <v>44</v>
      </c>
      <c r="D420" s="145">
        <v>1.36</v>
      </c>
      <c r="E420" s="145">
        <v>0.19</v>
      </c>
      <c r="F420" s="145">
        <v>3.1E-2</v>
      </c>
      <c r="G420" s="145">
        <v>2.7E-2</v>
      </c>
      <c r="H420" s="145">
        <v>7.2999999999999995E-2</v>
      </c>
      <c r="I420" s="145">
        <v>7.0000000000000007E-2</v>
      </c>
      <c r="J420" s="145">
        <v>4.0000000000000001E-3</v>
      </c>
      <c r="K420" s="145" t="s">
        <v>400</v>
      </c>
      <c r="L420" s="145">
        <v>10.15</v>
      </c>
      <c r="M420" s="145">
        <v>1.4</v>
      </c>
      <c r="N420" s="145">
        <v>22</v>
      </c>
      <c r="O420" s="145">
        <v>11</v>
      </c>
      <c r="P420" s="145">
        <v>0.153</v>
      </c>
      <c r="Q420" s="145">
        <v>35</v>
      </c>
      <c r="R420" s="145">
        <v>0.24</v>
      </c>
      <c r="S420" s="145">
        <v>3</v>
      </c>
      <c r="T420" s="145">
        <v>166</v>
      </c>
      <c r="U420" s="145">
        <v>6.7000000000000004E-2</v>
      </c>
      <c r="V420" s="145">
        <v>0.21</v>
      </c>
      <c r="W420" s="145" t="s">
        <v>400</v>
      </c>
      <c r="X420" s="145">
        <v>4.2000000000000003E-2</v>
      </c>
      <c r="Y420" s="145">
        <v>2.3E-2</v>
      </c>
      <c r="Z420" s="146">
        <v>0.129</v>
      </c>
      <c r="AA420" s="145">
        <v>0.16500000000000001</v>
      </c>
      <c r="AB420" s="145">
        <v>5.2</v>
      </c>
      <c r="AC420" s="145">
        <v>0.498</v>
      </c>
      <c r="AD420" s="145" t="s">
        <v>400</v>
      </c>
      <c r="AE420" s="145">
        <v>15</v>
      </c>
      <c r="AF420" s="145" t="s">
        <v>400</v>
      </c>
      <c r="AG420" s="145">
        <v>0.01</v>
      </c>
      <c r="AH420" s="145" t="s">
        <v>400</v>
      </c>
      <c r="AI420" s="145">
        <v>180</v>
      </c>
      <c r="AJ420" s="145">
        <v>0.6</v>
      </c>
      <c r="AK420" s="145">
        <v>8.3000000000000004E-2</v>
      </c>
      <c r="AL420" s="145">
        <v>4.7300000000000004</v>
      </c>
      <c r="AM420" s="145" t="s">
        <v>400</v>
      </c>
    </row>
    <row r="421" spans="1:39">
      <c r="A421" s="143" t="s">
        <v>1480</v>
      </c>
      <c r="B421" s="144">
        <v>100</v>
      </c>
      <c r="C421" s="145">
        <v>44</v>
      </c>
      <c r="D421" s="145">
        <v>1.36</v>
      </c>
      <c r="E421" s="145">
        <v>0.19</v>
      </c>
      <c r="F421" s="145">
        <v>3.1E-2</v>
      </c>
      <c r="G421" s="145">
        <v>2.7E-2</v>
      </c>
      <c r="H421" s="145">
        <v>7.2999999999999995E-2</v>
      </c>
      <c r="I421" s="145">
        <v>7.0000000000000007E-2</v>
      </c>
      <c r="J421" s="145">
        <v>4.0000000000000001E-3</v>
      </c>
      <c r="K421" s="145" t="s">
        <v>400</v>
      </c>
      <c r="L421" s="145">
        <v>10.15</v>
      </c>
      <c r="M421" s="145">
        <v>1.4</v>
      </c>
      <c r="N421" s="145">
        <v>22</v>
      </c>
      <c r="O421" s="145">
        <v>11</v>
      </c>
      <c r="P421" s="145">
        <v>0.153</v>
      </c>
      <c r="Q421" s="145">
        <v>35</v>
      </c>
      <c r="R421" s="145">
        <v>0.24</v>
      </c>
      <c r="S421" s="145">
        <v>3</v>
      </c>
      <c r="T421" s="145">
        <v>166</v>
      </c>
      <c r="U421" s="145">
        <v>6.7000000000000004E-2</v>
      </c>
      <c r="V421" s="145">
        <v>0.21</v>
      </c>
      <c r="W421" s="145" t="s">
        <v>400</v>
      </c>
      <c r="X421" s="145">
        <v>4.2000000000000003E-2</v>
      </c>
      <c r="Y421" s="145">
        <v>2.3E-2</v>
      </c>
      <c r="Z421" s="146">
        <v>0.129</v>
      </c>
      <c r="AA421" s="145">
        <v>0.16500000000000001</v>
      </c>
      <c r="AB421" s="145">
        <v>5.2</v>
      </c>
      <c r="AC421" s="145">
        <v>0.498</v>
      </c>
      <c r="AD421" s="145" t="s">
        <v>400</v>
      </c>
      <c r="AE421" s="145">
        <v>15</v>
      </c>
      <c r="AF421" s="145" t="s">
        <v>400</v>
      </c>
      <c r="AG421" s="145">
        <v>0.01</v>
      </c>
      <c r="AH421" s="145" t="s">
        <v>400</v>
      </c>
      <c r="AI421" s="145">
        <v>180</v>
      </c>
      <c r="AJ421" s="145">
        <v>0.6</v>
      </c>
      <c r="AK421" s="145">
        <v>8.3000000000000004E-2</v>
      </c>
      <c r="AL421" s="145">
        <v>4.7300000000000004</v>
      </c>
      <c r="AM421" s="145" t="s">
        <v>400</v>
      </c>
    </row>
    <row r="422" spans="1:39">
      <c r="A422" s="143" t="s">
        <v>1481</v>
      </c>
      <c r="B422" s="144">
        <v>100</v>
      </c>
      <c r="C422" s="145">
        <v>44</v>
      </c>
      <c r="D422" s="145">
        <v>1.36</v>
      </c>
      <c r="E422" s="145">
        <v>0.19</v>
      </c>
      <c r="F422" s="145">
        <v>3.1E-2</v>
      </c>
      <c r="G422" s="145">
        <v>2.7E-2</v>
      </c>
      <c r="H422" s="145">
        <v>7.2999999999999995E-2</v>
      </c>
      <c r="I422" s="145">
        <v>7.0000000000000007E-2</v>
      </c>
      <c r="J422" s="145">
        <v>4.0000000000000001E-3</v>
      </c>
      <c r="K422" s="145" t="s">
        <v>400</v>
      </c>
      <c r="L422" s="145">
        <v>10.15</v>
      </c>
      <c r="M422" s="145">
        <v>1.4</v>
      </c>
      <c r="N422" s="145">
        <v>22</v>
      </c>
      <c r="O422" s="145">
        <v>11</v>
      </c>
      <c r="P422" s="145">
        <v>0.153</v>
      </c>
      <c r="Q422" s="145">
        <v>35</v>
      </c>
      <c r="R422" s="145">
        <v>0.24</v>
      </c>
      <c r="S422" s="145">
        <v>3</v>
      </c>
      <c r="T422" s="145">
        <v>166</v>
      </c>
      <c r="U422" s="145">
        <v>6.7000000000000004E-2</v>
      </c>
      <c r="V422" s="145">
        <v>0.21</v>
      </c>
      <c r="W422" s="145" t="s">
        <v>400</v>
      </c>
      <c r="X422" s="145">
        <v>4.2000000000000003E-2</v>
      </c>
      <c r="Y422" s="145">
        <v>2.3E-2</v>
      </c>
      <c r="Z422" s="146">
        <v>0.129</v>
      </c>
      <c r="AA422" s="145">
        <v>0.16500000000000001</v>
      </c>
      <c r="AB422" s="145">
        <v>5.2</v>
      </c>
      <c r="AC422" s="145">
        <v>0.498</v>
      </c>
      <c r="AD422" s="145" t="s">
        <v>400</v>
      </c>
      <c r="AE422" s="145">
        <v>15</v>
      </c>
      <c r="AF422" s="145" t="s">
        <v>400</v>
      </c>
      <c r="AG422" s="145">
        <v>0.01</v>
      </c>
      <c r="AH422" s="145" t="s">
        <v>400</v>
      </c>
      <c r="AI422" s="145">
        <v>180</v>
      </c>
      <c r="AJ422" s="145">
        <v>0.6</v>
      </c>
      <c r="AK422" s="145">
        <v>8.3000000000000004E-2</v>
      </c>
      <c r="AL422" s="145">
        <v>4.7300000000000004</v>
      </c>
      <c r="AM422" s="145" t="s">
        <v>400</v>
      </c>
    </row>
    <row r="423" spans="1:39">
      <c r="A423" s="143" t="s">
        <v>1482</v>
      </c>
      <c r="B423" s="144">
        <v>100</v>
      </c>
      <c r="C423" s="145">
        <v>63.118000000000002</v>
      </c>
      <c r="D423" s="145">
        <v>1.36</v>
      </c>
      <c r="E423" s="145">
        <v>2.3530000000000002</v>
      </c>
      <c r="F423" s="145">
        <v>0.36899999999999999</v>
      </c>
      <c r="G423" s="145">
        <v>0.52</v>
      </c>
      <c r="H423" s="145">
        <v>1.3220000000000001</v>
      </c>
      <c r="I423" s="145">
        <v>1.1719999999999999</v>
      </c>
      <c r="J423" s="145">
        <v>0.151</v>
      </c>
      <c r="K423" s="145" t="s">
        <v>400</v>
      </c>
      <c r="L423" s="145">
        <v>10.15</v>
      </c>
      <c r="M423" s="145">
        <v>1.4</v>
      </c>
      <c r="N423" s="145">
        <v>22</v>
      </c>
      <c r="O423" s="145">
        <v>11</v>
      </c>
      <c r="P423" s="145">
        <v>0.153</v>
      </c>
      <c r="Q423" s="145">
        <v>35</v>
      </c>
      <c r="R423" s="145">
        <v>0.24099999999999999</v>
      </c>
      <c r="S423" s="145">
        <v>3</v>
      </c>
      <c r="T423" s="145">
        <v>166</v>
      </c>
      <c r="U423" s="145">
        <v>6.7000000000000004E-2</v>
      </c>
      <c r="V423" s="145">
        <v>0.21</v>
      </c>
      <c r="W423" s="145" t="s">
        <v>400</v>
      </c>
      <c r="X423" s="145">
        <v>4.2000000000000003E-2</v>
      </c>
      <c r="Y423" s="145">
        <v>2.3E-2</v>
      </c>
      <c r="Z423" s="146">
        <v>0.129</v>
      </c>
      <c r="AA423" s="145">
        <v>0.16500000000000001</v>
      </c>
      <c r="AB423" s="145">
        <v>5.2</v>
      </c>
      <c r="AC423" s="145">
        <v>0.498</v>
      </c>
      <c r="AD423" s="145" t="s">
        <v>400</v>
      </c>
      <c r="AE423" s="145">
        <v>15</v>
      </c>
      <c r="AF423" s="145" t="s">
        <v>400</v>
      </c>
      <c r="AG423" s="145">
        <v>0.187</v>
      </c>
      <c r="AH423" s="145">
        <v>1.2E-2</v>
      </c>
      <c r="AI423" s="145">
        <v>180</v>
      </c>
      <c r="AJ423" s="145">
        <v>1.591</v>
      </c>
      <c r="AK423" s="145">
        <v>8.3000000000000004E-2</v>
      </c>
      <c r="AL423" s="145">
        <v>4.7300000000000004</v>
      </c>
      <c r="AM423" s="145" t="s">
        <v>400</v>
      </c>
    </row>
    <row r="424" spans="1:39">
      <c r="A424" s="143" t="s">
        <v>1483</v>
      </c>
      <c r="B424" s="144">
        <v>100</v>
      </c>
      <c r="C424" s="145">
        <v>63.118000000000002</v>
      </c>
      <c r="D424" s="145">
        <v>1.36</v>
      </c>
      <c r="E424" s="145">
        <v>2.3530000000000002</v>
      </c>
      <c r="F424" s="145">
        <v>0.36899999999999999</v>
      </c>
      <c r="G424" s="145">
        <v>0.52</v>
      </c>
      <c r="H424" s="145">
        <v>1.3220000000000001</v>
      </c>
      <c r="I424" s="145">
        <v>1.1719999999999999</v>
      </c>
      <c r="J424" s="145">
        <v>0.151</v>
      </c>
      <c r="K424" s="145" t="s">
        <v>400</v>
      </c>
      <c r="L424" s="145">
        <v>10.15</v>
      </c>
      <c r="M424" s="145">
        <v>1.4</v>
      </c>
      <c r="N424" s="145">
        <v>22</v>
      </c>
      <c r="O424" s="145">
        <v>11</v>
      </c>
      <c r="P424" s="145">
        <v>0.153</v>
      </c>
      <c r="Q424" s="145">
        <v>35</v>
      </c>
      <c r="R424" s="145">
        <v>0.24099999999999999</v>
      </c>
      <c r="S424" s="145">
        <v>3</v>
      </c>
      <c r="T424" s="145">
        <v>166</v>
      </c>
      <c r="U424" s="145">
        <v>6.7000000000000004E-2</v>
      </c>
      <c r="V424" s="145">
        <v>0.21</v>
      </c>
      <c r="W424" s="145" t="s">
        <v>400</v>
      </c>
      <c r="X424" s="145">
        <v>4.2000000000000003E-2</v>
      </c>
      <c r="Y424" s="145">
        <v>2.3E-2</v>
      </c>
      <c r="Z424" s="146">
        <v>0.129</v>
      </c>
      <c r="AA424" s="145">
        <v>0.16500000000000001</v>
      </c>
      <c r="AB424" s="145">
        <v>5.2</v>
      </c>
      <c r="AC424" s="145">
        <v>0.498</v>
      </c>
      <c r="AD424" s="145" t="s">
        <v>400</v>
      </c>
      <c r="AE424" s="145">
        <v>15</v>
      </c>
      <c r="AF424" s="145" t="s">
        <v>400</v>
      </c>
      <c r="AG424" s="145">
        <v>0.187</v>
      </c>
      <c r="AH424" s="145">
        <v>1.2E-2</v>
      </c>
      <c r="AI424" s="145">
        <v>180</v>
      </c>
      <c r="AJ424" s="145">
        <v>1.591</v>
      </c>
      <c r="AK424" s="145">
        <v>8.3000000000000004E-2</v>
      </c>
      <c r="AL424" s="145">
        <v>4.7300000000000004</v>
      </c>
      <c r="AM424" s="145" t="s">
        <v>400</v>
      </c>
    </row>
    <row r="425" spans="1:39">
      <c r="A425" s="143" t="s">
        <v>1484</v>
      </c>
      <c r="B425" s="144">
        <v>100</v>
      </c>
      <c r="C425" s="145">
        <v>40</v>
      </c>
      <c r="D425" s="145">
        <v>1.3520000000000001</v>
      </c>
      <c r="E425" s="145">
        <v>0.188</v>
      </c>
      <c r="F425" s="145">
        <v>0.03</v>
      </c>
      <c r="G425" s="145">
        <v>2.7E-2</v>
      </c>
      <c r="H425" s="145">
        <v>7.2999999999999995E-2</v>
      </c>
      <c r="I425" s="145">
        <v>7.0000000000000007E-2</v>
      </c>
      <c r="J425" s="145">
        <v>4.0000000000000001E-3</v>
      </c>
      <c r="K425" s="145" t="s">
        <v>400</v>
      </c>
      <c r="L425" s="145">
        <v>9.1959999999999997</v>
      </c>
      <c r="M425" s="145">
        <v>1.42</v>
      </c>
      <c r="N425" s="145">
        <v>20.2</v>
      </c>
      <c r="O425" s="145">
        <v>12</v>
      </c>
      <c r="P425" s="145">
        <v>0.14399999999999999</v>
      </c>
      <c r="Q425" s="145">
        <v>33.200000000000003</v>
      </c>
      <c r="R425" s="145">
        <v>0.39600000000000002</v>
      </c>
      <c r="S425" s="145">
        <v>107.2</v>
      </c>
      <c r="T425" s="145">
        <v>199</v>
      </c>
      <c r="U425" s="145">
        <v>7.6999999999999999E-2</v>
      </c>
      <c r="V425" s="145">
        <v>0.20799999999999999</v>
      </c>
      <c r="W425" s="145" t="s">
        <v>400</v>
      </c>
      <c r="X425" s="145">
        <v>3.7999999999999999E-2</v>
      </c>
      <c r="Y425" s="145">
        <v>3.2000000000000001E-2</v>
      </c>
      <c r="Z425" s="145">
        <v>0.123</v>
      </c>
      <c r="AA425" s="145">
        <v>0.32700000000000001</v>
      </c>
      <c r="AB425" s="145">
        <v>5.56</v>
      </c>
      <c r="AC425" s="145">
        <v>0.627</v>
      </c>
      <c r="AD425" s="145" t="s">
        <v>400</v>
      </c>
      <c r="AE425" s="145">
        <v>14.2</v>
      </c>
      <c r="AF425" s="145" t="s">
        <v>400</v>
      </c>
      <c r="AG425" s="145">
        <v>0.29199999999999998</v>
      </c>
      <c r="AH425" s="145" t="s">
        <v>400</v>
      </c>
      <c r="AI425" s="145">
        <v>180</v>
      </c>
      <c r="AJ425" s="145">
        <v>0.52</v>
      </c>
      <c r="AK425" s="145">
        <v>3.55</v>
      </c>
      <c r="AL425" s="145">
        <v>4.6340000000000003</v>
      </c>
      <c r="AM425" s="145" t="s">
        <v>400</v>
      </c>
    </row>
    <row r="426" spans="1:39">
      <c r="A426" s="143" t="s">
        <v>1485</v>
      </c>
      <c r="B426" s="144">
        <v>100</v>
      </c>
      <c r="C426" s="145">
        <v>60.146999999999998</v>
      </c>
      <c r="D426" s="145">
        <v>1.379</v>
      </c>
      <c r="E426" s="145">
        <v>2.0169999999999999</v>
      </c>
      <c r="F426" s="145">
        <v>1.1879999999999999</v>
      </c>
      <c r="G426" s="145">
        <v>0.5</v>
      </c>
      <c r="H426" s="145">
        <v>0.14199999999999999</v>
      </c>
      <c r="I426" s="145">
        <v>0.13100000000000001</v>
      </c>
      <c r="J426" s="145">
        <v>1.0999999999999999E-2</v>
      </c>
      <c r="K426" s="145">
        <v>4.8419999999999996</v>
      </c>
      <c r="L426" s="145">
        <v>10.151</v>
      </c>
      <c r="M426" s="145">
        <v>1.4</v>
      </c>
      <c r="N426" s="145">
        <v>22.54</v>
      </c>
      <c r="O426" s="145">
        <v>11.045</v>
      </c>
      <c r="P426" s="145">
        <v>0.153</v>
      </c>
      <c r="Q426" s="145">
        <v>35.54</v>
      </c>
      <c r="R426" s="145">
        <v>0.24</v>
      </c>
      <c r="S426" s="145">
        <v>15.971</v>
      </c>
      <c r="T426" s="145">
        <v>166.54</v>
      </c>
      <c r="U426" s="145">
        <v>6.7000000000000004E-2</v>
      </c>
      <c r="V426" s="145">
        <v>0.21199999999999999</v>
      </c>
      <c r="W426" s="145">
        <v>15.111000000000001</v>
      </c>
      <c r="X426" s="145">
        <v>4.2000000000000003E-2</v>
      </c>
      <c r="Y426" s="145">
        <v>2.4E-2</v>
      </c>
      <c r="Z426" s="145">
        <v>0.129</v>
      </c>
      <c r="AA426" s="145">
        <v>0.16600000000000001</v>
      </c>
      <c r="AB426" s="145">
        <v>5.2</v>
      </c>
      <c r="AC426" s="145">
        <v>0.504</v>
      </c>
      <c r="AD426" s="145">
        <v>4.0000000000000001E-3</v>
      </c>
      <c r="AE426" s="145">
        <v>15.068</v>
      </c>
      <c r="AF426" s="145">
        <v>3.2000000000000001E-2</v>
      </c>
      <c r="AG426" s="145">
        <v>6.2E-2</v>
      </c>
      <c r="AH426" s="145">
        <v>7.3999999999999996E-2</v>
      </c>
      <c r="AI426" s="145">
        <v>180</v>
      </c>
      <c r="AJ426" s="145">
        <v>0.623</v>
      </c>
      <c r="AK426" s="145">
        <v>15.491</v>
      </c>
      <c r="AL426" s="145">
        <v>4.7320000000000002</v>
      </c>
      <c r="AM426" s="145" t="s">
        <v>400</v>
      </c>
    </row>
    <row r="427" spans="1:39">
      <c r="A427" s="143" t="s">
        <v>1486</v>
      </c>
      <c r="B427" s="144">
        <v>100</v>
      </c>
      <c r="C427" s="145">
        <v>40</v>
      </c>
      <c r="D427" s="145">
        <v>1.1000000000000001</v>
      </c>
      <c r="E427" s="145">
        <v>0.1</v>
      </c>
      <c r="F427" s="145">
        <v>0.04</v>
      </c>
      <c r="G427" s="145">
        <v>0.01</v>
      </c>
      <c r="H427" s="145">
        <v>0.02</v>
      </c>
      <c r="I427" s="145">
        <v>0.01</v>
      </c>
      <c r="J427" s="145" t="s">
        <v>400</v>
      </c>
      <c r="K427" s="145" t="s">
        <v>400</v>
      </c>
      <c r="L427" s="145">
        <v>9.34</v>
      </c>
      <c r="M427" s="145">
        <v>1.93</v>
      </c>
      <c r="N427" s="145">
        <v>23</v>
      </c>
      <c r="O427" s="145">
        <v>10</v>
      </c>
      <c r="P427" s="145">
        <v>0.13</v>
      </c>
      <c r="Q427" s="145">
        <v>29</v>
      </c>
      <c r="R427" s="145">
        <v>0.21</v>
      </c>
      <c r="S427" s="145">
        <v>4</v>
      </c>
      <c r="T427" s="145">
        <v>146</v>
      </c>
      <c r="U427" s="145">
        <v>0.04</v>
      </c>
      <c r="V427" s="145">
        <v>0.17</v>
      </c>
      <c r="W427" s="145" t="s">
        <v>400</v>
      </c>
      <c r="X427" s="145">
        <v>0.05</v>
      </c>
      <c r="Y427" s="145">
        <v>0.03</v>
      </c>
      <c r="Z427" s="145">
        <v>0.12</v>
      </c>
      <c r="AA427" s="145">
        <v>0.12</v>
      </c>
      <c r="AB427" s="145">
        <v>7.4</v>
      </c>
      <c r="AC427" s="145">
        <v>0.35</v>
      </c>
      <c r="AD427" s="145" t="s">
        <v>400</v>
      </c>
      <c r="AE427" s="145">
        <v>19</v>
      </c>
      <c r="AF427" s="145" t="s">
        <v>400</v>
      </c>
      <c r="AG427" s="145">
        <v>0.02</v>
      </c>
      <c r="AH427" s="145" t="s">
        <v>400</v>
      </c>
      <c r="AI427" s="145" t="s">
        <v>400</v>
      </c>
      <c r="AJ427" s="145">
        <v>0.5</v>
      </c>
      <c r="AK427" s="145">
        <v>0.08</v>
      </c>
      <c r="AL427" s="145">
        <v>4.26</v>
      </c>
      <c r="AM427" s="145" t="s">
        <v>400</v>
      </c>
    </row>
    <row r="428" spans="1:39">
      <c r="A428" s="143" t="s">
        <v>1487</v>
      </c>
      <c r="B428" s="144">
        <v>100</v>
      </c>
      <c r="C428" s="145">
        <v>40</v>
      </c>
      <c r="D428" s="145">
        <v>1.1000000000000001</v>
      </c>
      <c r="E428" s="145">
        <v>0.1</v>
      </c>
      <c r="F428" s="145">
        <v>0.04</v>
      </c>
      <c r="G428" s="145">
        <v>0.01</v>
      </c>
      <c r="H428" s="145">
        <v>0.02</v>
      </c>
      <c r="I428" s="145">
        <v>0.01</v>
      </c>
      <c r="J428" s="145" t="s">
        <v>400</v>
      </c>
      <c r="K428" s="145" t="s">
        <v>400</v>
      </c>
      <c r="L428" s="145">
        <v>9.34</v>
      </c>
      <c r="M428" s="145">
        <v>1.93</v>
      </c>
      <c r="N428" s="145">
        <v>23</v>
      </c>
      <c r="O428" s="145">
        <v>10</v>
      </c>
      <c r="P428" s="145">
        <v>0.13</v>
      </c>
      <c r="Q428" s="145">
        <v>29</v>
      </c>
      <c r="R428" s="145">
        <v>0.21</v>
      </c>
      <c r="S428" s="145">
        <v>4</v>
      </c>
      <c r="T428" s="145">
        <v>146</v>
      </c>
      <c r="U428" s="145">
        <v>0.04</v>
      </c>
      <c r="V428" s="145">
        <v>0.17</v>
      </c>
      <c r="W428" s="145" t="s">
        <v>400</v>
      </c>
      <c r="X428" s="145">
        <v>0.05</v>
      </c>
      <c r="Y428" s="145">
        <v>0.03</v>
      </c>
      <c r="Z428" s="145">
        <v>0.12</v>
      </c>
      <c r="AA428" s="145">
        <v>0.12</v>
      </c>
      <c r="AB428" s="145">
        <v>7.4</v>
      </c>
      <c r="AC428" s="145">
        <v>0.35</v>
      </c>
      <c r="AD428" s="145" t="s">
        <v>400</v>
      </c>
      <c r="AE428" s="145">
        <v>19</v>
      </c>
      <c r="AF428" s="145" t="s">
        <v>400</v>
      </c>
      <c r="AG428" s="145">
        <v>0.02</v>
      </c>
      <c r="AH428" s="145" t="s">
        <v>400</v>
      </c>
      <c r="AI428" s="145" t="s">
        <v>400</v>
      </c>
      <c r="AJ428" s="145">
        <v>0.5</v>
      </c>
      <c r="AK428" s="145">
        <v>0.08</v>
      </c>
      <c r="AL428" s="145">
        <v>4.26</v>
      </c>
      <c r="AM428" s="145" t="s">
        <v>400</v>
      </c>
    </row>
    <row r="429" spans="1:39">
      <c r="A429" s="143" t="s">
        <v>1488</v>
      </c>
      <c r="B429" s="144">
        <v>100</v>
      </c>
      <c r="C429" s="145">
        <v>42.94</v>
      </c>
      <c r="D429" s="145">
        <v>1.88</v>
      </c>
      <c r="E429" s="145">
        <v>2.68</v>
      </c>
      <c r="F429" s="145">
        <v>0.39</v>
      </c>
      <c r="G429" s="145">
        <v>0.62</v>
      </c>
      <c r="H429" s="145">
        <v>1.53</v>
      </c>
      <c r="I429" s="145">
        <v>1.35</v>
      </c>
      <c r="J429" s="145">
        <v>0.18</v>
      </c>
      <c r="K429" s="145" t="s">
        <v>400</v>
      </c>
      <c r="L429" s="145">
        <v>4.13</v>
      </c>
      <c r="M429" s="145">
        <v>2.1</v>
      </c>
      <c r="N429" s="145">
        <v>58</v>
      </c>
      <c r="O429" s="145">
        <v>86</v>
      </c>
      <c r="P429" s="145">
        <v>0.33</v>
      </c>
      <c r="Q429" s="145">
        <v>33</v>
      </c>
      <c r="R429" s="145">
        <v>2.2599999999999998</v>
      </c>
      <c r="S429" s="145">
        <v>179</v>
      </c>
      <c r="T429" s="145">
        <v>549</v>
      </c>
      <c r="U429" s="145">
        <v>0.16</v>
      </c>
      <c r="V429" s="145">
        <v>0.33</v>
      </c>
      <c r="W429" s="145" t="s">
        <v>400</v>
      </c>
      <c r="X429" s="145">
        <v>0.03</v>
      </c>
      <c r="Y429" s="145">
        <v>0.09</v>
      </c>
      <c r="Z429" s="145">
        <v>0.09</v>
      </c>
      <c r="AA429" s="145">
        <v>0.36</v>
      </c>
      <c r="AB429" s="145">
        <v>18</v>
      </c>
      <c r="AC429" s="145">
        <v>0.66</v>
      </c>
      <c r="AD429" s="145" t="s">
        <v>400</v>
      </c>
      <c r="AE429" s="145">
        <v>9</v>
      </c>
      <c r="AF429" s="145" t="s">
        <v>400</v>
      </c>
      <c r="AG429" s="145">
        <v>2.13</v>
      </c>
      <c r="AH429" s="145" t="s">
        <v>400</v>
      </c>
      <c r="AI429" s="145" t="s">
        <v>400</v>
      </c>
      <c r="AJ429" s="145">
        <v>2.09</v>
      </c>
      <c r="AK429" s="145">
        <v>306.20999999999998</v>
      </c>
      <c r="AL429" s="145">
        <v>0.4</v>
      </c>
      <c r="AM429" s="145" t="s">
        <v>400</v>
      </c>
    </row>
    <row r="430" spans="1:39">
      <c r="A430" s="143" t="s">
        <v>1489</v>
      </c>
      <c r="B430" s="144">
        <v>100</v>
      </c>
      <c r="C430" s="145">
        <v>47</v>
      </c>
      <c r="D430" s="145">
        <v>2.5299999999999998</v>
      </c>
      <c r="E430" s="145">
        <v>0.26</v>
      </c>
      <c r="F430" s="145">
        <v>0.05</v>
      </c>
      <c r="G430" s="145">
        <v>0.01</v>
      </c>
      <c r="H430" s="145">
        <v>0.12</v>
      </c>
      <c r="I430" s="145">
        <v>0.1</v>
      </c>
      <c r="J430" s="145">
        <v>0.01</v>
      </c>
      <c r="K430" s="145" t="s">
        <v>400</v>
      </c>
      <c r="L430" s="145">
        <v>9.06</v>
      </c>
      <c r="M430" s="145">
        <v>2.8</v>
      </c>
      <c r="N430" s="145">
        <v>22.646000000000001</v>
      </c>
      <c r="O430" s="145">
        <v>12.506</v>
      </c>
      <c r="P430" s="145">
        <v>0.371</v>
      </c>
      <c r="Q430" s="145">
        <v>45.5</v>
      </c>
      <c r="R430" s="145">
        <v>0.79200000000000004</v>
      </c>
      <c r="S430" s="145">
        <v>482.77800000000002</v>
      </c>
      <c r="T430" s="145">
        <v>176.04900000000001</v>
      </c>
      <c r="U430" s="145">
        <v>0.09</v>
      </c>
      <c r="V430" s="145">
        <v>0.48099999999999998</v>
      </c>
      <c r="W430" s="145" t="s">
        <v>400</v>
      </c>
      <c r="X430" s="145">
        <v>7.0000000000000007E-2</v>
      </c>
      <c r="Y430" s="145">
        <v>0.05</v>
      </c>
      <c r="Z430" s="146">
        <v>0.08</v>
      </c>
      <c r="AA430" s="145">
        <v>0.63</v>
      </c>
      <c r="AB430" s="145">
        <v>6.15</v>
      </c>
      <c r="AC430" s="145">
        <v>0.79700000000000004</v>
      </c>
      <c r="AD430" s="145" t="s">
        <v>400</v>
      </c>
      <c r="AE430" s="145">
        <v>26.75</v>
      </c>
      <c r="AF430" s="145" t="s">
        <v>400</v>
      </c>
      <c r="AG430" s="145">
        <v>0.38500000000000001</v>
      </c>
      <c r="AH430" s="145" t="s">
        <v>400</v>
      </c>
      <c r="AI430" s="154" t="s">
        <v>400</v>
      </c>
      <c r="AJ430" s="145">
        <v>1.0509999999999999</v>
      </c>
      <c r="AK430" s="145">
        <v>292.66699999999997</v>
      </c>
      <c r="AL430" s="145">
        <v>3.2</v>
      </c>
      <c r="AM430" s="145" t="s">
        <v>400</v>
      </c>
    </row>
    <row r="431" spans="1:39">
      <c r="A431" s="143" t="s">
        <v>1490</v>
      </c>
      <c r="B431" s="144">
        <v>100</v>
      </c>
      <c r="C431" s="145">
        <v>47</v>
      </c>
      <c r="D431" s="145">
        <v>2.5299999999999998</v>
      </c>
      <c r="E431" s="145">
        <v>0.26</v>
      </c>
      <c r="F431" s="145">
        <v>0.05</v>
      </c>
      <c r="G431" s="145">
        <v>0.01</v>
      </c>
      <c r="H431" s="145">
        <v>0.12</v>
      </c>
      <c r="I431" s="145">
        <v>0.1</v>
      </c>
      <c r="J431" s="145">
        <v>0.01</v>
      </c>
      <c r="K431" s="145" t="s">
        <v>400</v>
      </c>
      <c r="L431" s="145">
        <v>9.06</v>
      </c>
      <c r="M431" s="145">
        <v>2.8</v>
      </c>
      <c r="N431" s="145">
        <v>22.646000000000001</v>
      </c>
      <c r="O431" s="145">
        <v>12.506</v>
      </c>
      <c r="P431" s="145">
        <v>0.371</v>
      </c>
      <c r="Q431" s="145">
        <v>45.5</v>
      </c>
      <c r="R431" s="145">
        <v>0.79200000000000004</v>
      </c>
      <c r="S431" s="145">
        <v>482.77800000000002</v>
      </c>
      <c r="T431" s="145">
        <v>176.04900000000001</v>
      </c>
      <c r="U431" s="145">
        <v>0.09</v>
      </c>
      <c r="V431" s="145">
        <v>0.48099999999999998</v>
      </c>
      <c r="W431" s="145" t="s">
        <v>400</v>
      </c>
      <c r="X431" s="145">
        <v>7.0000000000000007E-2</v>
      </c>
      <c r="Y431" s="145">
        <v>0.05</v>
      </c>
      <c r="Z431" s="146">
        <v>0.08</v>
      </c>
      <c r="AA431" s="145">
        <v>0.63</v>
      </c>
      <c r="AB431" s="145">
        <v>6.15</v>
      </c>
      <c r="AC431" s="145">
        <v>0.79700000000000004</v>
      </c>
      <c r="AD431" s="145" t="s">
        <v>400</v>
      </c>
      <c r="AE431" s="145">
        <v>26.75</v>
      </c>
      <c r="AF431" s="145" t="s">
        <v>400</v>
      </c>
      <c r="AG431" s="145">
        <v>0.38500000000000001</v>
      </c>
      <c r="AH431" s="145" t="s">
        <v>400</v>
      </c>
      <c r="AI431" s="154" t="s">
        <v>400</v>
      </c>
      <c r="AJ431" s="145">
        <v>1.0509999999999999</v>
      </c>
      <c r="AK431" s="145">
        <v>292.66699999999997</v>
      </c>
      <c r="AL431" s="145">
        <v>3.2</v>
      </c>
      <c r="AM431" s="145" t="s">
        <v>400</v>
      </c>
    </row>
    <row r="432" spans="1:39">
      <c r="A432" s="143" t="s">
        <v>1491</v>
      </c>
      <c r="B432" s="144">
        <v>100</v>
      </c>
      <c r="C432" s="145">
        <v>149</v>
      </c>
      <c r="D432" s="145">
        <v>6.36</v>
      </c>
      <c r="E432" s="145">
        <v>0.5</v>
      </c>
      <c r="F432" s="145">
        <v>0.09</v>
      </c>
      <c r="G432" s="145">
        <v>0.01</v>
      </c>
      <c r="H432" s="145">
        <v>0.25</v>
      </c>
      <c r="I432" s="145">
        <v>0.23</v>
      </c>
      <c r="J432" s="145">
        <v>0.02</v>
      </c>
      <c r="K432" s="145" t="s">
        <v>400</v>
      </c>
      <c r="L432" s="145">
        <v>33.06</v>
      </c>
      <c r="M432" s="145">
        <v>2.1</v>
      </c>
      <c r="N432" s="145">
        <v>181</v>
      </c>
      <c r="O432" s="145">
        <v>25</v>
      </c>
      <c r="P432" s="145">
        <v>1.67</v>
      </c>
      <c r="Q432" s="145">
        <v>153</v>
      </c>
      <c r="R432" s="145">
        <v>1.7</v>
      </c>
      <c r="S432" s="145">
        <v>17</v>
      </c>
      <c r="T432" s="145">
        <v>401</v>
      </c>
      <c r="U432" s="145">
        <v>0.3</v>
      </c>
      <c r="V432" s="145">
        <v>1.1599999999999999</v>
      </c>
      <c r="W432" s="145" t="s">
        <v>400</v>
      </c>
      <c r="X432" s="145">
        <v>0.2</v>
      </c>
      <c r="Y432" s="145">
        <v>0.11</v>
      </c>
      <c r="Z432" s="145">
        <v>1.24</v>
      </c>
      <c r="AA432" s="145">
        <v>0.7</v>
      </c>
      <c r="AB432" s="145">
        <v>31.2</v>
      </c>
      <c r="AC432" s="145">
        <v>1.8</v>
      </c>
      <c r="AD432" s="145" t="s">
        <v>400</v>
      </c>
      <c r="AE432" s="145">
        <v>3</v>
      </c>
      <c r="AF432" s="145" t="s">
        <v>400</v>
      </c>
      <c r="AG432" s="145">
        <v>0.01</v>
      </c>
      <c r="AH432" s="145" t="s">
        <v>400</v>
      </c>
      <c r="AI432" s="145" t="s">
        <v>400</v>
      </c>
      <c r="AJ432" s="145">
        <v>14.2</v>
      </c>
      <c r="AK432" s="145" t="s">
        <v>400</v>
      </c>
      <c r="AL432" s="145">
        <v>1.6</v>
      </c>
      <c r="AM432" s="145" t="s">
        <v>400</v>
      </c>
    </row>
    <row r="433" spans="1:39">
      <c r="A433" s="143" t="s">
        <v>1492</v>
      </c>
      <c r="B433" s="144">
        <v>100</v>
      </c>
      <c r="C433" s="145">
        <v>54.478999999999999</v>
      </c>
      <c r="D433" s="145">
        <v>0.81</v>
      </c>
      <c r="E433" s="145">
        <v>2.8559999999999999</v>
      </c>
      <c r="F433" s="145">
        <v>0.443</v>
      </c>
      <c r="G433" s="145">
        <v>0.60799999999999998</v>
      </c>
      <c r="H433" s="145">
        <v>1.645</v>
      </c>
      <c r="I433" s="145">
        <v>1.3979999999999999</v>
      </c>
      <c r="J433" s="145">
        <v>0.246</v>
      </c>
      <c r="K433" s="145" t="s">
        <v>400</v>
      </c>
      <c r="L433" s="145">
        <v>7.62</v>
      </c>
      <c r="M433" s="145">
        <v>1</v>
      </c>
      <c r="N433" s="145">
        <v>30</v>
      </c>
      <c r="O433" s="145">
        <v>14</v>
      </c>
      <c r="P433" s="145">
        <v>0.247</v>
      </c>
      <c r="Q433" s="145">
        <v>17</v>
      </c>
      <c r="R433" s="145">
        <v>1.101</v>
      </c>
      <c r="S433" s="145">
        <v>10</v>
      </c>
      <c r="T433" s="145">
        <v>87</v>
      </c>
      <c r="U433" s="145">
        <v>6.2E-2</v>
      </c>
      <c r="V433" s="145">
        <v>0.06</v>
      </c>
      <c r="W433" s="145" t="s">
        <v>400</v>
      </c>
      <c r="X433" s="145">
        <v>2.5999999999999999E-2</v>
      </c>
      <c r="Y433" s="145">
        <v>0.02</v>
      </c>
      <c r="Z433" s="146">
        <v>0.113</v>
      </c>
      <c r="AA433" s="145">
        <v>0.2</v>
      </c>
      <c r="AB433" s="145">
        <v>4.2</v>
      </c>
      <c r="AC433" s="145">
        <v>0.3</v>
      </c>
      <c r="AD433" s="145" t="s">
        <v>400</v>
      </c>
      <c r="AE433" s="145">
        <v>24</v>
      </c>
      <c r="AF433" s="145" t="s">
        <v>400</v>
      </c>
      <c r="AG433" s="145">
        <v>0.71399999999999997</v>
      </c>
      <c r="AH433" s="145">
        <v>1.4E-2</v>
      </c>
      <c r="AI433" s="145">
        <v>221</v>
      </c>
      <c r="AJ433" s="145">
        <v>1.7170000000000001</v>
      </c>
      <c r="AK433" s="145">
        <v>2.3330000000000002</v>
      </c>
      <c r="AL433" s="145">
        <v>1.9750000000000001</v>
      </c>
      <c r="AM433" s="145" t="s">
        <v>400</v>
      </c>
    </row>
    <row r="434" spans="1:39">
      <c r="A434" s="143" t="s">
        <v>1493</v>
      </c>
      <c r="B434" s="144">
        <v>100</v>
      </c>
      <c r="C434" s="145">
        <v>23</v>
      </c>
      <c r="D434" s="145">
        <v>3.99</v>
      </c>
      <c r="E434" s="145">
        <v>0.69</v>
      </c>
      <c r="F434" s="145">
        <v>6.9000000000000006E-2</v>
      </c>
      <c r="G434" s="145">
        <v>5.6000000000000001E-2</v>
      </c>
      <c r="H434" s="145">
        <v>0.40899999999999997</v>
      </c>
      <c r="I434" s="145">
        <v>0.23400000000000001</v>
      </c>
      <c r="J434" s="145">
        <v>0.17499999999999999</v>
      </c>
      <c r="K434" s="145" t="s">
        <v>400</v>
      </c>
      <c r="L434" s="145">
        <v>2.1</v>
      </c>
      <c r="M434" s="145">
        <v>1.9</v>
      </c>
      <c r="N434" s="145">
        <v>32</v>
      </c>
      <c r="O434" s="145">
        <v>27</v>
      </c>
      <c r="P434" s="145">
        <v>0.188</v>
      </c>
      <c r="Q434" s="145">
        <v>70</v>
      </c>
      <c r="R434" s="145">
        <v>0.96</v>
      </c>
      <c r="S434" s="145">
        <v>6</v>
      </c>
      <c r="T434" s="145">
        <v>79</v>
      </c>
      <c r="U434" s="145">
        <v>0.157</v>
      </c>
      <c r="V434" s="145">
        <v>0.92</v>
      </c>
      <c r="W434" s="145" t="s">
        <v>400</v>
      </c>
      <c r="X434" s="145">
        <v>7.5999999999999998E-2</v>
      </c>
      <c r="Y434" s="145">
        <v>0.126</v>
      </c>
      <c r="Z434" s="146">
        <v>3.4000000000000002E-2</v>
      </c>
      <c r="AA434" s="145">
        <v>0.48099999999999998</v>
      </c>
      <c r="AB434" s="145">
        <v>8.1999999999999993</v>
      </c>
      <c r="AC434" s="145">
        <v>0.48099999999999998</v>
      </c>
      <c r="AD434" s="145" t="s">
        <v>400</v>
      </c>
      <c r="AE434" s="145">
        <v>36</v>
      </c>
      <c r="AF434" s="145" t="s">
        <v>400</v>
      </c>
      <c r="AG434" s="145">
        <v>0.02</v>
      </c>
      <c r="AH434" s="145" t="s">
        <v>400</v>
      </c>
      <c r="AI434" s="145" t="s">
        <v>400</v>
      </c>
      <c r="AJ434" s="145">
        <v>0.6</v>
      </c>
      <c r="AK434" s="145">
        <v>7.75</v>
      </c>
      <c r="AL434" s="145">
        <v>0.2</v>
      </c>
      <c r="AM434" s="145" t="s">
        <v>400</v>
      </c>
    </row>
    <row r="435" spans="1:39">
      <c r="A435" s="143" t="s">
        <v>1494</v>
      </c>
      <c r="B435" s="144">
        <v>100</v>
      </c>
      <c r="C435" s="145">
        <v>15</v>
      </c>
      <c r="D435" s="145">
        <v>1.36</v>
      </c>
      <c r="E435" s="145">
        <v>0.15</v>
      </c>
      <c r="F435" s="145">
        <v>0.02</v>
      </c>
      <c r="G435" s="145">
        <v>0.01</v>
      </c>
      <c r="H435" s="145">
        <v>0.08</v>
      </c>
      <c r="I435" s="145">
        <v>0.02</v>
      </c>
      <c r="J435" s="145">
        <v>0.06</v>
      </c>
      <c r="K435" s="145" t="s">
        <v>400</v>
      </c>
      <c r="L435" s="145">
        <v>2.79</v>
      </c>
      <c r="M435" s="145">
        <v>1.3</v>
      </c>
      <c r="N435" s="145">
        <v>36</v>
      </c>
      <c r="O435" s="145">
        <v>13</v>
      </c>
      <c r="P435" s="145">
        <v>0.25</v>
      </c>
      <c r="Q435" s="145">
        <v>29</v>
      </c>
      <c r="R435" s="145">
        <v>0.86</v>
      </c>
      <c r="S435" s="145">
        <v>28</v>
      </c>
      <c r="T435" s="145">
        <v>194</v>
      </c>
      <c r="U435" s="145">
        <v>0.03</v>
      </c>
      <c r="V435" s="145">
        <v>0.18</v>
      </c>
      <c r="W435" s="145" t="s">
        <v>400</v>
      </c>
      <c r="X435" s="145">
        <v>7.0000000000000007E-2</v>
      </c>
      <c r="Y435" s="145">
        <v>0.08</v>
      </c>
      <c r="Z435" s="145">
        <v>0.09</v>
      </c>
      <c r="AA435" s="145">
        <v>0.38</v>
      </c>
      <c r="AB435" s="145">
        <v>18</v>
      </c>
      <c r="AC435" s="145">
        <v>0.53</v>
      </c>
      <c r="AD435" s="145" t="s">
        <v>400</v>
      </c>
      <c r="AE435" s="145">
        <v>38</v>
      </c>
      <c r="AF435" s="145" t="s">
        <v>400</v>
      </c>
      <c r="AG435" s="145">
        <v>0.31</v>
      </c>
      <c r="AH435" s="145" t="s">
        <v>400</v>
      </c>
      <c r="AI435" s="145" t="s">
        <v>400</v>
      </c>
      <c r="AJ435" s="145">
        <v>0.6</v>
      </c>
      <c r="AK435" s="145">
        <v>370.25</v>
      </c>
      <c r="AL435" s="145">
        <v>0.79</v>
      </c>
      <c r="AM435" s="145" t="s">
        <v>400</v>
      </c>
    </row>
    <row r="436" spans="1:39">
      <c r="A436" s="143" t="s">
        <v>1495</v>
      </c>
      <c r="B436" s="144">
        <v>100</v>
      </c>
      <c r="C436" s="145">
        <v>18</v>
      </c>
      <c r="D436" s="145">
        <v>0.88</v>
      </c>
      <c r="E436" s="145">
        <v>0.2</v>
      </c>
      <c r="F436" s="145">
        <v>0.03</v>
      </c>
      <c r="G436" s="145">
        <v>0.03</v>
      </c>
      <c r="H436" s="145">
        <v>0.08</v>
      </c>
      <c r="I436" s="145">
        <v>0.08</v>
      </c>
      <c r="J436" s="145" t="s">
        <v>400</v>
      </c>
      <c r="K436" s="145" t="s">
        <v>400</v>
      </c>
      <c r="L436" s="145">
        <v>3.92</v>
      </c>
      <c r="M436" s="145">
        <v>1.2</v>
      </c>
      <c r="N436" s="145">
        <v>10</v>
      </c>
      <c r="O436" s="145">
        <v>11</v>
      </c>
      <c r="P436" s="145">
        <v>0.11</v>
      </c>
      <c r="Q436" s="145">
        <v>24</v>
      </c>
      <c r="R436" s="145">
        <v>0.27</v>
      </c>
      <c r="S436" s="145">
        <v>5</v>
      </c>
      <c r="T436" s="145">
        <v>237</v>
      </c>
      <c r="U436" s="145">
        <v>0.06</v>
      </c>
      <c r="V436" s="145">
        <v>0.17</v>
      </c>
      <c r="W436" s="145" t="s">
        <v>400</v>
      </c>
      <c r="X436" s="145">
        <v>0.04</v>
      </c>
      <c r="Y436" s="145">
        <v>0.02</v>
      </c>
      <c r="Z436" s="145">
        <v>0.08</v>
      </c>
      <c r="AA436" s="145">
        <v>0.59</v>
      </c>
      <c r="AB436" s="145">
        <v>12.7</v>
      </c>
      <c r="AC436" s="145">
        <v>0.69</v>
      </c>
      <c r="AD436" s="145" t="s">
        <v>400</v>
      </c>
      <c r="AE436" s="145">
        <v>15</v>
      </c>
      <c r="AF436" s="145" t="s">
        <v>400</v>
      </c>
      <c r="AG436" s="145">
        <v>0.54</v>
      </c>
      <c r="AH436" s="145" t="s">
        <v>400</v>
      </c>
      <c r="AI436" s="145" t="s">
        <v>400</v>
      </c>
      <c r="AJ436" s="145" t="s">
        <v>400</v>
      </c>
      <c r="AK436" s="145">
        <v>41.63</v>
      </c>
      <c r="AL436" s="145">
        <v>2.62</v>
      </c>
      <c r="AM436" s="145" t="s">
        <v>400</v>
      </c>
    </row>
    <row r="437" spans="1:39">
      <c r="A437" s="143" t="s">
        <v>1496</v>
      </c>
      <c r="B437" s="144">
        <v>100</v>
      </c>
      <c r="C437" s="145">
        <v>20</v>
      </c>
      <c r="D437" s="145">
        <v>0.86</v>
      </c>
      <c r="E437" s="145">
        <v>0.17</v>
      </c>
      <c r="F437" s="145">
        <v>0.06</v>
      </c>
      <c r="G437" s="145">
        <v>0.01</v>
      </c>
      <c r="H437" s="145">
        <v>0.06</v>
      </c>
      <c r="I437" s="145">
        <v>0.05</v>
      </c>
      <c r="J437" s="145">
        <v>0.01</v>
      </c>
      <c r="K437" s="145" t="s">
        <v>400</v>
      </c>
      <c r="L437" s="145">
        <v>4.6399999999999997</v>
      </c>
      <c r="M437" s="145">
        <v>1.7</v>
      </c>
      <c r="N437" s="145">
        <v>10</v>
      </c>
      <c r="O437" s="145">
        <v>10</v>
      </c>
      <c r="P437" s="145">
        <v>0.12</v>
      </c>
      <c r="Q437" s="145">
        <v>20</v>
      </c>
      <c r="R437" s="145">
        <v>0.34</v>
      </c>
      <c r="S437" s="145">
        <v>3</v>
      </c>
      <c r="T437" s="145">
        <v>175</v>
      </c>
      <c r="U437" s="145">
        <v>7.0000000000000007E-2</v>
      </c>
      <c r="V437" s="145">
        <v>0.13</v>
      </c>
      <c r="W437" s="145" t="s">
        <v>400</v>
      </c>
      <c r="X437" s="145">
        <v>0.06</v>
      </c>
      <c r="Y437" s="145">
        <v>0.03</v>
      </c>
      <c r="Z437" s="145">
        <v>0.22</v>
      </c>
      <c r="AA437" s="145">
        <v>0.48</v>
      </c>
      <c r="AB437" s="145">
        <v>80.400000000000006</v>
      </c>
      <c r="AC437" s="145">
        <v>0.68</v>
      </c>
      <c r="AD437" s="145" t="s">
        <v>400</v>
      </c>
      <c r="AE437" s="145">
        <v>10</v>
      </c>
      <c r="AF437" s="145" t="s">
        <v>400</v>
      </c>
      <c r="AG437" s="145">
        <v>0.08</v>
      </c>
      <c r="AH437" s="145" t="s">
        <v>400</v>
      </c>
      <c r="AI437" s="145" t="s">
        <v>400</v>
      </c>
      <c r="AJ437" s="145" t="s">
        <v>400</v>
      </c>
      <c r="AK437" s="145">
        <v>18.5</v>
      </c>
      <c r="AL437" s="145">
        <v>2.39</v>
      </c>
      <c r="AM437" s="145" t="s">
        <v>400</v>
      </c>
    </row>
    <row r="438" spans="1:39">
      <c r="A438" s="143" t="s">
        <v>1497</v>
      </c>
      <c r="B438" s="144">
        <v>100</v>
      </c>
      <c r="C438" s="145">
        <v>306</v>
      </c>
      <c r="D438" s="145">
        <v>11</v>
      </c>
      <c r="E438" s="145">
        <v>10.25</v>
      </c>
      <c r="F438" s="145">
        <v>2.66</v>
      </c>
      <c r="G438" s="145">
        <v>0.67</v>
      </c>
      <c r="H438" s="145">
        <v>5.23</v>
      </c>
      <c r="I438" s="145">
        <v>1.05</v>
      </c>
      <c r="J438" s="145">
        <v>4.18</v>
      </c>
      <c r="K438" s="145" t="s">
        <v>400</v>
      </c>
      <c r="L438" s="145">
        <v>64.430000000000007</v>
      </c>
      <c r="M438" s="145">
        <v>42.8</v>
      </c>
      <c r="N438" s="145">
        <v>1576</v>
      </c>
      <c r="O438" s="145">
        <v>270</v>
      </c>
      <c r="P438" s="145">
        <v>4.6669999999999998</v>
      </c>
      <c r="Q438" s="145">
        <v>200</v>
      </c>
      <c r="R438" s="145">
        <v>44</v>
      </c>
      <c r="S438" s="145">
        <v>15</v>
      </c>
      <c r="T438" s="145">
        <v>1669</v>
      </c>
      <c r="U438" s="145">
        <v>0.94299999999999995</v>
      </c>
      <c r="V438" s="145">
        <v>4.43</v>
      </c>
      <c r="W438" s="145" t="s">
        <v>400</v>
      </c>
      <c r="X438" s="145">
        <v>0.34100000000000003</v>
      </c>
      <c r="Y438" s="145">
        <v>0.32</v>
      </c>
      <c r="Z438" s="146">
        <v>2.3199999999999998</v>
      </c>
      <c r="AA438" s="145">
        <v>6.22</v>
      </c>
      <c r="AB438" s="145">
        <v>50</v>
      </c>
      <c r="AC438" s="145">
        <v>6.22</v>
      </c>
      <c r="AD438" s="145" t="s">
        <v>400</v>
      </c>
      <c r="AE438" s="145">
        <v>274</v>
      </c>
      <c r="AF438" s="145" t="s">
        <v>400</v>
      </c>
      <c r="AG438" s="145">
        <v>18.86</v>
      </c>
      <c r="AH438" s="145" t="s">
        <v>400</v>
      </c>
      <c r="AI438" s="145" t="s">
        <v>400</v>
      </c>
      <c r="AJ438" s="145">
        <v>5.9</v>
      </c>
      <c r="AK438" s="145">
        <v>345.16699999999997</v>
      </c>
      <c r="AL438" s="145">
        <v>4.09</v>
      </c>
      <c r="AM438" s="145" t="s">
        <v>400</v>
      </c>
    </row>
    <row r="439" spans="1:39">
      <c r="A439" s="143" t="s">
        <v>1498</v>
      </c>
      <c r="B439" s="144">
        <v>100</v>
      </c>
      <c r="C439" s="145">
        <v>78</v>
      </c>
      <c r="D439" s="145">
        <v>1.2</v>
      </c>
      <c r="E439" s="145">
        <v>0.1</v>
      </c>
      <c r="F439" s="145" t="s">
        <v>400</v>
      </c>
      <c r="G439" s="145" t="s">
        <v>400</v>
      </c>
      <c r="H439" s="145" t="s">
        <v>400</v>
      </c>
      <c r="I439" s="145" t="s">
        <v>400</v>
      </c>
      <c r="J439" s="145" t="s">
        <v>400</v>
      </c>
      <c r="K439" s="145" t="s">
        <v>400</v>
      </c>
      <c r="L439" s="145">
        <v>20.3</v>
      </c>
      <c r="M439" s="145">
        <v>2</v>
      </c>
      <c r="N439" s="145">
        <v>5</v>
      </c>
      <c r="O439" s="145">
        <v>30</v>
      </c>
      <c r="P439" s="145">
        <v>0.41</v>
      </c>
      <c r="Q439" s="145">
        <v>20</v>
      </c>
      <c r="R439" s="145">
        <v>0.4</v>
      </c>
      <c r="S439" s="145">
        <v>1</v>
      </c>
      <c r="T439" s="145">
        <v>267</v>
      </c>
      <c r="U439" s="145">
        <v>0.06</v>
      </c>
      <c r="V439" s="145">
        <v>0.1</v>
      </c>
      <c r="W439" s="145" t="s">
        <v>400</v>
      </c>
      <c r="X439" s="145">
        <v>0.05</v>
      </c>
      <c r="Y439" s="145">
        <v>0.03</v>
      </c>
      <c r="Z439" s="146">
        <v>0.17</v>
      </c>
      <c r="AA439" s="145" t="s">
        <v>400</v>
      </c>
      <c r="AB439" s="145" t="s">
        <v>400</v>
      </c>
      <c r="AC439" s="145" t="s">
        <v>400</v>
      </c>
      <c r="AD439" s="145" t="s">
        <v>400</v>
      </c>
      <c r="AE439" s="145" t="s">
        <v>400</v>
      </c>
      <c r="AF439" s="145" t="s">
        <v>400</v>
      </c>
      <c r="AG439" s="145" t="s">
        <v>400</v>
      </c>
      <c r="AH439" s="145" t="s">
        <v>400</v>
      </c>
      <c r="AI439" s="145" t="s">
        <v>400</v>
      </c>
      <c r="AJ439" s="145" t="s">
        <v>400</v>
      </c>
      <c r="AK439" s="145" t="s">
        <v>400</v>
      </c>
      <c r="AL439" s="145" t="s">
        <v>400</v>
      </c>
      <c r="AM439" s="145" t="s">
        <v>400</v>
      </c>
    </row>
    <row r="440" spans="1:39">
      <c r="A440" s="143" t="s">
        <v>1499</v>
      </c>
      <c r="B440" s="144">
        <v>100</v>
      </c>
      <c r="C440" s="145">
        <v>89</v>
      </c>
      <c r="D440" s="145">
        <v>1.0900000000000001</v>
      </c>
      <c r="E440" s="145">
        <v>0.33</v>
      </c>
      <c r="F440" s="145">
        <v>0.11</v>
      </c>
      <c r="G440" s="145">
        <v>0.03</v>
      </c>
      <c r="H440" s="145">
        <v>7.0000000000000007E-2</v>
      </c>
      <c r="I440" s="145">
        <v>0.05</v>
      </c>
      <c r="J440" s="145">
        <v>0.03</v>
      </c>
      <c r="K440" s="145" t="s">
        <v>400</v>
      </c>
      <c r="L440" s="145">
        <v>22.84</v>
      </c>
      <c r="M440" s="145">
        <v>2.6</v>
      </c>
      <c r="N440" s="145">
        <v>5</v>
      </c>
      <c r="O440" s="145">
        <v>27</v>
      </c>
      <c r="P440" s="145">
        <v>0.27</v>
      </c>
      <c r="Q440" s="145">
        <v>22</v>
      </c>
      <c r="R440" s="145">
        <v>0.26</v>
      </c>
      <c r="S440" s="145">
        <v>1</v>
      </c>
      <c r="T440" s="145">
        <v>358</v>
      </c>
      <c r="U440" s="145">
        <v>0.08</v>
      </c>
      <c r="V440" s="145">
        <v>0.15</v>
      </c>
      <c r="W440" s="145" t="s">
        <v>400</v>
      </c>
      <c r="X440" s="145">
        <v>0.03</v>
      </c>
      <c r="Y440" s="145">
        <v>7.0000000000000007E-2</v>
      </c>
      <c r="Z440" s="145">
        <v>0.37</v>
      </c>
      <c r="AA440" s="145">
        <v>0.67</v>
      </c>
      <c r="AB440" s="145">
        <v>8.6999999999999993</v>
      </c>
      <c r="AC440" s="145">
        <v>0.82</v>
      </c>
      <c r="AD440" s="145" t="s">
        <v>400</v>
      </c>
      <c r="AE440" s="145">
        <v>20</v>
      </c>
      <c r="AF440" s="145" t="s">
        <v>400</v>
      </c>
      <c r="AG440" s="145">
        <v>0.13</v>
      </c>
      <c r="AH440" s="145" t="s">
        <v>400</v>
      </c>
      <c r="AI440" s="145" t="s">
        <v>400</v>
      </c>
      <c r="AJ440" s="145">
        <v>1</v>
      </c>
      <c r="AK440" s="145">
        <v>3.21</v>
      </c>
      <c r="AL440" s="145">
        <v>12.23</v>
      </c>
      <c r="AM440" s="145" t="s">
        <v>400</v>
      </c>
    </row>
    <row r="441" spans="1:39">
      <c r="A441" s="143" t="s">
        <v>1500</v>
      </c>
      <c r="B441" s="144">
        <v>100</v>
      </c>
      <c r="C441" s="145">
        <v>89</v>
      </c>
      <c r="D441" s="145">
        <v>1.0900000000000001</v>
      </c>
      <c r="E441" s="145">
        <v>0.33</v>
      </c>
      <c r="F441" s="145">
        <v>0.11</v>
      </c>
      <c r="G441" s="145">
        <v>0.03</v>
      </c>
      <c r="H441" s="145">
        <v>7.0000000000000007E-2</v>
      </c>
      <c r="I441" s="145">
        <v>0.05</v>
      </c>
      <c r="J441" s="145">
        <v>0.03</v>
      </c>
      <c r="K441" s="145" t="s">
        <v>400</v>
      </c>
      <c r="L441" s="145">
        <v>22.84</v>
      </c>
      <c r="M441" s="145">
        <v>2.6</v>
      </c>
      <c r="N441" s="145">
        <v>5</v>
      </c>
      <c r="O441" s="145">
        <v>27</v>
      </c>
      <c r="P441" s="145">
        <v>0.27</v>
      </c>
      <c r="Q441" s="145">
        <v>22</v>
      </c>
      <c r="R441" s="145">
        <v>0.26</v>
      </c>
      <c r="S441" s="145">
        <v>1</v>
      </c>
      <c r="T441" s="145">
        <v>358</v>
      </c>
      <c r="U441" s="145">
        <v>0.08</v>
      </c>
      <c r="V441" s="145">
        <v>0.15</v>
      </c>
      <c r="W441" s="145" t="s">
        <v>400</v>
      </c>
      <c r="X441" s="145">
        <v>0.03</v>
      </c>
      <c r="Y441" s="145">
        <v>7.0000000000000007E-2</v>
      </c>
      <c r="Z441" s="145">
        <v>0.37</v>
      </c>
      <c r="AA441" s="145">
        <v>0.67</v>
      </c>
      <c r="AB441" s="145">
        <v>8.6999999999999993</v>
      </c>
      <c r="AC441" s="145">
        <v>0.82</v>
      </c>
      <c r="AD441" s="145" t="s">
        <v>400</v>
      </c>
      <c r="AE441" s="145">
        <v>20</v>
      </c>
      <c r="AF441" s="145" t="s">
        <v>400</v>
      </c>
      <c r="AG441" s="145">
        <v>0.13</v>
      </c>
      <c r="AH441" s="145" t="s">
        <v>400</v>
      </c>
      <c r="AI441" s="145" t="s">
        <v>400</v>
      </c>
      <c r="AJ441" s="145">
        <v>1</v>
      </c>
      <c r="AK441" s="145">
        <v>3.21</v>
      </c>
      <c r="AL441" s="145">
        <v>12.23</v>
      </c>
      <c r="AM441" s="145" t="s">
        <v>400</v>
      </c>
    </row>
    <row r="442" spans="1:39">
      <c r="A442" s="143" t="s">
        <v>1501</v>
      </c>
      <c r="B442" s="144">
        <v>100</v>
      </c>
      <c r="C442" s="145">
        <v>89</v>
      </c>
      <c r="D442" s="145">
        <v>1.0900000000000001</v>
      </c>
      <c r="E442" s="145">
        <v>0.33</v>
      </c>
      <c r="F442" s="145">
        <v>0.11</v>
      </c>
      <c r="G442" s="145">
        <v>0.03</v>
      </c>
      <c r="H442" s="145">
        <v>7.0000000000000007E-2</v>
      </c>
      <c r="I442" s="145">
        <v>0.05</v>
      </c>
      <c r="J442" s="145">
        <v>0.03</v>
      </c>
      <c r="K442" s="145" t="s">
        <v>400</v>
      </c>
      <c r="L442" s="145">
        <v>22.84</v>
      </c>
      <c r="M442" s="145">
        <v>2.6</v>
      </c>
      <c r="N442" s="145">
        <v>5</v>
      </c>
      <c r="O442" s="145">
        <v>27</v>
      </c>
      <c r="P442" s="145">
        <v>0.27</v>
      </c>
      <c r="Q442" s="145">
        <v>22</v>
      </c>
      <c r="R442" s="145">
        <v>0.26</v>
      </c>
      <c r="S442" s="145">
        <v>1</v>
      </c>
      <c r="T442" s="145">
        <v>358</v>
      </c>
      <c r="U442" s="145">
        <v>0.08</v>
      </c>
      <c r="V442" s="145">
        <v>0.15</v>
      </c>
      <c r="W442" s="145" t="s">
        <v>400</v>
      </c>
      <c r="X442" s="145">
        <v>0.03</v>
      </c>
      <c r="Y442" s="145">
        <v>7.0000000000000007E-2</v>
      </c>
      <c r="Z442" s="145">
        <v>0.37</v>
      </c>
      <c r="AA442" s="145">
        <v>0.67</v>
      </c>
      <c r="AB442" s="145">
        <v>8.6999999999999993</v>
      </c>
      <c r="AC442" s="145">
        <v>0.82</v>
      </c>
      <c r="AD442" s="145" t="s">
        <v>400</v>
      </c>
      <c r="AE442" s="145">
        <v>20</v>
      </c>
      <c r="AF442" s="145" t="s">
        <v>400</v>
      </c>
      <c r="AG442" s="145">
        <v>0.13</v>
      </c>
      <c r="AH442" s="145" t="s">
        <v>400</v>
      </c>
      <c r="AI442" s="145" t="s">
        <v>400</v>
      </c>
      <c r="AJ442" s="145">
        <v>1</v>
      </c>
      <c r="AK442" s="145">
        <v>3.21</v>
      </c>
      <c r="AL442" s="145">
        <v>12.23</v>
      </c>
      <c r="AM442" s="145" t="s">
        <v>400</v>
      </c>
    </row>
    <row r="443" spans="1:39">
      <c r="A443" s="143" t="s">
        <v>1502</v>
      </c>
      <c r="B443" s="144">
        <v>100</v>
      </c>
      <c r="C443" s="145">
        <v>213.10499999999999</v>
      </c>
      <c r="D443" s="145">
        <v>1.216</v>
      </c>
      <c r="E443" s="145">
        <v>13.246</v>
      </c>
      <c r="F443" s="145">
        <v>2.14</v>
      </c>
      <c r="G443" s="145">
        <v>2.97</v>
      </c>
      <c r="H443" s="145">
        <v>7.5170000000000003</v>
      </c>
      <c r="I443" s="145">
        <v>6.6130000000000004</v>
      </c>
      <c r="J443" s="145">
        <v>0.90400000000000003</v>
      </c>
      <c r="K443" s="145" t="s">
        <v>400</v>
      </c>
      <c r="L443" s="145">
        <v>25.474</v>
      </c>
      <c r="M443" s="145">
        <v>2.9</v>
      </c>
      <c r="N443" s="145">
        <v>5.577</v>
      </c>
      <c r="O443" s="145">
        <v>30.113</v>
      </c>
      <c r="P443" s="145">
        <v>0.30099999999999999</v>
      </c>
      <c r="Q443" s="145">
        <v>24.536999999999999</v>
      </c>
      <c r="R443" s="145">
        <v>0.29599999999999999</v>
      </c>
      <c r="S443" s="145">
        <v>1.115</v>
      </c>
      <c r="T443" s="145">
        <v>399.28199999999998</v>
      </c>
      <c r="U443" s="145">
        <v>8.6999999999999994E-2</v>
      </c>
      <c r="V443" s="145">
        <v>0.16900000000000001</v>
      </c>
      <c r="W443" s="145" t="s">
        <v>400</v>
      </c>
      <c r="X443" s="145">
        <v>3.5000000000000003E-2</v>
      </c>
      <c r="Y443" s="145">
        <v>8.1000000000000003E-2</v>
      </c>
      <c r="Z443" s="146">
        <v>0.40899999999999997</v>
      </c>
      <c r="AA443" s="145">
        <v>0.74199999999999999</v>
      </c>
      <c r="AB443" s="145">
        <v>9.7029999999999994</v>
      </c>
      <c r="AC443" s="145">
        <v>0.90900000000000003</v>
      </c>
      <c r="AD443" s="145" t="s">
        <v>400</v>
      </c>
      <c r="AE443" s="145">
        <v>22.306000000000001</v>
      </c>
      <c r="AF443" s="145" t="s">
        <v>400</v>
      </c>
      <c r="AG443" s="145">
        <v>1.198</v>
      </c>
      <c r="AH443" s="145">
        <v>6.9000000000000006E-2</v>
      </c>
      <c r="AI443" s="145" t="s">
        <v>400</v>
      </c>
      <c r="AJ443" s="145">
        <v>7.0170000000000003</v>
      </c>
      <c r="AK443" s="145">
        <v>3.5779999999999998</v>
      </c>
      <c r="AL443" s="145">
        <v>13.64</v>
      </c>
      <c r="AM443" s="145" t="s">
        <v>400</v>
      </c>
    </row>
    <row r="444" spans="1:39">
      <c r="A444" s="143" t="s">
        <v>1503</v>
      </c>
      <c r="B444" s="144">
        <v>100</v>
      </c>
      <c r="C444" s="145">
        <v>213.10499999999999</v>
      </c>
      <c r="D444" s="145">
        <v>1.216</v>
      </c>
      <c r="E444" s="145">
        <v>13.246</v>
      </c>
      <c r="F444" s="145">
        <v>2.14</v>
      </c>
      <c r="G444" s="145">
        <v>2.97</v>
      </c>
      <c r="H444" s="145">
        <v>7.5170000000000003</v>
      </c>
      <c r="I444" s="145">
        <v>6.6130000000000004</v>
      </c>
      <c r="J444" s="145">
        <v>0.90400000000000003</v>
      </c>
      <c r="K444" s="145" t="s">
        <v>400</v>
      </c>
      <c r="L444" s="145">
        <v>25.474</v>
      </c>
      <c r="M444" s="145">
        <v>2.9</v>
      </c>
      <c r="N444" s="145">
        <v>5.577</v>
      </c>
      <c r="O444" s="145">
        <v>30.113</v>
      </c>
      <c r="P444" s="145">
        <v>0.30099999999999999</v>
      </c>
      <c r="Q444" s="145">
        <v>24.536999999999999</v>
      </c>
      <c r="R444" s="145">
        <v>0.29599999999999999</v>
      </c>
      <c r="S444" s="145">
        <v>1.115</v>
      </c>
      <c r="T444" s="145">
        <v>399.28199999999998</v>
      </c>
      <c r="U444" s="145">
        <v>8.6999999999999994E-2</v>
      </c>
      <c r="V444" s="145">
        <v>0.16900000000000001</v>
      </c>
      <c r="W444" s="145" t="s">
        <v>400</v>
      </c>
      <c r="X444" s="145">
        <v>3.5000000000000003E-2</v>
      </c>
      <c r="Y444" s="145">
        <v>8.1000000000000003E-2</v>
      </c>
      <c r="Z444" s="146">
        <v>0.40899999999999997</v>
      </c>
      <c r="AA444" s="145">
        <v>0.74199999999999999</v>
      </c>
      <c r="AB444" s="145">
        <v>9.7029999999999994</v>
      </c>
      <c r="AC444" s="145">
        <v>0.90900000000000003</v>
      </c>
      <c r="AD444" s="145" t="s">
        <v>400</v>
      </c>
      <c r="AE444" s="145">
        <v>22.306000000000001</v>
      </c>
      <c r="AF444" s="145" t="s">
        <v>400</v>
      </c>
      <c r="AG444" s="145">
        <v>1.198</v>
      </c>
      <c r="AH444" s="145">
        <v>6.9000000000000006E-2</v>
      </c>
      <c r="AI444" s="145" t="s">
        <v>400</v>
      </c>
      <c r="AJ444" s="145">
        <v>7.0170000000000003</v>
      </c>
      <c r="AK444" s="145">
        <v>3.5779999999999998</v>
      </c>
      <c r="AL444" s="145">
        <v>13.64</v>
      </c>
      <c r="AM444" s="145" t="s">
        <v>400</v>
      </c>
    </row>
    <row r="445" spans="1:39">
      <c r="A445" s="143" t="s">
        <v>1504</v>
      </c>
      <c r="B445" s="144">
        <v>100</v>
      </c>
      <c r="C445" s="145">
        <v>195.411</v>
      </c>
      <c r="D445" s="145">
        <v>1.33</v>
      </c>
      <c r="E445" s="145">
        <v>11.244999999999999</v>
      </c>
      <c r="F445" s="145">
        <v>7.0129999999999999</v>
      </c>
      <c r="G445" s="145">
        <v>2.855</v>
      </c>
      <c r="H445" s="145">
        <v>0.48899999999999999</v>
      </c>
      <c r="I445" s="145">
        <v>0.41699999999999998</v>
      </c>
      <c r="J445" s="145">
        <v>7.1999999999999995E-2</v>
      </c>
      <c r="K445" s="145">
        <v>28.831</v>
      </c>
      <c r="L445" s="145">
        <v>25.481999999999999</v>
      </c>
      <c r="M445" s="145">
        <v>2.9</v>
      </c>
      <c r="N445" s="145">
        <v>8.7949999999999999</v>
      </c>
      <c r="O445" s="145">
        <v>30.382000000000001</v>
      </c>
      <c r="P445" s="145">
        <v>0.30099999999999999</v>
      </c>
      <c r="Q445" s="145">
        <v>27.754999999999999</v>
      </c>
      <c r="R445" s="145">
        <v>0.29299999999999998</v>
      </c>
      <c r="S445" s="145">
        <v>78.355000000000004</v>
      </c>
      <c r="T445" s="145">
        <v>402.5</v>
      </c>
      <c r="U445" s="145">
        <v>8.6999999999999994E-2</v>
      </c>
      <c r="V445" s="145">
        <v>0.17899999999999999</v>
      </c>
      <c r="W445" s="145">
        <v>89.978999999999999</v>
      </c>
      <c r="X445" s="145">
        <v>3.5000000000000003E-2</v>
      </c>
      <c r="Y445" s="145">
        <v>8.5999999999999993E-2</v>
      </c>
      <c r="Z445" s="146">
        <v>0.41</v>
      </c>
      <c r="AA445" s="145">
        <v>0.747</v>
      </c>
      <c r="AB445" s="145">
        <v>9.7029999999999994</v>
      </c>
      <c r="AC445" s="145">
        <v>0.94099999999999995</v>
      </c>
      <c r="AD445" s="145">
        <v>2.3E-2</v>
      </c>
      <c r="AE445" s="145">
        <v>22.709</v>
      </c>
      <c r="AF445" s="145">
        <v>0.188</v>
      </c>
      <c r="AG445" s="145">
        <v>0.45600000000000002</v>
      </c>
      <c r="AH445" s="145">
        <v>0.44</v>
      </c>
      <c r="AI445" s="145" t="s">
        <v>400</v>
      </c>
      <c r="AJ445" s="145">
        <v>1.2490000000000001</v>
      </c>
      <c r="AK445" s="145">
        <v>95.322999999999993</v>
      </c>
      <c r="AL445" s="145">
        <v>13.654</v>
      </c>
      <c r="AM445" s="145" t="s">
        <v>400</v>
      </c>
    </row>
    <row r="446" spans="1:39">
      <c r="A446" s="143" t="s">
        <v>1505</v>
      </c>
      <c r="B446" s="144">
        <v>100</v>
      </c>
      <c r="C446" s="145">
        <v>89</v>
      </c>
      <c r="D446" s="145">
        <v>1.0900000000000001</v>
      </c>
      <c r="E446" s="145">
        <v>0.33</v>
      </c>
      <c r="F446" s="145">
        <v>0.11</v>
      </c>
      <c r="G446" s="145">
        <v>0.03</v>
      </c>
      <c r="H446" s="145">
        <v>7.0000000000000007E-2</v>
      </c>
      <c r="I446" s="145">
        <v>0.05</v>
      </c>
      <c r="J446" s="145">
        <v>0.03</v>
      </c>
      <c r="K446" s="145" t="s">
        <v>400</v>
      </c>
      <c r="L446" s="145">
        <v>22.84</v>
      </c>
      <c r="M446" s="145">
        <v>2.6</v>
      </c>
      <c r="N446" s="145">
        <v>5</v>
      </c>
      <c r="O446" s="145">
        <v>27</v>
      </c>
      <c r="P446" s="145">
        <v>0.27</v>
      </c>
      <c r="Q446" s="145">
        <v>22</v>
      </c>
      <c r="R446" s="145">
        <v>0.26</v>
      </c>
      <c r="S446" s="145">
        <v>1</v>
      </c>
      <c r="T446" s="145">
        <v>358</v>
      </c>
      <c r="U446" s="145">
        <v>0.08</v>
      </c>
      <c r="V446" s="145">
        <v>0.15</v>
      </c>
      <c r="W446" s="145" t="s">
        <v>400</v>
      </c>
      <c r="X446" s="145">
        <v>0.03</v>
      </c>
      <c r="Y446" s="145">
        <v>7.0000000000000007E-2</v>
      </c>
      <c r="Z446" s="145">
        <v>0.37</v>
      </c>
      <c r="AA446" s="145">
        <v>0.67</v>
      </c>
      <c r="AB446" s="145">
        <v>8.6999999999999993</v>
      </c>
      <c r="AC446" s="145">
        <v>0.82</v>
      </c>
      <c r="AD446" s="145" t="s">
        <v>400</v>
      </c>
      <c r="AE446" s="145">
        <v>20</v>
      </c>
      <c r="AF446" s="145" t="s">
        <v>400</v>
      </c>
      <c r="AG446" s="145">
        <v>0.13</v>
      </c>
      <c r="AH446" s="145" t="s">
        <v>400</v>
      </c>
      <c r="AI446" s="145" t="s">
        <v>400</v>
      </c>
      <c r="AJ446" s="145">
        <v>1</v>
      </c>
      <c r="AK446" s="145">
        <v>3.21</v>
      </c>
      <c r="AL446" s="145">
        <v>12.23</v>
      </c>
      <c r="AM446" s="145" t="s">
        <v>400</v>
      </c>
    </row>
    <row r="447" spans="1:39">
      <c r="A447" s="143" t="s">
        <v>1506</v>
      </c>
      <c r="B447" s="144">
        <v>100</v>
      </c>
      <c r="C447" s="145">
        <v>112.036</v>
      </c>
      <c r="D447" s="145">
        <v>2.2869999999999999</v>
      </c>
      <c r="E447" s="145">
        <v>1.7210000000000001</v>
      </c>
      <c r="F447" s="145">
        <v>0.94699999999999995</v>
      </c>
      <c r="G447" s="145">
        <v>0.48399999999999999</v>
      </c>
      <c r="H447" s="145">
        <v>0.128</v>
      </c>
      <c r="I447" s="145">
        <v>9.8000000000000004E-2</v>
      </c>
      <c r="J447" s="145">
        <v>0.03</v>
      </c>
      <c r="K447" s="145">
        <v>5.5529999999999999</v>
      </c>
      <c r="L447" s="145">
        <v>23.184000000000001</v>
      </c>
      <c r="M447" s="145">
        <v>1.538</v>
      </c>
      <c r="N447" s="145">
        <v>53.819000000000003</v>
      </c>
      <c r="O447" s="145">
        <v>20.571000000000002</v>
      </c>
      <c r="P447" s="145">
        <v>0.14699999999999999</v>
      </c>
      <c r="Q447" s="145">
        <v>56.215000000000003</v>
      </c>
      <c r="R447" s="145">
        <v>0.42799999999999999</v>
      </c>
      <c r="S447" s="145">
        <v>67.451999999999998</v>
      </c>
      <c r="T447" s="145">
        <v>246.31399999999999</v>
      </c>
      <c r="U447" s="145">
        <v>0.05</v>
      </c>
      <c r="V447" s="145">
        <v>0.26900000000000002</v>
      </c>
      <c r="W447" s="145">
        <v>12.255000000000001</v>
      </c>
      <c r="X447" s="145">
        <v>6.2E-2</v>
      </c>
      <c r="Y447" s="145">
        <v>0.123</v>
      </c>
      <c r="Z447" s="145">
        <v>0.20499999999999999</v>
      </c>
      <c r="AA447" s="145">
        <v>0.69</v>
      </c>
      <c r="AB447" s="145">
        <v>4.7140000000000004</v>
      </c>
      <c r="AC447" s="145">
        <v>1.111</v>
      </c>
      <c r="AD447" s="145">
        <v>3.1E-2</v>
      </c>
      <c r="AE447" s="145">
        <v>18.902000000000001</v>
      </c>
      <c r="AF447" s="145">
        <v>0.379</v>
      </c>
      <c r="AG447" s="145">
        <v>0.10100000000000001</v>
      </c>
      <c r="AH447" s="145">
        <v>5.1999999999999998E-2</v>
      </c>
      <c r="AI447" s="145" t="s">
        <v>400</v>
      </c>
      <c r="AJ447" s="145">
        <v>1.6719999999999999</v>
      </c>
      <c r="AK447" s="145">
        <v>14.698</v>
      </c>
      <c r="AL447" s="145">
        <v>13.195</v>
      </c>
      <c r="AM447" s="145">
        <v>5.0599999999999996</v>
      </c>
    </row>
    <row r="448" spans="1:39">
      <c r="A448" s="143" t="s">
        <v>1507</v>
      </c>
      <c r="B448" s="144">
        <v>100</v>
      </c>
      <c r="C448" s="145">
        <v>112.036</v>
      </c>
      <c r="D448" s="145">
        <v>2.2869999999999999</v>
      </c>
      <c r="E448" s="145">
        <v>1.7210000000000001</v>
      </c>
      <c r="F448" s="145">
        <v>0.94699999999999995</v>
      </c>
      <c r="G448" s="145">
        <v>0.48399999999999999</v>
      </c>
      <c r="H448" s="145">
        <v>0.128</v>
      </c>
      <c r="I448" s="145">
        <v>9.8000000000000004E-2</v>
      </c>
      <c r="J448" s="145">
        <v>0.03</v>
      </c>
      <c r="K448" s="145">
        <v>5.5529999999999999</v>
      </c>
      <c r="L448" s="145">
        <v>23.184000000000001</v>
      </c>
      <c r="M448" s="145">
        <v>1.538</v>
      </c>
      <c r="N448" s="145">
        <v>53.819000000000003</v>
      </c>
      <c r="O448" s="145">
        <v>20.571000000000002</v>
      </c>
      <c r="P448" s="145">
        <v>0.14699999999999999</v>
      </c>
      <c r="Q448" s="145">
        <v>56.215000000000003</v>
      </c>
      <c r="R448" s="145">
        <v>0.42799999999999999</v>
      </c>
      <c r="S448" s="145">
        <v>67.451999999999998</v>
      </c>
      <c r="T448" s="145">
        <v>246.31399999999999</v>
      </c>
      <c r="U448" s="145">
        <v>0.05</v>
      </c>
      <c r="V448" s="145">
        <v>0.26900000000000002</v>
      </c>
      <c r="W448" s="145">
        <v>12.255000000000001</v>
      </c>
      <c r="X448" s="145">
        <v>6.2E-2</v>
      </c>
      <c r="Y448" s="145">
        <v>0.123</v>
      </c>
      <c r="Z448" s="145">
        <v>0.20499999999999999</v>
      </c>
      <c r="AA448" s="145">
        <v>0.69</v>
      </c>
      <c r="AB448" s="145">
        <v>4.7140000000000004</v>
      </c>
      <c r="AC448" s="145">
        <v>1.111</v>
      </c>
      <c r="AD448" s="145">
        <v>3.1E-2</v>
      </c>
      <c r="AE448" s="145">
        <v>18.902000000000001</v>
      </c>
      <c r="AF448" s="145">
        <v>0.379</v>
      </c>
      <c r="AG448" s="145">
        <v>0.10100000000000001</v>
      </c>
      <c r="AH448" s="145">
        <v>5.1999999999999998E-2</v>
      </c>
      <c r="AI448" s="145" t="s">
        <v>400</v>
      </c>
      <c r="AJ448" s="145">
        <v>1.6719999999999999</v>
      </c>
      <c r="AK448" s="145">
        <v>14.698</v>
      </c>
      <c r="AL448" s="145">
        <v>13.195</v>
      </c>
      <c r="AM448" s="145">
        <v>5.0599999999999996</v>
      </c>
    </row>
    <row r="449" spans="1:39">
      <c r="A449" s="143" t="s">
        <v>1508</v>
      </c>
      <c r="B449" s="144">
        <v>100</v>
      </c>
      <c r="C449" s="145">
        <v>89</v>
      </c>
      <c r="D449" s="145">
        <v>1.0900000000000001</v>
      </c>
      <c r="E449" s="145">
        <v>0.33</v>
      </c>
      <c r="F449" s="145">
        <v>0.11</v>
      </c>
      <c r="G449" s="145">
        <v>0.03</v>
      </c>
      <c r="H449" s="145">
        <v>7.0000000000000007E-2</v>
      </c>
      <c r="I449" s="145">
        <v>0.05</v>
      </c>
      <c r="J449" s="145">
        <v>0.03</v>
      </c>
      <c r="K449" s="145" t="s">
        <v>400</v>
      </c>
      <c r="L449" s="145">
        <v>22.84</v>
      </c>
      <c r="M449" s="145">
        <v>2.6</v>
      </c>
      <c r="N449" s="145">
        <v>5</v>
      </c>
      <c r="O449" s="145">
        <v>27</v>
      </c>
      <c r="P449" s="145">
        <v>0.27</v>
      </c>
      <c r="Q449" s="145">
        <v>22</v>
      </c>
      <c r="R449" s="145">
        <v>0.26</v>
      </c>
      <c r="S449" s="145">
        <v>1</v>
      </c>
      <c r="T449" s="145">
        <v>358</v>
      </c>
      <c r="U449" s="145">
        <v>0.08</v>
      </c>
      <c r="V449" s="145">
        <v>0.15</v>
      </c>
      <c r="W449" s="145" t="s">
        <v>400</v>
      </c>
      <c r="X449" s="145">
        <v>0.03</v>
      </c>
      <c r="Y449" s="145">
        <v>7.0000000000000007E-2</v>
      </c>
      <c r="Z449" s="145">
        <v>0.37</v>
      </c>
      <c r="AA449" s="145">
        <v>0.67</v>
      </c>
      <c r="AB449" s="145">
        <v>8.6999999999999993</v>
      </c>
      <c r="AC449" s="145">
        <v>0.82</v>
      </c>
      <c r="AD449" s="145" t="s">
        <v>400</v>
      </c>
      <c r="AE449" s="145">
        <v>20</v>
      </c>
      <c r="AF449" s="145" t="s">
        <v>400</v>
      </c>
      <c r="AG449" s="145">
        <v>0.13</v>
      </c>
      <c r="AH449" s="145" t="s">
        <v>400</v>
      </c>
      <c r="AI449" s="145" t="s">
        <v>400</v>
      </c>
      <c r="AJ449" s="145">
        <v>1</v>
      </c>
      <c r="AK449" s="145">
        <v>3.21</v>
      </c>
      <c r="AL449" s="145">
        <v>12.23</v>
      </c>
      <c r="AM449" s="145" t="s">
        <v>400</v>
      </c>
    </row>
    <row r="450" spans="1:39">
      <c r="A450" s="143" t="s">
        <v>1509</v>
      </c>
      <c r="B450" s="144">
        <v>100</v>
      </c>
      <c r="C450" s="145">
        <v>47</v>
      </c>
      <c r="D450" s="145">
        <v>0.94</v>
      </c>
      <c r="E450" s="145">
        <v>0.12</v>
      </c>
      <c r="F450" s="145">
        <v>0.02</v>
      </c>
      <c r="G450" s="145">
        <v>0.02</v>
      </c>
      <c r="H450" s="145">
        <v>0.03</v>
      </c>
      <c r="I450" s="145">
        <v>0.02</v>
      </c>
      <c r="J450" s="145">
        <v>0.01</v>
      </c>
      <c r="K450" s="145" t="s">
        <v>400</v>
      </c>
      <c r="L450" s="145">
        <v>11.75</v>
      </c>
      <c r="M450" s="145">
        <v>2.35</v>
      </c>
      <c r="N450" s="145">
        <v>40</v>
      </c>
      <c r="O450" s="145">
        <v>10</v>
      </c>
      <c r="P450" s="145">
        <v>0.03</v>
      </c>
      <c r="Q450" s="145">
        <v>14</v>
      </c>
      <c r="R450" s="145">
        <v>0.1</v>
      </c>
      <c r="S450" s="145" t="s">
        <v>400</v>
      </c>
      <c r="T450" s="145">
        <v>181</v>
      </c>
      <c r="U450" s="145">
        <v>0.05</v>
      </c>
      <c r="V450" s="145">
        <v>7.0000000000000007E-2</v>
      </c>
      <c r="W450" s="145" t="s">
        <v>400</v>
      </c>
      <c r="X450" s="145">
        <v>0.09</v>
      </c>
      <c r="Y450" s="145">
        <v>0.04</v>
      </c>
      <c r="Z450" s="145">
        <v>0.06</v>
      </c>
      <c r="AA450" s="145">
        <v>0.28000000000000003</v>
      </c>
      <c r="AB450" s="145">
        <v>53.2</v>
      </c>
      <c r="AC450" s="145">
        <v>0.43</v>
      </c>
      <c r="AD450" s="145" t="s">
        <v>400</v>
      </c>
      <c r="AE450" s="145">
        <v>30</v>
      </c>
      <c r="AF450" s="145" t="s">
        <v>400</v>
      </c>
      <c r="AG450" s="145">
        <v>0.25</v>
      </c>
      <c r="AH450" s="145" t="s">
        <v>400</v>
      </c>
      <c r="AI450" s="145" t="s">
        <v>400</v>
      </c>
      <c r="AJ450" s="145">
        <v>0.5</v>
      </c>
      <c r="AK450" s="145">
        <v>11.21</v>
      </c>
      <c r="AL450" s="145">
        <v>8.3699999999999992</v>
      </c>
      <c r="AM450" s="145" t="s">
        <v>400</v>
      </c>
    </row>
    <row r="451" spans="1:39">
      <c r="A451" s="143" t="s">
        <v>1510</v>
      </c>
      <c r="B451" s="144">
        <v>100</v>
      </c>
      <c r="C451" s="145">
        <v>47</v>
      </c>
      <c r="D451" s="145">
        <v>0.94</v>
      </c>
      <c r="E451" s="145">
        <v>0.12</v>
      </c>
      <c r="F451" s="145">
        <v>0.02</v>
      </c>
      <c r="G451" s="145">
        <v>0.02</v>
      </c>
      <c r="H451" s="145">
        <v>0.03</v>
      </c>
      <c r="I451" s="145">
        <v>0.02</v>
      </c>
      <c r="J451" s="145">
        <v>0.01</v>
      </c>
      <c r="K451" s="145" t="s">
        <v>400</v>
      </c>
      <c r="L451" s="145">
        <v>11.75</v>
      </c>
      <c r="M451" s="145">
        <v>2.35</v>
      </c>
      <c r="N451" s="145">
        <v>40</v>
      </c>
      <c r="O451" s="145">
        <v>10</v>
      </c>
      <c r="P451" s="145">
        <v>0.03</v>
      </c>
      <c r="Q451" s="145">
        <v>14</v>
      </c>
      <c r="R451" s="145">
        <v>0.1</v>
      </c>
      <c r="S451" s="145" t="s">
        <v>400</v>
      </c>
      <c r="T451" s="145">
        <v>181</v>
      </c>
      <c r="U451" s="145">
        <v>0.05</v>
      </c>
      <c r="V451" s="145">
        <v>7.0000000000000007E-2</v>
      </c>
      <c r="W451" s="145" t="s">
        <v>400</v>
      </c>
      <c r="X451" s="145">
        <v>0.09</v>
      </c>
      <c r="Y451" s="145">
        <v>0.04</v>
      </c>
      <c r="Z451" s="145">
        <v>0.06</v>
      </c>
      <c r="AA451" s="145">
        <v>0.28000000000000003</v>
      </c>
      <c r="AB451" s="145">
        <v>53.2</v>
      </c>
      <c r="AC451" s="145">
        <v>0.43</v>
      </c>
      <c r="AD451" s="145" t="s">
        <v>400</v>
      </c>
      <c r="AE451" s="145">
        <v>30</v>
      </c>
      <c r="AF451" s="145" t="s">
        <v>400</v>
      </c>
      <c r="AG451" s="145">
        <v>0.25</v>
      </c>
      <c r="AH451" s="145" t="s">
        <v>400</v>
      </c>
      <c r="AI451" s="145" t="s">
        <v>400</v>
      </c>
      <c r="AJ451" s="145">
        <v>0.5</v>
      </c>
      <c r="AK451" s="145">
        <v>11.21</v>
      </c>
      <c r="AL451" s="145">
        <v>8.3699999999999992</v>
      </c>
      <c r="AM451" s="145" t="s">
        <v>400</v>
      </c>
    </row>
    <row r="452" spans="1:39">
      <c r="A452" s="143" t="s">
        <v>1511</v>
      </c>
      <c r="B452" s="144">
        <v>100</v>
      </c>
      <c r="C452" s="145">
        <v>30</v>
      </c>
      <c r="D452" s="145">
        <v>0.7</v>
      </c>
      <c r="E452" s="145">
        <v>0.2</v>
      </c>
      <c r="F452" s="145">
        <v>0.02</v>
      </c>
      <c r="G452" s="145">
        <v>0.02</v>
      </c>
      <c r="H452" s="145">
        <v>0.06</v>
      </c>
      <c r="I452" s="145">
        <v>0.04</v>
      </c>
      <c r="J452" s="145">
        <v>0.02</v>
      </c>
      <c r="K452" s="145" t="s">
        <v>400</v>
      </c>
      <c r="L452" s="145">
        <v>10.54</v>
      </c>
      <c r="M452" s="145">
        <v>2.8</v>
      </c>
      <c r="N452" s="145">
        <v>33</v>
      </c>
      <c r="O452" s="145">
        <v>6</v>
      </c>
      <c r="P452" s="145">
        <v>0.01</v>
      </c>
      <c r="Q452" s="145">
        <v>18</v>
      </c>
      <c r="R452" s="145">
        <v>0.6</v>
      </c>
      <c r="S452" s="145">
        <v>2</v>
      </c>
      <c r="T452" s="145">
        <v>102</v>
      </c>
      <c r="U452" s="145">
        <v>7.0000000000000007E-2</v>
      </c>
      <c r="V452" s="145">
        <v>0.11</v>
      </c>
      <c r="W452" s="145" t="s">
        <v>400</v>
      </c>
      <c r="X452" s="145">
        <v>0.03</v>
      </c>
      <c r="Y452" s="145">
        <v>0.02</v>
      </c>
      <c r="Z452" s="145">
        <v>0.04</v>
      </c>
      <c r="AA452" s="145">
        <v>0.2</v>
      </c>
      <c r="AB452" s="145">
        <v>29.1</v>
      </c>
      <c r="AC452" s="145">
        <v>0.25</v>
      </c>
      <c r="AD452" s="145" t="s">
        <v>400</v>
      </c>
      <c r="AE452" s="145">
        <v>8</v>
      </c>
      <c r="AF452" s="145" t="s">
        <v>400</v>
      </c>
      <c r="AG452" s="145">
        <v>0.22</v>
      </c>
      <c r="AH452" s="145" t="s">
        <v>400</v>
      </c>
      <c r="AI452" s="145" t="s">
        <v>400</v>
      </c>
      <c r="AJ452" s="145">
        <v>0.4</v>
      </c>
      <c r="AK452" s="145">
        <v>2.5</v>
      </c>
      <c r="AL452" s="145">
        <v>0.7</v>
      </c>
      <c r="AM452" s="145" t="s">
        <v>400</v>
      </c>
    </row>
    <row r="453" spans="1:39">
      <c r="A453" s="143" t="s">
        <v>1512</v>
      </c>
      <c r="B453" s="144">
        <v>100</v>
      </c>
      <c r="C453" s="145">
        <v>53</v>
      </c>
      <c r="D453" s="145">
        <v>0.81</v>
      </c>
      <c r="E453" s="145">
        <v>0.31</v>
      </c>
      <c r="F453" s="145">
        <v>0.04</v>
      </c>
      <c r="G453" s="145">
        <v>0.06</v>
      </c>
      <c r="H453" s="145">
        <v>7.0000000000000007E-2</v>
      </c>
      <c r="I453" s="145">
        <v>0.05</v>
      </c>
      <c r="J453" s="145">
        <v>0.02</v>
      </c>
      <c r="K453" s="145" t="s">
        <v>400</v>
      </c>
      <c r="L453" s="145">
        <v>13.34</v>
      </c>
      <c r="M453" s="145">
        <v>1.8</v>
      </c>
      <c r="N453" s="145">
        <v>37</v>
      </c>
      <c r="O453" s="145">
        <v>12</v>
      </c>
      <c r="P453" s="145">
        <v>0.04</v>
      </c>
      <c r="Q453" s="145">
        <v>20</v>
      </c>
      <c r="R453" s="145">
        <v>0.15</v>
      </c>
      <c r="S453" s="145">
        <v>2</v>
      </c>
      <c r="T453" s="145">
        <v>166</v>
      </c>
      <c r="U453" s="145">
        <v>0.04</v>
      </c>
      <c r="V453" s="145">
        <v>7.0000000000000007E-2</v>
      </c>
      <c r="W453" s="145" t="s">
        <v>400</v>
      </c>
      <c r="X453" s="145">
        <v>0.06</v>
      </c>
      <c r="Y453" s="145">
        <v>0.04</v>
      </c>
      <c r="Z453" s="145">
        <v>0.08</v>
      </c>
      <c r="AA453" s="145">
        <v>0.38</v>
      </c>
      <c r="AB453" s="145">
        <v>26.7</v>
      </c>
      <c r="AC453" s="145">
        <v>0.41</v>
      </c>
      <c r="AD453" s="145" t="s">
        <v>400</v>
      </c>
      <c r="AE453" s="145">
        <v>16</v>
      </c>
      <c r="AF453" s="145" t="s">
        <v>400</v>
      </c>
      <c r="AG453" s="145">
        <v>0.2</v>
      </c>
      <c r="AH453" s="145" t="s">
        <v>400</v>
      </c>
      <c r="AI453" s="145" t="s">
        <v>400</v>
      </c>
      <c r="AJ453" s="145">
        <v>0.1</v>
      </c>
      <c r="AK453" s="145">
        <v>34.08</v>
      </c>
      <c r="AL453" s="145">
        <v>10.58</v>
      </c>
      <c r="AM453" s="145" t="s">
        <v>400</v>
      </c>
    </row>
    <row r="454" spans="1:39">
      <c r="A454" s="143" t="s">
        <v>1513</v>
      </c>
      <c r="B454" s="144">
        <v>100</v>
      </c>
      <c r="C454" s="145">
        <v>53</v>
      </c>
      <c r="D454" s="145">
        <v>0.81</v>
      </c>
      <c r="E454" s="145">
        <v>0.31</v>
      </c>
      <c r="F454" s="145">
        <v>0.04</v>
      </c>
      <c r="G454" s="145">
        <v>0.06</v>
      </c>
      <c r="H454" s="145">
        <v>7.0000000000000007E-2</v>
      </c>
      <c r="I454" s="145">
        <v>0.05</v>
      </c>
      <c r="J454" s="145">
        <v>0.02</v>
      </c>
      <c r="K454" s="145" t="s">
        <v>400</v>
      </c>
      <c r="L454" s="145">
        <v>13.34</v>
      </c>
      <c r="M454" s="145">
        <v>1.8</v>
      </c>
      <c r="N454" s="145">
        <v>37</v>
      </c>
      <c r="O454" s="145">
        <v>12</v>
      </c>
      <c r="P454" s="145">
        <v>0.04</v>
      </c>
      <c r="Q454" s="145">
        <v>20</v>
      </c>
      <c r="R454" s="145">
        <v>0.15</v>
      </c>
      <c r="S454" s="145">
        <v>2</v>
      </c>
      <c r="T454" s="145">
        <v>166</v>
      </c>
      <c r="U454" s="145">
        <v>0.04</v>
      </c>
      <c r="V454" s="145">
        <v>7.0000000000000007E-2</v>
      </c>
      <c r="W454" s="145" t="s">
        <v>400</v>
      </c>
      <c r="X454" s="145">
        <v>0.06</v>
      </c>
      <c r="Y454" s="145">
        <v>0.04</v>
      </c>
      <c r="Z454" s="145">
        <v>0.08</v>
      </c>
      <c r="AA454" s="145">
        <v>0.38</v>
      </c>
      <c r="AB454" s="145">
        <v>26.7</v>
      </c>
      <c r="AC454" s="145">
        <v>0.41</v>
      </c>
      <c r="AD454" s="145" t="s">
        <v>400</v>
      </c>
      <c r="AE454" s="145">
        <v>16</v>
      </c>
      <c r="AF454" s="145" t="s">
        <v>400</v>
      </c>
      <c r="AG454" s="145">
        <v>0.2</v>
      </c>
      <c r="AH454" s="145" t="s">
        <v>400</v>
      </c>
      <c r="AI454" s="145" t="s">
        <v>400</v>
      </c>
      <c r="AJ454" s="145">
        <v>0.1</v>
      </c>
      <c r="AK454" s="145">
        <v>34.08</v>
      </c>
      <c r="AL454" s="145">
        <v>10.58</v>
      </c>
      <c r="AM454" s="145" t="s">
        <v>400</v>
      </c>
    </row>
    <row r="455" spans="1:39">
      <c r="A455" s="143" t="s">
        <v>1514</v>
      </c>
      <c r="B455" s="144">
        <v>100</v>
      </c>
      <c r="C455" s="145">
        <v>53</v>
      </c>
      <c r="D455" s="145">
        <v>0.81</v>
      </c>
      <c r="E455" s="145">
        <v>0.31</v>
      </c>
      <c r="F455" s="145">
        <v>0.04</v>
      </c>
      <c r="G455" s="145">
        <v>0.06</v>
      </c>
      <c r="H455" s="145">
        <v>7.0000000000000007E-2</v>
      </c>
      <c r="I455" s="145">
        <v>0.05</v>
      </c>
      <c r="J455" s="145">
        <v>0.02</v>
      </c>
      <c r="K455" s="145" t="s">
        <v>400</v>
      </c>
      <c r="L455" s="145">
        <v>13.34</v>
      </c>
      <c r="M455" s="145">
        <v>1.8</v>
      </c>
      <c r="N455" s="145">
        <v>37</v>
      </c>
      <c r="O455" s="145">
        <v>12</v>
      </c>
      <c r="P455" s="145">
        <v>0.04</v>
      </c>
      <c r="Q455" s="145">
        <v>20</v>
      </c>
      <c r="R455" s="145">
        <v>0.15</v>
      </c>
      <c r="S455" s="145">
        <v>2</v>
      </c>
      <c r="T455" s="145">
        <v>166</v>
      </c>
      <c r="U455" s="145">
        <v>0.04</v>
      </c>
      <c r="V455" s="145">
        <v>7.0000000000000007E-2</v>
      </c>
      <c r="W455" s="145" t="s">
        <v>400</v>
      </c>
      <c r="X455" s="145">
        <v>0.06</v>
      </c>
      <c r="Y455" s="145">
        <v>0.04</v>
      </c>
      <c r="Z455" s="145">
        <v>0.08</v>
      </c>
      <c r="AA455" s="145">
        <v>0.38</v>
      </c>
      <c r="AB455" s="145">
        <v>26.7</v>
      </c>
      <c r="AC455" s="145">
        <v>0.41</v>
      </c>
      <c r="AD455" s="145" t="s">
        <v>400</v>
      </c>
      <c r="AE455" s="145">
        <v>16</v>
      </c>
      <c r="AF455" s="145" t="s">
        <v>400</v>
      </c>
      <c r="AG455" s="145">
        <v>0.2</v>
      </c>
      <c r="AH455" s="145" t="s">
        <v>400</v>
      </c>
      <c r="AI455" s="145" t="s">
        <v>400</v>
      </c>
      <c r="AJ455" s="145">
        <v>0.1</v>
      </c>
      <c r="AK455" s="145">
        <v>34.08</v>
      </c>
      <c r="AL455" s="145">
        <v>10.58</v>
      </c>
      <c r="AM455" s="145" t="s">
        <v>400</v>
      </c>
    </row>
    <row r="456" spans="1:39">
      <c r="A456" s="143" t="s">
        <v>1515</v>
      </c>
      <c r="B456" s="144">
        <v>100</v>
      </c>
      <c r="C456" s="145">
        <v>53</v>
      </c>
      <c r="D456" s="145">
        <v>0.81</v>
      </c>
      <c r="E456" s="145">
        <v>0.31</v>
      </c>
      <c r="F456" s="145">
        <v>0.04</v>
      </c>
      <c r="G456" s="145">
        <v>0.06</v>
      </c>
      <c r="H456" s="145">
        <v>7.0000000000000007E-2</v>
      </c>
      <c r="I456" s="145">
        <v>0.05</v>
      </c>
      <c r="J456" s="145">
        <v>0.02</v>
      </c>
      <c r="K456" s="145" t="s">
        <v>400</v>
      </c>
      <c r="L456" s="145">
        <v>13.34</v>
      </c>
      <c r="M456" s="145">
        <v>1.8</v>
      </c>
      <c r="N456" s="145">
        <v>37</v>
      </c>
      <c r="O456" s="145">
        <v>12</v>
      </c>
      <c r="P456" s="145">
        <v>0.04</v>
      </c>
      <c r="Q456" s="145">
        <v>20</v>
      </c>
      <c r="R456" s="145">
        <v>0.15</v>
      </c>
      <c r="S456" s="145">
        <v>2</v>
      </c>
      <c r="T456" s="145">
        <v>166</v>
      </c>
      <c r="U456" s="145">
        <v>0.04</v>
      </c>
      <c r="V456" s="145">
        <v>7.0000000000000007E-2</v>
      </c>
      <c r="W456" s="145" t="s">
        <v>400</v>
      </c>
      <c r="X456" s="145">
        <v>0.06</v>
      </c>
      <c r="Y456" s="145">
        <v>0.04</v>
      </c>
      <c r="Z456" s="145">
        <v>0.08</v>
      </c>
      <c r="AA456" s="145">
        <v>0.38</v>
      </c>
      <c r="AB456" s="145">
        <v>26.7</v>
      </c>
      <c r="AC456" s="145">
        <v>0.41</v>
      </c>
      <c r="AD456" s="145" t="s">
        <v>400</v>
      </c>
      <c r="AE456" s="145">
        <v>16</v>
      </c>
      <c r="AF456" s="145" t="s">
        <v>400</v>
      </c>
      <c r="AG456" s="145">
        <v>0.2</v>
      </c>
      <c r="AH456" s="145" t="s">
        <v>400</v>
      </c>
      <c r="AI456" s="145" t="s">
        <v>400</v>
      </c>
      <c r="AJ456" s="145">
        <v>0.1</v>
      </c>
      <c r="AK456" s="145">
        <v>34.08</v>
      </c>
      <c r="AL456" s="145">
        <v>10.58</v>
      </c>
      <c r="AM456" s="145" t="s">
        <v>400</v>
      </c>
    </row>
    <row r="457" spans="1:39">
      <c r="A457" s="143" t="s">
        <v>1516</v>
      </c>
      <c r="B457" s="144">
        <v>100</v>
      </c>
      <c r="C457" s="145">
        <v>53</v>
      </c>
      <c r="D457" s="145">
        <v>0.81</v>
      </c>
      <c r="E457" s="145">
        <v>0.31</v>
      </c>
      <c r="F457" s="145">
        <v>0.04</v>
      </c>
      <c r="G457" s="145">
        <v>0.06</v>
      </c>
      <c r="H457" s="145">
        <v>7.0000000000000007E-2</v>
      </c>
      <c r="I457" s="145">
        <v>0.05</v>
      </c>
      <c r="J457" s="145">
        <v>0.02</v>
      </c>
      <c r="K457" s="145" t="s">
        <v>400</v>
      </c>
      <c r="L457" s="145">
        <v>13.34</v>
      </c>
      <c r="M457" s="145">
        <v>1.8</v>
      </c>
      <c r="N457" s="145">
        <v>37</v>
      </c>
      <c r="O457" s="145">
        <v>12</v>
      </c>
      <c r="P457" s="145">
        <v>0.04</v>
      </c>
      <c r="Q457" s="145">
        <v>20</v>
      </c>
      <c r="R457" s="145">
        <v>0.15</v>
      </c>
      <c r="S457" s="145">
        <v>2</v>
      </c>
      <c r="T457" s="145">
        <v>166</v>
      </c>
      <c r="U457" s="145">
        <v>0.04</v>
      </c>
      <c r="V457" s="145">
        <v>7.0000000000000007E-2</v>
      </c>
      <c r="W457" s="145" t="s">
        <v>400</v>
      </c>
      <c r="X457" s="145">
        <v>0.06</v>
      </c>
      <c r="Y457" s="145">
        <v>0.04</v>
      </c>
      <c r="Z457" s="145">
        <v>0.08</v>
      </c>
      <c r="AA457" s="145">
        <v>0.38</v>
      </c>
      <c r="AB457" s="145">
        <v>26.7</v>
      </c>
      <c r="AC457" s="145">
        <v>0.41</v>
      </c>
      <c r="AD457" s="145" t="s">
        <v>400</v>
      </c>
      <c r="AE457" s="145">
        <v>16</v>
      </c>
      <c r="AF457" s="145" t="s">
        <v>400</v>
      </c>
      <c r="AG457" s="145">
        <v>0.2</v>
      </c>
      <c r="AH457" s="145" t="s">
        <v>400</v>
      </c>
      <c r="AI457" s="145" t="s">
        <v>400</v>
      </c>
      <c r="AJ457" s="145">
        <v>0.1</v>
      </c>
      <c r="AK457" s="145">
        <v>34.08</v>
      </c>
      <c r="AL457" s="145">
        <v>10.58</v>
      </c>
      <c r="AM457" s="145" t="s">
        <v>400</v>
      </c>
    </row>
    <row r="458" spans="1:39">
      <c r="A458" s="143" t="s">
        <v>1517</v>
      </c>
      <c r="B458" s="144">
        <v>100</v>
      </c>
      <c r="C458" s="145">
        <v>53</v>
      </c>
      <c r="D458" s="145">
        <v>0.81</v>
      </c>
      <c r="E458" s="145">
        <v>0.31</v>
      </c>
      <c r="F458" s="145">
        <v>0.04</v>
      </c>
      <c r="G458" s="145">
        <v>0.06</v>
      </c>
      <c r="H458" s="145">
        <v>7.0000000000000007E-2</v>
      </c>
      <c r="I458" s="145">
        <v>0.05</v>
      </c>
      <c r="J458" s="145">
        <v>0.02</v>
      </c>
      <c r="K458" s="145" t="s">
        <v>400</v>
      </c>
      <c r="L458" s="145">
        <v>13.34</v>
      </c>
      <c r="M458" s="145">
        <v>1.8</v>
      </c>
      <c r="N458" s="145">
        <v>37</v>
      </c>
      <c r="O458" s="145">
        <v>12</v>
      </c>
      <c r="P458" s="145">
        <v>0.04</v>
      </c>
      <c r="Q458" s="145">
        <v>20</v>
      </c>
      <c r="R458" s="145">
        <v>0.15</v>
      </c>
      <c r="S458" s="145">
        <v>2</v>
      </c>
      <c r="T458" s="145">
        <v>166</v>
      </c>
      <c r="U458" s="145">
        <v>0.04</v>
      </c>
      <c r="V458" s="145">
        <v>7.0000000000000007E-2</v>
      </c>
      <c r="W458" s="145" t="s">
        <v>400</v>
      </c>
      <c r="X458" s="145">
        <v>0.06</v>
      </c>
      <c r="Y458" s="145">
        <v>0.04</v>
      </c>
      <c r="Z458" s="145">
        <v>0.08</v>
      </c>
      <c r="AA458" s="145">
        <v>0.38</v>
      </c>
      <c r="AB458" s="145">
        <v>26.7</v>
      </c>
      <c r="AC458" s="145">
        <v>0.41</v>
      </c>
      <c r="AD458" s="145" t="s">
        <v>400</v>
      </c>
      <c r="AE458" s="145">
        <v>16</v>
      </c>
      <c r="AF458" s="145" t="s">
        <v>400</v>
      </c>
      <c r="AG458" s="145">
        <v>0.2</v>
      </c>
      <c r="AH458" s="145" t="s">
        <v>400</v>
      </c>
      <c r="AI458" s="145" t="s">
        <v>400</v>
      </c>
      <c r="AJ458" s="145">
        <v>0.1</v>
      </c>
      <c r="AK458" s="145">
        <v>34.08</v>
      </c>
      <c r="AL458" s="145">
        <v>10.58</v>
      </c>
      <c r="AM458" s="145" t="s">
        <v>400</v>
      </c>
    </row>
    <row r="459" spans="1:39">
      <c r="A459" s="143" t="s">
        <v>1518</v>
      </c>
      <c r="B459" s="144">
        <v>100</v>
      </c>
      <c r="C459" s="145">
        <v>47</v>
      </c>
      <c r="D459" s="145">
        <v>0.94</v>
      </c>
      <c r="E459" s="145">
        <v>0.12</v>
      </c>
      <c r="F459" s="145">
        <v>0.02</v>
      </c>
      <c r="G459" s="145">
        <v>0.02</v>
      </c>
      <c r="H459" s="145">
        <v>0.03</v>
      </c>
      <c r="I459" s="145">
        <v>0.02</v>
      </c>
      <c r="J459" s="145">
        <v>0.01</v>
      </c>
      <c r="K459" s="145" t="s">
        <v>400</v>
      </c>
      <c r="L459" s="145">
        <v>11.75</v>
      </c>
      <c r="M459" s="145">
        <v>2.35</v>
      </c>
      <c r="N459" s="145">
        <v>40</v>
      </c>
      <c r="O459" s="145">
        <v>10</v>
      </c>
      <c r="P459" s="145">
        <v>0.03</v>
      </c>
      <c r="Q459" s="145">
        <v>14</v>
      </c>
      <c r="R459" s="145">
        <v>0.1</v>
      </c>
      <c r="S459" s="145" t="s">
        <v>400</v>
      </c>
      <c r="T459" s="145">
        <v>181</v>
      </c>
      <c r="U459" s="145">
        <v>0.05</v>
      </c>
      <c r="V459" s="145">
        <v>7.0000000000000007E-2</v>
      </c>
      <c r="W459" s="145" t="s">
        <v>400</v>
      </c>
      <c r="X459" s="145">
        <v>0.09</v>
      </c>
      <c r="Y459" s="145">
        <v>0.04</v>
      </c>
      <c r="Z459" s="145">
        <v>0.06</v>
      </c>
      <c r="AA459" s="145">
        <v>0.28000000000000003</v>
      </c>
      <c r="AB459" s="145">
        <v>53.2</v>
      </c>
      <c r="AC459" s="145">
        <v>0.43</v>
      </c>
      <c r="AD459" s="145" t="s">
        <v>400</v>
      </c>
      <c r="AE459" s="145">
        <v>30</v>
      </c>
      <c r="AF459" s="145" t="s">
        <v>400</v>
      </c>
      <c r="AG459" s="145">
        <v>0.25</v>
      </c>
      <c r="AH459" s="145" t="s">
        <v>400</v>
      </c>
      <c r="AI459" s="145" t="s">
        <v>400</v>
      </c>
      <c r="AJ459" s="145">
        <v>0.5</v>
      </c>
      <c r="AK459" s="145">
        <v>11.21</v>
      </c>
      <c r="AL459" s="145">
        <v>8.3699999999999992</v>
      </c>
      <c r="AM459" s="145" t="s">
        <v>400</v>
      </c>
    </row>
    <row r="460" spans="1:39">
      <c r="A460" s="143" t="s">
        <v>1519</v>
      </c>
      <c r="B460" s="144">
        <v>100</v>
      </c>
      <c r="C460" s="145">
        <v>73.58</v>
      </c>
      <c r="D460" s="145" t="s">
        <v>400</v>
      </c>
      <c r="E460" s="145">
        <v>0.05</v>
      </c>
      <c r="F460" s="145" t="s">
        <v>400</v>
      </c>
      <c r="G460" s="145" t="s">
        <v>400</v>
      </c>
      <c r="H460" s="145" t="s">
        <v>400</v>
      </c>
      <c r="I460" s="145" t="s">
        <v>400</v>
      </c>
      <c r="J460" s="145" t="s">
        <v>400</v>
      </c>
      <c r="K460" s="145" t="s">
        <v>400</v>
      </c>
      <c r="L460" s="145">
        <v>19.97</v>
      </c>
      <c r="M460" s="145" t="s">
        <v>400</v>
      </c>
      <c r="N460" s="145">
        <v>5.6</v>
      </c>
      <c r="O460" s="145">
        <v>1</v>
      </c>
      <c r="P460" s="145" t="s">
        <v>400</v>
      </c>
      <c r="Q460" s="145" t="s">
        <v>400</v>
      </c>
      <c r="R460" s="145" t="s">
        <v>400</v>
      </c>
      <c r="S460" s="145">
        <v>18.34</v>
      </c>
      <c r="T460" s="145">
        <v>1</v>
      </c>
      <c r="U460" s="145">
        <v>0.01</v>
      </c>
      <c r="V460" s="145">
        <v>0.11</v>
      </c>
      <c r="W460" s="145" t="s">
        <v>400</v>
      </c>
      <c r="X460" s="145">
        <v>0.02</v>
      </c>
      <c r="Y460" s="145" t="s">
        <v>400</v>
      </c>
      <c r="Z460" s="145" t="s">
        <v>400</v>
      </c>
      <c r="AA460" s="145" t="s">
        <v>400</v>
      </c>
      <c r="AB460" s="145" t="s">
        <v>400</v>
      </c>
      <c r="AC460" s="145" t="s">
        <v>400</v>
      </c>
      <c r="AD460" s="145" t="s">
        <v>400</v>
      </c>
      <c r="AE460" s="145" t="s">
        <v>400</v>
      </c>
      <c r="AF460" s="145" t="s">
        <v>400</v>
      </c>
      <c r="AG460" s="145" t="s">
        <v>400</v>
      </c>
      <c r="AH460" s="145" t="s">
        <v>400</v>
      </c>
      <c r="AI460" s="145" t="s">
        <v>400</v>
      </c>
      <c r="AJ460" s="145">
        <v>0.18</v>
      </c>
      <c r="AK460" s="145" t="s">
        <v>400</v>
      </c>
      <c r="AL460" s="145">
        <v>9.83</v>
      </c>
      <c r="AM460" s="145">
        <v>19.97</v>
      </c>
    </row>
    <row r="461" spans="1:39">
      <c r="A461" s="143" t="s">
        <v>1520</v>
      </c>
      <c r="B461" s="144">
        <v>100</v>
      </c>
      <c r="C461" s="145">
        <v>48</v>
      </c>
      <c r="D461" s="145">
        <v>0.54</v>
      </c>
      <c r="E461" s="145">
        <v>0.12</v>
      </c>
      <c r="F461" s="145">
        <v>0.01</v>
      </c>
      <c r="G461" s="145">
        <v>0.01</v>
      </c>
      <c r="H461" s="145">
        <v>0.04</v>
      </c>
      <c r="I461" s="145">
        <v>0.02</v>
      </c>
      <c r="J461" s="145">
        <v>0.02</v>
      </c>
      <c r="K461" s="145" t="s">
        <v>400</v>
      </c>
      <c r="L461" s="145">
        <v>12.63</v>
      </c>
      <c r="M461" s="145">
        <v>1.4</v>
      </c>
      <c r="N461" s="145">
        <v>13</v>
      </c>
      <c r="O461" s="145">
        <v>12</v>
      </c>
      <c r="P461" s="145">
        <v>1.18</v>
      </c>
      <c r="Q461" s="145">
        <v>8</v>
      </c>
      <c r="R461" s="145">
        <v>0.28000000000000003</v>
      </c>
      <c r="S461" s="145">
        <v>1</v>
      </c>
      <c r="T461" s="145">
        <v>115</v>
      </c>
      <c r="U461" s="145">
        <v>0.1</v>
      </c>
      <c r="V461" s="145">
        <v>0.1</v>
      </c>
      <c r="W461" s="145">
        <v>5.67</v>
      </c>
      <c r="X461" s="145">
        <v>0.08</v>
      </c>
      <c r="Y461" s="145">
        <v>0.03</v>
      </c>
      <c r="Z461" s="145">
        <v>0.11</v>
      </c>
      <c r="AA461" s="145">
        <v>0.49</v>
      </c>
      <c r="AB461" s="145">
        <v>36.200000000000003</v>
      </c>
      <c r="AC461" s="145">
        <v>0.56999999999999995</v>
      </c>
      <c r="AD461" s="145" t="s">
        <v>400</v>
      </c>
      <c r="AE461" s="145">
        <v>15</v>
      </c>
      <c r="AF461" s="145" t="s">
        <v>400</v>
      </c>
      <c r="AG461" s="145" t="s">
        <v>1521</v>
      </c>
      <c r="AH461" s="145" t="s">
        <v>400</v>
      </c>
      <c r="AI461" s="145" t="s">
        <v>400</v>
      </c>
      <c r="AJ461" s="145">
        <v>0.1</v>
      </c>
      <c r="AK461" s="145">
        <v>2.83</v>
      </c>
      <c r="AL461" s="145">
        <v>9.26</v>
      </c>
      <c r="AM461" s="145" t="s">
        <v>400</v>
      </c>
    </row>
    <row r="462" spans="1:39">
      <c r="A462" s="143" t="s">
        <v>1522</v>
      </c>
      <c r="B462" s="144">
        <v>100</v>
      </c>
      <c r="C462" s="145">
        <v>48</v>
      </c>
      <c r="D462" s="145">
        <v>0.54</v>
      </c>
      <c r="E462" s="145">
        <v>0.12</v>
      </c>
      <c r="F462" s="145">
        <v>0.01</v>
      </c>
      <c r="G462" s="145">
        <v>0.01</v>
      </c>
      <c r="H462" s="145">
        <v>0.04</v>
      </c>
      <c r="I462" s="145">
        <v>0.02</v>
      </c>
      <c r="J462" s="145">
        <v>0.02</v>
      </c>
      <c r="K462" s="145" t="s">
        <v>400</v>
      </c>
      <c r="L462" s="145">
        <v>12.63</v>
      </c>
      <c r="M462" s="145">
        <v>1.4</v>
      </c>
      <c r="N462" s="145">
        <v>13</v>
      </c>
      <c r="O462" s="145">
        <v>12</v>
      </c>
      <c r="P462" s="145">
        <v>1.18</v>
      </c>
      <c r="Q462" s="145">
        <v>8</v>
      </c>
      <c r="R462" s="145">
        <v>0.28000000000000003</v>
      </c>
      <c r="S462" s="145">
        <v>1</v>
      </c>
      <c r="T462" s="145">
        <v>115</v>
      </c>
      <c r="U462" s="145">
        <v>0.1</v>
      </c>
      <c r="V462" s="145">
        <v>0.1</v>
      </c>
      <c r="W462" s="145">
        <v>5.67</v>
      </c>
      <c r="X462" s="145">
        <v>0.08</v>
      </c>
      <c r="Y462" s="145">
        <v>0.03</v>
      </c>
      <c r="Z462" s="145">
        <v>0.11</v>
      </c>
      <c r="AA462" s="145">
        <v>0.49</v>
      </c>
      <c r="AB462" s="145">
        <v>36.200000000000003</v>
      </c>
      <c r="AC462" s="145">
        <v>0.56999999999999995</v>
      </c>
      <c r="AD462" s="145" t="s">
        <v>400</v>
      </c>
      <c r="AE462" s="145">
        <v>15</v>
      </c>
      <c r="AF462" s="145" t="s">
        <v>400</v>
      </c>
      <c r="AG462" s="145" t="s">
        <v>1521</v>
      </c>
      <c r="AH462" s="145" t="s">
        <v>400</v>
      </c>
      <c r="AI462" s="145" t="s">
        <v>400</v>
      </c>
      <c r="AJ462" s="145">
        <v>0.1</v>
      </c>
      <c r="AK462" s="145">
        <v>2.83</v>
      </c>
      <c r="AL462" s="145">
        <v>9.26</v>
      </c>
      <c r="AM462" s="145" t="s">
        <v>400</v>
      </c>
    </row>
    <row r="463" spans="1:39">
      <c r="A463" s="143" t="s">
        <v>1523</v>
      </c>
      <c r="B463" s="144">
        <v>100</v>
      </c>
      <c r="C463" s="145">
        <v>120</v>
      </c>
      <c r="D463" s="145">
        <v>2.23</v>
      </c>
      <c r="E463" s="145">
        <v>10.06</v>
      </c>
      <c r="F463" s="145">
        <v>1.96</v>
      </c>
      <c r="G463" s="145">
        <v>5.51</v>
      </c>
      <c r="H463" s="145">
        <v>1.68</v>
      </c>
      <c r="I463" s="145">
        <v>1.58</v>
      </c>
      <c r="J463" s="145">
        <v>0.1</v>
      </c>
      <c r="K463" s="145" t="s">
        <v>400</v>
      </c>
      <c r="L463" s="145">
        <v>7.82</v>
      </c>
      <c r="M463" s="145">
        <v>5.6</v>
      </c>
      <c r="N463" s="145">
        <v>10</v>
      </c>
      <c r="O463" s="145">
        <v>24</v>
      </c>
      <c r="P463" s="145">
        <v>0.1</v>
      </c>
      <c r="Q463" s="145">
        <v>40</v>
      </c>
      <c r="R463" s="145">
        <v>0.17</v>
      </c>
      <c r="S463" s="145">
        <v>2</v>
      </c>
      <c r="T463" s="145">
        <v>351</v>
      </c>
      <c r="U463" s="145">
        <v>0.31</v>
      </c>
      <c r="V463" s="145">
        <v>0.4</v>
      </c>
      <c r="W463" s="145" t="s">
        <v>400</v>
      </c>
      <c r="X463" s="145">
        <v>0.02</v>
      </c>
      <c r="Y463" s="145">
        <v>0.05</v>
      </c>
      <c r="Z463" s="145">
        <v>0.08</v>
      </c>
      <c r="AA463" s="145">
        <v>0.67</v>
      </c>
      <c r="AB463" s="145">
        <v>17.399999999999999</v>
      </c>
      <c r="AC463" s="145">
        <v>1.1399999999999999</v>
      </c>
      <c r="AD463" s="145" t="s">
        <v>400</v>
      </c>
      <c r="AE463" s="145">
        <v>35</v>
      </c>
      <c r="AF463" s="145" t="s">
        <v>400</v>
      </c>
      <c r="AG463" s="145">
        <v>2.66</v>
      </c>
      <c r="AH463" s="145" t="s">
        <v>400</v>
      </c>
      <c r="AI463" s="145" t="s">
        <v>400</v>
      </c>
      <c r="AJ463" s="145">
        <v>0.4</v>
      </c>
      <c r="AK463" s="145">
        <v>7.04</v>
      </c>
      <c r="AL463" s="145">
        <v>2.42</v>
      </c>
      <c r="AM463" s="145" t="s">
        <v>400</v>
      </c>
    </row>
    <row r="464" spans="1:39">
      <c r="A464" s="143" t="s">
        <v>1524</v>
      </c>
      <c r="B464" s="144">
        <v>100</v>
      </c>
      <c r="C464" s="145">
        <v>70</v>
      </c>
      <c r="D464" s="145">
        <v>0.57999999999999996</v>
      </c>
      <c r="E464" s="145">
        <v>0.19</v>
      </c>
      <c r="F464" s="145">
        <v>0.02</v>
      </c>
      <c r="G464" s="145">
        <v>0.04</v>
      </c>
      <c r="H464" s="145">
        <v>0.04</v>
      </c>
      <c r="I464" s="145">
        <v>0.04</v>
      </c>
      <c r="J464" s="145" t="s">
        <v>400</v>
      </c>
      <c r="K464" s="145" t="s">
        <v>400</v>
      </c>
      <c r="L464" s="145">
        <v>18.59</v>
      </c>
      <c r="M464" s="145">
        <v>3.6</v>
      </c>
      <c r="N464" s="145">
        <v>8</v>
      </c>
      <c r="O464" s="145">
        <v>9</v>
      </c>
      <c r="P464" s="145">
        <v>0.36</v>
      </c>
      <c r="Q464" s="145">
        <v>17</v>
      </c>
      <c r="R464" s="145">
        <v>0.15</v>
      </c>
      <c r="S464" s="145">
        <v>1</v>
      </c>
      <c r="T464" s="145">
        <v>161</v>
      </c>
      <c r="U464" s="145">
        <v>0.11</v>
      </c>
      <c r="V464" s="145">
        <v>0.11</v>
      </c>
      <c r="W464" s="145" t="s">
        <v>400</v>
      </c>
      <c r="X464" s="145">
        <v>0.03</v>
      </c>
      <c r="Y464" s="145">
        <v>0.02</v>
      </c>
      <c r="Z464" s="145">
        <v>0.1</v>
      </c>
      <c r="AA464" s="145">
        <v>0.1</v>
      </c>
      <c r="AB464" s="145">
        <v>7.5</v>
      </c>
      <c r="AC464" s="145">
        <v>0.27</v>
      </c>
      <c r="AD464" s="145" t="s">
        <v>400</v>
      </c>
      <c r="AE464" s="145">
        <v>8</v>
      </c>
      <c r="AF464" s="145" t="s">
        <v>400</v>
      </c>
      <c r="AG464" s="145">
        <v>0.73</v>
      </c>
      <c r="AH464" s="145" t="s">
        <v>400</v>
      </c>
      <c r="AI464" s="145" t="s">
        <v>400</v>
      </c>
      <c r="AJ464" s="145">
        <v>0.6</v>
      </c>
      <c r="AK464" s="145">
        <v>81.38</v>
      </c>
      <c r="AL464" s="145">
        <v>12.54</v>
      </c>
      <c r="AM464" s="145" t="s">
        <v>400</v>
      </c>
    </row>
    <row r="465" spans="1:39">
      <c r="A465" s="143" t="s">
        <v>1525</v>
      </c>
      <c r="B465" s="144">
        <v>100</v>
      </c>
      <c r="C465" s="145">
        <v>74</v>
      </c>
      <c r="D465" s="145">
        <v>0.75</v>
      </c>
      <c r="E465" s="145">
        <v>0.3</v>
      </c>
      <c r="F465" s="145">
        <v>0.06</v>
      </c>
      <c r="G465" s="145">
        <v>7.0000000000000007E-2</v>
      </c>
      <c r="H465" s="145">
        <v>0.14000000000000001</v>
      </c>
      <c r="I465" s="145">
        <v>0.14000000000000001</v>
      </c>
      <c r="J465" s="145" t="s">
        <v>400</v>
      </c>
      <c r="K465" s="145" t="s">
        <v>400</v>
      </c>
      <c r="L465" s="145">
        <v>19.18</v>
      </c>
      <c r="M465" s="145">
        <v>2.9</v>
      </c>
      <c r="N465" s="145">
        <v>35</v>
      </c>
      <c r="O465" s="145">
        <v>17</v>
      </c>
      <c r="P465" s="145">
        <v>0.13</v>
      </c>
      <c r="Q465" s="145">
        <v>14</v>
      </c>
      <c r="R465" s="145">
        <v>0.37</v>
      </c>
      <c r="S465" s="145">
        <v>1</v>
      </c>
      <c r="T465" s="145">
        <v>232</v>
      </c>
      <c r="U465" s="145">
        <v>7.0000000000000007E-2</v>
      </c>
      <c r="V465" s="145">
        <v>0.15</v>
      </c>
      <c r="W465" s="145" t="s">
        <v>400</v>
      </c>
      <c r="X465" s="145">
        <v>0.06</v>
      </c>
      <c r="Y465" s="145">
        <v>0.05</v>
      </c>
      <c r="Z465" s="145">
        <v>0.11</v>
      </c>
      <c r="AA465" s="145">
        <v>0.4</v>
      </c>
      <c r="AB465" s="145">
        <v>2</v>
      </c>
      <c r="AC465" s="145">
        <v>0.5</v>
      </c>
      <c r="AD465" s="145" t="s">
        <v>400</v>
      </c>
      <c r="AE465" s="145">
        <v>6</v>
      </c>
      <c r="AF465" s="145" t="s">
        <v>400</v>
      </c>
      <c r="AG465" s="145">
        <v>0.11</v>
      </c>
      <c r="AH465" s="145" t="s">
        <v>400</v>
      </c>
      <c r="AI465" s="145" t="s">
        <v>400</v>
      </c>
      <c r="AJ465" s="145">
        <v>0.2</v>
      </c>
      <c r="AK465" s="145">
        <v>7.08</v>
      </c>
      <c r="AL465" s="145">
        <v>6.9</v>
      </c>
      <c r="AM465" s="145" t="s">
        <v>400</v>
      </c>
    </row>
    <row r="466" spans="1:39">
      <c r="A466" s="143" t="s">
        <v>1526</v>
      </c>
      <c r="B466" s="144">
        <v>100</v>
      </c>
      <c r="C466" s="145">
        <v>52</v>
      </c>
      <c r="D466" s="145">
        <v>0.26</v>
      </c>
      <c r="E466" s="145">
        <v>0.17</v>
      </c>
      <c r="F466" s="145">
        <v>0.03</v>
      </c>
      <c r="G466" s="145">
        <v>0.01</v>
      </c>
      <c r="H466" s="145">
        <v>0.05</v>
      </c>
      <c r="I466" s="145">
        <v>0.04</v>
      </c>
      <c r="J466" s="145">
        <v>0.01</v>
      </c>
      <c r="K466" s="145" t="s">
        <v>400</v>
      </c>
      <c r="L466" s="145">
        <v>13.81</v>
      </c>
      <c r="M466" s="145">
        <v>2.4</v>
      </c>
      <c r="N466" s="145">
        <v>6</v>
      </c>
      <c r="O466" s="145">
        <v>5</v>
      </c>
      <c r="P466" s="145">
        <v>0.04</v>
      </c>
      <c r="Q466" s="145">
        <v>11</v>
      </c>
      <c r="R466" s="145">
        <v>0.12</v>
      </c>
      <c r="S466" s="145">
        <v>1</v>
      </c>
      <c r="T466" s="145">
        <v>107</v>
      </c>
      <c r="U466" s="145">
        <v>0.03</v>
      </c>
      <c r="V466" s="145">
        <v>0.04</v>
      </c>
      <c r="W466" s="145" t="s">
        <v>400</v>
      </c>
      <c r="X466" s="145">
        <v>0.02</v>
      </c>
      <c r="Y466" s="145">
        <v>0.03</v>
      </c>
      <c r="Z466" s="145">
        <v>0.04</v>
      </c>
      <c r="AA466" s="145">
        <v>0.09</v>
      </c>
      <c r="AB466" s="145">
        <v>4.5999999999999996</v>
      </c>
      <c r="AC466" s="145">
        <v>0.11</v>
      </c>
      <c r="AD466" s="145" t="s">
        <v>400</v>
      </c>
      <c r="AE466" s="145">
        <v>3</v>
      </c>
      <c r="AF466" s="145" t="s">
        <v>400</v>
      </c>
      <c r="AG466" s="145">
        <v>0.21</v>
      </c>
      <c r="AH466" s="145" t="s">
        <v>400</v>
      </c>
      <c r="AI466" s="145" t="s">
        <v>400</v>
      </c>
      <c r="AJ466" s="145" t="s">
        <v>400</v>
      </c>
      <c r="AK466" s="145">
        <v>2.71</v>
      </c>
      <c r="AL466" s="145">
        <v>10.4</v>
      </c>
      <c r="AM466" s="145" t="s">
        <v>400</v>
      </c>
    </row>
    <row r="467" spans="1:39">
      <c r="A467" s="143" t="s">
        <v>1527</v>
      </c>
      <c r="B467" s="144">
        <v>100</v>
      </c>
      <c r="C467" s="145">
        <v>39</v>
      </c>
      <c r="D467" s="145">
        <v>0.61</v>
      </c>
      <c r="E467" s="145">
        <v>0.14000000000000001</v>
      </c>
      <c r="F467" s="145">
        <v>0.04</v>
      </c>
      <c r="G467" s="145">
        <v>0.04</v>
      </c>
      <c r="H467" s="145">
        <v>0.03</v>
      </c>
      <c r="I467" s="145">
        <v>0.01</v>
      </c>
      <c r="J467" s="145">
        <v>0.03</v>
      </c>
      <c r="K467" s="145" t="s">
        <v>400</v>
      </c>
      <c r="L467" s="145">
        <v>9.81</v>
      </c>
      <c r="M467" s="145">
        <v>1.8</v>
      </c>
      <c r="N467" s="145">
        <v>24</v>
      </c>
      <c r="O467" s="145">
        <v>10</v>
      </c>
      <c r="P467" s="145">
        <v>0.01</v>
      </c>
      <c r="Q467" s="145">
        <v>5</v>
      </c>
      <c r="R467" s="145">
        <v>0.1</v>
      </c>
      <c r="S467" s="145">
        <v>3</v>
      </c>
      <c r="T467" s="145">
        <v>257</v>
      </c>
      <c r="U467" s="145">
        <v>0.02</v>
      </c>
      <c r="V467" s="145">
        <v>7.0000000000000007E-2</v>
      </c>
      <c r="W467" s="145" t="s">
        <v>400</v>
      </c>
      <c r="X467" s="145">
        <v>0.03</v>
      </c>
      <c r="Y467" s="145">
        <v>0.03</v>
      </c>
      <c r="Z467" s="145">
        <v>0.02</v>
      </c>
      <c r="AA467" s="145">
        <v>0.34</v>
      </c>
      <c r="AB467" s="145">
        <v>61.8</v>
      </c>
      <c r="AC467" s="145">
        <v>0.47</v>
      </c>
      <c r="AD467" s="145" t="s">
        <v>400</v>
      </c>
      <c r="AE467" s="145">
        <v>38</v>
      </c>
      <c r="AF467" s="145" t="s">
        <v>400</v>
      </c>
      <c r="AG467" s="145">
        <v>0.73</v>
      </c>
      <c r="AH467" s="145" t="s">
        <v>400</v>
      </c>
      <c r="AI467" s="145" t="s">
        <v>400</v>
      </c>
      <c r="AJ467" s="145">
        <v>0.6</v>
      </c>
      <c r="AK467" s="145">
        <v>54.71</v>
      </c>
      <c r="AL467" s="145">
        <v>4.8600000000000003</v>
      </c>
      <c r="AM467" s="145" t="s">
        <v>400</v>
      </c>
    </row>
    <row r="468" spans="1:39">
      <c r="A468" s="143" t="s">
        <v>1528</v>
      </c>
      <c r="B468" s="144">
        <v>100</v>
      </c>
      <c r="C468" s="145">
        <v>39</v>
      </c>
      <c r="D468" s="145">
        <v>0.61</v>
      </c>
      <c r="E468" s="145">
        <v>0.14000000000000001</v>
      </c>
      <c r="F468" s="145">
        <v>0.04</v>
      </c>
      <c r="G468" s="145">
        <v>0.04</v>
      </c>
      <c r="H468" s="145">
        <v>0.03</v>
      </c>
      <c r="I468" s="145">
        <v>0.01</v>
      </c>
      <c r="J468" s="145">
        <v>0.03</v>
      </c>
      <c r="K468" s="145" t="s">
        <v>400</v>
      </c>
      <c r="L468" s="145">
        <v>9.81</v>
      </c>
      <c r="M468" s="145">
        <v>1.8</v>
      </c>
      <c r="N468" s="145">
        <v>24</v>
      </c>
      <c r="O468" s="145">
        <v>10</v>
      </c>
      <c r="P468" s="145">
        <v>0.01</v>
      </c>
      <c r="Q468" s="145">
        <v>5</v>
      </c>
      <c r="R468" s="145">
        <v>0.1</v>
      </c>
      <c r="S468" s="145">
        <v>3</v>
      </c>
      <c r="T468" s="145">
        <v>257</v>
      </c>
      <c r="U468" s="145">
        <v>0.02</v>
      </c>
      <c r="V468" s="145">
        <v>7.0000000000000007E-2</v>
      </c>
      <c r="W468" s="145" t="s">
        <v>400</v>
      </c>
      <c r="X468" s="145">
        <v>0.03</v>
      </c>
      <c r="Y468" s="145">
        <v>0.03</v>
      </c>
      <c r="Z468" s="145">
        <v>0.02</v>
      </c>
      <c r="AA468" s="145">
        <v>0.34</v>
      </c>
      <c r="AB468" s="145">
        <v>61.8</v>
      </c>
      <c r="AC468" s="145">
        <v>0.47</v>
      </c>
      <c r="AD468" s="145" t="s">
        <v>400</v>
      </c>
      <c r="AE468" s="145">
        <v>38</v>
      </c>
      <c r="AF468" s="145" t="s">
        <v>400</v>
      </c>
      <c r="AG468" s="145">
        <v>0.73</v>
      </c>
      <c r="AH468" s="145" t="s">
        <v>400</v>
      </c>
      <c r="AI468" s="145" t="s">
        <v>400</v>
      </c>
      <c r="AJ468" s="145">
        <v>0.6</v>
      </c>
      <c r="AK468" s="145">
        <v>54.71</v>
      </c>
      <c r="AL468" s="145">
        <v>4.8600000000000003</v>
      </c>
      <c r="AM468" s="145" t="s">
        <v>400</v>
      </c>
    </row>
    <row r="469" spans="1:39">
      <c r="A469" s="143" t="s">
        <v>1529</v>
      </c>
      <c r="B469" s="144">
        <v>100</v>
      </c>
      <c r="C469" s="145">
        <v>65</v>
      </c>
      <c r="D469" s="145">
        <v>0.51</v>
      </c>
      <c r="E469" s="145">
        <v>0.27</v>
      </c>
      <c r="F469" s="145">
        <v>7.0000000000000007E-2</v>
      </c>
      <c r="G469" s="145">
        <v>0.1</v>
      </c>
      <c r="H469" s="145">
        <v>0.05</v>
      </c>
      <c r="I469" s="145">
        <v>0.01</v>
      </c>
      <c r="J469" s="145">
        <v>0.04</v>
      </c>
      <c r="K469" s="145" t="s">
        <v>400</v>
      </c>
      <c r="L469" s="145">
        <v>17</v>
      </c>
      <c r="M469" s="145">
        <v>1.76</v>
      </c>
      <c r="N469" s="145">
        <v>10</v>
      </c>
      <c r="O469" s="145">
        <v>9</v>
      </c>
      <c r="P469" s="145">
        <v>0.03</v>
      </c>
      <c r="Q469" s="145">
        <v>11</v>
      </c>
      <c r="R469" s="145">
        <v>0.13</v>
      </c>
      <c r="S469" s="145">
        <v>2</v>
      </c>
      <c r="T469" s="145">
        <v>156</v>
      </c>
      <c r="U469" s="145">
        <v>0.11</v>
      </c>
      <c r="V469" s="145">
        <v>0.04</v>
      </c>
      <c r="W469" s="145" t="s">
        <v>400</v>
      </c>
      <c r="X469" s="145">
        <v>0.06</v>
      </c>
      <c r="Y469" s="145">
        <v>0.06</v>
      </c>
      <c r="Z469" s="145">
        <v>0.13</v>
      </c>
      <c r="AA469" s="145">
        <v>0.57999999999999996</v>
      </c>
      <c r="AB469" s="145">
        <v>27.7</v>
      </c>
      <c r="AC469" s="145">
        <v>0.72</v>
      </c>
      <c r="AD469" s="145" t="s">
        <v>400</v>
      </c>
      <c r="AE469" s="145">
        <v>14</v>
      </c>
      <c r="AF469" s="145" t="s">
        <v>400</v>
      </c>
      <c r="AG469" s="145">
        <v>1.1200000000000001</v>
      </c>
      <c r="AH469" s="145" t="s">
        <v>400</v>
      </c>
      <c r="AI469" s="145" t="s">
        <v>400</v>
      </c>
      <c r="AJ469" s="145">
        <v>0.6</v>
      </c>
      <c r="AK469" s="145">
        <v>38.25</v>
      </c>
      <c r="AL469" s="145">
        <v>12.73</v>
      </c>
      <c r="AM469" s="145" t="s">
        <v>400</v>
      </c>
    </row>
    <row r="470" spans="1:39">
      <c r="A470" s="143" t="s">
        <v>1530</v>
      </c>
      <c r="B470" s="144">
        <v>100</v>
      </c>
      <c r="C470" s="145">
        <v>65</v>
      </c>
      <c r="D470" s="145">
        <v>0.51</v>
      </c>
      <c r="E470" s="145">
        <v>0.27</v>
      </c>
      <c r="F470" s="145">
        <v>7.0000000000000007E-2</v>
      </c>
      <c r="G470" s="145">
        <v>0.1</v>
      </c>
      <c r="H470" s="145">
        <v>0.05</v>
      </c>
      <c r="I470" s="145">
        <v>0.01</v>
      </c>
      <c r="J470" s="145">
        <v>0.04</v>
      </c>
      <c r="K470" s="145" t="s">
        <v>400</v>
      </c>
      <c r="L470" s="145">
        <v>17</v>
      </c>
      <c r="M470" s="145">
        <v>1.76</v>
      </c>
      <c r="N470" s="145">
        <v>10</v>
      </c>
      <c r="O470" s="145">
        <v>9</v>
      </c>
      <c r="P470" s="145">
        <v>0.03</v>
      </c>
      <c r="Q470" s="145">
        <v>11</v>
      </c>
      <c r="R470" s="145">
        <v>0.13</v>
      </c>
      <c r="S470" s="145">
        <v>2</v>
      </c>
      <c r="T470" s="145">
        <v>156</v>
      </c>
      <c r="U470" s="145">
        <v>0.11</v>
      </c>
      <c r="V470" s="145">
        <v>0.04</v>
      </c>
      <c r="W470" s="145" t="s">
        <v>400</v>
      </c>
      <c r="X470" s="145">
        <v>0.06</v>
      </c>
      <c r="Y470" s="145">
        <v>0.06</v>
      </c>
      <c r="Z470" s="145">
        <v>0.13</v>
      </c>
      <c r="AA470" s="145">
        <v>0.57999999999999996</v>
      </c>
      <c r="AB470" s="145">
        <v>27.7</v>
      </c>
      <c r="AC470" s="145">
        <v>0.72</v>
      </c>
      <c r="AD470" s="145" t="s">
        <v>400</v>
      </c>
      <c r="AE470" s="145">
        <v>14</v>
      </c>
      <c r="AF470" s="145" t="s">
        <v>400</v>
      </c>
      <c r="AG470" s="145">
        <v>1.1200000000000001</v>
      </c>
      <c r="AH470" s="145" t="s">
        <v>400</v>
      </c>
      <c r="AI470" s="145" t="s">
        <v>400</v>
      </c>
      <c r="AJ470" s="145">
        <v>0.6</v>
      </c>
      <c r="AK470" s="145">
        <v>38.25</v>
      </c>
      <c r="AL470" s="145">
        <v>12.73</v>
      </c>
      <c r="AM470" s="145" t="s">
        <v>400</v>
      </c>
    </row>
    <row r="471" spans="1:39">
      <c r="A471" s="143" t="s">
        <v>1531</v>
      </c>
      <c r="B471" s="144">
        <v>100</v>
      </c>
      <c r="C471" s="145">
        <v>97</v>
      </c>
      <c r="D471" s="145">
        <v>2.2000000000000002</v>
      </c>
      <c r="E471" s="145">
        <v>0.7</v>
      </c>
      <c r="F471" s="145">
        <v>0.06</v>
      </c>
      <c r="G471" s="145">
        <v>0.09</v>
      </c>
      <c r="H471" s="145">
        <v>0.41</v>
      </c>
      <c r="I471" s="145">
        <v>0.41</v>
      </c>
      <c r="J471" s="145" t="s">
        <v>400</v>
      </c>
      <c r="K471" s="145" t="s">
        <v>400</v>
      </c>
      <c r="L471" s="145">
        <v>23.38</v>
      </c>
      <c r="M471" s="145">
        <v>10.4</v>
      </c>
      <c r="N471" s="145">
        <v>12</v>
      </c>
      <c r="O471" s="145">
        <v>29</v>
      </c>
      <c r="P471" s="145">
        <v>0.2</v>
      </c>
      <c r="Q471" s="145">
        <v>68</v>
      </c>
      <c r="R471" s="145">
        <v>1.6</v>
      </c>
      <c r="S471" s="145">
        <v>28</v>
      </c>
      <c r="T471" s="145">
        <v>348</v>
      </c>
      <c r="U471" s="145">
        <v>0.09</v>
      </c>
      <c r="V471" s="145">
        <v>0.1</v>
      </c>
      <c r="W471" s="145" t="s">
        <v>400</v>
      </c>
      <c r="X471" s="145" t="s">
        <v>400</v>
      </c>
      <c r="Y471" s="145">
        <v>0.13</v>
      </c>
      <c r="Z471" s="145">
        <v>0.1</v>
      </c>
      <c r="AA471" s="145">
        <v>1.5</v>
      </c>
      <c r="AB471" s="145">
        <v>30</v>
      </c>
      <c r="AC471" s="145">
        <v>1.5</v>
      </c>
      <c r="AD471" s="145" t="s">
        <v>400</v>
      </c>
      <c r="AE471" s="145">
        <v>14</v>
      </c>
      <c r="AF471" s="145" t="s">
        <v>400</v>
      </c>
      <c r="AG471" s="145">
        <v>0.02</v>
      </c>
      <c r="AH471" s="145" t="s">
        <v>400</v>
      </c>
      <c r="AI471" s="145" t="s">
        <v>400</v>
      </c>
      <c r="AJ471" s="145">
        <v>0.6</v>
      </c>
      <c r="AK471" s="145">
        <v>63.63</v>
      </c>
      <c r="AL471" s="145">
        <v>10.4</v>
      </c>
      <c r="AM471" s="145" t="s">
        <v>400</v>
      </c>
    </row>
    <row r="472" spans="1:39">
      <c r="A472" s="143" t="s">
        <v>1532</v>
      </c>
      <c r="B472" s="144">
        <v>100</v>
      </c>
      <c r="C472" s="145">
        <v>30</v>
      </c>
      <c r="D472" s="145">
        <v>0.61</v>
      </c>
      <c r="E472" s="145">
        <v>0.15</v>
      </c>
      <c r="F472" s="145">
        <v>0.02</v>
      </c>
      <c r="G472" s="145">
        <v>0.04</v>
      </c>
      <c r="H472" s="145">
        <v>0.05</v>
      </c>
      <c r="I472" s="145">
        <v>0.05</v>
      </c>
      <c r="J472" s="145" t="s">
        <v>400</v>
      </c>
      <c r="K472" s="145" t="s">
        <v>400</v>
      </c>
      <c r="L472" s="145">
        <v>7.55</v>
      </c>
      <c r="M472" s="145">
        <v>0.4</v>
      </c>
      <c r="N472" s="145">
        <v>7</v>
      </c>
      <c r="O472" s="145">
        <v>10</v>
      </c>
      <c r="P472" s="145">
        <v>0.04</v>
      </c>
      <c r="Q472" s="145">
        <v>11</v>
      </c>
      <c r="R472" s="145">
        <v>0.24</v>
      </c>
      <c r="S472" s="145">
        <v>1</v>
      </c>
      <c r="T472" s="145">
        <v>112</v>
      </c>
      <c r="U472" s="145">
        <v>0.04</v>
      </c>
      <c r="V472" s="145">
        <v>0.1</v>
      </c>
      <c r="W472" s="145" t="s">
        <v>400</v>
      </c>
      <c r="X472" s="145">
        <v>0.03</v>
      </c>
      <c r="Y472" s="145">
        <v>0.02</v>
      </c>
      <c r="Z472" s="145">
        <v>0.05</v>
      </c>
      <c r="AA472" s="145">
        <v>0.18</v>
      </c>
      <c r="AB472" s="145">
        <v>8.1</v>
      </c>
      <c r="AC472" s="145">
        <v>0.28999999999999998</v>
      </c>
      <c r="AD472" s="145" t="s">
        <v>400</v>
      </c>
      <c r="AE472" s="145">
        <v>3</v>
      </c>
      <c r="AF472" s="145" t="s">
        <v>400</v>
      </c>
      <c r="AG472" s="145">
        <v>0.05</v>
      </c>
      <c r="AH472" s="145" t="s">
        <v>400</v>
      </c>
      <c r="AI472" s="145" t="s">
        <v>400</v>
      </c>
      <c r="AJ472" s="145">
        <v>0.4</v>
      </c>
      <c r="AK472" s="145">
        <v>28.5</v>
      </c>
      <c r="AL472" s="145">
        <v>6.21</v>
      </c>
      <c r="AM472" s="145" t="s">
        <v>400</v>
      </c>
    </row>
    <row r="473" spans="1:39">
      <c r="A473" s="143" t="s">
        <v>1533</v>
      </c>
      <c r="B473" s="144">
        <v>100</v>
      </c>
      <c r="C473" s="145">
        <v>36</v>
      </c>
      <c r="D473" s="145">
        <v>0.54</v>
      </c>
      <c r="E473" s="145">
        <v>0.14000000000000001</v>
      </c>
      <c r="F473" s="145">
        <v>0.04</v>
      </c>
      <c r="G473" s="145" t="s">
        <v>400</v>
      </c>
      <c r="H473" s="145">
        <v>0.06</v>
      </c>
      <c r="I473" s="145">
        <v>0.03</v>
      </c>
      <c r="J473" s="145">
        <v>0.03</v>
      </c>
      <c r="K473" s="145" t="s">
        <v>400</v>
      </c>
      <c r="L473" s="145">
        <v>9.09</v>
      </c>
      <c r="M473" s="145">
        <v>0.8</v>
      </c>
      <c r="N473" s="145">
        <v>6</v>
      </c>
      <c r="O473" s="145">
        <v>10</v>
      </c>
      <c r="P473" s="145">
        <v>0.03</v>
      </c>
      <c r="Q473" s="145">
        <v>11</v>
      </c>
      <c r="R473" s="145">
        <v>0.17</v>
      </c>
      <c r="S473" s="145">
        <v>18</v>
      </c>
      <c r="T473" s="145">
        <v>228</v>
      </c>
      <c r="U473" s="145">
        <v>0.02</v>
      </c>
      <c r="V473" s="145">
        <v>0.09</v>
      </c>
      <c r="W473" s="145" t="s">
        <v>400</v>
      </c>
      <c r="X473" s="145">
        <v>0.04</v>
      </c>
      <c r="Y473" s="145">
        <v>0.01</v>
      </c>
      <c r="Z473" s="145">
        <v>0.09</v>
      </c>
      <c r="AA473" s="145">
        <v>0.42</v>
      </c>
      <c r="AB473" s="145">
        <v>18</v>
      </c>
      <c r="AC473" s="145">
        <v>0.5</v>
      </c>
      <c r="AD473" s="145" t="s">
        <v>400</v>
      </c>
      <c r="AE473" s="145">
        <v>19</v>
      </c>
      <c r="AF473" s="145" t="s">
        <v>400</v>
      </c>
      <c r="AG473" s="145">
        <v>0.03</v>
      </c>
      <c r="AH473" s="145" t="s">
        <v>400</v>
      </c>
      <c r="AI473" s="145" t="s">
        <v>400</v>
      </c>
      <c r="AJ473" s="145">
        <v>0.7</v>
      </c>
      <c r="AK473" s="145">
        <v>2.5</v>
      </c>
      <c r="AL473" s="145">
        <v>8.1199999999999992</v>
      </c>
      <c r="AM473" s="145" t="s">
        <v>400</v>
      </c>
    </row>
    <row r="474" spans="1:39">
      <c r="A474" s="143" t="s">
        <v>1534</v>
      </c>
      <c r="B474" s="144">
        <v>100</v>
      </c>
      <c r="C474" s="145">
        <v>58</v>
      </c>
      <c r="D474" s="145">
        <v>0.38</v>
      </c>
      <c r="E474" s="145">
        <v>0.12</v>
      </c>
      <c r="F474" s="145">
        <v>0.01</v>
      </c>
      <c r="G474" s="145">
        <v>0.03</v>
      </c>
      <c r="H474" s="145">
        <v>0.03</v>
      </c>
      <c r="I474" s="145">
        <v>0.03</v>
      </c>
      <c r="J474" s="145" t="s">
        <v>400</v>
      </c>
      <c r="K474" s="145" t="s">
        <v>400</v>
      </c>
      <c r="L474" s="145">
        <v>15.46</v>
      </c>
      <c r="M474" s="145">
        <v>3.16</v>
      </c>
      <c r="N474" s="145">
        <v>9</v>
      </c>
      <c r="O474" s="145">
        <v>7</v>
      </c>
      <c r="P474" s="145">
        <v>0.05</v>
      </c>
      <c r="Q474" s="145">
        <v>11</v>
      </c>
      <c r="R474" s="145">
        <v>0.17</v>
      </c>
      <c r="S474" s="145">
        <v>1</v>
      </c>
      <c r="T474" s="145">
        <v>119</v>
      </c>
      <c r="U474" s="145">
        <v>0.08</v>
      </c>
      <c r="V474" s="145">
        <v>0.1</v>
      </c>
      <c r="W474" s="145" t="s">
        <v>400</v>
      </c>
      <c r="X474" s="145">
        <v>0.01</v>
      </c>
      <c r="Y474" s="145">
        <v>0.03</v>
      </c>
      <c r="Z474" s="145">
        <v>0.03</v>
      </c>
      <c r="AA474" s="145">
        <v>0.16</v>
      </c>
      <c r="AB474" s="145">
        <v>4.2</v>
      </c>
      <c r="AC474" s="145">
        <v>0.19</v>
      </c>
      <c r="AD474" s="145" t="s">
        <v>400</v>
      </c>
      <c r="AE474" s="145">
        <v>7</v>
      </c>
      <c r="AF474" s="145" t="s">
        <v>400</v>
      </c>
      <c r="AG474" s="145">
        <v>0.21</v>
      </c>
      <c r="AH474" s="145" t="s">
        <v>400</v>
      </c>
      <c r="AI474" s="145" t="s">
        <v>400</v>
      </c>
      <c r="AJ474" s="145">
        <v>0.1</v>
      </c>
      <c r="AK474" s="145">
        <v>1.17</v>
      </c>
      <c r="AL474" s="145">
        <v>9.7899999999999991</v>
      </c>
      <c r="AM474" s="145" t="s">
        <v>400</v>
      </c>
    </row>
    <row r="475" spans="1:39">
      <c r="A475" s="143" t="s">
        <v>1535</v>
      </c>
      <c r="B475" s="144">
        <v>100</v>
      </c>
      <c r="C475" s="145">
        <v>39</v>
      </c>
      <c r="D475" s="145">
        <v>0.91</v>
      </c>
      <c r="E475" s="145">
        <v>0.25</v>
      </c>
      <c r="F475" s="145">
        <v>0.02</v>
      </c>
      <c r="G475" s="145">
        <v>7.0000000000000007E-2</v>
      </c>
      <c r="H475" s="145">
        <v>0.09</v>
      </c>
      <c r="I475" s="145">
        <v>0.08</v>
      </c>
      <c r="J475" s="145" t="s">
        <v>400</v>
      </c>
      <c r="K475" s="145" t="s">
        <v>400</v>
      </c>
      <c r="L475" s="145">
        <v>9.5399999999999991</v>
      </c>
      <c r="M475" s="145">
        <v>1.5</v>
      </c>
      <c r="N475" s="145">
        <v>6</v>
      </c>
      <c r="O475" s="145">
        <v>9</v>
      </c>
      <c r="P475" s="145">
        <v>0.06</v>
      </c>
      <c r="Q475" s="145">
        <v>20</v>
      </c>
      <c r="R475" s="145">
        <v>0.25</v>
      </c>
      <c r="S475" s="145" t="s">
        <v>400</v>
      </c>
      <c r="T475" s="145">
        <v>190</v>
      </c>
      <c r="U475" s="145">
        <v>7.0000000000000007E-2</v>
      </c>
      <c r="V475" s="145">
        <v>0.17</v>
      </c>
      <c r="W475" s="145" t="s">
        <v>400</v>
      </c>
      <c r="X475" s="145">
        <v>0.02</v>
      </c>
      <c r="Y475" s="145">
        <v>0.03</v>
      </c>
      <c r="Z475" s="145">
        <v>0.03</v>
      </c>
      <c r="AA475" s="145">
        <v>0.81</v>
      </c>
      <c r="AB475" s="145">
        <v>6.6</v>
      </c>
      <c r="AC475" s="145">
        <v>0.97</v>
      </c>
      <c r="AD475" s="145" t="s">
        <v>400</v>
      </c>
      <c r="AE475" s="145">
        <v>4</v>
      </c>
      <c r="AF475" s="145" t="s">
        <v>400</v>
      </c>
      <c r="AG475" s="145">
        <v>0.71</v>
      </c>
      <c r="AH475" s="145" t="s">
        <v>400</v>
      </c>
      <c r="AI475" s="145" t="s">
        <v>400</v>
      </c>
      <c r="AJ475" s="145">
        <v>0.1</v>
      </c>
      <c r="AK475" s="145">
        <v>16.29</v>
      </c>
      <c r="AL475" s="145">
        <v>8.3800000000000008</v>
      </c>
      <c r="AM475" s="145" t="s">
        <v>400</v>
      </c>
    </row>
    <row r="476" spans="1:39">
      <c r="A476" s="143" t="s">
        <v>1536</v>
      </c>
      <c r="B476" s="144">
        <v>100</v>
      </c>
      <c r="C476" s="145">
        <v>74</v>
      </c>
      <c r="D476" s="145">
        <v>1.65</v>
      </c>
      <c r="E476" s="145">
        <v>0.62</v>
      </c>
      <c r="F476" s="145">
        <v>7.0000000000000007E-2</v>
      </c>
      <c r="G476" s="145">
        <v>0.01</v>
      </c>
      <c r="H476" s="145">
        <v>0.09</v>
      </c>
      <c r="I476" s="145">
        <v>0.05</v>
      </c>
      <c r="J476" s="145">
        <v>0.04</v>
      </c>
      <c r="K476" s="145" t="s">
        <v>400</v>
      </c>
      <c r="L476" s="145">
        <v>17.7</v>
      </c>
      <c r="M476" s="145">
        <v>2.2999999999999998</v>
      </c>
      <c r="N476" s="145">
        <v>8</v>
      </c>
      <c r="O476" s="145">
        <v>16</v>
      </c>
      <c r="P476" s="145">
        <v>0.08</v>
      </c>
      <c r="Q476" s="145">
        <v>26</v>
      </c>
      <c r="R476" s="145">
        <v>0.3</v>
      </c>
      <c r="S476" s="145">
        <v>4</v>
      </c>
      <c r="T476" s="145">
        <v>269</v>
      </c>
      <c r="U476" s="145">
        <v>7.0000000000000007E-2</v>
      </c>
      <c r="V476" s="145">
        <v>0.18</v>
      </c>
      <c r="W476" s="145" t="s">
        <v>400</v>
      </c>
      <c r="X476" s="145">
        <v>0.09</v>
      </c>
      <c r="Y476" s="145">
        <v>0.12</v>
      </c>
      <c r="Z476" s="145">
        <v>0.21</v>
      </c>
      <c r="AA476" s="145">
        <v>0.56999999999999995</v>
      </c>
      <c r="AB476" s="145">
        <v>11.5</v>
      </c>
      <c r="AC476" s="145">
        <v>0.56999999999999995</v>
      </c>
      <c r="AD476" s="145" t="s">
        <v>400</v>
      </c>
      <c r="AE476" s="145">
        <v>18</v>
      </c>
      <c r="AF476" s="145" t="s">
        <v>400</v>
      </c>
      <c r="AG476" s="145" t="s">
        <v>400</v>
      </c>
      <c r="AH476" s="145" t="s">
        <v>400</v>
      </c>
      <c r="AI476" s="145" t="s">
        <v>400</v>
      </c>
      <c r="AJ476" s="145">
        <v>20</v>
      </c>
      <c r="AK476" s="145" t="s">
        <v>400</v>
      </c>
      <c r="AL476" s="145">
        <v>3.39</v>
      </c>
      <c r="AM476" s="145" t="s">
        <v>400</v>
      </c>
    </row>
    <row r="477" spans="1:39">
      <c r="A477" s="143" t="s">
        <v>1537</v>
      </c>
      <c r="B477" s="144">
        <v>100</v>
      </c>
      <c r="C477" s="145">
        <v>74</v>
      </c>
      <c r="D477" s="145">
        <v>1.65</v>
      </c>
      <c r="E477" s="145">
        <v>0.62</v>
      </c>
      <c r="F477" s="145">
        <v>7.0000000000000007E-2</v>
      </c>
      <c r="G477" s="145">
        <v>0.01</v>
      </c>
      <c r="H477" s="145">
        <v>0.09</v>
      </c>
      <c r="I477" s="145">
        <v>0.05</v>
      </c>
      <c r="J477" s="145">
        <v>0.04</v>
      </c>
      <c r="K477" s="145" t="s">
        <v>400</v>
      </c>
      <c r="L477" s="145">
        <v>17.7</v>
      </c>
      <c r="M477" s="145">
        <v>2.2999999999999998</v>
      </c>
      <c r="N477" s="145">
        <v>8</v>
      </c>
      <c r="O477" s="145">
        <v>16</v>
      </c>
      <c r="P477" s="145">
        <v>0.08</v>
      </c>
      <c r="Q477" s="145">
        <v>26</v>
      </c>
      <c r="R477" s="145">
        <v>0.3</v>
      </c>
      <c r="S477" s="145">
        <v>4</v>
      </c>
      <c r="T477" s="145">
        <v>269</v>
      </c>
      <c r="U477" s="145">
        <v>7.0000000000000007E-2</v>
      </c>
      <c r="V477" s="145">
        <v>0.18</v>
      </c>
      <c r="W477" s="145" t="s">
        <v>400</v>
      </c>
      <c r="X477" s="145">
        <v>0.09</v>
      </c>
      <c r="Y477" s="145">
        <v>0.12</v>
      </c>
      <c r="Z477" s="145">
        <v>0.21</v>
      </c>
      <c r="AA477" s="145">
        <v>0.56999999999999995</v>
      </c>
      <c r="AB477" s="145">
        <v>11.5</v>
      </c>
      <c r="AC477" s="145">
        <v>0.56999999999999995</v>
      </c>
      <c r="AD477" s="145" t="s">
        <v>400</v>
      </c>
      <c r="AE477" s="145">
        <v>18</v>
      </c>
      <c r="AF477" s="145" t="s">
        <v>400</v>
      </c>
      <c r="AG477" s="145" t="s">
        <v>400</v>
      </c>
      <c r="AH477" s="145" t="s">
        <v>400</v>
      </c>
      <c r="AI477" s="145" t="s">
        <v>400</v>
      </c>
      <c r="AJ477" s="145">
        <v>20</v>
      </c>
      <c r="AK477" s="145" t="s">
        <v>400</v>
      </c>
      <c r="AL477" s="145">
        <v>3.39</v>
      </c>
      <c r="AM477" s="145" t="s">
        <v>400</v>
      </c>
    </row>
    <row r="478" spans="1:39">
      <c r="A478" s="143" t="s">
        <v>1538</v>
      </c>
      <c r="B478" s="144">
        <v>100</v>
      </c>
      <c r="C478" s="145">
        <v>74</v>
      </c>
      <c r="D478" s="145">
        <v>1.65</v>
      </c>
      <c r="E478" s="145">
        <v>0.62</v>
      </c>
      <c r="F478" s="145">
        <v>7.0000000000000007E-2</v>
      </c>
      <c r="G478" s="145">
        <v>0.01</v>
      </c>
      <c r="H478" s="145">
        <v>0.09</v>
      </c>
      <c r="I478" s="145">
        <v>0.05</v>
      </c>
      <c r="J478" s="145">
        <v>0.04</v>
      </c>
      <c r="K478" s="145" t="s">
        <v>400</v>
      </c>
      <c r="L478" s="145">
        <v>17.7</v>
      </c>
      <c r="M478" s="145">
        <v>2.2999999999999998</v>
      </c>
      <c r="N478" s="145">
        <v>8</v>
      </c>
      <c r="O478" s="145">
        <v>16</v>
      </c>
      <c r="P478" s="145">
        <v>0.08</v>
      </c>
      <c r="Q478" s="145">
        <v>26</v>
      </c>
      <c r="R478" s="145">
        <v>0.3</v>
      </c>
      <c r="S478" s="145">
        <v>4</v>
      </c>
      <c r="T478" s="145">
        <v>269</v>
      </c>
      <c r="U478" s="145">
        <v>7.0000000000000007E-2</v>
      </c>
      <c r="V478" s="145">
        <v>0.18</v>
      </c>
      <c r="W478" s="145" t="s">
        <v>400</v>
      </c>
      <c r="X478" s="145">
        <v>0.09</v>
      </c>
      <c r="Y478" s="145">
        <v>0.12</v>
      </c>
      <c r="Z478" s="145">
        <v>0.21</v>
      </c>
      <c r="AA478" s="145">
        <v>0.56999999999999995</v>
      </c>
      <c r="AB478" s="145">
        <v>11.5</v>
      </c>
      <c r="AC478" s="145">
        <v>0.56999999999999995</v>
      </c>
      <c r="AD478" s="145" t="s">
        <v>400</v>
      </c>
      <c r="AE478" s="145">
        <v>18</v>
      </c>
      <c r="AF478" s="145" t="s">
        <v>400</v>
      </c>
      <c r="AG478" s="145" t="s">
        <v>400</v>
      </c>
      <c r="AH478" s="145" t="s">
        <v>400</v>
      </c>
      <c r="AI478" s="145" t="s">
        <v>400</v>
      </c>
      <c r="AJ478" s="145">
        <v>20</v>
      </c>
      <c r="AK478" s="145" t="s">
        <v>400</v>
      </c>
      <c r="AL478" s="145">
        <v>3.39</v>
      </c>
      <c r="AM478" s="145" t="s">
        <v>400</v>
      </c>
    </row>
    <row r="479" spans="1:39">
      <c r="A479" s="143" t="s">
        <v>1539</v>
      </c>
      <c r="B479" s="144">
        <v>100</v>
      </c>
      <c r="C479" s="145">
        <v>69</v>
      </c>
      <c r="D479" s="145">
        <v>0.72</v>
      </c>
      <c r="E479" s="145">
        <v>0.16</v>
      </c>
      <c r="F479" s="145">
        <v>0.05</v>
      </c>
      <c r="G479" s="145">
        <v>0.01</v>
      </c>
      <c r="H479" s="145">
        <v>0.05</v>
      </c>
      <c r="I479" s="145">
        <v>0.04</v>
      </c>
      <c r="J479" s="145">
        <v>0.01</v>
      </c>
      <c r="K479" s="145" t="s">
        <v>400</v>
      </c>
      <c r="L479" s="145">
        <v>18.100000000000001</v>
      </c>
      <c r="M479" s="145">
        <v>0.9</v>
      </c>
      <c r="N479" s="145">
        <v>10</v>
      </c>
      <c r="O479" s="145">
        <v>7</v>
      </c>
      <c r="P479" s="145">
        <v>7.0000000000000007E-2</v>
      </c>
      <c r="Q479" s="145">
        <v>20</v>
      </c>
      <c r="R479" s="145">
        <v>0.36</v>
      </c>
      <c r="S479" s="145">
        <v>2</v>
      </c>
      <c r="T479" s="145">
        <v>191</v>
      </c>
      <c r="U479" s="145">
        <v>0.13</v>
      </c>
      <c r="V479" s="145">
        <v>7.0000000000000007E-2</v>
      </c>
      <c r="W479" s="145" t="s">
        <v>400</v>
      </c>
      <c r="X479" s="145">
        <v>7.0000000000000007E-2</v>
      </c>
      <c r="Y479" s="145">
        <v>7.0000000000000007E-2</v>
      </c>
      <c r="Z479" s="145">
        <v>0.09</v>
      </c>
      <c r="AA479" s="145">
        <v>0.19</v>
      </c>
      <c r="AB479" s="145">
        <v>10.8</v>
      </c>
      <c r="AC479" s="145">
        <v>0.37</v>
      </c>
      <c r="AD479" s="145" t="s">
        <v>400</v>
      </c>
      <c r="AE479" s="145">
        <v>2</v>
      </c>
      <c r="AF479" s="145" t="s">
        <v>400</v>
      </c>
      <c r="AG479" s="145">
        <v>0.38</v>
      </c>
      <c r="AH479" s="145" t="s">
        <v>400</v>
      </c>
      <c r="AI479" s="145" t="s">
        <v>400</v>
      </c>
      <c r="AJ479" s="145">
        <v>0.1</v>
      </c>
      <c r="AK479" s="145">
        <v>3.29</v>
      </c>
      <c r="AL479" s="145">
        <v>15.48</v>
      </c>
      <c r="AM479" s="145" t="s">
        <v>400</v>
      </c>
    </row>
    <row r="480" spans="1:39">
      <c r="A480" s="143" t="s">
        <v>1540</v>
      </c>
      <c r="B480" s="144">
        <v>100</v>
      </c>
      <c r="C480" s="145">
        <v>299</v>
      </c>
      <c r="D480" s="145">
        <v>3.07</v>
      </c>
      <c r="E480" s="145">
        <v>0.46</v>
      </c>
      <c r="F480" s="145">
        <v>5.8000000000000003E-2</v>
      </c>
      <c r="G480" s="145">
        <v>5.0999999999999997E-2</v>
      </c>
      <c r="H480" s="145">
        <v>3.6999999999999998E-2</v>
      </c>
      <c r="I480" s="145">
        <v>2.8000000000000001E-2</v>
      </c>
      <c r="J480" s="145">
        <v>8.0000000000000002E-3</v>
      </c>
      <c r="K480" s="145" t="s">
        <v>400</v>
      </c>
      <c r="L480" s="145">
        <v>79.180000000000007</v>
      </c>
      <c r="M480" s="145">
        <v>3.7</v>
      </c>
      <c r="N480" s="145">
        <v>50</v>
      </c>
      <c r="O480" s="145">
        <v>32</v>
      </c>
      <c r="P480" s="145">
        <v>0.29899999999999999</v>
      </c>
      <c r="Q480" s="145">
        <v>101</v>
      </c>
      <c r="R480" s="145">
        <v>1.88</v>
      </c>
      <c r="S480" s="145">
        <v>11</v>
      </c>
      <c r="T480" s="145">
        <v>749</v>
      </c>
      <c r="U480" s="145">
        <v>0.318</v>
      </c>
      <c r="V480" s="145">
        <v>0.22</v>
      </c>
      <c r="W480" s="145" t="s">
        <v>400</v>
      </c>
      <c r="X480" s="145">
        <v>0.106</v>
      </c>
      <c r="Y480" s="145">
        <v>0.125</v>
      </c>
      <c r="Z480" s="146">
        <v>0.17399999999999999</v>
      </c>
      <c r="AA480" s="145">
        <v>0.76600000000000001</v>
      </c>
      <c r="AB480" s="145">
        <v>2.2999999999999998</v>
      </c>
      <c r="AC480" s="145">
        <v>1.599</v>
      </c>
      <c r="AD480" s="145" t="s">
        <v>400</v>
      </c>
      <c r="AE480" s="145">
        <v>5</v>
      </c>
      <c r="AF480" s="145" t="s">
        <v>400</v>
      </c>
      <c r="AG480" s="145">
        <v>0.11</v>
      </c>
      <c r="AH480" s="145" t="s">
        <v>400</v>
      </c>
      <c r="AI480" s="145" t="s">
        <v>400</v>
      </c>
      <c r="AJ480" s="145">
        <v>0.6</v>
      </c>
      <c r="AK480" s="145" t="s">
        <v>400</v>
      </c>
      <c r="AL480" s="145">
        <v>57.88</v>
      </c>
      <c r="AM480" s="145" t="s">
        <v>400</v>
      </c>
    </row>
    <row r="481" spans="1:39">
      <c r="A481" s="143" t="s">
        <v>1541</v>
      </c>
      <c r="B481" s="144">
        <v>100</v>
      </c>
      <c r="C481" s="145">
        <v>113</v>
      </c>
      <c r="D481" s="145">
        <v>5.2</v>
      </c>
      <c r="E481" s="145">
        <v>0.3</v>
      </c>
      <c r="F481" s="145" t="s">
        <v>400</v>
      </c>
      <c r="G481" s="145" t="s">
        <v>400</v>
      </c>
      <c r="H481" s="145" t="s">
        <v>400</v>
      </c>
      <c r="I481" s="145" t="s">
        <v>400</v>
      </c>
      <c r="J481" s="145" t="s">
        <v>400</v>
      </c>
      <c r="K481" s="145" t="s">
        <v>400</v>
      </c>
      <c r="L481" s="145">
        <v>25.7</v>
      </c>
      <c r="M481" s="145">
        <v>9.4</v>
      </c>
      <c r="N481" s="145">
        <v>40</v>
      </c>
      <c r="O481" s="145" t="s">
        <v>400</v>
      </c>
      <c r="P481" s="145" t="s">
        <v>400</v>
      </c>
      <c r="Q481" s="145">
        <v>58</v>
      </c>
      <c r="R481" s="145">
        <v>3.6</v>
      </c>
      <c r="S481" s="145" t="s">
        <v>400</v>
      </c>
      <c r="T481" s="145" t="s">
        <v>400</v>
      </c>
      <c r="U481" s="145" t="s">
        <v>400</v>
      </c>
      <c r="V481" s="145" t="s">
        <v>400</v>
      </c>
      <c r="W481" s="145">
        <v>30</v>
      </c>
      <c r="X481" s="145">
        <v>0.04</v>
      </c>
      <c r="Y481" s="145">
        <v>0.04</v>
      </c>
      <c r="Z481" s="146" t="s">
        <v>400</v>
      </c>
      <c r="AA481" s="145">
        <v>0.5</v>
      </c>
      <c r="AB481" s="145">
        <v>33</v>
      </c>
      <c r="AC481" s="145" t="s">
        <v>400</v>
      </c>
      <c r="AD481" s="145" t="s">
        <v>400</v>
      </c>
      <c r="AE481" s="145" t="s">
        <v>400</v>
      </c>
      <c r="AF481" s="145" t="s">
        <v>400</v>
      </c>
      <c r="AG481" s="145" t="s">
        <v>400</v>
      </c>
      <c r="AH481" s="145" t="s">
        <v>400</v>
      </c>
      <c r="AI481" s="145" t="s">
        <v>400</v>
      </c>
      <c r="AJ481" s="145" t="s">
        <v>400</v>
      </c>
      <c r="AK481" s="145" t="s">
        <v>400</v>
      </c>
      <c r="AL481" s="145" t="s">
        <v>400</v>
      </c>
      <c r="AM481" s="145" t="s">
        <v>400</v>
      </c>
    </row>
    <row r="482" spans="1:39">
      <c r="A482" s="143" t="s">
        <v>1542</v>
      </c>
      <c r="B482" s="144">
        <v>100</v>
      </c>
      <c r="C482" s="145">
        <v>94</v>
      </c>
      <c r="D482" s="145">
        <v>1.47</v>
      </c>
      <c r="E482" s="145">
        <v>0.3</v>
      </c>
      <c r="F482" s="145">
        <v>0.06</v>
      </c>
      <c r="G482" s="145">
        <v>0.04</v>
      </c>
      <c r="H482" s="145">
        <v>0.09</v>
      </c>
      <c r="I482" s="145">
        <v>0.06</v>
      </c>
      <c r="J482" s="145">
        <v>0.02</v>
      </c>
      <c r="K482" s="145" t="s">
        <v>400</v>
      </c>
      <c r="L482" s="145">
        <v>24.01</v>
      </c>
      <c r="M482" s="145">
        <v>1.6</v>
      </c>
      <c r="N482" s="145">
        <v>34</v>
      </c>
      <c r="O482" s="145">
        <v>37</v>
      </c>
      <c r="P482" s="145">
        <v>0.2</v>
      </c>
      <c r="Q482" s="145">
        <v>36</v>
      </c>
      <c r="R482" s="145">
        <v>0.6</v>
      </c>
      <c r="S482" s="145">
        <v>3</v>
      </c>
      <c r="T482" s="145">
        <v>303</v>
      </c>
      <c r="U482" s="145">
        <v>0.19</v>
      </c>
      <c r="V482" s="145">
        <v>0.42</v>
      </c>
      <c r="W482" s="145" t="s">
        <v>400</v>
      </c>
      <c r="X482" s="145">
        <v>0.03</v>
      </c>
      <c r="Y482" s="145">
        <v>0.11</v>
      </c>
      <c r="Z482" s="145">
        <v>0.11</v>
      </c>
      <c r="AA482" s="145">
        <v>0.4</v>
      </c>
      <c r="AB482" s="145">
        <v>6.7</v>
      </c>
      <c r="AC482" s="145">
        <v>0.4</v>
      </c>
      <c r="AD482" s="145" t="s">
        <v>400</v>
      </c>
      <c r="AE482" s="145">
        <v>14</v>
      </c>
      <c r="AF482" s="145" t="s">
        <v>400</v>
      </c>
      <c r="AG482" s="145">
        <v>0.1</v>
      </c>
      <c r="AH482" s="145" t="s">
        <v>400</v>
      </c>
      <c r="AI482" s="145" t="s">
        <v>400</v>
      </c>
      <c r="AJ482" s="145">
        <v>0.6</v>
      </c>
      <c r="AK482" s="145">
        <v>14.85</v>
      </c>
      <c r="AL482" s="145">
        <v>8.08</v>
      </c>
      <c r="AM482" s="145" t="s">
        <v>400</v>
      </c>
    </row>
    <row r="483" spans="1:39">
      <c r="A483" s="143" t="s">
        <v>1543</v>
      </c>
      <c r="B483" s="144">
        <v>100</v>
      </c>
      <c r="C483" s="145">
        <v>68</v>
      </c>
      <c r="D483" s="145">
        <v>2.5499999999999998</v>
      </c>
      <c r="E483" s="145">
        <v>0.95</v>
      </c>
      <c r="F483" s="145">
        <v>0.27</v>
      </c>
      <c r="G483" s="145">
        <v>0.09</v>
      </c>
      <c r="H483" s="145">
        <v>0.4</v>
      </c>
      <c r="I483" s="145">
        <v>0.28999999999999998</v>
      </c>
      <c r="J483" s="145">
        <v>0.11</v>
      </c>
      <c r="K483" s="145" t="s">
        <v>400</v>
      </c>
      <c r="L483" s="145">
        <v>14.32</v>
      </c>
      <c r="M483" s="145">
        <v>5.4</v>
      </c>
      <c r="N483" s="145">
        <v>18</v>
      </c>
      <c r="O483" s="145">
        <v>22</v>
      </c>
      <c r="P483" s="145">
        <v>0.15</v>
      </c>
      <c r="Q483" s="145">
        <v>40</v>
      </c>
      <c r="R483" s="145">
        <v>0.26</v>
      </c>
      <c r="S483" s="145">
        <v>2</v>
      </c>
      <c r="T483" s="145">
        <v>417</v>
      </c>
      <c r="U483" s="145">
        <v>0.23</v>
      </c>
      <c r="V483" s="145">
        <v>0.23</v>
      </c>
      <c r="W483" s="145" t="s">
        <v>400</v>
      </c>
      <c r="X483" s="145">
        <v>7.0000000000000007E-2</v>
      </c>
      <c r="Y483" s="145">
        <v>0.04</v>
      </c>
      <c r="Z483" s="145">
        <v>0.11</v>
      </c>
      <c r="AA483" s="145">
        <v>1.08</v>
      </c>
      <c r="AB483" s="145">
        <v>228.3</v>
      </c>
      <c r="AC483" s="145">
        <v>1.45</v>
      </c>
      <c r="AD483" s="145" t="s">
        <v>400</v>
      </c>
      <c r="AE483" s="145">
        <v>49</v>
      </c>
      <c r="AF483" s="145" t="s">
        <v>400</v>
      </c>
      <c r="AG483" s="145">
        <v>0.73</v>
      </c>
      <c r="AH483" s="145" t="s">
        <v>400</v>
      </c>
      <c r="AI483" s="145" t="s">
        <v>400</v>
      </c>
      <c r="AJ483" s="145">
        <v>0.6</v>
      </c>
      <c r="AK483" s="145">
        <v>31.17</v>
      </c>
      <c r="AL483" s="145">
        <v>8.82</v>
      </c>
      <c r="AM483" s="145" t="s">
        <v>400</v>
      </c>
    </row>
    <row r="484" spans="1:39">
      <c r="A484" s="143" t="s">
        <v>1544</v>
      </c>
      <c r="B484" s="144">
        <v>100</v>
      </c>
      <c r="C484" s="145">
        <v>68</v>
      </c>
      <c r="D484" s="145">
        <v>2.5499999999999998</v>
      </c>
      <c r="E484" s="145">
        <v>0.95</v>
      </c>
      <c r="F484" s="145">
        <v>0.27</v>
      </c>
      <c r="G484" s="145">
        <v>0.09</v>
      </c>
      <c r="H484" s="145">
        <v>0.4</v>
      </c>
      <c r="I484" s="145">
        <v>0.28999999999999998</v>
      </c>
      <c r="J484" s="145">
        <v>0.11</v>
      </c>
      <c r="K484" s="145" t="s">
        <v>400</v>
      </c>
      <c r="L484" s="145">
        <v>14.32</v>
      </c>
      <c r="M484" s="145">
        <v>5.4</v>
      </c>
      <c r="N484" s="145">
        <v>18</v>
      </c>
      <c r="O484" s="145">
        <v>22</v>
      </c>
      <c r="P484" s="145">
        <v>0.15</v>
      </c>
      <c r="Q484" s="145">
        <v>40</v>
      </c>
      <c r="R484" s="145">
        <v>0.26</v>
      </c>
      <c r="S484" s="145">
        <v>2</v>
      </c>
      <c r="T484" s="145">
        <v>417</v>
      </c>
      <c r="U484" s="145">
        <v>0.23</v>
      </c>
      <c r="V484" s="145">
        <v>0.23</v>
      </c>
      <c r="W484" s="145" t="s">
        <v>400</v>
      </c>
      <c r="X484" s="145">
        <v>7.0000000000000007E-2</v>
      </c>
      <c r="Y484" s="145">
        <v>0.04</v>
      </c>
      <c r="Z484" s="145">
        <v>0.11</v>
      </c>
      <c r="AA484" s="145">
        <v>1.08</v>
      </c>
      <c r="AB484" s="145">
        <v>228.3</v>
      </c>
      <c r="AC484" s="145">
        <v>1.45</v>
      </c>
      <c r="AD484" s="145" t="s">
        <v>400</v>
      </c>
      <c r="AE484" s="145">
        <v>49</v>
      </c>
      <c r="AF484" s="145" t="s">
        <v>400</v>
      </c>
      <c r="AG484" s="145">
        <v>0.73</v>
      </c>
      <c r="AH484" s="145" t="s">
        <v>400</v>
      </c>
      <c r="AI484" s="145" t="s">
        <v>400</v>
      </c>
      <c r="AJ484" s="145">
        <v>0.6</v>
      </c>
      <c r="AK484" s="145">
        <v>31.17</v>
      </c>
      <c r="AL484" s="145">
        <v>8.82</v>
      </c>
      <c r="AM484" s="145" t="s">
        <v>400</v>
      </c>
    </row>
    <row r="485" spans="1:39">
      <c r="A485" s="143" t="s">
        <v>1545</v>
      </c>
      <c r="B485" s="144">
        <v>100</v>
      </c>
      <c r="C485" s="145">
        <v>46</v>
      </c>
      <c r="D485" s="145">
        <v>0.7</v>
      </c>
      <c r="E485" s="145">
        <v>0.28000000000000003</v>
      </c>
      <c r="F485" s="145">
        <v>0.02</v>
      </c>
      <c r="G485" s="145">
        <v>0.13</v>
      </c>
      <c r="H485" s="145">
        <v>0.04</v>
      </c>
      <c r="I485" s="145">
        <v>0.04</v>
      </c>
      <c r="J485" s="145" t="s">
        <v>400</v>
      </c>
      <c r="K485" s="145" t="s">
        <v>400</v>
      </c>
      <c r="L485" s="145">
        <v>11.42</v>
      </c>
      <c r="M485" s="145">
        <v>1.4</v>
      </c>
      <c r="N485" s="145">
        <v>6</v>
      </c>
      <c r="O485" s="145">
        <v>7</v>
      </c>
      <c r="P485" s="145">
        <v>0.05</v>
      </c>
      <c r="Q485" s="145">
        <v>16</v>
      </c>
      <c r="R485" s="145">
        <v>0.17</v>
      </c>
      <c r="S485" s="145" t="s">
        <v>400</v>
      </c>
      <c r="T485" s="145">
        <v>157</v>
      </c>
      <c r="U485" s="145">
        <v>0.06</v>
      </c>
      <c r="V485" s="145">
        <v>0.1</v>
      </c>
      <c r="W485" s="145" t="s">
        <v>400</v>
      </c>
      <c r="X485" s="145">
        <v>0.03</v>
      </c>
      <c r="Y485" s="145">
        <v>0.03</v>
      </c>
      <c r="Z485" s="145">
        <v>0.03</v>
      </c>
      <c r="AA485" s="145">
        <v>0.42</v>
      </c>
      <c r="AB485" s="145">
        <v>9.5</v>
      </c>
      <c r="AC485" s="145">
        <v>0.56999999999999995</v>
      </c>
      <c r="AD485" s="145" t="s">
        <v>400</v>
      </c>
      <c r="AE485" s="145">
        <v>5</v>
      </c>
      <c r="AF485" s="145" t="s">
        <v>400</v>
      </c>
      <c r="AG485" s="145">
        <v>0.28000000000000003</v>
      </c>
      <c r="AH485" s="145" t="s">
        <v>400</v>
      </c>
      <c r="AI485" s="145" t="s">
        <v>400</v>
      </c>
      <c r="AJ485" s="145" t="s">
        <v>400</v>
      </c>
      <c r="AK485" s="145">
        <v>17.29</v>
      </c>
      <c r="AL485" s="145">
        <v>9.93</v>
      </c>
      <c r="AM485" s="145" t="s">
        <v>400</v>
      </c>
    </row>
    <row r="486" spans="1:39">
      <c r="A486" s="143" t="s">
        <v>1546</v>
      </c>
      <c r="B486" s="144">
        <v>100</v>
      </c>
      <c r="C486" s="145">
        <v>43</v>
      </c>
      <c r="D486" s="145">
        <v>1</v>
      </c>
      <c r="E486" s="145">
        <v>0.3</v>
      </c>
      <c r="F486" s="145" t="s">
        <v>400</v>
      </c>
      <c r="G486" s="145" t="s">
        <v>400</v>
      </c>
      <c r="H486" s="145" t="s">
        <v>400</v>
      </c>
      <c r="I486" s="145" t="s">
        <v>400</v>
      </c>
      <c r="J486" s="145" t="s">
        <v>400</v>
      </c>
      <c r="K486" s="145" t="s">
        <v>400</v>
      </c>
      <c r="L486" s="145">
        <v>10.3</v>
      </c>
      <c r="M486" s="145">
        <v>1.7</v>
      </c>
      <c r="N486" s="145">
        <v>1</v>
      </c>
      <c r="O486" s="145">
        <v>10</v>
      </c>
      <c r="P486" s="145">
        <v>0.12</v>
      </c>
      <c r="Q486" s="145">
        <v>16</v>
      </c>
      <c r="R486" s="145">
        <v>0.2</v>
      </c>
      <c r="S486" s="145">
        <v>3</v>
      </c>
      <c r="T486" s="145">
        <v>124</v>
      </c>
      <c r="U486" s="145">
        <v>7.0000000000000007E-2</v>
      </c>
      <c r="V486" s="145">
        <v>0.1</v>
      </c>
      <c r="W486" s="145" t="s">
        <v>400</v>
      </c>
      <c r="X486" s="145" t="s">
        <v>400</v>
      </c>
      <c r="Y486" s="145" t="s">
        <v>400</v>
      </c>
      <c r="Z486" s="146" t="s">
        <v>400</v>
      </c>
      <c r="AA486" s="145" t="s">
        <v>400</v>
      </c>
      <c r="AB486" s="145" t="s">
        <v>400</v>
      </c>
      <c r="AC486" s="145" t="s">
        <v>400</v>
      </c>
      <c r="AD486" s="145" t="s">
        <v>400</v>
      </c>
      <c r="AE486" s="145" t="s">
        <v>400</v>
      </c>
      <c r="AF486" s="145" t="s">
        <v>400</v>
      </c>
      <c r="AG486" s="145" t="s">
        <v>400</v>
      </c>
      <c r="AH486" s="145" t="s">
        <v>400</v>
      </c>
      <c r="AI486" s="145" t="s">
        <v>400</v>
      </c>
      <c r="AJ486" s="145" t="s">
        <v>400</v>
      </c>
      <c r="AK486" s="145">
        <v>7</v>
      </c>
      <c r="AL486" s="145" t="s">
        <v>400</v>
      </c>
      <c r="AM486" s="145" t="s">
        <v>400</v>
      </c>
    </row>
    <row r="487" spans="1:39">
      <c r="A487" s="143" t="s">
        <v>1547</v>
      </c>
      <c r="B487" s="144">
        <v>100</v>
      </c>
      <c r="C487" s="145">
        <v>63</v>
      </c>
      <c r="D487" s="145">
        <v>1.06</v>
      </c>
      <c r="E487" s="145">
        <v>0.2</v>
      </c>
      <c r="F487" s="145">
        <v>3.7999999999999999E-2</v>
      </c>
      <c r="G487" s="145">
        <v>4.7E-2</v>
      </c>
      <c r="H487" s="145">
        <v>5.1999999999999998E-2</v>
      </c>
      <c r="I487" s="145">
        <v>2.7E-2</v>
      </c>
      <c r="J487" s="145">
        <v>2.5999999999999999E-2</v>
      </c>
      <c r="K487" s="145" t="s">
        <v>400</v>
      </c>
      <c r="L487" s="145">
        <v>16.010000000000002</v>
      </c>
      <c r="M487" s="145">
        <v>2.1</v>
      </c>
      <c r="N487" s="145">
        <v>13</v>
      </c>
      <c r="O487" s="145">
        <v>11</v>
      </c>
      <c r="P487" s="145">
        <v>7.0000000000000007E-2</v>
      </c>
      <c r="Q487" s="145">
        <v>21</v>
      </c>
      <c r="R487" s="145">
        <v>0.36</v>
      </c>
      <c r="S487" s="145" t="s">
        <v>400</v>
      </c>
      <c r="T487" s="145">
        <v>222</v>
      </c>
      <c r="U487" s="145">
        <v>0.06</v>
      </c>
      <c r="V487" s="145">
        <v>7.0000000000000007E-2</v>
      </c>
      <c r="W487" s="145" t="s">
        <v>400</v>
      </c>
      <c r="X487" s="145">
        <v>2.7E-2</v>
      </c>
      <c r="Y487" s="145">
        <v>3.3000000000000002E-2</v>
      </c>
      <c r="Z487" s="146">
        <v>4.9000000000000002E-2</v>
      </c>
      <c r="AA487" s="145">
        <v>0.154</v>
      </c>
      <c r="AB487" s="145">
        <v>7</v>
      </c>
      <c r="AC487" s="145">
        <v>0.30399999999999999</v>
      </c>
      <c r="AD487" s="145" t="s">
        <v>400</v>
      </c>
      <c r="AE487" s="145">
        <v>4</v>
      </c>
      <c r="AF487" s="145" t="s">
        <v>400</v>
      </c>
      <c r="AG487" s="145">
        <v>0.06</v>
      </c>
      <c r="AH487" s="145" t="s">
        <v>400</v>
      </c>
      <c r="AI487" s="145" t="s">
        <v>400</v>
      </c>
      <c r="AJ487" s="145" t="s">
        <v>400</v>
      </c>
      <c r="AK487" s="145">
        <v>3.1669999999999998</v>
      </c>
      <c r="AL487" s="145">
        <v>12.82</v>
      </c>
      <c r="AM487" s="145" t="s">
        <v>400</v>
      </c>
    </row>
    <row r="488" spans="1:39">
      <c r="A488" s="143" t="s">
        <v>1548</v>
      </c>
      <c r="B488" s="144">
        <v>100</v>
      </c>
      <c r="C488" s="145">
        <v>46</v>
      </c>
      <c r="D488" s="145">
        <v>1.3</v>
      </c>
      <c r="E488" s="145" t="s">
        <v>400</v>
      </c>
      <c r="F488" s="145" t="s">
        <v>400</v>
      </c>
      <c r="G488" s="145" t="s">
        <v>400</v>
      </c>
      <c r="H488" s="145" t="s">
        <v>400</v>
      </c>
      <c r="I488" s="145" t="s">
        <v>400</v>
      </c>
      <c r="J488" s="145" t="s">
        <v>400</v>
      </c>
      <c r="K488" s="145" t="s">
        <v>400</v>
      </c>
      <c r="L488" s="145">
        <v>11.4</v>
      </c>
      <c r="M488" s="145">
        <v>2.6</v>
      </c>
      <c r="N488" s="145">
        <v>13</v>
      </c>
      <c r="O488" s="145">
        <v>11</v>
      </c>
      <c r="P488" s="145">
        <v>0.05</v>
      </c>
      <c r="Q488" s="145">
        <v>24</v>
      </c>
      <c r="R488" s="145">
        <v>0.2</v>
      </c>
      <c r="S488" s="145">
        <v>1</v>
      </c>
      <c r="T488" s="145">
        <v>119</v>
      </c>
      <c r="U488" s="145">
        <v>0.02</v>
      </c>
      <c r="V488" s="145">
        <v>0.2</v>
      </c>
      <c r="W488" s="145" t="s">
        <v>400</v>
      </c>
      <c r="X488" s="145">
        <v>0.11</v>
      </c>
      <c r="Y488" s="145" t="s">
        <v>400</v>
      </c>
      <c r="Z488" s="146">
        <v>0.05</v>
      </c>
      <c r="AA488" s="145" t="s">
        <v>400</v>
      </c>
      <c r="AB488" s="145">
        <v>26.7</v>
      </c>
      <c r="AC488" s="145" t="s">
        <v>400</v>
      </c>
      <c r="AD488" s="145" t="s">
        <v>400</v>
      </c>
      <c r="AE488" s="145" t="s">
        <v>400</v>
      </c>
      <c r="AF488" s="145" t="s">
        <v>400</v>
      </c>
      <c r="AG488" s="145" t="s">
        <v>400</v>
      </c>
      <c r="AH488" s="145" t="s">
        <v>400</v>
      </c>
      <c r="AI488" s="145" t="s">
        <v>400</v>
      </c>
      <c r="AJ488" s="145" t="s">
        <v>400</v>
      </c>
      <c r="AK488" s="145" t="s">
        <v>400</v>
      </c>
      <c r="AL488" s="145" t="s">
        <v>400</v>
      </c>
      <c r="AM488" s="145" t="s">
        <v>400</v>
      </c>
    </row>
    <row r="489" spans="1:39">
      <c r="A489" s="143" t="s">
        <v>1549</v>
      </c>
      <c r="B489" s="144">
        <v>100</v>
      </c>
      <c r="C489" s="145">
        <v>46</v>
      </c>
      <c r="D489" s="145">
        <v>0.2</v>
      </c>
      <c r="E489" s="145">
        <v>0.1</v>
      </c>
      <c r="F489" s="145" t="s">
        <v>400</v>
      </c>
      <c r="G489" s="145" t="s">
        <v>400</v>
      </c>
      <c r="H489" s="145" t="s">
        <v>400</v>
      </c>
      <c r="I489" s="145" t="s">
        <v>400</v>
      </c>
      <c r="J489" s="145" t="s">
        <v>400</v>
      </c>
      <c r="K489" s="145" t="s">
        <v>400</v>
      </c>
      <c r="L489" s="145">
        <v>12.4</v>
      </c>
      <c r="M489" s="145">
        <v>1.1000000000000001</v>
      </c>
      <c r="N489" s="145">
        <v>56</v>
      </c>
      <c r="O489" s="145" t="s">
        <v>400</v>
      </c>
      <c r="P489" s="145" t="s">
        <v>400</v>
      </c>
      <c r="Q489" s="145">
        <v>67</v>
      </c>
      <c r="R489" s="145">
        <v>0.3</v>
      </c>
      <c r="S489" s="145" t="s">
        <v>400</v>
      </c>
      <c r="T489" s="145" t="s">
        <v>400</v>
      </c>
      <c r="U489" s="145" t="s">
        <v>400</v>
      </c>
      <c r="V489" s="145" t="s">
        <v>400</v>
      </c>
      <c r="W489" s="145">
        <v>34</v>
      </c>
      <c r="X489" s="145">
        <v>0.05</v>
      </c>
      <c r="Y489" s="145">
        <v>0.02</v>
      </c>
      <c r="Z489" s="146" t="s">
        <v>400</v>
      </c>
      <c r="AA489" s="145">
        <v>1.4</v>
      </c>
      <c r="AB489" s="145">
        <v>36</v>
      </c>
      <c r="AC489" s="145" t="s">
        <v>400</v>
      </c>
      <c r="AD489" s="145" t="s">
        <v>400</v>
      </c>
      <c r="AE489" s="145" t="s">
        <v>400</v>
      </c>
      <c r="AF489" s="145" t="s">
        <v>400</v>
      </c>
      <c r="AG489" s="145" t="s">
        <v>400</v>
      </c>
      <c r="AH489" s="145" t="s">
        <v>400</v>
      </c>
      <c r="AI489" s="145" t="s">
        <v>400</v>
      </c>
      <c r="AJ489" s="145" t="s">
        <v>400</v>
      </c>
      <c r="AK489" s="145" t="s">
        <v>400</v>
      </c>
      <c r="AL489" s="145" t="s">
        <v>400</v>
      </c>
      <c r="AM489" s="145" t="s">
        <v>400</v>
      </c>
    </row>
    <row r="490" spans="1:39">
      <c r="A490" s="143" t="s">
        <v>1550</v>
      </c>
      <c r="B490" s="144">
        <v>100</v>
      </c>
      <c r="C490" s="145">
        <v>70</v>
      </c>
      <c r="D490" s="145">
        <v>0.8</v>
      </c>
      <c r="E490" s="145">
        <v>2.1</v>
      </c>
      <c r="F490" s="145" t="s">
        <v>400</v>
      </c>
      <c r="G490" s="145" t="s">
        <v>400</v>
      </c>
      <c r="H490" s="145" t="s">
        <v>400</v>
      </c>
      <c r="I490" s="145" t="s">
        <v>400</v>
      </c>
      <c r="J490" s="145" t="s">
        <v>400</v>
      </c>
      <c r="K490" s="145" t="s">
        <v>400</v>
      </c>
      <c r="L490" s="145">
        <v>13.8</v>
      </c>
      <c r="M490" s="145">
        <v>1</v>
      </c>
      <c r="N490" s="145">
        <v>26</v>
      </c>
      <c r="O490" s="145" t="s">
        <v>400</v>
      </c>
      <c r="P490" s="145" t="s">
        <v>400</v>
      </c>
      <c r="Q490" s="145">
        <v>31</v>
      </c>
      <c r="R490" s="145">
        <v>2.2000000000000002</v>
      </c>
      <c r="S490" s="145" t="s">
        <v>400</v>
      </c>
      <c r="T490" s="145" t="s">
        <v>400</v>
      </c>
      <c r="U490" s="145" t="s">
        <v>400</v>
      </c>
      <c r="V490" s="145" t="s">
        <v>400</v>
      </c>
      <c r="W490" s="145">
        <v>23</v>
      </c>
      <c r="X490" s="145">
        <v>0.08</v>
      </c>
      <c r="Y490" s="145">
        <v>0.06</v>
      </c>
      <c r="Z490" s="146" t="s">
        <v>400</v>
      </c>
      <c r="AA490" s="145">
        <v>0.5</v>
      </c>
      <c r="AB490" s="145">
        <v>28</v>
      </c>
      <c r="AC490" s="145" t="s">
        <v>400</v>
      </c>
      <c r="AD490" s="145" t="s">
        <v>400</v>
      </c>
      <c r="AE490" s="145" t="s">
        <v>400</v>
      </c>
      <c r="AF490" s="145" t="s">
        <v>400</v>
      </c>
      <c r="AG490" s="145" t="s">
        <v>400</v>
      </c>
      <c r="AH490" s="145" t="s">
        <v>400</v>
      </c>
      <c r="AI490" s="145" t="s">
        <v>400</v>
      </c>
      <c r="AJ490" s="145" t="s">
        <v>400</v>
      </c>
      <c r="AK490" s="145" t="s">
        <v>400</v>
      </c>
      <c r="AL490" s="145" t="s">
        <v>400</v>
      </c>
      <c r="AM490" s="145" t="s">
        <v>400</v>
      </c>
    </row>
    <row r="491" spans="1:39">
      <c r="A491" s="143" t="s">
        <v>1551</v>
      </c>
      <c r="B491" s="144">
        <v>100</v>
      </c>
      <c r="C491" s="145">
        <v>46</v>
      </c>
      <c r="D491" s="145">
        <v>1.3</v>
      </c>
      <c r="E491" s="145" t="s">
        <v>400</v>
      </c>
      <c r="F491" s="145" t="s">
        <v>400</v>
      </c>
      <c r="G491" s="145" t="s">
        <v>400</v>
      </c>
      <c r="H491" s="145" t="s">
        <v>400</v>
      </c>
      <c r="I491" s="145" t="s">
        <v>400</v>
      </c>
      <c r="J491" s="145" t="s">
        <v>400</v>
      </c>
      <c r="K491" s="145" t="s">
        <v>400</v>
      </c>
      <c r="L491" s="145">
        <v>11.4</v>
      </c>
      <c r="M491" s="145">
        <v>2.6</v>
      </c>
      <c r="N491" s="145">
        <v>13</v>
      </c>
      <c r="O491" s="145">
        <v>11</v>
      </c>
      <c r="P491" s="145">
        <v>0.05</v>
      </c>
      <c r="Q491" s="145">
        <v>24</v>
      </c>
      <c r="R491" s="145">
        <v>0.2</v>
      </c>
      <c r="S491" s="145">
        <v>1</v>
      </c>
      <c r="T491" s="145">
        <v>119</v>
      </c>
      <c r="U491" s="145">
        <v>0.02</v>
      </c>
      <c r="V491" s="145">
        <v>0.2</v>
      </c>
      <c r="W491" s="145" t="s">
        <v>400</v>
      </c>
      <c r="X491" s="145">
        <v>0.11</v>
      </c>
      <c r="Y491" s="145" t="s">
        <v>400</v>
      </c>
      <c r="Z491" s="146">
        <v>0.05</v>
      </c>
      <c r="AA491" s="145" t="s">
        <v>400</v>
      </c>
      <c r="AB491" s="145">
        <v>26.7</v>
      </c>
      <c r="AC491" s="145" t="s">
        <v>400</v>
      </c>
      <c r="AD491" s="145" t="s">
        <v>400</v>
      </c>
      <c r="AE491" s="145" t="s">
        <v>400</v>
      </c>
      <c r="AF491" s="145" t="s">
        <v>400</v>
      </c>
      <c r="AG491" s="145" t="s">
        <v>400</v>
      </c>
      <c r="AH491" s="145" t="s">
        <v>400</v>
      </c>
      <c r="AI491" s="145" t="s">
        <v>400</v>
      </c>
      <c r="AJ491" s="145" t="s">
        <v>400</v>
      </c>
      <c r="AK491" s="145" t="s">
        <v>400</v>
      </c>
      <c r="AL491" s="145" t="s">
        <v>400</v>
      </c>
      <c r="AM491" s="145" t="s">
        <v>400</v>
      </c>
    </row>
    <row r="492" spans="1:39">
      <c r="A492" s="143" t="s">
        <v>1552</v>
      </c>
      <c r="B492" s="144">
        <v>100</v>
      </c>
      <c r="C492" s="145">
        <v>31</v>
      </c>
      <c r="D492" s="145">
        <v>1.04</v>
      </c>
      <c r="E492" s="145">
        <v>0.33</v>
      </c>
      <c r="F492" s="145">
        <v>0.02</v>
      </c>
      <c r="G492" s="145">
        <v>0.03</v>
      </c>
      <c r="H492" s="145">
        <v>0.18</v>
      </c>
      <c r="I492" s="145">
        <v>0.16</v>
      </c>
      <c r="J492" s="145">
        <v>0.03</v>
      </c>
      <c r="K492" s="145" t="s">
        <v>400</v>
      </c>
      <c r="L492" s="145">
        <v>6.73</v>
      </c>
      <c r="M492" s="145">
        <v>2.8</v>
      </c>
      <c r="N492" s="145">
        <v>3</v>
      </c>
      <c r="O492" s="145">
        <v>10</v>
      </c>
      <c r="P492" s="145">
        <v>0.04</v>
      </c>
      <c r="Q492" s="145">
        <v>12</v>
      </c>
      <c r="R492" s="145">
        <v>0.08</v>
      </c>
      <c r="S492" s="145">
        <v>2</v>
      </c>
      <c r="T492" s="145">
        <v>133</v>
      </c>
      <c r="U492" s="145">
        <v>0.14000000000000001</v>
      </c>
      <c r="V492" s="145">
        <v>0.12</v>
      </c>
      <c r="W492" s="145" t="s">
        <v>400</v>
      </c>
      <c r="X492" s="145">
        <v>0.01</v>
      </c>
      <c r="Y492" s="145">
        <v>0.02</v>
      </c>
      <c r="Z492" s="145">
        <v>0.02</v>
      </c>
      <c r="AA492" s="145">
        <v>0.37</v>
      </c>
      <c r="AB492" s="145">
        <v>34.4</v>
      </c>
      <c r="AC492" s="145">
        <v>0.5</v>
      </c>
      <c r="AD492" s="145" t="s">
        <v>400</v>
      </c>
      <c r="AE492" s="145">
        <v>12</v>
      </c>
      <c r="AF492" s="145" t="s">
        <v>400</v>
      </c>
      <c r="AG492" s="145">
        <v>0.15</v>
      </c>
      <c r="AH492" s="145" t="s">
        <v>400</v>
      </c>
      <c r="AI492" s="145" t="s">
        <v>400</v>
      </c>
      <c r="AJ492" s="145">
        <v>0.6</v>
      </c>
      <c r="AK492" s="145">
        <v>3.08</v>
      </c>
      <c r="AL492" s="145">
        <v>3.75</v>
      </c>
      <c r="AM492" s="145" t="s">
        <v>400</v>
      </c>
    </row>
    <row r="493" spans="1:39">
      <c r="A493" s="143" t="s">
        <v>1553</v>
      </c>
      <c r="B493" s="144">
        <v>100</v>
      </c>
      <c r="C493" s="145">
        <v>73</v>
      </c>
      <c r="D493" s="145">
        <v>0.66</v>
      </c>
      <c r="E493" s="145">
        <v>0.5</v>
      </c>
      <c r="F493" s="145">
        <v>0.02</v>
      </c>
      <c r="G493" s="145">
        <v>0.08</v>
      </c>
      <c r="H493" s="145">
        <v>0.25</v>
      </c>
      <c r="I493" s="145">
        <v>0.16</v>
      </c>
      <c r="J493" s="145">
        <v>0.09</v>
      </c>
      <c r="K493" s="145" t="s">
        <v>400</v>
      </c>
      <c r="L493" s="145">
        <v>18.399999999999999</v>
      </c>
      <c r="M493" s="145">
        <v>7</v>
      </c>
      <c r="N493" s="145">
        <v>38</v>
      </c>
      <c r="O493" s="145">
        <v>5</v>
      </c>
      <c r="P493" s="145">
        <v>1</v>
      </c>
      <c r="Q493" s="145">
        <v>39</v>
      </c>
      <c r="R493" s="145">
        <v>1.6</v>
      </c>
      <c r="S493" s="145">
        <v>6</v>
      </c>
      <c r="T493" s="145">
        <v>280</v>
      </c>
      <c r="U493" s="145">
        <v>0.06</v>
      </c>
      <c r="V493" s="145">
        <v>0.11</v>
      </c>
      <c r="W493" s="145" t="s">
        <v>400</v>
      </c>
      <c r="X493" s="145">
        <v>7.0000000000000007E-2</v>
      </c>
      <c r="Y493" s="145">
        <v>0.06</v>
      </c>
      <c r="Z493" s="145">
        <v>0.23</v>
      </c>
      <c r="AA493" s="145">
        <v>0.5</v>
      </c>
      <c r="AB493" s="145">
        <v>36</v>
      </c>
      <c r="AC493" s="145">
        <v>0.72</v>
      </c>
      <c r="AD493" s="145" t="s">
        <v>400</v>
      </c>
      <c r="AE493" s="145">
        <v>6</v>
      </c>
      <c r="AF493" s="145" t="s">
        <v>400</v>
      </c>
      <c r="AG493" s="145">
        <v>1</v>
      </c>
      <c r="AH493" s="145" t="s">
        <v>400</v>
      </c>
      <c r="AI493" s="145" t="s">
        <v>400</v>
      </c>
      <c r="AJ493" s="145">
        <v>0.6</v>
      </c>
      <c r="AK493" s="145">
        <v>29.92</v>
      </c>
      <c r="AL493" s="145">
        <v>7.48</v>
      </c>
      <c r="AM493" s="145" t="s">
        <v>400</v>
      </c>
    </row>
    <row r="494" spans="1:39">
      <c r="A494" s="143" t="s">
        <v>1554</v>
      </c>
      <c r="B494" s="144">
        <v>100</v>
      </c>
      <c r="C494" s="145">
        <v>62</v>
      </c>
      <c r="D494" s="145">
        <v>0.8</v>
      </c>
      <c r="E494" s="145">
        <v>0.2</v>
      </c>
      <c r="F494" s="145" t="s">
        <v>400</v>
      </c>
      <c r="G494" s="145">
        <v>0.1</v>
      </c>
      <c r="H494" s="145" t="s">
        <v>400</v>
      </c>
      <c r="I494" s="145">
        <v>0.01</v>
      </c>
      <c r="J494" s="145">
        <v>0.02</v>
      </c>
      <c r="K494" s="145" t="s">
        <v>400</v>
      </c>
      <c r="L494" s="145">
        <v>15.8</v>
      </c>
      <c r="M494" s="145">
        <v>1.9</v>
      </c>
      <c r="N494" s="145">
        <v>40</v>
      </c>
      <c r="O494" s="145">
        <v>23</v>
      </c>
      <c r="P494" s="145">
        <v>0.08</v>
      </c>
      <c r="Q494" s="145">
        <v>19</v>
      </c>
      <c r="R494" s="145">
        <v>0.2</v>
      </c>
      <c r="S494" s="145">
        <v>4</v>
      </c>
      <c r="T494" s="145">
        <v>250</v>
      </c>
      <c r="U494" s="145">
        <v>0.04</v>
      </c>
      <c r="V494" s="145">
        <v>0.1</v>
      </c>
      <c r="W494" s="145" t="s">
        <v>400</v>
      </c>
      <c r="X494" s="145">
        <v>0.17</v>
      </c>
      <c r="Y494" s="145">
        <v>0.12</v>
      </c>
      <c r="Z494" s="146">
        <v>0.03</v>
      </c>
      <c r="AA494" s="145" t="s">
        <v>400</v>
      </c>
      <c r="AB494" s="145">
        <v>19.100000000000001</v>
      </c>
      <c r="AC494" s="145" t="s">
        <v>400</v>
      </c>
      <c r="AD494" s="145" t="s">
        <v>400</v>
      </c>
      <c r="AE494" s="145" t="s">
        <v>400</v>
      </c>
      <c r="AF494" s="145" t="s">
        <v>400</v>
      </c>
      <c r="AG494" s="145" t="s">
        <v>400</v>
      </c>
      <c r="AH494" s="145" t="s">
        <v>400</v>
      </c>
      <c r="AI494" s="145" t="s">
        <v>400</v>
      </c>
      <c r="AJ494" s="145" t="s">
        <v>400</v>
      </c>
      <c r="AK494" s="145" t="s">
        <v>400</v>
      </c>
      <c r="AL494" s="145" t="s">
        <v>400</v>
      </c>
      <c r="AM494" s="145" t="s">
        <v>400</v>
      </c>
    </row>
    <row r="495" spans="1:39">
      <c r="A495" s="143" t="s">
        <v>1555</v>
      </c>
      <c r="B495" s="144">
        <v>100</v>
      </c>
      <c r="C495" s="145">
        <v>32</v>
      </c>
      <c r="D495" s="145">
        <v>0.67</v>
      </c>
      <c r="E495" s="145">
        <v>0.3</v>
      </c>
      <c r="F495" s="145">
        <v>0.02</v>
      </c>
      <c r="G495" s="145">
        <v>0.04</v>
      </c>
      <c r="H495" s="145">
        <v>0.16</v>
      </c>
      <c r="I495" s="145">
        <v>0.09</v>
      </c>
      <c r="J495" s="145">
        <v>7.0000000000000007E-2</v>
      </c>
      <c r="K495" s="145" t="s">
        <v>400</v>
      </c>
      <c r="L495" s="145">
        <v>7.68</v>
      </c>
      <c r="M495" s="145">
        <v>2</v>
      </c>
      <c r="N495" s="145">
        <v>16</v>
      </c>
      <c r="O495" s="145">
        <v>13</v>
      </c>
      <c r="P495" s="145">
        <v>0.39</v>
      </c>
      <c r="Q495" s="145">
        <v>24</v>
      </c>
      <c r="R495" s="145">
        <v>0.41</v>
      </c>
      <c r="S495" s="145">
        <v>1</v>
      </c>
      <c r="T495" s="145">
        <v>153</v>
      </c>
      <c r="U495" s="145">
        <v>0.05</v>
      </c>
      <c r="V495" s="145">
        <v>0.14000000000000001</v>
      </c>
      <c r="W495" s="145" t="s">
        <v>400</v>
      </c>
      <c r="X495" s="145">
        <v>0.02</v>
      </c>
      <c r="Y495" s="145">
        <v>0.02</v>
      </c>
      <c r="Z495" s="145">
        <v>0.05</v>
      </c>
      <c r="AA495" s="145">
        <v>0.39</v>
      </c>
      <c r="AB495" s="145">
        <v>58.8</v>
      </c>
      <c r="AC495" s="145">
        <v>0.52</v>
      </c>
      <c r="AD495" s="145" t="s">
        <v>400</v>
      </c>
      <c r="AE495" s="145">
        <v>24</v>
      </c>
      <c r="AF495" s="145" t="s">
        <v>400</v>
      </c>
      <c r="AG495" s="145">
        <v>0.28000000000000003</v>
      </c>
      <c r="AH495" s="145" t="s">
        <v>400</v>
      </c>
      <c r="AI495" s="145" t="s">
        <v>400</v>
      </c>
      <c r="AJ495" s="145">
        <v>0.4</v>
      </c>
      <c r="AK495" s="145">
        <v>0.57999999999999996</v>
      </c>
      <c r="AL495" s="145">
        <v>4.9000000000000004</v>
      </c>
      <c r="AM495" s="145" t="s">
        <v>400</v>
      </c>
    </row>
    <row r="496" spans="1:39">
      <c r="A496" s="143" t="s">
        <v>1556</v>
      </c>
      <c r="B496" s="144">
        <v>100</v>
      </c>
      <c r="C496" s="145">
        <v>27</v>
      </c>
      <c r="D496" s="145">
        <v>0.9</v>
      </c>
      <c r="E496" s="145">
        <v>0.1</v>
      </c>
      <c r="F496" s="145" t="s">
        <v>400</v>
      </c>
      <c r="G496" s="145" t="s">
        <v>400</v>
      </c>
      <c r="H496" s="145" t="s">
        <v>400</v>
      </c>
      <c r="I496" s="145" t="s">
        <v>400</v>
      </c>
      <c r="J496" s="145" t="s">
        <v>400</v>
      </c>
      <c r="K496" s="145" t="s">
        <v>400</v>
      </c>
      <c r="L496" s="145">
        <v>6.5</v>
      </c>
      <c r="M496" s="145">
        <v>5.0999999999999996</v>
      </c>
      <c r="N496" s="145">
        <v>14</v>
      </c>
      <c r="O496" s="145">
        <v>14</v>
      </c>
      <c r="P496" s="145">
        <v>0.05</v>
      </c>
      <c r="Q496" s="145">
        <v>18</v>
      </c>
      <c r="R496" s="145">
        <v>0.1</v>
      </c>
      <c r="S496" s="145">
        <v>22</v>
      </c>
      <c r="T496" s="145">
        <v>135</v>
      </c>
      <c r="U496" s="145">
        <v>0.02</v>
      </c>
      <c r="V496" s="145">
        <v>0.1</v>
      </c>
      <c r="W496" s="145" t="s">
        <v>400</v>
      </c>
      <c r="X496" s="145">
        <v>0.08</v>
      </c>
      <c r="Y496" s="145" t="s">
        <v>400</v>
      </c>
      <c r="Z496" s="146" t="s">
        <v>400</v>
      </c>
      <c r="AA496" s="145">
        <v>1.18</v>
      </c>
      <c r="AB496" s="145">
        <v>3.8</v>
      </c>
      <c r="AC496" s="145" t="s">
        <v>400</v>
      </c>
      <c r="AD496" s="145" t="s">
        <v>400</v>
      </c>
      <c r="AE496" s="145" t="s">
        <v>400</v>
      </c>
      <c r="AF496" s="145" t="s">
        <v>400</v>
      </c>
      <c r="AG496" s="145" t="s">
        <v>400</v>
      </c>
      <c r="AH496" s="145" t="s">
        <v>400</v>
      </c>
      <c r="AI496" s="145" t="s">
        <v>400</v>
      </c>
      <c r="AJ496" s="145" t="s">
        <v>400</v>
      </c>
      <c r="AK496" s="145" t="s">
        <v>400</v>
      </c>
      <c r="AL496" s="145" t="s">
        <v>400</v>
      </c>
      <c r="AM496" s="145" t="s">
        <v>400</v>
      </c>
    </row>
    <row r="497" spans="1:39">
      <c r="A497" s="143" t="s">
        <v>1557</v>
      </c>
      <c r="B497" s="144">
        <v>100</v>
      </c>
      <c r="C497" s="145">
        <v>74</v>
      </c>
      <c r="D497" s="145">
        <v>1.65</v>
      </c>
      <c r="E497" s="145">
        <v>0.62</v>
      </c>
      <c r="F497" s="145">
        <v>7.0000000000000007E-2</v>
      </c>
      <c r="G497" s="145">
        <v>0.01</v>
      </c>
      <c r="H497" s="145">
        <v>0.09</v>
      </c>
      <c r="I497" s="145">
        <v>0.05</v>
      </c>
      <c r="J497" s="145">
        <v>0.04</v>
      </c>
      <c r="K497" s="145" t="s">
        <v>400</v>
      </c>
      <c r="L497" s="145">
        <v>17.7</v>
      </c>
      <c r="M497" s="145">
        <v>2.2999999999999998</v>
      </c>
      <c r="N497" s="145">
        <v>8</v>
      </c>
      <c r="O497" s="145">
        <v>16</v>
      </c>
      <c r="P497" s="145">
        <v>0.08</v>
      </c>
      <c r="Q497" s="145">
        <v>26</v>
      </c>
      <c r="R497" s="145">
        <v>0.3</v>
      </c>
      <c r="S497" s="145">
        <v>4</v>
      </c>
      <c r="T497" s="145">
        <v>269</v>
      </c>
      <c r="U497" s="145">
        <v>7.0000000000000007E-2</v>
      </c>
      <c r="V497" s="145">
        <v>0.18</v>
      </c>
      <c r="W497" s="145" t="s">
        <v>400</v>
      </c>
      <c r="X497" s="145">
        <v>0.09</v>
      </c>
      <c r="Y497" s="145">
        <v>0.12</v>
      </c>
      <c r="Z497" s="145">
        <v>0.21</v>
      </c>
      <c r="AA497" s="145">
        <v>0.56999999999999995</v>
      </c>
      <c r="AB497" s="145">
        <v>11.5</v>
      </c>
      <c r="AC497" s="145">
        <v>0.56999999999999995</v>
      </c>
      <c r="AD497" s="145" t="s">
        <v>400</v>
      </c>
      <c r="AE497" s="145">
        <v>18</v>
      </c>
      <c r="AF497" s="145" t="s">
        <v>400</v>
      </c>
      <c r="AG497" s="145" t="s">
        <v>400</v>
      </c>
      <c r="AH497" s="145" t="s">
        <v>400</v>
      </c>
      <c r="AI497" s="145" t="s">
        <v>400</v>
      </c>
      <c r="AJ497" s="145">
        <v>20</v>
      </c>
      <c r="AK497" s="145" t="s">
        <v>400</v>
      </c>
      <c r="AL497" s="145">
        <v>3.39</v>
      </c>
      <c r="AM497" s="145" t="s">
        <v>400</v>
      </c>
    </row>
    <row r="498" spans="1:39">
      <c r="A498" s="143" t="s">
        <v>1558</v>
      </c>
      <c r="B498" s="144">
        <v>100</v>
      </c>
      <c r="C498" s="145">
        <v>43</v>
      </c>
      <c r="D498" s="145">
        <v>0.7</v>
      </c>
      <c r="E498" s="145">
        <v>0.3</v>
      </c>
      <c r="F498" s="145" t="s">
        <v>400</v>
      </c>
      <c r="G498" s="145" t="s">
        <v>400</v>
      </c>
      <c r="H498" s="145" t="s">
        <v>400</v>
      </c>
      <c r="I498" s="145" t="s">
        <v>400</v>
      </c>
      <c r="J498" s="145" t="s">
        <v>400</v>
      </c>
      <c r="K498" s="145" t="s">
        <v>400</v>
      </c>
      <c r="L498" s="145">
        <v>10.5</v>
      </c>
      <c r="M498" s="145">
        <v>0.8</v>
      </c>
      <c r="N498" s="145">
        <v>41</v>
      </c>
      <c r="O498" s="145" t="s">
        <v>400</v>
      </c>
      <c r="P498" s="145" t="s">
        <v>400</v>
      </c>
      <c r="Q498" s="145">
        <v>18</v>
      </c>
      <c r="R498" s="145">
        <v>2.8</v>
      </c>
      <c r="S498" s="145" t="s">
        <v>400</v>
      </c>
      <c r="T498" s="145" t="s">
        <v>400</v>
      </c>
      <c r="U498" s="145" t="s">
        <v>400</v>
      </c>
      <c r="V498" s="145" t="s">
        <v>400</v>
      </c>
      <c r="W498" s="145">
        <v>30</v>
      </c>
      <c r="X498" s="145">
        <v>0.04</v>
      </c>
      <c r="Y498" s="145">
        <v>0.04</v>
      </c>
      <c r="Z498" s="146" t="s">
        <v>400</v>
      </c>
      <c r="AA498" s="145">
        <v>0.5</v>
      </c>
      <c r="AB498" s="145">
        <v>33</v>
      </c>
      <c r="AC498" s="145" t="s">
        <v>400</v>
      </c>
      <c r="AD498" s="145" t="s">
        <v>400</v>
      </c>
      <c r="AE498" s="145" t="s">
        <v>400</v>
      </c>
      <c r="AF498" s="145" t="s">
        <v>400</v>
      </c>
      <c r="AG498" s="145" t="s">
        <v>400</v>
      </c>
      <c r="AH498" s="145" t="s">
        <v>400</v>
      </c>
      <c r="AI498" s="145" t="s">
        <v>400</v>
      </c>
      <c r="AJ498" s="145" t="s">
        <v>400</v>
      </c>
      <c r="AK498" s="145" t="s">
        <v>400</v>
      </c>
      <c r="AL498" s="145" t="s">
        <v>400</v>
      </c>
      <c r="AM498" s="145" t="s">
        <v>400</v>
      </c>
    </row>
    <row r="499" spans="1:39">
      <c r="A499" s="143" t="s">
        <v>1559</v>
      </c>
      <c r="B499" s="144">
        <v>100</v>
      </c>
      <c r="C499" s="145">
        <v>68</v>
      </c>
      <c r="D499" s="145">
        <v>2.5499999999999998</v>
      </c>
      <c r="E499" s="145">
        <v>0.95</v>
      </c>
      <c r="F499" s="145">
        <v>0.27</v>
      </c>
      <c r="G499" s="145">
        <v>0.09</v>
      </c>
      <c r="H499" s="145">
        <v>0.4</v>
      </c>
      <c r="I499" s="145">
        <v>0.28999999999999998</v>
      </c>
      <c r="J499" s="145">
        <v>0.11</v>
      </c>
      <c r="K499" s="145" t="s">
        <v>400</v>
      </c>
      <c r="L499" s="145">
        <v>14.32</v>
      </c>
      <c r="M499" s="145">
        <v>5.4</v>
      </c>
      <c r="N499" s="145">
        <v>18</v>
      </c>
      <c r="O499" s="145">
        <v>22</v>
      </c>
      <c r="P499" s="145">
        <v>0.15</v>
      </c>
      <c r="Q499" s="145">
        <v>40</v>
      </c>
      <c r="R499" s="145">
        <v>0.26</v>
      </c>
      <c r="S499" s="145">
        <v>2</v>
      </c>
      <c r="T499" s="145">
        <v>417</v>
      </c>
      <c r="U499" s="145">
        <v>0.23</v>
      </c>
      <c r="V499" s="145">
        <v>0.23</v>
      </c>
      <c r="W499" s="145" t="s">
        <v>400</v>
      </c>
      <c r="X499" s="145">
        <v>7.0000000000000007E-2</v>
      </c>
      <c r="Y499" s="145">
        <v>0.04</v>
      </c>
      <c r="Z499" s="145">
        <v>0.11</v>
      </c>
      <c r="AA499" s="145">
        <v>1.08</v>
      </c>
      <c r="AB499" s="145">
        <v>228.3</v>
      </c>
      <c r="AC499" s="145">
        <v>1.45</v>
      </c>
      <c r="AD499" s="145" t="s">
        <v>400</v>
      </c>
      <c r="AE499" s="145">
        <v>49</v>
      </c>
      <c r="AF499" s="145" t="s">
        <v>400</v>
      </c>
      <c r="AG499" s="145">
        <v>0.73</v>
      </c>
      <c r="AH499" s="145" t="s">
        <v>400</v>
      </c>
      <c r="AI499" s="145" t="s">
        <v>400</v>
      </c>
      <c r="AJ499" s="145">
        <v>0.6</v>
      </c>
      <c r="AK499" s="145">
        <v>31.17</v>
      </c>
      <c r="AL499" s="145">
        <v>8.82</v>
      </c>
      <c r="AM499" s="145" t="s">
        <v>400</v>
      </c>
    </row>
    <row r="500" spans="1:39">
      <c r="A500" s="143" t="s">
        <v>1560</v>
      </c>
      <c r="B500" s="144">
        <v>100</v>
      </c>
      <c r="C500" s="145">
        <v>47</v>
      </c>
      <c r="D500" s="145">
        <v>0.43</v>
      </c>
      <c r="E500" s="145">
        <v>0.2</v>
      </c>
      <c r="F500" s="145">
        <v>0.04</v>
      </c>
      <c r="G500" s="145">
        <v>0.01</v>
      </c>
      <c r="H500" s="145">
        <v>0.09</v>
      </c>
      <c r="I500" s="145">
        <v>0.08</v>
      </c>
      <c r="J500" s="145">
        <v>0.01</v>
      </c>
      <c r="K500" s="145" t="s">
        <v>400</v>
      </c>
      <c r="L500" s="145">
        <v>12.14</v>
      </c>
      <c r="M500" s="145">
        <v>1.7</v>
      </c>
      <c r="N500" s="145">
        <v>16</v>
      </c>
      <c r="O500" s="145">
        <v>13</v>
      </c>
      <c r="P500" s="145">
        <v>0.15</v>
      </c>
      <c r="Q500" s="145">
        <v>27</v>
      </c>
      <c r="R500" s="145">
        <v>0.28000000000000003</v>
      </c>
      <c r="S500" s="145">
        <v>1</v>
      </c>
      <c r="T500" s="145">
        <v>266</v>
      </c>
      <c r="U500" s="145">
        <v>0.04</v>
      </c>
      <c r="V500" s="145">
        <v>0.05</v>
      </c>
      <c r="W500" s="145" t="s">
        <v>400</v>
      </c>
      <c r="X500" s="145">
        <v>0.02</v>
      </c>
      <c r="Y500" s="145">
        <v>0.02</v>
      </c>
      <c r="Z500" s="145">
        <v>0.1</v>
      </c>
      <c r="AA500" s="145">
        <v>0.18</v>
      </c>
      <c r="AB500" s="145">
        <v>1</v>
      </c>
      <c r="AC500" s="145">
        <v>0.26</v>
      </c>
      <c r="AD500" s="145" t="s">
        <v>400</v>
      </c>
      <c r="AE500" s="145">
        <v>14</v>
      </c>
      <c r="AF500" s="145" t="s">
        <v>400</v>
      </c>
      <c r="AG500" s="145">
        <v>0.89</v>
      </c>
      <c r="AH500" s="145" t="s">
        <v>400</v>
      </c>
      <c r="AI500" s="145" t="s">
        <v>400</v>
      </c>
      <c r="AJ500" s="145">
        <v>0.6</v>
      </c>
      <c r="AK500" s="145">
        <v>85.92</v>
      </c>
      <c r="AL500" s="145">
        <v>6.3</v>
      </c>
      <c r="AM500" s="145" t="s">
        <v>400</v>
      </c>
    </row>
    <row r="501" spans="1:39">
      <c r="A501" s="143" t="s">
        <v>1561</v>
      </c>
      <c r="B501" s="144">
        <v>100</v>
      </c>
      <c r="C501" s="145">
        <v>103</v>
      </c>
      <c r="D501" s="145">
        <v>1.07</v>
      </c>
      <c r="E501" s="145">
        <v>0.23</v>
      </c>
      <c r="F501" s="145">
        <v>0.05</v>
      </c>
      <c r="G501" s="145">
        <v>0.03</v>
      </c>
      <c r="H501" s="145">
        <v>7.0000000000000007E-2</v>
      </c>
      <c r="I501" s="145">
        <v>0.05</v>
      </c>
      <c r="J501" s="145">
        <v>0.02</v>
      </c>
      <c r="K501" s="145" t="s">
        <v>400</v>
      </c>
      <c r="L501" s="145">
        <v>27.12</v>
      </c>
      <c r="M501" s="145">
        <v>4.9000000000000004</v>
      </c>
      <c r="N501" s="145">
        <v>17</v>
      </c>
      <c r="O501" s="145">
        <v>25</v>
      </c>
      <c r="P501" s="145">
        <v>0.06</v>
      </c>
      <c r="Q501" s="145">
        <v>30</v>
      </c>
      <c r="R501" s="145">
        <v>0.54</v>
      </c>
      <c r="S501" s="145">
        <v>2</v>
      </c>
      <c r="T501" s="145">
        <v>490</v>
      </c>
      <c r="U501" s="145">
        <v>0.08</v>
      </c>
      <c r="V501" s="145">
        <v>0.12</v>
      </c>
      <c r="W501" s="145" t="s">
        <v>400</v>
      </c>
      <c r="X501" s="145">
        <v>0.11</v>
      </c>
      <c r="Y501" s="145">
        <v>0.03</v>
      </c>
      <c r="Z501" s="145">
        <v>0.1</v>
      </c>
      <c r="AA501" s="145">
        <v>0.9</v>
      </c>
      <c r="AB501" s="145">
        <v>29</v>
      </c>
      <c r="AC501" s="145">
        <v>0.9</v>
      </c>
      <c r="AD501" s="145" t="s">
        <v>400</v>
      </c>
      <c r="AE501" s="145">
        <v>14</v>
      </c>
      <c r="AF501" s="145" t="s">
        <v>400</v>
      </c>
      <c r="AG501" s="145">
        <v>0.1</v>
      </c>
      <c r="AH501" s="145" t="s">
        <v>400</v>
      </c>
      <c r="AI501" s="145" t="s">
        <v>400</v>
      </c>
      <c r="AJ501" s="145">
        <v>0.6</v>
      </c>
      <c r="AK501" s="145" t="s">
        <v>400</v>
      </c>
      <c r="AL501" s="145">
        <v>2.9</v>
      </c>
      <c r="AM501" s="145" t="s">
        <v>400</v>
      </c>
    </row>
    <row r="502" spans="1:39">
      <c r="A502" s="143" t="s">
        <v>1562</v>
      </c>
      <c r="B502" s="144">
        <v>100</v>
      </c>
      <c r="C502" s="145">
        <v>96</v>
      </c>
      <c r="D502" s="145">
        <v>0.7</v>
      </c>
      <c r="E502" s="145">
        <v>0.1</v>
      </c>
      <c r="F502" s="145" t="s">
        <v>400</v>
      </c>
      <c r="G502" s="145" t="s">
        <v>400</v>
      </c>
      <c r="H502" s="145" t="s">
        <v>400</v>
      </c>
      <c r="I502" s="145" t="s">
        <v>400</v>
      </c>
      <c r="J502" s="145" t="s">
        <v>400</v>
      </c>
      <c r="K502" s="145" t="s">
        <v>400</v>
      </c>
      <c r="L502" s="145">
        <v>25.9</v>
      </c>
      <c r="M502" s="145">
        <v>9.9</v>
      </c>
      <c r="N502" s="145">
        <v>29</v>
      </c>
      <c r="O502" s="145" t="s">
        <v>400</v>
      </c>
      <c r="P502" s="145" t="s">
        <v>400</v>
      </c>
      <c r="Q502" s="145">
        <v>6</v>
      </c>
      <c r="R502" s="145">
        <v>1.2</v>
      </c>
      <c r="S502" s="145" t="s">
        <v>400</v>
      </c>
      <c r="T502" s="145" t="s">
        <v>400</v>
      </c>
      <c r="U502" s="145" t="s">
        <v>400</v>
      </c>
      <c r="V502" s="145" t="s">
        <v>400</v>
      </c>
      <c r="W502" s="145">
        <v>4</v>
      </c>
      <c r="X502" s="145">
        <v>0.01</v>
      </c>
      <c r="Y502" s="145">
        <v>0.01</v>
      </c>
      <c r="Z502" s="146" t="s">
        <v>400</v>
      </c>
      <c r="AA502" s="145">
        <v>0.2</v>
      </c>
      <c r="AB502" s="145">
        <v>13</v>
      </c>
      <c r="AC502" s="145" t="s">
        <v>400</v>
      </c>
      <c r="AD502" s="145" t="s">
        <v>400</v>
      </c>
      <c r="AE502" s="145" t="s">
        <v>400</v>
      </c>
      <c r="AF502" s="145" t="s">
        <v>400</v>
      </c>
      <c r="AG502" s="145" t="s">
        <v>400</v>
      </c>
      <c r="AH502" s="145" t="s">
        <v>400</v>
      </c>
      <c r="AI502" s="145" t="s">
        <v>400</v>
      </c>
      <c r="AJ502" s="145" t="s">
        <v>400</v>
      </c>
      <c r="AK502" s="145" t="s">
        <v>400</v>
      </c>
      <c r="AL502" s="145" t="s">
        <v>400</v>
      </c>
      <c r="AM502" s="145" t="s">
        <v>400</v>
      </c>
    </row>
    <row r="503" spans="1:39">
      <c r="A503" s="143" t="s">
        <v>1563</v>
      </c>
      <c r="B503" s="144">
        <v>100</v>
      </c>
      <c r="C503" s="145">
        <v>252</v>
      </c>
      <c r="D503" s="145">
        <v>2.2000000000000002</v>
      </c>
      <c r="E503" s="145">
        <v>10.1</v>
      </c>
      <c r="F503" s="145" t="s">
        <v>400</v>
      </c>
      <c r="G503" s="145" t="s">
        <v>400</v>
      </c>
      <c r="H503" s="145" t="s">
        <v>400</v>
      </c>
      <c r="I503" s="145" t="s">
        <v>400</v>
      </c>
      <c r="J503" s="145" t="s">
        <v>400</v>
      </c>
      <c r="K503" s="145" t="s">
        <v>400</v>
      </c>
      <c r="L503" s="145">
        <v>38.200000000000003</v>
      </c>
      <c r="M503" s="145">
        <v>20.5</v>
      </c>
      <c r="N503" s="145" t="s">
        <v>400</v>
      </c>
      <c r="O503" s="145" t="s">
        <v>400</v>
      </c>
      <c r="P503" s="145" t="s">
        <v>400</v>
      </c>
      <c r="Q503" s="145" t="s">
        <v>400</v>
      </c>
      <c r="R503" s="145" t="s">
        <v>400</v>
      </c>
      <c r="S503" s="145" t="s">
        <v>400</v>
      </c>
      <c r="T503" s="145" t="s">
        <v>400</v>
      </c>
      <c r="U503" s="145" t="s">
        <v>400</v>
      </c>
      <c r="V503" s="145" t="s">
        <v>400</v>
      </c>
      <c r="W503" s="145" t="s">
        <v>400</v>
      </c>
      <c r="X503" s="145" t="s">
        <v>400</v>
      </c>
      <c r="Y503" s="145" t="s">
        <v>400</v>
      </c>
      <c r="Z503" s="146" t="s">
        <v>400</v>
      </c>
      <c r="AA503" s="145" t="s">
        <v>400</v>
      </c>
      <c r="AB503" s="145" t="s">
        <v>400</v>
      </c>
      <c r="AC503" s="145" t="s">
        <v>400</v>
      </c>
      <c r="AD503" s="145" t="s">
        <v>400</v>
      </c>
      <c r="AE503" s="145" t="s">
        <v>400</v>
      </c>
      <c r="AF503" s="145" t="s">
        <v>400</v>
      </c>
      <c r="AG503" s="145" t="s">
        <v>400</v>
      </c>
      <c r="AH503" s="145" t="s">
        <v>400</v>
      </c>
      <c r="AI503" s="145" t="s">
        <v>400</v>
      </c>
      <c r="AJ503" s="145" t="s">
        <v>400</v>
      </c>
      <c r="AK503" s="145" t="s">
        <v>400</v>
      </c>
      <c r="AL503" s="145" t="s">
        <v>400</v>
      </c>
      <c r="AM503" s="145" t="s">
        <v>400</v>
      </c>
    </row>
    <row r="504" spans="1:39">
      <c r="A504" s="143" t="s">
        <v>1564</v>
      </c>
      <c r="B504" s="144">
        <v>100</v>
      </c>
      <c r="C504" s="145">
        <v>239</v>
      </c>
      <c r="D504" s="145">
        <v>2.8</v>
      </c>
      <c r="E504" s="145">
        <v>0.6</v>
      </c>
      <c r="F504" s="145">
        <v>0.27</v>
      </c>
      <c r="G504" s="145">
        <v>0.18</v>
      </c>
      <c r="H504" s="145">
        <v>0.06</v>
      </c>
      <c r="I504" s="145">
        <v>0.06</v>
      </c>
      <c r="J504" s="145" t="s">
        <v>400</v>
      </c>
      <c r="K504" s="145" t="s">
        <v>400</v>
      </c>
      <c r="L504" s="145">
        <v>62.5</v>
      </c>
      <c r="M504" s="145">
        <v>5.0999999999999996</v>
      </c>
      <c r="N504" s="145">
        <v>74</v>
      </c>
      <c r="O504" s="145">
        <v>92</v>
      </c>
      <c r="P504" s="145">
        <v>0.15</v>
      </c>
      <c r="Q504" s="145">
        <v>113</v>
      </c>
      <c r="R504" s="145">
        <v>2.8</v>
      </c>
      <c r="S504" s="145">
        <v>28</v>
      </c>
      <c r="T504" s="145">
        <v>628</v>
      </c>
      <c r="U504" s="145">
        <v>0.09</v>
      </c>
      <c r="V504" s="145">
        <v>0.1</v>
      </c>
      <c r="W504" s="145" t="s">
        <v>400</v>
      </c>
      <c r="X504" s="145">
        <v>0.43</v>
      </c>
      <c r="Y504" s="145">
        <v>0.15</v>
      </c>
      <c r="Z504" s="145">
        <v>7.0000000000000007E-2</v>
      </c>
      <c r="AA504" s="145">
        <v>1.94</v>
      </c>
      <c r="AB504" s="145">
        <v>3.5</v>
      </c>
      <c r="AC504" s="145">
        <v>2.2400000000000002</v>
      </c>
      <c r="AD504" s="145" t="s">
        <v>400</v>
      </c>
      <c r="AE504" s="145">
        <v>14</v>
      </c>
      <c r="AF504" s="145" t="s">
        <v>400</v>
      </c>
      <c r="AG504" s="145">
        <v>0.1</v>
      </c>
      <c r="AH504" s="145" t="s">
        <v>400</v>
      </c>
      <c r="AI504" s="145" t="s">
        <v>400</v>
      </c>
      <c r="AJ504" s="145">
        <v>1.3</v>
      </c>
      <c r="AK504" s="145">
        <v>1.5</v>
      </c>
      <c r="AL504" s="145" t="s">
        <v>400</v>
      </c>
      <c r="AM504" s="145" t="s">
        <v>400</v>
      </c>
    </row>
    <row r="505" spans="1:39">
      <c r="A505" s="143" t="s">
        <v>1565</v>
      </c>
      <c r="B505" s="144">
        <v>100</v>
      </c>
      <c r="C505" s="145">
        <v>74</v>
      </c>
      <c r="D505" s="145">
        <v>1</v>
      </c>
      <c r="E505" s="145">
        <v>0.1</v>
      </c>
      <c r="F505" s="145" t="s">
        <v>400</v>
      </c>
      <c r="G505" s="145" t="s">
        <v>400</v>
      </c>
      <c r="H505" s="145" t="s">
        <v>400</v>
      </c>
      <c r="I505" s="145" t="s">
        <v>400</v>
      </c>
      <c r="J505" s="145" t="s">
        <v>400</v>
      </c>
      <c r="K505" s="145" t="s">
        <v>400</v>
      </c>
      <c r="L505" s="145">
        <v>19.399999999999999</v>
      </c>
      <c r="M505" s="145">
        <v>2.2000000000000002</v>
      </c>
      <c r="N505" s="145">
        <v>12</v>
      </c>
      <c r="O505" s="145">
        <v>25</v>
      </c>
      <c r="P505" s="145">
        <v>0.04</v>
      </c>
      <c r="Q505" s="145">
        <v>9</v>
      </c>
      <c r="R505" s="145">
        <v>0.3</v>
      </c>
      <c r="S505" s="145">
        <v>1</v>
      </c>
      <c r="T505" s="145">
        <v>72</v>
      </c>
      <c r="U505" s="145">
        <v>0.15</v>
      </c>
      <c r="V505" s="145">
        <v>0.6</v>
      </c>
      <c r="W505" s="145" t="s">
        <v>400</v>
      </c>
      <c r="X505" s="145">
        <v>0.25</v>
      </c>
      <c r="Y505" s="145" t="s">
        <v>400</v>
      </c>
      <c r="Z505" s="146">
        <v>0.04</v>
      </c>
      <c r="AA505" s="145" t="s">
        <v>400</v>
      </c>
      <c r="AB505" s="145">
        <v>13.6</v>
      </c>
      <c r="AC505" s="145" t="s">
        <v>400</v>
      </c>
      <c r="AD505" s="145" t="s">
        <v>400</v>
      </c>
      <c r="AE505" s="145" t="s">
        <v>400</v>
      </c>
      <c r="AF505" s="145" t="s">
        <v>400</v>
      </c>
      <c r="AG505" s="145" t="s">
        <v>400</v>
      </c>
      <c r="AH505" s="145" t="s">
        <v>400</v>
      </c>
      <c r="AI505" s="145" t="s">
        <v>400</v>
      </c>
      <c r="AJ505" s="145" t="s">
        <v>400</v>
      </c>
      <c r="AK505" s="145" t="s">
        <v>400</v>
      </c>
      <c r="AL505" s="145" t="s">
        <v>400</v>
      </c>
      <c r="AM505" s="145" t="s">
        <v>400</v>
      </c>
    </row>
    <row r="506" spans="1:39">
      <c r="A506" s="143" t="s">
        <v>1566</v>
      </c>
      <c r="B506" s="144">
        <v>100</v>
      </c>
      <c r="C506" s="145">
        <v>66</v>
      </c>
      <c r="D506" s="145">
        <v>0.83</v>
      </c>
      <c r="E506" s="145">
        <v>0.44</v>
      </c>
      <c r="F506" s="145">
        <v>9.9000000000000005E-2</v>
      </c>
      <c r="G506" s="145">
        <v>0.12</v>
      </c>
      <c r="H506" s="145">
        <v>0.13200000000000001</v>
      </c>
      <c r="I506" s="145">
        <v>6.7000000000000004E-2</v>
      </c>
      <c r="J506" s="145">
        <v>6.5000000000000002E-2</v>
      </c>
      <c r="K506" s="145" t="s">
        <v>400</v>
      </c>
      <c r="L506" s="145">
        <v>16.53</v>
      </c>
      <c r="M506" s="145">
        <v>1.3</v>
      </c>
      <c r="N506" s="145">
        <v>5</v>
      </c>
      <c r="O506" s="145">
        <v>10</v>
      </c>
      <c r="P506" s="145">
        <v>5.5E-2</v>
      </c>
      <c r="Q506" s="145">
        <v>31</v>
      </c>
      <c r="R506" s="145">
        <v>0.31</v>
      </c>
      <c r="S506" s="145">
        <v>1</v>
      </c>
      <c r="T506" s="145">
        <v>171</v>
      </c>
      <c r="U506" s="145">
        <v>0.14799999999999999</v>
      </c>
      <c r="V506" s="145">
        <v>7.0000000000000007E-2</v>
      </c>
      <c r="W506" s="145" t="s">
        <v>400</v>
      </c>
      <c r="X506" s="145">
        <v>1.0999999999999999E-2</v>
      </c>
      <c r="Y506" s="145">
        <v>6.5000000000000002E-2</v>
      </c>
      <c r="Z506" s="146">
        <v>0.1</v>
      </c>
      <c r="AA506" s="145">
        <v>0.60299999999999998</v>
      </c>
      <c r="AB506" s="145">
        <v>71.5</v>
      </c>
      <c r="AC506" s="145">
        <v>0.78600000000000003</v>
      </c>
      <c r="AD506" s="145" t="s">
        <v>400</v>
      </c>
      <c r="AE506" s="145">
        <v>14</v>
      </c>
      <c r="AF506" s="145" t="s">
        <v>400</v>
      </c>
      <c r="AG506" s="145">
        <v>7.0000000000000007E-2</v>
      </c>
      <c r="AH506" s="145" t="s">
        <v>400</v>
      </c>
      <c r="AI506" s="145" t="s">
        <v>400</v>
      </c>
      <c r="AJ506" s="145">
        <v>0.6</v>
      </c>
      <c r="AK506" s="145" t="s">
        <v>400</v>
      </c>
      <c r="AL506" s="145">
        <v>15</v>
      </c>
      <c r="AM506" s="145" t="s">
        <v>400</v>
      </c>
    </row>
    <row r="507" spans="1:39">
      <c r="A507" s="143" t="s">
        <v>1567</v>
      </c>
      <c r="B507" s="144">
        <v>100</v>
      </c>
      <c r="C507" s="145">
        <v>105</v>
      </c>
      <c r="D507" s="145">
        <v>1.9</v>
      </c>
      <c r="E507" s="145">
        <v>2</v>
      </c>
      <c r="F507" s="145" t="s">
        <v>400</v>
      </c>
      <c r="G507" s="145" t="s">
        <v>400</v>
      </c>
      <c r="H507" s="145" t="s">
        <v>400</v>
      </c>
      <c r="I507" s="145" t="s">
        <v>400</v>
      </c>
      <c r="J507" s="145" t="s">
        <v>400</v>
      </c>
      <c r="K507" s="145" t="s">
        <v>400</v>
      </c>
      <c r="L507" s="145">
        <v>22.8</v>
      </c>
      <c r="M507" s="145">
        <v>7.4</v>
      </c>
      <c r="N507" s="145">
        <v>20</v>
      </c>
      <c r="O507" s="145" t="s">
        <v>400</v>
      </c>
      <c r="P507" s="145" t="s">
        <v>400</v>
      </c>
      <c r="Q507" s="145">
        <v>36</v>
      </c>
      <c r="R507" s="145">
        <v>2.2000000000000002</v>
      </c>
      <c r="S507" s="145" t="s">
        <v>400</v>
      </c>
      <c r="T507" s="145" t="s">
        <v>400</v>
      </c>
      <c r="U507" s="145" t="s">
        <v>400</v>
      </c>
      <c r="V507" s="145" t="s">
        <v>400</v>
      </c>
      <c r="W507" s="145">
        <v>30</v>
      </c>
      <c r="X507" s="145">
        <v>0.04</v>
      </c>
      <c r="Y507" s="145">
        <v>0.04</v>
      </c>
      <c r="Z507" s="146" t="s">
        <v>400</v>
      </c>
      <c r="AA507" s="145">
        <v>0.5</v>
      </c>
      <c r="AB507" s="145">
        <v>33</v>
      </c>
      <c r="AC507" s="145" t="s">
        <v>400</v>
      </c>
      <c r="AD507" s="145" t="s">
        <v>400</v>
      </c>
      <c r="AE507" s="145" t="s">
        <v>400</v>
      </c>
      <c r="AF507" s="145" t="s">
        <v>400</v>
      </c>
      <c r="AG507" s="145" t="s">
        <v>400</v>
      </c>
      <c r="AH507" s="145" t="s">
        <v>400</v>
      </c>
      <c r="AI507" s="146" t="s">
        <v>400</v>
      </c>
      <c r="AJ507" s="145" t="s">
        <v>400</v>
      </c>
      <c r="AK507" s="145" t="s">
        <v>400</v>
      </c>
      <c r="AL507" s="145" t="s">
        <v>400</v>
      </c>
      <c r="AM507" s="145" t="s">
        <v>400</v>
      </c>
    </row>
    <row r="508" spans="1:39">
      <c r="A508" s="143" t="s">
        <v>1568</v>
      </c>
      <c r="B508" s="144">
        <v>100</v>
      </c>
      <c r="C508" s="145">
        <v>60</v>
      </c>
      <c r="D508" s="145">
        <v>1</v>
      </c>
      <c r="E508" s="145">
        <v>0.1</v>
      </c>
      <c r="F508" s="145" t="s">
        <v>400</v>
      </c>
      <c r="G508" s="145" t="s">
        <v>400</v>
      </c>
      <c r="H508" s="145" t="s">
        <v>400</v>
      </c>
      <c r="I508" s="145" t="s">
        <v>400</v>
      </c>
      <c r="J508" s="145" t="s">
        <v>400</v>
      </c>
      <c r="K508" s="145" t="s">
        <v>400</v>
      </c>
      <c r="L508" s="145">
        <v>15.5</v>
      </c>
      <c r="M508" s="145">
        <v>1.2</v>
      </c>
      <c r="N508" s="145">
        <v>21</v>
      </c>
      <c r="O508" s="145" t="s">
        <v>400</v>
      </c>
      <c r="P508" s="145" t="s">
        <v>400</v>
      </c>
      <c r="Q508" s="145">
        <v>20</v>
      </c>
      <c r="R508" s="145">
        <v>0.9</v>
      </c>
      <c r="S508" s="145" t="s">
        <v>400</v>
      </c>
      <c r="T508" s="145" t="s">
        <v>400</v>
      </c>
      <c r="U508" s="145" t="s">
        <v>400</v>
      </c>
      <c r="V508" s="145" t="s">
        <v>400</v>
      </c>
      <c r="W508" s="145" t="s">
        <v>400</v>
      </c>
      <c r="X508" s="145">
        <v>0.04</v>
      </c>
      <c r="Y508" s="145">
        <v>0.06</v>
      </c>
      <c r="Z508" s="146" t="s">
        <v>400</v>
      </c>
      <c r="AA508" s="145">
        <v>0.4</v>
      </c>
      <c r="AB508" s="145">
        <v>9</v>
      </c>
      <c r="AC508" s="145" t="s">
        <v>400</v>
      </c>
      <c r="AD508" s="145" t="s">
        <v>400</v>
      </c>
      <c r="AE508" s="145" t="s">
        <v>400</v>
      </c>
      <c r="AF508" s="145" t="s">
        <v>400</v>
      </c>
      <c r="AG508" s="145" t="s">
        <v>400</v>
      </c>
      <c r="AH508" s="145" t="s">
        <v>400</v>
      </c>
      <c r="AI508" s="145" t="s">
        <v>400</v>
      </c>
      <c r="AJ508" s="145" t="s">
        <v>400</v>
      </c>
      <c r="AK508" s="145" t="s">
        <v>400</v>
      </c>
      <c r="AL508" s="145" t="s">
        <v>400</v>
      </c>
      <c r="AM508" s="145" t="s">
        <v>400</v>
      </c>
    </row>
    <row r="509" spans="1:39">
      <c r="A509" s="143" t="s">
        <v>1569</v>
      </c>
      <c r="B509" s="144">
        <v>100</v>
      </c>
      <c r="C509" s="145">
        <v>152</v>
      </c>
      <c r="D509" s="145">
        <v>1.5</v>
      </c>
      <c r="E509" s="145">
        <v>13.4</v>
      </c>
      <c r="F509" s="145" t="s">
        <v>400</v>
      </c>
      <c r="G509" s="145" t="s">
        <v>400</v>
      </c>
      <c r="H509" s="145" t="s">
        <v>400</v>
      </c>
      <c r="I509" s="145" t="s">
        <v>400</v>
      </c>
      <c r="J509" s="145" t="s">
        <v>400</v>
      </c>
      <c r="K509" s="145" t="s">
        <v>400</v>
      </c>
      <c r="L509" s="145">
        <v>6.3</v>
      </c>
      <c r="M509" s="145">
        <v>4.7</v>
      </c>
      <c r="N509" s="145" t="s">
        <v>400</v>
      </c>
      <c r="O509" s="145" t="s">
        <v>400</v>
      </c>
      <c r="P509" s="145" t="s">
        <v>400</v>
      </c>
      <c r="Q509" s="145" t="s">
        <v>400</v>
      </c>
      <c r="R509" s="145" t="s">
        <v>400</v>
      </c>
      <c r="S509" s="145" t="s">
        <v>400</v>
      </c>
      <c r="T509" s="145" t="s">
        <v>400</v>
      </c>
      <c r="U509" s="145" t="s">
        <v>400</v>
      </c>
      <c r="V509" s="145" t="s">
        <v>400</v>
      </c>
      <c r="W509" s="145" t="s">
        <v>400</v>
      </c>
      <c r="X509" s="145" t="s">
        <v>400</v>
      </c>
      <c r="Y509" s="145" t="s">
        <v>400</v>
      </c>
      <c r="Z509" s="146" t="s">
        <v>400</v>
      </c>
      <c r="AA509" s="145" t="s">
        <v>400</v>
      </c>
      <c r="AB509" s="145" t="s">
        <v>400</v>
      </c>
      <c r="AC509" s="145" t="s">
        <v>400</v>
      </c>
      <c r="AD509" s="145" t="s">
        <v>400</v>
      </c>
      <c r="AE509" s="145" t="s">
        <v>400</v>
      </c>
      <c r="AF509" s="145" t="s">
        <v>400</v>
      </c>
      <c r="AG509" s="145" t="s">
        <v>400</v>
      </c>
      <c r="AH509" s="145" t="s">
        <v>400</v>
      </c>
      <c r="AI509" s="145" t="s">
        <v>400</v>
      </c>
      <c r="AJ509" s="145" t="s">
        <v>400</v>
      </c>
      <c r="AK509" s="145" t="s">
        <v>400</v>
      </c>
      <c r="AL509" s="145" t="s">
        <v>400</v>
      </c>
      <c r="AM509" s="145" t="s">
        <v>400</v>
      </c>
    </row>
    <row r="510" spans="1:39">
      <c r="A510" s="143" t="s">
        <v>1570</v>
      </c>
      <c r="B510" s="144">
        <v>100</v>
      </c>
      <c r="C510" s="145">
        <v>41</v>
      </c>
      <c r="D510" s="145">
        <v>0.9</v>
      </c>
      <c r="E510" s="145">
        <v>0.2</v>
      </c>
      <c r="F510" s="145" t="s">
        <v>400</v>
      </c>
      <c r="G510" s="145" t="s">
        <v>400</v>
      </c>
      <c r="H510" s="145" t="s">
        <v>400</v>
      </c>
      <c r="I510" s="145" t="s">
        <v>400</v>
      </c>
      <c r="J510" s="145" t="s">
        <v>400</v>
      </c>
      <c r="K510" s="145" t="s">
        <v>400</v>
      </c>
      <c r="L510" s="145">
        <v>10.199999999999999</v>
      </c>
      <c r="M510" s="145">
        <v>3.2</v>
      </c>
      <c r="N510" s="145">
        <v>18</v>
      </c>
      <c r="O510" s="145">
        <v>12</v>
      </c>
      <c r="P510" s="145">
        <v>0.36</v>
      </c>
      <c r="Q510" s="145">
        <v>13</v>
      </c>
      <c r="R510" s="145">
        <v>0.4</v>
      </c>
      <c r="S510" s="145">
        <v>2</v>
      </c>
      <c r="T510" s="145">
        <v>113</v>
      </c>
      <c r="U510" s="145">
        <v>0.08</v>
      </c>
      <c r="V510" s="145">
        <v>0.4</v>
      </c>
      <c r="W510" s="145" t="s">
        <v>400</v>
      </c>
      <c r="X510" s="145">
        <v>0.03</v>
      </c>
      <c r="Y510" s="145">
        <v>0.1</v>
      </c>
      <c r="Z510" s="146" t="s">
        <v>400</v>
      </c>
      <c r="AA510" s="145" t="s">
        <v>400</v>
      </c>
      <c r="AB510" s="145">
        <v>24.9</v>
      </c>
      <c r="AC510" s="145" t="s">
        <v>400</v>
      </c>
      <c r="AD510" s="145" t="s">
        <v>400</v>
      </c>
      <c r="AE510" s="145" t="s">
        <v>400</v>
      </c>
      <c r="AF510" s="145" t="s">
        <v>400</v>
      </c>
      <c r="AG510" s="145" t="s">
        <v>400</v>
      </c>
      <c r="AH510" s="145" t="s">
        <v>400</v>
      </c>
      <c r="AI510" s="145" t="s">
        <v>400</v>
      </c>
      <c r="AJ510" s="145" t="s">
        <v>400</v>
      </c>
      <c r="AK510" s="145">
        <v>77</v>
      </c>
      <c r="AL510" s="145" t="s">
        <v>400</v>
      </c>
      <c r="AM510" s="145" t="s">
        <v>400</v>
      </c>
    </row>
    <row r="511" spans="1:39">
      <c r="A511" s="143" t="s">
        <v>1571</v>
      </c>
      <c r="B511" s="144">
        <v>100</v>
      </c>
      <c r="C511" s="145">
        <v>76</v>
      </c>
      <c r="D511" s="145">
        <v>1.4</v>
      </c>
      <c r="E511" s="145">
        <v>0.4</v>
      </c>
      <c r="F511" s="145">
        <v>0.2</v>
      </c>
      <c r="G511" s="145" t="s">
        <v>400</v>
      </c>
      <c r="H511" s="145">
        <v>0.1</v>
      </c>
      <c r="I511" s="145">
        <v>7.0000000000000007E-2</v>
      </c>
      <c r="J511" s="145">
        <v>0.03</v>
      </c>
      <c r="K511" s="145" t="s">
        <v>400</v>
      </c>
      <c r="L511" s="145">
        <v>18.899999999999999</v>
      </c>
      <c r="M511" s="145">
        <v>3.9</v>
      </c>
      <c r="N511" s="145">
        <v>27</v>
      </c>
      <c r="O511" s="145">
        <v>18</v>
      </c>
      <c r="P511" s="145">
        <v>0.06</v>
      </c>
      <c r="Q511" s="145">
        <v>49</v>
      </c>
      <c r="R511" s="145">
        <v>0.4</v>
      </c>
      <c r="S511" s="145">
        <v>2</v>
      </c>
      <c r="T511" s="145">
        <v>248</v>
      </c>
      <c r="U511" s="145">
        <v>0.12</v>
      </c>
      <c r="V511" s="145">
        <v>0.5</v>
      </c>
      <c r="W511" s="145" t="s">
        <v>400</v>
      </c>
      <c r="X511" s="145">
        <v>0.14000000000000001</v>
      </c>
      <c r="Y511" s="145" t="s">
        <v>400</v>
      </c>
      <c r="Z511" s="146" t="s">
        <v>400</v>
      </c>
      <c r="AA511" s="145" t="s">
        <v>400</v>
      </c>
      <c r="AB511" s="145">
        <v>27</v>
      </c>
      <c r="AC511" s="145" t="s">
        <v>400</v>
      </c>
      <c r="AD511" s="145" t="s">
        <v>400</v>
      </c>
      <c r="AE511" s="145" t="s">
        <v>400</v>
      </c>
      <c r="AF511" s="145" t="s">
        <v>400</v>
      </c>
      <c r="AG511" s="145" t="s">
        <v>400</v>
      </c>
      <c r="AH511" s="145" t="s">
        <v>400</v>
      </c>
      <c r="AI511" s="145" t="s">
        <v>400</v>
      </c>
      <c r="AJ511" s="145" t="s">
        <v>400</v>
      </c>
      <c r="AK511" s="145" t="s">
        <v>400</v>
      </c>
      <c r="AL511" s="145" t="s">
        <v>400</v>
      </c>
      <c r="AM511" s="145" t="s">
        <v>400</v>
      </c>
    </row>
    <row r="512" spans="1:39">
      <c r="A512" s="143" t="s">
        <v>1572</v>
      </c>
      <c r="B512" s="144">
        <v>100</v>
      </c>
      <c r="C512" s="145">
        <v>66</v>
      </c>
      <c r="D512" s="145">
        <v>0.9</v>
      </c>
      <c r="E512" s="145">
        <v>1.3</v>
      </c>
      <c r="F512" s="145" t="s">
        <v>400</v>
      </c>
      <c r="G512" s="145" t="s">
        <v>400</v>
      </c>
      <c r="H512" s="145" t="s">
        <v>400</v>
      </c>
      <c r="I512" s="145" t="s">
        <v>400</v>
      </c>
      <c r="J512" s="145" t="s">
        <v>400</v>
      </c>
      <c r="K512" s="145" t="s">
        <v>400</v>
      </c>
      <c r="L512" s="145">
        <v>14.4</v>
      </c>
      <c r="M512" s="145">
        <v>2.2000000000000002</v>
      </c>
      <c r="N512" s="145">
        <v>33</v>
      </c>
      <c r="O512" s="145" t="s">
        <v>400</v>
      </c>
      <c r="P512" s="145" t="s">
        <v>400</v>
      </c>
      <c r="Q512" s="145">
        <v>17</v>
      </c>
      <c r="R512" s="145">
        <v>2</v>
      </c>
      <c r="S512" s="145" t="s">
        <v>400</v>
      </c>
      <c r="T512" s="145" t="s">
        <v>400</v>
      </c>
      <c r="U512" s="145" t="s">
        <v>400</v>
      </c>
      <c r="V512" s="145" t="s">
        <v>400</v>
      </c>
      <c r="W512" s="145">
        <v>7</v>
      </c>
      <c r="X512" s="145">
        <v>0.02</v>
      </c>
      <c r="Y512" s="145" t="s">
        <v>400</v>
      </c>
      <c r="Z512" s="146">
        <v>0.04</v>
      </c>
      <c r="AA512" s="145">
        <v>0.4</v>
      </c>
      <c r="AB512" s="145">
        <v>84</v>
      </c>
      <c r="AC512" s="145" t="s">
        <v>400</v>
      </c>
      <c r="AD512" s="145" t="s">
        <v>400</v>
      </c>
      <c r="AE512" s="145" t="s">
        <v>400</v>
      </c>
      <c r="AF512" s="145" t="s">
        <v>400</v>
      </c>
      <c r="AG512" s="145" t="s">
        <v>400</v>
      </c>
      <c r="AH512" s="145" t="s">
        <v>400</v>
      </c>
      <c r="AI512" s="145" t="s">
        <v>400</v>
      </c>
      <c r="AJ512" s="145" t="s">
        <v>400</v>
      </c>
      <c r="AK512" s="145" t="s">
        <v>400</v>
      </c>
      <c r="AL512" s="145" t="s">
        <v>400</v>
      </c>
      <c r="AM512" s="145" t="s">
        <v>400</v>
      </c>
    </row>
    <row r="513" spans="1:39">
      <c r="A513" s="143" t="s">
        <v>1573</v>
      </c>
      <c r="B513" s="144">
        <v>100</v>
      </c>
      <c r="C513" s="145">
        <v>37</v>
      </c>
      <c r="D513" s="145">
        <v>0.8</v>
      </c>
      <c r="E513" s="145" t="s">
        <v>400</v>
      </c>
      <c r="F513" s="145" t="s">
        <v>400</v>
      </c>
      <c r="G513" s="145" t="s">
        <v>400</v>
      </c>
      <c r="H513" s="145" t="s">
        <v>400</v>
      </c>
      <c r="I513" s="145" t="s">
        <v>400</v>
      </c>
      <c r="J513" s="145" t="s">
        <v>400</v>
      </c>
      <c r="K513" s="145" t="s">
        <v>400</v>
      </c>
      <c r="L513" s="145">
        <v>9.4</v>
      </c>
      <c r="M513" s="145">
        <v>2</v>
      </c>
      <c r="N513" s="145">
        <v>12</v>
      </c>
      <c r="O513" s="145">
        <v>11</v>
      </c>
      <c r="P513" s="145">
        <v>0.03</v>
      </c>
      <c r="Q513" s="145">
        <v>13</v>
      </c>
      <c r="R513" s="145">
        <v>0.1</v>
      </c>
      <c r="S513" s="145" t="s">
        <v>400</v>
      </c>
      <c r="T513" s="145">
        <v>152</v>
      </c>
      <c r="U513" s="145">
        <v>0.04</v>
      </c>
      <c r="V513" s="145">
        <v>0.4</v>
      </c>
      <c r="W513" s="145" t="s">
        <v>400</v>
      </c>
      <c r="X513" s="145">
        <v>0.05</v>
      </c>
      <c r="Y513" s="145">
        <v>0.06</v>
      </c>
      <c r="Z513" s="146">
        <v>0.03</v>
      </c>
      <c r="AA513" s="145" t="s">
        <v>400</v>
      </c>
      <c r="AB513" s="145">
        <v>24.1</v>
      </c>
      <c r="AC513" s="145" t="s">
        <v>400</v>
      </c>
      <c r="AD513" s="145" t="s">
        <v>400</v>
      </c>
      <c r="AE513" s="145" t="s">
        <v>400</v>
      </c>
      <c r="AF513" s="145" t="s">
        <v>400</v>
      </c>
      <c r="AG513" s="145" t="s">
        <v>400</v>
      </c>
      <c r="AH513" s="145" t="s">
        <v>400</v>
      </c>
      <c r="AI513" s="145" t="s">
        <v>400</v>
      </c>
      <c r="AJ513" s="145" t="s">
        <v>400</v>
      </c>
      <c r="AK513" s="145" t="s">
        <v>400</v>
      </c>
      <c r="AL513" s="145" t="s">
        <v>400</v>
      </c>
      <c r="AM513" s="145" t="s">
        <v>400</v>
      </c>
    </row>
    <row r="514" spans="1:39">
      <c r="A514" s="143" t="s">
        <v>1574</v>
      </c>
      <c r="B514" s="144">
        <v>100</v>
      </c>
      <c r="C514" s="145">
        <v>37</v>
      </c>
      <c r="D514" s="145">
        <v>0.8</v>
      </c>
      <c r="E514" s="145" t="s">
        <v>400</v>
      </c>
      <c r="F514" s="145" t="s">
        <v>400</v>
      </c>
      <c r="G514" s="145" t="s">
        <v>400</v>
      </c>
      <c r="H514" s="145" t="s">
        <v>400</v>
      </c>
      <c r="I514" s="145" t="s">
        <v>400</v>
      </c>
      <c r="J514" s="145" t="s">
        <v>400</v>
      </c>
      <c r="K514" s="145" t="s">
        <v>400</v>
      </c>
      <c r="L514" s="145">
        <v>9.4</v>
      </c>
      <c r="M514" s="145">
        <v>2</v>
      </c>
      <c r="N514" s="145">
        <v>12</v>
      </c>
      <c r="O514" s="145">
        <v>11</v>
      </c>
      <c r="P514" s="145">
        <v>0.03</v>
      </c>
      <c r="Q514" s="145">
        <v>13</v>
      </c>
      <c r="R514" s="145">
        <v>0.1</v>
      </c>
      <c r="S514" s="145" t="s">
        <v>400</v>
      </c>
      <c r="T514" s="145">
        <v>152</v>
      </c>
      <c r="U514" s="145">
        <v>0.04</v>
      </c>
      <c r="V514" s="145">
        <v>0.4</v>
      </c>
      <c r="W514" s="145" t="s">
        <v>400</v>
      </c>
      <c r="X514" s="145">
        <v>0.05</v>
      </c>
      <c r="Y514" s="145">
        <v>0.06</v>
      </c>
      <c r="Z514" s="146">
        <v>0.03</v>
      </c>
      <c r="AA514" s="145" t="s">
        <v>400</v>
      </c>
      <c r="AB514" s="145">
        <v>24.1</v>
      </c>
      <c r="AC514" s="145" t="s">
        <v>400</v>
      </c>
      <c r="AD514" s="145" t="s">
        <v>400</v>
      </c>
      <c r="AE514" s="145" t="s">
        <v>400</v>
      </c>
      <c r="AF514" s="145" t="s">
        <v>400</v>
      </c>
      <c r="AG514" s="145" t="s">
        <v>400</v>
      </c>
      <c r="AH514" s="145" t="s">
        <v>400</v>
      </c>
      <c r="AI514" s="145" t="s">
        <v>400</v>
      </c>
      <c r="AJ514" s="145" t="s">
        <v>400</v>
      </c>
      <c r="AK514" s="145" t="s">
        <v>400</v>
      </c>
      <c r="AL514" s="145" t="s">
        <v>400</v>
      </c>
      <c r="AM514" s="145" t="s">
        <v>400</v>
      </c>
    </row>
    <row r="515" spans="1:39">
      <c r="A515" s="143" t="s">
        <v>1575</v>
      </c>
      <c r="B515" s="144">
        <v>100</v>
      </c>
      <c r="C515" s="145">
        <v>74</v>
      </c>
      <c r="D515" s="145">
        <v>1.65</v>
      </c>
      <c r="E515" s="145">
        <v>0.62</v>
      </c>
      <c r="F515" s="145">
        <v>7.0000000000000007E-2</v>
      </c>
      <c r="G515" s="145">
        <v>0.01</v>
      </c>
      <c r="H515" s="145">
        <v>0.09</v>
      </c>
      <c r="I515" s="145">
        <v>0.05</v>
      </c>
      <c r="J515" s="145">
        <v>0.04</v>
      </c>
      <c r="K515" s="145" t="s">
        <v>400</v>
      </c>
      <c r="L515" s="145">
        <v>17.7</v>
      </c>
      <c r="M515" s="145">
        <v>2.2999999999999998</v>
      </c>
      <c r="N515" s="145">
        <v>8</v>
      </c>
      <c r="O515" s="145">
        <v>16</v>
      </c>
      <c r="P515" s="145">
        <v>0.08</v>
      </c>
      <c r="Q515" s="145">
        <v>26</v>
      </c>
      <c r="R515" s="145">
        <v>0.3</v>
      </c>
      <c r="S515" s="145">
        <v>4</v>
      </c>
      <c r="T515" s="145">
        <v>269</v>
      </c>
      <c r="U515" s="145">
        <v>7.0000000000000007E-2</v>
      </c>
      <c r="V515" s="145">
        <v>0.18</v>
      </c>
      <c r="W515" s="145" t="s">
        <v>400</v>
      </c>
      <c r="X515" s="145">
        <v>0.09</v>
      </c>
      <c r="Y515" s="145">
        <v>0.12</v>
      </c>
      <c r="Z515" s="145">
        <v>0.21</v>
      </c>
      <c r="AA515" s="145">
        <v>0.56999999999999995</v>
      </c>
      <c r="AB515" s="145">
        <v>11.5</v>
      </c>
      <c r="AC515" s="145">
        <v>0.56999999999999995</v>
      </c>
      <c r="AD515" s="145" t="s">
        <v>400</v>
      </c>
      <c r="AE515" s="145">
        <v>18</v>
      </c>
      <c r="AF515" s="145" t="s">
        <v>400</v>
      </c>
      <c r="AG515" s="145" t="s">
        <v>400</v>
      </c>
      <c r="AH515" s="145" t="s">
        <v>400</v>
      </c>
      <c r="AI515" s="145" t="s">
        <v>400</v>
      </c>
      <c r="AJ515" s="145">
        <v>20</v>
      </c>
      <c r="AK515" s="145" t="s">
        <v>400</v>
      </c>
      <c r="AL515" s="145">
        <v>3.39</v>
      </c>
      <c r="AM515" s="145" t="s">
        <v>400</v>
      </c>
    </row>
    <row r="516" spans="1:39">
      <c r="A516" s="143" t="s">
        <v>1576</v>
      </c>
      <c r="B516" s="144">
        <v>100</v>
      </c>
      <c r="C516" s="145">
        <v>49</v>
      </c>
      <c r="D516" s="145">
        <v>1.2</v>
      </c>
      <c r="E516" s="145">
        <v>1</v>
      </c>
      <c r="F516" s="145">
        <v>0.4</v>
      </c>
      <c r="G516" s="145">
        <v>0.2</v>
      </c>
      <c r="H516" s="145">
        <v>0.1</v>
      </c>
      <c r="I516" s="145">
        <v>0.03</v>
      </c>
      <c r="J516" s="145">
        <v>0.09</v>
      </c>
      <c r="K516" s="145" t="s">
        <v>400</v>
      </c>
      <c r="L516" s="145">
        <v>10.4</v>
      </c>
      <c r="M516" s="145">
        <v>3.1</v>
      </c>
      <c r="N516" s="145">
        <v>13</v>
      </c>
      <c r="O516" s="145">
        <v>18</v>
      </c>
      <c r="P516" s="145">
        <v>7.0000000000000007E-2</v>
      </c>
      <c r="Q516" s="145">
        <v>21</v>
      </c>
      <c r="R516" s="145">
        <v>0.5</v>
      </c>
      <c r="S516" s="145">
        <v>3</v>
      </c>
      <c r="T516" s="145">
        <v>331</v>
      </c>
      <c r="U516" s="145">
        <v>7.0000000000000007E-2</v>
      </c>
      <c r="V516" s="145">
        <v>0.3</v>
      </c>
      <c r="W516" s="145" t="s">
        <v>400</v>
      </c>
      <c r="X516" s="145">
        <v>0.37</v>
      </c>
      <c r="Y516" s="145">
        <v>0.04</v>
      </c>
      <c r="Z516" s="146">
        <v>7.0000000000000007E-2</v>
      </c>
      <c r="AA516" s="145">
        <v>4.34</v>
      </c>
      <c r="AB516" s="145">
        <v>24.5</v>
      </c>
      <c r="AC516" s="145" t="s">
        <v>400</v>
      </c>
      <c r="AD516" s="145" t="s">
        <v>400</v>
      </c>
      <c r="AE516" s="145" t="s">
        <v>400</v>
      </c>
      <c r="AF516" s="145" t="s">
        <v>400</v>
      </c>
      <c r="AG516" s="145" t="s">
        <v>400</v>
      </c>
      <c r="AH516" s="145" t="s">
        <v>400</v>
      </c>
      <c r="AI516" s="145" t="s">
        <v>400</v>
      </c>
      <c r="AJ516" s="145" t="s">
        <v>400</v>
      </c>
      <c r="AK516" s="145" t="s">
        <v>400</v>
      </c>
      <c r="AL516" s="145" t="s">
        <v>400</v>
      </c>
      <c r="AM516" s="145" t="s">
        <v>400</v>
      </c>
    </row>
    <row r="517" spans="1:39">
      <c r="A517" s="143" t="s">
        <v>1577</v>
      </c>
      <c r="B517" s="144">
        <v>100</v>
      </c>
      <c r="C517" s="145">
        <v>44</v>
      </c>
      <c r="D517" s="145">
        <v>1.06</v>
      </c>
      <c r="E517" s="145">
        <v>0.32</v>
      </c>
      <c r="F517" s="145">
        <v>2.5000000000000001E-2</v>
      </c>
      <c r="G517" s="145">
        <v>8.7999999999999995E-2</v>
      </c>
      <c r="H517" s="145">
        <v>0.113</v>
      </c>
      <c r="I517" s="145">
        <v>0.111</v>
      </c>
      <c r="J517" s="145">
        <v>2E-3</v>
      </c>
      <c r="K517" s="145" t="s">
        <v>400</v>
      </c>
      <c r="L517" s="145">
        <v>10.55</v>
      </c>
      <c r="M517" s="145">
        <v>1.7</v>
      </c>
      <c r="N517" s="145">
        <v>6</v>
      </c>
      <c r="O517" s="145">
        <v>9</v>
      </c>
      <c r="P517" s="145">
        <v>5.3999999999999999E-2</v>
      </c>
      <c r="Q517" s="145">
        <v>26</v>
      </c>
      <c r="R517" s="145">
        <v>0.28000000000000003</v>
      </c>
      <c r="S517" s="145" t="s">
        <v>400</v>
      </c>
      <c r="T517" s="145">
        <v>201</v>
      </c>
      <c r="U517" s="145">
        <v>8.5999999999999993E-2</v>
      </c>
      <c r="V517" s="145">
        <v>0.17</v>
      </c>
      <c r="W517" s="145" t="s">
        <v>400</v>
      </c>
      <c r="X517" s="145">
        <v>3.4000000000000002E-2</v>
      </c>
      <c r="Y517" s="145">
        <v>2.7E-2</v>
      </c>
      <c r="Z517" s="146">
        <v>2.5000000000000001E-2</v>
      </c>
      <c r="AA517" s="145">
        <v>1.125</v>
      </c>
      <c r="AB517" s="145">
        <v>5.4</v>
      </c>
      <c r="AC517" s="145">
        <v>1.208</v>
      </c>
      <c r="AD517" s="145" t="s">
        <v>400</v>
      </c>
      <c r="AE517" s="145">
        <v>5</v>
      </c>
      <c r="AF517" s="145" t="s">
        <v>400</v>
      </c>
      <c r="AG517" s="145">
        <v>0.7</v>
      </c>
      <c r="AH517" s="145" t="s">
        <v>400</v>
      </c>
      <c r="AI517" s="145" t="s">
        <v>400</v>
      </c>
      <c r="AJ517" s="145" t="s">
        <v>400</v>
      </c>
      <c r="AK517" s="145">
        <v>16.582999999999998</v>
      </c>
      <c r="AL517" s="145">
        <v>7.81</v>
      </c>
      <c r="AM517" s="145" t="s">
        <v>400</v>
      </c>
    </row>
    <row r="518" spans="1:39">
      <c r="A518" s="143" t="s">
        <v>1578</v>
      </c>
      <c r="B518" s="144">
        <v>100</v>
      </c>
      <c r="C518" s="145">
        <v>281.10000000000002</v>
      </c>
      <c r="D518" s="145">
        <v>2.7</v>
      </c>
      <c r="E518" s="145">
        <v>21.1</v>
      </c>
      <c r="F518" s="145" t="s">
        <v>400</v>
      </c>
      <c r="G518" s="145" t="s">
        <v>400</v>
      </c>
      <c r="H518" s="145" t="s">
        <v>400</v>
      </c>
      <c r="I518" s="145" t="s">
        <v>400</v>
      </c>
      <c r="J518" s="145" t="s">
        <v>400</v>
      </c>
      <c r="K518" s="145" t="s">
        <v>400</v>
      </c>
      <c r="L518" s="145">
        <v>20.100000000000001</v>
      </c>
      <c r="M518" s="145" t="s">
        <v>400</v>
      </c>
      <c r="N518" s="145" t="s">
        <v>400</v>
      </c>
      <c r="O518" s="145" t="s">
        <v>400</v>
      </c>
      <c r="P518" s="145" t="s">
        <v>400</v>
      </c>
      <c r="Q518" s="145" t="s">
        <v>400</v>
      </c>
      <c r="R518" s="145" t="s">
        <v>400</v>
      </c>
      <c r="S518" s="145" t="s">
        <v>400</v>
      </c>
      <c r="T518" s="145" t="s">
        <v>400</v>
      </c>
      <c r="U518" s="145" t="s">
        <v>400</v>
      </c>
      <c r="V518" s="145" t="s">
        <v>400</v>
      </c>
      <c r="W518" s="145" t="s">
        <v>400</v>
      </c>
      <c r="X518" s="145" t="s">
        <v>400</v>
      </c>
      <c r="Y518" s="145" t="s">
        <v>400</v>
      </c>
      <c r="Z518" s="146" t="s">
        <v>400</v>
      </c>
      <c r="AA518" s="145" t="s">
        <v>400</v>
      </c>
      <c r="AB518" s="145" t="s">
        <v>400</v>
      </c>
      <c r="AC518" s="145" t="s">
        <v>400</v>
      </c>
      <c r="AD518" s="145" t="s">
        <v>400</v>
      </c>
      <c r="AE518" s="145" t="s">
        <v>400</v>
      </c>
      <c r="AF518" s="145" t="s">
        <v>400</v>
      </c>
      <c r="AG518" s="145" t="s">
        <v>400</v>
      </c>
      <c r="AH518" s="145" t="s">
        <v>400</v>
      </c>
      <c r="AI518" s="145" t="s">
        <v>400</v>
      </c>
      <c r="AJ518" s="145" t="s">
        <v>400</v>
      </c>
      <c r="AK518" s="145" t="s">
        <v>400</v>
      </c>
      <c r="AL518" s="145" t="s">
        <v>400</v>
      </c>
      <c r="AM518" s="145" t="s">
        <v>400</v>
      </c>
    </row>
    <row r="519" spans="1:39">
      <c r="A519" s="143" t="s">
        <v>1579</v>
      </c>
      <c r="B519" s="144">
        <v>100</v>
      </c>
      <c r="C519" s="145">
        <v>56</v>
      </c>
      <c r="D519" s="145">
        <v>0.4</v>
      </c>
      <c r="E519" s="145" t="s">
        <v>400</v>
      </c>
      <c r="F519" s="145" t="s">
        <v>400</v>
      </c>
      <c r="G519" s="145" t="s">
        <v>400</v>
      </c>
      <c r="H519" s="145" t="s">
        <v>400</v>
      </c>
      <c r="I519" s="145" t="s">
        <v>400</v>
      </c>
      <c r="J519" s="145" t="s">
        <v>400</v>
      </c>
      <c r="K519" s="145" t="s">
        <v>400</v>
      </c>
      <c r="L519" s="145">
        <v>15.1</v>
      </c>
      <c r="M519" s="145">
        <v>0.4</v>
      </c>
      <c r="N519" s="145">
        <v>5</v>
      </c>
      <c r="O519" s="145">
        <v>13</v>
      </c>
      <c r="P519" s="145">
        <v>0.13</v>
      </c>
      <c r="Q519" s="145">
        <v>40</v>
      </c>
      <c r="R519" s="145">
        <v>0.3</v>
      </c>
      <c r="S519" s="145">
        <v>1</v>
      </c>
      <c r="T519" s="145">
        <v>485</v>
      </c>
      <c r="U519" s="145">
        <v>0.19</v>
      </c>
      <c r="V519" s="145">
        <v>0.7</v>
      </c>
      <c r="W519" s="145" t="s">
        <v>400</v>
      </c>
      <c r="X519" s="145">
        <v>0.12</v>
      </c>
      <c r="Y519" s="145">
        <v>0.17</v>
      </c>
      <c r="Z519" s="146">
        <v>0.05</v>
      </c>
      <c r="AA519" s="145" t="s">
        <v>400</v>
      </c>
      <c r="AB519" s="145">
        <v>8.1</v>
      </c>
      <c r="AC519" s="145" t="s">
        <v>400</v>
      </c>
      <c r="AD519" s="145" t="s">
        <v>400</v>
      </c>
      <c r="AE519" s="145" t="s">
        <v>400</v>
      </c>
      <c r="AF519" s="145" t="s">
        <v>400</v>
      </c>
      <c r="AG519" s="145" t="s">
        <v>400</v>
      </c>
      <c r="AH519" s="145" t="s">
        <v>400</v>
      </c>
      <c r="AI519" s="145" t="s">
        <v>400</v>
      </c>
      <c r="AJ519" s="145" t="s">
        <v>400</v>
      </c>
      <c r="AK519" s="145" t="s">
        <v>400</v>
      </c>
      <c r="AL519" s="145" t="s">
        <v>400</v>
      </c>
      <c r="AM519" s="145" t="s">
        <v>400</v>
      </c>
    </row>
    <row r="520" spans="1:39">
      <c r="A520" s="143" t="s">
        <v>1580</v>
      </c>
      <c r="B520" s="144">
        <v>100</v>
      </c>
      <c r="C520" s="145">
        <v>32</v>
      </c>
      <c r="D520" s="145">
        <v>0.4</v>
      </c>
      <c r="E520" s="145">
        <v>0.3</v>
      </c>
      <c r="F520" s="145">
        <v>7.0000000000000007E-2</v>
      </c>
      <c r="G520" s="145">
        <v>0.08</v>
      </c>
      <c r="H520" s="145">
        <v>0.09</v>
      </c>
      <c r="I520" s="145">
        <v>0.05</v>
      </c>
      <c r="J520" s="145">
        <v>0.04</v>
      </c>
      <c r="K520" s="145" t="s">
        <v>400</v>
      </c>
      <c r="L520" s="145">
        <v>7.69</v>
      </c>
      <c r="M520" s="145">
        <v>1.1000000000000001</v>
      </c>
      <c r="N520" s="145">
        <v>12</v>
      </c>
      <c r="O520" s="145">
        <v>18</v>
      </c>
      <c r="P520" s="145">
        <v>0.09</v>
      </c>
      <c r="Q520" s="145">
        <v>11</v>
      </c>
      <c r="R520" s="145">
        <v>0.2</v>
      </c>
      <c r="S520" s="145">
        <v>7</v>
      </c>
      <c r="T520" s="145">
        <v>146</v>
      </c>
      <c r="U520" s="145">
        <v>0.09</v>
      </c>
      <c r="V520" s="145">
        <v>0.1</v>
      </c>
      <c r="W520" s="145" t="s">
        <v>400</v>
      </c>
      <c r="X520" s="145">
        <v>0.02</v>
      </c>
      <c r="Y520" s="145">
        <v>0.06</v>
      </c>
      <c r="Z520" s="145">
        <v>0.01</v>
      </c>
      <c r="AA520" s="145">
        <v>0.4</v>
      </c>
      <c r="AB520" s="145">
        <v>1677.6</v>
      </c>
      <c r="AC520" s="145">
        <v>0.4</v>
      </c>
      <c r="AD520" s="145" t="s">
        <v>400</v>
      </c>
      <c r="AE520" s="145">
        <v>14</v>
      </c>
      <c r="AF520" s="145" t="s">
        <v>400</v>
      </c>
      <c r="AG520" s="145">
        <v>0.13</v>
      </c>
      <c r="AH520" s="145" t="s">
        <v>400</v>
      </c>
      <c r="AI520" s="145" t="s">
        <v>400</v>
      </c>
      <c r="AJ520" s="145">
        <v>0.6</v>
      </c>
      <c r="AK520" s="145">
        <v>121</v>
      </c>
      <c r="AL520" s="145" t="s">
        <v>400</v>
      </c>
      <c r="AM520" s="145" t="s">
        <v>400</v>
      </c>
    </row>
    <row r="521" spans="1:39">
      <c r="A521" s="143" t="s">
        <v>1581</v>
      </c>
      <c r="B521" s="144">
        <v>100</v>
      </c>
      <c r="C521" s="145">
        <v>61</v>
      </c>
      <c r="D521" s="145">
        <v>1.1399999999999999</v>
      </c>
      <c r="E521" s="145">
        <v>0.52</v>
      </c>
      <c r="F521" s="145">
        <v>0.03</v>
      </c>
      <c r="G521" s="145">
        <v>0.05</v>
      </c>
      <c r="H521" s="145">
        <v>0.28999999999999998</v>
      </c>
      <c r="I521" s="145">
        <v>0.25</v>
      </c>
      <c r="J521" s="145">
        <v>0.04</v>
      </c>
      <c r="K521" s="145" t="s">
        <v>400</v>
      </c>
      <c r="L521" s="145">
        <v>14.66</v>
      </c>
      <c r="M521" s="145">
        <v>3</v>
      </c>
      <c r="N521" s="145">
        <v>34</v>
      </c>
      <c r="O521" s="145">
        <v>17</v>
      </c>
      <c r="P521" s="145">
        <v>0.1</v>
      </c>
      <c r="Q521" s="145">
        <v>34</v>
      </c>
      <c r="R521" s="145">
        <v>0.31</v>
      </c>
      <c r="S521" s="145">
        <v>3</v>
      </c>
      <c r="T521" s="145">
        <v>312</v>
      </c>
      <c r="U521" s="145">
        <v>0.13</v>
      </c>
      <c r="V521" s="145">
        <v>0.14000000000000001</v>
      </c>
      <c r="W521" s="145" t="s">
        <v>400</v>
      </c>
      <c r="X521" s="145">
        <v>0.03</v>
      </c>
      <c r="Y521" s="145">
        <v>0.03</v>
      </c>
      <c r="Z521" s="145">
        <v>0.06</v>
      </c>
      <c r="AA521" s="145">
        <v>0.34</v>
      </c>
      <c r="AB521" s="145">
        <v>92.7</v>
      </c>
      <c r="AC521" s="145">
        <v>0.59</v>
      </c>
      <c r="AD521" s="145" t="s">
        <v>400</v>
      </c>
      <c r="AE521" s="145">
        <v>25</v>
      </c>
      <c r="AF521" s="145" t="s">
        <v>400</v>
      </c>
      <c r="AG521" s="145">
        <v>1.31</v>
      </c>
      <c r="AH521" s="145" t="s">
        <v>400</v>
      </c>
      <c r="AI521" s="145" t="s">
        <v>400</v>
      </c>
      <c r="AJ521" s="145">
        <v>0.2</v>
      </c>
      <c r="AK521" s="145">
        <v>4.33</v>
      </c>
      <c r="AL521" s="145">
        <v>8.9700000000000006</v>
      </c>
      <c r="AM521" s="145" t="s">
        <v>400</v>
      </c>
    </row>
    <row r="522" spans="1:39">
      <c r="A522" s="143" t="s">
        <v>1582</v>
      </c>
      <c r="B522" s="144">
        <v>100</v>
      </c>
      <c r="C522" s="145">
        <v>62</v>
      </c>
      <c r="D522" s="145">
        <v>0.8</v>
      </c>
      <c r="E522" s="145">
        <v>0.7</v>
      </c>
      <c r="F522" s="145">
        <v>0.3</v>
      </c>
      <c r="G522" s="145">
        <v>0.1</v>
      </c>
      <c r="H522" s="145">
        <v>0.1</v>
      </c>
      <c r="I522" s="145">
        <v>0.1</v>
      </c>
      <c r="J522" s="145">
        <v>0.02</v>
      </c>
      <c r="K522" s="145" t="s">
        <v>400</v>
      </c>
      <c r="L522" s="145">
        <v>14.9</v>
      </c>
      <c r="M522" s="145">
        <v>1.7</v>
      </c>
      <c r="N522" s="145">
        <v>6</v>
      </c>
      <c r="O522" s="145">
        <v>9</v>
      </c>
      <c r="P522" s="145">
        <v>0.08</v>
      </c>
      <c r="Q522" s="145">
        <v>20</v>
      </c>
      <c r="R522" s="145">
        <v>0.2</v>
      </c>
      <c r="S522" s="145" t="s">
        <v>400</v>
      </c>
      <c r="T522" s="145">
        <v>128</v>
      </c>
      <c r="U522" s="145">
        <v>0.09</v>
      </c>
      <c r="V522" s="145">
        <v>0.1</v>
      </c>
      <c r="W522" s="145" t="s">
        <v>400</v>
      </c>
      <c r="X522" s="145" t="s">
        <v>400</v>
      </c>
      <c r="Y522" s="145">
        <v>0.04</v>
      </c>
      <c r="Z522" s="146">
        <v>0.05</v>
      </c>
      <c r="AA522" s="145" t="s">
        <v>400</v>
      </c>
      <c r="AB522" s="145">
        <v>10.3</v>
      </c>
      <c r="AC522" s="145" t="s">
        <v>400</v>
      </c>
      <c r="AD522" s="145" t="s">
        <v>400</v>
      </c>
      <c r="AE522" s="145" t="s">
        <v>400</v>
      </c>
      <c r="AF522" s="145" t="s">
        <v>400</v>
      </c>
      <c r="AG522" s="145" t="s">
        <v>400</v>
      </c>
      <c r="AH522" s="145" t="s">
        <v>400</v>
      </c>
      <c r="AI522" s="145" t="s">
        <v>400</v>
      </c>
      <c r="AJ522" s="145" t="s">
        <v>400</v>
      </c>
      <c r="AK522" s="145" t="s">
        <v>400</v>
      </c>
      <c r="AL522" s="145" t="s">
        <v>400</v>
      </c>
      <c r="AM522" s="145" t="s">
        <v>400</v>
      </c>
    </row>
    <row r="523" spans="1:39">
      <c r="A523" s="143" t="s">
        <v>1583</v>
      </c>
      <c r="B523" s="144">
        <v>100</v>
      </c>
      <c r="C523" s="145">
        <v>126</v>
      </c>
      <c r="D523" s="145">
        <v>4.4000000000000004</v>
      </c>
      <c r="E523" s="145">
        <v>3.9</v>
      </c>
      <c r="F523" s="145">
        <v>0.5</v>
      </c>
      <c r="G523" s="145">
        <v>0.5</v>
      </c>
      <c r="H523" s="145">
        <v>2.1</v>
      </c>
      <c r="I523" s="145">
        <v>2.09</v>
      </c>
      <c r="J523" s="145">
        <v>0.03</v>
      </c>
      <c r="K523" s="145" t="s">
        <v>400</v>
      </c>
      <c r="L523" s="145">
        <v>23.1</v>
      </c>
      <c r="M523" s="145">
        <v>1.2</v>
      </c>
      <c r="N523" s="145">
        <v>151</v>
      </c>
      <c r="O523" s="145">
        <v>65</v>
      </c>
      <c r="P523" s="145">
        <v>0.52</v>
      </c>
      <c r="Q523" s="145">
        <v>155</v>
      </c>
      <c r="R523" s="145">
        <v>0.9</v>
      </c>
      <c r="S523" s="145">
        <v>1</v>
      </c>
      <c r="T523" s="145">
        <v>619</v>
      </c>
      <c r="U523" s="145">
        <v>1.1599999999999999</v>
      </c>
      <c r="V523" s="145">
        <v>0.6</v>
      </c>
      <c r="W523" s="145" t="s">
        <v>400</v>
      </c>
      <c r="X523" s="145">
        <v>0.13</v>
      </c>
      <c r="Y523" s="145">
        <v>0.02</v>
      </c>
      <c r="Z523" s="146">
        <v>0.2</v>
      </c>
      <c r="AA523" s="145" t="s">
        <v>400</v>
      </c>
      <c r="AB523" s="145">
        <v>13.8</v>
      </c>
      <c r="AC523" s="145" t="s">
        <v>400</v>
      </c>
      <c r="AD523" s="145" t="s">
        <v>400</v>
      </c>
      <c r="AE523" s="145" t="s">
        <v>400</v>
      </c>
      <c r="AF523" s="145" t="s">
        <v>400</v>
      </c>
      <c r="AG523" s="145" t="s">
        <v>400</v>
      </c>
      <c r="AH523" s="145" t="s">
        <v>400</v>
      </c>
      <c r="AI523" s="145" t="s">
        <v>400</v>
      </c>
      <c r="AJ523" s="145" t="s">
        <v>400</v>
      </c>
      <c r="AK523" s="145" t="s">
        <v>400</v>
      </c>
      <c r="AL523" s="145" t="s">
        <v>400</v>
      </c>
      <c r="AM523" s="145" t="s">
        <v>400</v>
      </c>
    </row>
    <row r="524" spans="1:39">
      <c r="A524" s="143" t="s">
        <v>1584</v>
      </c>
      <c r="B524" s="144">
        <v>100</v>
      </c>
      <c r="C524" s="145">
        <v>89</v>
      </c>
      <c r="D524" s="145">
        <v>1.0900000000000001</v>
      </c>
      <c r="E524" s="145">
        <v>0.33</v>
      </c>
      <c r="F524" s="145">
        <v>0.11</v>
      </c>
      <c r="G524" s="145">
        <v>0.03</v>
      </c>
      <c r="H524" s="145">
        <v>7.0000000000000007E-2</v>
      </c>
      <c r="I524" s="145">
        <v>0.05</v>
      </c>
      <c r="J524" s="145">
        <v>0.03</v>
      </c>
      <c r="K524" s="145" t="s">
        <v>400</v>
      </c>
      <c r="L524" s="145">
        <v>22.84</v>
      </c>
      <c r="M524" s="145">
        <v>2.6</v>
      </c>
      <c r="N524" s="145">
        <v>5</v>
      </c>
      <c r="O524" s="145">
        <v>27</v>
      </c>
      <c r="P524" s="145">
        <v>0.27</v>
      </c>
      <c r="Q524" s="145">
        <v>22</v>
      </c>
      <c r="R524" s="145">
        <v>0.26</v>
      </c>
      <c r="S524" s="145">
        <v>1</v>
      </c>
      <c r="T524" s="145">
        <v>358</v>
      </c>
      <c r="U524" s="145">
        <v>0.08</v>
      </c>
      <c r="V524" s="145">
        <v>0.15</v>
      </c>
      <c r="W524" s="145" t="s">
        <v>400</v>
      </c>
      <c r="X524" s="145">
        <v>0.03</v>
      </c>
      <c r="Y524" s="145">
        <v>7.0000000000000007E-2</v>
      </c>
      <c r="Z524" s="145">
        <v>0.37</v>
      </c>
      <c r="AA524" s="145">
        <v>0.67</v>
      </c>
      <c r="AB524" s="145">
        <v>8.6999999999999993</v>
      </c>
      <c r="AC524" s="145">
        <v>0.82</v>
      </c>
      <c r="AD524" s="145" t="s">
        <v>400</v>
      </c>
      <c r="AE524" s="145">
        <v>20</v>
      </c>
      <c r="AF524" s="145" t="s">
        <v>400</v>
      </c>
      <c r="AG524" s="145">
        <v>0.13</v>
      </c>
      <c r="AH524" s="145" t="s">
        <v>400</v>
      </c>
      <c r="AI524" s="145" t="s">
        <v>400</v>
      </c>
      <c r="AJ524" s="145">
        <v>1</v>
      </c>
      <c r="AK524" s="145">
        <v>3.21</v>
      </c>
      <c r="AL524" s="145">
        <v>12.23</v>
      </c>
      <c r="AM524" s="145" t="s">
        <v>400</v>
      </c>
    </row>
    <row r="525" spans="1:39">
      <c r="A525" s="143" t="s">
        <v>1585</v>
      </c>
      <c r="B525" s="144">
        <v>100</v>
      </c>
      <c r="C525" s="145">
        <v>52</v>
      </c>
      <c r="D525" s="145">
        <v>0.26</v>
      </c>
      <c r="E525" s="145">
        <v>0.17</v>
      </c>
      <c r="F525" s="145">
        <v>0.03</v>
      </c>
      <c r="G525" s="145">
        <v>0.01</v>
      </c>
      <c r="H525" s="145">
        <v>0.05</v>
      </c>
      <c r="I525" s="145">
        <v>0.04</v>
      </c>
      <c r="J525" s="145">
        <v>0.01</v>
      </c>
      <c r="K525" s="145" t="s">
        <v>400</v>
      </c>
      <c r="L525" s="145">
        <v>13.81</v>
      </c>
      <c r="M525" s="145">
        <v>2.4</v>
      </c>
      <c r="N525" s="145">
        <v>6</v>
      </c>
      <c r="O525" s="145">
        <v>5</v>
      </c>
      <c r="P525" s="145">
        <v>0.04</v>
      </c>
      <c r="Q525" s="145">
        <v>11</v>
      </c>
      <c r="R525" s="145">
        <v>0.12</v>
      </c>
      <c r="S525" s="145">
        <v>1</v>
      </c>
      <c r="T525" s="145">
        <v>107</v>
      </c>
      <c r="U525" s="145">
        <v>0.03</v>
      </c>
      <c r="V525" s="145">
        <v>0.04</v>
      </c>
      <c r="W525" s="145" t="s">
        <v>400</v>
      </c>
      <c r="X525" s="145">
        <v>0.02</v>
      </c>
      <c r="Y525" s="145">
        <v>0.03</v>
      </c>
      <c r="Z525" s="145">
        <v>0.04</v>
      </c>
      <c r="AA525" s="145">
        <v>0.09</v>
      </c>
      <c r="AB525" s="145">
        <v>4.5999999999999996</v>
      </c>
      <c r="AC525" s="145">
        <v>0.11</v>
      </c>
      <c r="AD525" s="145" t="s">
        <v>400</v>
      </c>
      <c r="AE525" s="145">
        <v>3</v>
      </c>
      <c r="AF525" s="145" t="s">
        <v>400</v>
      </c>
      <c r="AG525" s="145">
        <v>0.21</v>
      </c>
      <c r="AH525" s="145" t="s">
        <v>400</v>
      </c>
      <c r="AI525" s="145" t="s">
        <v>400</v>
      </c>
      <c r="AJ525" s="145" t="s">
        <v>400</v>
      </c>
      <c r="AK525" s="145">
        <v>2.71</v>
      </c>
      <c r="AL525" s="145">
        <v>10.4</v>
      </c>
      <c r="AM525" s="145" t="s">
        <v>400</v>
      </c>
    </row>
    <row r="526" spans="1:39">
      <c r="A526" s="143" t="s">
        <v>1586</v>
      </c>
      <c r="B526" s="144">
        <v>100</v>
      </c>
      <c r="C526" s="145">
        <v>32</v>
      </c>
      <c r="D526" s="145">
        <v>0.4</v>
      </c>
      <c r="E526" s="145">
        <v>0.3</v>
      </c>
      <c r="F526" s="145">
        <v>7.0000000000000007E-2</v>
      </c>
      <c r="G526" s="145">
        <v>0.08</v>
      </c>
      <c r="H526" s="145">
        <v>0.09</v>
      </c>
      <c r="I526" s="145">
        <v>0.05</v>
      </c>
      <c r="J526" s="145">
        <v>0.04</v>
      </c>
      <c r="K526" s="145" t="s">
        <v>400</v>
      </c>
      <c r="L526" s="145">
        <v>7.69</v>
      </c>
      <c r="M526" s="145">
        <v>1.1000000000000001</v>
      </c>
      <c r="N526" s="145">
        <v>12</v>
      </c>
      <c r="O526" s="145">
        <v>18</v>
      </c>
      <c r="P526" s="145">
        <v>0.09</v>
      </c>
      <c r="Q526" s="145">
        <v>11</v>
      </c>
      <c r="R526" s="145">
        <v>0.2</v>
      </c>
      <c r="S526" s="145">
        <v>7</v>
      </c>
      <c r="T526" s="145">
        <v>146</v>
      </c>
      <c r="U526" s="145">
        <v>0.09</v>
      </c>
      <c r="V526" s="145">
        <v>0.1</v>
      </c>
      <c r="W526" s="145" t="s">
        <v>400</v>
      </c>
      <c r="X526" s="145">
        <v>0.02</v>
      </c>
      <c r="Y526" s="145">
        <v>0.06</v>
      </c>
      <c r="Z526" s="145">
        <v>0.01</v>
      </c>
      <c r="AA526" s="145">
        <v>0.4</v>
      </c>
      <c r="AB526" s="145">
        <v>1677.6</v>
      </c>
      <c r="AC526" s="145">
        <v>0.4</v>
      </c>
      <c r="AD526" s="145" t="s">
        <v>400</v>
      </c>
      <c r="AE526" s="145">
        <v>14</v>
      </c>
      <c r="AF526" s="145" t="s">
        <v>400</v>
      </c>
      <c r="AG526" s="145">
        <v>0.13</v>
      </c>
      <c r="AH526" s="145" t="s">
        <v>400</v>
      </c>
      <c r="AI526" s="145" t="s">
        <v>400</v>
      </c>
      <c r="AJ526" s="145">
        <v>0.6</v>
      </c>
      <c r="AK526" s="145">
        <v>121</v>
      </c>
      <c r="AL526" s="145" t="s">
        <v>400</v>
      </c>
      <c r="AM526" s="145" t="s">
        <v>400</v>
      </c>
    </row>
    <row r="527" spans="1:39">
      <c r="A527" s="143" t="s">
        <v>1587</v>
      </c>
      <c r="B527" s="144">
        <v>100</v>
      </c>
      <c r="C527" s="145">
        <v>43</v>
      </c>
      <c r="D527" s="145">
        <v>1.39</v>
      </c>
      <c r="E527" s="145">
        <v>0.49</v>
      </c>
      <c r="F527" s="145">
        <v>1.4E-2</v>
      </c>
      <c r="G527" s="145">
        <v>4.7E-2</v>
      </c>
      <c r="H527" s="145">
        <v>0.28000000000000003</v>
      </c>
      <c r="I527" s="145">
        <v>0.186</v>
      </c>
      <c r="J527" s="145">
        <v>9.4E-2</v>
      </c>
      <c r="K527" s="145" t="s">
        <v>400</v>
      </c>
      <c r="L527" s="145">
        <v>9.61</v>
      </c>
      <c r="M527" s="145">
        <v>5.3</v>
      </c>
      <c r="N527" s="145">
        <v>29</v>
      </c>
      <c r="O527" s="145">
        <v>20</v>
      </c>
      <c r="P527" s="145">
        <v>0.64600000000000002</v>
      </c>
      <c r="Q527" s="145">
        <v>22</v>
      </c>
      <c r="R527" s="145">
        <v>0.62</v>
      </c>
      <c r="S527" s="145">
        <v>1</v>
      </c>
      <c r="T527" s="145">
        <v>162</v>
      </c>
      <c r="U527" s="145">
        <v>0.16500000000000001</v>
      </c>
      <c r="V527" s="145">
        <v>0.53</v>
      </c>
      <c r="W527" s="145">
        <v>21.332999999999998</v>
      </c>
      <c r="X527" s="145">
        <v>0.02</v>
      </c>
      <c r="Y527" s="145">
        <v>2.5999999999999999E-2</v>
      </c>
      <c r="Z527" s="145">
        <v>0.03</v>
      </c>
      <c r="AA527" s="145">
        <v>0.64600000000000002</v>
      </c>
      <c r="AB527" s="145">
        <v>21</v>
      </c>
      <c r="AC527" s="145">
        <v>0.64600000000000002</v>
      </c>
      <c r="AD527" s="145" t="s">
        <v>400</v>
      </c>
      <c r="AE527" s="145">
        <v>25</v>
      </c>
      <c r="AF527" s="145" t="s">
        <v>400</v>
      </c>
      <c r="AG527" s="145">
        <v>1.43</v>
      </c>
      <c r="AH527" s="145" t="s">
        <v>400</v>
      </c>
      <c r="AI527" s="145" t="s">
        <v>400</v>
      </c>
      <c r="AJ527" s="145">
        <v>0.4</v>
      </c>
      <c r="AK527" s="145">
        <v>10.667</v>
      </c>
      <c r="AL527" s="145">
        <v>4.88</v>
      </c>
      <c r="AM527" s="145" t="s">
        <v>400</v>
      </c>
    </row>
    <row r="528" spans="1:39">
      <c r="A528" s="143" t="s">
        <v>1588</v>
      </c>
      <c r="B528" s="144">
        <v>100</v>
      </c>
      <c r="C528" s="145">
        <v>73</v>
      </c>
      <c r="D528" s="145">
        <v>0.66</v>
      </c>
      <c r="E528" s="145">
        <v>0.5</v>
      </c>
      <c r="F528" s="145">
        <v>0.02</v>
      </c>
      <c r="G528" s="145">
        <v>0.08</v>
      </c>
      <c r="H528" s="145">
        <v>0.25</v>
      </c>
      <c r="I528" s="145">
        <v>0.16</v>
      </c>
      <c r="J528" s="145">
        <v>0.09</v>
      </c>
      <c r="K528" s="145" t="s">
        <v>400</v>
      </c>
      <c r="L528" s="145">
        <v>18.399999999999999</v>
      </c>
      <c r="M528" s="145">
        <v>7</v>
      </c>
      <c r="N528" s="145">
        <v>38</v>
      </c>
      <c r="O528" s="145">
        <v>5</v>
      </c>
      <c r="P528" s="145">
        <v>1</v>
      </c>
      <c r="Q528" s="145">
        <v>39</v>
      </c>
      <c r="R528" s="145">
        <v>1.6</v>
      </c>
      <c r="S528" s="145">
        <v>6</v>
      </c>
      <c r="T528" s="145">
        <v>280</v>
      </c>
      <c r="U528" s="145">
        <v>0.06</v>
      </c>
      <c r="V528" s="145">
        <v>0.11</v>
      </c>
      <c r="W528" s="145" t="s">
        <v>400</v>
      </c>
      <c r="X528" s="145">
        <v>7.0000000000000007E-2</v>
      </c>
      <c r="Y528" s="145">
        <v>0.06</v>
      </c>
      <c r="Z528" s="145">
        <v>0.23</v>
      </c>
      <c r="AA528" s="145">
        <v>0.5</v>
      </c>
      <c r="AB528" s="145">
        <v>36</v>
      </c>
      <c r="AC528" s="145">
        <v>0.72</v>
      </c>
      <c r="AD528" s="145" t="s">
        <v>400</v>
      </c>
      <c r="AE528" s="145">
        <v>6</v>
      </c>
      <c r="AF528" s="145" t="s">
        <v>400</v>
      </c>
      <c r="AG528" s="145">
        <v>1</v>
      </c>
      <c r="AH528" s="145" t="s">
        <v>400</v>
      </c>
      <c r="AI528" s="145" t="s">
        <v>400</v>
      </c>
      <c r="AJ528" s="145">
        <v>0.6</v>
      </c>
      <c r="AK528" s="145">
        <v>29.92</v>
      </c>
      <c r="AL528" s="145">
        <v>7.48</v>
      </c>
      <c r="AM528" s="145" t="s">
        <v>400</v>
      </c>
    </row>
    <row r="529" spans="1:39">
      <c r="A529" s="143" t="s">
        <v>1589</v>
      </c>
      <c r="B529" s="144">
        <v>100</v>
      </c>
      <c r="C529" s="145">
        <v>387</v>
      </c>
      <c r="D529" s="145" t="s">
        <v>400</v>
      </c>
      <c r="E529" s="145" t="s">
        <v>400</v>
      </c>
      <c r="F529" s="145" t="s">
        <v>400</v>
      </c>
      <c r="G529" s="145" t="s">
        <v>400</v>
      </c>
      <c r="H529" s="145" t="s">
        <v>400</v>
      </c>
      <c r="I529" s="145" t="s">
        <v>400</v>
      </c>
      <c r="J529" s="145" t="s">
        <v>400</v>
      </c>
      <c r="K529" s="145" t="s">
        <v>400</v>
      </c>
      <c r="L529" s="145">
        <v>99.98</v>
      </c>
      <c r="M529" s="145" t="s">
        <v>400</v>
      </c>
      <c r="N529" s="145">
        <v>1</v>
      </c>
      <c r="O529" s="145" t="s">
        <v>400</v>
      </c>
      <c r="P529" s="145" t="s">
        <v>400</v>
      </c>
      <c r="Q529" s="145" t="s">
        <v>400</v>
      </c>
      <c r="R529" s="145">
        <v>0.01</v>
      </c>
      <c r="S529" s="145" t="s">
        <v>400</v>
      </c>
      <c r="T529" s="145">
        <v>2</v>
      </c>
      <c r="U529" s="145" t="s">
        <v>400</v>
      </c>
      <c r="V529" s="145" t="s">
        <v>400</v>
      </c>
      <c r="W529" s="145" t="s">
        <v>400</v>
      </c>
      <c r="X529" s="145" t="s">
        <v>400</v>
      </c>
      <c r="Y529" s="145">
        <v>0.02</v>
      </c>
      <c r="Z529" s="146" t="s">
        <v>400</v>
      </c>
      <c r="AA529" s="145" t="s">
        <v>400</v>
      </c>
      <c r="AB529" s="145" t="s">
        <v>400</v>
      </c>
      <c r="AC529" s="145" t="s">
        <v>400</v>
      </c>
      <c r="AD529" s="145" t="s">
        <v>400</v>
      </c>
      <c r="AE529" s="145" t="s">
        <v>400</v>
      </c>
      <c r="AF529" s="145" t="s">
        <v>400</v>
      </c>
      <c r="AG529" s="145" t="s">
        <v>400</v>
      </c>
      <c r="AH529" s="145" t="s">
        <v>400</v>
      </c>
      <c r="AI529" s="145" t="s">
        <v>400</v>
      </c>
      <c r="AJ529" s="145">
        <v>0.6</v>
      </c>
      <c r="AK529" s="145" t="s">
        <v>400</v>
      </c>
      <c r="AL529" s="145">
        <v>99.91</v>
      </c>
      <c r="AM529" s="145">
        <v>99.98</v>
      </c>
    </row>
    <row r="530" spans="1:39">
      <c r="A530" s="143" t="s">
        <v>1590</v>
      </c>
      <c r="B530" s="144">
        <v>100</v>
      </c>
      <c r="C530" s="145">
        <v>380</v>
      </c>
      <c r="D530" s="145">
        <v>0.12</v>
      </c>
      <c r="E530" s="145" t="s">
        <v>400</v>
      </c>
      <c r="F530" s="145" t="s">
        <v>400</v>
      </c>
      <c r="G530" s="145" t="s">
        <v>400</v>
      </c>
      <c r="H530" s="145" t="s">
        <v>400</v>
      </c>
      <c r="I530" s="145" t="s">
        <v>400</v>
      </c>
      <c r="J530" s="145" t="s">
        <v>400</v>
      </c>
      <c r="K530" s="145" t="s">
        <v>400</v>
      </c>
      <c r="L530" s="145">
        <v>98.09</v>
      </c>
      <c r="M530" s="145" t="s">
        <v>400</v>
      </c>
      <c r="N530" s="145">
        <v>83</v>
      </c>
      <c r="O530" s="145">
        <v>9</v>
      </c>
      <c r="P530" s="145">
        <v>6.4000000000000001E-2</v>
      </c>
      <c r="Q530" s="145">
        <v>4</v>
      </c>
      <c r="R530" s="145">
        <v>0.71</v>
      </c>
      <c r="S530" s="145">
        <v>28</v>
      </c>
      <c r="T530" s="145">
        <v>133</v>
      </c>
      <c r="U530" s="145">
        <v>4.7E-2</v>
      </c>
      <c r="V530" s="145">
        <v>0.03</v>
      </c>
      <c r="W530" s="145" t="s">
        <v>400</v>
      </c>
      <c r="X530" s="145" t="s">
        <v>400</v>
      </c>
      <c r="Y530" s="145" t="s">
        <v>400</v>
      </c>
      <c r="Z530" s="146">
        <v>4.1000000000000002E-2</v>
      </c>
      <c r="AA530" s="145">
        <v>0.11</v>
      </c>
      <c r="AB530" s="145" t="s">
        <v>400</v>
      </c>
      <c r="AC530" s="145">
        <v>0.11</v>
      </c>
      <c r="AD530" s="145" t="s">
        <v>400</v>
      </c>
      <c r="AE530" s="145">
        <v>1</v>
      </c>
      <c r="AF530" s="145" t="s">
        <v>400</v>
      </c>
      <c r="AG530" s="145" t="s">
        <v>400</v>
      </c>
      <c r="AH530" s="145" t="s">
        <v>400</v>
      </c>
      <c r="AI530" s="145" t="s">
        <v>400</v>
      </c>
      <c r="AJ530" s="145">
        <v>1.2</v>
      </c>
      <c r="AK530" s="145" t="s">
        <v>400</v>
      </c>
      <c r="AL530" s="145">
        <v>97.02</v>
      </c>
      <c r="AM530" s="145">
        <v>98.09</v>
      </c>
    </row>
    <row r="531" spans="1:39">
      <c r="A531" s="143" t="s">
        <v>1591</v>
      </c>
      <c r="B531" s="144">
        <v>100</v>
      </c>
      <c r="C531" s="145">
        <v>296</v>
      </c>
      <c r="D531" s="145" t="s">
        <v>400</v>
      </c>
      <c r="E531" s="145" t="s">
        <v>400</v>
      </c>
      <c r="F531" s="145" t="s">
        <v>400</v>
      </c>
      <c r="G531" s="145" t="s">
        <v>400</v>
      </c>
      <c r="H531" s="145" t="s">
        <v>400</v>
      </c>
      <c r="I531" s="145" t="s">
        <v>400</v>
      </c>
      <c r="J531" s="145" t="s">
        <v>400</v>
      </c>
      <c r="K531" s="145" t="s">
        <v>400</v>
      </c>
      <c r="L531" s="145">
        <v>76.599999999999994</v>
      </c>
      <c r="M531" s="145" t="s">
        <v>400</v>
      </c>
      <c r="N531" s="145">
        <v>102</v>
      </c>
      <c r="O531" s="145">
        <v>115</v>
      </c>
      <c r="P531" s="145">
        <v>2.62</v>
      </c>
      <c r="Q531" s="145">
        <v>74</v>
      </c>
      <c r="R531" s="145">
        <v>5.4</v>
      </c>
      <c r="S531" s="145">
        <v>4</v>
      </c>
      <c r="T531" s="145">
        <v>395</v>
      </c>
      <c r="U531" s="145">
        <v>0.84</v>
      </c>
      <c r="V531" s="145">
        <v>0.3</v>
      </c>
      <c r="W531" s="145" t="s">
        <v>400</v>
      </c>
      <c r="X531" s="145" t="s">
        <v>400</v>
      </c>
      <c r="Y531" s="145">
        <v>0.05</v>
      </c>
      <c r="Z531" s="145">
        <v>0.2</v>
      </c>
      <c r="AA531" s="145" t="s">
        <v>400</v>
      </c>
      <c r="AB531" s="145" t="s">
        <v>400</v>
      </c>
      <c r="AC531" s="145" t="s">
        <v>400</v>
      </c>
      <c r="AD531" s="145" t="s">
        <v>400</v>
      </c>
      <c r="AE531" s="145" t="s">
        <v>400</v>
      </c>
      <c r="AF531" s="145" t="s">
        <v>400</v>
      </c>
      <c r="AG531" s="145" t="s">
        <v>400</v>
      </c>
      <c r="AH531" s="145" t="s">
        <v>400</v>
      </c>
      <c r="AI531" s="145" t="s">
        <v>400</v>
      </c>
      <c r="AJ531" s="145" t="s">
        <v>400</v>
      </c>
      <c r="AK531" s="145" t="s">
        <v>400</v>
      </c>
      <c r="AL531" s="145">
        <v>42.2</v>
      </c>
      <c r="AM531" s="145">
        <v>60.8</v>
      </c>
    </row>
    <row r="532" spans="1:39">
      <c r="A532" s="143" t="s">
        <v>1592</v>
      </c>
      <c r="B532" s="144">
        <v>100</v>
      </c>
      <c r="C532" s="145">
        <v>296</v>
      </c>
      <c r="D532" s="145" t="s">
        <v>400</v>
      </c>
      <c r="E532" s="145" t="s">
        <v>400</v>
      </c>
      <c r="F532" s="145" t="s">
        <v>400</v>
      </c>
      <c r="G532" s="145" t="s">
        <v>400</v>
      </c>
      <c r="H532" s="145" t="s">
        <v>400</v>
      </c>
      <c r="I532" s="145" t="s">
        <v>400</v>
      </c>
      <c r="J532" s="145" t="s">
        <v>400</v>
      </c>
      <c r="K532" s="145" t="s">
        <v>400</v>
      </c>
      <c r="L532" s="145">
        <v>76.599999999999994</v>
      </c>
      <c r="M532" s="145" t="s">
        <v>400</v>
      </c>
      <c r="N532" s="145">
        <v>102</v>
      </c>
      <c r="O532" s="145">
        <v>115</v>
      </c>
      <c r="P532" s="145">
        <v>2.62</v>
      </c>
      <c r="Q532" s="145">
        <v>74</v>
      </c>
      <c r="R532" s="145">
        <v>5.4</v>
      </c>
      <c r="S532" s="145">
        <v>4</v>
      </c>
      <c r="T532" s="145">
        <v>395</v>
      </c>
      <c r="U532" s="145">
        <v>0.84</v>
      </c>
      <c r="V532" s="145">
        <v>0.3</v>
      </c>
      <c r="W532" s="145" t="s">
        <v>400</v>
      </c>
      <c r="X532" s="145" t="s">
        <v>400</v>
      </c>
      <c r="Y532" s="145">
        <v>0.05</v>
      </c>
      <c r="Z532" s="145">
        <v>0.2</v>
      </c>
      <c r="AA532" s="145" t="s">
        <v>400</v>
      </c>
      <c r="AB532" s="145" t="s">
        <v>400</v>
      </c>
      <c r="AC532" s="145" t="s">
        <v>400</v>
      </c>
      <c r="AD532" s="145" t="s">
        <v>400</v>
      </c>
      <c r="AE532" s="145" t="s">
        <v>400</v>
      </c>
      <c r="AF532" s="145" t="s">
        <v>400</v>
      </c>
      <c r="AG532" s="145" t="s">
        <v>400</v>
      </c>
      <c r="AH532" s="145" t="s">
        <v>400</v>
      </c>
      <c r="AI532" s="145" t="s">
        <v>400</v>
      </c>
      <c r="AJ532" s="145" t="s">
        <v>400</v>
      </c>
      <c r="AK532" s="145" t="s">
        <v>400</v>
      </c>
      <c r="AL532" s="145">
        <v>42.2</v>
      </c>
      <c r="AM532" s="145">
        <v>60.8</v>
      </c>
    </row>
    <row r="533" spans="1:39">
      <c r="A533" s="143" t="s">
        <v>1593</v>
      </c>
      <c r="B533" s="144">
        <v>100</v>
      </c>
      <c r="C533" s="145">
        <v>380</v>
      </c>
      <c r="D533" s="145">
        <v>0.12</v>
      </c>
      <c r="E533" s="145" t="s">
        <v>400</v>
      </c>
      <c r="F533" s="145" t="s">
        <v>400</v>
      </c>
      <c r="G533" s="145" t="s">
        <v>400</v>
      </c>
      <c r="H533" s="145" t="s">
        <v>400</v>
      </c>
      <c r="I533" s="145" t="s">
        <v>400</v>
      </c>
      <c r="J533" s="145" t="s">
        <v>400</v>
      </c>
      <c r="K533" s="145" t="s">
        <v>400</v>
      </c>
      <c r="L533" s="145">
        <v>98.09</v>
      </c>
      <c r="M533" s="145" t="s">
        <v>400</v>
      </c>
      <c r="N533" s="145">
        <v>83</v>
      </c>
      <c r="O533" s="145">
        <v>9</v>
      </c>
      <c r="P533" s="145">
        <v>6.4000000000000001E-2</v>
      </c>
      <c r="Q533" s="145">
        <v>4</v>
      </c>
      <c r="R533" s="145">
        <v>0.71</v>
      </c>
      <c r="S533" s="145">
        <v>28</v>
      </c>
      <c r="T533" s="145">
        <v>133</v>
      </c>
      <c r="U533" s="145">
        <v>4.7E-2</v>
      </c>
      <c r="V533" s="145">
        <v>0.03</v>
      </c>
      <c r="W533" s="145" t="s">
        <v>400</v>
      </c>
      <c r="X533" s="145" t="s">
        <v>400</v>
      </c>
      <c r="Y533" s="145" t="s">
        <v>400</v>
      </c>
      <c r="Z533" s="146">
        <v>4.1000000000000002E-2</v>
      </c>
      <c r="AA533" s="145">
        <v>0.11</v>
      </c>
      <c r="AB533" s="145" t="s">
        <v>400</v>
      </c>
      <c r="AC533" s="145">
        <v>0.11</v>
      </c>
      <c r="AD533" s="145" t="s">
        <v>400</v>
      </c>
      <c r="AE533" s="145">
        <v>1</v>
      </c>
      <c r="AF533" s="145" t="s">
        <v>400</v>
      </c>
      <c r="AG533" s="145" t="s">
        <v>400</v>
      </c>
      <c r="AH533" s="145" t="s">
        <v>400</v>
      </c>
      <c r="AI533" s="145" t="s">
        <v>400</v>
      </c>
      <c r="AJ533" s="145">
        <v>1.2</v>
      </c>
      <c r="AK533" s="145" t="s">
        <v>400</v>
      </c>
      <c r="AL533" s="145">
        <v>97.02</v>
      </c>
      <c r="AM533" s="145">
        <v>98.09</v>
      </c>
    </row>
    <row r="534" spans="1:39">
      <c r="A534" s="143" t="s">
        <v>1594</v>
      </c>
      <c r="B534" s="144">
        <v>100</v>
      </c>
      <c r="C534" s="145">
        <v>205.995</v>
      </c>
      <c r="D534" s="145">
        <v>3.6</v>
      </c>
      <c r="E534" s="145">
        <v>11</v>
      </c>
      <c r="F534" s="145">
        <v>6.7930000000000001</v>
      </c>
      <c r="G534" s="145">
        <v>3.0489999999999999</v>
      </c>
      <c r="H534" s="145">
        <v>0.438</v>
      </c>
      <c r="I534" s="145">
        <v>0.26700000000000002</v>
      </c>
      <c r="J534" s="145">
        <v>0.16700000000000001</v>
      </c>
      <c r="K534" s="145">
        <v>40.67</v>
      </c>
      <c r="L534" s="145">
        <v>25.132000000000001</v>
      </c>
      <c r="M534" s="145">
        <v>0.86699999999999999</v>
      </c>
      <c r="N534" s="145">
        <v>121.673</v>
      </c>
      <c r="O534" s="145">
        <v>18.995000000000001</v>
      </c>
      <c r="P534" s="145">
        <v>5.1999999999999998E-2</v>
      </c>
      <c r="Q534" s="145">
        <v>105.666</v>
      </c>
      <c r="R534" s="145">
        <v>0.37</v>
      </c>
      <c r="S534" s="145">
        <v>78.668000000000006</v>
      </c>
      <c r="T534" s="145">
        <v>215.65</v>
      </c>
      <c r="U534" s="145">
        <v>0.06</v>
      </c>
      <c r="V534" s="145">
        <v>0.65300000000000002</v>
      </c>
      <c r="W534" s="145">
        <v>116</v>
      </c>
      <c r="X534" s="145">
        <v>4.1000000000000002E-2</v>
      </c>
      <c r="Y534" s="145">
        <v>0.22500000000000001</v>
      </c>
      <c r="Z534" s="146">
        <v>0.05</v>
      </c>
      <c r="AA534" s="145">
        <v>0.153</v>
      </c>
      <c r="AB534" s="145">
        <v>0.63300000000000001</v>
      </c>
      <c r="AC534" s="145">
        <v>0.93</v>
      </c>
      <c r="AD534" s="145">
        <v>0.35699999999999998</v>
      </c>
      <c r="AE534" s="145">
        <v>8.6630000000000003</v>
      </c>
      <c r="AF534" s="145">
        <v>0.61699999999999999</v>
      </c>
      <c r="AG534" s="145">
        <v>0.3</v>
      </c>
      <c r="AH534" s="145">
        <v>0.372</v>
      </c>
      <c r="AI534" s="145" t="s">
        <v>400</v>
      </c>
      <c r="AJ534" s="145">
        <v>2.0329999999999999</v>
      </c>
      <c r="AK534" s="145">
        <v>117.583</v>
      </c>
      <c r="AL534" s="145">
        <v>18.888999999999999</v>
      </c>
      <c r="AM534" s="145">
        <v>20.033999999999999</v>
      </c>
    </row>
    <row r="535" spans="1:39">
      <c r="A535" s="143" t="s">
        <v>1595</v>
      </c>
      <c r="B535" s="144">
        <v>100</v>
      </c>
      <c r="C535" s="145">
        <v>79</v>
      </c>
      <c r="D535" s="145" t="s">
        <v>400</v>
      </c>
      <c r="E535" s="145">
        <v>0.24</v>
      </c>
      <c r="F535" s="145">
        <v>1.2999999999999999E-2</v>
      </c>
      <c r="G535" s="145">
        <v>5.0999999999999997E-2</v>
      </c>
      <c r="H535" s="145">
        <v>1.6E-2</v>
      </c>
      <c r="I535" s="145">
        <v>1.4999999999999999E-2</v>
      </c>
      <c r="J535" s="145" t="s">
        <v>400</v>
      </c>
      <c r="K535" s="145" t="s">
        <v>400</v>
      </c>
      <c r="L535" s="145">
        <v>19.23</v>
      </c>
      <c r="M535" s="145" t="s">
        <v>400</v>
      </c>
      <c r="N535" s="145" t="s">
        <v>400</v>
      </c>
      <c r="O535" s="145">
        <v>1</v>
      </c>
      <c r="P535" s="145" t="s">
        <v>400</v>
      </c>
      <c r="Q535" s="145" t="s">
        <v>400</v>
      </c>
      <c r="R535" s="145">
        <v>0.54</v>
      </c>
      <c r="S535" s="145">
        <v>7</v>
      </c>
      <c r="T535" s="145">
        <v>15</v>
      </c>
      <c r="U535" s="145" t="s">
        <v>400</v>
      </c>
      <c r="V535" s="145">
        <v>0.15</v>
      </c>
      <c r="W535" s="145" t="s">
        <v>400</v>
      </c>
      <c r="X535" s="145" t="s">
        <v>400</v>
      </c>
      <c r="Y535" s="145" t="s">
        <v>400</v>
      </c>
      <c r="Z535" s="146" t="s">
        <v>400</v>
      </c>
      <c r="AA535" s="145" t="s">
        <v>400</v>
      </c>
      <c r="AB535" s="145">
        <v>0.7</v>
      </c>
      <c r="AC535" s="145" t="s">
        <v>400</v>
      </c>
      <c r="AD535" s="145" t="s">
        <v>400</v>
      </c>
      <c r="AE535" s="145" t="s">
        <v>400</v>
      </c>
      <c r="AF535" s="145" t="s">
        <v>400</v>
      </c>
      <c r="AG535" s="145" t="s">
        <v>400</v>
      </c>
      <c r="AH535" s="145" t="s">
        <v>400</v>
      </c>
      <c r="AI535" s="145" t="s">
        <v>400</v>
      </c>
      <c r="AJ535" s="145">
        <v>0.2</v>
      </c>
      <c r="AK535" s="145" t="s">
        <v>400</v>
      </c>
      <c r="AL535" s="145">
        <v>13.67</v>
      </c>
      <c r="AM535" s="145">
        <v>19.23</v>
      </c>
    </row>
    <row r="536" spans="1:39">
      <c r="A536" s="143" t="s">
        <v>1596</v>
      </c>
      <c r="B536" s="144">
        <v>100</v>
      </c>
      <c r="C536" s="145">
        <v>396</v>
      </c>
      <c r="D536" s="145" t="s">
        <v>400</v>
      </c>
      <c r="E536" s="145" t="s">
        <v>400</v>
      </c>
      <c r="F536" s="145" t="s">
        <v>400</v>
      </c>
      <c r="G536" s="145" t="s">
        <v>400</v>
      </c>
      <c r="H536" s="145" t="s">
        <v>400</v>
      </c>
      <c r="I536" s="145" t="s">
        <v>400</v>
      </c>
      <c r="J536" s="145" t="s">
        <v>400</v>
      </c>
      <c r="K536" s="145" t="s">
        <v>400</v>
      </c>
      <c r="L536" s="145">
        <v>98.9</v>
      </c>
      <c r="M536" s="145">
        <v>0.1</v>
      </c>
      <c r="N536" s="145">
        <v>3</v>
      </c>
      <c r="O536" s="145">
        <v>1</v>
      </c>
      <c r="P536" s="145">
        <v>0.01</v>
      </c>
      <c r="Q536" s="145">
        <v>1</v>
      </c>
      <c r="R536" s="145">
        <v>0.4</v>
      </c>
      <c r="S536" s="145">
        <v>44</v>
      </c>
      <c r="T536" s="145">
        <v>5</v>
      </c>
      <c r="U536" s="145">
        <v>1.2E-2</v>
      </c>
      <c r="V536" s="145" t="s">
        <v>400</v>
      </c>
      <c r="W536" s="145" t="s">
        <v>400</v>
      </c>
      <c r="X536" s="145">
        <v>6.0000000000000001E-3</v>
      </c>
      <c r="Y536" s="145">
        <v>1.2999999999999999E-2</v>
      </c>
      <c r="Z536" s="146">
        <v>5.0000000000000001E-3</v>
      </c>
      <c r="AA536" s="145">
        <v>0.01</v>
      </c>
      <c r="AB536" s="145" t="s">
        <v>400</v>
      </c>
      <c r="AC536" s="145">
        <v>0.01</v>
      </c>
      <c r="AD536" s="145" t="s">
        <v>400</v>
      </c>
      <c r="AE536" s="145" t="s">
        <v>400</v>
      </c>
      <c r="AF536" s="145" t="s">
        <v>400</v>
      </c>
      <c r="AG536" s="145" t="s">
        <v>400</v>
      </c>
      <c r="AH536" s="145" t="s">
        <v>400</v>
      </c>
      <c r="AI536" s="145" t="s">
        <v>400</v>
      </c>
      <c r="AJ536" s="145">
        <v>0.8</v>
      </c>
      <c r="AK536" s="145" t="s">
        <v>400</v>
      </c>
      <c r="AL536" s="145">
        <v>58.97</v>
      </c>
      <c r="AM536" s="145">
        <v>60.057000000000002</v>
      </c>
    </row>
    <row r="537" spans="1:39">
      <c r="A537" s="143" t="s">
        <v>1597</v>
      </c>
      <c r="B537" s="144">
        <v>100</v>
      </c>
      <c r="C537" s="145">
        <v>394</v>
      </c>
      <c r="D537" s="145" t="s">
        <v>400</v>
      </c>
      <c r="E537" s="145">
        <v>0.2</v>
      </c>
      <c r="F537" s="145" t="s">
        <v>400</v>
      </c>
      <c r="G537" s="145" t="s">
        <v>400</v>
      </c>
      <c r="H537" s="145" t="s">
        <v>400</v>
      </c>
      <c r="I537" s="145" t="s">
        <v>400</v>
      </c>
      <c r="J537" s="145" t="s">
        <v>400</v>
      </c>
      <c r="K537" s="145" t="s">
        <v>400</v>
      </c>
      <c r="L537" s="145">
        <v>98</v>
      </c>
      <c r="M537" s="145" t="s">
        <v>400</v>
      </c>
      <c r="N537" s="145">
        <v>3</v>
      </c>
      <c r="O537" s="145">
        <v>3</v>
      </c>
      <c r="P537" s="145">
        <v>0.01</v>
      </c>
      <c r="Q537" s="145">
        <v>3</v>
      </c>
      <c r="R537" s="145">
        <v>0.3</v>
      </c>
      <c r="S537" s="145">
        <v>38</v>
      </c>
      <c r="T537" s="145">
        <v>5</v>
      </c>
      <c r="U537" s="145">
        <v>2.9000000000000001E-2</v>
      </c>
      <c r="V537" s="145">
        <v>0.01</v>
      </c>
      <c r="W537" s="145" t="s">
        <v>400</v>
      </c>
      <c r="X537" s="145">
        <v>4.0000000000000001E-3</v>
      </c>
      <c r="Y537" s="145">
        <v>3.0000000000000001E-3</v>
      </c>
      <c r="Z537" s="146">
        <v>3.0000000000000001E-3</v>
      </c>
      <c r="AA537" s="145">
        <v>7.0000000000000001E-3</v>
      </c>
      <c r="AB537" s="145" t="s">
        <v>400</v>
      </c>
      <c r="AC537" s="145">
        <v>7.0000000000000001E-3</v>
      </c>
      <c r="AD537" s="145" t="s">
        <v>400</v>
      </c>
      <c r="AE537" s="145" t="s">
        <v>400</v>
      </c>
      <c r="AF537" s="145" t="s">
        <v>400</v>
      </c>
      <c r="AG537" s="145" t="s">
        <v>400</v>
      </c>
      <c r="AH537" s="145" t="s">
        <v>400</v>
      </c>
      <c r="AI537" s="145" t="s">
        <v>400</v>
      </c>
      <c r="AJ537" s="145">
        <v>0.6</v>
      </c>
      <c r="AK537" s="145" t="s">
        <v>400</v>
      </c>
      <c r="AL537" s="145">
        <v>98.2</v>
      </c>
      <c r="AM537" s="145">
        <v>98</v>
      </c>
    </row>
    <row r="538" spans="1:39">
      <c r="A538" s="143" t="s">
        <v>1598</v>
      </c>
      <c r="B538" s="144">
        <v>100</v>
      </c>
      <c r="C538" s="145">
        <v>382</v>
      </c>
      <c r="D538" s="145">
        <v>4.5999999999999996</v>
      </c>
      <c r="E538" s="145">
        <v>8.1</v>
      </c>
      <c r="F538" s="145">
        <v>2.476</v>
      </c>
      <c r="G538" s="145">
        <v>1.542</v>
      </c>
      <c r="H538" s="145">
        <v>3.4780000000000002</v>
      </c>
      <c r="I538" s="145">
        <v>3.4470000000000001</v>
      </c>
      <c r="J538" s="145">
        <v>2.5000000000000001E-2</v>
      </c>
      <c r="K538" s="145">
        <v>7</v>
      </c>
      <c r="L538" s="145">
        <v>77</v>
      </c>
      <c r="M538" s="145" t="s">
        <v>400</v>
      </c>
      <c r="N538" s="145">
        <v>138</v>
      </c>
      <c r="O538" s="145">
        <v>17</v>
      </c>
      <c r="P538" s="145">
        <v>1.0999999999999999E-2</v>
      </c>
      <c r="Q538" s="145">
        <v>114</v>
      </c>
      <c r="R538" s="145">
        <v>0.14000000000000001</v>
      </c>
      <c r="S538" s="145">
        <v>245</v>
      </c>
      <c r="T538" s="145">
        <v>214</v>
      </c>
      <c r="U538" s="145">
        <v>1.7999999999999999E-2</v>
      </c>
      <c r="V538" s="145">
        <v>0.44</v>
      </c>
      <c r="W538" s="145">
        <v>11</v>
      </c>
      <c r="X538" s="145">
        <v>0.10299999999999999</v>
      </c>
      <c r="Y538" s="145">
        <v>0.25600000000000001</v>
      </c>
      <c r="Z538" s="146">
        <v>5.6000000000000001E-2</v>
      </c>
      <c r="AA538" s="145">
        <v>0.14799999999999999</v>
      </c>
      <c r="AB538" s="145">
        <v>0.4</v>
      </c>
      <c r="AC538" s="145">
        <v>1.1479999999999999</v>
      </c>
      <c r="AD538" s="145">
        <v>0.3</v>
      </c>
      <c r="AE538" s="145">
        <v>4</v>
      </c>
      <c r="AF538" s="145">
        <v>0.02</v>
      </c>
      <c r="AG538" s="145">
        <v>0.46</v>
      </c>
      <c r="AH538" s="145">
        <v>4.3999999999999997E-2</v>
      </c>
      <c r="AI538" s="145" t="s">
        <v>400</v>
      </c>
      <c r="AJ538" s="145">
        <v>1.8</v>
      </c>
      <c r="AK538" s="145">
        <v>11.167</v>
      </c>
      <c r="AL538" s="145">
        <v>46.746000000000002</v>
      </c>
      <c r="AM538" s="145">
        <v>68.195999999999998</v>
      </c>
    </row>
    <row r="539" spans="1:39">
      <c r="A539" s="143" t="s">
        <v>1599</v>
      </c>
      <c r="B539" s="144">
        <v>100</v>
      </c>
      <c r="C539" s="145">
        <v>394</v>
      </c>
      <c r="D539" s="145" t="s">
        <v>400</v>
      </c>
      <c r="E539" s="145">
        <v>0.2</v>
      </c>
      <c r="F539" s="145" t="s">
        <v>400</v>
      </c>
      <c r="G539" s="145" t="s">
        <v>400</v>
      </c>
      <c r="H539" s="145" t="s">
        <v>400</v>
      </c>
      <c r="I539" s="145" t="s">
        <v>400</v>
      </c>
      <c r="J539" s="145" t="s">
        <v>400</v>
      </c>
      <c r="K539" s="145" t="s">
        <v>400</v>
      </c>
      <c r="L539" s="145">
        <v>98</v>
      </c>
      <c r="M539" s="145" t="s">
        <v>400</v>
      </c>
      <c r="N539" s="145">
        <v>3</v>
      </c>
      <c r="O539" s="145">
        <v>3</v>
      </c>
      <c r="P539" s="145">
        <v>0.01</v>
      </c>
      <c r="Q539" s="145">
        <v>3</v>
      </c>
      <c r="R539" s="145">
        <v>0.3</v>
      </c>
      <c r="S539" s="145">
        <v>38</v>
      </c>
      <c r="T539" s="145">
        <v>5</v>
      </c>
      <c r="U539" s="145">
        <v>2.9000000000000001E-2</v>
      </c>
      <c r="V539" s="145">
        <v>0.01</v>
      </c>
      <c r="W539" s="145" t="s">
        <v>400</v>
      </c>
      <c r="X539" s="145">
        <v>4.0000000000000001E-3</v>
      </c>
      <c r="Y539" s="145">
        <v>3.0000000000000001E-3</v>
      </c>
      <c r="Z539" s="146">
        <v>3.0000000000000001E-3</v>
      </c>
      <c r="AA539" s="145">
        <v>7.0000000000000001E-3</v>
      </c>
      <c r="AB539" s="145" t="s">
        <v>400</v>
      </c>
      <c r="AC539" s="145">
        <v>7.0000000000000001E-3</v>
      </c>
      <c r="AD539" s="145" t="s">
        <v>400</v>
      </c>
      <c r="AE539" s="145" t="s">
        <v>400</v>
      </c>
      <c r="AF539" s="145" t="s">
        <v>400</v>
      </c>
      <c r="AG539" s="145" t="s">
        <v>400</v>
      </c>
      <c r="AH539" s="145" t="s">
        <v>400</v>
      </c>
      <c r="AI539" s="145" t="s">
        <v>400</v>
      </c>
      <c r="AJ539" s="145">
        <v>0.6</v>
      </c>
      <c r="AK539" s="145" t="s">
        <v>400</v>
      </c>
      <c r="AL539" s="145">
        <v>98.2</v>
      </c>
      <c r="AM539" s="145">
        <v>98</v>
      </c>
    </row>
    <row r="540" spans="1:39">
      <c r="A540" s="143" t="s">
        <v>1600</v>
      </c>
      <c r="B540" s="144">
        <v>100</v>
      </c>
      <c r="C540" s="145">
        <v>396</v>
      </c>
      <c r="D540" s="145" t="s">
        <v>400</v>
      </c>
      <c r="E540" s="145" t="s">
        <v>400</v>
      </c>
      <c r="F540" s="145" t="s">
        <v>400</v>
      </c>
      <c r="G540" s="145" t="s">
        <v>400</v>
      </c>
      <c r="H540" s="145" t="s">
        <v>400</v>
      </c>
      <c r="I540" s="145" t="s">
        <v>400</v>
      </c>
      <c r="J540" s="145" t="s">
        <v>400</v>
      </c>
      <c r="K540" s="145" t="s">
        <v>400</v>
      </c>
      <c r="L540" s="145">
        <v>98.9</v>
      </c>
      <c r="M540" s="145">
        <v>0.1</v>
      </c>
      <c r="N540" s="145">
        <v>3</v>
      </c>
      <c r="O540" s="145">
        <v>1</v>
      </c>
      <c r="P540" s="145">
        <v>0.01</v>
      </c>
      <c r="Q540" s="145">
        <v>1</v>
      </c>
      <c r="R540" s="145">
        <v>0.4</v>
      </c>
      <c r="S540" s="145">
        <v>44</v>
      </c>
      <c r="T540" s="145">
        <v>5</v>
      </c>
      <c r="U540" s="145">
        <v>1.2E-2</v>
      </c>
      <c r="V540" s="145" t="s">
        <v>400</v>
      </c>
      <c r="W540" s="145" t="s">
        <v>400</v>
      </c>
      <c r="X540" s="145">
        <v>6.0000000000000001E-3</v>
      </c>
      <c r="Y540" s="145">
        <v>1.2999999999999999E-2</v>
      </c>
      <c r="Z540" s="146">
        <v>5.0000000000000001E-3</v>
      </c>
      <c r="AA540" s="145">
        <v>0.01</v>
      </c>
      <c r="AB540" s="145" t="s">
        <v>400</v>
      </c>
      <c r="AC540" s="145">
        <v>0.01</v>
      </c>
      <c r="AD540" s="145" t="s">
        <v>400</v>
      </c>
      <c r="AE540" s="145" t="s">
        <v>400</v>
      </c>
      <c r="AF540" s="145" t="s">
        <v>400</v>
      </c>
      <c r="AG540" s="145" t="s">
        <v>400</v>
      </c>
      <c r="AH540" s="145" t="s">
        <v>400</v>
      </c>
      <c r="AI540" s="145" t="s">
        <v>400</v>
      </c>
      <c r="AJ540" s="145">
        <v>0.8</v>
      </c>
      <c r="AK540" s="145" t="s">
        <v>400</v>
      </c>
      <c r="AL540" s="145">
        <v>58.97</v>
      </c>
      <c r="AM540" s="145">
        <v>60.057000000000002</v>
      </c>
    </row>
    <row r="541" spans="1:39">
      <c r="A541" s="143" t="s">
        <v>1601</v>
      </c>
      <c r="B541" s="144">
        <v>100</v>
      </c>
      <c r="C541" s="145">
        <v>394</v>
      </c>
      <c r="D541" s="145" t="s">
        <v>400</v>
      </c>
      <c r="E541" s="145">
        <v>0.2</v>
      </c>
      <c r="F541" s="145" t="s">
        <v>400</v>
      </c>
      <c r="G541" s="145" t="s">
        <v>400</v>
      </c>
      <c r="H541" s="145" t="s">
        <v>400</v>
      </c>
      <c r="I541" s="145" t="s">
        <v>400</v>
      </c>
      <c r="J541" s="145" t="s">
        <v>400</v>
      </c>
      <c r="K541" s="145" t="s">
        <v>400</v>
      </c>
      <c r="L541" s="145">
        <v>98</v>
      </c>
      <c r="M541" s="145" t="s">
        <v>400</v>
      </c>
      <c r="N541" s="145">
        <v>3</v>
      </c>
      <c r="O541" s="145">
        <v>3</v>
      </c>
      <c r="P541" s="145">
        <v>0.01</v>
      </c>
      <c r="Q541" s="145">
        <v>3</v>
      </c>
      <c r="R541" s="145">
        <v>0.3</v>
      </c>
      <c r="S541" s="145">
        <v>38</v>
      </c>
      <c r="T541" s="145">
        <v>5</v>
      </c>
      <c r="U541" s="145">
        <v>2.9000000000000001E-2</v>
      </c>
      <c r="V541" s="145">
        <v>0.01</v>
      </c>
      <c r="W541" s="145" t="s">
        <v>400</v>
      </c>
      <c r="X541" s="145">
        <v>4.0000000000000001E-3</v>
      </c>
      <c r="Y541" s="145">
        <v>3.0000000000000001E-3</v>
      </c>
      <c r="Z541" s="146">
        <v>3.0000000000000001E-3</v>
      </c>
      <c r="AA541" s="145">
        <v>7.0000000000000001E-3</v>
      </c>
      <c r="AB541" s="145" t="s">
        <v>400</v>
      </c>
      <c r="AC541" s="145">
        <v>7.0000000000000001E-3</v>
      </c>
      <c r="AD541" s="145" t="s">
        <v>400</v>
      </c>
      <c r="AE541" s="145" t="s">
        <v>400</v>
      </c>
      <c r="AF541" s="145" t="s">
        <v>400</v>
      </c>
      <c r="AG541" s="145" t="s">
        <v>400</v>
      </c>
      <c r="AH541" s="145" t="s">
        <v>400</v>
      </c>
      <c r="AI541" s="145" t="s">
        <v>400</v>
      </c>
      <c r="AJ541" s="145">
        <v>0.6</v>
      </c>
      <c r="AK541" s="145" t="s">
        <v>400</v>
      </c>
      <c r="AL541" s="145">
        <v>98.2</v>
      </c>
      <c r="AM541" s="145">
        <v>98</v>
      </c>
    </row>
    <row r="542" spans="1:39">
      <c r="A542" s="143" t="s">
        <v>1602</v>
      </c>
      <c r="B542" s="144">
        <v>100</v>
      </c>
      <c r="C542" s="145">
        <v>396</v>
      </c>
      <c r="D542" s="145" t="s">
        <v>400</v>
      </c>
      <c r="E542" s="145" t="s">
        <v>400</v>
      </c>
      <c r="F542" s="145" t="s">
        <v>400</v>
      </c>
      <c r="G542" s="145" t="s">
        <v>400</v>
      </c>
      <c r="H542" s="145" t="s">
        <v>400</v>
      </c>
      <c r="I542" s="145" t="s">
        <v>400</v>
      </c>
      <c r="J542" s="145" t="s">
        <v>400</v>
      </c>
      <c r="K542" s="145" t="s">
        <v>400</v>
      </c>
      <c r="L542" s="145">
        <v>98.9</v>
      </c>
      <c r="M542" s="145">
        <v>0.1</v>
      </c>
      <c r="N542" s="145">
        <v>3</v>
      </c>
      <c r="O542" s="145">
        <v>1</v>
      </c>
      <c r="P542" s="145">
        <v>0.01</v>
      </c>
      <c r="Q542" s="145">
        <v>1</v>
      </c>
      <c r="R542" s="145">
        <v>0.4</v>
      </c>
      <c r="S542" s="145">
        <v>44</v>
      </c>
      <c r="T542" s="145">
        <v>5</v>
      </c>
      <c r="U542" s="145">
        <v>1.2E-2</v>
      </c>
      <c r="V542" s="145" t="s">
        <v>400</v>
      </c>
      <c r="W542" s="145" t="s">
        <v>400</v>
      </c>
      <c r="X542" s="145">
        <v>6.0000000000000001E-3</v>
      </c>
      <c r="Y542" s="145">
        <v>1.2999999999999999E-2</v>
      </c>
      <c r="Z542" s="146">
        <v>5.0000000000000001E-3</v>
      </c>
      <c r="AA542" s="145">
        <v>0.01</v>
      </c>
      <c r="AB542" s="145" t="s">
        <v>400</v>
      </c>
      <c r="AC542" s="145">
        <v>0.01</v>
      </c>
      <c r="AD542" s="145" t="s">
        <v>400</v>
      </c>
      <c r="AE542" s="145" t="s">
        <v>400</v>
      </c>
      <c r="AF542" s="145" t="s">
        <v>400</v>
      </c>
      <c r="AG542" s="145" t="s">
        <v>400</v>
      </c>
      <c r="AH542" s="145" t="s">
        <v>400</v>
      </c>
      <c r="AI542" s="145" t="s">
        <v>400</v>
      </c>
      <c r="AJ542" s="145">
        <v>0.8</v>
      </c>
      <c r="AK542" s="145" t="s">
        <v>400</v>
      </c>
      <c r="AL542" s="145">
        <v>58.97</v>
      </c>
      <c r="AM542" s="145">
        <v>60.057000000000002</v>
      </c>
    </row>
    <row r="543" spans="1:39">
      <c r="A543" s="143" t="s">
        <v>1603</v>
      </c>
      <c r="B543" s="144">
        <v>100</v>
      </c>
      <c r="C543" s="145">
        <v>375</v>
      </c>
      <c r="D543" s="145" t="s">
        <v>400</v>
      </c>
      <c r="E543" s="145">
        <v>0.05</v>
      </c>
      <c r="F543" s="145" t="s">
        <v>400</v>
      </c>
      <c r="G543" s="145" t="s">
        <v>400</v>
      </c>
      <c r="H543" s="145" t="s">
        <v>400</v>
      </c>
      <c r="I543" s="145" t="s">
        <v>400</v>
      </c>
      <c r="J543" s="145" t="s">
        <v>400</v>
      </c>
      <c r="K543" s="145" t="s">
        <v>400</v>
      </c>
      <c r="L543" s="145">
        <v>93.55</v>
      </c>
      <c r="M543" s="145">
        <v>0.2</v>
      </c>
      <c r="N543" s="145">
        <v>3</v>
      </c>
      <c r="O543" s="145">
        <v>2</v>
      </c>
      <c r="P543" s="145">
        <v>3.5000000000000003E-2</v>
      </c>
      <c r="Q543" s="145">
        <v>4</v>
      </c>
      <c r="R543" s="145">
        <v>0.13</v>
      </c>
      <c r="S543" s="145">
        <v>50</v>
      </c>
      <c r="T543" s="145">
        <v>37</v>
      </c>
      <c r="U543" s="145">
        <v>2.8000000000000001E-2</v>
      </c>
      <c r="V543" s="145">
        <v>0.05</v>
      </c>
      <c r="W543" s="145" t="s">
        <v>400</v>
      </c>
      <c r="X543" s="145">
        <v>4.0000000000000001E-3</v>
      </c>
      <c r="Y543" s="145">
        <v>1.0999999999999999E-2</v>
      </c>
      <c r="Z543" s="146">
        <v>4.0000000000000001E-3</v>
      </c>
      <c r="AA543" s="145">
        <v>8.0000000000000002E-3</v>
      </c>
      <c r="AB543" s="145" t="s">
        <v>400</v>
      </c>
      <c r="AC543" s="145">
        <v>8.0000000000000002E-3</v>
      </c>
      <c r="AD543" s="145" t="s">
        <v>400</v>
      </c>
      <c r="AE543" s="145" t="s">
        <v>400</v>
      </c>
      <c r="AF543" s="145" t="s">
        <v>400</v>
      </c>
      <c r="AG543" s="145" t="s">
        <v>400</v>
      </c>
      <c r="AH543" s="145" t="s">
        <v>400</v>
      </c>
      <c r="AI543" s="145" t="s">
        <v>400</v>
      </c>
      <c r="AJ543" s="145">
        <v>1.1000000000000001</v>
      </c>
      <c r="AK543" s="145" t="s">
        <v>400</v>
      </c>
      <c r="AL543" s="145">
        <v>46.555999999999997</v>
      </c>
      <c r="AM543" s="145">
        <v>84.421999999999997</v>
      </c>
    </row>
    <row r="544" spans="1:39">
      <c r="A544" s="143" t="s">
        <v>1604</v>
      </c>
      <c r="B544" s="144">
        <v>100</v>
      </c>
      <c r="C544" s="145">
        <v>535</v>
      </c>
      <c r="D544" s="145">
        <v>7.65</v>
      </c>
      <c r="E544" s="145">
        <v>29.66</v>
      </c>
      <c r="F544" s="145">
        <v>20.78</v>
      </c>
      <c r="G544" s="145">
        <v>15.869</v>
      </c>
      <c r="H544" s="145">
        <v>1.256</v>
      </c>
      <c r="I544" s="145">
        <v>1.0629999999999999</v>
      </c>
      <c r="J544" s="145">
        <v>0.122</v>
      </c>
      <c r="K544" s="145">
        <v>23</v>
      </c>
      <c r="L544" s="145">
        <v>59.4</v>
      </c>
      <c r="M544" s="145">
        <v>3.4</v>
      </c>
      <c r="N544" s="145">
        <v>189</v>
      </c>
      <c r="O544" s="145">
        <v>63</v>
      </c>
      <c r="P544" s="145">
        <v>0.47099999999999997</v>
      </c>
      <c r="Q544" s="145">
        <v>208</v>
      </c>
      <c r="R544" s="145">
        <v>2.35</v>
      </c>
      <c r="S544" s="145">
        <v>79</v>
      </c>
      <c r="T544" s="145">
        <v>372</v>
      </c>
      <c r="U544" s="145">
        <v>0.49099999999999999</v>
      </c>
      <c r="V544" s="145">
        <v>2.2999999999999998</v>
      </c>
      <c r="W544" s="145">
        <v>56</v>
      </c>
      <c r="X544" s="145">
        <v>0.112</v>
      </c>
      <c r="Y544" s="145">
        <v>0.29799999999999999</v>
      </c>
      <c r="Z544" s="146">
        <v>3.5999999999999997E-2</v>
      </c>
      <c r="AA544" s="145">
        <v>0.38600000000000001</v>
      </c>
      <c r="AB544" s="145" t="s">
        <v>400</v>
      </c>
      <c r="AC544" s="145">
        <v>1.869</v>
      </c>
      <c r="AD544" s="145">
        <v>0.75</v>
      </c>
      <c r="AE544" s="145">
        <v>11</v>
      </c>
      <c r="AF544" s="145" t="s">
        <v>400</v>
      </c>
      <c r="AG544" s="145">
        <v>0.51</v>
      </c>
      <c r="AH544" s="145">
        <v>0.09</v>
      </c>
      <c r="AI544" s="145" t="s">
        <v>400</v>
      </c>
      <c r="AJ544" s="145">
        <v>4.5</v>
      </c>
      <c r="AK544" s="145">
        <v>56.667000000000002</v>
      </c>
      <c r="AL544" s="145">
        <v>54.8</v>
      </c>
      <c r="AM544" s="145">
        <v>46.991</v>
      </c>
    </row>
    <row r="545" spans="1:39">
      <c r="A545" s="143" t="s">
        <v>1605</v>
      </c>
      <c r="B545" s="144">
        <v>100</v>
      </c>
      <c r="C545" s="145">
        <v>535</v>
      </c>
      <c r="D545" s="145">
        <v>7.65</v>
      </c>
      <c r="E545" s="145">
        <v>29.66</v>
      </c>
      <c r="F545" s="145">
        <v>20.78</v>
      </c>
      <c r="G545" s="145">
        <v>15.869</v>
      </c>
      <c r="H545" s="145">
        <v>1.256</v>
      </c>
      <c r="I545" s="145">
        <v>1.0629999999999999</v>
      </c>
      <c r="J545" s="145">
        <v>0.122</v>
      </c>
      <c r="K545" s="145">
        <v>23</v>
      </c>
      <c r="L545" s="145">
        <v>59.4</v>
      </c>
      <c r="M545" s="145">
        <v>3.4</v>
      </c>
      <c r="N545" s="145">
        <v>189</v>
      </c>
      <c r="O545" s="145">
        <v>63</v>
      </c>
      <c r="P545" s="145">
        <v>0.47099999999999997</v>
      </c>
      <c r="Q545" s="145">
        <v>208</v>
      </c>
      <c r="R545" s="145">
        <v>2.35</v>
      </c>
      <c r="S545" s="145">
        <v>79</v>
      </c>
      <c r="T545" s="145">
        <v>372</v>
      </c>
      <c r="U545" s="145">
        <v>0.49099999999999999</v>
      </c>
      <c r="V545" s="145">
        <v>2.2999999999999998</v>
      </c>
      <c r="W545" s="145">
        <v>56</v>
      </c>
      <c r="X545" s="145">
        <v>0.112</v>
      </c>
      <c r="Y545" s="145">
        <v>0.29799999999999999</v>
      </c>
      <c r="Z545" s="146">
        <v>3.5999999999999997E-2</v>
      </c>
      <c r="AA545" s="145">
        <v>0.38600000000000001</v>
      </c>
      <c r="AB545" s="145" t="s">
        <v>400</v>
      </c>
      <c r="AC545" s="145">
        <v>1.869</v>
      </c>
      <c r="AD545" s="145">
        <v>0.75</v>
      </c>
      <c r="AE545" s="145">
        <v>11</v>
      </c>
      <c r="AF545" s="145" t="s">
        <v>400</v>
      </c>
      <c r="AG545" s="145">
        <v>0.51</v>
      </c>
      <c r="AH545" s="145">
        <v>0.09</v>
      </c>
      <c r="AI545" s="145" t="s">
        <v>400</v>
      </c>
      <c r="AJ545" s="145">
        <v>4.5</v>
      </c>
      <c r="AK545" s="145">
        <v>56.667000000000002</v>
      </c>
      <c r="AL545" s="145">
        <v>54.8</v>
      </c>
      <c r="AM545" s="145">
        <v>46.991</v>
      </c>
    </row>
    <row r="546" spans="1:39">
      <c r="A546" s="143" t="s">
        <v>1606</v>
      </c>
      <c r="B546" s="144">
        <v>100</v>
      </c>
      <c r="C546" s="145">
        <v>492</v>
      </c>
      <c r="D546" s="145">
        <v>4.33</v>
      </c>
      <c r="E546" s="145">
        <v>21.13</v>
      </c>
      <c r="F546" s="145">
        <v>13.08</v>
      </c>
      <c r="G546" s="145">
        <v>5.1829999999999998</v>
      </c>
      <c r="H546" s="145">
        <v>0.92100000000000004</v>
      </c>
      <c r="I546" s="145">
        <v>0.86399999999999999</v>
      </c>
      <c r="J546" s="145">
        <v>5.7000000000000002E-2</v>
      </c>
      <c r="K546" s="145">
        <v>14</v>
      </c>
      <c r="L546" s="145">
        <v>71.19</v>
      </c>
      <c r="M546" s="145">
        <v>2.8</v>
      </c>
      <c r="N546" s="145">
        <v>105</v>
      </c>
      <c r="O546" s="145">
        <v>44</v>
      </c>
      <c r="P546" s="145">
        <v>0.32900000000000001</v>
      </c>
      <c r="Q546" s="145">
        <v>146</v>
      </c>
      <c r="R546" s="145">
        <v>1.1100000000000001</v>
      </c>
      <c r="S546" s="145">
        <v>61</v>
      </c>
      <c r="T546" s="145">
        <v>261</v>
      </c>
      <c r="U546" s="145">
        <v>0.34399999999999997</v>
      </c>
      <c r="V546" s="145">
        <v>1.61</v>
      </c>
      <c r="W546" s="145">
        <v>61</v>
      </c>
      <c r="X546" s="145">
        <v>7.9000000000000001E-2</v>
      </c>
      <c r="Y546" s="145">
        <v>0.21299999999999999</v>
      </c>
      <c r="Z546" s="146">
        <v>2.5000000000000001E-2</v>
      </c>
      <c r="AA546" s="145">
        <v>0.27</v>
      </c>
      <c r="AB546" s="145">
        <v>0.5</v>
      </c>
      <c r="AC546" s="145">
        <v>1.103</v>
      </c>
      <c r="AD546" s="145">
        <v>0.53</v>
      </c>
      <c r="AE546" s="145">
        <v>8</v>
      </c>
      <c r="AF546" s="145" t="s">
        <v>400</v>
      </c>
      <c r="AG546" s="145">
        <v>0.36</v>
      </c>
      <c r="AH546" s="145">
        <v>0.16700000000000001</v>
      </c>
      <c r="AI546" s="145" t="s">
        <v>400</v>
      </c>
      <c r="AJ546" s="145">
        <v>3.3</v>
      </c>
      <c r="AK546" s="145">
        <v>61</v>
      </c>
      <c r="AL546" s="145">
        <v>63.295000000000002</v>
      </c>
      <c r="AM546" s="145">
        <v>57.753</v>
      </c>
    </row>
    <row r="547" spans="1:39">
      <c r="A547" s="143" t="s">
        <v>1607</v>
      </c>
      <c r="B547" s="144">
        <v>100</v>
      </c>
      <c r="C547" s="145">
        <v>364.23700000000002</v>
      </c>
      <c r="D547" s="145">
        <v>2.8260000000000001</v>
      </c>
      <c r="E547" s="145">
        <v>3.5510000000000002</v>
      </c>
      <c r="F547" s="145">
        <v>0.80200000000000005</v>
      </c>
      <c r="G547" s="145">
        <v>1.5369999999999999</v>
      </c>
      <c r="H547" s="145">
        <v>1.0429999999999999</v>
      </c>
      <c r="I547" s="145">
        <v>1.012</v>
      </c>
      <c r="J547" s="145">
        <v>2.5999999999999999E-2</v>
      </c>
      <c r="K547" s="145">
        <v>0.45</v>
      </c>
      <c r="L547" s="145">
        <v>85.525999999999996</v>
      </c>
      <c r="M547" s="145">
        <v>1.66</v>
      </c>
      <c r="N547" s="145">
        <v>149.78800000000001</v>
      </c>
      <c r="O547" s="145">
        <v>38.712000000000003</v>
      </c>
      <c r="P547" s="145">
        <v>0.19400000000000001</v>
      </c>
      <c r="Q547" s="145">
        <v>132.41499999999999</v>
      </c>
      <c r="R547" s="145">
        <v>0.78200000000000003</v>
      </c>
      <c r="S547" s="145">
        <v>350.14299999999997</v>
      </c>
      <c r="T547" s="145">
        <v>840.69299999999998</v>
      </c>
      <c r="U547" s="145">
        <v>0.193</v>
      </c>
      <c r="V547" s="145">
        <v>0.81200000000000006</v>
      </c>
      <c r="W547" s="145">
        <v>1.08</v>
      </c>
      <c r="X547" s="145">
        <v>5.0999999999999997E-2</v>
      </c>
      <c r="Y547" s="145">
        <v>0.17599999999999999</v>
      </c>
      <c r="Z547" s="146">
        <v>4.8000000000000001E-2</v>
      </c>
      <c r="AA547" s="145">
        <v>0.192</v>
      </c>
      <c r="AB547" s="145">
        <v>0.13800000000000001</v>
      </c>
      <c r="AC547" s="145">
        <v>0.92600000000000005</v>
      </c>
      <c r="AD547" s="145">
        <v>0.21</v>
      </c>
      <c r="AE547" s="145">
        <v>4.33</v>
      </c>
      <c r="AF547" s="145" t="s">
        <v>400</v>
      </c>
      <c r="AG547" s="145">
        <v>1.155</v>
      </c>
      <c r="AH547" s="145">
        <v>0.36699999999999999</v>
      </c>
      <c r="AI547" s="145" t="s">
        <v>400</v>
      </c>
      <c r="AJ547" s="145">
        <v>3.8719999999999999</v>
      </c>
      <c r="AK547" s="145">
        <v>1.0860000000000001</v>
      </c>
      <c r="AL547" s="145">
        <v>80.441000000000003</v>
      </c>
      <c r="AM547" s="145">
        <v>77.593000000000004</v>
      </c>
    </row>
    <row r="548" spans="1:39">
      <c r="A548" s="143" t="s">
        <v>1608</v>
      </c>
      <c r="B548" s="144">
        <v>100</v>
      </c>
      <c r="C548" s="145">
        <v>388</v>
      </c>
      <c r="D548" s="145">
        <v>9.17</v>
      </c>
      <c r="E548" s="145">
        <v>5.19</v>
      </c>
      <c r="F548" s="145">
        <v>1.62</v>
      </c>
      <c r="G548" s="145">
        <v>2.68</v>
      </c>
      <c r="H548" s="145">
        <v>0.74</v>
      </c>
      <c r="I548" s="145">
        <v>0.69</v>
      </c>
      <c r="J548" s="145">
        <v>0.04</v>
      </c>
      <c r="K548" s="145">
        <v>5.82</v>
      </c>
      <c r="L548" s="145">
        <v>75.13</v>
      </c>
      <c r="M548" s="145">
        <v>1.98</v>
      </c>
      <c r="N548" s="145">
        <v>1235</v>
      </c>
      <c r="O548" s="145">
        <v>71</v>
      </c>
      <c r="P548" s="145">
        <v>0.27</v>
      </c>
      <c r="Q548" s="145">
        <v>847</v>
      </c>
      <c r="R548" s="145">
        <v>9.52</v>
      </c>
      <c r="S548" s="145">
        <v>353</v>
      </c>
      <c r="T548" s="145">
        <v>1235</v>
      </c>
      <c r="U548" s="145">
        <v>0.32</v>
      </c>
      <c r="V548" s="145">
        <v>0.71</v>
      </c>
      <c r="W548" s="145">
        <v>529</v>
      </c>
      <c r="X548" s="145">
        <v>0.53</v>
      </c>
      <c r="Y548" s="145">
        <v>0.6</v>
      </c>
      <c r="Z548" s="145">
        <v>0.11</v>
      </c>
      <c r="AA548" s="145">
        <v>7.05</v>
      </c>
      <c r="AB548" s="145">
        <v>105.82</v>
      </c>
      <c r="AC548" s="145">
        <v>9.3800000000000008</v>
      </c>
      <c r="AD548" s="145">
        <v>1.32</v>
      </c>
      <c r="AE548" s="145" t="s">
        <v>400</v>
      </c>
      <c r="AF548" s="145">
        <v>1.92</v>
      </c>
      <c r="AG548" s="145">
        <v>0.04</v>
      </c>
      <c r="AH548" s="145">
        <v>0.99</v>
      </c>
      <c r="AI548" s="145" t="s">
        <v>400</v>
      </c>
      <c r="AJ548" s="145">
        <v>1.6</v>
      </c>
      <c r="AK548" s="145">
        <v>529</v>
      </c>
      <c r="AL548" s="145">
        <v>70.81</v>
      </c>
      <c r="AM548" s="145">
        <v>51.34</v>
      </c>
    </row>
    <row r="549" spans="1:39">
      <c r="A549" s="143" t="s">
        <v>1609</v>
      </c>
      <c r="B549" s="144">
        <v>100</v>
      </c>
      <c r="C549" s="145">
        <v>400</v>
      </c>
      <c r="D549" s="145">
        <v>4.55</v>
      </c>
      <c r="E549" s="145">
        <v>2.27</v>
      </c>
      <c r="F549" s="145">
        <v>2.27</v>
      </c>
      <c r="G549" s="145" t="s">
        <v>400</v>
      </c>
      <c r="H549" s="145" t="s">
        <v>400</v>
      </c>
      <c r="I549" s="145" t="s">
        <v>400</v>
      </c>
      <c r="J549" s="145" t="s">
        <v>400</v>
      </c>
      <c r="K549" s="145" t="s">
        <v>400</v>
      </c>
      <c r="L549" s="145">
        <v>90.28</v>
      </c>
      <c r="M549" s="145">
        <v>4.5</v>
      </c>
      <c r="N549" s="145">
        <v>455</v>
      </c>
      <c r="O549" s="145">
        <v>53</v>
      </c>
      <c r="P549" s="145">
        <v>0.71</v>
      </c>
      <c r="Q549" s="145">
        <v>86</v>
      </c>
      <c r="R549" s="145" t="s">
        <v>400</v>
      </c>
      <c r="S549" s="145">
        <v>136</v>
      </c>
      <c r="T549" s="145">
        <v>280</v>
      </c>
      <c r="U549" s="145">
        <v>0.91</v>
      </c>
      <c r="V549" s="145">
        <v>6.82</v>
      </c>
      <c r="W549" s="145" t="s">
        <v>400</v>
      </c>
      <c r="X549" s="145">
        <v>0.01</v>
      </c>
      <c r="Y549" s="145">
        <v>0.06</v>
      </c>
      <c r="Z549" s="145">
        <v>0.91</v>
      </c>
      <c r="AA549" s="145">
        <v>0.2</v>
      </c>
      <c r="AB549" s="145">
        <v>27.3</v>
      </c>
      <c r="AC549" s="145">
        <v>1.33</v>
      </c>
      <c r="AD549" s="145" t="s">
        <v>400</v>
      </c>
      <c r="AE549" s="145">
        <v>4</v>
      </c>
      <c r="AF549" s="145" t="s">
        <v>400</v>
      </c>
      <c r="AG549" s="145">
        <v>0.04</v>
      </c>
      <c r="AH549" s="145" t="s">
        <v>400</v>
      </c>
      <c r="AI549" s="145" t="s">
        <v>400</v>
      </c>
      <c r="AJ549" s="145">
        <v>1.9</v>
      </c>
      <c r="AK549" s="145" t="s">
        <v>400</v>
      </c>
      <c r="AL549" s="145">
        <v>77.39</v>
      </c>
      <c r="AM549" s="145">
        <v>77.239999999999995</v>
      </c>
    </row>
    <row r="550" spans="1:39">
      <c r="A550" s="143" t="s">
        <v>1610</v>
      </c>
      <c r="B550" s="144">
        <v>100</v>
      </c>
      <c r="C550" s="145">
        <v>83.322000000000003</v>
      </c>
      <c r="D550" s="145">
        <v>3.1819999999999999</v>
      </c>
      <c r="E550" s="145">
        <v>3.403</v>
      </c>
      <c r="F550" s="145">
        <v>2.1120000000000001</v>
      </c>
      <c r="G550" s="145">
        <v>0.99399999999999999</v>
      </c>
      <c r="H550" s="145">
        <v>0.124</v>
      </c>
      <c r="I550" s="145">
        <v>7.8E-2</v>
      </c>
      <c r="J550" s="145">
        <v>4.5999999999999999E-2</v>
      </c>
      <c r="K550" s="145">
        <v>12.047000000000001</v>
      </c>
      <c r="L550" s="145">
        <v>10.38</v>
      </c>
      <c r="M550" s="145">
        <v>0.80300000000000005</v>
      </c>
      <c r="N550" s="145">
        <v>112.435</v>
      </c>
      <c r="O550" s="145">
        <v>13.05</v>
      </c>
      <c r="P550" s="145">
        <v>7.6999999999999999E-2</v>
      </c>
      <c r="Q550" s="145">
        <v>101.392</v>
      </c>
      <c r="R550" s="145">
        <v>0.24099999999999999</v>
      </c>
      <c r="S550" s="145">
        <v>60.232999999999997</v>
      </c>
      <c r="T550" s="145">
        <v>167.648</v>
      </c>
      <c r="U550" s="145">
        <v>6.5000000000000002E-2</v>
      </c>
      <c r="V550" s="145">
        <v>0.41199999999999998</v>
      </c>
      <c r="W550" s="145">
        <v>26.100999999999999</v>
      </c>
      <c r="X550" s="145">
        <v>3.6999999999999998E-2</v>
      </c>
      <c r="Y550" s="145">
        <v>0.16300000000000001</v>
      </c>
      <c r="Z550" s="146">
        <v>0.04</v>
      </c>
      <c r="AA550" s="145">
        <v>0.125</v>
      </c>
      <c r="AB550" s="145">
        <v>0.90300000000000002</v>
      </c>
      <c r="AC550" s="145">
        <v>0.878</v>
      </c>
      <c r="AD550" s="145">
        <v>0.33100000000000002</v>
      </c>
      <c r="AE550" s="145">
        <v>5.0190000000000001</v>
      </c>
      <c r="AF550" s="145">
        <v>1.004</v>
      </c>
      <c r="AG550" s="145">
        <v>0.06</v>
      </c>
      <c r="AH550" s="145">
        <v>0.121</v>
      </c>
      <c r="AI550" s="145" t="s">
        <v>400</v>
      </c>
      <c r="AJ550" s="145">
        <v>1.907</v>
      </c>
      <c r="AK550" s="145">
        <v>26.518999999999998</v>
      </c>
      <c r="AL550" s="145">
        <v>10.135999999999999</v>
      </c>
      <c r="AM550" s="145">
        <v>5.0890000000000004</v>
      </c>
    </row>
    <row r="551" spans="1:39">
      <c r="A551" s="143" t="s">
        <v>1611</v>
      </c>
      <c r="B551" s="144">
        <v>100</v>
      </c>
      <c r="C551" s="145">
        <v>373</v>
      </c>
      <c r="D551" s="145" t="s">
        <v>400</v>
      </c>
      <c r="E551" s="145">
        <v>0.02</v>
      </c>
      <c r="F551" s="145" t="s">
        <v>400</v>
      </c>
      <c r="G551" s="145" t="s">
        <v>400</v>
      </c>
      <c r="H551" s="145" t="s">
        <v>400</v>
      </c>
      <c r="I551" s="145" t="s">
        <v>400</v>
      </c>
      <c r="J551" s="145" t="s">
        <v>400</v>
      </c>
      <c r="K551" s="145" t="s">
        <v>400</v>
      </c>
      <c r="L551" s="145">
        <v>93.18</v>
      </c>
      <c r="M551" s="145" t="s">
        <v>400</v>
      </c>
      <c r="N551" s="145">
        <v>3</v>
      </c>
      <c r="O551" s="145" t="s">
        <v>400</v>
      </c>
      <c r="P551" s="145" t="s">
        <v>400</v>
      </c>
      <c r="Q551" s="145" t="s">
        <v>400</v>
      </c>
      <c r="R551" s="145">
        <v>0.01</v>
      </c>
      <c r="S551" s="145">
        <v>11</v>
      </c>
      <c r="T551" s="145">
        <v>4</v>
      </c>
      <c r="U551" s="145">
        <v>3.0000000000000001E-3</v>
      </c>
      <c r="V551" s="145">
        <v>0.04</v>
      </c>
      <c r="W551" s="145" t="s">
        <v>400</v>
      </c>
      <c r="X551" s="145">
        <v>5.0000000000000001E-3</v>
      </c>
      <c r="Y551" s="145">
        <v>1.6E-2</v>
      </c>
      <c r="Z551" s="146" t="s">
        <v>400</v>
      </c>
      <c r="AA551" s="145" t="s">
        <v>400</v>
      </c>
      <c r="AB551" s="145" t="s">
        <v>400</v>
      </c>
      <c r="AC551" s="145" t="s">
        <v>400</v>
      </c>
      <c r="AD551" s="145" t="s">
        <v>400</v>
      </c>
      <c r="AE551" s="145" t="s">
        <v>400</v>
      </c>
      <c r="AF551" s="145" t="s">
        <v>400</v>
      </c>
      <c r="AG551" s="145" t="s">
        <v>400</v>
      </c>
      <c r="AH551" s="145" t="s">
        <v>400</v>
      </c>
      <c r="AI551" s="145" t="s">
        <v>400</v>
      </c>
      <c r="AJ551" s="145">
        <v>0.6</v>
      </c>
      <c r="AK551" s="145" t="s">
        <v>400</v>
      </c>
      <c r="AL551" s="145">
        <v>84.442999999999998</v>
      </c>
      <c r="AM551" s="145">
        <v>93.18</v>
      </c>
    </row>
    <row r="552" spans="1:39">
      <c r="A552" s="143" t="s">
        <v>1612</v>
      </c>
      <c r="B552" s="144">
        <v>100</v>
      </c>
      <c r="C552" s="145">
        <v>487.87200000000001</v>
      </c>
      <c r="D552" s="145">
        <v>3.5710000000000002</v>
      </c>
      <c r="E552" s="145">
        <v>36.259</v>
      </c>
      <c r="F552" s="145">
        <v>20.832000000000001</v>
      </c>
      <c r="G552" s="145">
        <v>11.775</v>
      </c>
      <c r="H552" s="145">
        <v>1.885</v>
      </c>
      <c r="I552" s="145">
        <v>1.6930000000000001</v>
      </c>
      <c r="J552" s="145">
        <v>0.192</v>
      </c>
      <c r="K552" s="145">
        <v>32.317999999999998</v>
      </c>
      <c r="L552" s="145">
        <v>49.057000000000002</v>
      </c>
      <c r="M552" s="145">
        <v>4.5510000000000002</v>
      </c>
      <c r="N552" s="145">
        <v>34.999000000000002</v>
      </c>
      <c r="O552" s="145">
        <v>89.786000000000001</v>
      </c>
      <c r="P552" s="145">
        <v>0.61799999999999999</v>
      </c>
      <c r="Q552" s="145">
        <v>111.736</v>
      </c>
      <c r="R552" s="145">
        <v>2.42</v>
      </c>
      <c r="S552" s="145">
        <v>14.32</v>
      </c>
      <c r="T552" s="145">
        <v>293.23</v>
      </c>
      <c r="U552" s="145">
        <v>0.54200000000000004</v>
      </c>
      <c r="V552" s="145">
        <v>1.2869999999999999</v>
      </c>
      <c r="W552" s="145">
        <v>97.816999999999993</v>
      </c>
      <c r="X552" s="145">
        <v>4.5999999999999999E-2</v>
      </c>
      <c r="Y552" s="145">
        <v>8.5999999999999993E-2</v>
      </c>
      <c r="Z552" s="146">
        <v>3.1E-2</v>
      </c>
      <c r="AA552" s="145">
        <v>0.33700000000000002</v>
      </c>
      <c r="AB552" s="145">
        <v>8.1000000000000003E-2</v>
      </c>
      <c r="AC552" s="145">
        <v>1.2250000000000001</v>
      </c>
      <c r="AD552" s="145">
        <v>3.5000000000000003E-2</v>
      </c>
      <c r="AE552" s="145">
        <v>10.760999999999999</v>
      </c>
      <c r="AF552" s="145">
        <v>0.94399999999999995</v>
      </c>
      <c r="AG552" s="145">
        <v>0.51600000000000001</v>
      </c>
      <c r="AH552" s="145">
        <v>0.88200000000000001</v>
      </c>
      <c r="AI552" s="145" t="s">
        <v>400</v>
      </c>
      <c r="AJ552" s="145">
        <v>3.3719999999999999</v>
      </c>
      <c r="AK552" s="145">
        <v>99.472999999999999</v>
      </c>
      <c r="AL552" s="145">
        <v>41.345999999999997</v>
      </c>
      <c r="AM552" s="145">
        <v>40.337000000000003</v>
      </c>
    </row>
    <row r="553" spans="1:39">
      <c r="A553" s="143" t="s">
        <v>1613</v>
      </c>
      <c r="B553" s="144">
        <v>100</v>
      </c>
      <c r="C553" s="145">
        <v>278</v>
      </c>
      <c r="D553" s="145">
        <v>0.37</v>
      </c>
      <c r="E553" s="145">
        <v>7.0000000000000007E-2</v>
      </c>
      <c r="F553" s="145">
        <v>0.01</v>
      </c>
      <c r="G553" s="145">
        <v>3.7999999999999999E-2</v>
      </c>
      <c r="H553" s="145" t="s">
        <v>400</v>
      </c>
      <c r="I553" s="145" t="s">
        <v>400</v>
      </c>
      <c r="J553" s="145" t="s">
        <v>400</v>
      </c>
      <c r="K553" s="145" t="s">
        <v>400</v>
      </c>
      <c r="L553" s="145">
        <v>68.86</v>
      </c>
      <c r="M553" s="145">
        <v>1.1000000000000001</v>
      </c>
      <c r="N553" s="145">
        <v>20</v>
      </c>
      <c r="O553" s="145">
        <v>4</v>
      </c>
      <c r="P553" s="145">
        <v>0.04</v>
      </c>
      <c r="Q553" s="145">
        <v>19</v>
      </c>
      <c r="R553" s="145">
        <v>0.49</v>
      </c>
      <c r="S553" s="145">
        <v>32</v>
      </c>
      <c r="T553" s="145">
        <v>77</v>
      </c>
      <c r="U553" s="145">
        <v>0.1</v>
      </c>
      <c r="V553" s="145">
        <v>0.06</v>
      </c>
      <c r="W553" s="145" t="s">
        <v>400</v>
      </c>
      <c r="X553" s="145">
        <v>1.6E-2</v>
      </c>
      <c r="Y553" s="145">
        <v>7.5999999999999998E-2</v>
      </c>
      <c r="Z553" s="146">
        <v>0.02</v>
      </c>
      <c r="AA553" s="145">
        <v>3.5999999999999997E-2</v>
      </c>
      <c r="AB553" s="145">
        <v>8.8000000000000007</v>
      </c>
      <c r="AC553" s="145">
        <v>0.11899999999999999</v>
      </c>
      <c r="AD553" s="145" t="s">
        <v>400</v>
      </c>
      <c r="AE553" s="145">
        <v>11</v>
      </c>
      <c r="AF553" s="145" t="s">
        <v>400</v>
      </c>
      <c r="AG553" s="145">
        <v>0.12</v>
      </c>
      <c r="AH553" s="145" t="s">
        <v>400</v>
      </c>
      <c r="AI553" s="145" t="s">
        <v>400</v>
      </c>
      <c r="AJ553" s="145">
        <v>2</v>
      </c>
      <c r="AK553" s="145" t="s">
        <v>400</v>
      </c>
      <c r="AL553" s="145">
        <v>48.9</v>
      </c>
      <c r="AM553" s="145">
        <v>65.509</v>
      </c>
    </row>
    <row r="554" spans="1:39">
      <c r="A554" s="143" t="s">
        <v>1614</v>
      </c>
      <c r="B554" s="144">
        <v>100</v>
      </c>
      <c r="C554" s="145">
        <v>331.892</v>
      </c>
      <c r="D554" s="145">
        <v>5.0910000000000002</v>
      </c>
      <c r="E554" s="145">
        <v>21.870999999999999</v>
      </c>
      <c r="F554" s="145">
        <v>12.585000000000001</v>
      </c>
      <c r="G554" s="145">
        <v>6.9160000000000004</v>
      </c>
      <c r="H554" s="145">
        <v>0.94099999999999995</v>
      </c>
      <c r="I554" s="145">
        <v>0.75600000000000001</v>
      </c>
      <c r="J554" s="145">
        <v>0.13500000000000001</v>
      </c>
      <c r="K554" s="145">
        <v>159.21</v>
      </c>
      <c r="L554" s="145">
        <v>32.189</v>
      </c>
      <c r="M554" s="145">
        <v>1.1830000000000001</v>
      </c>
      <c r="N554" s="145">
        <v>49.082000000000001</v>
      </c>
      <c r="O554" s="145">
        <v>28.741</v>
      </c>
      <c r="P554" s="145">
        <v>0.17</v>
      </c>
      <c r="Q554" s="145">
        <v>97.835999999999999</v>
      </c>
      <c r="R554" s="145">
        <v>0.97199999999999998</v>
      </c>
      <c r="S554" s="145">
        <v>49.69</v>
      </c>
      <c r="T554" s="145">
        <v>214.52</v>
      </c>
      <c r="U554" s="145">
        <v>0.14799999999999999</v>
      </c>
      <c r="V554" s="145">
        <v>0.71099999999999997</v>
      </c>
      <c r="W554" s="145">
        <v>160.19399999999999</v>
      </c>
      <c r="X554" s="145">
        <v>3.9E-2</v>
      </c>
      <c r="Y554" s="145">
        <v>0.21099999999999999</v>
      </c>
      <c r="Z554" s="146">
        <v>5.0999999999999997E-2</v>
      </c>
      <c r="AA554" s="145">
        <v>0.123</v>
      </c>
      <c r="AB554" s="145">
        <v>0.253</v>
      </c>
      <c r="AC554" s="145">
        <v>1.228</v>
      </c>
      <c r="AD554" s="145">
        <v>0.379</v>
      </c>
      <c r="AE554" s="145">
        <v>15.952</v>
      </c>
      <c r="AF554" s="145">
        <v>0.98</v>
      </c>
      <c r="AG554" s="145">
        <v>0.69699999999999995</v>
      </c>
      <c r="AH554" s="145">
        <v>0.46400000000000002</v>
      </c>
      <c r="AI554" s="145" t="s">
        <v>400</v>
      </c>
      <c r="AJ554" s="145">
        <v>9.32</v>
      </c>
      <c r="AK554" s="145">
        <v>162.65899999999999</v>
      </c>
      <c r="AL554" s="145">
        <v>29.837</v>
      </c>
      <c r="AM554" s="145">
        <v>28.135999999999999</v>
      </c>
    </row>
    <row r="555" spans="1:39">
      <c r="A555" s="143" t="s">
        <v>1615</v>
      </c>
      <c r="B555" s="144">
        <v>100</v>
      </c>
      <c r="C555" s="145">
        <v>120.25</v>
      </c>
      <c r="D555" s="145">
        <v>3.04</v>
      </c>
      <c r="E555" s="145" t="s">
        <v>400</v>
      </c>
      <c r="F555" s="145" t="s">
        <v>400</v>
      </c>
      <c r="G555" s="145" t="s">
        <v>400</v>
      </c>
      <c r="H555" s="145" t="s">
        <v>400</v>
      </c>
      <c r="I555" s="145" t="s">
        <v>400</v>
      </c>
      <c r="J555" s="145" t="s">
        <v>400</v>
      </c>
      <c r="K555" s="145" t="s">
        <v>400</v>
      </c>
      <c r="L555" s="145">
        <v>27.99</v>
      </c>
      <c r="M555" s="145" t="s">
        <v>400</v>
      </c>
      <c r="N555" s="145">
        <v>4.29</v>
      </c>
      <c r="O555" s="145">
        <v>1.47</v>
      </c>
      <c r="P555" s="145" t="s">
        <v>400</v>
      </c>
      <c r="Q555" s="145">
        <v>1.38</v>
      </c>
      <c r="R555" s="145">
        <v>0.04</v>
      </c>
      <c r="S555" s="145">
        <v>9.01</v>
      </c>
      <c r="T555" s="145">
        <v>1.81</v>
      </c>
      <c r="U555" s="145">
        <v>0.08</v>
      </c>
      <c r="V555" s="145" t="s">
        <v>400</v>
      </c>
      <c r="W555" s="145" t="s">
        <v>400</v>
      </c>
      <c r="X555" s="145" t="s">
        <v>400</v>
      </c>
      <c r="Y555" s="145">
        <v>0.01</v>
      </c>
      <c r="Z555" s="145" t="s">
        <v>400</v>
      </c>
      <c r="AA555" s="145" t="s">
        <v>400</v>
      </c>
      <c r="AB555" s="145" t="s">
        <v>400</v>
      </c>
      <c r="AC555" s="145" t="s">
        <v>400</v>
      </c>
      <c r="AD555" s="145" t="s">
        <v>400</v>
      </c>
      <c r="AE555" s="145">
        <v>1.07</v>
      </c>
      <c r="AF555" s="145" t="s">
        <v>400</v>
      </c>
      <c r="AG555" s="145" t="s">
        <v>400</v>
      </c>
      <c r="AH555" s="145" t="s">
        <v>400</v>
      </c>
      <c r="AI555" s="145" t="s">
        <v>400</v>
      </c>
      <c r="AJ555" s="145">
        <v>1.57</v>
      </c>
      <c r="AK555" s="145" t="s">
        <v>400</v>
      </c>
      <c r="AL555" s="145">
        <v>27.97</v>
      </c>
      <c r="AM555" s="145">
        <v>27.99</v>
      </c>
    </row>
    <row r="556" spans="1:39">
      <c r="A556" s="143" t="s">
        <v>1616</v>
      </c>
      <c r="B556" s="144">
        <v>100</v>
      </c>
      <c r="C556" s="145">
        <v>291.3</v>
      </c>
      <c r="D556" s="145">
        <v>0.77</v>
      </c>
      <c r="E556" s="145">
        <v>0.28999999999999998</v>
      </c>
      <c r="F556" s="145">
        <v>0.08</v>
      </c>
      <c r="G556" s="145">
        <v>0.03</v>
      </c>
      <c r="H556" s="145">
        <v>0.12</v>
      </c>
      <c r="I556" s="145">
        <v>0.09</v>
      </c>
      <c r="J556" s="145">
        <v>0.03</v>
      </c>
      <c r="K556" s="145" t="s">
        <v>400</v>
      </c>
      <c r="L556" s="145">
        <v>74.28</v>
      </c>
      <c r="M556" s="145">
        <v>1.62</v>
      </c>
      <c r="N556" s="145">
        <v>6.1</v>
      </c>
      <c r="O556" s="145">
        <v>6.6</v>
      </c>
      <c r="P556" s="145">
        <v>0.05</v>
      </c>
      <c r="Q556" s="145">
        <v>12</v>
      </c>
      <c r="R556" s="145">
        <v>0.09</v>
      </c>
      <c r="S556" s="145">
        <v>0.6</v>
      </c>
      <c r="T556" s="145">
        <v>126.5</v>
      </c>
      <c r="U556" s="145">
        <v>7.0000000000000007E-2</v>
      </c>
      <c r="V556" s="145">
        <v>7.0000000000000007E-2</v>
      </c>
      <c r="W556" s="145" t="s">
        <v>400</v>
      </c>
      <c r="X556" s="145">
        <v>0.02</v>
      </c>
      <c r="Y556" s="145">
        <v>0.03</v>
      </c>
      <c r="Z556" s="145">
        <v>0.03</v>
      </c>
      <c r="AA556" s="145">
        <v>0.33</v>
      </c>
      <c r="AB556" s="145">
        <v>68.489999999999995</v>
      </c>
      <c r="AC556" s="145">
        <v>0.44</v>
      </c>
      <c r="AD556" s="145" t="s">
        <v>400</v>
      </c>
      <c r="AE556" s="145">
        <v>14.7</v>
      </c>
      <c r="AF556" s="145" t="s">
        <v>400</v>
      </c>
      <c r="AG556" s="145">
        <v>0.22</v>
      </c>
      <c r="AH556" s="145" t="s">
        <v>400</v>
      </c>
      <c r="AI556" s="145" t="s">
        <v>400</v>
      </c>
      <c r="AJ556" s="145">
        <v>0.6</v>
      </c>
      <c r="AK556" s="145">
        <v>9.35</v>
      </c>
      <c r="AL556" s="145">
        <v>72.58</v>
      </c>
      <c r="AM556" s="145">
        <v>69.989999999999995</v>
      </c>
    </row>
    <row r="557" spans="1:39">
      <c r="A557" s="143" t="s">
        <v>1617</v>
      </c>
      <c r="B557" s="144">
        <v>100</v>
      </c>
      <c r="C557" s="145">
        <v>588</v>
      </c>
      <c r="D557" s="145">
        <v>25.09</v>
      </c>
      <c r="E557" s="145">
        <v>50.39</v>
      </c>
      <c r="F557" s="145">
        <v>10.51</v>
      </c>
      <c r="G557" s="145">
        <v>24.216000000000001</v>
      </c>
      <c r="H557" s="145">
        <v>14.161</v>
      </c>
      <c r="I557" s="145">
        <v>14.083</v>
      </c>
      <c r="J557" s="145">
        <v>7.8E-2</v>
      </c>
      <c r="K557" s="145" t="s">
        <v>400</v>
      </c>
      <c r="L557" s="145">
        <v>19.559999999999999</v>
      </c>
      <c r="M557" s="145">
        <v>6</v>
      </c>
      <c r="N557" s="145">
        <v>43</v>
      </c>
      <c r="O557" s="145">
        <v>154</v>
      </c>
      <c r="P557" s="145">
        <v>1.466</v>
      </c>
      <c r="Q557" s="145">
        <v>358</v>
      </c>
      <c r="R557" s="145">
        <v>1.87</v>
      </c>
      <c r="S557" s="145">
        <v>459</v>
      </c>
      <c r="T557" s="145">
        <v>649</v>
      </c>
      <c r="U557" s="145">
        <v>0.47299999999999998</v>
      </c>
      <c r="V557" s="145">
        <v>2.91</v>
      </c>
      <c r="W557" s="145" t="s">
        <v>400</v>
      </c>
      <c r="X557" s="145">
        <v>7.2999999999999995E-2</v>
      </c>
      <c r="Y557" s="145">
        <v>0.105</v>
      </c>
      <c r="Z557" s="146">
        <v>0.54300000000000004</v>
      </c>
      <c r="AA557" s="145">
        <v>13.403</v>
      </c>
      <c r="AB557" s="145" t="s">
        <v>400</v>
      </c>
      <c r="AC557" s="145">
        <v>17.186</v>
      </c>
      <c r="AD557" s="145" t="s">
        <v>400</v>
      </c>
      <c r="AE557" s="145">
        <v>74</v>
      </c>
      <c r="AF557" s="145" t="s">
        <v>400</v>
      </c>
      <c r="AG557" s="145">
        <v>8.99</v>
      </c>
      <c r="AH557" s="145" t="s">
        <v>400</v>
      </c>
      <c r="AI557" s="145" t="s">
        <v>400</v>
      </c>
      <c r="AJ557" s="145">
        <v>5.6</v>
      </c>
      <c r="AK557" s="145" t="s">
        <v>400</v>
      </c>
      <c r="AL557" s="145">
        <v>9.2200000000000006</v>
      </c>
      <c r="AM557" s="145">
        <v>4.899</v>
      </c>
    </row>
    <row r="558" spans="1:39">
      <c r="A558" s="143" t="s">
        <v>1618</v>
      </c>
      <c r="B558" s="144">
        <v>100</v>
      </c>
      <c r="C558" s="145">
        <v>77</v>
      </c>
      <c r="D558" s="145">
        <v>0.54</v>
      </c>
      <c r="E558" s="145">
        <v>0.14000000000000001</v>
      </c>
      <c r="F558" s="145" t="s">
        <v>400</v>
      </c>
      <c r="G558" s="145">
        <v>0.02</v>
      </c>
      <c r="H558" s="145">
        <v>0.02</v>
      </c>
      <c r="I558" s="145">
        <v>0.02</v>
      </c>
      <c r="J558" s="145" t="s">
        <v>400</v>
      </c>
      <c r="K558" s="145" t="s">
        <v>400</v>
      </c>
      <c r="L558" s="145">
        <v>19.79</v>
      </c>
      <c r="M558" s="145">
        <v>2.2000000000000002</v>
      </c>
      <c r="N558" s="145">
        <v>3</v>
      </c>
      <c r="O558" s="145">
        <v>5</v>
      </c>
      <c r="P558" s="145">
        <v>0.05</v>
      </c>
      <c r="Q558" s="145">
        <v>12</v>
      </c>
      <c r="R558" s="145">
        <v>0.27</v>
      </c>
      <c r="S558" s="145">
        <v>6</v>
      </c>
      <c r="T558" s="145">
        <v>94</v>
      </c>
      <c r="U558" s="145">
        <v>0.06</v>
      </c>
      <c r="V558" s="145">
        <v>0.09</v>
      </c>
      <c r="W558" s="145" t="s">
        <v>400</v>
      </c>
      <c r="X558" s="145">
        <v>0.01</v>
      </c>
      <c r="Y558" s="145">
        <v>0.03</v>
      </c>
      <c r="Z558" s="145">
        <v>0.02</v>
      </c>
      <c r="AA558" s="145">
        <v>0.61</v>
      </c>
      <c r="AB558" s="145">
        <v>2.8</v>
      </c>
      <c r="AC558" s="145">
        <v>0.63</v>
      </c>
      <c r="AD558" s="145" t="s">
        <v>400</v>
      </c>
      <c r="AE558" s="145">
        <v>3</v>
      </c>
      <c r="AF558" s="145" t="s">
        <v>400</v>
      </c>
      <c r="AG558" s="145">
        <v>0.73</v>
      </c>
      <c r="AH558" s="145" t="s">
        <v>400</v>
      </c>
      <c r="AI558" s="145" t="s">
        <v>400</v>
      </c>
      <c r="AJ558" s="145">
        <v>0.3</v>
      </c>
      <c r="AK558" s="145">
        <v>38.17</v>
      </c>
      <c r="AL558" s="145">
        <v>16.059999999999999</v>
      </c>
      <c r="AM558" s="145">
        <v>11.21</v>
      </c>
    </row>
    <row r="559" spans="1:39">
      <c r="A559" s="143" t="s">
        <v>1619</v>
      </c>
      <c r="B559" s="144">
        <v>100</v>
      </c>
      <c r="C559" s="145">
        <v>278</v>
      </c>
      <c r="D559" s="145">
        <v>0.37</v>
      </c>
      <c r="E559" s="145">
        <v>7.0000000000000007E-2</v>
      </c>
      <c r="F559" s="145">
        <v>0.01</v>
      </c>
      <c r="G559" s="145">
        <v>0.04</v>
      </c>
      <c r="H559" s="145" t="s">
        <v>400</v>
      </c>
      <c r="I559" s="145" t="s">
        <v>400</v>
      </c>
      <c r="J559" s="145" t="s">
        <v>400</v>
      </c>
      <c r="K559" s="145" t="s">
        <v>400</v>
      </c>
      <c r="L559" s="145">
        <v>68.86</v>
      </c>
      <c r="M559" s="145">
        <v>1.1000000000000001</v>
      </c>
      <c r="N559" s="145">
        <v>20</v>
      </c>
      <c r="O559" s="145">
        <v>4</v>
      </c>
      <c r="P559" s="145">
        <v>0.04</v>
      </c>
      <c r="Q559" s="145">
        <v>19</v>
      </c>
      <c r="R559" s="145">
        <v>0.49</v>
      </c>
      <c r="S559" s="145">
        <v>32</v>
      </c>
      <c r="T559" s="145">
        <v>77</v>
      </c>
      <c r="U559" s="145">
        <v>0.1</v>
      </c>
      <c r="V559" s="145">
        <v>0.06</v>
      </c>
      <c r="W559" s="145" t="s">
        <v>400</v>
      </c>
      <c r="X559" s="145">
        <v>0.02</v>
      </c>
      <c r="Y559" s="145">
        <v>0.08</v>
      </c>
      <c r="Z559" s="145">
        <v>0.02</v>
      </c>
      <c r="AA559" s="145">
        <v>0.04</v>
      </c>
      <c r="AB559" s="145">
        <v>8.8000000000000007</v>
      </c>
      <c r="AC559" s="145">
        <v>0.12</v>
      </c>
      <c r="AD559" s="145" t="s">
        <v>400</v>
      </c>
      <c r="AE559" s="145">
        <v>11</v>
      </c>
      <c r="AF559" s="145" t="s">
        <v>400</v>
      </c>
      <c r="AG559" s="145">
        <v>0.12</v>
      </c>
      <c r="AH559" s="145" t="s">
        <v>400</v>
      </c>
      <c r="AI559" s="145" t="s">
        <v>400</v>
      </c>
      <c r="AJ559" s="145">
        <v>2</v>
      </c>
      <c r="AK559" s="145" t="s">
        <v>400</v>
      </c>
      <c r="AL559" s="145">
        <v>48.9</v>
      </c>
      <c r="AM559" s="145">
        <v>65.510000000000005</v>
      </c>
    </row>
    <row r="560" spans="1:39">
      <c r="A560" s="143" t="s">
        <v>1620</v>
      </c>
      <c r="B560" s="144">
        <v>100</v>
      </c>
      <c r="C560" s="145">
        <v>88</v>
      </c>
      <c r="D560" s="145">
        <v>0.38</v>
      </c>
      <c r="E560" s="145">
        <v>0.1</v>
      </c>
      <c r="F560" s="145">
        <v>0.02</v>
      </c>
      <c r="G560" s="145">
        <v>0.02</v>
      </c>
      <c r="H560" s="145">
        <v>0.05</v>
      </c>
      <c r="I560" s="145">
        <v>0.05</v>
      </c>
      <c r="J560" s="145" t="s">
        <v>400</v>
      </c>
      <c r="K560" s="145" t="s">
        <v>400</v>
      </c>
      <c r="L560" s="145">
        <v>22.9</v>
      </c>
      <c r="M560" s="145">
        <v>2.2000000000000002</v>
      </c>
      <c r="N560" s="145">
        <v>27</v>
      </c>
      <c r="O560" s="145">
        <v>10</v>
      </c>
      <c r="P560" s="145">
        <v>0.08</v>
      </c>
      <c r="Q560" s="145">
        <v>10</v>
      </c>
      <c r="R560" s="145">
        <v>0.28000000000000003</v>
      </c>
      <c r="S560" s="145">
        <v>1</v>
      </c>
      <c r="T560" s="145">
        <v>99</v>
      </c>
      <c r="U560" s="145">
        <v>0.11</v>
      </c>
      <c r="V560" s="145">
        <v>0.11</v>
      </c>
      <c r="W560" s="145" t="s">
        <v>400</v>
      </c>
      <c r="X560" s="145">
        <v>0.02</v>
      </c>
      <c r="Y560" s="145">
        <v>0.04</v>
      </c>
      <c r="Z560" s="145">
        <v>7.0000000000000007E-2</v>
      </c>
      <c r="AA560" s="145">
        <v>0.43</v>
      </c>
      <c r="AB560" s="145">
        <v>1</v>
      </c>
      <c r="AC560" s="145">
        <v>0.48</v>
      </c>
      <c r="AD560" s="145" t="s">
        <v>400</v>
      </c>
      <c r="AE560" s="145">
        <v>2</v>
      </c>
      <c r="AF560" s="145" t="s">
        <v>400</v>
      </c>
      <c r="AG560" s="145">
        <v>0.12</v>
      </c>
      <c r="AH560" s="145" t="s">
        <v>400</v>
      </c>
      <c r="AI560" s="145" t="s">
        <v>400</v>
      </c>
      <c r="AJ560" s="145">
        <v>0.2</v>
      </c>
      <c r="AK560" s="145">
        <v>1.83</v>
      </c>
      <c r="AL560" s="145">
        <v>16.75</v>
      </c>
      <c r="AM560" s="145">
        <v>13.3</v>
      </c>
    </row>
    <row r="561" spans="1:39">
      <c r="A561" s="143" t="s">
        <v>1621</v>
      </c>
      <c r="B561" s="144">
        <v>100</v>
      </c>
      <c r="C561" s="145">
        <v>291.3</v>
      </c>
      <c r="D561" s="145">
        <v>0.77</v>
      </c>
      <c r="E561" s="145">
        <v>0.28999999999999998</v>
      </c>
      <c r="F561" s="145">
        <v>0.08</v>
      </c>
      <c r="G561" s="145">
        <v>0.03</v>
      </c>
      <c r="H561" s="145">
        <v>0.12</v>
      </c>
      <c r="I561" s="145">
        <v>0.09</v>
      </c>
      <c r="J561" s="145">
        <v>0.03</v>
      </c>
      <c r="K561" s="145" t="s">
        <v>400</v>
      </c>
      <c r="L561" s="145">
        <v>74.28</v>
      </c>
      <c r="M561" s="145">
        <v>1.62</v>
      </c>
      <c r="N561" s="145">
        <v>6.1</v>
      </c>
      <c r="O561" s="145">
        <v>6.6</v>
      </c>
      <c r="P561" s="145">
        <v>0.05</v>
      </c>
      <c r="Q561" s="145">
        <v>12</v>
      </c>
      <c r="R561" s="145">
        <v>0.09</v>
      </c>
      <c r="S561" s="145">
        <v>0.6</v>
      </c>
      <c r="T561" s="145">
        <v>126.5</v>
      </c>
      <c r="U561" s="145">
        <v>7.0000000000000007E-2</v>
      </c>
      <c r="V561" s="145">
        <v>7.0000000000000007E-2</v>
      </c>
      <c r="W561" s="145" t="s">
        <v>400</v>
      </c>
      <c r="X561" s="145">
        <v>0.02</v>
      </c>
      <c r="Y561" s="145">
        <v>0.03</v>
      </c>
      <c r="Z561" s="145">
        <v>0.03</v>
      </c>
      <c r="AA561" s="145">
        <v>0.33</v>
      </c>
      <c r="AB561" s="145">
        <v>68.489999999999995</v>
      </c>
      <c r="AC561" s="145">
        <v>0.44</v>
      </c>
      <c r="AD561" s="145" t="s">
        <v>400</v>
      </c>
      <c r="AE561" s="145">
        <v>14.7</v>
      </c>
      <c r="AF561" s="145" t="s">
        <v>400</v>
      </c>
      <c r="AG561" s="145">
        <v>0.22</v>
      </c>
      <c r="AH561" s="145" t="s">
        <v>400</v>
      </c>
      <c r="AI561" s="145" t="s">
        <v>400</v>
      </c>
      <c r="AJ561" s="145">
        <v>0.6</v>
      </c>
      <c r="AK561" s="145">
        <v>9.35</v>
      </c>
      <c r="AL561" s="145">
        <v>72.58</v>
      </c>
      <c r="AM561" s="145">
        <v>69.989999999999995</v>
      </c>
    </row>
    <row r="562" spans="1:39">
      <c r="A562" s="143" t="s">
        <v>1622</v>
      </c>
      <c r="B562" s="144">
        <v>100</v>
      </c>
      <c r="C562" s="145">
        <v>291.3</v>
      </c>
      <c r="D562" s="145">
        <v>0.77</v>
      </c>
      <c r="E562" s="145">
        <v>0.28999999999999998</v>
      </c>
      <c r="F562" s="145">
        <v>0.08</v>
      </c>
      <c r="G562" s="145">
        <v>0.03</v>
      </c>
      <c r="H562" s="145">
        <v>0.12</v>
      </c>
      <c r="I562" s="145">
        <v>0.09</v>
      </c>
      <c r="J562" s="145">
        <v>0.03</v>
      </c>
      <c r="K562" s="145" t="s">
        <v>400</v>
      </c>
      <c r="L562" s="145">
        <v>74.28</v>
      </c>
      <c r="M562" s="145">
        <v>1.62</v>
      </c>
      <c r="N562" s="145">
        <v>6.1</v>
      </c>
      <c r="O562" s="145">
        <v>6.6</v>
      </c>
      <c r="P562" s="145">
        <v>0.05</v>
      </c>
      <c r="Q562" s="145">
        <v>12</v>
      </c>
      <c r="R562" s="145">
        <v>0.09</v>
      </c>
      <c r="S562" s="145">
        <v>0.6</v>
      </c>
      <c r="T562" s="145">
        <v>126.5</v>
      </c>
      <c r="U562" s="145">
        <v>7.0000000000000007E-2</v>
      </c>
      <c r="V562" s="145">
        <v>7.0000000000000007E-2</v>
      </c>
      <c r="W562" s="145" t="s">
        <v>400</v>
      </c>
      <c r="X562" s="145">
        <v>0.02</v>
      </c>
      <c r="Y562" s="145">
        <v>0.03</v>
      </c>
      <c r="Z562" s="145">
        <v>0.03</v>
      </c>
      <c r="AA562" s="145">
        <v>0.33</v>
      </c>
      <c r="AB562" s="145">
        <v>68.489999999999995</v>
      </c>
      <c r="AC562" s="145">
        <v>0.44</v>
      </c>
      <c r="AD562" s="145" t="s">
        <v>400</v>
      </c>
      <c r="AE562" s="145">
        <v>14.7</v>
      </c>
      <c r="AF562" s="145" t="s">
        <v>400</v>
      </c>
      <c r="AG562" s="145">
        <v>0.22</v>
      </c>
      <c r="AH562" s="145" t="s">
        <v>400</v>
      </c>
      <c r="AI562" s="145" t="s">
        <v>400</v>
      </c>
      <c r="AJ562" s="145">
        <v>0.6</v>
      </c>
      <c r="AK562" s="145">
        <v>9.35</v>
      </c>
      <c r="AL562" s="145">
        <v>72.58</v>
      </c>
      <c r="AM562" s="145">
        <v>69.989999999999995</v>
      </c>
    </row>
    <row r="563" spans="1:39">
      <c r="A563" s="143" t="s">
        <v>1623</v>
      </c>
      <c r="B563" s="144">
        <v>100</v>
      </c>
      <c r="C563" s="145">
        <v>291.3</v>
      </c>
      <c r="D563" s="145">
        <v>0.77</v>
      </c>
      <c r="E563" s="145">
        <v>0.28999999999999998</v>
      </c>
      <c r="F563" s="145">
        <v>0.08</v>
      </c>
      <c r="G563" s="145">
        <v>0.03</v>
      </c>
      <c r="H563" s="145">
        <v>0.12</v>
      </c>
      <c r="I563" s="145">
        <v>0.09</v>
      </c>
      <c r="J563" s="145">
        <v>0.03</v>
      </c>
      <c r="K563" s="145" t="s">
        <v>400</v>
      </c>
      <c r="L563" s="145">
        <v>74.28</v>
      </c>
      <c r="M563" s="145">
        <v>1.62</v>
      </c>
      <c r="N563" s="145">
        <v>6.1</v>
      </c>
      <c r="O563" s="145">
        <v>6.6</v>
      </c>
      <c r="P563" s="145">
        <v>0.05</v>
      </c>
      <c r="Q563" s="145">
        <v>12</v>
      </c>
      <c r="R563" s="145">
        <v>0.09</v>
      </c>
      <c r="S563" s="145">
        <v>0.6</v>
      </c>
      <c r="T563" s="145">
        <v>126.5</v>
      </c>
      <c r="U563" s="145">
        <v>7.0000000000000007E-2</v>
      </c>
      <c r="V563" s="145">
        <v>7.0000000000000007E-2</v>
      </c>
      <c r="W563" s="145" t="s">
        <v>400</v>
      </c>
      <c r="X563" s="145">
        <v>0.02</v>
      </c>
      <c r="Y563" s="145">
        <v>0.03</v>
      </c>
      <c r="Z563" s="145">
        <v>0.03</v>
      </c>
      <c r="AA563" s="145">
        <v>0.33</v>
      </c>
      <c r="AB563" s="145">
        <v>68.489999999999995</v>
      </c>
      <c r="AC563" s="145">
        <v>0.44</v>
      </c>
      <c r="AD563" s="145" t="s">
        <v>400</v>
      </c>
      <c r="AE563" s="145">
        <v>14.7</v>
      </c>
      <c r="AF563" s="145" t="s">
        <v>400</v>
      </c>
      <c r="AG563" s="145">
        <v>0.22</v>
      </c>
      <c r="AH563" s="145" t="s">
        <v>400</v>
      </c>
      <c r="AI563" s="145" t="s">
        <v>400</v>
      </c>
      <c r="AJ563" s="145">
        <v>0.6</v>
      </c>
      <c r="AK563" s="145">
        <v>9.35</v>
      </c>
      <c r="AL563" s="145">
        <v>72.58</v>
      </c>
      <c r="AM563" s="145">
        <v>69.989999999999995</v>
      </c>
    </row>
    <row r="564" spans="1:39">
      <c r="A564" s="143" t="s">
        <v>1624</v>
      </c>
      <c r="B564" s="144">
        <v>100</v>
      </c>
      <c r="C564" s="145">
        <v>77</v>
      </c>
      <c r="D564" s="145">
        <v>0.54</v>
      </c>
      <c r="E564" s="145">
        <v>0.14000000000000001</v>
      </c>
      <c r="F564" s="145" t="s">
        <v>400</v>
      </c>
      <c r="G564" s="145">
        <v>0.02</v>
      </c>
      <c r="H564" s="145">
        <v>0.02</v>
      </c>
      <c r="I564" s="145">
        <v>0.02</v>
      </c>
      <c r="J564" s="145" t="s">
        <v>400</v>
      </c>
      <c r="K564" s="145" t="s">
        <v>400</v>
      </c>
      <c r="L564" s="145">
        <v>19.79</v>
      </c>
      <c r="M564" s="145">
        <v>2.2000000000000002</v>
      </c>
      <c r="N564" s="145">
        <v>3</v>
      </c>
      <c r="O564" s="145">
        <v>5</v>
      </c>
      <c r="P564" s="145">
        <v>0.05</v>
      </c>
      <c r="Q564" s="145">
        <v>12</v>
      </c>
      <c r="R564" s="145">
        <v>0.27</v>
      </c>
      <c r="S564" s="145">
        <v>6</v>
      </c>
      <c r="T564" s="145">
        <v>94</v>
      </c>
      <c r="U564" s="145">
        <v>0.06</v>
      </c>
      <c r="V564" s="145">
        <v>0.09</v>
      </c>
      <c r="W564" s="145" t="s">
        <v>400</v>
      </c>
      <c r="X564" s="145">
        <v>0.01</v>
      </c>
      <c r="Y564" s="145">
        <v>0.03</v>
      </c>
      <c r="Z564" s="145">
        <v>0.02</v>
      </c>
      <c r="AA564" s="145">
        <v>0.61</v>
      </c>
      <c r="AB564" s="145">
        <v>2.8</v>
      </c>
      <c r="AC564" s="145">
        <v>0.63</v>
      </c>
      <c r="AD564" s="145" t="s">
        <v>400</v>
      </c>
      <c r="AE564" s="145">
        <v>3</v>
      </c>
      <c r="AF564" s="145" t="s">
        <v>400</v>
      </c>
      <c r="AG564" s="145">
        <v>0.73</v>
      </c>
      <c r="AH564" s="145" t="s">
        <v>400</v>
      </c>
      <c r="AI564" s="145" t="s">
        <v>400</v>
      </c>
      <c r="AJ564" s="145">
        <v>0.3</v>
      </c>
      <c r="AK564" s="145">
        <v>38.17</v>
      </c>
      <c r="AL564" s="145">
        <v>16.059999999999999</v>
      </c>
      <c r="AM564" s="145">
        <v>11.21</v>
      </c>
    </row>
    <row r="565" spans="1:39">
      <c r="A565" s="143" t="s">
        <v>1625</v>
      </c>
      <c r="B565" s="144">
        <v>100</v>
      </c>
      <c r="C565" s="145">
        <v>291.3</v>
      </c>
      <c r="D565" s="145">
        <v>0.77</v>
      </c>
      <c r="E565" s="145">
        <v>0.28999999999999998</v>
      </c>
      <c r="F565" s="145">
        <v>0.08</v>
      </c>
      <c r="G565" s="145">
        <v>0.03</v>
      </c>
      <c r="H565" s="145">
        <v>0.12</v>
      </c>
      <c r="I565" s="145">
        <v>0.09</v>
      </c>
      <c r="J565" s="145">
        <v>0.03</v>
      </c>
      <c r="K565" s="145" t="s">
        <v>400</v>
      </c>
      <c r="L565" s="145">
        <v>74.28</v>
      </c>
      <c r="M565" s="145">
        <v>1.62</v>
      </c>
      <c r="N565" s="145">
        <v>6.1</v>
      </c>
      <c r="O565" s="145">
        <v>6.6</v>
      </c>
      <c r="P565" s="145">
        <v>0.05</v>
      </c>
      <c r="Q565" s="145">
        <v>12</v>
      </c>
      <c r="R565" s="145">
        <v>0.09</v>
      </c>
      <c r="S565" s="145">
        <v>0.6</v>
      </c>
      <c r="T565" s="145">
        <v>126.5</v>
      </c>
      <c r="U565" s="145">
        <v>7.0000000000000007E-2</v>
      </c>
      <c r="V565" s="145">
        <v>7.0000000000000007E-2</v>
      </c>
      <c r="W565" s="145" t="s">
        <v>400</v>
      </c>
      <c r="X565" s="145">
        <v>0.02</v>
      </c>
      <c r="Y565" s="145">
        <v>0.03</v>
      </c>
      <c r="Z565" s="145">
        <v>0.03</v>
      </c>
      <c r="AA565" s="145">
        <v>0.33</v>
      </c>
      <c r="AB565" s="145">
        <v>68.489999999999995</v>
      </c>
      <c r="AC565" s="145">
        <v>0.44</v>
      </c>
      <c r="AD565" s="145" t="s">
        <v>400</v>
      </c>
      <c r="AE565" s="145">
        <v>14.7</v>
      </c>
      <c r="AF565" s="145" t="s">
        <v>400</v>
      </c>
      <c r="AG565" s="145">
        <v>0.22</v>
      </c>
      <c r="AH565" s="145" t="s">
        <v>400</v>
      </c>
      <c r="AI565" s="145" t="s">
        <v>400</v>
      </c>
      <c r="AJ565" s="145">
        <v>0.6</v>
      </c>
      <c r="AK565" s="145">
        <v>9.35</v>
      </c>
      <c r="AL565" s="145">
        <v>72.58</v>
      </c>
      <c r="AM565" s="145">
        <v>69.989999999999995</v>
      </c>
    </row>
    <row r="566" spans="1:39">
      <c r="A566" s="143" t="s">
        <v>1626</v>
      </c>
      <c r="B566" s="144">
        <v>100</v>
      </c>
      <c r="C566" s="145">
        <v>296</v>
      </c>
      <c r="D566" s="145" t="s">
        <v>400</v>
      </c>
      <c r="E566" s="145" t="s">
        <v>400</v>
      </c>
      <c r="F566" s="145" t="s">
        <v>400</v>
      </c>
      <c r="G566" s="145" t="s">
        <v>400</v>
      </c>
      <c r="H566" s="145" t="s">
        <v>400</v>
      </c>
      <c r="I566" s="145" t="s">
        <v>400</v>
      </c>
      <c r="J566" s="145" t="s">
        <v>400</v>
      </c>
      <c r="K566" s="145" t="s">
        <v>400</v>
      </c>
      <c r="L566" s="145">
        <v>76.599999999999994</v>
      </c>
      <c r="M566" s="145" t="s">
        <v>400</v>
      </c>
      <c r="N566" s="145">
        <v>102</v>
      </c>
      <c r="O566" s="145">
        <v>115</v>
      </c>
      <c r="P566" s="145">
        <v>2.62</v>
      </c>
      <c r="Q566" s="145">
        <v>74</v>
      </c>
      <c r="R566" s="145">
        <v>5.4</v>
      </c>
      <c r="S566" s="145">
        <v>4</v>
      </c>
      <c r="T566" s="145">
        <v>395</v>
      </c>
      <c r="U566" s="145">
        <v>0.84</v>
      </c>
      <c r="V566" s="145">
        <v>0.3</v>
      </c>
      <c r="W566" s="145" t="s">
        <v>400</v>
      </c>
      <c r="X566" s="145" t="s">
        <v>400</v>
      </c>
      <c r="Y566" s="145">
        <v>0.05</v>
      </c>
      <c r="Z566" s="145">
        <v>0.2</v>
      </c>
      <c r="AA566" s="145" t="s">
        <v>400</v>
      </c>
      <c r="AB566" s="145" t="s">
        <v>400</v>
      </c>
      <c r="AC566" s="145" t="s">
        <v>400</v>
      </c>
      <c r="AD566" s="145" t="s">
        <v>400</v>
      </c>
      <c r="AE566" s="145" t="s">
        <v>400</v>
      </c>
      <c r="AF566" s="145" t="s">
        <v>400</v>
      </c>
      <c r="AG566" s="145" t="s">
        <v>400</v>
      </c>
      <c r="AH566" s="145" t="s">
        <v>400</v>
      </c>
      <c r="AI566" s="145" t="s">
        <v>400</v>
      </c>
      <c r="AJ566" s="145" t="s">
        <v>400</v>
      </c>
      <c r="AK566" s="145" t="s">
        <v>400</v>
      </c>
      <c r="AL566" s="145">
        <v>42.2</v>
      </c>
      <c r="AM566" s="145">
        <v>60.8</v>
      </c>
    </row>
    <row r="567" spans="1:39">
      <c r="A567" s="143" t="s">
        <v>1627</v>
      </c>
      <c r="B567" s="144">
        <v>100</v>
      </c>
      <c r="C567" s="145">
        <v>304</v>
      </c>
      <c r="D567" s="145">
        <v>0.3</v>
      </c>
      <c r="E567" s="145" t="s">
        <v>400</v>
      </c>
      <c r="F567" s="145" t="s">
        <v>400</v>
      </c>
      <c r="G567" s="145" t="s">
        <v>400</v>
      </c>
      <c r="H567" s="145" t="s">
        <v>400</v>
      </c>
      <c r="I567" s="145" t="s">
        <v>400</v>
      </c>
      <c r="J567" s="145" t="s">
        <v>400</v>
      </c>
      <c r="K567" s="145" t="s">
        <v>400</v>
      </c>
      <c r="L567" s="145">
        <v>82.4</v>
      </c>
      <c r="M567" s="145">
        <v>0.2</v>
      </c>
      <c r="N567" s="145">
        <v>6</v>
      </c>
      <c r="O567" s="145">
        <v>2</v>
      </c>
      <c r="P567" s="145">
        <v>0.08</v>
      </c>
      <c r="Q567" s="145">
        <v>4</v>
      </c>
      <c r="R567" s="145">
        <v>0.42</v>
      </c>
      <c r="S567" s="145">
        <v>4</v>
      </c>
      <c r="T567" s="145">
        <v>52</v>
      </c>
      <c r="U567" s="145">
        <v>0.04</v>
      </c>
      <c r="V567" s="145">
        <v>0.22</v>
      </c>
      <c r="W567" s="145" t="s">
        <v>400</v>
      </c>
      <c r="X567" s="145" t="s">
        <v>400</v>
      </c>
      <c r="Y567" s="145">
        <v>0.04</v>
      </c>
      <c r="Z567" s="145">
        <v>0.02</v>
      </c>
      <c r="AA567" s="145">
        <v>0.12</v>
      </c>
      <c r="AB567" s="145">
        <v>0.5</v>
      </c>
      <c r="AC567" s="145">
        <v>0.19</v>
      </c>
      <c r="AD567" s="145" t="s">
        <v>400</v>
      </c>
      <c r="AE567" s="145">
        <v>2</v>
      </c>
      <c r="AF567" s="145" t="s">
        <v>400</v>
      </c>
      <c r="AG567" s="145" t="s">
        <v>400</v>
      </c>
      <c r="AH567" s="145" t="s">
        <v>400</v>
      </c>
      <c r="AI567" s="145" t="s">
        <v>400</v>
      </c>
      <c r="AJ567" s="145">
        <v>0.8</v>
      </c>
      <c r="AK567" s="145" t="s">
        <v>400</v>
      </c>
      <c r="AL567" s="145">
        <v>82.13</v>
      </c>
      <c r="AM567" s="145">
        <v>82.4</v>
      </c>
    </row>
    <row r="568" spans="1:39">
      <c r="A568" s="143" t="s">
        <v>1628</v>
      </c>
      <c r="B568" s="144">
        <v>100</v>
      </c>
      <c r="C568" s="145">
        <v>278</v>
      </c>
      <c r="D568" s="145">
        <v>0.37</v>
      </c>
      <c r="E568" s="145">
        <v>7.0000000000000007E-2</v>
      </c>
      <c r="F568" s="145">
        <v>0.01</v>
      </c>
      <c r="G568" s="145">
        <v>3.7999999999999999E-2</v>
      </c>
      <c r="H568" s="145" t="s">
        <v>400</v>
      </c>
      <c r="I568" s="145" t="s">
        <v>400</v>
      </c>
      <c r="J568" s="145" t="s">
        <v>400</v>
      </c>
      <c r="K568" s="145" t="s">
        <v>400</v>
      </c>
      <c r="L568" s="145">
        <v>68.86</v>
      </c>
      <c r="M568" s="145">
        <v>1.1000000000000001</v>
      </c>
      <c r="N568" s="145">
        <v>20</v>
      </c>
      <c r="O568" s="145">
        <v>4</v>
      </c>
      <c r="P568" s="145">
        <v>0.04</v>
      </c>
      <c r="Q568" s="145">
        <v>19</v>
      </c>
      <c r="R568" s="145">
        <v>0.49</v>
      </c>
      <c r="S568" s="145">
        <v>32</v>
      </c>
      <c r="T568" s="145">
        <v>77</v>
      </c>
      <c r="U568" s="145">
        <v>0.1</v>
      </c>
      <c r="V568" s="145">
        <v>0.06</v>
      </c>
      <c r="W568" s="145" t="s">
        <v>400</v>
      </c>
      <c r="X568" s="145">
        <v>1.6E-2</v>
      </c>
      <c r="Y568" s="145">
        <v>7.5999999999999998E-2</v>
      </c>
      <c r="Z568" s="146">
        <v>0.02</v>
      </c>
      <c r="AA568" s="145">
        <v>3.5999999999999997E-2</v>
      </c>
      <c r="AB568" s="145">
        <v>8.8000000000000007</v>
      </c>
      <c r="AC568" s="145">
        <v>0.11899999999999999</v>
      </c>
      <c r="AD568" s="145" t="s">
        <v>400</v>
      </c>
      <c r="AE568" s="145">
        <v>11</v>
      </c>
      <c r="AF568" s="145" t="s">
        <v>400</v>
      </c>
      <c r="AG568" s="145">
        <v>0.12</v>
      </c>
      <c r="AH568" s="145" t="s">
        <v>400</v>
      </c>
      <c r="AI568" s="145" t="s">
        <v>400</v>
      </c>
      <c r="AJ568" s="145">
        <v>2</v>
      </c>
      <c r="AK568" s="145" t="s">
        <v>400</v>
      </c>
      <c r="AL568" s="145">
        <v>48.9</v>
      </c>
      <c r="AM568" s="145">
        <v>65.509</v>
      </c>
    </row>
    <row r="569" spans="1:39">
      <c r="A569" s="143" t="s">
        <v>1629</v>
      </c>
      <c r="B569" s="144">
        <v>100</v>
      </c>
      <c r="C569" s="145" t="s">
        <v>400</v>
      </c>
      <c r="D569" s="145" t="s">
        <v>400</v>
      </c>
      <c r="E569" s="145" t="s">
        <v>400</v>
      </c>
      <c r="F569" s="145" t="s">
        <v>400</v>
      </c>
      <c r="G569" s="145" t="s">
        <v>400</v>
      </c>
      <c r="H569" s="145" t="s">
        <v>400</v>
      </c>
      <c r="I569" s="145" t="s">
        <v>400</v>
      </c>
      <c r="J569" s="145" t="s">
        <v>400</v>
      </c>
      <c r="K569" s="145" t="s">
        <v>400</v>
      </c>
      <c r="L569" s="145" t="s">
        <v>400</v>
      </c>
      <c r="M569" s="145" t="s">
        <v>400</v>
      </c>
      <c r="N569" s="145" t="s">
        <v>400</v>
      </c>
      <c r="O569" s="145" t="s">
        <v>400</v>
      </c>
      <c r="P569" s="145" t="s">
        <v>400</v>
      </c>
      <c r="Q569" s="145" t="s">
        <v>400</v>
      </c>
      <c r="R569" s="145" t="s">
        <v>400</v>
      </c>
      <c r="S569" s="145">
        <v>240</v>
      </c>
      <c r="T569" s="145" t="s">
        <v>400</v>
      </c>
      <c r="U569" s="145" t="s">
        <v>400</v>
      </c>
      <c r="V569" s="145" t="s">
        <v>400</v>
      </c>
      <c r="W569" s="145" t="s">
        <v>400</v>
      </c>
      <c r="X569" s="145" t="s">
        <v>400</v>
      </c>
      <c r="Y569" s="145" t="s">
        <v>400</v>
      </c>
      <c r="Z569" s="146" t="s">
        <v>400</v>
      </c>
      <c r="AA569" s="145" t="s">
        <v>400</v>
      </c>
      <c r="AB569" s="145" t="s">
        <v>400</v>
      </c>
      <c r="AC569" s="145" t="s">
        <v>400</v>
      </c>
      <c r="AD569" s="145" t="s">
        <v>400</v>
      </c>
      <c r="AE569" s="145" t="s">
        <v>400</v>
      </c>
      <c r="AF569" s="145" t="s">
        <v>400</v>
      </c>
      <c r="AG569" s="145" t="s">
        <v>400</v>
      </c>
      <c r="AH569" s="145" t="s">
        <v>400</v>
      </c>
      <c r="AI569" s="145" t="s">
        <v>400</v>
      </c>
      <c r="AJ569" s="145" t="s">
        <v>400</v>
      </c>
      <c r="AK569" s="145" t="s">
        <v>400</v>
      </c>
      <c r="AL569" s="145" t="s">
        <v>400</v>
      </c>
      <c r="AM569" s="145" t="s">
        <v>400</v>
      </c>
    </row>
    <row r="570" spans="1:39">
      <c r="A570" s="143" t="s">
        <v>1630</v>
      </c>
      <c r="B570" s="144">
        <v>100</v>
      </c>
      <c r="C570" s="145">
        <v>358.25599999999997</v>
      </c>
      <c r="D570" s="145">
        <v>6.2060000000000004</v>
      </c>
      <c r="E570" s="145">
        <v>9.7000000000000003E-2</v>
      </c>
      <c r="F570" s="145" t="s">
        <v>400</v>
      </c>
      <c r="G570" s="145" t="s">
        <v>400</v>
      </c>
      <c r="H570" s="145" t="s">
        <v>400</v>
      </c>
      <c r="I570" s="145" t="s">
        <v>400</v>
      </c>
      <c r="J570" s="145" t="s">
        <v>400</v>
      </c>
      <c r="K570" s="145" t="s">
        <v>400</v>
      </c>
      <c r="L570" s="145">
        <v>85.888000000000005</v>
      </c>
      <c r="M570" s="145">
        <v>1E-3</v>
      </c>
      <c r="N570" s="145">
        <v>4.8719999999999999</v>
      </c>
      <c r="O570" s="145">
        <v>6.2709999999999999</v>
      </c>
      <c r="P570" s="145">
        <v>7.0000000000000001E-3</v>
      </c>
      <c r="Q570" s="145">
        <v>8.5609999999999999</v>
      </c>
      <c r="R570" s="145">
        <v>7.0000000000000007E-2</v>
      </c>
      <c r="S570" s="145">
        <v>94.727999999999994</v>
      </c>
      <c r="T570" s="145">
        <v>164.816</v>
      </c>
      <c r="U570" s="145">
        <v>1.4E-2</v>
      </c>
      <c r="V570" s="145">
        <v>1.9E-2</v>
      </c>
      <c r="W570" s="145" t="s">
        <v>400</v>
      </c>
      <c r="X570" s="145">
        <v>2E-3</v>
      </c>
      <c r="Y570" s="145">
        <v>0.26600000000000001</v>
      </c>
      <c r="Z570" s="146">
        <v>3.0000000000000001E-3</v>
      </c>
      <c r="AA570" s="145">
        <v>0.06</v>
      </c>
      <c r="AB570" s="145" t="s">
        <v>400</v>
      </c>
      <c r="AC570" s="145">
        <v>1.246</v>
      </c>
      <c r="AD570" s="145">
        <v>5.0999999999999997E-2</v>
      </c>
      <c r="AE570" s="145">
        <v>2.2770000000000001</v>
      </c>
      <c r="AF570" s="145" t="s">
        <v>400</v>
      </c>
      <c r="AG570" s="145" t="s">
        <v>400</v>
      </c>
      <c r="AH570" s="145" t="s">
        <v>400</v>
      </c>
      <c r="AI570" s="145" t="s">
        <v>400</v>
      </c>
      <c r="AJ570" s="145">
        <v>11.898999999999999</v>
      </c>
      <c r="AK570" s="145" t="s">
        <v>400</v>
      </c>
      <c r="AL570" s="145">
        <v>85.543000000000006</v>
      </c>
      <c r="AM570" s="145">
        <v>85.21</v>
      </c>
    </row>
    <row r="571" spans="1:39">
      <c r="A571" s="143" t="s">
        <v>1631</v>
      </c>
      <c r="B571" s="144">
        <v>100</v>
      </c>
      <c r="C571" s="145">
        <v>296</v>
      </c>
      <c r="D571" s="145" t="s">
        <v>400</v>
      </c>
      <c r="E571" s="145" t="s">
        <v>400</v>
      </c>
      <c r="F571" s="145" t="s">
        <v>400</v>
      </c>
      <c r="G571" s="145" t="s">
        <v>400</v>
      </c>
      <c r="H571" s="145" t="s">
        <v>400</v>
      </c>
      <c r="I571" s="145" t="s">
        <v>400</v>
      </c>
      <c r="J571" s="145" t="s">
        <v>400</v>
      </c>
      <c r="K571" s="145" t="s">
        <v>400</v>
      </c>
      <c r="L571" s="145">
        <v>76.599999999999994</v>
      </c>
      <c r="M571" s="145" t="s">
        <v>400</v>
      </c>
      <c r="N571" s="145">
        <v>102</v>
      </c>
      <c r="O571" s="145">
        <v>115</v>
      </c>
      <c r="P571" s="145">
        <v>2.62</v>
      </c>
      <c r="Q571" s="145">
        <v>74</v>
      </c>
      <c r="R571" s="145">
        <v>5.4</v>
      </c>
      <c r="S571" s="145">
        <v>4</v>
      </c>
      <c r="T571" s="145">
        <v>395</v>
      </c>
      <c r="U571" s="145">
        <v>0.84</v>
      </c>
      <c r="V571" s="145">
        <v>0.3</v>
      </c>
      <c r="W571" s="145" t="s">
        <v>400</v>
      </c>
      <c r="X571" s="145" t="s">
        <v>400</v>
      </c>
      <c r="Y571" s="145">
        <v>0.05</v>
      </c>
      <c r="Z571" s="145">
        <v>0.2</v>
      </c>
      <c r="AA571" s="145" t="s">
        <v>400</v>
      </c>
      <c r="AB571" s="145" t="s">
        <v>400</v>
      </c>
      <c r="AC571" s="145" t="s">
        <v>400</v>
      </c>
      <c r="AD571" s="145" t="s">
        <v>400</v>
      </c>
      <c r="AE571" s="145" t="s">
        <v>400</v>
      </c>
      <c r="AF571" s="145" t="s">
        <v>400</v>
      </c>
      <c r="AG571" s="145" t="s">
        <v>400</v>
      </c>
      <c r="AH571" s="145" t="s">
        <v>400</v>
      </c>
      <c r="AI571" s="145" t="s">
        <v>400</v>
      </c>
      <c r="AJ571" s="145" t="s">
        <v>400</v>
      </c>
      <c r="AK571" s="145" t="s">
        <v>400</v>
      </c>
      <c r="AL571" s="145">
        <v>42.2</v>
      </c>
      <c r="AM571" s="145">
        <v>60.8</v>
      </c>
    </row>
    <row r="572" spans="1:39">
      <c r="A572" s="143" t="s">
        <v>1632</v>
      </c>
      <c r="B572" s="144">
        <v>100</v>
      </c>
      <c r="C572" s="145">
        <v>240</v>
      </c>
      <c r="D572" s="145">
        <v>2.1800000000000002</v>
      </c>
      <c r="E572" s="145">
        <v>0.38</v>
      </c>
      <c r="F572" s="145">
        <v>8.7999999999999995E-2</v>
      </c>
      <c r="G572" s="145">
        <v>5.2999999999999999E-2</v>
      </c>
      <c r="H572" s="145">
        <v>6.2E-2</v>
      </c>
      <c r="I572" s="145">
        <v>4.3999999999999997E-2</v>
      </c>
      <c r="J572" s="145">
        <v>1.7000000000000001E-2</v>
      </c>
      <c r="K572" s="145" t="s">
        <v>400</v>
      </c>
      <c r="L572" s="145">
        <v>63.88</v>
      </c>
      <c r="M572" s="145">
        <v>7.1</v>
      </c>
      <c r="N572" s="145">
        <v>43</v>
      </c>
      <c r="O572" s="145">
        <v>41</v>
      </c>
      <c r="P572" s="145">
        <v>0.29899999999999999</v>
      </c>
      <c r="Q572" s="145">
        <v>69</v>
      </c>
      <c r="R572" s="145">
        <v>0.93</v>
      </c>
      <c r="S572" s="145">
        <v>2</v>
      </c>
      <c r="T572" s="145">
        <v>732</v>
      </c>
      <c r="U572" s="145">
        <v>0.28100000000000003</v>
      </c>
      <c r="V572" s="145">
        <v>0.44</v>
      </c>
      <c r="W572" s="145" t="s">
        <v>400</v>
      </c>
      <c r="X572" s="145">
        <v>5.0999999999999997E-2</v>
      </c>
      <c r="Y572" s="145">
        <v>0.186</v>
      </c>
      <c r="Z572" s="146">
        <v>0.20499999999999999</v>
      </c>
      <c r="AA572" s="145">
        <v>1.8819999999999999</v>
      </c>
      <c r="AB572" s="145">
        <v>0.6</v>
      </c>
      <c r="AC572" s="145">
        <v>2.2989999999999999</v>
      </c>
      <c r="AD572" s="145" t="s">
        <v>400</v>
      </c>
      <c r="AE572" s="145">
        <v>4</v>
      </c>
      <c r="AF572" s="145" t="s">
        <v>400</v>
      </c>
      <c r="AG572" s="145">
        <v>0.37</v>
      </c>
      <c r="AH572" s="145" t="s">
        <v>400</v>
      </c>
      <c r="AI572" s="145" t="s">
        <v>400</v>
      </c>
      <c r="AJ572" s="145">
        <v>0.3</v>
      </c>
      <c r="AK572" s="145">
        <v>39.082999999999998</v>
      </c>
      <c r="AL572" s="145">
        <v>38.119999999999997</v>
      </c>
      <c r="AM572" s="145" t="s">
        <v>400</v>
      </c>
    </row>
    <row r="573" spans="1:39">
      <c r="A573" s="143" t="s">
        <v>1633</v>
      </c>
      <c r="B573" s="144">
        <v>100</v>
      </c>
      <c r="C573" s="145">
        <v>299</v>
      </c>
      <c r="D573" s="145">
        <v>3.07</v>
      </c>
      <c r="E573" s="145">
        <v>0.46</v>
      </c>
      <c r="F573" s="145">
        <v>5.8000000000000003E-2</v>
      </c>
      <c r="G573" s="145">
        <v>5.0999999999999997E-2</v>
      </c>
      <c r="H573" s="145">
        <v>3.6999999999999998E-2</v>
      </c>
      <c r="I573" s="145">
        <v>2.8000000000000001E-2</v>
      </c>
      <c r="J573" s="145">
        <v>8.0000000000000002E-3</v>
      </c>
      <c r="K573" s="145" t="s">
        <v>400</v>
      </c>
      <c r="L573" s="145">
        <v>79.180000000000007</v>
      </c>
      <c r="M573" s="145">
        <v>3.7</v>
      </c>
      <c r="N573" s="145">
        <v>50</v>
      </c>
      <c r="O573" s="145">
        <v>32</v>
      </c>
      <c r="P573" s="145">
        <v>0.29899999999999999</v>
      </c>
      <c r="Q573" s="145">
        <v>101</v>
      </c>
      <c r="R573" s="145">
        <v>1.88</v>
      </c>
      <c r="S573" s="145">
        <v>11</v>
      </c>
      <c r="T573" s="145">
        <v>749</v>
      </c>
      <c r="U573" s="145">
        <v>0.318</v>
      </c>
      <c r="V573" s="145">
        <v>0.22</v>
      </c>
      <c r="W573" s="145" t="s">
        <v>400</v>
      </c>
      <c r="X573" s="145">
        <v>0.106</v>
      </c>
      <c r="Y573" s="145">
        <v>0.125</v>
      </c>
      <c r="Z573" s="146">
        <v>0.17399999999999999</v>
      </c>
      <c r="AA573" s="145">
        <v>0.76600000000000001</v>
      </c>
      <c r="AB573" s="145">
        <v>2.2999999999999998</v>
      </c>
      <c r="AC573" s="145">
        <v>1.599</v>
      </c>
      <c r="AD573" s="145" t="s">
        <v>400</v>
      </c>
      <c r="AE573" s="145">
        <v>5</v>
      </c>
      <c r="AF573" s="145" t="s">
        <v>400</v>
      </c>
      <c r="AG573" s="145">
        <v>0.11</v>
      </c>
      <c r="AH573" s="145" t="s">
        <v>400</v>
      </c>
      <c r="AI573" s="145" t="s">
        <v>400</v>
      </c>
      <c r="AJ573" s="145">
        <v>0.6</v>
      </c>
      <c r="AK573" s="145" t="s">
        <v>400</v>
      </c>
      <c r="AL573" s="145">
        <v>57.88</v>
      </c>
      <c r="AM573" s="145" t="s">
        <v>400</v>
      </c>
    </row>
    <row r="574" spans="1:39">
      <c r="A574" s="143" t="s">
        <v>1634</v>
      </c>
      <c r="B574" s="144">
        <v>100</v>
      </c>
      <c r="C574" s="145">
        <v>131.148</v>
      </c>
      <c r="D574" s="145">
        <v>5.5839999999999996</v>
      </c>
      <c r="E574" s="145">
        <v>5.0659999999999998</v>
      </c>
      <c r="F574" s="145">
        <v>2.1360000000000001</v>
      </c>
      <c r="G574" s="145">
        <v>1.655</v>
      </c>
      <c r="H574" s="145">
        <v>0.51600000000000001</v>
      </c>
      <c r="I574" s="145">
        <v>0.40500000000000003</v>
      </c>
      <c r="J574" s="145">
        <v>0.06</v>
      </c>
      <c r="K574" s="145">
        <v>122.514</v>
      </c>
      <c r="L574" s="145">
        <v>15.439</v>
      </c>
      <c r="M574" s="145" t="s">
        <v>400</v>
      </c>
      <c r="N574" s="145">
        <v>89.201999999999998</v>
      </c>
      <c r="O574" s="145">
        <v>9.4939999999999998</v>
      </c>
      <c r="P574" s="145">
        <v>1.0999999999999999E-2</v>
      </c>
      <c r="Q574" s="145">
        <v>107.709</v>
      </c>
      <c r="R574" s="145">
        <v>0.34699999999999998</v>
      </c>
      <c r="S574" s="145">
        <v>60.616999999999997</v>
      </c>
      <c r="T574" s="145">
        <v>131.16800000000001</v>
      </c>
      <c r="U574" s="145">
        <v>1.0999999999999999E-2</v>
      </c>
      <c r="V574" s="145">
        <v>0.55400000000000005</v>
      </c>
      <c r="W574" s="145">
        <v>64.567999999999998</v>
      </c>
      <c r="X574" s="145">
        <v>4.7E-2</v>
      </c>
      <c r="Y574" s="145">
        <v>0.26500000000000001</v>
      </c>
      <c r="Z574" s="146">
        <v>5.7000000000000002E-2</v>
      </c>
      <c r="AA574" s="145">
        <v>9.1999999999999998E-2</v>
      </c>
      <c r="AB574" s="145" t="s">
        <v>400</v>
      </c>
      <c r="AC574" s="145">
        <v>1.6220000000000001</v>
      </c>
      <c r="AD574" s="145">
        <v>0.59699999999999998</v>
      </c>
      <c r="AE574" s="145">
        <v>15.355</v>
      </c>
      <c r="AF574" s="145">
        <v>1.016</v>
      </c>
      <c r="AG574" s="145">
        <v>0.32100000000000001</v>
      </c>
      <c r="AH574" s="145">
        <v>7.6999999999999999E-2</v>
      </c>
      <c r="AI574" s="145" t="s">
        <v>400</v>
      </c>
      <c r="AJ574" s="145">
        <v>10.954000000000001</v>
      </c>
      <c r="AK574" s="145">
        <v>65.209999999999994</v>
      </c>
      <c r="AL574" s="145">
        <v>15.898</v>
      </c>
      <c r="AM574" s="145">
        <v>12.019</v>
      </c>
    </row>
    <row r="575" spans="1:39">
      <c r="A575" s="143" t="s">
        <v>1635</v>
      </c>
      <c r="B575" s="144">
        <v>100</v>
      </c>
      <c r="C575" s="145">
        <v>131.148</v>
      </c>
      <c r="D575" s="145">
        <v>5.5839999999999996</v>
      </c>
      <c r="E575" s="145">
        <v>5.0659999999999998</v>
      </c>
      <c r="F575" s="145">
        <v>2.1360000000000001</v>
      </c>
      <c r="G575" s="145">
        <v>1.655</v>
      </c>
      <c r="H575" s="145">
        <v>0.51600000000000001</v>
      </c>
      <c r="I575" s="145">
        <v>0.40500000000000003</v>
      </c>
      <c r="J575" s="145">
        <v>0.06</v>
      </c>
      <c r="K575" s="145">
        <v>122.514</v>
      </c>
      <c r="L575" s="145">
        <v>15.439</v>
      </c>
      <c r="M575" s="145" t="s">
        <v>400</v>
      </c>
      <c r="N575" s="145">
        <v>89.201999999999998</v>
      </c>
      <c r="O575" s="145">
        <v>9.4939999999999998</v>
      </c>
      <c r="P575" s="145">
        <v>1.0999999999999999E-2</v>
      </c>
      <c r="Q575" s="145">
        <v>107.709</v>
      </c>
      <c r="R575" s="145">
        <v>0.34699999999999998</v>
      </c>
      <c r="S575" s="145">
        <v>60.616999999999997</v>
      </c>
      <c r="T575" s="145">
        <v>131.16800000000001</v>
      </c>
      <c r="U575" s="145">
        <v>1.0999999999999999E-2</v>
      </c>
      <c r="V575" s="145">
        <v>0.55400000000000005</v>
      </c>
      <c r="W575" s="145">
        <v>64.567999999999998</v>
      </c>
      <c r="X575" s="145">
        <v>4.7E-2</v>
      </c>
      <c r="Y575" s="145">
        <v>0.26500000000000001</v>
      </c>
      <c r="Z575" s="146">
        <v>5.7000000000000002E-2</v>
      </c>
      <c r="AA575" s="145">
        <v>9.1999999999999998E-2</v>
      </c>
      <c r="AB575" s="145" t="s">
        <v>400</v>
      </c>
      <c r="AC575" s="145">
        <v>1.6220000000000001</v>
      </c>
      <c r="AD575" s="145">
        <v>0.59699999999999998</v>
      </c>
      <c r="AE575" s="145">
        <v>15.355</v>
      </c>
      <c r="AF575" s="145">
        <v>1.016</v>
      </c>
      <c r="AG575" s="145">
        <v>0.32100000000000001</v>
      </c>
      <c r="AH575" s="145">
        <v>7.6999999999999999E-2</v>
      </c>
      <c r="AI575" s="145" t="s">
        <v>400</v>
      </c>
      <c r="AJ575" s="145">
        <v>10.954000000000001</v>
      </c>
      <c r="AK575" s="145">
        <v>65.209999999999994</v>
      </c>
      <c r="AL575" s="145">
        <v>15.898</v>
      </c>
      <c r="AM575" s="145">
        <v>12.019</v>
      </c>
    </row>
    <row r="576" spans="1:39">
      <c r="A576" s="143" t="s">
        <v>1636</v>
      </c>
      <c r="B576" s="144">
        <v>100</v>
      </c>
      <c r="C576" s="145">
        <v>284.97899999999998</v>
      </c>
      <c r="D576" s="145">
        <v>8.2010000000000005</v>
      </c>
      <c r="E576" s="145">
        <v>10.738</v>
      </c>
      <c r="F576" s="145">
        <v>6.6269999999999998</v>
      </c>
      <c r="G576" s="145">
        <v>2.681</v>
      </c>
      <c r="H576" s="145">
        <v>0.55700000000000005</v>
      </c>
      <c r="I576" s="145">
        <v>0.434</v>
      </c>
      <c r="J576" s="145">
        <v>7.9000000000000001E-2</v>
      </c>
      <c r="K576" s="145">
        <v>118.443</v>
      </c>
      <c r="L576" s="145">
        <v>40.136000000000003</v>
      </c>
      <c r="M576" s="145">
        <v>0.33900000000000002</v>
      </c>
      <c r="N576" s="145">
        <v>201.26400000000001</v>
      </c>
      <c r="O576" s="145">
        <v>23.382999999999999</v>
      </c>
      <c r="P576" s="145">
        <v>0.19600000000000001</v>
      </c>
      <c r="Q576" s="145">
        <v>206.833</v>
      </c>
      <c r="R576" s="145">
        <v>0.54700000000000004</v>
      </c>
      <c r="S576" s="145">
        <v>129.465</v>
      </c>
      <c r="T576" s="145">
        <v>289.84500000000003</v>
      </c>
      <c r="U576" s="145">
        <v>3.7999999999999999E-2</v>
      </c>
      <c r="V576" s="145">
        <v>0.97399999999999998</v>
      </c>
      <c r="W576" s="145">
        <v>85.817999999999998</v>
      </c>
      <c r="X576" s="145">
        <v>6.7000000000000004E-2</v>
      </c>
      <c r="Y576" s="145">
        <v>0.378</v>
      </c>
      <c r="Z576" s="146">
        <v>8.3000000000000004E-2</v>
      </c>
      <c r="AA576" s="145">
        <v>0.19</v>
      </c>
      <c r="AB576" s="145">
        <v>1.641</v>
      </c>
      <c r="AC576" s="145">
        <v>2.0190000000000001</v>
      </c>
      <c r="AD576" s="145">
        <v>0.47599999999999998</v>
      </c>
      <c r="AE576" s="145">
        <v>17.326000000000001</v>
      </c>
      <c r="AF576" s="145">
        <v>0.89900000000000002</v>
      </c>
      <c r="AG576" s="145">
        <v>0.36799999999999999</v>
      </c>
      <c r="AH576" s="145">
        <v>0.20100000000000001</v>
      </c>
      <c r="AI576" s="145" t="s">
        <v>400</v>
      </c>
      <c r="AJ576" s="145">
        <v>14.993</v>
      </c>
      <c r="AK576" s="145">
        <v>86.875</v>
      </c>
      <c r="AL576" s="145">
        <v>38.630000000000003</v>
      </c>
      <c r="AM576" s="145">
        <v>31.611000000000001</v>
      </c>
    </row>
    <row r="577" spans="1:39">
      <c r="A577" s="143" t="s">
        <v>1637</v>
      </c>
      <c r="B577" s="144">
        <v>100</v>
      </c>
      <c r="C577" s="145">
        <v>128.30000000000001</v>
      </c>
      <c r="D577" s="145">
        <v>4.3499999999999996</v>
      </c>
      <c r="E577" s="145">
        <v>0.22</v>
      </c>
      <c r="F577" s="145">
        <v>0.04</v>
      </c>
      <c r="G577" s="145">
        <v>0.03</v>
      </c>
      <c r="H577" s="145">
        <v>0.09</v>
      </c>
      <c r="I577" s="145">
        <v>0.08</v>
      </c>
      <c r="J577" s="145" t="s">
        <v>400</v>
      </c>
      <c r="K577" s="145" t="s">
        <v>400</v>
      </c>
      <c r="L577" s="145">
        <v>26.42</v>
      </c>
      <c r="M577" s="145">
        <v>1.71</v>
      </c>
      <c r="N577" s="145">
        <v>10.74</v>
      </c>
      <c r="O577" s="145">
        <v>15.82</v>
      </c>
      <c r="P577" s="145">
        <v>0.27</v>
      </c>
      <c r="Q577" s="145">
        <v>58.01</v>
      </c>
      <c r="R577" s="145">
        <v>0.37</v>
      </c>
      <c r="S577" s="145">
        <v>261.48</v>
      </c>
      <c r="T577" s="145">
        <v>57.49</v>
      </c>
      <c r="U577" s="145">
        <v>0.09</v>
      </c>
      <c r="V577" s="145">
        <v>0.28000000000000003</v>
      </c>
      <c r="W577" s="145" t="s">
        <v>400</v>
      </c>
      <c r="X577" s="145">
        <v>0.06</v>
      </c>
      <c r="Y577" s="145">
        <v>0.03</v>
      </c>
      <c r="Z577" s="145">
        <v>0.04</v>
      </c>
      <c r="AA577" s="145">
        <v>1.19</v>
      </c>
      <c r="AB577" s="145" t="s">
        <v>400</v>
      </c>
      <c r="AC577" s="145">
        <v>2.12</v>
      </c>
      <c r="AD577" s="145" t="s">
        <v>400</v>
      </c>
      <c r="AE577" s="145">
        <v>6.82</v>
      </c>
      <c r="AF577" s="145" t="s">
        <v>400</v>
      </c>
      <c r="AG577" s="145">
        <v>0.05</v>
      </c>
      <c r="AH577" s="145" t="s">
        <v>400</v>
      </c>
      <c r="AI577" s="145" t="s">
        <v>400</v>
      </c>
      <c r="AJ577" s="145">
        <v>3.75</v>
      </c>
      <c r="AK577" s="145">
        <v>0.06</v>
      </c>
      <c r="AL577" s="145">
        <v>0.72</v>
      </c>
      <c r="AM577" s="145" t="s">
        <v>400</v>
      </c>
    </row>
    <row r="578" spans="1:39">
      <c r="A578" s="143" t="s">
        <v>1638</v>
      </c>
      <c r="B578" s="144">
        <v>100</v>
      </c>
      <c r="C578" s="145">
        <v>116.992</v>
      </c>
      <c r="D578" s="145">
        <v>4.3339999999999996</v>
      </c>
      <c r="E578" s="145">
        <v>4.0990000000000002</v>
      </c>
      <c r="F578" s="145">
        <v>1.988</v>
      </c>
      <c r="G578" s="145">
        <v>1.208</v>
      </c>
      <c r="H578" s="145">
        <v>0.34599999999999997</v>
      </c>
      <c r="I578" s="145">
        <v>0.254</v>
      </c>
      <c r="J578" s="145">
        <v>6.8000000000000005E-2</v>
      </c>
      <c r="K578" s="145">
        <v>63.113999999999997</v>
      </c>
      <c r="L578" s="145">
        <v>15.512</v>
      </c>
      <c r="M578" s="145">
        <v>2.9000000000000001E-2</v>
      </c>
      <c r="N578" s="145">
        <v>102.169</v>
      </c>
      <c r="O578" s="145">
        <v>9.7880000000000003</v>
      </c>
      <c r="P578" s="145">
        <v>1.0999999999999999E-2</v>
      </c>
      <c r="Q578" s="145">
        <v>98.87</v>
      </c>
      <c r="R578" s="145">
        <v>0.23200000000000001</v>
      </c>
      <c r="S578" s="145">
        <v>100.384</v>
      </c>
      <c r="T578" s="145">
        <v>137.70400000000001</v>
      </c>
      <c r="U578" s="145">
        <v>1.2E-2</v>
      </c>
      <c r="V578" s="145">
        <v>0.47599999999999998</v>
      </c>
      <c r="W578" s="145">
        <v>45.191000000000003</v>
      </c>
      <c r="X578" s="145">
        <v>4.5999999999999999E-2</v>
      </c>
      <c r="Y578" s="145">
        <v>0.222</v>
      </c>
      <c r="Z578" s="146">
        <v>4.5999999999999999E-2</v>
      </c>
      <c r="AA578" s="145">
        <v>0.1</v>
      </c>
      <c r="AB578" s="145" t="s">
        <v>400</v>
      </c>
      <c r="AC578" s="145">
        <v>1.4810000000000001</v>
      </c>
      <c r="AD578" s="145">
        <v>0.51300000000000001</v>
      </c>
      <c r="AE578" s="145">
        <v>10.007</v>
      </c>
      <c r="AF578" s="145">
        <v>1.0049999999999999</v>
      </c>
      <c r="AG578" s="145">
        <v>0.183</v>
      </c>
      <c r="AH578" s="145">
        <v>9.7000000000000003E-2</v>
      </c>
      <c r="AI578" s="145" t="s">
        <v>400</v>
      </c>
      <c r="AJ578" s="145">
        <v>7.1589999999999998</v>
      </c>
      <c r="AK578" s="145">
        <v>45.713000000000001</v>
      </c>
      <c r="AL578" s="145">
        <v>13.202999999999999</v>
      </c>
      <c r="AM578" s="145">
        <v>8.6020000000000003</v>
      </c>
    </row>
    <row r="579" spans="1:39">
      <c r="A579" s="143" t="s">
        <v>1639</v>
      </c>
      <c r="B579" s="144">
        <v>100</v>
      </c>
      <c r="C579" s="145">
        <v>444.92099999999999</v>
      </c>
      <c r="D579" s="145">
        <v>1.639</v>
      </c>
      <c r="E579" s="145">
        <v>19.942</v>
      </c>
      <c r="F579" s="145">
        <v>17.678999999999998</v>
      </c>
      <c r="G579" s="145">
        <v>0.85</v>
      </c>
      <c r="H579" s="145">
        <v>0.218</v>
      </c>
      <c r="I579" s="145">
        <v>0.218</v>
      </c>
      <c r="J579" s="145" t="s">
        <v>400</v>
      </c>
      <c r="K579" s="145" t="s">
        <v>400</v>
      </c>
      <c r="L579" s="145">
        <v>68.843999999999994</v>
      </c>
      <c r="M579" s="145">
        <v>2.59</v>
      </c>
      <c r="N579" s="145">
        <v>9.9329999999999998</v>
      </c>
      <c r="O579" s="145">
        <v>28.315000000000001</v>
      </c>
      <c r="P579" s="145">
        <v>1.393</v>
      </c>
      <c r="Q579" s="145">
        <v>61.18</v>
      </c>
      <c r="R579" s="145">
        <v>1.1100000000000001</v>
      </c>
      <c r="S579" s="145">
        <v>148.989</v>
      </c>
      <c r="T579" s="145">
        <v>194.416</v>
      </c>
      <c r="U579" s="145">
        <v>0.18099999999999999</v>
      </c>
      <c r="V579" s="145">
        <v>1.026</v>
      </c>
      <c r="W579" s="145" t="s">
        <v>400</v>
      </c>
      <c r="X579" s="145">
        <v>1.7999999999999999E-2</v>
      </c>
      <c r="Y579" s="145">
        <v>2.3E-2</v>
      </c>
      <c r="Z579" s="146">
        <v>0.153</v>
      </c>
      <c r="AA579" s="145">
        <v>0.26800000000000002</v>
      </c>
      <c r="AB579" s="145">
        <v>0.88800000000000001</v>
      </c>
      <c r="AC579" s="145">
        <v>0.59099999999999997</v>
      </c>
      <c r="AD579" s="145" t="s">
        <v>400</v>
      </c>
      <c r="AE579" s="145">
        <v>5.1120000000000001</v>
      </c>
      <c r="AF579" s="145" t="s">
        <v>400</v>
      </c>
      <c r="AG579" s="145">
        <v>0.22600000000000001</v>
      </c>
      <c r="AH579" s="145" t="s">
        <v>400</v>
      </c>
      <c r="AI579" s="145" t="s">
        <v>400</v>
      </c>
      <c r="AJ579" s="145">
        <v>9.7240000000000002</v>
      </c>
      <c r="AK579" s="145" t="s">
        <v>400</v>
      </c>
      <c r="AL579" s="145">
        <v>61.426000000000002</v>
      </c>
      <c r="AM579" s="145">
        <v>61.905000000000001</v>
      </c>
    </row>
    <row r="580" spans="1:39">
      <c r="A580" s="143" t="s">
        <v>1640</v>
      </c>
      <c r="B580" s="144">
        <v>100</v>
      </c>
      <c r="C580" s="145">
        <v>404.8</v>
      </c>
      <c r="D580" s="145">
        <v>1.01</v>
      </c>
      <c r="E580" s="145">
        <v>12.46</v>
      </c>
      <c r="F580" s="145">
        <v>11.01</v>
      </c>
      <c r="G580" s="145">
        <v>0.53</v>
      </c>
      <c r="H580" s="145">
        <v>0.14000000000000001</v>
      </c>
      <c r="I580" s="145">
        <v>0.14000000000000001</v>
      </c>
      <c r="J580" s="145" t="s">
        <v>400</v>
      </c>
      <c r="K580" s="145" t="s">
        <v>400</v>
      </c>
      <c r="L580" s="145">
        <v>75.650000000000006</v>
      </c>
      <c r="M580" s="145">
        <v>1.58</v>
      </c>
      <c r="N580" s="145">
        <v>8.3000000000000007</v>
      </c>
      <c r="O580" s="145">
        <v>17.68</v>
      </c>
      <c r="P580" s="145">
        <v>0.87</v>
      </c>
      <c r="Q580" s="145">
        <v>37.450000000000003</v>
      </c>
      <c r="R580" s="145">
        <v>0.68</v>
      </c>
      <c r="S580" s="145">
        <v>107.35</v>
      </c>
      <c r="T580" s="145">
        <v>119.68</v>
      </c>
      <c r="U580" s="145">
        <v>0.11</v>
      </c>
      <c r="V580" s="145">
        <v>0.71</v>
      </c>
      <c r="W580" s="145" t="s">
        <v>400</v>
      </c>
      <c r="X580" s="145">
        <v>0.02</v>
      </c>
      <c r="Y580" s="145">
        <v>0.02</v>
      </c>
      <c r="Z580" s="145">
        <v>0.1</v>
      </c>
      <c r="AA580" s="145">
        <v>0.17</v>
      </c>
      <c r="AB580" s="145">
        <v>0.25</v>
      </c>
      <c r="AC580" s="145">
        <v>0.36</v>
      </c>
      <c r="AD580" s="145" t="s">
        <v>400</v>
      </c>
      <c r="AE580" s="145">
        <v>2.8</v>
      </c>
      <c r="AF580" s="145" t="s">
        <v>400</v>
      </c>
      <c r="AG580" s="145">
        <v>0.14000000000000001</v>
      </c>
      <c r="AH580" s="145" t="s">
        <v>400</v>
      </c>
      <c r="AI580" s="145" t="s">
        <v>400</v>
      </c>
      <c r="AJ580" s="145">
        <v>6.25</v>
      </c>
      <c r="AK580" s="145" t="s">
        <v>400</v>
      </c>
      <c r="AL580" s="145">
        <v>62.21</v>
      </c>
      <c r="AM580" s="145">
        <v>71.44</v>
      </c>
    </row>
    <row r="581" spans="1:39">
      <c r="A581" s="143" t="s">
        <v>1641</v>
      </c>
      <c r="B581" s="144">
        <v>100</v>
      </c>
      <c r="C581" s="145">
        <v>404.8</v>
      </c>
      <c r="D581" s="145">
        <v>1.01</v>
      </c>
      <c r="E581" s="145">
        <v>12.46</v>
      </c>
      <c r="F581" s="145">
        <v>11.01</v>
      </c>
      <c r="G581" s="145">
        <v>0.53</v>
      </c>
      <c r="H581" s="145">
        <v>0.14000000000000001</v>
      </c>
      <c r="I581" s="145">
        <v>0.14000000000000001</v>
      </c>
      <c r="J581" s="145" t="s">
        <v>400</v>
      </c>
      <c r="K581" s="145" t="s">
        <v>400</v>
      </c>
      <c r="L581" s="145">
        <v>75.650000000000006</v>
      </c>
      <c r="M581" s="145">
        <v>1.58</v>
      </c>
      <c r="N581" s="145">
        <v>8.3000000000000007</v>
      </c>
      <c r="O581" s="145">
        <v>17.68</v>
      </c>
      <c r="P581" s="145">
        <v>0.87</v>
      </c>
      <c r="Q581" s="145">
        <v>37.450000000000003</v>
      </c>
      <c r="R581" s="145">
        <v>0.68</v>
      </c>
      <c r="S581" s="145">
        <v>107.35</v>
      </c>
      <c r="T581" s="145">
        <v>119.68</v>
      </c>
      <c r="U581" s="145">
        <v>0.11</v>
      </c>
      <c r="V581" s="145">
        <v>0.71</v>
      </c>
      <c r="W581" s="145" t="s">
        <v>400</v>
      </c>
      <c r="X581" s="145">
        <v>0.02</v>
      </c>
      <c r="Y581" s="145">
        <v>0.02</v>
      </c>
      <c r="Z581" s="145">
        <v>0.1</v>
      </c>
      <c r="AA581" s="145">
        <v>0.17</v>
      </c>
      <c r="AB581" s="145">
        <v>0.25</v>
      </c>
      <c r="AC581" s="145">
        <v>0.36</v>
      </c>
      <c r="AD581" s="145" t="s">
        <v>400</v>
      </c>
      <c r="AE581" s="145">
        <v>2.8</v>
      </c>
      <c r="AF581" s="145" t="s">
        <v>400</v>
      </c>
      <c r="AG581" s="145">
        <v>0.14000000000000001</v>
      </c>
      <c r="AH581" s="145" t="s">
        <v>400</v>
      </c>
      <c r="AI581" s="145" t="s">
        <v>400</v>
      </c>
      <c r="AJ581" s="145">
        <v>6.25</v>
      </c>
      <c r="AK581" s="145" t="s">
        <v>400</v>
      </c>
      <c r="AL581" s="145">
        <v>62.21</v>
      </c>
      <c r="AM581" s="145">
        <v>71.44</v>
      </c>
    </row>
    <row r="582" spans="1:39">
      <c r="A582" s="143" t="s">
        <v>1642</v>
      </c>
      <c r="B582" s="144">
        <v>100</v>
      </c>
      <c r="C582" s="145">
        <v>451.58</v>
      </c>
      <c r="D582" s="145">
        <v>11.16</v>
      </c>
      <c r="E582" s="145">
        <v>23.89</v>
      </c>
      <c r="F582" s="145">
        <v>4.0599999999999996</v>
      </c>
      <c r="G582" s="145">
        <v>11.76</v>
      </c>
      <c r="H582" s="145">
        <v>6.84</v>
      </c>
      <c r="I582" s="145">
        <v>6.71</v>
      </c>
      <c r="J582" s="145">
        <v>7.0000000000000007E-2</v>
      </c>
      <c r="K582" s="145" t="s">
        <v>400</v>
      </c>
      <c r="L582" s="145">
        <v>55.29</v>
      </c>
      <c r="M582" s="145">
        <v>3.73</v>
      </c>
      <c r="N582" s="145">
        <v>30.14</v>
      </c>
      <c r="O582" s="145">
        <v>70.510000000000005</v>
      </c>
      <c r="P582" s="145">
        <v>0.73</v>
      </c>
      <c r="Q582" s="145">
        <v>158.43</v>
      </c>
      <c r="R582" s="145">
        <v>0.61</v>
      </c>
      <c r="S582" s="145">
        <v>221.83</v>
      </c>
      <c r="T582" s="145">
        <v>291.27</v>
      </c>
      <c r="U582" s="145">
        <v>0.22</v>
      </c>
      <c r="V582" s="145">
        <v>1.44</v>
      </c>
      <c r="W582" s="145">
        <v>30.53</v>
      </c>
      <c r="X582" s="145">
        <v>0.05</v>
      </c>
      <c r="Y582" s="145">
        <v>0.04</v>
      </c>
      <c r="Z582" s="145">
        <v>0.18</v>
      </c>
      <c r="AA582" s="145">
        <v>5.49</v>
      </c>
      <c r="AB582" s="145">
        <v>0.32</v>
      </c>
      <c r="AC582" s="145">
        <v>7.02</v>
      </c>
      <c r="AD582" s="145" t="s">
        <v>400</v>
      </c>
      <c r="AE582" s="145">
        <v>47.66</v>
      </c>
      <c r="AF582" s="145" t="s">
        <v>400</v>
      </c>
      <c r="AG582" s="145">
        <v>2.87</v>
      </c>
      <c r="AH582" s="145">
        <v>0.96</v>
      </c>
      <c r="AI582" s="145" t="s">
        <v>400</v>
      </c>
      <c r="AJ582" s="145">
        <v>1.68</v>
      </c>
      <c r="AK582" s="145">
        <v>32.04</v>
      </c>
      <c r="AL582" s="145">
        <v>39.22</v>
      </c>
      <c r="AM582" s="145">
        <v>49.15</v>
      </c>
    </row>
    <row r="583" spans="1:39">
      <c r="A583" s="143" t="s">
        <v>1643</v>
      </c>
      <c r="B583" s="144">
        <v>100</v>
      </c>
      <c r="C583" s="145">
        <v>474</v>
      </c>
      <c r="D583" s="145">
        <v>9.1</v>
      </c>
      <c r="E583" s="145">
        <v>17.91</v>
      </c>
      <c r="F583" s="145">
        <v>2.36</v>
      </c>
      <c r="G583" s="145">
        <v>8.44</v>
      </c>
      <c r="H583" s="145">
        <v>5.38</v>
      </c>
      <c r="I583" s="145">
        <v>5.38</v>
      </c>
      <c r="J583" s="145" t="s">
        <v>400</v>
      </c>
      <c r="K583" s="145" t="s">
        <v>400</v>
      </c>
      <c r="L583" s="145">
        <v>69.2</v>
      </c>
      <c r="M583" s="145">
        <v>2.42</v>
      </c>
      <c r="N583" s="145">
        <v>50</v>
      </c>
      <c r="O583" s="145">
        <v>64.17</v>
      </c>
      <c r="P583" s="145">
        <v>0.73</v>
      </c>
      <c r="Q583" s="145">
        <v>141</v>
      </c>
      <c r="R583" s="145">
        <v>4.5</v>
      </c>
      <c r="S583" s="145">
        <v>21</v>
      </c>
      <c r="T583" s="145">
        <v>236.85</v>
      </c>
      <c r="U583" s="145">
        <v>0.47</v>
      </c>
      <c r="V583" s="145">
        <v>2.31</v>
      </c>
      <c r="W583" s="145" t="s">
        <v>400</v>
      </c>
      <c r="X583" s="145">
        <v>0.22</v>
      </c>
      <c r="Y583" s="145">
        <v>0.1</v>
      </c>
      <c r="Z583" s="146">
        <v>0.09</v>
      </c>
      <c r="AA583" s="145">
        <v>5.71</v>
      </c>
      <c r="AB583" s="145">
        <v>5.9</v>
      </c>
      <c r="AC583" s="145">
        <v>7.21</v>
      </c>
      <c r="AD583" s="145" t="s">
        <v>400</v>
      </c>
      <c r="AE583" s="145">
        <v>43.37</v>
      </c>
      <c r="AF583" s="145" t="s">
        <v>400</v>
      </c>
      <c r="AG583" s="145">
        <v>2.3940000000000001</v>
      </c>
      <c r="AH583" s="145" t="s">
        <v>400</v>
      </c>
      <c r="AI583" s="145" t="s">
        <v>400</v>
      </c>
      <c r="AJ583" s="145">
        <v>3.1</v>
      </c>
      <c r="AK583" s="145" t="s">
        <v>400</v>
      </c>
      <c r="AL583" s="145">
        <v>55.51</v>
      </c>
      <c r="AM583" s="145">
        <v>58.453000000000003</v>
      </c>
    </row>
    <row r="584" spans="1:39">
      <c r="A584" s="143" t="s">
        <v>1644</v>
      </c>
      <c r="B584" s="144">
        <v>100</v>
      </c>
      <c r="C584" s="145">
        <v>472.17</v>
      </c>
      <c r="D584" s="145">
        <v>10.35</v>
      </c>
      <c r="E584" s="145">
        <v>21.53</v>
      </c>
      <c r="F584" s="145">
        <v>2.99</v>
      </c>
      <c r="G584" s="145">
        <v>10.68</v>
      </c>
      <c r="H584" s="145">
        <v>6.8</v>
      </c>
      <c r="I584" s="145">
        <v>6.8</v>
      </c>
      <c r="J584" s="145" t="s">
        <v>400</v>
      </c>
      <c r="K584" s="145" t="s">
        <v>400</v>
      </c>
      <c r="L584" s="145">
        <v>64.040000000000006</v>
      </c>
      <c r="M584" s="145">
        <v>3.89</v>
      </c>
      <c r="N584" s="145">
        <v>32.869999999999997</v>
      </c>
      <c r="O584" s="145">
        <v>76.73</v>
      </c>
      <c r="P584" s="145">
        <v>0.95</v>
      </c>
      <c r="Q584" s="145">
        <v>158.4</v>
      </c>
      <c r="R584" s="145">
        <v>1.72</v>
      </c>
      <c r="S584" s="145">
        <v>3.07</v>
      </c>
      <c r="T584" s="145">
        <v>290.52999999999997</v>
      </c>
      <c r="U584" s="145">
        <v>0.3</v>
      </c>
      <c r="V584" s="145">
        <v>1.49</v>
      </c>
      <c r="W584" s="145" t="s">
        <v>400</v>
      </c>
      <c r="X584" s="145">
        <v>0.19</v>
      </c>
      <c r="Y584" s="145">
        <v>0.04</v>
      </c>
      <c r="Z584" s="145">
        <v>0.11</v>
      </c>
      <c r="AA584" s="145">
        <v>5.86</v>
      </c>
      <c r="AB584" s="145" t="s">
        <v>400</v>
      </c>
      <c r="AC584" s="145">
        <v>7.55</v>
      </c>
      <c r="AD584" s="145" t="s">
        <v>400</v>
      </c>
      <c r="AE584" s="145">
        <v>64.7</v>
      </c>
      <c r="AF584" s="145" t="s">
        <v>400</v>
      </c>
      <c r="AG584" s="145">
        <v>3</v>
      </c>
      <c r="AH584" s="145" t="s">
        <v>400</v>
      </c>
      <c r="AI584" s="145" t="s">
        <v>400</v>
      </c>
      <c r="AJ584" s="145">
        <v>3.7</v>
      </c>
      <c r="AK584" s="145" t="s">
        <v>400</v>
      </c>
      <c r="AL584" s="145">
        <v>15.14</v>
      </c>
      <c r="AM584" s="145">
        <v>13.33</v>
      </c>
    </row>
    <row r="585" spans="1:39">
      <c r="A585" s="143" t="s">
        <v>1645</v>
      </c>
      <c r="B585" s="144">
        <v>100</v>
      </c>
      <c r="C585" s="145">
        <v>460.339</v>
      </c>
      <c r="D585" s="145">
        <v>11.013</v>
      </c>
      <c r="E585" s="145">
        <v>24.635000000000002</v>
      </c>
      <c r="F585" s="145">
        <v>1.859</v>
      </c>
      <c r="G585" s="145">
        <v>15.394</v>
      </c>
      <c r="H585" s="145">
        <v>6.0149999999999997</v>
      </c>
      <c r="I585" s="145">
        <v>6.0110000000000001</v>
      </c>
      <c r="J585" s="145">
        <v>3.0000000000000001E-3</v>
      </c>
      <c r="K585" s="145" t="s">
        <v>400</v>
      </c>
      <c r="L585" s="145">
        <v>56.268999999999998</v>
      </c>
      <c r="M585" s="145">
        <v>6.13</v>
      </c>
      <c r="N585" s="145">
        <v>133.589</v>
      </c>
      <c r="O585" s="145">
        <v>134.44</v>
      </c>
      <c r="P585" s="145">
        <v>1.159</v>
      </c>
      <c r="Q585" s="145">
        <v>242.703</v>
      </c>
      <c r="R585" s="145">
        <v>1.964</v>
      </c>
      <c r="S585" s="145">
        <v>7.08</v>
      </c>
      <c r="T585" s="145">
        <v>370.226</v>
      </c>
      <c r="U585" s="145">
        <v>0.50600000000000001</v>
      </c>
      <c r="V585" s="145">
        <v>1.591</v>
      </c>
      <c r="W585" s="145" t="s">
        <v>400</v>
      </c>
      <c r="X585" s="145">
        <v>0.105</v>
      </c>
      <c r="Y585" s="145">
        <v>0.53400000000000003</v>
      </c>
      <c r="Z585" s="146">
        <v>7.6999999999999999E-2</v>
      </c>
      <c r="AA585" s="145">
        <v>1.7210000000000001</v>
      </c>
      <c r="AB585" s="145">
        <v>0.125</v>
      </c>
      <c r="AC585" s="145">
        <v>3.5840000000000001</v>
      </c>
      <c r="AD585" s="145">
        <v>3.0000000000000001E-3</v>
      </c>
      <c r="AE585" s="145">
        <v>25.55</v>
      </c>
      <c r="AF585" s="145" t="s">
        <v>400</v>
      </c>
      <c r="AG585" s="145">
        <v>13.067</v>
      </c>
      <c r="AH585" s="145">
        <v>8.0000000000000002E-3</v>
      </c>
      <c r="AI585" s="145" t="s">
        <v>400</v>
      </c>
      <c r="AJ585" s="145">
        <v>2.2610000000000001</v>
      </c>
      <c r="AK585" s="145">
        <v>4.2000000000000003E-2</v>
      </c>
      <c r="AL585" s="145">
        <v>47.328000000000003</v>
      </c>
      <c r="AM585" s="145">
        <v>45.445999999999998</v>
      </c>
    </row>
    <row r="586" spans="1:39">
      <c r="A586" s="143" t="s">
        <v>1646</v>
      </c>
      <c r="B586" s="144">
        <v>100</v>
      </c>
      <c r="C586" s="145">
        <v>472.17</v>
      </c>
      <c r="D586" s="145">
        <v>10.35</v>
      </c>
      <c r="E586" s="145">
        <v>21.53</v>
      </c>
      <c r="F586" s="145">
        <v>2.99</v>
      </c>
      <c r="G586" s="145">
        <v>10.68</v>
      </c>
      <c r="H586" s="145">
        <v>6.8</v>
      </c>
      <c r="I586" s="145">
        <v>6.8</v>
      </c>
      <c r="J586" s="145" t="s">
        <v>400</v>
      </c>
      <c r="K586" s="145" t="s">
        <v>400</v>
      </c>
      <c r="L586" s="145">
        <v>64.040000000000006</v>
      </c>
      <c r="M586" s="145">
        <v>3.89</v>
      </c>
      <c r="N586" s="145">
        <v>32.869999999999997</v>
      </c>
      <c r="O586" s="145">
        <v>76.73</v>
      </c>
      <c r="P586" s="145">
        <v>0.95</v>
      </c>
      <c r="Q586" s="145">
        <v>158.4</v>
      </c>
      <c r="R586" s="145">
        <v>1.72</v>
      </c>
      <c r="S586" s="145">
        <v>3.07</v>
      </c>
      <c r="T586" s="145">
        <v>290.52999999999997</v>
      </c>
      <c r="U586" s="145">
        <v>0.3</v>
      </c>
      <c r="V586" s="145">
        <v>1.49</v>
      </c>
      <c r="W586" s="145" t="s">
        <v>400</v>
      </c>
      <c r="X586" s="145">
        <v>0.19</v>
      </c>
      <c r="Y586" s="145">
        <v>0.04</v>
      </c>
      <c r="Z586" s="145">
        <v>0.11</v>
      </c>
      <c r="AA586" s="145">
        <v>5.86</v>
      </c>
      <c r="AB586" s="145" t="s">
        <v>400</v>
      </c>
      <c r="AC586" s="145">
        <v>7.55</v>
      </c>
      <c r="AD586" s="145" t="s">
        <v>400</v>
      </c>
      <c r="AE586" s="145">
        <v>64.7</v>
      </c>
      <c r="AF586" s="145" t="s">
        <v>400</v>
      </c>
      <c r="AG586" s="145">
        <v>3</v>
      </c>
      <c r="AH586" s="145" t="s">
        <v>400</v>
      </c>
      <c r="AI586" s="145" t="s">
        <v>400</v>
      </c>
      <c r="AJ586" s="145">
        <v>3.7</v>
      </c>
      <c r="AK586" s="145" t="s">
        <v>400</v>
      </c>
      <c r="AL586" s="145">
        <v>15.14</v>
      </c>
      <c r="AM586" s="145">
        <v>13.33</v>
      </c>
    </row>
    <row r="587" spans="1:39">
      <c r="A587" s="143" t="s">
        <v>1647</v>
      </c>
      <c r="B587" s="144">
        <v>100</v>
      </c>
      <c r="C587" s="145">
        <v>474</v>
      </c>
      <c r="D587" s="145">
        <v>9.1</v>
      </c>
      <c r="E587" s="145">
        <v>17.91</v>
      </c>
      <c r="F587" s="145">
        <v>2.36</v>
      </c>
      <c r="G587" s="145">
        <v>8.44</v>
      </c>
      <c r="H587" s="145">
        <v>5.38</v>
      </c>
      <c r="I587" s="145">
        <v>5.38</v>
      </c>
      <c r="J587" s="145" t="s">
        <v>400</v>
      </c>
      <c r="K587" s="145" t="s">
        <v>400</v>
      </c>
      <c r="L587" s="145">
        <v>69.2</v>
      </c>
      <c r="M587" s="145">
        <v>2.42</v>
      </c>
      <c r="N587" s="145">
        <v>50</v>
      </c>
      <c r="O587" s="145">
        <v>64.17</v>
      </c>
      <c r="P587" s="145">
        <v>0.73</v>
      </c>
      <c r="Q587" s="145">
        <v>141</v>
      </c>
      <c r="R587" s="145">
        <v>4.5</v>
      </c>
      <c r="S587" s="145">
        <v>21</v>
      </c>
      <c r="T587" s="145">
        <v>236.85</v>
      </c>
      <c r="U587" s="145">
        <v>0.47</v>
      </c>
      <c r="V587" s="145">
        <v>2.31</v>
      </c>
      <c r="W587" s="145" t="s">
        <v>400</v>
      </c>
      <c r="X587" s="145">
        <v>0.22</v>
      </c>
      <c r="Y587" s="145">
        <v>0.1</v>
      </c>
      <c r="Z587" s="146">
        <v>0.09</v>
      </c>
      <c r="AA587" s="145">
        <v>5.71</v>
      </c>
      <c r="AB587" s="145">
        <v>5.9</v>
      </c>
      <c r="AC587" s="145">
        <v>7.21</v>
      </c>
      <c r="AD587" s="145" t="s">
        <v>400</v>
      </c>
      <c r="AE587" s="145">
        <v>43.37</v>
      </c>
      <c r="AF587" s="145" t="s">
        <v>400</v>
      </c>
      <c r="AG587" s="145">
        <v>2.3940000000000001</v>
      </c>
      <c r="AH587" s="145" t="s">
        <v>400</v>
      </c>
      <c r="AI587" s="145" t="s">
        <v>400</v>
      </c>
      <c r="AJ587" s="145">
        <v>3.1</v>
      </c>
      <c r="AK587" s="145" t="s">
        <v>400</v>
      </c>
      <c r="AL587" s="145">
        <v>55.51</v>
      </c>
      <c r="AM587" s="145">
        <v>58.453000000000003</v>
      </c>
    </row>
    <row r="588" spans="1:39">
      <c r="A588" s="143" t="s">
        <v>1648</v>
      </c>
      <c r="B588" s="144">
        <v>100</v>
      </c>
      <c r="C588" s="145">
        <v>567</v>
      </c>
      <c r="D588" s="145">
        <v>25.8</v>
      </c>
      <c r="E588" s="145">
        <v>49.24</v>
      </c>
      <c r="F588" s="145">
        <v>6.8339999999999996</v>
      </c>
      <c r="G588" s="145">
        <v>24.428999999999998</v>
      </c>
      <c r="H588" s="145">
        <v>15.558999999999999</v>
      </c>
      <c r="I588" s="145">
        <v>15.555</v>
      </c>
      <c r="J588" s="145">
        <v>3.0000000000000001E-3</v>
      </c>
      <c r="K588" s="145" t="s">
        <v>400</v>
      </c>
      <c r="L588" s="145">
        <v>16.13</v>
      </c>
      <c r="M588" s="145">
        <v>8.5</v>
      </c>
      <c r="N588" s="145">
        <v>92</v>
      </c>
      <c r="O588" s="145">
        <v>168</v>
      </c>
      <c r="P588" s="145">
        <v>1.9339999999999999</v>
      </c>
      <c r="Q588" s="145">
        <v>376</v>
      </c>
      <c r="R588" s="145">
        <v>4.58</v>
      </c>
      <c r="S588" s="145">
        <v>18</v>
      </c>
      <c r="T588" s="145">
        <v>705</v>
      </c>
      <c r="U588" s="145">
        <v>1.1439999999999999</v>
      </c>
      <c r="V588" s="145">
        <v>3.27</v>
      </c>
      <c r="W588" s="145" t="s">
        <v>400</v>
      </c>
      <c r="X588" s="145">
        <v>0.64</v>
      </c>
      <c r="Y588" s="145">
        <v>0.13500000000000001</v>
      </c>
      <c r="Z588" s="146">
        <v>0.34799999999999998</v>
      </c>
      <c r="AA588" s="145">
        <v>12.066000000000001</v>
      </c>
      <c r="AB588" s="145" t="s">
        <v>400</v>
      </c>
      <c r="AC588" s="145">
        <v>16.233000000000001</v>
      </c>
      <c r="AD588" s="145" t="s">
        <v>400</v>
      </c>
      <c r="AE588" s="145">
        <v>240</v>
      </c>
      <c r="AF588" s="145" t="s">
        <v>400</v>
      </c>
      <c r="AG588" s="145">
        <v>8.33</v>
      </c>
      <c r="AH588" s="145" t="s">
        <v>400</v>
      </c>
      <c r="AI588" s="145" t="s">
        <v>400</v>
      </c>
      <c r="AJ588" s="145">
        <v>7.2</v>
      </c>
      <c r="AK588" s="145" t="s">
        <v>400</v>
      </c>
      <c r="AL588" s="145">
        <v>4</v>
      </c>
      <c r="AM588" s="145" t="s">
        <v>400</v>
      </c>
    </row>
    <row r="589" spans="1:39">
      <c r="A589" s="143" t="s">
        <v>1649</v>
      </c>
      <c r="B589" s="144">
        <v>100</v>
      </c>
      <c r="C589" s="145">
        <v>519</v>
      </c>
      <c r="D589" s="145">
        <v>13.1</v>
      </c>
      <c r="E589" s="145">
        <v>33.5</v>
      </c>
      <c r="F589" s="145">
        <v>14.6</v>
      </c>
      <c r="G589" s="145">
        <v>12.92</v>
      </c>
      <c r="H589" s="145">
        <v>4.33</v>
      </c>
      <c r="I589" s="145">
        <v>4.2220000000000004</v>
      </c>
      <c r="J589" s="145">
        <v>0.04</v>
      </c>
      <c r="K589" s="145">
        <v>9</v>
      </c>
      <c r="L589" s="145">
        <v>49.7</v>
      </c>
      <c r="M589" s="145">
        <v>4.7</v>
      </c>
      <c r="N589" s="145">
        <v>104</v>
      </c>
      <c r="O589" s="145">
        <v>96</v>
      </c>
      <c r="P589" s="145">
        <v>0.94499999999999995</v>
      </c>
      <c r="Q589" s="145">
        <v>212</v>
      </c>
      <c r="R589" s="145">
        <v>1.31</v>
      </c>
      <c r="S589" s="145">
        <v>41</v>
      </c>
      <c r="T589" s="145">
        <v>502</v>
      </c>
      <c r="U589" s="145">
        <v>0.54400000000000004</v>
      </c>
      <c r="V589" s="145">
        <v>2.6</v>
      </c>
      <c r="W589" s="145">
        <v>41</v>
      </c>
      <c r="X589" s="145">
        <v>0.11600000000000001</v>
      </c>
      <c r="Y589" s="145">
        <v>0.17399999999999999</v>
      </c>
      <c r="Z589" s="146">
        <v>0.1</v>
      </c>
      <c r="AA589" s="145">
        <v>4.2489999999999997</v>
      </c>
      <c r="AB589" s="145" t="s">
        <v>400</v>
      </c>
      <c r="AC589" s="145">
        <v>6.5819999999999999</v>
      </c>
      <c r="AD589" s="145">
        <v>0.53</v>
      </c>
      <c r="AE589" s="145">
        <v>51</v>
      </c>
      <c r="AF589" s="145" t="s">
        <v>400</v>
      </c>
      <c r="AG589" s="145">
        <v>2.4</v>
      </c>
      <c r="AH589" s="145">
        <v>4.3999999999999997E-2</v>
      </c>
      <c r="AI589" s="145" t="s">
        <v>400</v>
      </c>
      <c r="AJ589" s="145">
        <v>5.4</v>
      </c>
      <c r="AK589" s="145">
        <v>41.5</v>
      </c>
      <c r="AL589" s="145">
        <v>40.901000000000003</v>
      </c>
      <c r="AM589" s="145">
        <v>37.878</v>
      </c>
    </row>
    <row r="590" spans="1:39">
      <c r="A590" s="143" t="s">
        <v>1650</v>
      </c>
      <c r="B590" s="144">
        <v>100</v>
      </c>
      <c r="C590" s="145">
        <v>567</v>
      </c>
      <c r="D590" s="145">
        <v>25.8</v>
      </c>
      <c r="E590" s="145">
        <v>49.24</v>
      </c>
      <c r="F590" s="145">
        <v>6.8339999999999996</v>
      </c>
      <c r="G590" s="145">
        <v>24.428999999999998</v>
      </c>
      <c r="H590" s="145">
        <v>15.558999999999999</v>
      </c>
      <c r="I590" s="145">
        <v>15.555</v>
      </c>
      <c r="J590" s="145">
        <v>3.0000000000000001E-3</v>
      </c>
      <c r="K590" s="145" t="s">
        <v>400</v>
      </c>
      <c r="L590" s="145">
        <v>16.13</v>
      </c>
      <c r="M590" s="145">
        <v>8.5</v>
      </c>
      <c r="N590" s="145">
        <v>92</v>
      </c>
      <c r="O590" s="145">
        <v>168</v>
      </c>
      <c r="P590" s="145">
        <v>1.9339999999999999</v>
      </c>
      <c r="Q590" s="145">
        <v>376</v>
      </c>
      <c r="R590" s="145">
        <v>4.58</v>
      </c>
      <c r="S590" s="145">
        <v>18</v>
      </c>
      <c r="T590" s="145">
        <v>705</v>
      </c>
      <c r="U590" s="145">
        <v>1.1439999999999999</v>
      </c>
      <c r="V590" s="145">
        <v>3.27</v>
      </c>
      <c r="W590" s="145" t="s">
        <v>400</v>
      </c>
      <c r="X590" s="145">
        <v>0.64</v>
      </c>
      <c r="Y590" s="145">
        <v>0.13500000000000001</v>
      </c>
      <c r="Z590" s="146">
        <v>0.34799999999999998</v>
      </c>
      <c r="AA590" s="145">
        <v>12.066000000000001</v>
      </c>
      <c r="AB590" s="145" t="s">
        <v>400</v>
      </c>
      <c r="AC590" s="145">
        <v>16.233000000000001</v>
      </c>
      <c r="AD590" s="145" t="s">
        <v>400</v>
      </c>
      <c r="AE590" s="145">
        <v>240</v>
      </c>
      <c r="AF590" s="145" t="s">
        <v>400</v>
      </c>
      <c r="AG590" s="145">
        <v>8.33</v>
      </c>
      <c r="AH590" s="145" t="s">
        <v>400</v>
      </c>
      <c r="AI590" s="145" t="s">
        <v>400</v>
      </c>
      <c r="AJ590" s="145">
        <v>7.2</v>
      </c>
      <c r="AK590" s="145" t="s">
        <v>400</v>
      </c>
      <c r="AL590" s="145">
        <v>4</v>
      </c>
      <c r="AM590" s="145" t="s">
        <v>400</v>
      </c>
    </row>
    <row r="591" spans="1:39">
      <c r="A591" s="143" t="s">
        <v>1651</v>
      </c>
      <c r="B591" s="144">
        <v>100</v>
      </c>
      <c r="C591" s="145">
        <v>318</v>
      </c>
      <c r="D591" s="145">
        <v>13.5</v>
      </c>
      <c r="E591" s="145">
        <v>22.01</v>
      </c>
      <c r="F591" s="145">
        <v>3.0550000000000002</v>
      </c>
      <c r="G591" s="145">
        <v>10.920999999999999</v>
      </c>
      <c r="H591" s="145">
        <v>6.9560000000000004</v>
      </c>
      <c r="I591" s="145">
        <v>6.9539999999999997</v>
      </c>
      <c r="J591" s="145">
        <v>1E-3</v>
      </c>
      <c r="K591" s="145" t="s">
        <v>400</v>
      </c>
      <c r="L591" s="145">
        <v>21.26</v>
      </c>
      <c r="M591" s="145">
        <v>8.8000000000000007</v>
      </c>
      <c r="N591" s="145">
        <v>55</v>
      </c>
      <c r="O591" s="145">
        <v>102</v>
      </c>
      <c r="P591" s="145">
        <v>1.0229999999999999</v>
      </c>
      <c r="Q591" s="145">
        <v>198</v>
      </c>
      <c r="R591" s="145">
        <v>1.01</v>
      </c>
      <c r="S591" s="145">
        <v>751</v>
      </c>
      <c r="T591" s="145">
        <v>180</v>
      </c>
      <c r="U591" s="145">
        <v>0.499</v>
      </c>
      <c r="V591" s="145">
        <v>1.83</v>
      </c>
      <c r="W591" s="145" t="s">
        <v>400</v>
      </c>
      <c r="X591" s="145">
        <v>0.25900000000000001</v>
      </c>
      <c r="Y591" s="145">
        <v>6.3E-2</v>
      </c>
      <c r="Z591" s="146">
        <v>0.152</v>
      </c>
      <c r="AA591" s="145">
        <v>5.2590000000000003</v>
      </c>
      <c r="AB591" s="145" t="s">
        <v>400</v>
      </c>
      <c r="AC591" s="145">
        <v>7.4420000000000002</v>
      </c>
      <c r="AD591" s="145" t="s">
        <v>400</v>
      </c>
      <c r="AE591" s="145">
        <v>75</v>
      </c>
      <c r="AF591" s="145" t="s">
        <v>400</v>
      </c>
      <c r="AG591" s="145">
        <v>4.0999999999999996</v>
      </c>
      <c r="AH591" s="145" t="s">
        <v>400</v>
      </c>
      <c r="AI591" s="145" t="s">
        <v>400</v>
      </c>
      <c r="AJ591" s="145">
        <v>4.4000000000000004</v>
      </c>
      <c r="AK591" s="145" t="s">
        <v>400</v>
      </c>
      <c r="AL591" s="145">
        <v>2.02</v>
      </c>
      <c r="AM591" s="145" t="s">
        <v>400</v>
      </c>
    </row>
    <row r="592" spans="1:39">
      <c r="A592" s="143" t="s">
        <v>1652</v>
      </c>
      <c r="B592" s="144">
        <v>100</v>
      </c>
      <c r="C592" s="145">
        <v>334.476</v>
      </c>
      <c r="D592" s="145">
        <v>7.524</v>
      </c>
      <c r="E592" s="145">
        <v>10.143000000000001</v>
      </c>
      <c r="F592" s="145">
        <v>5.4930000000000003</v>
      </c>
      <c r="G592" s="145">
        <v>3.1970000000000001</v>
      </c>
      <c r="H592" s="145">
        <v>0.94099999999999995</v>
      </c>
      <c r="I592" s="145">
        <v>0.78300000000000003</v>
      </c>
      <c r="J592" s="145">
        <v>0.158</v>
      </c>
      <c r="K592" s="145">
        <v>31.69</v>
      </c>
      <c r="L592" s="145">
        <v>54.863999999999997</v>
      </c>
      <c r="M592" s="145">
        <v>0.22900000000000001</v>
      </c>
      <c r="N592" s="145">
        <v>266.19</v>
      </c>
      <c r="O592" s="145">
        <v>28.881</v>
      </c>
      <c r="P592" s="145">
        <v>3.9E-2</v>
      </c>
      <c r="Q592" s="145">
        <v>241.571</v>
      </c>
      <c r="R592" s="145">
        <v>0.32600000000000001</v>
      </c>
      <c r="S592" s="145">
        <v>128.595</v>
      </c>
      <c r="T592" s="145">
        <v>373.64299999999997</v>
      </c>
      <c r="U592" s="145">
        <v>4.8000000000000001E-2</v>
      </c>
      <c r="V592" s="145">
        <v>0.95099999999999996</v>
      </c>
      <c r="W592" s="145">
        <v>87.31</v>
      </c>
      <c r="X592" s="145">
        <v>8.5000000000000006E-2</v>
      </c>
      <c r="Y592" s="145">
        <v>0.39400000000000002</v>
      </c>
      <c r="Z592" s="146">
        <v>4.8000000000000001E-2</v>
      </c>
      <c r="AA592" s="145">
        <v>0.22</v>
      </c>
      <c r="AB592" s="145">
        <v>2.452</v>
      </c>
      <c r="AC592" s="145">
        <v>1.994</v>
      </c>
      <c r="AD592" s="145">
        <v>0.41099999999999998</v>
      </c>
      <c r="AE592" s="145">
        <v>10.476000000000001</v>
      </c>
      <c r="AF592" s="145">
        <v>0.121</v>
      </c>
      <c r="AG592" s="145">
        <v>0.24</v>
      </c>
      <c r="AH592" s="145">
        <v>0.59</v>
      </c>
      <c r="AI592" s="145" t="s">
        <v>400</v>
      </c>
      <c r="AJ592" s="145">
        <v>13.867000000000001</v>
      </c>
      <c r="AK592" s="145">
        <v>89.355000000000004</v>
      </c>
      <c r="AL592" s="145">
        <v>52.588999999999999</v>
      </c>
      <c r="AM592" s="145">
        <v>43.895000000000003</v>
      </c>
    </row>
    <row r="593" spans="1:39">
      <c r="A593" s="143" t="s">
        <v>1653</v>
      </c>
      <c r="B593" s="144">
        <v>100</v>
      </c>
      <c r="C593" s="145">
        <v>339.255</v>
      </c>
      <c r="D593" s="145">
        <v>6.3209999999999997</v>
      </c>
      <c r="E593" s="145">
        <v>26.927</v>
      </c>
      <c r="F593" s="145">
        <v>15.901</v>
      </c>
      <c r="G593" s="145">
        <v>7.6980000000000004</v>
      </c>
      <c r="H593" s="145">
        <v>1.274</v>
      </c>
      <c r="I593" s="145">
        <v>1.0629999999999999</v>
      </c>
      <c r="J593" s="145">
        <v>0.156</v>
      </c>
      <c r="K593" s="145">
        <v>194.01300000000001</v>
      </c>
      <c r="L593" s="145">
        <v>18.547999999999998</v>
      </c>
      <c r="M593" s="145">
        <v>0.54300000000000004</v>
      </c>
      <c r="N593" s="145">
        <v>45.491999999999997</v>
      </c>
      <c r="O593" s="145">
        <v>9.8439999999999994</v>
      </c>
      <c r="P593" s="145">
        <v>0.13</v>
      </c>
      <c r="Q593" s="145">
        <v>93.2</v>
      </c>
      <c r="R593" s="145">
        <v>1.1830000000000001</v>
      </c>
      <c r="S593" s="145">
        <v>50.561</v>
      </c>
      <c r="T593" s="145">
        <v>92.241</v>
      </c>
      <c r="U593" s="145">
        <v>3.7999999999999999E-2</v>
      </c>
      <c r="V593" s="145">
        <v>0.52900000000000003</v>
      </c>
      <c r="W593" s="145">
        <v>250.49199999999999</v>
      </c>
      <c r="X593" s="145">
        <v>0.16800000000000001</v>
      </c>
      <c r="Y593" s="145">
        <v>0.28399999999999997</v>
      </c>
      <c r="Z593" s="146">
        <v>5.2999999999999999E-2</v>
      </c>
      <c r="AA593" s="145">
        <v>1.0940000000000001</v>
      </c>
      <c r="AB593" s="145">
        <v>0.20499999999999999</v>
      </c>
      <c r="AC593" s="145">
        <v>2.41</v>
      </c>
      <c r="AD593" s="145">
        <v>0.41299999999999998</v>
      </c>
      <c r="AE593" s="145">
        <v>50.881</v>
      </c>
      <c r="AF593" s="145">
        <v>0.96899999999999997</v>
      </c>
      <c r="AG593" s="145">
        <v>0.98199999999999998</v>
      </c>
      <c r="AH593" s="145">
        <v>0.90800000000000003</v>
      </c>
      <c r="AI593" s="145" t="s">
        <v>400</v>
      </c>
      <c r="AJ593" s="145">
        <v>15.217000000000001</v>
      </c>
      <c r="AK593" s="145">
        <v>254.71799999999999</v>
      </c>
      <c r="AL593" s="145">
        <v>4.9470000000000001</v>
      </c>
      <c r="AM593" s="145">
        <v>3.573</v>
      </c>
    </row>
    <row r="594" spans="1:39">
      <c r="A594" s="143" t="s">
        <v>1654</v>
      </c>
      <c r="B594" s="144">
        <v>100</v>
      </c>
      <c r="C594" s="145">
        <v>440.33100000000002</v>
      </c>
      <c r="D594" s="145">
        <v>2.3580000000000001</v>
      </c>
      <c r="E594" s="145">
        <v>29.03</v>
      </c>
      <c r="F594" s="145">
        <v>14.378</v>
      </c>
      <c r="G594" s="145">
        <v>9.8879999999999999</v>
      </c>
      <c r="H594" s="145">
        <v>3.2320000000000002</v>
      </c>
      <c r="I594" s="145">
        <v>2.9750000000000001</v>
      </c>
      <c r="J594" s="145">
        <v>0.24399999999999999</v>
      </c>
      <c r="K594" s="145">
        <v>56.043999999999997</v>
      </c>
      <c r="L594" s="145">
        <v>43.22</v>
      </c>
      <c r="M594" s="145">
        <v>0.42499999999999999</v>
      </c>
      <c r="N594" s="145">
        <v>32.51</v>
      </c>
      <c r="O594" s="145">
        <v>6.1769999999999996</v>
      </c>
      <c r="P594" s="145">
        <v>9.8000000000000004E-2</v>
      </c>
      <c r="Q594" s="145">
        <v>40.941000000000003</v>
      </c>
      <c r="R594" s="145">
        <v>0.66900000000000004</v>
      </c>
      <c r="S594" s="145">
        <v>199.136</v>
      </c>
      <c r="T594" s="145">
        <v>56.872999999999998</v>
      </c>
      <c r="U594" s="145">
        <v>2.5000000000000001E-2</v>
      </c>
      <c r="V594" s="145">
        <v>0.20799999999999999</v>
      </c>
      <c r="W594" s="145">
        <v>131.15899999999999</v>
      </c>
      <c r="X594" s="145">
        <v>0.12</v>
      </c>
      <c r="Y594" s="145">
        <v>0.127</v>
      </c>
      <c r="Z594" s="146">
        <v>1.7000000000000001E-2</v>
      </c>
      <c r="AA594" s="145">
        <v>0.84899999999999998</v>
      </c>
      <c r="AB594" s="145">
        <v>0.19</v>
      </c>
      <c r="AC594" s="145">
        <v>1.355</v>
      </c>
      <c r="AD594" s="145">
        <v>0.10100000000000001</v>
      </c>
      <c r="AE594" s="145">
        <v>30.204999999999998</v>
      </c>
      <c r="AF594" s="145">
        <v>0.49199999999999999</v>
      </c>
      <c r="AG594" s="145">
        <v>0.57099999999999995</v>
      </c>
      <c r="AH594" s="145">
        <v>2.0499999999999998</v>
      </c>
      <c r="AI594" s="145" t="s">
        <v>400</v>
      </c>
      <c r="AJ594" s="145">
        <v>5.3040000000000003</v>
      </c>
      <c r="AK594" s="145">
        <v>133.56700000000001</v>
      </c>
      <c r="AL594" s="145">
        <v>31.504000000000001</v>
      </c>
      <c r="AM594" s="145">
        <v>31.277999999999999</v>
      </c>
    </row>
    <row r="595" spans="1:39">
      <c r="A595" s="143" t="s">
        <v>1655</v>
      </c>
      <c r="B595" s="144">
        <v>100</v>
      </c>
      <c r="C595" s="145">
        <v>404.8</v>
      </c>
      <c r="D595" s="145">
        <v>1.01</v>
      </c>
      <c r="E595" s="145">
        <v>12.46</v>
      </c>
      <c r="F595" s="145">
        <v>11.01</v>
      </c>
      <c r="G595" s="145">
        <v>0.53</v>
      </c>
      <c r="H595" s="145">
        <v>0.14000000000000001</v>
      </c>
      <c r="I595" s="145">
        <v>0.14000000000000001</v>
      </c>
      <c r="J595" s="145" t="s">
        <v>400</v>
      </c>
      <c r="K595" s="145" t="s">
        <v>400</v>
      </c>
      <c r="L595" s="145">
        <v>75.650000000000006</v>
      </c>
      <c r="M595" s="145">
        <v>1.58</v>
      </c>
      <c r="N595" s="145">
        <v>8.3000000000000007</v>
      </c>
      <c r="O595" s="145">
        <v>17.68</v>
      </c>
      <c r="P595" s="145">
        <v>0.87</v>
      </c>
      <c r="Q595" s="145">
        <v>37.450000000000003</v>
      </c>
      <c r="R595" s="145">
        <v>0.68</v>
      </c>
      <c r="S595" s="145">
        <v>107.35</v>
      </c>
      <c r="T595" s="145">
        <v>119.68</v>
      </c>
      <c r="U595" s="145">
        <v>0.11</v>
      </c>
      <c r="V595" s="145">
        <v>0.71</v>
      </c>
      <c r="W595" s="145" t="s">
        <v>400</v>
      </c>
      <c r="X595" s="145">
        <v>0.02</v>
      </c>
      <c r="Y595" s="145">
        <v>0.02</v>
      </c>
      <c r="Z595" s="145">
        <v>0.1</v>
      </c>
      <c r="AA595" s="145">
        <v>0.17</v>
      </c>
      <c r="AB595" s="145">
        <v>0.25</v>
      </c>
      <c r="AC595" s="145">
        <v>0.36</v>
      </c>
      <c r="AD595" s="145" t="s">
        <v>400</v>
      </c>
      <c r="AE595" s="145">
        <v>2.8</v>
      </c>
      <c r="AF595" s="145" t="s">
        <v>400</v>
      </c>
      <c r="AG595" s="145">
        <v>0.14000000000000001</v>
      </c>
      <c r="AH595" s="145" t="s">
        <v>400</v>
      </c>
      <c r="AI595" s="145" t="s">
        <v>400</v>
      </c>
      <c r="AJ595" s="145">
        <v>6.25</v>
      </c>
      <c r="AK595" s="145" t="s">
        <v>400</v>
      </c>
      <c r="AL595" s="145">
        <v>62.21</v>
      </c>
      <c r="AM595" s="145">
        <v>71.44</v>
      </c>
    </row>
    <row r="596" spans="1:39">
      <c r="A596" s="143" t="s">
        <v>1656</v>
      </c>
      <c r="B596" s="144">
        <v>100</v>
      </c>
      <c r="C596" s="145">
        <v>131.148</v>
      </c>
      <c r="D596" s="145">
        <v>5.5839999999999996</v>
      </c>
      <c r="E596" s="145">
        <v>5.0659999999999998</v>
      </c>
      <c r="F596" s="145">
        <v>2.1360000000000001</v>
      </c>
      <c r="G596" s="145">
        <v>1.655</v>
      </c>
      <c r="H596" s="145">
        <v>0.51600000000000001</v>
      </c>
      <c r="I596" s="145">
        <v>0.40500000000000003</v>
      </c>
      <c r="J596" s="145">
        <v>0.06</v>
      </c>
      <c r="K596" s="145">
        <v>122.514</v>
      </c>
      <c r="L596" s="145">
        <v>15.439</v>
      </c>
      <c r="M596" s="145" t="s">
        <v>400</v>
      </c>
      <c r="N596" s="145">
        <v>89.201999999999998</v>
      </c>
      <c r="O596" s="145">
        <v>9.4939999999999998</v>
      </c>
      <c r="P596" s="145">
        <v>1.0999999999999999E-2</v>
      </c>
      <c r="Q596" s="145">
        <v>107.709</v>
      </c>
      <c r="R596" s="145">
        <v>0.34699999999999998</v>
      </c>
      <c r="S596" s="145">
        <v>60.616999999999997</v>
      </c>
      <c r="T596" s="145">
        <v>131.16800000000001</v>
      </c>
      <c r="U596" s="145">
        <v>1.0999999999999999E-2</v>
      </c>
      <c r="V596" s="145">
        <v>0.55400000000000005</v>
      </c>
      <c r="W596" s="145">
        <v>64.567999999999998</v>
      </c>
      <c r="X596" s="145">
        <v>4.7E-2</v>
      </c>
      <c r="Y596" s="145">
        <v>0.26500000000000001</v>
      </c>
      <c r="Z596" s="146">
        <v>5.7000000000000002E-2</v>
      </c>
      <c r="AA596" s="145">
        <v>9.1999999999999998E-2</v>
      </c>
      <c r="AB596" s="145" t="s">
        <v>400</v>
      </c>
      <c r="AC596" s="145">
        <v>1.6220000000000001</v>
      </c>
      <c r="AD596" s="145">
        <v>0.59699999999999998</v>
      </c>
      <c r="AE596" s="145">
        <v>15.355</v>
      </c>
      <c r="AF596" s="145">
        <v>1.016</v>
      </c>
      <c r="AG596" s="145">
        <v>0.32100000000000001</v>
      </c>
      <c r="AH596" s="145">
        <v>7.6999999999999999E-2</v>
      </c>
      <c r="AI596" s="145" t="s">
        <v>400</v>
      </c>
      <c r="AJ596" s="145">
        <v>10.954000000000001</v>
      </c>
      <c r="AK596" s="145">
        <v>65.209999999999994</v>
      </c>
      <c r="AL596" s="145">
        <v>15.898</v>
      </c>
      <c r="AM596" s="145">
        <v>12.019</v>
      </c>
    </row>
    <row r="597" spans="1:39">
      <c r="A597" s="143" t="s">
        <v>1657</v>
      </c>
      <c r="B597" s="144">
        <v>100</v>
      </c>
      <c r="C597" s="145">
        <v>284.97899999999998</v>
      </c>
      <c r="D597" s="145">
        <v>8.2010000000000005</v>
      </c>
      <c r="E597" s="145">
        <v>10.738</v>
      </c>
      <c r="F597" s="145">
        <v>6.6269999999999998</v>
      </c>
      <c r="G597" s="145">
        <v>2.681</v>
      </c>
      <c r="H597" s="145">
        <v>0.55700000000000005</v>
      </c>
      <c r="I597" s="145">
        <v>0.434</v>
      </c>
      <c r="J597" s="145">
        <v>7.9000000000000001E-2</v>
      </c>
      <c r="K597" s="145">
        <v>118.443</v>
      </c>
      <c r="L597" s="145">
        <v>40.136000000000003</v>
      </c>
      <c r="M597" s="145">
        <v>0.33900000000000002</v>
      </c>
      <c r="N597" s="145">
        <v>201.26400000000001</v>
      </c>
      <c r="O597" s="145">
        <v>23.382999999999999</v>
      </c>
      <c r="P597" s="145">
        <v>0.19600000000000001</v>
      </c>
      <c r="Q597" s="145">
        <v>206.833</v>
      </c>
      <c r="R597" s="145">
        <v>0.54700000000000004</v>
      </c>
      <c r="S597" s="145">
        <v>129.465</v>
      </c>
      <c r="T597" s="145">
        <v>289.84500000000003</v>
      </c>
      <c r="U597" s="145">
        <v>3.7999999999999999E-2</v>
      </c>
      <c r="V597" s="145">
        <v>0.97399999999999998</v>
      </c>
      <c r="W597" s="145">
        <v>85.817999999999998</v>
      </c>
      <c r="X597" s="145">
        <v>6.7000000000000004E-2</v>
      </c>
      <c r="Y597" s="145">
        <v>0.378</v>
      </c>
      <c r="Z597" s="146">
        <v>8.3000000000000004E-2</v>
      </c>
      <c r="AA597" s="145">
        <v>0.19</v>
      </c>
      <c r="AB597" s="145">
        <v>1.641</v>
      </c>
      <c r="AC597" s="145">
        <v>2.0190000000000001</v>
      </c>
      <c r="AD597" s="145">
        <v>0.47599999999999998</v>
      </c>
      <c r="AE597" s="145">
        <v>17.326000000000001</v>
      </c>
      <c r="AF597" s="145">
        <v>0.89900000000000002</v>
      </c>
      <c r="AG597" s="145">
        <v>0.36799999999999999</v>
      </c>
      <c r="AH597" s="145">
        <v>0.20100000000000001</v>
      </c>
      <c r="AI597" s="145" t="s">
        <v>400</v>
      </c>
      <c r="AJ597" s="145">
        <v>14.993</v>
      </c>
      <c r="AK597" s="145">
        <v>86.875</v>
      </c>
      <c r="AL597" s="145">
        <v>38.630000000000003</v>
      </c>
      <c r="AM597" s="145">
        <v>31.611000000000001</v>
      </c>
    </row>
    <row r="598" spans="1:39">
      <c r="A598" s="143" t="s">
        <v>1658</v>
      </c>
      <c r="B598" s="144">
        <v>100</v>
      </c>
      <c r="C598" s="145">
        <v>131.148</v>
      </c>
      <c r="D598" s="145">
        <v>5.5839999999999996</v>
      </c>
      <c r="E598" s="145">
        <v>5.0659999999999998</v>
      </c>
      <c r="F598" s="145">
        <v>2.1360000000000001</v>
      </c>
      <c r="G598" s="145">
        <v>1.655</v>
      </c>
      <c r="H598" s="145">
        <v>0.51600000000000001</v>
      </c>
      <c r="I598" s="145">
        <v>0.40500000000000003</v>
      </c>
      <c r="J598" s="145">
        <v>0.06</v>
      </c>
      <c r="K598" s="145">
        <v>122.514</v>
      </c>
      <c r="L598" s="145">
        <v>15.439</v>
      </c>
      <c r="M598" s="145" t="s">
        <v>400</v>
      </c>
      <c r="N598" s="145">
        <v>89.201999999999998</v>
      </c>
      <c r="O598" s="145">
        <v>9.4939999999999998</v>
      </c>
      <c r="P598" s="145">
        <v>1.0999999999999999E-2</v>
      </c>
      <c r="Q598" s="145">
        <v>107.709</v>
      </c>
      <c r="R598" s="145">
        <v>0.34699999999999998</v>
      </c>
      <c r="S598" s="145">
        <v>60.616999999999997</v>
      </c>
      <c r="T598" s="145">
        <v>131.16800000000001</v>
      </c>
      <c r="U598" s="145">
        <v>1.0999999999999999E-2</v>
      </c>
      <c r="V598" s="145">
        <v>0.55400000000000005</v>
      </c>
      <c r="W598" s="145">
        <v>64.567999999999998</v>
      </c>
      <c r="X598" s="145">
        <v>4.7E-2</v>
      </c>
      <c r="Y598" s="145">
        <v>0.26500000000000001</v>
      </c>
      <c r="Z598" s="146">
        <v>5.7000000000000002E-2</v>
      </c>
      <c r="AA598" s="145">
        <v>9.1999999999999998E-2</v>
      </c>
      <c r="AB598" s="145" t="s">
        <v>400</v>
      </c>
      <c r="AC598" s="145">
        <v>1.6220000000000001</v>
      </c>
      <c r="AD598" s="145">
        <v>0.59699999999999998</v>
      </c>
      <c r="AE598" s="145">
        <v>15.355</v>
      </c>
      <c r="AF598" s="145">
        <v>1.016</v>
      </c>
      <c r="AG598" s="145">
        <v>0.32100000000000001</v>
      </c>
      <c r="AH598" s="145">
        <v>7.6999999999999999E-2</v>
      </c>
      <c r="AI598" s="145" t="s">
        <v>400</v>
      </c>
      <c r="AJ598" s="145">
        <v>10.954000000000001</v>
      </c>
      <c r="AK598" s="145">
        <v>65.209999999999994</v>
      </c>
      <c r="AL598" s="145">
        <v>15.898</v>
      </c>
      <c r="AM598" s="145">
        <v>12.019</v>
      </c>
    </row>
    <row r="599" spans="1:39">
      <c r="A599" s="143" t="s">
        <v>1659</v>
      </c>
      <c r="B599" s="144">
        <v>100</v>
      </c>
      <c r="C599" s="145">
        <v>131.148</v>
      </c>
      <c r="D599" s="145">
        <v>5.5839999999999996</v>
      </c>
      <c r="E599" s="145">
        <v>5.0659999999999998</v>
      </c>
      <c r="F599" s="145">
        <v>2.1360000000000001</v>
      </c>
      <c r="G599" s="145">
        <v>1.655</v>
      </c>
      <c r="H599" s="145">
        <v>0.51600000000000001</v>
      </c>
      <c r="I599" s="145">
        <v>0.40500000000000003</v>
      </c>
      <c r="J599" s="145">
        <v>0.06</v>
      </c>
      <c r="K599" s="145">
        <v>122.514</v>
      </c>
      <c r="L599" s="145">
        <v>15.439</v>
      </c>
      <c r="M599" s="145" t="s">
        <v>400</v>
      </c>
      <c r="N599" s="145">
        <v>89.201999999999998</v>
      </c>
      <c r="O599" s="145">
        <v>9.4939999999999998</v>
      </c>
      <c r="P599" s="145">
        <v>1.0999999999999999E-2</v>
      </c>
      <c r="Q599" s="145">
        <v>107.709</v>
      </c>
      <c r="R599" s="145">
        <v>0.34699999999999998</v>
      </c>
      <c r="S599" s="145">
        <v>60.616999999999997</v>
      </c>
      <c r="T599" s="145">
        <v>131.16800000000001</v>
      </c>
      <c r="U599" s="145">
        <v>1.0999999999999999E-2</v>
      </c>
      <c r="V599" s="145">
        <v>0.55400000000000005</v>
      </c>
      <c r="W599" s="145">
        <v>64.567999999999998</v>
      </c>
      <c r="X599" s="145">
        <v>4.7E-2</v>
      </c>
      <c r="Y599" s="145">
        <v>0.26500000000000001</v>
      </c>
      <c r="Z599" s="146">
        <v>5.7000000000000002E-2</v>
      </c>
      <c r="AA599" s="145">
        <v>9.1999999999999998E-2</v>
      </c>
      <c r="AB599" s="145" t="s">
        <v>400</v>
      </c>
      <c r="AC599" s="145">
        <v>1.6220000000000001</v>
      </c>
      <c r="AD599" s="145">
        <v>0.59699999999999998</v>
      </c>
      <c r="AE599" s="145">
        <v>15.355</v>
      </c>
      <c r="AF599" s="145">
        <v>1.016</v>
      </c>
      <c r="AG599" s="145">
        <v>0.32100000000000001</v>
      </c>
      <c r="AH599" s="145">
        <v>7.6999999999999999E-2</v>
      </c>
      <c r="AI599" s="145" t="s">
        <v>400</v>
      </c>
      <c r="AJ599" s="145">
        <v>10.954000000000001</v>
      </c>
      <c r="AK599" s="145">
        <v>65.209999999999994</v>
      </c>
      <c r="AL599" s="145">
        <v>15.898</v>
      </c>
      <c r="AM599" s="145">
        <v>12.019</v>
      </c>
    </row>
    <row r="600" spans="1:39">
      <c r="A600" s="143" t="s">
        <v>1660</v>
      </c>
      <c r="B600" s="144">
        <v>100</v>
      </c>
      <c r="C600" s="145">
        <v>319.69499999999999</v>
      </c>
      <c r="D600" s="145">
        <v>7.8780000000000001</v>
      </c>
      <c r="E600" s="145">
        <v>8.6649999999999991</v>
      </c>
      <c r="F600" s="145">
        <v>5.4640000000000004</v>
      </c>
      <c r="G600" s="145">
        <v>2.4169999999999998</v>
      </c>
      <c r="H600" s="145">
        <v>0.33600000000000002</v>
      </c>
      <c r="I600" s="145">
        <v>0.215</v>
      </c>
      <c r="J600" s="145">
        <v>0.121</v>
      </c>
      <c r="K600" s="145">
        <v>33.862000000000002</v>
      </c>
      <c r="L600" s="145">
        <v>54.179000000000002</v>
      </c>
      <c r="M600" s="145" t="s">
        <v>400</v>
      </c>
      <c r="N600" s="145">
        <v>282.846</v>
      </c>
      <c r="O600" s="145">
        <v>25.893999999999998</v>
      </c>
      <c r="P600" s="145">
        <v>6.0000000000000001E-3</v>
      </c>
      <c r="Q600" s="145">
        <v>251.97200000000001</v>
      </c>
      <c r="R600" s="145">
        <v>0.189</v>
      </c>
      <c r="S600" s="145">
        <v>126.48399999999999</v>
      </c>
      <c r="T600" s="145">
        <v>369.49200000000002</v>
      </c>
      <c r="U600" s="145">
        <v>1.4999999999999999E-2</v>
      </c>
      <c r="V600" s="145">
        <v>0.93600000000000005</v>
      </c>
      <c r="W600" s="145">
        <v>72.703000000000003</v>
      </c>
      <c r="X600" s="145">
        <v>0.09</v>
      </c>
      <c r="Y600" s="145">
        <v>0.41399999999999998</v>
      </c>
      <c r="Z600" s="146">
        <v>5.0999999999999997E-2</v>
      </c>
      <c r="AA600" s="145">
        <v>0.20899999999999999</v>
      </c>
      <c r="AB600" s="145">
        <v>2.589</v>
      </c>
      <c r="AC600" s="145">
        <v>2.0680000000000001</v>
      </c>
      <c r="AD600" s="145">
        <v>0.438</v>
      </c>
      <c r="AE600" s="145">
        <v>10.955</v>
      </c>
      <c r="AF600" s="145">
        <v>0.129</v>
      </c>
      <c r="AG600" s="145">
        <v>0.159</v>
      </c>
      <c r="AH600" s="145">
        <v>0.309</v>
      </c>
      <c r="AI600" s="145" t="s">
        <v>400</v>
      </c>
      <c r="AJ600" s="145">
        <v>14.74</v>
      </c>
      <c r="AK600" s="145">
        <v>73.864999999999995</v>
      </c>
      <c r="AL600" s="145">
        <v>52.511000000000003</v>
      </c>
      <c r="AM600" s="145">
        <v>43.015000000000001</v>
      </c>
    </row>
    <row r="601" spans="1:39">
      <c r="A601" s="143" t="s">
        <v>1661</v>
      </c>
      <c r="B601" s="144">
        <v>100</v>
      </c>
      <c r="C601" s="145">
        <v>306.428</v>
      </c>
      <c r="D601" s="145">
        <v>4.9349999999999996</v>
      </c>
      <c r="E601" s="145">
        <v>22.238</v>
      </c>
      <c r="F601" s="145">
        <v>12.879</v>
      </c>
      <c r="G601" s="145">
        <v>7.0309999999999997</v>
      </c>
      <c r="H601" s="145">
        <v>1.246</v>
      </c>
      <c r="I601" s="145">
        <v>0.92300000000000004</v>
      </c>
      <c r="J601" s="145">
        <v>0.28199999999999997</v>
      </c>
      <c r="K601" s="145">
        <v>151.852</v>
      </c>
      <c r="L601" s="145">
        <v>21.594000000000001</v>
      </c>
      <c r="M601" s="145">
        <v>0.35699999999999998</v>
      </c>
      <c r="N601" s="145">
        <v>66.082999999999998</v>
      </c>
      <c r="O601" s="145">
        <v>11.989000000000001</v>
      </c>
      <c r="P601" s="145">
        <v>8.2000000000000003E-2</v>
      </c>
      <c r="Q601" s="145">
        <v>96.188999999999993</v>
      </c>
      <c r="R601" s="145">
        <v>0.89500000000000002</v>
      </c>
      <c r="S601" s="145">
        <v>151.953</v>
      </c>
      <c r="T601" s="145">
        <v>121.431</v>
      </c>
      <c r="U601" s="145">
        <v>3.4000000000000002E-2</v>
      </c>
      <c r="V601" s="145">
        <v>0.50900000000000001</v>
      </c>
      <c r="W601" s="145">
        <v>230.15</v>
      </c>
      <c r="X601" s="145">
        <v>0.06</v>
      </c>
      <c r="Y601" s="145">
        <v>0.17299999999999999</v>
      </c>
      <c r="Z601" s="146">
        <v>5.5E-2</v>
      </c>
      <c r="AA601" s="145">
        <v>0.47199999999999998</v>
      </c>
      <c r="AB601" s="145">
        <v>0.161</v>
      </c>
      <c r="AC601" s="145">
        <v>1.345</v>
      </c>
      <c r="AD601" s="145">
        <v>0.36399999999999999</v>
      </c>
      <c r="AE601" s="145">
        <v>24.273</v>
      </c>
      <c r="AF601" s="145">
        <v>0.67</v>
      </c>
      <c r="AG601" s="145">
        <v>0.52700000000000002</v>
      </c>
      <c r="AH601" s="145">
        <v>0.94099999999999995</v>
      </c>
      <c r="AI601" s="145" t="s">
        <v>400</v>
      </c>
      <c r="AJ601" s="145">
        <v>6.742</v>
      </c>
      <c r="AK601" s="145">
        <v>234.48699999999999</v>
      </c>
      <c r="AL601" s="145">
        <v>17.103999999999999</v>
      </c>
      <c r="AM601" s="145">
        <v>14.672000000000001</v>
      </c>
    </row>
    <row r="602" spans="1:39">
      <c r="A602" s="143" t="s">
        <v>1662</v>
      </c>
      <c r="B602" s="144">
        <v>100</v>
      </c>
      <c r="C602" s="145">
        <v>144.22800000000001</v>
      </c>
      <c r="D602" s="145">
        <v>4.0869999999999997</v>
      </c>
      <c r="E602" s="145">
        <v>3.839</v>
      </c>
      <c r="F602" s="145">
        <v>1.716</v>
      </c>
      <c r="G602" s="145">
        <v>1.1819999999999999</v>
      </c>
      <c r="H602" s="145">
        <v>0.38400000000000001</v>
      </c>
      <c r="I602" s="145">
        <v>0.28699999999999998</v>
      </c>
      <c r="J602" s="145">
        <v>6.5000000000000002E-2</v>
      </c>
      <c r="K602" s="145">
        <v>75.358000000000004</v>
      </c>
      <c r="L602" s="145">
        <v>23.875</v>
      </c>
      <c r="M602" s="145">
        <v>0.26400000000000001</v>
      </c>
      <c r="N602" s="145">
        <v>83.71</v>
      </c>
      <c r="O602" s="145">
        <v>8.8369999999999997</v>
      </c>
      <c r="P602" s="145">
        <v>0.15</v>
      </c>
      <c r="Q602" s="145">
        <v>85.228999999999999</v>
      </c>
      <c r="R602" s="145">
        <v>0.26800000000000002</v>
      </c>
      <c r="S602" s="145">
        <v>46.098999999999997</v>
      </c>
      <c r="T602" s="145">
        <v>114.643</v>
      </c>
      <c r="U602" s="145">
        <v>1.0999999999999999E-2</v>
      </c>
      <c r="V602" s="145">
        <v>0.42899999999999999</v>
      </c>
      <c r="W602" s="145">
        <v>44.83</v>
      </c>
      <c r="X602" s="145">
        <v>3.9E-2</v>
      </c>
      <c r="Y602" s="145">
        <v>0.20200000000000001</v>
      </c>
      <c r="Z602" s="146">
        <v>4.3999999999999997E-2</v>
      </c>
      <c r="AA602" s="145">
        <v>8.5000000000000006E-2</v>
      </c>
      <c r="AB602" s="145">
        <v>0.255</v>
      </c>
      <c r="AC602" s="145">
        <v>1.282</v>
      </c>
      <c r="AD602" s="145">
        <v>0.45500000000000002</v>
      </c>
      <c r="AE602" s="145">
        <v>10.587</v>
      </c>
      <c r="AF602" s="145">
        <v>0.83099999999999996</v>
      </c>
      <c r="AG602" s="145">
        <v>0.23799999999999999</v>
      </c>
      <c r="AH602" s="145">
        <v>7.1999999999999995E-2</v>
      </c>
      <c r="AI602" s="145" t="s">
        <v>400</v>
      </c>
      <c r="AJ602" s="145">
        <v>7.476</v>
      </c>
      <c r="AK602" s="145">
        <v>45.430999999999997</v>
      </c>
      <c r="AL602" s="145">
        <v>23.263999999999999</v>
      </c>
      <c r="AM602" s="145">
        <v>20.449000000000002</v>
      </c>
    </row>
    <row r="603" spans="1:39">
      <c r="A603" s="143" t="s">
        <v>1663</v>
      </c>
      <c r="B603" s="144">
        <v>100</v>
      </c>
      <c r="C603" s="145">
        <v>131.148</v>
      </c>
      <c r="D603" s="145">
        <v>5.5839999999999996</v>
      </c>
      <c r="E603" s="145">
        <v>5.0659999999999998</v>
      </c>
      <c r="F603" s="145">
        <v>2.1360000000000001</v>
      </c>
      <c r="G603" s="145">
        <v>1.655</v>
      </c>
      <c r="H603" s="145">
        <v>0.51600000000000001</v>
      </c>
      <c r="I603" s="145">
        <v>0.40500000000000003</v>
      </c>
      <c r="J603" s="145">
        <v>0.06</v>
      </c>
      <c r="K603" s="145">
        <v>122.514</v>
      </c>
      <c r="L603" s="145">
        <v>15.439</v>
      </c>
      <c r="M603" s="145" t="s">
        <v>400</v>
      </c>
      <c r="N603" s="145">
        <v>89.201999999999998</v>
      </c>
      <c r="O603" s="145">
        <v>9.4939999999999998</v>
      </c>
      <c r="P603" s="145">
        <v>1.0999999999999999E-2</v>
      </c>
      <c r="Q603" s="145">
        <v>107.709</v>
      </c>
      <c r="R603" s="145">
        <v>0.34699999999999998</v>
      </c>
      <c r="S603" s="145">
        <v>60.616999999999997</v>
      </c>
      <c r="T603" s="145">
        <v>131.16800000000001</v>
      </c>
      <c r="U603" s="145">
        <v>1.0999999999999999E-2</v>
      </c>
      <c r="V603" s="145">
        <v>0.55400000000000005</v>
      </c>
      <c r="W603" s="145">
        <v>64.567999999999998</v>
      </c>
      <c r="X603" s="145">
        <v>4.7E-2</v>
      </c>
      <c r="Y603" s="145">
        <v>0.26500000000000001</v>
      </c>
      <c r="Z603" s="146">
        <v>5.7000000000000002E-2</v>
      </c>
      <c r="AA603" s="145">
        <v>9.1999999999999998E-2</v>
      </c>
      <c r="AB603" s="145" t="s">
        <v>400</v>
      </c>
      <c r="AC603" s="145">
        <v>1.6220000000000001</v>
      </c>
      <c r="AD603" s="145">
        <v>0.59699999999999998</v>
      </c>
      <c r="AE603" s="145">
        <v>15.355</v>
      </c>
      <c r="AF603" s="145">
        <v>1.016</v>
      </c>
      <c r="AG603" s="145">
        <v>0.32100000000000001</v>
      </c>
      <c r="AH603" s="145">
        <v>7.6999999999999999E-2</v>
      </c>
      <c r="AI603" s="145" t="s">
        <v>400</v>
      </c>
      <c r="AJ603" s="145">
        <v>10.954000000000001</v>
      </c>
      <c r="AK603" s="145">
        <v>65.209999999999994</v>
      </c>
      <c r="AL603" s="145">
        <v>15.898</v>
      </c>
      <c r="AM603" s="145">
        <v>12.019</v>
      </c>
    </row>
    <row r="604" spans="1:39">
      <c r="A604" s="143" t="s">
        <v>1664</v>
      </c>
      <c r="B604" s="144">
        <v>100</v>
      </c>
      <c r="C604" s="145">
        <v>131.148</v>
      </c>
      <c r="D604" s="145">
        <v>5.5839999999999996</v>
      </c>
      <c r="E604" s="145">
        <v>5.0659999999999998</v>
      </c>
      <c r="F604" s="145">
        <v>2.1360000000000001</v>
      </c>
      <c r="G604" s="145">
        <v>1.655</v>
      </c>
      <c r="H604" s="145">
        <v>0.51600000000000001</v>
      </c>
      <c r="I604" s="145">
        <v>0.40500000000000003</v>
      </c>
      <c r="J604" s="145">
        <v>0.06</v>
      </c>
      <c r="K604" s="145">
        <v>122.514</v>
      </c>
      <c r="L604" s="145">
        <v>15.439</v>
      </c>
      <c r="M604" s="145" t="s">
        <v>400</v>
      </c>
      <c r="N604" s="145">
        <v>89.201999999999998</v>
      </c>
      <c r="O604" s="145">
        <v>9.4939999999999998</v>
      </c>
      <c r="P604" s="145">
        <v>1.0999999999999999E-2</v>
      </c>
      <c r="Q604" s="145">
        <v>107.709</v>
      </c>
      <c r="R604" s="145">
        <v>0.34699999999999998</v>
      </c>
      <c r="S604" s="145">
        <v>60.616999999999997</v>
      </c>
      <c r="T604" s="145">
        <v>131.16800000000001</v>
      </c>
      <c r="U604" s="145">
        <v>1.0999999999999999E-2</v>
      </c>
      <c r="V604" s="145">
        <v>0.55400000000000005</v>
      </c>
      <c r="W604" s="145">
        <v>64.567999999999998</v>
      </c>
      <c r="X604" s="145">
        <v>4.7E-2</v>
      </c>
      <c r="Y604" s="145">
        <v>0.26500000000000001</v>
      </c>
      <c r="Z604" s="146">
        <v>5.7000000000000002E-2</v>
      </c>
      <c r="AA604" s="145">
        <v>9.1999999999999998E-2</v>
      </c>
      <c r="AB604" s="145" t="s">
        <v>400</v>
      </c>
      <c r="AC604" s="145">
        <v>1.6220000000000001</v>
      </c>
      <c r="AD604" s="145">
        <v>0.59699999999999998</v>
      </c>
      <c r="AE604" s="145">
        <v>15.355</v>
      </c>
      <c r="AF604" s="145">
        <v>1.016</v>
      </c>
      <c r="AG604" s="145">
        <v>0.32100000000000001</v>
      </c>
      <c r="AH604" s="145">
        <v>7.6999999999999999E-2</v>
      </c>
      <c r="AI604" s="145" t="s">
        <v>400</v>
      </c>
      <c r="AJ604" s="145">
        <v>10.954000000000001</v>
      </c>
      <c r="AK604" s="145">
        <v>65.209999999999994</v>
      </c>
      <c r="AL604" s="145">
        <v>15.898</v>
      </c>
      <c r="AM604" s="145">
        <v>12.019</v>
      </c>
    </row>
    <row r="605" spans="1:39">
      <c r="A605" s="143" t="s">
        <v>1665</v>
      </c>
      <c r="B605" s="144">
        <v>100</v>
      </c>
      <c r="C605" s="145">
        <v>319.69499999999999</v>
      </c>
      <c r="D605" s="145">
        <v>7.8780000000000001</v>
      </c>
      <c r="E605" s="145">
        <v>8.6649999999999991</v>
      </c>
      <c r="F605" s="145">
        <v>5.4640000000000004</v>
      </c>
      <c r="G605" s="145">
        <v>2.4169999999999998</v>
      </c>
      <c r="H605" s="145">
        <v>0.33600000000000002</v>
      </c>
      <c r="I605" s="145">
        <v>0.215</v>
      </c>
      <c r="J605" s="145">
        <v>0.121</v>
      </c>
      <c r="K605" s="145">
        <v>33.862000000000002</v>
      </c>
      <c r="L605" s="145">
        <v>54.179000000000002</v>
      </c>
      <c r="M605" s="145" t="s">
        <v>400</v>
      </c>
      <c r="N605" s="145">
        <v>282.846</v>
      </c>
      <c r="O605" s="145">
        <v>25.893999999999998</v>
      </c>
      <c r="P605" s="145">
        <v>6.0000000000000001E-3</v>
      </c>
      <c r="Q605" s="145">
        <v>251.97200000000001</v>
      </c>
      <c r="R605" s="145">
        <v>0.189</v>
      </c>
      <c r="S605" s="145">
        <v>126.48399999999999</v>
      </c>
      <c r="T605" s="145">
        <v>369.49200000000002</v>
      </c>
      <c r="U605" s="145">
        <v>1.4999999999999999E-2</v>
      </c>
      <c r="V605" s="145">
        <v>0.93600000000000005</v>
      </c>
      <c r="W605" s="145">
        <v>72.703000000000003</v>
      </c>
      <c r="X605" s="145">
        <v>0.09</v>
      </c>
      <c r="Y605" s="145">
        <v>0.41399999999999998</v>
      </c>
      <c r="Z605" s="146">
        <v>5.0999999999999997E-2</v>
      </c>
      <c r="AA605" s="145">
        <v>0.20899999999999999</v>
      </c>
      <c r="AB605" s="145">
        <v>2.589</v>
      </c>
      <c r="AC605" s="145">
        <v>2.0680000000000001</v>
      </c>
      <c r="AD605" s="145">
        <v>0.438</v>
      </c>
      <c r="AE605" s="145">
        <v>10.955</v>
      </c>
      <c r="AF605" s="145">
        <v>0.129</v>
      </c>
      <c r="AG605" s="145">
        <v>0.159</v>
      </c>
      <c r="AH605" s="145">
        <v>0.309</v>
      </c>
      <c r="AI605" s="145" t="s">
        <v>400</v>
      </c>
      <c r="AJ605" s="145">
        <v>14.74</v>
      </c>
      <c r="AK605" s="145">
        <v>73.864999999999995</v>
      </c>
      <c r="AL605" s="145">
        <v>52.511000000000003</v>
      </c>
      <c r="AM605" s="145">
        <v>43.015000000000001</v>
      </c>
    </row>
    <row r="606" spans="1:39">
      <c r="A606" s="143" t="s">
        <v>1666</v>
      </c>
      <c r="B606" s="144">
        <v>100</v>
      </c>
      <c r="C606" s="145">
        <v>123.26</v>
      </c>
      <c r="D606" s="145">
        <v>2.4300000000000002</v>
      </c>
      <c r="E606" s="145">
        <v>4.5</v>
      </c>
      <c r="F606" s="145">
        <v>3.61</v>
      </c>
      <c r="G606" s="145">
        <v>0.34</v>
      </c>
      <c r="H606" s="145">
        <v>0.28000000000000003</v>
      </c>
      <c r="I606" s="145">
        <v>0.27</v>
      </c>
      <c r="J606" s="145">
        <v>0.01</v>
      </c>
      <c r="K606" s="145">
        <v>0.28000000000000003</v>
      </c>
      <c r="L606" s="145">
        <v>21.33</v>
      </c>
      <c r="M606" s="145">
        <v>2.2200000000000002</v>
      </c>
      <c r="N606" s="145">
        <v>2.5</v>
      </c>
      <c r="O606" s="145">
        <v>23.94</v>
      </c>
      <c r="P606" s="145">
        <v>0.28999999999999998</v>
      </c>
      <c r="Q606" s="145">
        <v>61.85</v>
      </c>
      <c r="R606" s="145">
        <v>0.45</v>
      </c>
      <c r="S606" s="145">
        <v>62.16</v>
      </c>
      <c r="T606" s="145">
        <v>190.44</v>
      </c>
      <c r="U606" s="145">
        <v>0.09</v>
      </c>
      <c r="V606" s="145">
        <v>0.59</v>
      </c>
      <c r="W606" s="145">
        <v>0.87</v>
      </c>
      <c r="X606" s="145">
        <v>0.03</v>
      </c>
      <c r="Y606" s="145">
        <v>0.05</v>
      </c>
      <c r="Z606" s="145">
        <v>0.08</v>
      </c>
      <c r="AA606" s="145">
        <v>0.95</v>
      </c>
      <c r="AB606" s="145">
        <v>2.92</v>
      </c>
      <c r="AC606" s="145">
        <v>1.44</v>
      </c>
      <c r="AD606" s="145" t="s">
        <v>400</v>
      </c>
      <c r="AE606" s="145">
        <v>28.33</v>
      </c>
      <c r="AF606" s="145" t="s">
        <v>400</v>
      </c>
      <c r="AG606" s="145">
        <v>0.08</v>
      </c>
      <c r="AH606" s="145" t="s">
        <v>400</v>
      </c>
      <c r="AI606" s="145" t="s">
        <v>400</v>
      </c>
      <c r="AJ606" s="145">
        <v>1.75</v>
      </c>
      <c r="AK606" s="145">
        <v>8.07</v>
      </c>
      <c r="AL606" s="145">
        <v>8.86</v>
      </c>
      <c r="AM606" s="145">
        <v>5.57</v>
      </c>
    </row>
    <row r="607" spans="1:39">
      <c r="A607" s="143" t="s">
        <v>1667</v>
      </c>
      <c r="B607" s="144">
        <v>100</v>
      </c>
      <c r="C607" s="145">
        <v>336</v>
      </c>
      <c r="D607" s="145">
        <v>2</v>
      </c>
      <c r="E607" s="145" t="s">
        <v>400</v>
      </c>
      <c r="F607" s="145" t="s">
        <v>400</v>
      </c>
      <c r="G607" s="145" t="s">
        <v>400</v>
      </c>
      <c r="H607" s="145" t="s">
        <v>400</v>
      </c>
      <c r="I607" s="145" t="s">
        <v>400</v>
      </c>
      <c r="J607" s="145" t="s">
        <v>400</v>
      </c>
      <c r="K607" s="145" t="s">
        <v>400</v>
      </c>
      <c r="L607" s="145">
        <v>82</v>
      </c>
      <c r="M607" s="145" t="s">
        <v>400</v>
      </c>
      <c r="N607" s="145">
        <v>4</v>
      </c>
      <c r="O607" s="145" t="s">
        <v>400</v>
      </c>
      <c r="P607" s="145" t="s">
        <v>400</v>
      </c>
      <c r="Q607" s="145" t="s">
        <v>400</v>
      </c>
      <c r="R607" s="145">
        <v>0.16</v>
      </c>
      <c r="S607" s="145">
        <v>1.5</v>
      </c>
      <c r="T607" s="145" t="s">
        <v>400</v>
      </c>
      <c r="U607" s="145" t="s">
        <v>400</v>
      </c>
      <c r="V607" s="145" t="s">
        <v>400</v>
      </c>
      <c r="W607" s="145" t="s">
        <v>400</v>
      </c>
      <c r="X607" s="145" t="s">
        <v>400</v>
      </c>
      <c r="Y607" s="145" t="s">
        <v>400</v>
      </c>
      <c r="Z607" s="146" t="s">
        <v>400</v>
      </c>
      <c r="AA607" s="145" t="s">
        <v>400</v>
      </c>
      <c r="AB607" s="145" t="s">
        <v>400</v>
      </c>
      <c r="AC607" s="145" t="s">
        <v>400</v>
      </c>
      <c r="AD607" s="145" t="s">
        <v>400</v>
      </c>
      <c r="AE607" s="145" t="s">
        <v>400</v>
      </c>
      <c r="AF607" s="145" t="s">
        <v>400</v>
      </c>
      <c r="AG607" s="145" t="s">
        <v>400</v>
      </c>
      <c r="AH607" s="145" t="s">
        <v>400</v>
      </c>
      <c r="AI607" s="145" t="s">
        <v>400</v>
      </c>
      <c r="AJ607" s="145" t="s">
        <v>400</v>
      </c>
      <c r="AK607" s="145" t="s">
        <v>400</v>
      </c>
      <c r="AL607" s="145" t="s">
        <v>400</v>
      </c>
      <c r="AM607" s="145" t="s">
        <v>400</v>
      </c>
    </row>
    <row r="608" spans="1:39">
      <c r="A608" s="143" t="s">
        <v>1668</v>
      </c>
      <c r="B608" s="144">
        <v>100</v>
      </c>
      <c r="C608" s="145">
        <v>336</v>
      </c>
      <c r="D608" s="145">
        <v>2</v>
      </c>
      <c r="E608" s="145" t="s">
        <v>400</v>
      </c>
      <c r="F608" s="145" t="s">
        <v>400</v>
      </c>
      <c r="G608" s="145" t="s">
        <v>400</v>
      </c>
      <c r="H608" s="145" t="s">
        <v>400</v>
      </c>
      <c r="I608" s="145" t="s">
        <v>400</v>
      </c>
      <c r="J608" s="145" t="s">
        <v>400</v>
      </c>
      <c r="K608" s="145" t="s">
        <v>400</v>
      </c>
      <c r="L608" s="145">
        <v>82</v>
      </c>
      <c r="M608" s="145" t="s">
        <v>400</v>
      </c>
      <c r="N608" s="145">
        <v>4</v>
      </c>
      <c r="O608" s="145" t="s">
        <v>400</v>
      </c>
      <c r="P608" s="145" t="s">
        <v>400</v>
      </c>
      <c r="Q608" s="145" t="s">
        <v>400</v>
      </c>
      <c r="R608" s="145">
        <v>0.16</v>
      </c>
      <c r="S608" s="145">
        <v>1.5</v>
      </c>
      <c r="T608" s="145" t="s">
        <v>400</v>
      </c>
      <c r="U608" s="145" t="s">
        <v>400</v>
      </c>
      <c r="V608" s="145" t="s">
        <v>400</v>
      </c>
      <c r="W608" s="145" t="s">
        <v>400</v>
      </c>
      <c r="X608" s="145" t="s">
        <v>400</v>
      </c>
      <c r="Y608" s="145" t="s">
        <v>400</v>
      </c>
      <c r="Z608" s="146" t="s">
        <v>400</v>
      </c>
      <c r="AA608" s="145" t="s">
        <v>400</v>
      </c>
      <c r="AB608" s="145" t="s">
        <v>400</v>
      </c>
      <c r="AC608" s="145" t="s">
        <v>400</v>
      </c>
      <c r="AD608" s="145" t="s">
        <v>400</v>
      </c>
      <c r="AE608" s="145" t="s">
        <v>400</v>
      </c>
      <c r="AF608" s="145" t="s">
        <v>400</v>
      </c>
      <c r="AG608" s="145" t="s">
        <v>400</v>
      </c>
      <c r="AH608" s="145" t="s">
        <v>400</v>
      </c>
      <c r="AI608" s="145" t="s">
        <v>400</v>
      </c>
      <c r="AJ608" s="145" t="s">
        <v>400</v>
      </c>
      <c r="AK608" s="145" t="s">
        <v>400</v>
      </c>
      <c r="AL608" s="145" t="s">
        <v>400</v>
      </c>
      <c r="AM608" s="145" t="s">
        <v>400</v>
      </c>
    </row>
    <row r="609" spans="1:39">
      <c r="A609" s="143" t="s">
        <v>1669</v>
      </c>
      <c r="B609" s="144">
        <v>100</v>
      </c>
      <c r="C609" s="145">
        <v>278</v>
      </c>
      <c r="D609" s="145">
        <v>0.37</v>
      </c>
      <c r="E609" s="145">
        <v>7.0000000000000007E-2</v>
      </c>
      <c r="F609" s="145">
        <v>0.01</v>
      </c>
      <c r="G609" s="145">
        <v>3.7999999999999999E-2</v>
      </c>
      <c r="H609" s="145" t="s">
        <v>400</v>
      </c>
      <c r="I609" s="145" t="s">
        <v>400</v>
      </c>
      <c r="J609" s="145" t="s">
        <v>400</v>
      </c>
      <c r="K609" s="145" t="s">
        <v>400</v>
      </c>
      <c r="L609" s="145">
        <v>68.86</v>
      </c>
      <c r="M609" s="145">
        <v>1.1000000000000001</v>
      </c>
      <c r="N609" s="145">
        <v>20</v>
      </c>
      <c r="O609" s="145">
        <v>4</v>
      </c>
      <c r="P609" s="145">
        <v>0.04</v>
      </c>
      <c r="Q609" s="145">
        <v>19</v>
      </c>
      <c r="R609" s="145">
        <v>0.49</v>
      </c>
      <c r="S609" s="145">
        <v>32</v>
      </c>
      <c r="T609" s="145">
        <v>77</v>
      </c>
      <c r="U609" s="145">
        <v>0.1</v>
      </c>
      <c r="V609" s="145">
        <v>0.06</v>
      </c>
      <c r="W609" s="145" t="s">
        <v>400</v>
      </c>
      <c r="X609" s="145">
        <v>1.6E-2</v>
      </c>
      <c r="Y609" s="145">
        <v>7.5999999999999998E-2</v>
      </c>
      <c r="Z609" s="146">
        <v>0.02</v>
      </c>
      <c r="AA609" s="145">
        <v>3.5999999999999997E-2</v>
      </c>
      <c r="AB609" s="145">
        <v>8.8000000000000007</v>
      </c>
      <c r="AC609" s="145">
        <v>0.11899999999999999</v>
      </c>
      <c r="AD609" s="145" t="s">
        <v>400</v>
      </c>
      <c r="AE609" s="145">
        <v>11</v>
      </c>
      <c r="AF609" s="145" t="s">
        <v>400</v>
      </c>
      <c r="AG609" s="145">
        <v>0.12</v>
      </c>
      <c r="AH609" s="145" t="s">
        <v>400</v>
      </c>
      <c r="AI609" s="145" t="s">
        <v>400</v>
      </c>
      <c r="AJ609" s="145">
        <v>2</v>
      </c>
      <c r="AK609" s="145" t="s">
        <v>400</v>
      </c>
      <c r="AL609" s="145">
        <v>48.9</v>
      </c>
      <c r="AM609" s="145">
        <v>65.509</v>
      </c>
    </row>
    <row r="610" spans="1:39">
      <c r="A610" s="143" t="s">
        <v>1670</v>
      </c>
      <c r="B610" s="144">
        <v>100</v>
      </c>
      <c r="C610" s="145">
        <v>387</v>
      </c>
      <c r="D610" s="145" t="s">
        <v>400</v>
      </c>
      <c r="E610" s="145" t="s">
        <v>400</v>
      </c>
      <c r="F610" s="145" t="s">
        <v>400</v>
      </c>
      <c r="G610" s="145" t="s">
        <v>400</v>
      </c>
      <c r="H610" s="145" t="s">
        <v>400</v>
      </c>
      <c r="I610" s="145" t="s">
        <v>400</v>
      </c>
      <c r="J610" s="145" t="s">
        <v>400</v>
      </c>
      <c r="K610" s="145" t="s">
        <v>400</v>
      </c>
      <c r="L610" s="145">
        <v>99.98</v>
      </c>
      <c r="M610" s="145" t="s">
        <v>400</v>
      </c>
      <c r="N610" s="145">
        <v>1</v>
      </c>
      <c r="O610" s="145" t="s">
        <v>400</v>
      </c>
      <c r="P610" s="145" t="s">
        <v>400</v>
      </c>
      <c r="Q610" s="145" t="s">
        <v>400</v>
      </c>
      <c r="R610" s="145">
        <v>0.01</v>
      </c>
      <c r="S610" s="145" t="s">
        <v>400</v>
      </c>
      <c r="T610" s="145">
        <v>2</v>
      </c>
      <c r="U610" s="145" t="s">
        <v>400</v>
      </c>
      <c r="V610" s="145" t="s">
        <v>400</v>
      </c>
      <c r="W610" s="145" t="s">
        <v>400</v>
      </c>
      <c r="X610" s="145" t="s">
        <v>400</v>
      </c>
      <c r="Y610" s="145">
        <v>0.02</v>
      </c>
      <c r="Z610" s="145" t="s">
        <v>400</v>
      </c>
      <c r="AA610" s="145" t="s">
        <v>400</v>
      </c>
      <c r="AB610" s="145" t="s">
        <v>400</v>
      </c>
      <c r="AC610" s="145" t="s">
        <v>400</v>
      </c>
      <c r="AD610" s="145" t="s">
        <v>400</v>
      </c>
      <c r="AE610" s="145" t="s">
        <v>400</v>
      </c>
      <c r="AF610" s="145" t="s">
        <v>400</v>
      </c>
      <c r="AG610" s="145" t="s">
        <v>400</v>
      </c>
      <c r="AH610" s="145" t="s">
        <v>400</v>
      </c>
      <c r="AI610" s="145" t="s">
        <v>400</v>
      </c>
      <c r="AJ610" s="145">
        <v>0.6</v>
      </c>
      <c r="AK610" s="145" t="s">
        <v>400</v>
      </c>
      <c r="AL610" s="145">
        <v>99.91</v>
      </c>
      <c r="AM610" s="145">
        <v>99.98</v>
      </c>
    </row>
    <row r="611" spans="1:39">
      <c r="A611" s="143" t="s">
        <v>1671</v>
      </c>
      <c r="B611" s="144">
        <v>100</v>
      </c>
      <c r="C611" s="145">
        <v>79</v>
      </c>
      <c r="D611" s="145" t="s">
        <v>400</v>
      </c>
      <c r="E611" s="145">
        <v>0.24</v>
      </c>
      <c r="F611" s="145">
        <v>1.2999999999999999E-2</v>
      </c>
      <c r="G611" s="145">
        <v>5.0999999999999997E-2</v>
      </c>
      <c r="H611" s="145">
        <v>1.6E-2</v>
      </c>
      <c r="I611" s="145">
        <v>1.4999999999999999E-2</v>
      </c>
      <c r="J611" s="145" t="s">
        <v>400</v>
      </c>
      <c r="K611" s="145" t="s">
        <v>400</v>
      </c>
      <c r="L611" s="145">
        <v>19.23</v>
      </c>
      <c r="M611" s="145" t="s">
        <v>400</v>
      </c>
      <c r="N611" s="145" t="s">
        <v>400</v>
      </c>
      <c r="O611" s="145">
        <v>1</v>
      </c>
      <c r="P611" s="145" t="s">
        <v>400</v>
      </c>
      <c r="Q611" s="145" t="s">
        <v>400</v>
      </c>
      <c r="R611" s="145">
        <v>0.54</v>
      </c>
      <c r="S611" s="145">
        <v>7</v>
      </c>
      <c r="T611" s="145">
        <v>15</v>
      </c>
      <c r="U611" s="145" t="s">
        <v>400</v>
      </c>
      <c r="V611" s="145">
        <v>0.15</v>
      </c>
      <c r="W611" s="145" t="s">
        <v>400</v>
      </c>
      <c r="X611" s="145" t="s">
        <v>400</v>
      </c>
      <c r="Y611" s="145" t="s">
        <v>400</v>
      </c>
      <c r="Z611" s="146" t="s">
        <v>400</v>
      </c>
      <c r="AA611" s="145" t="s">
        <v>400</v>
      </c>
      <c r="AB611" s="145">
        <v>0.7</v>
      </c>
      <c r="AC611" s="145" t="s">
        <v>400</v>
      </c>
      <c r="AD611" s="145" t="s">
        <v>400</v>
      </c>
      <c r="AE611" s="145" t="s">
        <v>400</v>
      </c>
      <c r="AF611" s="145" t="s">
        <v>400</v>
      </c>
      <c r="AG611" s="145" t="s">
        <v>400</v>
      </c>
      <c r="AH611" s="145" t="s">
        <v>400</v>
      </c>
      <c r="AI611" s="145" t="s">
        <v>400</v>
      </c>
      <c r="AJ611" s="145">
        <v>0.2</v>
      </c>
      <c r="AK611" s="145" t="s">
        <v>400</v>
      </c>
      <c r="AL611" s="145">
        <v>13.67</v>
      </c>
      <c r="AM611" s="145">
        <v>19.23</v>
      </c>
    </row>
    <row r="612" spans="1:39">
      <c r="A612" s="143" t="s">
        <v>1672</v>
      </c>
      <c r="B612" s="144">
        <v>100</v>
      </c>
      <c r="C612" s="145">
        <v>122.687</v>
      </c>
      <c r="D612" s="145">
        <v>0.14000000000000001</v>
      </c>
      <c r="E612" s="145">
        <v>8.7999999999999995E-2</v>
      </c>
      <c r="F612" s="145">
        <v>5.0000000000000001E-3</v>
      </c>
      <c r="G612" s="145">
        <v>8.9999999999999993E-3</v>
      </c>
      <c r="H612" s="145">
        <v>2.8000000000000001E-2</v>
      </c>
      <c r="I612" s="145">
        <v>1.7000000000000001E-2</v>
      </c>
      <c r="J612" s="145">
        <v>1.0999999999999999E-2</v>
      </c>
      <c r="K612" s="145" t="s">
        <v>400</v>
      </c>
      <c r="L612" s="145">
        <v>32.509</v>
      </c>
      <c r="M612" s="145">
        <v>0.45300000000000001</v>
      </c>
      <c r="N612" s="145">
        <v>3.8079999999999998</v>
      </c>
      <c r="O612" s="145">
        <v>1.47</v>
      </c>
      <c r="P612" s="145">
        <v>7.3999999999999996E-2</v>
      </c>
      <c r="Q612" s="145">
        <v>2.2639999999999998</v>
      </c>
      <c r="R612" s="145">
        <v>5.7000000000000002E-2</v>
      </c>
      <c r="S612" s="145">
        <v>8.6440000000000001</v>
      </c>
      <c r="T612" s="145">
        <v>14.882999999999999</v>
      </c>
      <c r="U612" s="145">
        <v>1.4E-2</v>
      </c>
      <c r="V612" s="145">
        <v>8.8999999999999996E-2</v>
      </c>
      <c r="W612" s="145" t="s">
        <v>400</v>
      </c>
      <c r="X612" s="145">
        <v>1.4999999999999999E-2</v>
      </c>
      <c r="Y612" s="145">
        <v>1.2E-2</v>
      </c>
      <c r="Z612" s="146">
        <v>0.01</v>
      </c>
      <c r="AA612" s="145">
        <v>7.9000000000000001E-2</v>
      </c>
      <c r="AB612" s="145">
        <v>1.83</v>
      </c>
      <c r="AC612" s="145">
        <v>8.7999999999999995E-2</v>
      </c>
      <c r="AD612" s="145" t="s">
        <v>400</v>
      </c>
      <c r="AE612" s="145">
        <v>1.1319999999999999</v>
      </c>
      <c r="AF612" s="145" t="s">
        <v>400</v>
      </c>
      <c r="AG612" s="145">
        <v>0.109</v>
      </c>
      <c r="AH612" s="145" t="s">
        <v>400</v>
      </c>
      <c r="AI612" s="145" t="s">
        <v>400</v>
      </c>
      <c r="AJ612" s="145">
        <v>0.25600000000000001</v>
      </c>
      <c r="AK612" s="145">
        <v>0.503</v>
      </c>
      <c r="AL612" s="145">
        <v>26.126999999999999</v>
      </c>
      <c r="AM612" s="145">
        <v>29.774999999999999</v>
      </c>
    </row>
    <row r="613" spans="1:39">
      <c r="A613" s="143" t="s">
        <v>1673</v>
      </c>
      <c r="B613" s="144">
        <v>100</v>
      </c>
      <c r="C613" s="145">
        <v>401.65899999999999</v>
      </c>
      <c r="D613" s="145">
        <v>3.0019999999999998</v>
      </c>
      <c r="E613" s="145">
        <v>23.443000000000001</v>
      </c>
      <c r="F613" s="145">
        <v>14.711</v>
      </c>
      <c r="G613" s="145">
        <v>6.0330000000000004</v>
      </c>
      <c r="H613" s="145">
        <v>0.99199999999999999</v>
      </c>
      <c r="I613" s="145">
        <v>0.89600000000000002</v>
      </c>
      <c r="J613" s="145">
        <v>9.6000000000000002E-2</v>
      </c>
      <c r="K613" s="145">
        <v>61.38</v>
      </c>
      <c r="L613" s="145">
        <v>45.938000000000002</v>
      </c>
      <c r="M613" s="145">
        <v>0.81200000000000006</v>
      </c>
      <c r="N613" s="145">
        <v>12.712</v>
      </c>
      <c r="O613" s="145">
        <v>6.9569999999999999</v>
      </c>
      <c r="P613" s="145">
        <v>0.184</v>
      </c>
      <c r="Q613" s="145">
        <v>35.698</v>
      </c>
      <c r="R613" s="145">
        <v>1.2509999999999999</v>
      </c>
      <c r="S613" s="145">
        <v>149.03399999999999</v>
      </c>
      <c r="T613" s="145">
        <v>35.97</v>
      </c>
      <c r="U613" s="145">
        <v>4.8000000000000001E-2</v>
      </c>
      <c r="V613" s="145">
        <v>0.218</v>
      </c>
      <c r="W613" s="145">
        <v>191.56100000000001</v>
      </c>
      <c r="X613" s="145">
        <v>0.21099999999999999</v>
      </c>
      <c r="Y613" s="145">
        <v>0.14699999999999999</v>
      </c>
      <c r="Z613" s="146">
        <v>1.2999999999999999E-2</v>
      </c>
      <c r="AA613" s="145">
        <v>1.589</v>
      </c>
      <c r="AB613" s="145" t="s">
        <v>400</v>
      </c>
      <c r="AC613" s="145">
        <v>2.2109999999999999</v>
      </c>
      <c r="AD613" s="145">
        <v>4.9000000000000002E-2</v>
      </c>
      <c r="AE613" s="145">
        <v>55.344000000000001</v>
      </c>
      <c r="AF613" s="145">
        <v>0.4</v>
      </c>
      <c r="AG613" s="145">
        <v>0.67800000000000005</v>
      </c>
      <c r="AH613" s="145">
        <v>0.93600000000000005</v>
      </c>
      <c r="AI613" s="145" t="s">
        <v>400</v>
      </c>
      <c r="AJ613" s="145">
        <v>9.4939999999999998</v>
      </c>
      <c r="AK613" s="145">
        <v>195.32</v>
      </c>
      <c r="AL613" s="145">
        <v>24.809000000000001</v>
      </c>
      <c r="AM613" s="145">
        <v>25.538</v>
      </c>
    </row>
    <row r="614" spans="1:39">
      <c r="A614" s="143" t="s">
        <v>1674</v>
      </c>
      <c r="B614" s="144">
        <v>100</v>
      </c>
      <c r="C614" s="145">
        <v>171</v>
      </c>
      <c r="D614" s="145">
        <v>2.6</v>
      </c>
      <c r="E614" s="145">
        <v>4.8</v>
      </c>
      <c r="F614" s="145">
        <v>0.5</v>
      </c>
      <c r="G614" s="145">
        <v>0.7</v>
      </c>
      <c r="H614" s="145">
        <v>1.4</v>
      </c>
      <c r="I614" s="145">
        <v>1.32</v>
      </c>
      <c r="J614" s="145">
        <v>0.09</v>
      </c>
      <c r="K614" s="145" t="s">
        <v>400</v>
      </c>
      <c r="L614" s="145">
        <v>30.7</v>
      </c>
      <c r="M614" s="145">
        <v>2.4</v>
      </c>
      <c r="N614" s="145">
        <v>4</v>
      </c>
      <c r="O614" s="145">
        <v>15</v>
      </c>
      <c r="P614" s="145">
        <v>0.12</v>
      </c>
      <c r="Q614" s="145">
        <v>55</v>
      </c>
      <c r="R614" s="145">
        <v>0.4</v>
      </c>
      <c r="S614" s="145">
        <v>132</v>
      </c>
      <c r="T614" s="145">
        <v>125</v>
      </c>
      <c r="U614" s="145">
        <v>0.03</v>
      </c>
      <c r="V614" s="145">
        <v>0.4</v>
      </c>
      <c r="W614" s="145" t="s">
        <v>400</v>
      </c>
      <c r="X614" s="145" t="s">
        <v>400</v>
      </c>
      <c r="Y614" s="145" t="s">
        <v>400</v>
      </c>
      <c r="Z614" s="145" t="s">
        <v>400</v>
      </c>
      <c r="AA614" s="145" t="s">
        <v>400</v>
      </c>
      <c r="AB614" s="145" t="s">
        <v>400</v>
      </c>
      <c r="AC614" s="145" t="s">
        <v>400</v>
      </c>
      <c r="AD614" s="145" t="s">
        <v>400</v>
      </c>
      <c r="AE614" s="145" t="s">
        <v>400</v>
      </c>
      <c r="AF614" s="145" t="s">
        <v>400</v>
      </c>
      <c r="AG614" s="145" t="s">
        <v>400</v>
      </c>
      <c r="AH614" s="145">
        <v>0.11</v>
      </c>
      <c r="AI614" s="145" t="s">
        <v>400</v>
      </c>
      <c r="AJ614" s="145" t="s">
        <v>400</v>
      </c>
      <c r="AK614" s="145" t="s">
        <v>400</v>
      </c>
      <c r="AL614" s="145" t="s">
        <v>400</v>
      </c>
      <c r="AM614" s="145" t="s">
        <v>400</v>
      </c>
    </row>
    <row r="615" spans="1:39">
      <c r="A615" s="143" t="s">
        <v>1675</v>
      </c>
      <c r="B615" s="144">
        <v>100</v>
      </c>
      <c r="C615" s="145">
        <v>387</v>
      </c>
      <c r="D615" s="145" t="s">
        <v>400</v>
      </c>
      <c r="E615" s="145" t="s">
        <v>400</v>
      </c>
      <c r="F615" s="145" t="s">
        <v>400</v>
      </c>
      <c r="G615" s="145" t="s">
        <v>400</v>
      </c>
      <c r="H615" s="145" t="s">
        <v>400</v>
      </c>
      <c r="I615" s="145" t="s">
        <v>400</v>
      </c>
      <c r="J615" s="145" t="s">
        <v>400</v>
      </c>
      <c r="K615" s="145" t="s">
        <v>400</v>
      </c>
      <c r="L615" s="145">
        <v>99.98</v>
      </c>
      <c r="M615" s="145" t="s">
        <v>400</v>
      </c>
      <c r="N615" s="145">
        <v>1</v>
      </c>
      <c r="O615" s="145" t="s">
        <v>400</v>
      </c>
      <c r="P615" s="145" t="s">
        <v>400</v>
      </c>
      <c r="Q615" s="145" t="s">
        <v>400</v>
      </c>
      <c r="R615" s="145">
        <v>0.01</v>
      </c>
      <c r="S615" s="145" t="s">
        <v>400</v>
      </c>
      <c r="T615" s="145">
        <v>2</v>
      </c>
      <c r="U615" s="145" t="s">
        <v>400</v>
      </c>
      <c r="V615" s="145" t="s">
        <v>400</v>
      </c>
      <c r="W615" s="145" t="s">
        <v>400</v>
      </c>
      <c r="X615" s="145" t="s">
        <v>400</v>
      </c>
      <c r="Y615" s="145">
        <v>0.02</v>
      </c>
      <c r="Z615" s="146" t="s">
        <v>400</v>
      </c>
      <c r="AA615" s="145" t="s">
        <v>400</v>
      </c>
      <c r="AB615" s="145" t="s">
        <v>400</v>
      </c>
      <c r="AC615" s="145" t="s">
        <v>400</v>
      </c>
      <c r="AD615" s="145" t="s">
        <v>400</v>
      </c>
      <c r="AE615" s="145" t="s">
        <v>400</v>
      </c>
      <c r="AF615" s="145" t="s">
        <v>400</v>
      </c>
      <c r="AG615" s="145" t="s">
        <v>400</v>
      </c>
      <c r="AH615" s="145" t="s">
        <v>400</v>
      </c>
      <c r="AI615" s="145" t="s">
        <v>400</v>
      </c>
      <c r="AJ615" s="145">
        <v>0.6</v>
      </c>
      <c r="AK615" s="145" t="s">
        <v>400</v>
      </c>
      <c r="AL615" s="145">
        <v>99.91</v>
      </c>
      <c r="AM615" s="145">
        <v>99.98</v>
      </c>
    </row>
    <row r="616" spans="1:39">
      <c r="A616" s="143" t="s">
        <v>1676</v>
      </c>
      <c r="B616" s="144">
        <v>100</v>
      </c>
      <c r="C616" s="145">
        <v>350</v>
      </c>
      <c r="D616" s="145">
        <v>4.5999999999999996</v>
      </c>
      <c r="E616" s="145">
        <v>8.9</v>
      </c>
      <c r="F616" s="145">
        <v>3.98</v>
      </c>
      <c r="G616" s="145">
        <v>3.8570000000000002</v>
      </c>
      <c r="H616" s="145">
        <v>0.27800000000000002</v>
      </c>
      <c r="I616" s="145">
        <v>0.249</v>
      </c>
      <c r="J616" s="145">
        <v>2.4E-2</v>
      </c>
      <c r="K616" s="145">
        <v>1</v>
      </c>
      <c r="L616" s="145">
        <v>62.9</v>
      </c>
      <c r="M616" s="145">
        <v>2.8</v>
      </c>
      <c r="N616" s="145">
        <v>49</v>
      </c>
      <c r="O616" s="145">
        <v>48</v>
      </c>
      <c r="P616" s="145">
        <v>0.371</v>
      </c>
      <c r="Q616" s="145">
        <v>97</v>
      </c>
      <c r="R616" s="145">
        <v>1.3</v>
      </c>
      <c r="S616" s="145">
        <v>346</v>
      </c>
      <c r="T616" s="145">
        <v>284</v>
      </c>
      <c r="U616" s="145">
        <v>0.34799999999999998</v>
      </c>
      <c r="V616" s="145">
        <v>0.83</v>
      </c>
      <c r="W616" s="145">
        <v>1</v>
      </c>
      <c r="X616" s="145">
        <v>3.4000000000000002E-2</v>
      </c>
      <c r="Y616" s="145">
        <v>9.0999999999999998E-2</v>
      </c>
      <c r="Z616" s="146">
        <v>0.02</v>
      </c>
      <c r="AA616" s="145">
        <v>0.25</v>
      </c>
      <c r="AB616" s="145">
        <v>0.2</v>
      </c>
      <c r="AC616" s="145">
        <v>1.417</v>
      </c>
      <c r="AD616" s="145">
        <v>0.06</v>
      </c>
      <c r="AE616" s="145">
        <v>4</v>
      </c>
      <c r="AF616" s="145" t="s">
        <v>400</v>
      </c>
      <c r="AG616" s="145">
        <v>2.63</v>
      </c>
      <c r="AH616" s="145" t="s">
        <v>400</v>
      </c>
      <c r="AI616" s="145" t="s">
        <v>400</v>
      </c>
      <c r="AJ616" s="145">
        <v>2.2999999999999998</v>
      </c>
      <c r="AK616" s="145">
        <v>1</v>
      </c>
      <c r="AL616" s="145">
        <v>48.37</v>
      </c>
      <c r="AM616" s="145">
        <v>38.299999999999997</v>
      </c>
    </row>
    <row r="617" spans="1:39">
      <c r="A617" s="143" t="s">
        <v>1677</v>
      </c>
      <c r="B617" s="144">
        <v>100</v>
      </c>
      <c r="C617" s="145">
        <v>535</v>
      </c>
      <c r="D617" s="145">
        <v>7.65</v>
      </c>
      <c r="E617" s="145">
        <v>29.66</v>
      </c>
      <c r="F617" s="145">
        <v>20.78</v>
      </c>
      <c r="G617" s="145">
        <v>15.869</v>
      </c>
      <c r="H617" s="145">
        <v>1.256</v>
      </c>
      <c r="I617" s="145">
        <v>1.0629999999999999</v>
      </c>
      <c r="J617" s="145">
        <v>0.122</v>
      </c>
      <c r="K617" s="145">
        <v>23</v>
      </c>
      <c r="L617" s="145">
        <v>59.4</v>
      </c>
      <c r="M617" s="145">
        <v>3.4</v>
      </c>
      <c r="N617" s="145">
        <v>189</v>
      </c>
      <c r="O617" s="145">
        <v>63</v>
      </c>
      <c r="P617" s="145">
        <v>0.47099999999999997</v>
      </c>
      <c r="Q617" s="145">
        <v>208</v>
      </c>
      <c r="R617" s="145">
        <v>2.35</v>
      </c>
      <c r="S617" s="145">
        <v>79</v>
      </c>
      <c r="T617" s="145">
        <v>372</v>
      </c>
      <c r="U617" s="145">
        <v>0.49099999999999999</v>
      </c>
      <c r="V617" s="145">
        <v>2.2999999999999998</v>
      </c>
      <c r="W617" s="145">
        <v>56</v>
      </c>
      <c r="X617" s="145">
        <v>0.112</v>
      </c>
      <c r="Y617" s="145">
        <v>0.29799999999999999</v>
      </c>
      <c r="Z617" s="146">
        <v>3.5999999999999997E-2</v>
      </c>
      <c r="AA617" s="145">
        <v>0.38600000000000001</v>
      </c>
      <c r="AB617" s="145" t="s">
        <v>400</v>
      </c>
      <c r="AC617" s="145">
        <v>1.869</v>
      </c>
      <c r="AD617" s="145">
        <v>0.75</v>
      </c>
      <c r="AE617" s="145">
        <v>11</v>
      </c>
      <c r="AF617" s="145" t="s">
        <v>400</v>
      </c>
      <c r="AG617" s="145">
        <v>0.51</v>
      </c>
      <c r="AH617" s="145">
        <v>0.09</v>
      </c>
      <c r="AI617" s="145" t="s">
        <v>400</v>
      </c>
      <c r="AJ617" s="145">
        <v>4.5</v>
      </c>
      <c r="AK617" s="145">
        <v>56.667000000000002</v>
      </c>
      <c r="AL617" s="145">
        <v>54.8</v>
      </c>
      <c r="AM617" s="145">
        <v>46.991</v>
      </c>
    </row>
    <row r="618" spans="1:39">
      <c r="A618" s="143" t="s">
        <v>1678</v>
      </c>
      <c r="B618" s="144">
        <v>100</v>
      </c>
      <c r="C618" s="145">
        <v>535</v>
      </c>
      <c r="D618" s="145">
        <v>7.65</v>
      </c>
      <c r="E618" s="145">
        <v>29.66</v>
      </c>
      <c r="F618" s="145">
        <v>20.78</v>
      </c>
      <c r="G618" s="145">
        <v>15.869</v>
      </c>
      <c r="H618" s="145">
        <v>1.256</v>
      </c>
      <c r="I618" s="145">
        <v>1.0629999999999999</v>
      </c>
      <c r="J618" s="145">
        <v>0.122</v>
      </c>
      <c r="K618" s="145">
        <v>23</v>
      </c>
      <c r="L618" s="145">
        <v>59.4</v>
      </c>
      <c r="M618" s="145">
        <v>3.4</v>
      </c>
      <c r="N618" s="145">
        <v>189</v>
      </c>
      <c r="O618" s="145">
        <v>63</v>
      </c>
      <c r="P618" s="145">
        <v>0.47099999999999997</v>
      </c>
      <c r="Q618" s="145">
        <v>208</v>
      </c>
      <c r="R618" s="145">
        <v>2.35</v>
      </c>
      <c r="S618" s="145">
        <v>79</v>
      </c>
      <c r="T618" s="145">
        <v>372</v>
      </c>
      <c r="U618" s="145">
        <v>0.49099999999999999</v>
      </c>
      <c r="V618" s="145">
        <v>2.2999999999999998</v>
      </c>
      <c r="W618" s="145">
        <v>56</v>
      </c>
      <c r="X618" s="145">
        <v>0.112</v>
      </c>
      <c r="Y618" s="145">
        <v>0.29799999999999999</v>
      </c>
      <c r="Z618" s="146">
        <v>3.5999999999999997E-2</v>
      </c>
      <c r="AA618" s="145">
        <v>0.38600000000000001</v>
      </c>
      <c r="AB618" s="145" t="s">
        <v>400</v>
      </c>
      <c r="AC618" s="145">
        <v>1.869</v>
      </c>
      <c r="AD618" s="145">
        <v>0.75</v>
      </c>
      <c r="AE618" s="145">
        <v>11</v>
      </c>
      <c r="AF618" s="145" t="s">
        <v>400</v>
      </c>
      <c r="AG618" s="145">
        <v>0.51</v>
      </c>
      <c r="AH618" s="145">
        <v>0.09</v>
      </c>
      <c r="AI618" s="145" t="s">
        <v>400</v>
      </c>
      <c r="AJ618" s="145">
        <v>4.5</v>
      </c>
      <c r="AK618" s="145">
        <v>56.667000000000002</v>
      </c>
      <c r="AL618" s="145">
        <v>54.8</v>
      </c>
      <c r="AM618" s="145">
        <v>46.991</v>
      </c>
    </row>
    <row r="619" spans="1:39">
      <c r="A619" s="143" t="s">
        <v>1679</v>
      </c>
      <c r="B619" s="144">
        <v>100</v>
      </c>
      <c r="C619" s="145">
        <v>460.339</v>
      </c>
      <c r="D619" s="145">
        <v>11.013</v>
      </c>
      <c r="E619" s="145">
        <v>24.635000000000002</v>
      </c>
      <c r="F619" s="145">
        <v>1.859</v>
      </c>
      <c r="G619" s="145">
        <v>15.394</v>
      </c>
      <c r="H619" s="145">
        <v>6.0149999999999997</v>
      </c>
      <c r="I619" s="145">
        <v>6.0110000000000001</v>
      </c>
      <c r="J619" s="145">
        <v>3.0000000000000001E-3</v>
      </c>
      <c r="K619" s="145" t="s">
        <v>400</v>
      </c>
      <c r="L619" s="145">
        <v>56.268999999999998</v>
      </c>
      <c r="M619" s="145">
        <v>6.13</v>
      </c>
      <c r="N619" s="145">
        <v>133.589</v>
      </c>
      <c r="O619" s="145">
        <v>134.44</v>
      </c>
      <c r="P619" s="145">
        <v>1.159</v>
      </c>
      <c r="Q619" s="145">
        <v>242.703</v>
      </c>
      <c r="R619" s="145">
        <v>1.964</v>
      </c>
      <c r="S619" s="145">
        <v>7.08</v>
      </c>
      <c r="T619" s="145">
        <v>370.226</v>
      </c>
      <c r="U619" s="145">
        <v>0.50600000000000001</v>
      </c>
      <c r="V619" s="145">
        <v>1.591</v>
      </c>
      <c r="W619" s="145" t="s">
        <v>400</v>
      </c>
      <c r="X619" s="145">
        <v>0.105</v>
      </c>
      <c r="Y619" s="145">
        <v>0.53400000000000003</v>
      </c>
      <c r="Z619" s="146">
        <v>7.6999999999999999E-2</v>
      </c>
      <c r="AA619" s="145">
        <v>1.7210000000000001</v>
      </c>
      <c r="AB619" s="145">
        <v>0.125</v>
      </c>
      <c r="AC619" s="145">
        <v>3.5840000000000001</v>
      </c>
      <c r="AD619" s="145">
        <v>3.0000000000000001E-3</v>
      </c>
      <c r="AE619" s="145">
        <v>25.55</v>
      </c>
      <c r="AF619" s="145" t="s">
        <v>400</v>
      </c>
      <c r="AG619" s="145">
        <v>13.067</v>
      </c>
      <c r="AH619" s="145">
        <v>8.0000000000000002E-3</v>
      </c>
      <c r="AI619" s="145" t="s">
        <v>400</v>
      </c>
      <c r="AJ619" s="145">
        <v>2.2610000000000001</v>
      </c>
      <c r="AK619" s="145">
        <v>4.2000000000000003E-2</v>
      </c>
      <c r="AL619" s="145">
        <v>47.328000000000003</v>
      </c>
      <c r="AM619" s="145">
        <v>45.445999999999998</v>
      </c>
    </row>
    <row r="620" spans="1:39">
      <c r="A620" s="143" t="s">
        <v>1680</v>
      </c>
      <c r="B620" s="144">
        <v>100</v>
      </c>
      <c r="C620" s="145">
        <v>108.49</v>
      </c>
      <c r="D620" s="145">
        <v>3.0489999999999999</v>
      </c>
      <c r="E620" s="145">
        <v>2.34</v>
      </c>
      <c r="F620" s="145">
        <v>1.3180000000000001</v>
      </c>
      <c r="G620" s="145">
        <v>0.59</v>
      </c>
      <c r="H620" s="145">
        <v>0.158</v>
      </c>
      <c r="I620" s="145">
        <v>0.10199999999999999</v>
      </c>
      <c r="J620" s="145">
        <v>5.6000000000000001E-2</v>
      </c>
      <c r="K620" s="145">
        <v>6.94</v>
      </c>
      <c r="L620" s="145">
        <v>18.768999999999998</v>
      </c>
      <c r="M620" s="145">
        <v>0.10299999999999999</v>
      </c>
      <c r="N620" s="145">
        <v>82.043000000000006</v>
      </c>
      <c r="O620" s="145">
        <v>10.74</v>
      </c>
      <c r="P620" s="145">
        <v>0.14499999999999999</v>
      </c>
      <c r="Q620" s="145">
        <v>76.165999999999997</v>
      </c>
      <c r="R620" s="145">
        <v>0.38500000000000001</v>
      </c>
      <c r="S620" s="145">
        <v>50.786999999999999</v>
      </c>
      <c r="T620" s="145">
        <v>109.983</v>
      </c>
      <c r="U620" s="145">
        <v>0.03</v>
      </c>
      <c r="V620" s="145">
        <v>0.42799999999999999</v>
      </c>
      <c r="W620" s="145">
        <v>19.433</v>
      </c>
      <c r="X620" s="145">
        <v>0.08</v>
      </c>
      <c r="Y620" s="145">
        <v>0.13200000000000001</v>
      </c>
      <c r="Z620" s="146">
        <v>5.2999999999999999E-2</v>
      </c>
      <c r="AA620" s="145">
        <v>0.52100000000000002</v>
      </c>
      <c r="AB620" s="145" t="s">
        <v>400</v>
      </c>
      <c r="AC620" s="145">
        <v>1.5449999999999999</v>
      </c>
      <c r="AD620" s="145">
        <v>0.30499999999999999</v>
      </c>
      <c r="AE620" s="145">
        <v>16.417999999999999</v>
      </c>
      <c r="AF620" s="145">
        <v>0.69399999999999995</v>
      </c>
      <c r="AG620" s="145">
        <v>5.3999999999999999E-2</v>
      </c>
      <c r="AH620" s="145">
        <v>8.1000000000000003E-2</v>
      </c>
      <c r="AI620" s="145" t="s">
        <v>400</v>
      </c>
      <c r="AJ620" s="145">
        <v>4.88</v>
      </c>
      <c r="AK620" s="145">
        <v>19.722000000000001</v>
      </c>
      <c r="AL620" s="145">
        <v>10.763999999999999</v>
      </c>
      <c r="AM620" s="145">
        <v>7.11</v>
      </c>
    </row>
    <row r="621" spans="1:39">
      <c r="A621" s="143" t="s">
        <v>1681</v>
      </c>
      <c r="B621" s="144">
        <v>100</v>
      </c>
      <c r="C621" s="145">
        <v>402</v>
      </c>
      <c r="D621" s="145">
        <v>3.8</v>
      </c>
      <c r="E621" s="145">
        <v>41.7</v>
      </c>
      <c r="F621" s="145" t="s">
        <v>400</v>
      </c>
      <c r="G621" s="145" t="s">
        <v>400</v>
      </c>
      <c r="H621" s="145" t="s">
        <v>400</v>
      </c>
      <c r="I621" s="145" t="s">
        <v>400</v>
      </c>
      <c r="J621" s="145" t="s">
        <v>400</v>
      </c>
      <c r="K621" s="145" t="s">
        <v>400</v>
      </c>
      <c r="L621" s="145">
        <v>9.8000000000000007</v>
      </c>
      <c r="M621" s="145">
        <v>5</v>
      </c>
      <c r="N621" s="145">
        <v>7</v>
      </c>
      <c r="O621" s="145">
        <v>41</v>
      </c>
      <c r="P621" s="145">
        <v>0.77</v>
      </c>
      <c r="Q621" s="145">
        <v>107</v>
      </c>
      <c r="R621" s="145">
        <v>1.7</v>
      </c>
      <c r="S621" s="145">
        <v>11</v>
      </c>
      <c r="T621" s="145">
        <v>370</v>
      </c>
      <c r="U621" s="145">
        <v>0.42</v>
      </c>
      <c r="V621" s="145">
        <v>0.9</v>
      </c>
      <c r="W621" s="145" t="s">
        <v>400</v>
      </c>
      <c r="X621" s="145" t="s">
        <v>400</v>
      </c>
      <c r="Y621" s="145" t="s">
        <v>400</v>
      </c>
      <c r="Z621" s="146" t="s">
        <v>400</v>
      </c>
      <c r="AA621" s="145" t="s">
        <v>400</v>
      </c>
      <c r="AB621" s="145">
        <v>1.6</v>
      </c>
      <c r="AC621" s="145" t="s">
        <v>400</v>
      </c>
      <c r="AD621" s="145" t="s">
        <v>400</v>
      </c>
      <c r="AE621" s="145" t="s">
        <v>400</v>
      </c>
      <c r="AF621" s="145" t="s">
        <v>400</v>
      </c>
      <c r="AG621" s="145" t="s">
        <v>400</v>
      </c>
      <c r="AH621" s="145" t="s">
        <v>400</v>
      </c>
      <c r="AI621" s="145" t="s">
        <v>400</v>
      </c>
      <c r="AJ621" s="145" t="s">
        <v>400</v>
      </c>
      <c r="AK621" s="145" t="s">
        <v>400</v>
      </c>
      <c r="AL621" s="145" t="s">
        <v>400</v>
      </c>
      <c r="AM621" s="145" t="s">
        <v>400</v>
      </c>
    </row>
    <row r="622" spans="1:39">
      <c r="A622" s="143" t="s">
        <v>1682</v>
      </c>
      <c r="B622" s="144">
        <v>100</v>
      </c>
      <c r="C622" s="145">
        <v>335.524</v>
      </c>
      <c r="D622" s="145">
        <v>19.187999999999999</v>
      </c>
      <c r="E622" s="145">
        <v>1.87</v>
      </c>
      <c r="F622" s="145">
        <v>0.75700000000000001</v>
      </c>
      <c r="G622" s="145">
        <v>0.42099999999999999</v>
      </c>
      <c r="H622" s="145">
        <v>0.41099999999999998</v>
      </c>
      <c r="I622" s="145">
        <v>0.36599999999999999</v>
      </c>
      <c r="J622" s="145">
        <v>4.4999999999999998E-2</v>
      </c>
      <c r="K622" s="145">
        <v>5.274</v>
      </c>
      <c r="L622" s="145">
        <v>69.938000000000002</v>
      </c>
      <c r="M622" s="145">
        <v>7.3890000000000002</v>
      </c>
      <c r="N622" s="145">
        <v>536.57600000000002</v>
      </c>
      <c r="O622" s="145">
        <v>357.142</v>
      </c>
      <c r="P622" s="145">
        <v>0.26900000000000002</v>
      </c>
      <c r="Q622" s="145">
        <v>366.596</v>
      </c>
      <c r="R622" s="145">
        <v>22.856999999999999</v>
      </c>
      <c r="S622" s="145">
        <v>395.27199999999999</v>
      </c>
      <c r="T622" s="145">
        <v>928.745</v>
      </c>
      <c r="U622" s="145">
        <v>0.71099999999999997</v>
      </c>
      <c r="V622" s="145">
        <v>16.071999999999999</v>
      </c>
      <c r="W622" s="145">
        <v>803.11300000000006</v>
      </c>
      <c r="X622" s="145">
        <v>1.6080000000000001</v>
      </c>
      <c r="Y622" s="145">
        <v>0.69799999999999995</v>
      </c>
      <c r="Z622" s="146">
        <v>2.1429999999999998</v>
      </c>
      <c r="AA622" s="145">
        <v>24.995999999999999</v>
      </c>
      <c r="AB622" s="145">
        <v>64.286000000000001</v>
      </c>
      <c r="AC622" s="145">
        <v>29.62</v>
      </c>
      <c r="AD622" s="145">
        <v>4.2869999999999999</v>
      </c>
      <c r="AE622" s="145">
        <v>588.803</v>
      </c>
      <c r="AF622" s="145">
        <v>3.5710000000000002</v>
      </c>
      <c r="AG622" s="145">
        <v>24.122</v>
      </c>
      <c r="AH622" s="145">
        <v>0.01</v>
      </c>
      <c r="AI622" s="145" t="s">
        <v>400</v>
      </c>
      <c r="AJ622" s="145">
        <v>11.733000000000001</v>
      </c>
      <c r="AK622" s="145">
        <v>803.21799999999996</v>
      </c>
      <c r="AL622" s="145">
        <v>59.328000000000003</v>
      </c>
      <c r="AM622" s="145">
        <v>39.637999999999998</v>
      </c>
    </row>
    <row r="623" spans="1:39">
      <c r="A623" s="143" t="s">
        <v>1683</v>
      </c>
      <c r="B623" s="144">
        <v>100</v>
      </c>
      <c r="C623" s="145">
        <v>335.524</v>
      </c>
      <c r="D623" s="145">
        <v>19.187999999999999</v>
      </c>
      <c r="E623" s="145">
        <v>1.87</v>
      </c>
      <c r="F623" s="145">
        <v>0.75700000000000001</v>
      </c>
      <c r="G623" s="145">
        <v>0.42099999999999999</v>
      </c>
      <c r="H623" s="145">
        <v>0.41099999999999998</v>
      </c>
      <c r="I623" s="145">
        <v>0.36599999999999999</v>
      </c>
      <c r="J623" s="145">
        <v>4.4999999999999998E-2</v>
      </c>
      <c r="K623" s="145">
        <v>5.274</v>
      </c>
      <c r="L623" s="145">
        <v>69.938000000000002</v>
      </c>
      <c r="M623" s="145">
        <v>7.3890000000000002</v>
      </c>
      <c r="N623" s="145">
        <v>536.57600000000002</v>
      </c>
      <c r="O623" s="145">
        <v>357.142</v>
      </c>
      <c r="P623" s="145">
        <v>0.26900000000000002</v>
      </c>
      <c r="Q623" s="145">
        <v>366.596</v>
      </c>
      <c r="R623" s="145">
        <v>22.856999999999999</v>
      </c>
      <c r="S623" s="145">
        <v>395.27199999999999</v>
      </c>
      <c r="T623" s="145">
        <v>928.745</v>
      </c>
      <c r="U623" s="145">
        <v>0.71099999999999997</v>
      </c>
      <c r="V623" s="145">
        <v>16.071999999999999</v>
      </c>
      <c r="W623" s="145">
        <v>803.11300000000006</v>
      </c>
      <c r="X623" s="145">
        <v>1.6080000000000001</v>
      </c>
      <c r="Y623" s="145">
        <v>0.69799999999999995</v>
      </c>
      <c r="Z623" s="146">
        <v>2.1429999999999998</v>
      </c>
      <c r="AA623" s="145">
        <v>24.995999999999999</v>
      </c>
      <c r="AB623" s="145">
        <v>64.286000000000001</v>
      </c>
      <c r="AC623" s="145">
        <v>29.62</v>
      </c>
      <c r="AD623" s="145">
        <v>4.2869999999999999</v>
      </c>
      <c r="AE623" s="145">
        <v>588.803</v>
      </c>
      <c r="AF623" s="145">
        <v>3.5710000000000002</v>
      </c>
      <c r="AG623" s="145">
        <v>24.122</v>
      </c>
      <c r="AH623" s="145">
        <v>0.01</v>
      </c>
      <c r="AI623" s="145" t="s">
        <v>400</v>
      </c>
      <c r="AJ623" s="145">
        <v>11.733000000000001</v>
      </c>
      <c r="AK623" s="145">
        <v>803.21799999999996</v>
      </c>
      <c r="AL623" s="145">
        <v>59.328000000000003</v>
      </c>
      <c r="AM623" s="145">
        <v>39.637999999999998</v>
      </c>
    </row>
    <row r="624" spans="1:39">
      <c r="A624" s="143" t="s">
        <v>1684</v>
      </c>
      <c r="B624" s="144">
        <v>100</v>
      </c>
      <c r="C624" s="145">
        <v>387</v>
      </c>
      <c r="D624" s="145" t="s">
        <v>400</v>
      </c>
      <c r="E624" s="145" t="s">
        <v>400</v>
      </c>
      <c r="F624" s="145" t="s">
        <v>400</v>
      </c>
      <c r="G624" s="145" t="s">
        <v>400</v>
      </c>
      <c r="H624" s="145" t="s">
        <v>400</v>
      </c>
      <c r="I624" s="145" t="s">
        <v>400</v>
      </c>
      <c r="J624" s="145" t="s">
        <v>400</v>
      </c>
      <c r="K624" s="145" t="s">
        <v>400</v>
      </c>
      <c r="L624" s="145">
        <v>99.98</v>
      </c>
      <c r="M624" s="145" t="s">
        <v>400</v>
      </c>
      <c r="N624" s="145">
        <v>1</v>
      </c>
      <c r="O624" s="145" t="s">
        <v>400</v>
      </c>
      <c r="P624" s="145" t="s">
        <v>400</v>
      </c>
      <c r="Q624" s="145" t="s">
        <v>400</v>
      </c>
      <c r="R624" s="145">
        <v>0.01</v>
      </c>
      <c r="S624" s="145" t="s">
        <v>400</v>
      </c>
      <c r="T624" s="145">
        <v>2</v>
      </c>
      <c r="U624" s="145" t="s">
        <v>400</v>
      </c>
      <c r="V624" s="145" t="s">
        <v>400</v>
      </c>
      <c r="W624" s="145" t="s">
        <v>400</v>
      </c>
      <c r="X624" s="145" t="s">
        <v>400</v>
      </c>
      <c r="Y624" s="145">
        <v>0.02</v>
      </c>
      <c r="Z624" s="146" t="s">
        <v>400</v>
      </c>
      <c r="AA624" s="145" t="s">
        <v>400</v>
      </c>
      <c r="AB624" s="145" t="s">
        <v>400</v>
      </c>
      <c r="AC624" s="145" t="s">
        <v>400</v>
      </c>
      <c r="AD624" s="145" t="s">
        <v>400</v>
      </c>
      <c r="AE624" s="145" t="s">
        <v>400</v>
      </c>
      <c r="AF624" s="145" t="s">
        <v>400</v>
      </c>
      <c r="AG624" s="145" t="s">
        <v>400</v>
      </c>
      <c r="AH624" s="145" t="s">
        <v>400</v>
      </c>
      <c r="AI624" s="145" t="s">
        <v>400</v>
      </c>
      <c r="AJ624" s="145">
        <v>0.6</v>
      </c>
      <c r="AK624" s="145" t="s">
        <v>400</v>
      </c>
      <c r="AL624" s="145">
        <v>99.91</v>
      </c>
      <c r="AM624" s="145">
        <v>99.98</v>
      </c>
    </row>
    <row r="625" spans="1:39">
      <c r="A625" s="143" t="s">
        <v>1685</v>
      </c>
      <c r="B625" s="144">
        <v>100</v>
      </c>
      <c r="C625" s="145">
        <v>400</v>
      </c>
      <c r="D625" s="145" t="s">
        <v>400</v>
      </c>
      <c r="E625" s="145" t="s">
        <v>400</v>
      </c>
      <c r="F625" s="145" t="s">
        <v>400</v>
      </c>
      <c r="G625" s="145" t="s">
        <v>400</v>
      </c>
      <c r="H625" s="145" t="s">
        <v>400</v>
      </c>
      <c r="I625" s="145" t="s">
        <v>400</v>
      </c>
      <c r="J625" s="145" t="s">
        <v>400</v>
      </c>
      <c r="K625" s="145" t="s">
        <v>400</v>
      </c>
      <c r="L625" s="145">
        <v>100</v>
      </c>
      <c r="M625" s="145" t="s">
        <v>400</v>
      </c>
      <c r="N625" s="145" t="s">
        <v>400</v>
      </c>
      <c r="O625" s="145" t="s">
        <v>400</v>
      </c>
      <c r="P625" s="145" t="s">
        <v>400</v>
      </c>
      <c r="Q625" s="145" t="s">
        <v>400</v>
      </c>
      <c r="R625" s="145" t="s">
        <v>400</v>
      </c>
      <c r="S625" s="145" t="s">
        <v>400</v>
      </c>
      <c r="T625" s="145" t="s">
        <v>400</v>
      </c>
      <c r="U625" s="145" t="s">
        <v>400</v>
      </c>
      <c r="V625" s="145" t="s">
        <v>400</v>
      </c>
      <c r="W625" s="145" t="s">
        <v>400</v>
      </c>
      <c r="X625" s="145" t="s">
        <v>400</v>
      </c>
      <c r="Y625" s="145" t="s">
        <v>400</v>
      </c>
      <c r="Z625" s="146" t="s">
        <v>400</v>
      </c>
      <c r="AA625" s="145" t="s">
        <v>400</v>
      </c>
      <c r="AB625" s="145" t="s">
        <v>400</v>
      </c>
      <c r="AC625" s="145" t="s">
        <v>400</v>
      </c>
      <c r="AD625" s="145" t="s">
        <v>400</v>
      </c>
      <c r="AE625" s="145" t="s">
        <v>400</v>
      </c>
      <c r="AF625" s="145" t="s">
        <v>400</v>
      </c>
      <c r="AG625" s="145" t="s">
        <v>400</v>
      </c>
      <c r="AH625" s="145" t="s">
        <v>400</v>
      </c>
      <c r="AI625" s="145" t="s">
        <v>400</v>
      </c>
      <c r="AJ625" s="145" t="s">
        <v>400</v>
      </c>
      <c r="AK625" s="145" t="s">
        <v>400</v>
      </c>
      <c r="AL625" s="145" t="s">
        <v>400</v>
      </c>
      <c r="AM625" s="145" t="s">
        <v>400</v>
      </c>
    </row>
    <row r="626" spans="1:39">
      <c r="A626" s="143" t="s">
        <v>1686</v>
      </c>
      <c r="B626" s="144">
        <v>100</v>
      </c>
      <c r="C626" s="145">
        <v>352.91899999999998</v>
      </c>
      <c r="D626" s="145">
        <v>3.1669999999999998</v>
      </c>
      <c r="E626" s="145">
        <v>8.5510000000000002</v>
      </c>
      <c r="F626" s="145">
        <v>0.93300000000000005</v>
      </c>
      <c r="G626" s="145">
        <v>1.7130000000000001</v>
      </c>
      <c r="H626" s="145">
        <v>5.3170000000000002</v>
      </c>
      <c r="I626" s="145">
        <v>5.3</v>
      </c>
      <c r="J626" s="145">
        <v>1.7000000000000001E-2</v>
      </c>
      <c r="K626" s="145" t="s">
        <v>400</v>
      </c>
      <c r="L626" s="145">
        <v>69.436000000000007</v>
      </c>
      <c r="M626" s="145">
        <v>2.319</v>
      </c>
      <c r="N626" s="145">
        <v>540.54100000000005</v>
      </c>
      <c r="O626" s="145">
        <v>28.553000000000001</v>
      </c>
      <c r="P626" s="145">
        <v>0.68300000000000005</v>
      </c>
      <c r="Q626" s="145">
        <v>76.789000000000001</v>
      </c>
      <c r="R626" s="145">
        <v>4.8639999999999999</v>
      </c>
      <c r="S626" s="145">
        <v>284.16399999999999</v>
      </c>
      <c r="T626" s="145">
        <v>80.575999999999993</v>
      </c>
      <c r="U626" s="145">
        <v>8.1000000000000003E-2</v>
      </c>
      <c r="V626" s="145">
        <v>4.0519999999999996</v>
      </c>
      <c r="W626" s="145">
        <v>607.35900000000004</v>
      </c>
      <c r="X626" s="145">
        <v>1.0149999999999999</v>
      </c>
      <c r="Y626" s="145">
        <v>1.149</v>
      </c>
      <c r="Z626" s="146">
        <v>1.351</v>
      </c>
      <c r="AA626" s="145">
        <v>13.513999999999999</v>
      </c>
      <c r="AB626" s="145">
        <v>9.7000000000000003E-2</v>
      </c>
      <c r="AC626" s="145">
        <v>14.224</v>
      </c>
      <c r="AD626" s="145" t="s">
        <v>400</v>
      </c>
      <c r="AE626" s="145">
        <v>178.46100000000001</v>
      </c>
      <c r="AF626" s="145" t="s">
        <v>400</v>
      </c>
      <c r="AG626" s="145">
        <v>3.2040000000000002</v>
      </c>
      <c r="AH626" s="145">
        <v>3.5999999999999997E-2</v>
      </c>
      <c r="AI626" s="145" t="s">
        <v>400</v>
      </c>
      <c r="AJ626" s="145">
        <v>11.336</v>
      </c>
      <c r="AK626" s="145">
        <v>607.48500000000001</v>
      </c>
      <c r="AL626" s="145">
        <v>37.396000000000001</v>
      </c>
      <c r="AM626" s="145">
        <v>49.223999999999997</v>
      </c>
    </row>
    <row r="627" spans="1:39">
      <c r="A627" s="143" t="s">
        <v>1687</v>
      </c>
      <c r="B627" s="144">
        <v>100</v>
      </c>
      <c r="C627" s="145">
        <v>352.91899999999998</v>
      </c>
      <c r="D627" s="145">
        <v>3.1669999999999998</v>
      </c>
      <c r="E627" s="145">
        <v>8.5510000000000002</v>
      </c>
      <c r="F627" s="145">
        <v>0.93300000000000005</v>
      </c>
      <c r="G627" s="145">
        <v>1.7130000000000001</v>
      </c>
      <c r="H627" s="145">
        <v>5.3170000000000002</v>
      </c>
      <c r="I627" s="145">
        <v>5.3</v>
      </c>
      <c r="J627" s="145">
        <v>1.7000000000000001E-2</v>
      </c>
      <c r="K627" s="145" t="s">
        <v>400</v>
      </c>
      <c r="L627" s="145">
        <v>69.436000000000007</v>
      </c>
      <c r="M627" s="145">
        <v>2.319</v>
      </c>
      <c r="N627" s="145">
        <v>540.54100000000005</v>
      </c>
      <c r="O627" s="145">
        <v>28.553000000000001</v>
      </c>
      <c r="P627" s="145">
        <v>0.68300000000000005</v>
      </c>
      <c r="Q627" s="145">
        <v>76.789000000000001</v>
      </c>
      <c r="R627" s="145">
        <v>4.8639999999999999</v>
      </c>
      <c r="S627" s="145">
        <v>284.16399999999999</v>
      </c>
      <c r="T627" s="145">
        <v>80.575999999999993</v>
      </c>
      <c r="U627" s="145">
        <v>8.1000000000000003E-2</v>
      </c>
      <c r="V627" s="145">
        <v>4.0519999999999996</v>
      </c>
      <c r="W627" s="145">
        <v>607.35900000000004</v>
      </c>
      <c r="X627" s="145">
        <v>1.0149999999999999</v>
      </c>
      <c r="Y627" s="145">
        <v>1.149</v>
      </c>
      <c r="Z627" s="146">
        <v>1.351</v>
      </c>
      <c r="AA627" s="145">
        <v>13.513999999999999</v>
      </c>
      <c r="AB627" s="145">
        <v>9.7000000000000003E-2</v>
      </c>
      <c r="AC627" s="145">
        <v>14.224</v>
      </c>
      <c r="AD627" s="145" t="s">
        <v>400</v>
      </c>
      <c r="AE627" s="145">
        <v>178.46100000000001</v>
      </c>
      <c r="AF627" s="145" t="s">
        <v>400</v>
      </c>
      <c r="AG627" s="145">
        <v>3.2040000000000002</v>
      </c>
      <c r="AH627" s="145">
        <v>3.5999999999999997E-2</v>
      </c>
      <c r="AI627" s="145" t="s">
        <v>400</v>
      </c>
      <c r="AJ627" s="145">
        <v>11.336</v>
      </c>
      <c r="AK627" s="145">
        <v>607.48500000000001</v>
      </c>
      <c r="AL627" s="145">
        <v>37.396000000000001</v>
      </c>
      <c r="AM627" s="145">
        <v>49.223999999999997</v>
      </c>
    </row>
    <row r="628" spans="1:39">
      <c r="A628" s="143" t="s">
        <v>1688</v>
      </c>
      <c r="B628" s="144">
        <v>100</v>
      </c>
      <c r="C628" s="145">
        <v>352.91899999999998</v>
      </c>
      <c r="D628" s="145">
        <v>3.1669999999999998</v>
      </c>
      <c r="E628" s="145">
        <v>8.5510000000000002</v>
      </c>
      <c r="F628" s="145">
        <v>0.93300000000000005</v>
      </c>
      <c r="G628" s="145">
        <v>1.7130000000000001</v>
      </c>
      <c r="H628" s="145">
        <v>5.3170000000000002</v>
      </c>
      <c r="I628" s="145">
        <v>5.3</v>
      </c>
      <c r="J628" s="145">
        <v>1.7000000000000001E-2</v>
      </c>
      <c r="K628" s="145" t="s">
        <v>400</v>
      </c>
      <c r="L628" s="145">
        <v>69.436000000000007</v>
      </c>
      <c r="M628" s="145">
        <v>2.319</v>
      </c>
      <c r="N628" s="145">
        <v>540.54100000000005</v>
      </c>
      <c r="O628" s="145">
        <v>28.553000000000001</v>
      </c>
      <c r="P628" s="145">
        <v>0.68300000000000005</v>
      </c>
      <c r="Q628" s="145">
        <v>76.789000000000001</v>
      </c>
      <c r="R628" s="145">
        <v>4.8639999999999999</v>
      </c>
      <c r="S628" s="145">
        <v>284.16399999999999</v>
      </c>
      <c r="T628" s="145">
        <v>80.575999999999993</v>
      </c>
      <c r="U628" s="145">
        <v>8.1000000000000003E-2</v>
      </c>
      <c r="V628" s="145">
        <v>4.0519999999999996</v>
      </c>
      <c r="W628" s="145">
        <v>607.35900000000004</v>
      </c>
      <c r="X628" s="145">
        <v>1.0149999999999999</v>
      </c>
      <c r="Y628" s="145">
        <v>1.149</v>
      </c>
      <c r="Z628" s="146">
        <v>1.351</v>
      </c>
      <c r="AA628" s="145">
        <v>13.513999999999999</v>
      </c>
      <c r="AB628" s="145">
        <v>9.7000000000000003E-2</v>
      </c>
      <c r="AC628" s="145">
        <v>14.224</v>
      </c>
      <c r="AD628" s="145" t="s">
        <v>400</v>
      </c>
      <c r="AE628" s="145">
        <v>178.46100000000001</v>
      </c>
      <c r="AF628" s="145" t="s">
        <v>400</v>
      </c>
      <c r="AG628" s="145">
        <v>3.2040000000000002</v>
      </c>
      <c r="AH628" s="145">
        <v>3.5999999999999997E-2</v>
      </c>
      <c r="AI628" s="145" t="s">
        <v>400</v>
      </c>
      <c r="AJ628" s="145">
        <v>11.336</v>
      </c>
      <c r="AK628" s="145">
        <v>607.48500000000001</v>
      </c>
      <c r="AL628" s="145">
        <v>37.396000000000001</v>
      </c>
      <c r="AM628" s="145">
        <v>49.223999999999997</v>
      </c>
    </row>
    <row r="629" spans="1:39">
      <c r="A629" s="143" t="s">
        <v>1689</v>
      </c>
      <c r="B629" s="144">
        <v>100</v>
      </c>
      <c r="C629" s="145">
        <v>131.148</v>
      </c>
      <c r="D629" s="145">
        <v>5.5839999999999996</v>
      </c>
      <c r="E629" s="145">
        <v>5.0659999999999998</v>
      </c>
      <c r="F629" s="145">
        <v>2.1360000000000001</v>
      </c>
      <c r="G629" s="145">
        <v>1.655</v>
      </c>
      <c r="H629" s="145">
        <v>0.51600000000000001</v>
      </c>
      <c r="I629" s="145">
        <v>0.40500000000000003</v>
      </c>
      <c r="J629" s="145">
        <v>0.06</v>
      </c>
      <c r="K629" s="145">
        <v>122.514</v>
      </c>
      <c r="L629" s="145">
        <v>15.439</v>
      </c>
      <c r="M629" s="145" t="s">
        <v>400</v>
      </c>
      <c r="N629" s="145">
        <v>89.201999999999998</v>
      </c>
      <c r="O629" s="145">
        <v>9.4939999999999998</v>
      </c>
      <c r="P629" s="145">
        <v>1.0999999999999999E-2</v>
      </c>
      <c r="Q629" s="145">
        <v>107.709</v>
      </c>
      <c r="R629" s="145">
        <v>0.34699999999999998</v>
      </c>
      <c r="S629" s="145">
        <v>60.616999999999997</v>
      </c>
      <c r="T629" s="145">
        <v>131.16800000000001</v>
      </c>
      <c r="U629" s="145">
        <v>1.0999999999999999E-2</v>
      </c>
      <c r="V629" s="145">
        <v>0.55400000000000005</v>
      </c>
      <c r="W629" s="145">
        <v>64.567999999999998</v>
      </c>
      <c r="X629" s="145">
        <v>4.7E-2</v>
      </c>
      <c r="Y629" s="145">
        <v>0.26500000000000001</v>
      </c>
      <c r="Z629" s="146">
        <v>5.7000000000000002E-2</v>
      </c>
      <c r="AA629" s="145">
        <v>9.1999999999999998E-2</v>
      </c>
      <c r="AB629" s="145" t="s">
        <v>400</v>
      </c>
      <c r="AC629" s="145">
        <v>1.6220000000000001</v>
      </c>
      <c r="AD629" s="145">
        <v>0.59699999999999998</v>
      </c>
      <c r="AE629" s="145">
        <v>15.355</v>
      </c>
      <c r="AF629" s="145">
        <v>1.016</v>
      </c>
      <c r="AG629" s="145">
        <v>0.32100000000000001</v>
      </c>
      <c r="AH629" s="145">
        <v>7.6999999999999999E-2</v>
      </c>
      <c r="AI629" s="145" t="s">
        <v>400</v>
      </c>
      <c r="AJ629" s="145">
        <v>10.954000000000001</v>
      </c>
      <c r="AK629" s="145">
        <v>65.209999999999994</v>
      </c>
      <c r="AL629" s="145">
        <v>15.898</v>
      </c>
      <c r="AM629" s="145">
        <v>12.019</v>
      </c>
    </row>
    <row r="630" spans="1:39">
      <c r="A630" s="143" t="s">
        <v>1690</v>
      </c>
      <c r="B630" s="144">
        <v>100</v>
      </c>
      <c r="C630" s="145">
        <v>293</v>
      </c>
      <c r="D630" s="145">
        <v>4.7</v>
      </c>
      <c r="E630" s="145">
        <v>16.600000000000001</v>
      </c>
      <c r="F630" s="145">
        <v>3.4</v>
      </c>
      <c r="G630" s="145">
        <v>9</v>
      </c>
      <c r="H630" s="145">
        <v>2.9</v>
      </c>
      <c r="I630" s="145">
        <v>2.8</v>
      </c>
      <c r="J630" s="145" t="s">
        <v>400</v>
      </c>
      <c r="K630" s="145">
        <v>38</v>
      </c>
      <c r="L630" s="145">
        <v>31.3</v>
      </c>
      <c r="M630" s="145">
        <v>0.5</v>
      </c>
      <c r="N630" s="145">
        <v>101</v>
      </c>
      <c r="O630" s="145">
        <v>13</v>
      </c>
      <c r="P630" s="145" t="s">
        <v>400</v>
      </c>
      <c r="Q630" s="145">
        <v>102</v>
      </c>
      <c r="R630" s="145">
        <v>0.5</v>
      </c>
      <c r="S630" s="145">
        <v>85</v>
      </c>
      <c r="T630" s="145">
        <v>159</v>
      </c>
      <c r="U630" s="145" t="s">
        <v>400</v>
      </c>
      <c r="V630" s="145">
        <v>0.6</v>
      </c>
      <c r="W630" s="145">
        <v>40</v>
      </c>
      <c r="X630" s="145">
        <v>0.02</v>
      </c>
      <c r="Y630" s="145">
        <v>0.19</v>
      </c>
      <c r="Z630" s="146">
        <v>4.7E-2</v>
      </c>
      <c r="AA630" s="145">
        <v>0.6</v>
      </c>
      <c r="AB630" s="145" t="s">
        <v>400</v>
      </c>
      <c r="AC630" s="145" t="s">
        <v>400</v>
      </c>
      <c r="AD630" s="145" t="s">
        <v>400</v>
      </c>
      <c r="AE630" s="145" t="s">
        <v>400</v>
      </c>
      <c r="AF630" s="145" t="s">
        <v>400</v>
      </c>
      <c r="AG630" s="145" t="s">
        <v>400</v>
      </c>
      <c r="AH630" s="145">
        <v>0.1</v>
      </c>
      <c r="AI630" s="145" t="s">
        <v>400</v>
      </c>
      <c r="AJ630" s="145" t="s">
        <v>400</v>
      </c>
      <c r="AK630" s="145" t="s">
        <v>400</v>
      </c>
      <c r="AL630" s="145" t="s">
        <v>400</v>
      </c>
      <c r="AM630" s="145" t="s">
        <v>400</v>
      </c>
    </row>
    <row r="631" spans="1:39">
      <c r="A631" s="143" t="s">
        <v>1691</v>
      </c>
      <c r="B631" s="144">
        <v>100</v>
      </c>
      <c r="C631" s="145">
        <v>161.089</v>
      </c>
      <c r="D631" s="145">
        <v>3.109</v>
      </c>
      <c r="E631" s="145">
        <v>6.4329999999999998</v>
      </c>
      <c r="F631" s="145">
        <v>3.956</v>
      </c>
      <c r="G631" s="145">
        <v>1.742</v>
      </c>
      <c r="H631" s="145">
        <v>0.25900000000000001</v>
      </c>
      <c r="I631" s="145">
        <v>0.16400000000000001</v>
      </c>
      <c r="J631" s="145">
        <v>9.2999999999999999E-2</v>
      </c>
      <c r="K631" s="145">
        <v>25.077999999999999</v>
      </c>
      <c r="L631" s="145">
        <v>23.488</v>
      </c>
      <c r="M631" s="145">
        <v>0.75700000000000001</v>
      </c>
      <c r="N631" s="145">
        <v>103.015</v>
      </c>
      <c r="O631" s="145">
        <v>20.404</v>
      </c>
      <c r="P631" s="145">
        <v>6.3E-2</v>
      </c>
      <c r="Q631" s="145">
        <v>101.824</v>
      </c>
      <c r="R631" s="145">
        <v>0.377</v>
      </c>
      <c r="S631" s="145">
        <v>64.450999999999993</v>
      </c>
      <c r="T631" s="145">
        <v>181.471</v>
      </c>
      <c r="U631" s="145">
        <v>9.2999999999999999E-2</v>
      </c>
      <c r="V631" s="145">
        <v>0.59499999999999997</v>
      </c>
      <c r="W631" s="145">
        <v>76.218999999999994</v>
      </c>
      <c r="X631" s="145">
        <v>3.4000000000000002E-2</v>
      </c>
      <c r="Y631" s="145">
        <v>0.187</v>
      </c>
      <c r="Z631" s="146">
        <v>3.6999999999999998E-2</v>
      </c>
      <c r="AA631" s="145">
        <v>0.13600000000000001</v>
      </c>
      <c r="AB631" s="145">
        <v>0.4</v>
      </c>
      <c r="AC631" s="145">
        <v>0.78800000000000003</v>
      </c>
      <c r="AD631" s="145">
        <v>0.33800000000000002</v>
      </c>
      <c r="AE631" s="145">
        <v>4.3730000000000002</v>
      </c>
      <c r="AF631" s="145">
        <v>0.77200000000000002</v>
      </c>
      <c r="AG631" s="145">
        <v>0.16700000000000001</v>
      </c>
      <c r="AH631" s="145">
        <v>0.23699999999999999</v>
      </c>
      <c r="AI631" s="145" t="s">
        <v>400</v>
      </c>
      <c r="AJ631" s="145">
        <v>1.887</v>
      </c>
      <c r="AK631" s="145">
        <v>77.11</v>
      </c>
      <c r="AL631" s="145">
        <v>17.785</v>
      </c>
      <c r="AM631" s="145">
        <v>19.074000000000002</v>
      </c>
    </row>
    <row r="632" spans="1:39">
      <c r="A632" s="143" t="s">
        <v>1692</v>
      </c>
      <c r="B632" s="144">
        <v>100</v>
      </c>
      <c r="C632" s="145">
        <v>52.637</v>
      </c>
      <c r="D632" s="145">
        <v>0.46899999999999997</v>
      </c>
      <c r="E632" s="145">
        <v>0.16600000000000001</v>
      </c>
      <c r="F632" s="145">
        <v>8.0000000000000002E-3</v>
      </c>
      <c r="G632" s="145">
        <v>2.4E-2</v>
      </c>
      <c r="H632" s="145">
        <v>8.5000000000000006E-2</v>
      </c>
      <c r="I632" s="145">
        <v>0.05</v>
      </c>
      <c r="J632" s="145">
        <v>3.5999999999999997E-2</v>
      </c>
      <c r="K632" s="145" t="s">
        <v>400</v>
      </c>
      <c r="L632" s="145">
        <v>12.715999999999999</v>
      </c>
      <c r="M632" s="145">
        <v>1.395</v>
      </c>
      <c r="N632" s="145">
        <v>11.048</v>
      </c>
      <c r="O632" s="145">
        <v>7.5170000000000003</v>
      </c>
      <c r="P632" s="145">
        <v>0.21299999999999999</v>
      </c>
      <c r="Q632" s="145">
        <v>13.204000000000001</v>
      </c>
      <c r="R632" s="145">
        <v>0.23200000000000001</v>
      </c>
      <c r="S632" s="145">
        <v>1.202</v>
      </c>
      <c r="T632" s="145">
        <v>85.435000000000002</v>
      </c>
      <c r="U632" s="145">
        <v>2.8000000000000001E-2</v>
      </c>
      <c r="V632" s="145">
        <v>7.8E-2</v>
      </c>
      <c r="W632" s="145" t="s">
        <v>400</v>
      </c>
      <c r="X632" s="145">
        <v>1.2999999999999999E-2</v>
      </c>
      <c r="Y632" s="145">
        <v>1.2E-2</v>
      </c>
      <c r="Z632" s="146">
        <v>2.5999999999999999E-2</v>
      </c>
      <c r="AA632" s="145">
        <v>0.21199999999999999</v>
      </c>
      <c r="AB632" s="145">
        <v>32.340000000000003</v>
      </c>
      <c r="AC632" s="145">
        <v>0.28599999999999998</v>
      </c>
      <c r="AD632" s="145" t="s">
        <v>400</v>
      </c>
      <c r="AE632" s="145">
        <v>13.202</v>
      </c>
      <c r="AF632" s="145" t="s">
        <v>400</v>
      </c>
      <c r="AG632" s="145">
        <v>0.154</v>
      </c>
      <c r="AH632" s="145" t="s">
        <v>400</v>
      </c>
      <c r="AI632" s="145" t="s">
        <v>400</v>
      </c>
      <c r="AJ632" s="145">
        <v>0.22</v>
      </c>
      <c r="AK632" s="145">
        <v>0.32100000000000001</v>
      </c>
      <c r="AL632" s="145">
        <v>3.0219999999999998</v>
      </c>
      <c r="AM632" s="145" t="s">
        <v>400</v>
      </c>
    </row>
    <row r="633" spans="1:39">
      <c r="A633" s="143" t="s">
        <v>1693</v>
      </c>
      <c r="B633" s="144">
        <v>100</v>
      </c>
      <c r="C633" s="145">
        <v>52.637</v>
      </c>
      <c r="D633" s="145">
        <v>0.46899999999999997</v>
      </c>
      <c r="E633" s="145">
        <v>0.16600000000000001</v>
      </c>
      <c r="F633" s="145">
        <v>8.0000000000000002E-3</v>
      </c>
      <c r="G633" s="145">
        <v>2.4E-2</v>
      </c>
      <c r="H633" s="145">
        <v>8.5000000000000006E-2</v>
      </c>
      <c r="I633" s="145">
        <v>0.05</v>
      </c>
      <c r="J633" s="145">
        <v>3.5999999999999997E-2</v>
      </c>
      <c r="K633" s="145" t="s">
        <v>400</v>
      </c>
      <c r="L633" s="145">
        <v>12.715999999999999</v>
      </c>
      <c r="M633" s="145">
        <v>1.395</v>
      </c>
      <c r="N633" s="145">
        <v>11.048</v>
      </c>
      <c r="O633" s="145">
        <v>7.5170000000000003</v>
      </c>
      <c r="P633" s="145">
        <v>0.21299999999999999</v>
      </c>
      <c r="Q633" s="145">
        <v>13.204000000000001</v>
      </c>
      <c r="R633" s="145">
        <v>0.23200000000000001</v>
      </c>
      <c r="S633" s="145">
        <v>1.202</v>
      </c>
      <c r="T633" s="145">
        <v>85.435000000000002</v>
      </c>
      <c r="U633" s="145">
        <v>2.8000000000000001E-2</v>
      </c>
      <c r="V633" s="145">
        <v>7.8E-2</v>
      </c>
      <c r="W633" s="145" t="s">
        <v>400</v>
      </c>
      <c r="X633" s="145">
        <v>1.2999999999999999E-2</v>
      </c>
      <c r="Y633" s="145">
        <v>1.2E-2</v>
      </c>
      <c r="Z633" s="146">
        <v>2.5999999999999999E-2</v>
      </c>
      <c r="AA633" s="145">
        <v>0.21199999999999999</v>
      </c>
      <c r="AB633" s="145">
        <v>32.340000000000003</v>
      </c>
      <c r="AC633" s="145">
        <v>0.28599999999999998</v>
      </c>
      <c r="AD633" s="145" t="s">
        <v>400</v>
      </c>
      <c r="AE633" s="145">
        <v>13.202</v>
      </c>
      <c r="AF633" s="145" t="s">
        <v>400</v>
      </c>
      <c r="AG633" s="145">
        <v>0.154</v>
      </c>
      <c r="AH633" s="145" t="s">
        <v>400</v>
      </c>
      <c r="AI633" s="145" t="s">
        <v>400</v>
      </c>
      <c r="AJ633" s="145">
        <v>0.22</v>
      </c>
      <c r="AK633" s="145">
        <v>0.32100000000000001</v>
      </c>
      <c r="AL633" s="145">
        <v>3.0219999999999998</v>
      </c>
      <c r="AM633" s="145" t="s">
        <v>400</v>
      </c>
    </row>
    <row r="634" spans="1:39">
      <c r="A634" s="143" t="s">
        <v>1694</v>
      </c>
      <c r="B634" s="144">
        <v>100</v>
      </c>
      <c r="C634" s="145">
        <v>131.148</v>
      </c>
      <c r="D634" s="145">
        <v>5.5839999999999996</v>
      </c>
      <c r="E634" s="145">
        <v>5.0659999999999998</v>
      </c>
      <c r="F634" s="145">
        <v>2.1360000000000001</v>
      </c>
      <c r="G634" s="145">
        <v>1.655</v>
      </c>
      <c r="H634" s="145">
        <v>0.51600000000000001</v>
      </c>
      <c r="I634" s="145">
        <v>0.40500000000000003</v>
      </c>
      <c r="J634" s="145">
        <v>0.06</v>
      </c>
      <c r="K634" s="145">
        <v>122.514</v>
      </c>
      <c r="L634" s="145">
        <v>15.439</v>
      </c>
      <c r="M634" s="145" t="s">
        <v>400</v>
      </c>
      <c r="N634" s="145">
        <v>89.201999999999998</v>
      </c>
      <c r="O634" s="145">
        <v>9.4939999999999998</v>
      </c>
      <c r="P634" s="145">
        <v>1.0999999999999999E-2</v>
      </c>
      <c r="Q634" s="145">
        <v>107.709</v>
      </c>
      <c r="R634" s="145">
        <v>0.34699999999999998</v>
      </c>
      <c r="S634" s="145">
        <v>60.616999999999997</v>
      </c>
      <c r="T634" s="145">
        <v>131.16800000000001</v>
      </c>
      <c r="U634" s="145">
        <v>1.0999999999999999E-2</v>
      </c>
      <c r="V634" s="145">
        <v>0.55400000000000005</v>
      </c>
      <c r="W634" s="145">
        <v>64.567999999999998</v>
      </c>
      <c r="X634" s="145">
        <v>4.7E-2</v>
      </c>
      <c r="Y634" s="145">
        <v>0.26500000000000001</v>
      </c>
      <c r="Z634" s="146">
        <v>5.7000000000000002E-2</v>
      </c>
      <c r="AA634" s="145">
        <v>9.1999999999999998E-2</v>
      </c>
      <c r="AB634" s="145" t="s">
        <v>400</v>
      </c>
      <c r="AC634" s="145">
        <v>1.6220000000000001</v>
      </c>
      <c r="AD634" s="145">
        <v>0.59699999999999998</v>
      </c>
      <c r="AE634" s="145">
        <v>15.355</v>
      </c>
      <c r="AF634" s="145">
        <v>1.016</v>
      </c>
      <c r="AG634" s="145">
        <v>0.32100000000000001</v>
      </c>
      <c r="AH634" s="145">
        <v>7.6999999999999999E-2</v>
      </c>
      <c r="AI634" s="145" t="s">
        <v>400</v>
      </c>
      <c r="AJ634" s="145">
        <v>10.954000000000001</v>
      </c>
      <c r="AK634" s="145">
        <v>65.209999999999994</v>
      </c>
      <c r="AL634" s="145">
        <v>15.898</v>
      </c>
      <c r="AM634" s="145">
        <v>12.019</v>
      </c>
    </row>
    <row r="635" spans="1:39">
      <c r="A635" s="143" t="s">
        <v>1695</v>
      </c>
      <c r="B635" s="144">
        <v>100</v>
      </c>
      <c r="C635" s="145">
        <v>358.25599999999997</v>
      </c>
      <c r="D635" s="145">
        <v>6.2060000000000004</v>
      </c>
      <c r="E635" s="145">
        <v>9.7000000000000003E-2</v>
      </c>
      <c r="F635" s="145" t="s">
        <v>400</v>
      </c>
      <c r="G635" s="145" t="s">
        <v>400</v>
      </c>
      <c r="H635" s="145" t="s">
        <v>400</v>
      </c>
      <c r="I635" s="145" t="s">
        <v>400</v>
      </c>
      <c r="J635" s="145" t="s">
        <v>400</v>
      </c>
      <c r="K635" s="145" t="s">
        <v>400</v>
      </c>
      <c r="L635" s="145">
        <v>85.888000000000005</v>
      </c>
      <c r="M635" s="145">
        <v>1E-3</v>
      </c>
      <c r="N635" s="145">
        <v>4.8719999999999999</v>
      </c>
      <c r="O635" s="145">
        <v>6.2709999999999999</v>
      </c>
      <c r="P635" s="145">
        <v>7.0000000000000001E-3</v>
      </c>
      <c r="Q635" s="145">
        <v>8.5609999999999999</v>
      </c>
      <c r="R635" s="145">
        <v>7.0000000000000007E-2</v>
      </c>
      <c r="S635" s="145">
        <v>94.727999999999994</v>
      </c>
      <c r="T635" s="145">
        <v>164.816</v>
      </c>
      <c r="U635" s="145">
        <v>1.4E-2</v>
      </c>
      <c r="V635" s="145">
        <v>1.9E-2</v>
      </c>
      <c r="W635" s="145" t="s">
        <v>400</v>
      </c>
      <c r="X635" s="145">
        <v>2E-3</v>
      </c>
      <c r="Y635" s="145">
        <v>0.26600000000000001</v>
      </c>
      <c r="Z635" s="146">
        <v>3.0000000000000001E-3</v>
      </c>
      <c r="AA635" s="145">
        <v>0.06</v>
      </c>
      <c r="AB635" s="145" t="s">
        <v>400</v>
      </c>
      <c r="AC635" s="145">
        <v>1.246</v>
      </c>
      <c r="AD635" s="145">
        <v>5.0999999999999997E-2</v>
      </c>
      <c r="AE635" s="145">
        <v>2.2770000000000001</v>
      </c>
      <c r="AF635" s="145" t="s">
        <v>400</v>
      </c>
      <c r="AG635" s="145" t="s">
        <v>400</v>
      </c>
      <c r="AH635" s="145" t="s">
        <v>400</v>
      </c>
      <c r="AI635" s="145" t="s">
        <v>400</v>
      </c>
      <c r="AJ635" s="145">
        <v>11.898999999999999</v>
      </c>
      <c r="AK635" s="145" t="s">
        <v>400</v>
      </c>
      <c r="AL635" s="145">
        <v>85.543000000000006</v>
      </c>
      <c r="AM635" s="145">
        <v>85.21</v>
      </c>
    </row>
    <row r="636" spans="1:39">
      <c r="A636" s="143" t="s">
        <v>1696</v>
      </c>
      <c r="B636" s="144">
        <v>100</v>
      </c>
      <c r="C636" s="145">
        <v>52.637</v>
      </c>
      <c r="D636" s="145">
        <v>0.46899999999999997</v>
      </c>
      <c r="E636" s="145">
        <v>0.16600000000000001</v>
      </c>
      <c r="F636" s="145">
        <v>8.0000000000000002E-3</v>
      </c>
      <c r="G636" s="145">
        <v>2.4E-2</v>
      </c>
      <c r="H636" s="145">
        <v>8.5000000000000006E-2</v>
      </c>
      <c r="I636" s="145">
        <v>0.05</v>
      </c>
      <c r="J636" s="145">
        <v>3.5999999999999997E-2</v>
      </c>
      <c r="K636" s="145" t="s">
        <v>400</v>
      </c>
      <c r="L636" s="145">
        <v>12.715999999999999</v>
      </c>
      <c r="M636" s="145">
        <v>1.395</v>
      </c>
      <c r="N636" s="145">
        <v>11.048</v>
      </c>
      <c r="O636" s="145">
        <v>7.5170000000000003</v>
      </c>
      <c r="P636" s="145">
        <v>0.21299999999999999</v>
      </c>
      <c r="Q636" s="145">
        <v>13.204000000000001</v>
      </c>
      <c r="R636" s="145">
        <v>0.23200000000000001</v>
      </c>
      <c r="S636" s="145">
        <v>1.202</v>
      </c>
      <c r="T636" s="145">
        <v>85.435000000000002</v>
      </c>
      <c r="U636" s="145">
        <v>2.8000000000000001E-2</v>
      </c>
      <c r="V636" s="145">
        <v>7.8E-2</v>
      </c>
      <c r="W636" s="145" t="s">
        <v>400</v>
      </c>
      <c r="X636" s="145">
        <v>1.2999999999999999E-2</v>
      </c>
      <c r="Y636" s="145">
        <v>1.2E-2</v>
      </c>
      <c r="Z636" s="146">
        <v>2.5999999999999999E-2</v>
      </c>
      <c r="AA636" s="145">
        <v>0.21199999999999999</v>
      </c>
      <c r="AB636" s="145">
        <v>32.340000000000003</v>
      </c>
      <c r="AC636" s="145">
        <v>0.28599999999999998</v>
      </c>
      <c r="AD636" s="145" t="s">
        <v>400</v>
      </c>
      <c r="AE636" s="145">
        <v>13.202</v>
      </c>
      <c r="AF636" s="145" t="s">
        <v>400</v>
      </c>
      <c r="AG636" s="145">
        <v>0.154</v>
      </c>
      <c r="AH636" s="145" t="s">
        <v>400</v>
      </c>
      <c r="AI636" s="145" t="s">
        <v>400</v>
      </c>
      <c r="AJ636" s="145">
        <v>0.22</v>
      </c>
      <c r="AK636" s="145">
        <v>0.32100000000000001</v>
      </c>
      <c r="AL636" s="145">
        <v>3.0219999999999998</v>
      </c>
      <c r="AM636" s="145" t="s">
        <v>400</v>
      </c>
    </row>
    <row r="637" spans="1:39">
      <c r="A637" s="143" t="s">
        <v>1697</v>
      </c>
      <c r="B637" s="144">
        <v>100</v>
      </c>
      <c r="C637" s="145">
        <v>188.994</v>
      </c>
      <c r="D637" s="145">
        <v>4.4260000000000002</v>
      </c>
      <c r="E637" s="145">
        <v>7.6740000000000004</v>
      </c>
      <c r="F637" s="145">
        <v>4.6989999999999998</v>
      </c>
      <c r="G637" s="145">
        <v>2.1019999999999999</v>
      </c>
      <c r="H637" s="145">
        <v>0.30399999999999999</v>
      </c>
      <c r="I637" s="145">
        <v>0.192</v>
      </c>
      <c r="J637" s="145">
        <v>0.111</v>
      </c>
      <c r="K637" s="145">
        <v>33.003</v>
      </c>
      <c r="L637" s="145">
        <v>26.145</v>
      </c>
      <c r="M637" s="145">
        <v>0.6</v>
      </c>
      <c r="N637" s="145">
        <v>149.32900000000001</v>
      </c>
      <c r="O637" s="145">
        <v>15.997999999999999</v>
      </c>
      <c r="P637" s="145">
        <v>3.7999999999999999E-2</v>
      </c>
      <c r="Q637" s="145">
        <v>97.007000000000005</v>
      </c>
      <c r="R637" s="145">
        <v>0.32300000000000001</v>
      </c>
      <c r="S637" s="145">
        <v>75.001999999999995</v>
      </c>
      <c r="T637" s="145">
        <v>192.345</v>
      </c>
      <c r="U637" s="145">
        <v>4.8000000000000001E-2</v>
      </c>
      <c r="V637" s="145">
        <v>0.61699999999999999</v>
      </c>
      <c r="W637" s="145">
        <v>101.021</v>
      </c>
      <c r="X637" s="145">
        <v>3.9E-2</v>
      </c>
      <c r="Y637" s="145">
        <v>0.20799999999999999</v>
      </c>
      <c r="Z637" s="146">
        <v>3.9E-2</v>
      </c>
      <c r="AA637" s="145">
        <v>0.126</v>
      </c>
      <c r="AB637" s="145">
        <v>1</v>
      </c>
      <c r="AC637" s="145">
        <v>1.393</v>
      </c>
      <c r="AD637" s="145">
        <v>0.33300000000000002</v>
      </c>
      <c r="AE637" s="145">
        <v>5.0010000000000003</v>
      </c>
      <c r="AF637" s="145">
        <v>0.6</v>
      </c>
      <c r="AG637" s="145">
        <v>0.20699999999999999</v>
      </c>
      <c r="AH637" s="145">
        <v>0.253</v>
      </c>
      <c r="AI637" s="145" t="s">
        <v>400</v>
      </c>
      <c r="AJ637" s="145">
        <v>2</v>
      </c>
      <c r="AK637" s="145">
        <v>105.684</v>
      </c>
      <c r="AL637" s="145">
        <v>22.111999999999998</v>
      </c>
      <c r="AM637" s="145">
        <v>17.463000000000001</v>
      </c>
    </row>
    <row r="638" spans="1:39">
      <c r="A638" s="143" t="s">
        <v>1698</v>
      </c>
      <c r="B638" s="144">
        <v>100</v>
      </c>
      <c r="C638" s="145">
        <v>190</v>
      </c>
      <c r="D638" s="145">
        <v>3.17</v>
      </c>
      <c r="E638" s="145">
        <v>12.7</v>
      </c>
      <c r="F638" s="145">
        <v>6.79</v>
      </c>
      <c r="G638" s="145">
        <v>3.17</v>
      </c>
      <c r="H638" s="145">
        <v>0.41</v>
      </c>
      <c r="I638" s="145">
        <v>0.25</v>
      </c>
      <c r="J638" s="145">
        <v>0.16</v>
      </c>
      <c r="K638" s="145">
        <v>32</v>
      </c>
      <c r="L638" s="145">
        <v>15.87</v>
      </c>
      <c r="M638" s="145">
        <v>4.8</v>
      </c>
      <c r="N638" s="145">
        <v>128</v>
      </c>
      <c r="O638" s="145">
        <v>14</v>
      </c>
      <c r="P638" s="145">
        <v>8.0000000000000002E-3</v>
      </c>
      <c r="Q638" s="145">
        <v>105</v>
      </c>
      <c r="R638" s="145">
        <v>0.09</v>
      </c>
      <c r="S638" s="145">
        <v>48</v>
      </c>
      <c r="T638" s="145">
        <v>199</v>
      </c>
      <c r="U638" s="145">
        <v>2.3E-2</v>
      </c>
      <c r="V638" s="145">
        <v>0.69</v>
      </c>
      <c r="W638" s="145">
        <v>116</v>
      </c>
      <c r="X638" s="145">
        <v>4.1000000000000002E-2</v>
      </c>
      <c r="Y638" s="145">
        <v>0.24</v>
      </c>
      <c r="Z638" s="146">
        <v>4.8000000000000001E-2</v>
      </c>
      <c r="AA638" s="145">
        <v>0.11600000000000001</v>
      </c>
      <c r="AB638" s="145">
        <v>0.6</v>
      </c>
      <c r="AC638" s="145">
        <v>0.86599999999999999</v>
      </c>
      <c r="AD638" s="145">
        <v>0.39</v>
      </c>
      <c r="AE638" s="145">
        <v>5</v>
      </c>
      <c r="AF638" s="145">
        <v>0.44400000000000001</v>
      </c>
      <c r="AG638" s="145">
        <v>0.3</v>
      </c>
      <c r="AH638" s="145">
        <v>0.45</v>
      </c>
      <c r="AI638" s="145" t="s">
        <v>400</v>
      </c>
      <c r="AJ638" s="145">
        <v>2.6</v>
      </c>
      <c r="AK638" s="145">
        <v>117.583</v>
      </c>
      <c r="AL638" s="145">
        <v>5.9290000000000003</v>
      </c>
      <c r="AM638" s="145" t="s">
        <v>400</v>
      </c>
    </row>
    <row r="639" spans="1:39">
      <c r="A639" s="143" t="s">
        <v>1699</v>
      </c>
      <c r="B639" s="144">
        <v>100</v>
      </c>
      <c r="C639" s="145">
        <v>235</v>
      </c>
      <c r="D639" s="145" t="s">
        <v>400</v>
      </c>
      <c r="E639" s="145" t="s">
        <v>400</v>
      </c>
      <c r="F639" s="145" t="s">
        <v>400</v>
      </c>
      <c r="G639" s="145" t="s">
        <v>400</v>
      </c>
      <c r="H639" s="145" t="s">
        <v>400</v>
      </c>
      <c r="I639" s="145" t="s">
        <v>400</v>
      </c>
      <c r="J639" s="145" t="s">
        <v>400</v>
      </c>
      <c r="K639" s="145" t="s">
        <v>400</v>
      </c>
      <c r="L639" s="145">
        <v>95</v>
      </c>
      <c r="M639" s="145" t="s">
        <v>400</v>
      </c>
      <c r="N639" s="145" t="s">
        <v>400</v>
      </c>
      <c r="O639" s="145" t="s">
        <v>400</v>
      </c>
      <c r="P639" s="145" t="s">
        <v>400</v>
      </c>
      <c r="Q639" s="145" t="s">
        <v>400</v>
      </c>
      <c r="R639" s="145" t="s">
        <v>400</v>
      </c>
      <c r="S639" s="145" t="s">
        <v>400</v>
      </c>
      <c r="T639" s="145" t="s">
        <v>400</v>
      </c>
      <c r="U639" s="145" t="s">
        <v>400</v>
      </c>
      <c r="V639" s="145" t="s">
        <v>400</v>
      </c>
      <c r="W639" s="145" t="s">
        <v>400</v>
      </c>
      <c r="X639" s="145" t="s">
        <v>400</v>
      </c>
      <c r="Y639" s="145" t="s">
        <v>400</v>
      </c>
      <c r="Z639" s="146" t="s">
        <v>400</v>
      </c>
      <c r="AA639" s="145" t="s">
        <v>400</v>
      </c>
      <c r="AB639" s="145" t="s">
        <v>400</v>
      </c>
      <c r="AC639" s="145" t="s">
        <v>400</v>
      </c>
      <c r="AD639" s="145" t="s">
        <v>400</v>
      </c>
      <c r="AE639" s="145" t="s">
        <v>400</v>
      </c>
      <c r="AF639" s="145" t="s">
        <v>400</v>
      </c>
      <c r="AG639" s="145" t="s">
        <v>400</v>
      </c>
      <c r="AH639" s="145" t="s">
        <v>400</v>
      </c>
      <c r="AI639" s="145" t="s">
        <v>400</v>
      </c>
      <c r="AJ639" s="145" t="s">
        <v>400</v>
      </c>
      <c r="AK639" s="145" t="s">
        <v>400</v>
      </c>
      <c r="AL639" s="145" t="s">
        <v>400</v>
      </c>
      <c r="AM639" s="145" t="s">
        <v>400</v>
      </c>
    </row>
    <row r="640" spans="1:39">
      <c r="A640" s="143" t="s">
        <v>1700</v>
      </c>
      <c r="B640" s="144">
        <v>100</v>
      </c>
      <c r="C640" s="145">
        <v>240</v>
      </c>
      <c r="D640" s="145" t="s">
        <v>400</v>
      </c>
      <c r="E640" s="145" t="s">
        <v>400</v>
      </c>
      <c r="F640" s="145" t="s">
        <v>400</v>
      </c>
      <c r="G640" s="145" t="s">
        <v>400</v>
      </c>
      <c r="H640" s="145" t="s">
        <v>400</v>
      </c>
      <c r="I640" s="145" t="s">
        <v>400</v>
      </c>
      <c r="J640" s="145" t="s">
        <v>400</v>
      </c>
      <c r="K640" s="145" t="s">
        <v>400</v>
      </c>
      <c r="L640" s="145">
        <v>100</v>
      </c>
      <c r="M640" s="145" t="s">
        <v>400</v>
      </c>
      <c r="N640" s="145" t="s">
        <v>400</v>
      </c>
      <c r="O640" s="145" t="s">
        <v>400</v>
      </c>
      <c r="P640" s="145" t="s">
        <v>400</v>
      </c>
      <c r="Q640" s="145" t="s">
        <v>400</v>
      </c>
      <c r="R640" s="145" t="s">
        <v>400</v>
      </c>
      <c r="S640" s="145" t="s">
        <v>400</v>
      </c>
      <c r="T640" s="145" t="s">
        <v>400</v>
      </c>
      <c r="U640" s="145" t="s">
        <v>400</v>
      </c>
      <c r="V640" s="145" t="s">
        <v>400</v>
      </c>
      <c r="W640" s="145" t="s">
        <v>400</v>
      </c>
      <c r="X640" s="145" t="s">
        <v>400</v>
      </c>
      <c r="Y640" s="145" t="s">
        <v>400</v>
      </c>
      <c r="Z640" s="146" t="s">
        <v>400</v>
      </c>
      <c r="AA640" s="145" t="s">
        <v>400</v>
      </c>
      <c r="AB640" s="145" t="s">
        <v>400</v>
      </c>
      <c r="AC640" s="145" t="s">
        <v>400</v>
      </c>
      <c r="AD640" s="145" t="s">
        <v>400</v>
      </c>
      <c r="AE640" s="145" t="s">
        <v>400</v>
      </c>
      <c r="AF640" s="145" t="s">
        <v>400</v>
      </c>
      <c r="AG640" s="145" t="s">
        <v>400</v>
      </c>
      <c r="AH640" s="145" t="s">
        <v>400</v>
      </c>
      <c r="AI640" s="145" t="s">
        <v>400</v>
      </c>
      <c r="AJ640" s="145" t="s">
        <v>400</v>
      </c>
      <c r="AK640" s="145" t="s">
        <v>400</v>
      </c>
      <c r="AL640" s="145" t="s">
        <v>400</v>
      </c>
      <c r="AM640" s="145" t="s">
        <v>400</v>
      </c>
    </row>
    <row r="641" spans="1:39">
      <c r="A641" s="143" t="s">
        <v>1701</v>
      </c>
      <c r="B641" s="144">
        <v>100</v>
      </c>
      <c r="C641" s="145">
        <v>235</v>
      </c>
      <c r="D641" s="145" t="s">
        <v>400</v>
      </c>
      <c r="E641" s="145" t="s">
        <v>400</v>
      </c>
      <c r="F641" s="145" t="s">
        <v>400</v>
      </c>
      <c r="G641" s="145" t="s">
        <v>400</v>
      </c>
      <c r="H641" s="145" t="s">
        <v>400</v>
      </c>
      <c r="I641" s="145" t="s">
        <v>400</v>
      </c>
      <c r="J641" s="145" t="s">
        <v>400</v>
      </c>
      <c r="K641" s="145" t="s">
        <v>400</v>
      </c>
      <c r="L641" s="145">
        <v>95</v>
      </c>
      <c r="M641" s="145" t="s">
        <v>400</v>
      </c>
      <c r="N641" s="145" t="s">
        <v>400</v>
      </c>
      <c r="O641" s="145" t="s">
        <v>400</v>
      </c>
      <c r="P641" s="145" t="s">
        <v>400</v>
      </c>
      <c r="Q641" s="145" t="s">
        <v>400</v>
      </c>
      <c r="R641" s="145" t="s">
        <v>400</v>
      </c>
      <c r="S641" s="145" t="s">
        <v>400</v>
      </c>
      <c r="T641" s="145" t="s">
        <v>400</v>
      </c>
      <c r="U641" s="145" t="s">
        <v>400</v>
      </c>
      <c r="V641" s="145" t="s">
        <v>400</v>
      </c>
      <c r="W641" s="145" t="s">
        <v>400</v>
      </c>
      <c r="X641" s="145" t="s">
        <v>400</v>
      </c>
      <c r="Y641" s="145" t="s">
        <v>400</v>
      </c>
      <c r="Z641" s="146" t="s">
        <v>400</v>
      </c>
      <c r="AA641" s="145" t="s">
        <v>400</v>
      </c>
      <c r="AB641" s="145" t="s">
        <v>400</v>
      </c>
      <c r="AC641" s="145" t="s">
        <v>400</v>
      </c>
      <c r="AD641" s="145" t="s">
        <v>400</v>
      </c>
      <c r="AE641" s="145" t="s">
        <v>400</v>
      </c>
      <c r="AF641" s="145" t="s">
        <v>400</v>
      </c>
      <c r="AG641" s="145" t="s">
        <v>400</v>
      </c>
      <c r="AH641" s="145" t="s">
        <v>400</v>
      </c>
      <c r="AI641" s="145" t="s">
        <v>400</v>
      </c>
      <c r="AJ641" s="145" t="s">
        <v>400</v>
      </c>
      <c r="AK641" s="145" t="s">
        <v>400</v>
      </c>
      <c r="AL641" s="145" t="s">
        <v>400</v>
      </c>
      <c r="AM641" s="145" t="s">
        <v>400</v>
      </c>
    </row>
    <row r="642" spans="1:39">
      <c r="A642" s="143" t="s">
        <v>1702</v>
      </c>
      <c r="B642" s="144">
        <v>100</v>
      </c>
      <c r="C642" s="145">
        <v>539.78499999999997</v>
      </c>
      <c r="D642" s="145">
        <v>10.583</v>
      </c>
      <c r="E642" s="145">
        <v>41.642000000000003</v>
      </c>
      <c r="F642" s="145">
        <v>21.169</v>
      </c>
      <c r="G642" s="145">
        <v>15.725</v>
      </c>
      <c r="H642" s="145">
        <v>2.8370000000000002</v>
      </c>
      <c r="I642" s="145">
        <v>2.7629999999999999</v>
      </c>
      <c r="J642" s="145">
        <v>4.5999999999999999E-2</v>
      </c>
      <c r="K642" s="145">
        <v>2.8029999999999999</v>
      </c>
      <c r="L642" s="145">
        <v>40.421999999999997</v>
      </c>
      <c r="M642" s="145">
        <v>4.32</v>
      </c>
      <c r="N642" s="145">
        <v>246.46199999999999</v>
      </c>
      <c r="O642" s="145">
        <v>107.46899999999999</v>
      </c>
      <c r="P642" s="145">
        <v>0.97099999999999997</v>
      </c>
      <c r="Q642" s="145">
        <v>285.96499999999997</v>
      </c>
      <c r="R642" s="145">
        <v>3.2410000000000001</v>
      </c>
      <c r="S642" s="145">
        <v>165.81800000000001</v>
      </c>
      <c r="T642" s="145">
        <v>495.73399999999998</v>
      </c>
      <c r="U642" s="145">
        <v>0.69499999999999995</v>
      </c>
      <c r="V642" s="145">
        <v>2.593</v>
      </c>
      <c r="W642" s="145">
        <v>0.623</v>
      </c>
      <c r="X642" s="145">
        <v>0.11799999999999999</v>
      </c>
      <c r="Y642" s="145">
        <v>0.439</v>
      </c>
      <c r="Z642" s="146">
        <v>7.9000000000000001E-2</v>
      </c>
      <c r="AA642" s="145">
        <v>0.85</v>
      </c>
      <c r="AB642" s="145">
        <v>0.872</v>
      </c>
      <c r="AC642" s="145">
        <v>2.9940000000000002</v>
      </c>
      <c r="AD642" s="145">
        <v>0.621</v>
      </c>
      <c r="AE642" s="145">
        <v>19.484999999999999</v>
      </c>
      <c r="AF642" s="145" t="s">
        <v>400</v>
      </c>
      <c r="AG642" s="145">
        <v>4.4669999999999996</v>
      </c>
      <c r="AH642" s="145">
        <v>8.9999999999999993E-3</v>
      </c>
      <c r="AI642" s="145" t="s">
        <v>400</v>
      </c>
      <c r="AJ642" s="145">
        <v>5.9880000000000004</v>
      </c>
      <c r="AK642" s="145">
        <v>0.64800000000000002</v>
      </c>
      <c r="AL642" s="145">
        <v>31.315999999999999</v>
      </c>
      <c r="AM642" s="145">
        <v>24.57</v>
      </c>
    </row>
    <row r="643" spans="1:39">
      <c r="A643" s="143" t="s">
        <v>1703</v>
      </c>
      <c r="B643" s="144">
        <v>100</v>
      </c>
      <c r="C643" s="145">
        <v>539.78499999999997</v>
      </c>
      <c r="D643" s="145">
        <v>10.583</v>
      </c>
      <c r="E643" s="145">
        <v>41.642000000000003</v>
      </c>
      <c r="F643" s="145">
        <v>21.169</v>
      </c>
      <c r="G643" s="145">
        <v>15.725</v>
      </c>
      <c r="H643" s="145">
        <v>2.8370000000000002</v>
      </c>
      <c r="I643" s="145">
        <v>2.7629999999999999</v>
      </c>
      <c r="J643" s="145">
        <v>4.5999999999999999E-2</v>
      </c>
      <c r="K643" s="145">
        <v>2.8029999999999999</v>
      </c>
      <c r="L643" s="145">
        <v>40.421999999999997</v>
      </c>
      <c r="M643" s="145">
        <v>4.32</v>
      </c>
      <c r="N643" s="145">
        <v>246.46199999999999</v>
      </c>
      <c r="O643" s="145">
        <v>107.46899999999999</v>
      </c>
      <c r="P643" s="145">
        <v>0.97099999999999997</v>
      </c>
      <c r="Q643" s="145">
        <v>285.96499999999997</v>
      </c>
      <c r="R643" s="145">
        <v>3.2410000000000001</v>
      </c>
      <c r="S643" s="145">
        <v>165.81800000000001</v>
      </c>
      <c r="T643" s="145">
        <v>495.73399999999998</v>
      </c>
      <c r="U643" s="145">
        <v>0.69499999999999995</v>
      </c>
      <c r="V643" s="145">
        <v>2.593</v>
      </c>
      <c r="W643" s="145">
        <v>0.623</v>
      </c>
      <c r="X643" s="145">
        <v>0.11799999999999999</v>
      </c>
      <c r="Y643" s="145">
        <v>0.439</v>
      </c>
      <c r="Z643" s="146">
        <v>7.9000000000000001E-2</v>
      </c>
      <c r="AA643" s="145">
        <v>0.85</v>
      </c>
      <c r="AB643" s="145">
        <v>0.872</v>
      </c>
      <c r="AC643" s="145">
        <v>2.9940000000000002</v>
      </c>
      <c r="AD643" s="145">
        <v>0.621</v>
      </c>
      <c r="AE643" s="145">
        <v>19.484999999999999</v>
      </c>
      <c r="AF643" s="145" t="s">
        <v>400</v>
      </c>
      <c r="AG643" s="145">
        <v>4.4669999999999996</v>
      </c>
      <c r="AH643" s="145">
        <v>8.9999999999999993E-3</v>
      </c>
      <c r="AI643" s="145" t="s">
        <v>400</v>
      </c>
      <c r="AJ643" s="145">
        <v>5.9880000000000004</v>
      </c>
      <c r="AK643" s="145">
        <v>0.64800000000000002</v>
      </c>
      <c r="AL643" s="145">
        <v>31.315999999999999</v>
      </c>
      <c r="AM643" s="145">
        <v>24.57</v>
      </c>
    </row>
    <row r="644" spans="1:39">
      <c r="A644" s="143" t="s">
        <v>1704</v>
      </c>
      <c r="B644" s="144">
        <v>100</v>
      </c>
      <c r="C644" s="145">
        <v>337.70100000000002</v>
      </c>
      <c r="D644" s="145">
        <v>29.423999999999999</v>
      </c>
      <c r="E644" s="145">
        <v>2.391</v>
      </c>
      <c r="F644" s="145">
        <v>1.4370000000000001</v>
      </c>
      <c r="G644" s="145">
        <v>0.76400000000000001</v>
      </c>
      <c r="H644" s="145">
        <v>0.08</v>
      </c>
      <c r="I644" s="145">
        <v>7.3999999999999996E-2</v>
      </c>
      <c r="J644" s="145">
        <v>7.0000000000000001E-3</v>
      </c>
      <c r="K644" s="145">
        <v>7.1580000000000004</v>
      </c>
      <c r="L644" s="145">
        <v>55.298999999999999</v>
      </c>
      <c r="M644" s="145">
        <v>4.4269999999999996</v>
      </c>
      <c r="N644" s="145">
        <v>664.33900000000006</v>
      </c>
      <c r="O644" s="145">
        <v>146.46899999999999</v>
      </c>
      <c r="P644" s="145">
        <v>0.52400000000000002</v>
      </c>
      <c r="Q644" s="145">
        <v>709.947</v>
      </c>
      <c r="R644" s="145">
        <v>2.206</v>
      </c>
      <c r="S644" s="145">
        <v>1236.8240000000001</v>
      </c>
      <c r="T644" s="145">
        <v>1254.9580000000001</v>
      </c>
      <c r="U644" s="145">
        <v>0.53</v>
      </c>
      <c r="V644" s="145">
        <v>3.7029999999999998</v>
      </c>
      <c r="W644" s="145">
        <v>4.7210000000000001</v>
      </c>
      <c r="X644" s="145">
        <v>0.27800000000000002</v>
      </c>
      <c r="Y644" s="145">
        <v>1.0549999999999999</v>
      </c>
      <c r="Z644" s="145">
        <v>0.25800000000000001</v>
      </c>
      <c r="AA644" s="145">
        <v>0.83399999999999996</v>
      </c>
      <c r="AB644" s="145">
        <v>2.2210000000000001</v>
      </c>
      <c r="AC644" s="145">
        <v>7.5679999999999996</v>
      </c>
      <c r="AD644" s="145">
        <v>1.9279999999999999</v>
      </c>
      <c r="AE644" s="145">
        <v>28.738</v>
      </c>
      <c r="AF644" s="145" t="s">
        <v>400</v>
      </c>
      <c r="AG644" s="145">
        <v>1.7000000000000001E-2</v>
      </c>
      <c r="AH644" s="145">
        <v>1.4999999999999999E-2</v>
      </c>
      <c r="AI644" s="145" t="s">
        <v>400</v>
      </c>
      <c r="AJ644" s="145">
        <v>17.079000000000001</v>
      </c>
      <c r="AK644" s="145">
        <v>4.6749999999999998</v>
      </c>
      <c r="AL644" s="145">
        <v>46.180999999999997</v>
      </c>
      <c r="AM644" s="145">
        <v>14.164</v>
      </c>
    </row>
    <row r="645" spans="1:39">
      <c r="A645" s="143" t="s">
        <v>1705</v>
      </c>
      <c r="B645" s="144">
        <v>100</v>
      </c>
      <c r="C645" s="145">
        <v>337.70100000000002</v>
      </c>
      <c r="D645" s="145">
        <v>29.423999999999999</v>
      </c>
      <c r="E645" s="145">
        <v>2.391</v>
      </c>
      <c r="F645" s="145">
        <v>1.4370000000000001</v>
      </c>
      <c r="G645" s="145">
        <v>0.76400000000000001</v>
      </c>
      <c r="H645" s="145">
        <v>0.08</v>
      </c>
      <c r="I645" s="145">
        <v>7.3999999999999996E-2</v>
      </c>
      <c r="J645" s="145">
        <v>7.0000000000000001E-3</v>
      </c>
      <c r="K645" s="145">
        <v>7.1580000000000004</v>
      </c>
      <c r="L645" s="145">
        <v>55.298999999999999</v>
      </c>
      <c r="M645" s="145">
        <v>4.4269999999999996</v>
      </c>
      <c r="N645" s="145">
        <v>664.17899999999997</v>
      </c>
      <c r="O645" s="145">
        <v>146.46299999999999</v>
      </c>
      <c r="P645" s="145">
        <v>0.52300000000000002</v>
      </c>
      <c r="Q645" s="145">
        <v>709.947</v>
      </c>
      <c r="R645" s="145">
        <v>2.2040000000000002</v>
      </c>
      <c r="S645" s="145">
        <v>978.43700000000001</v>
      </c>
      <c r="T645" s="145">
        <v>1254.905</v>
      </c>
      <c r="U645" s="145">
        <v>0.53</v>
      </c>
      <c r="V645" s="145">
        <v>3.702</v>
      </c>
      <c r="W645" s="145">
        <v>4.6289999999999996</v>
      </c>
      <c r="X645" s="145">
        <v>0.27800000000000002</v>
      </c>
      <c r="Y645" s="145">
        <v>1.0549999999999999</v>
      </c>
      <c r="Z645" s="146">
        <v>0.25800000000000001</v>
      </c>
      <c r="AA645" s="145">
        <v>0.83399999999999996</v>
      </c>
      <c r="AB645" s="145">
        <v>2.2210000000000001</v>
      </c>
      <c r="AC645" s="145">
        <v>7.5679999999999996</v>
      </c>
      <c r="AD645" s="145">
        <v>1.9279999999999999</v>
      </c>
      <c r="AE645" s="145">
        <v>28.738</v>
      </c>
      <c r="AF645" s="145" t="s">
        <v>400</v>
      </c>
      <c r="AG645" s="145">
        <v>1.7000000000000001E-2</v>
      </c>
      <c r="AH645" s="145">
        <v>1.4999999999999999E-2</v>
      </c>
      <c r="AI645" s="145" t="s">
        <v>400</v>
      </c>
      <c r="AJ645" s="145">
        <v>17.079000000000001</v>
      </c>
      <c r="AK645" s="145">
        <v>4.6749999999999998</v>
      </c>
      <c r="AL645" s="145">
        <v>46.180999999999997</v>
      </c>
      <c r="AM645" s="145">
        <v>14.164</v>
      </c>
    </row>
    <row r="646" spans="1:39">
      <c r="A646" s="143" t="s">
        <v>1706</v>
      </c>
      <c r="B646" s="144">
        <v>100</v>
      </c>
      <c r="C646" s="145">
        <v>73.289000000000001</v>
      </c>
      <c r="D646" s="145">
        <v>3.4820000000000002</v>
      </c>
      <c r="E646" s="145">
        <v>3.51</v>
      </c>
      <c r="F646" s="145">
        <v>2.0070000000000001</v>
      </c>
      <c r="G646" s="145">
        <v>0.90100000000000002</v>
      </c>
      <c r="H646" s="145">
        <v>0.214</v>
      </c>
      <c r="I646" s="145">
        <v>0.14000000000000001</v>
      </c>
      <c r="J646" s="145">
        <v>7.3999999999999996E-2</v>
      </c>
      <c r="K646" s="145">
        <v>9.5920000000000005</v>
      </c>
      <c r="L646" s="145">
        <v>7.0869999999999997</v>
      </c>
      <c r="M646" s="145">
        <v>0.39300000000000002</v>
      </c>
      <c r="N646" s="145">
        <v>147.691</v>
      </c>
      <c r="O646" s="145">
        <v>17.763999999999999</v>
      </c>
      <c r="P646" s="145">
        <v>8.2000000000000003E-2</v>
      </c>
      <c r="Q646" s="145">
        <v>115.693</v>
      </c>
      <c r="R646" s="145">
        <v>0.17</v>
      </c>
      <c r="S646" s="145">
        <v>71.792000000000002</v>
      </c>
      <c r="T646" s="145">
        <v>188.48699999999999</v>
      </c>
      <c r="U646" s="145">
        <v>8.8999999999999996E-2</v>
      </c>
      <c r="V646" s="145">
        <v>0.97299999999999998</v>
      </c>
      <c r="W646" s="145">
        <v>26.856999999999999</v>
      </c>
      <c r="X646" s="145">
        <v>5.2999999999999999E-2</v>
      </c>
      <c r="Y646" s="145">
        <v>0.21</v>
      </c>
      <c r="Z646" s="146">
        <v>0.113</v>
      </c>
      <c r="AA646" s="145">
        <v>0.14299999999999999</v>
      </c>
      <c r="AB646" s="145">
        <v>2.359</v>
      </c>
      <c r="AC646" s="145">
        <v>1.454</v>
      </c>
      <c r="AD646" s="145">
        <v>0.46100000000000002</v>
      </c>
      <c r="AE646" s="145">
        <v>5.6609999999999996</v>
      </c>
      <c r="AF646" s="145">
        <v>0.95899999999999996</v>
      </c>
      <c r="AG646" s="145">
        <v>6.6000000000000003E-2</v>
      </c>
      <c r="AH646" s="145">
        <v>0.111</v>
      </c>
      <c r="AI646" s="145" t="s">
        <v>400</v>
      </c>
      <c r="AJ646" s="145">
        <v>4.1180000000000003</v>
      </c>
      <c r="AK646" s="145">
        <v>27.256</v>
      </c>
      <c r="AL646" s="145">
        <v>6.2370000000000001</v>
      </c>
      <c r="AM646" s="145" t="s">
        <v>400</v>
      </c>
    </row>
    <row r="647" spans="1:39">
      <c r="A647" s="143" t="s">
        <v>1707</v>
      </c>
      <c r="B647" s="144">
        <v>100</v>
      </c>
      <c r="C647" s="145">
        <v>373</v>
      </c>
      <c r="D647" s="145" t="s">
        <v>400</v>
      </c>
      <c r="E647" s="145">
        <v>0.02</v>
      </c>
      <c r="F647" s="145" t="s">
        <v>400</v>
      </c>
      <c r="G647" s="145" t="s">
        <v>400</v>
      </c>
      <c r="H647" s="145" t="s">
        <v>400</v>
      </c>
      <c r="I647" s="145" t="s">
        <v>400</v>
      </c>
      <c r="J647" s="145" t="s">
        <v>400</v>
      </c>
      <c r="K647" s="145" t="s">
        <v>400</v>
      </c>
      <c r="L647" s="145">
        <v>93.18</v>
      </c>
      <c r="M647" s="145" t="s">
        <v>400</v>
      </c>
      <c r="N647" s="145">
        <v>3</v>
      </c>
      <c r="O647" s="145" t="s">
        <v>400</v>
      </c>
      <c r="P647" s="145" t="s">
        <v>400</v>
      </c>
      <c r="Q647" s="145" t="s">
        <v>400</v>
      </c>
      <c r="R647" s="145">
        <v>0.01</v>
      </c>
      <c r="S647" s="145">
        <v>11</v>
      </c>
      <c r="T647" s="145">
        <v>4</v>
      </c>
      <c r="U647" s="145">
        <v>3.0000000000000001E-3</v>
      </c>
      <c r="V647" s="145">
        <v>0.04</v>
      </c>
      <c r="W647" s="145" t="s">
        <v>400</v>
      </c>
      <c r="X647" s="145">
        <v>5.0000000000000001E-3</v>
      </c>
      <c r="Y647" s="145">
        <v>1.6E-2</v>
      </c>
      <c r="Z647" s="146" t="s">
        <v>400</v>
      </c>
      <c r="AA647" s="145" t="s">
        <v>400</v>
      </c>
      <c r="AB647" s="145" t="s">
        <v>400</v>
      </c>
      <c r="AC647" s="145" t="s">
        <v>400</v>
      </c>
      <c r="AD647" s="145" t="s">
        <v>400</v>
      </c>
      <c r="AE647" s="145" t="s">
        <v>400</v>
      </c>
      <c r="AF647" s="145" t="s">
        <v>400</v>
      </c>
      <c r="AG647" s="145" t="s">
        <v>400</v>
      </c>
      <c r="AH647" s="145" t="s">
        <v>400</v>
      </c>
      <c r="AI647" s="145" t="s">
        <v>400</v>
      </c>
      <c r="AJ647" s="145">
        <v>0.6</v>
      </c>
      <c r="AK647" s="145" t="s">
        <v>400</v>
      </c>
      <c r="AL647" s="145">
        <v>84.442999999999998</v>
      </c>
      <c r="AM647" s="145">
        <v>93.18</v>
      </c>
    </row>
    <row r="648" spans="1:39">
      <c r="A648" s="143" t="s">
        <v>1708</v>
      </c>
      <c r="B648" s="144">
        <v>100</v>
      </c>
      <c r="C648" s="145">
        <v>373</v>
      </c>
      <c r="D648" s="145" t="s">
        <v>400</v>
      </c>
      <c r="E648" s="145">
        <v>0.02</v>
      </c>
      <c r="F648" s="145" t="s">
        <v>400</v>
      </c>
      <c r="G648" s="145" t="s">
        <v>400</v>
      </c>
      <c r="H648" s="145" t="s">
        <v>400</v>
      </c>
      <c r="I648" s="145" t="s">
        <v>400</v>
      </c>
      <c r="J648" s="145" t="s">
        <v>400</v>
      </c>
      <c r="K648" s="145" t="s">
        <v>400</v>
      </c>
      <c r="L648" s="145">
        <v>93.18</v>
      </c>
      <c r="M648" s="145" t="s">
        <v>400</v>
      </c>
      <c r="N648" s="145">
        <v>3</v>
      </c>
      <c r="O648" s="145" t="s">
        <v>400</v>
      </c>
      <c r="P648" s="145" t="s">
        <v>400</v>
      </c>
      <c r="Q648" s="145" t="s">
        <v>400</v>
      </c>
      <c r="R648" s="145">
        <v>0.01</v>
      </c>
      <c r="S648" s="145">
        <v>11</v>
      </c>
      <c r="T648" s="145">
        <v>4</v>
      </c>
      <c r="U648" s="145">
        <v>3.0000000000000001E-3</v>
      </c>
      <c r="V648" s="145">
        <v>0.04</v>
      </c>
      <c r="W648" s="145" t="s">
        <v>400</v>
      </c>
      <c r="X648" s="145">
        <v>5.0000000000000001E-3</v>
      </c>
      <c r="Y648" s="145">
        <v>1.6E-2</v>
      </c>
      <c r="Z648" s="146" t="s">
        <v>400</v>
      </c>
      <c r="AA648" s="145" t="s">
        <v>400</v>
      </c>
      <c r="AB648" s="145" t="s">
        <v>400</v>
      </c>
      <c r="AC648" s="145" t="s">
        <v>400</v>
      </c>
      <c r="AD648" s="145" t="s">
        <v>400</v>
      </c>
      <c r="AE648" s="145" t="s">
        <v>400</v>
      </c>
      <c r="AF648" s="145" t="s">
        <v>400</v>
      </c>
      <c r="AG648" s="145" t="s">
        <v>400</v>
      </c>
      <c r="AH648" s="145" t="s">
        <v>400</v>
      </c>
      <c r="AI648" s="145" t="s">
        <v>400</v>
      </c>
      <c r="AJ648" s="145">
        <v>0.6</v>
      </c>
      <c r="AK648" s="145" t="s">
        <v>400</v>
      </c>
      <c r="AL648" s="145">
        <v>84.442999999999998</v>
      </c>
      <c r="AM648" s="145">
        <v>93.18</v>
      </c>
    </row>
    <row r="649" spans="1:39">
      <c r="A649" s="143" t="s">
        <v>1709</v>
      </c>
      <c r="B649" s="144">
        <v>100</v>
      </c>
      <c r="C649" s="145">
        <v>373</v>
      </c>
      <c r="D649" s="145" t="s">
        <v>400</v>
      </c>
      <c r="E649" s="145">
        <v>0.02</v>
      </c>
      <c r="F649" s="145" t="s">
        <v>400</v>
      </c>
      <c r="G649" s="145" t="s">
        <v>400</v>
      </c>
      <c r="H649" s="145" t="s">
        <v>400</v>
      </c>
      <c r="I649" s="145" t="s">
        <v>400</v>
      </c>
      <c r="J649" s="145" t="s">
        <v>400</v>
      </c>
      <c r="K649" s="145" t="s">
        <v>400</v>
      </c>
      <c r="L649" s="145">
        <v>93.18</v>
      </c>
      <c r="M649" s="145" t="s">
        <v>400</v>
      </c>
      <c r="N649" s="145">
        <v>3</v>
      </c>
      <c r="O649" s="145" t="s">
        <v>400</v>
      </c>
      <c r="P649" s="145" t="s">
        <v>400</v>
      </c>
      <c r="Q649" s="145" t="s">
        <v>400</v>
      </c>
      <c r="R649" s="145">
        <v>0.01</v>
      </c>
      <c r="S649" s="145">
        <v>11</v>
      </c>
      <c r="T649" s="145">
        <v>4</v>
      </c>
      <c r="U649" s="145">
        <v>3.0000000000000001E-3</v>
      </c>
      <c r="V649" s="145">
        <v>0.04</v>
      </c>
      <c r="W649" s="145" t="s">
        <v>400</v>
      </c>
      <c r="X649" s="145">
        <v>5.0000000000000001E-3</v>
      </c>
      <c r="Y649" s="145">
        <v>1.6E-2</v>
      </c>
      <c r="Z649" s="146" t="s">
        <v>400</v>
      </c>
      <c r="AA649" s="145" t="s">
        <v>400</v>
      </c>
      <c r="AB649" s="145" t="s">
        <v>400</v>
      </c>
      <c r="AC649" s="145" t="s">
        <v>400</v>
      </c>
      <c r="AD649" s="145" t="s">
        <v>400</v>
      </c>
      <c r="AE649" s="145" t="s">
        <v>400</v>
      </c>
      <c r="AF649" s="145" t="s">
        <v>400</v>
      </c>
      <c r="AG649" s="145" t="s">
        <v>400</v>
      </c>
      <c r="AH649" s="145" t="s">
        <v>400</v>
      </c>
      <c r="AI649" s="145" t="s">
        <v>400</v>
      </c>
      <c r="AJ649" s="145">
        <v>0.6</v>
      </c>
      <c r="AK649" s="145" t="s">
        <v>400</v>
      </c>
      <c r="AL649" s="145">
        <v>84.442999999999998</v>
      </c>
      <c r="AM649" s="145">
        <v>93.18</v>
      </c>
    </row>
    <row r="650" spans="1:39">
      <c r="A650" s="143" t="s">
        <v>1710</v>
      </c>
      <c r="B650" s="144">
        <v>100</v>
      </c>
      <c r="C650" s="145">
        <v>179.005</v>
      </c>
      <c r="D650" s="145">
        <v>0.36199999999999999</v>
      </c>
      <c r="E650" s="145">
        <v>5.0999999999999997E-2</v>
      </c>
      <c r="F650" s="145">
        <v>1.6E-2</v>
      </c>
      <c r="G650" s="145">
        <v>2E-3</v>
      </c>
      <c r="H650" s="145">
        <v>1.4E-2</v>
      </c>
      <c r="I650" s="145">
        <v>1.0999999999999999E-2</v>
      </c>
      <c r="J650" s="145">
        <v>3.0000000000000001E-3</v>
      </c>
      <c r="K650" s="145" t="s">
        <v>400</v>
      </c>
      <c r="L650" s="145">
        <v>46.127000000000002</v>
      </c>
      <c r="M650" s="145">
        <v>0.34499999999999997</v>
      </c>
      <c r="N650" s="145">
        <v>9.234</v>
      </c>
      <c r="O650" s="145">
        <v>6.758</v>
      </c>
      <c r="P650" s="145">
        <v>0.22900000000000001</v>
      </c>
      <c r="Q650" s="145">
        <v>6.9649999999999999</v>
      </c>
      <c r="R650" s="145">
        <v>0.157</v>
      </c>
      <c r="S650" s="145">
        <v>2.008</v>
      </c>
      <c r="T650" s="145">
        <v>86.844999999999999</v>
      </c>
      <c r="U650" s="145">
        <v>1.7999999999999999E-2</v>
      </c>
      <c r="V650" s="145">
        <v>3.2000000000000001E-2</v>
      </c>
      <c r="W650" s="145" t="s">
        <v>400</v>
      </c>
      <c r="X650" s="145">
        <v>1.6E-2</v>
      </c>
      <c r="Y650" s="145">
        <v>0.03</v>
      </c>
      <c r="Z650" s="146">
        <v>4.1000000000000002E-2</v>
      </c>
      <c r="AA650" s="145">
        <v>0.16600000000000001</v>
      </c>
      <c r="AB650" s="145">
        <v>6.3E-2</v>
      </c>
      <c r="AC650" s="145">
        <v>0.16600000000000001</v>
      </c>
      <c r="AD650" s="145" t="s">
        <v>400</v>
      </c>
      <c r="AE650" s="145">
        <v>1.9</v>
      </c>
      <c r="AF650" s="145" t="s">
        <v>400</v>
      </c>
      <c r="AG650" s="145" t="s">
        <v>400</v>
      </c>
      <c r="AH650" s="145" t="s">
        <v>400</v>
      </c>
      <c r="AI650" s="145" t="s">
        <v>400</v>
      </c>
      <c r="AJ650" s="145">
        <v>0.28000000000000003</v>
      </c>
      <c r="AK650" s="145">
        <v>0.26400000000000001</v>
      </c>
      <c r="AL650" s="145">
        <v>45.609000000000002</v>
      </c>
      <c r="AM650" s="145">
        <v>36.073</v>
      </c>
    </row>
    <row r="651" spans="1:39">
      <c r="A651" s="143" t="s">
        <v>1711</v>
      </c>
      <c r="B651" s="144">
        <v>100</v>
      </c>
      <c r="C651" s="145">
        <v>179.005</v>
      </c>
      <c r="D651" s="145">
        <v>0.36199999999999999</v>
      </c>
      <c r="E651" s="145">
        <v>5.0999999999999997E-2</v>
      </c>
      <c r="F651" s="145">
        <v>1.6E-2</v>
      </c>
      <c r="G651" s="145">
        <v>2E-3</v>
      </c>
      <c r="H651" s="145">
        <v>1.4E-2</v>
      </c>
      <c r="I651" s="145">
        <v>1.0999999999999999E-2</v>
      </c>
      <c r="J651" s="145">
        <v>3.0000000000000001E-3</v>
      </c>
      <c r="K651" s="145" t="s">
        <v>400</v>
      </c>
      <c r="L651" s="145">
        <v>46.127000000000002</v>
      </c>
      <c r="M651" s="145">
        <v>0.34499999999999997</v>
      </c>
      <c r="N651" s="145">
        <v>9.234</v>
      </c>
      <c r="O651" s="145">
        <v>6.758</v>
      </c>
      <c r="P651" s="145">
        <v>0.22900000000000001</v>
      </c>
      <c r="Q651" s="145">
        <v>6.9649999999999999</v>
      </c>
      <c r="R651" s="145">
        <v>0.157</v>
      </c>
      <c r="S651" s="145">
        <v>2.008</v>
      </c>
      <c r="T651" s="145">
        <v>86.844999999999999</v>
      </c>
      <c r="U651" s="145">
        <v>1.7999999999999999E-2</v>
      </c>
      <c r="V651" s="145">
        <v>3.2000000000000001E-2</v>
      </c>
      <c r="W651" s="145" t="s">
        <v>400</v>
      </c>
      <c r="X651" s="145">
        <v>1.6E-2</v>
      </c>
      <c r="Y651" s="145">
        <v>0.03</v>
      </c>
      <c r="Z651" s="146">
        <v>4.1000000000000002E-2</v>
      </c>
      <c r="AA651" s="145">
        <v>0.16600000000000001</v>
      </c>
      <c r="AB651" s="145">
        <v>6.3E-2</v>
      </c>
      <c r="AC651" s="145">
        <v>0.16600000000000001</v>
      </c>
      <c r="AD651" s="145" t="s">
        <v>400</v>
      </c>
      <c r="AE651" s="145">
        <v>1.9</v>
      </c>
      <c r="AF651" s="145" t="s">
        <v>400</v>
      </c>
      <c r="AG651" s="145" t="s">
        <v>400</v>
      </c>
      <c r="AH651" s="145" t="s">
        <v>400</v>
      </c>
      <c r="AI651" s="145" t="s">
        <v>400</v>
      </c>
      <c r="AJ651" s="145">
        <v>0.28000000000000003</v>
      </c>
      <c r="AK651" s="145">
        <v>0.26400000000000001</v>
      </c>
      <c r="AL651" s="145">
        <v>45.609000000000002</v>
      </c>
      <c r="AM651" s="145">
        <v>36.073</v>
      </c>
    </row>
    <row r="652" spans="1:39">
      <c r="A652" s="143" t="s">
        <v>1712</v>
      </c>
      <c r="B652" s="144">
        <v>100</v>
      </c>
      <c r="C652" s="145">
        <v>179.005</v>
      </c>
      <c r="D652" s="145">
        <v>0.36199999999999999</v>
      </c>
      <c r="E652" s="145">
        <v>5.0999999999999997E-2</v>
      </c>
      <c r="F652" s="145">
        <v>1.6E-2</v>
      </c>
      <c r="G652" s="145">
        <v>2E-3</v>
      </c>
      <c r="H652" s="145">
        <v>1.4E-2</v>
      </c>
      <c r="I652" s="145">
        <v>1.0999999999999999E-2</v>
      </c>
      <c r="J652" s="145">
        <v>3.0000000000000001E-3</v>
      </c>
      <c r="K652" s="145" t="s">
        <v>400</v>
      </c>
      <c r="L652" s="145">
        <v>46.127000000000002</v>
      </c>
      <c r="M652" s="145">
        <v>0.34499999999999997</v>
      </c>
      <c r="N652" s="145">
        <v>9.234</v>
      </c>
      <c r="O652" s="145">
        <v>6.758</v>
      </c>
      <c r="P652" s="145">
        <v>0.22900000000000001</v>
      </c>
      <c r="Q652" s="145">
        <v>6.9649999999999999</v>
      </c>
      <c r="R652" s="145">
        <v>0.157</v>
      </c>
      <c r="S652" s="145">
        <v>2.008</v>
      </c>
      <c r="T652" s="145">
        <v>86.844999999999999</v>
      </c>
      <c r="U652" s="145">
        <v>1.7999999999999999E-2</v>
      </c>
      <c r="V652" s="145">
        <v>3.2000000000000001E-2</v>
      </c>
      <c r="W652" s="145" t="s">
        <v>400</v>
      </c>
      <c r="X652" s="145">
        <v>1.6E-2</v>
      </c>
      <c r="Y652" s="145">
        <v>0.03</v>
      </c>
      <c r="Z652" s="146">
        <v>4.1000000000000002E-2</v>
      </c>
      <c r="AA652" s="145">
        <v>0.16600000000000001</v>
      </c>
      <c r="AB652" s="145">
        <v>6.3E-2</v>
      </c>
      <c r="AC652" s="145">
        <v>0.16600000000000001</v>
      </c>
      <c r="AD652" s="145" t="s">
        <v>400</v>
      </c>
      <c r="AE652" s="145">
        <v>1.9</v>
      </c>
      <c r="AF652" s="145" t="s">
        <v>400</v>
      </c>
      <c r="AG652" s="145" t="s">
        <v>400</v>
      </c>
      <c r="AH652" s="145" t="s">
        <v>400</v>
      </c>
      <c r="AI652" s="145" t="s">
        <v>400</v>
      </c>
      <c r="AJ652" s="145">
        <v>0.28000000000000003</v>
      </c>
      <c r="AK652" s="145">
        <v>0.26400000000000001</v>
      </c>
      <c r="AL652" s="145">
        <v>45.609000000000002</v>
      </c>
      <c r="AM652" s="145">
        <v>36.073</v>
      </c>
    </row>
    <row r="653" spans="1:39">
      <c r="A653" s="143" t="s">
        <v>1713</v>
      </c>
      <c r="B653" s="144">
        <v>100</v>
      </c>
      <c r="C653" s="145">
        <v>179.005</v>
      </c>
      <c r="D653" s="145">
        <v>0.36199999999999999</v>
      </c>
      <c r="E653" s="145">
        <v>5.0999999999999997E-2</v>
      </c>
      <c r="F653" s="145">
        <v>1.6E-2</v>
      </c>
      <c r="G653" s="145">
        <v>2E-3</v>
      </c>
      <c r="H653" s="145">
        <v>1.4E-2</v>
      </c>
      <c r="I653" s="145">
        <v>1.0999999999999999E-2</v>
      </c>
      <c r="J653" s="145">
        <v>3.0000000000000001E-3</v>
      </c>
      <c r="K653" s="145" t="s">
        <v>400</v>
      </c>
      <c r="L653" s="145">
        <v>46.127000000000002</v>
      </c>
      <c r="M653" s="145">
        <v>0.34499999999999997</v>
      </c>
      <c r="N653" s="145">
        <v>9.234</v>
      </c>
      <c r="O653" s="145">
        <v>6.758</v>
      </c>
      <c r="P653" s="145">
        <v>0.22900000000000001</v>
      </c>
      <c r="Q653" s="145">
        <v>6.9649999999999999</v>
      </c>
      <c r="R653" s="145">
        <v>0.157</v>
      </c>
      <c r="S653" s="145">
        <v>2.008</v>
      </c>
      <c r="T653" s="145">
        <v>86.844999999999999</v>
      </c>
      <c r="U653" s="145">
        <v>1.7999999999999999E-2</v>
      </c>
      <c r="V653" s="145">
        <v>3.2000000000000001E-2</v>
      </c>
      <c r="W653" s="145" t="s">
        <v>400</v>
      </c>
      <c r="X653" s="145">
        <v>1.6E-2</v>
      </c>
      <c r="Y653" s="145">
        <v>0.03</v>
      </c>
      <c r="Z653" s="146">
        <v>4.1000000000000002E-2</v>
      </c>
      <c r="AA653" s="145">
        <v>0.16600000000000001</v>
      </c>
      <c r="AB653" s="145">
        <v>6.3E-2</v>
      </c>
      <c r="AC653" s="145">
        <v>0.16600000000000001</v>
      </c>
      <c r="AD653" s="145" t="s">
        <v>400</v>
      </c>
      <c r="AE653" s="145">
        <v>1.9</v>
      </c>
      <c r="AF653" s="145" t="s">
        <v>400</v>
      </c>
      <c r="AG653" s="145" t="s">
        <v>400</v>
      </c>
      <c r="AH653" s="145" t="s">
        <v>400</v>
      </c>
      <c r="AI653" s="145" t="s">
        <v>400</v>
      </c>
      <c r="AJ653" s="145">
        <v>0.28000000000000003</v>
      </c>
      <c r="AK653" s="145">
        <v>0.26400000000000001</v>
      </c>
      <c r="AL653" s="145">
        <v>45.609000000000002</v>
      </c>
      <c r="AM653" s="145">
        <v>36.073</v>
      </c>
    </row>
    <row r="654" spans="1:39">
      <c r="A654" s="143" t="s">
        <v>1714</v>
      </c>
      <c r="B654" s="144">
        <v>100</v>
      </c>
      <c r="C654" s="145">
        <v>179.005</v>
      </c>
      <c r="D654" s="145">
        <v>0.36199999999999999</v>
      </c>
      <c r="E654" s="145">
        <v>5.0999999999999997E-2</v>
      </c>
      <c r="F654" s="145">
        <v>1.6E-2</v>
      </c>
      <c r="G654" s="145">
        <v>2E-3</v>
      </c>
      <c r="H654" s="145">
        <v>1.4E-2</v>
      </c>
      <c r="I654" s="145">
        <v>1.0999999999999999E-2</v>
      </c>
      <c r="J654" s="145">
        <v>3.0000000000000001E-3</v>
      </c>
      <c r="K654" s="145" t="s">
        <v>400</v>
      </c>
      <c r="L654" s="145">
        <v>46.127000000000002</v>
      </c>
      <c r="M654" s="145">
        <v>0.34499999999999997</v>
      </c>
      <c r="N654" s="145">
        <v>9.234</v>
      </c>
      <c r="O654" s="145">
        <v>6.758</v>
      </c>
      <c r="P654" s="145">
        <v>0.22900000000000001</v>
      </c>
      <c r="Q654" s="145">
        <v>6.9649999999999999</v>
      </c>
      <c r="R654" s="145">
        <v>0.157</v>
      </c>
      <c r="S654" s="145">
        <v>2.008</v>
      </c>
      <c r="T654" s="145">
        <v>86.844999999999999</v>
      </c>
      <c r="U654" s="145">
        <v>1.7999999999999999E-2</v>
      </c>
      <c r="V654" s="145">
        <v>3.2000000000000001E-2</v>
      </c>
      <c r="W654" s="145" t="s">
        <v>400</v>
      </c>
      <c r="X654" s="145">
        <v>1.6E-2</v>
      </c>
      <c r="Y654" s="145">
        <v>0.03</v>
      </c>
      <c r="Z654" s="146">
        <v>4.1000000000000002E-2</v>
      </c>
      <c r="AA654" s="145">
        <v>0.16600000000000001</v>
      </c>
      <c r="AB654" s="145">
        <v>6.3E-2</v>
      </c>
      <c r="AC654" s="145">
        <v>0.16600000000000001</v>
      </c>
      <c r="AD654" s="145" t="s">
        <v>400</v>
      </c>
      <c r="AE654" s="145">
        <v>1.9</v>
      </c>
      <c r="AF654" s="145" t="s">
        <v>400</v>
      </c>
      <c r="AG654" s="145" t="s">
        <v>400</v>
      </c>
      <c r="AH654" s="145" t="s">
        <v>400</v>
      </c>
      <c r="AI654" s="145" t="s">
        <v>400</v>
      </c>
      <c r="AJ654" s="145">
        <v>0.28000000000000003</v>
      </c>
      <c r="AK654" s="145">
        <v>0.26400000000000001</v>
      </c>
      <c r="AL654" s="145">
        <v>45.609000000000002</v>
      </c>
      <c r="AM654" s="145">
        <v>36.073</v>
      </c>
    </row>
    <row r="655" spans="1:39">
      <c r="A655" s="143" t="s">
        <v>1715</v>
      </c>
      <c r="B655" s="144">
        <v>100</v>
      </c>
      <c r="C655" s="145">
        <v>119.148</v>
      </c>
      <c r="D655" s="145">
        <v>5.6840000000000002</v>
      </c>
      <c r="E655" s="145">
        <v>3.5459999999999998</v>
      </c>
      <c r="F655" s="145">
        <v>1.3149999999999999</v>
      </c>
      <c r="G655" s="145">
        <v>1.2989999999999999</v>
      </c>
      <c r="H655" s="145">
        <v>0.41</v>
      </c>
      <c r="I655" s="145">
        <v>0.34499999999999997</v>
      </c>
      <c r="J655" s="145">
        <v>1.2E-2</v>
      </c>
      <c r="K655" s="145">
        <v>119.18</v>
      </c>
      <c r="L655" s="145">
        <v>15.752000000000001</v>
      </c>
      <c r="M655" s="145" t="s">
        <v>400</v>
      </c>
      <c r="N655" s="145">
        <v>93.201999999999998</v>
      </c>
      <c r="O655" s="145">
        <v>10.16</v>
      </c>
      <c r="P655" s="145">
        <v>1.0999999999999999E-2</v>
      </c>
      <c r="Q655" s="145">
        <v>110.375</v>
      </c>
      <c r="R655" s="145">
        <v>0.34699999999999998</v>
      </c>
      <c r="S655" s="145">
        <v>63.283999999999999</v>
      </c>
      <c r="T655" s="145">
        <v>135.83500000000001</v>
      </c>
      <c r="U655" s="145">
        <v>1.0999999999999999E-2</v>
      </c>
      <c r="V655" s="145">
        <v>0.56799999999999995</v>
      </c>
      <c r="W655" s="145">
        <v>84.567999999999998</v>
      </c>
      <c r="X655" s="145">
        <v>3.1E-2</v>
      </c>
      <c r="Y655" s="145">
        <v>0.26700000000000002</v>
      </c>
      <c r="Z655" s="146">
        <v>5.8000000000000003E-2</v>
      </c>
      <c r="AA655" s="145">
        <v>8.3000000000000004E-2</v>
      </c>
      <c r="AB655" s="145" t="s">
        <v>400</v>
      </c>
      <c r="AC655" s="145">
        <v>1.224</v>
      </c>
      <c r="AD655" s="145">
        <v>0.59699999999999998</v>
      </c>
      <c r="AE655" s="145">
        <v>15.355</v>
      </c>
      <c r="AF655" s="145">
        <v>1.216</v>
      </c>
      <c r="AG655" s="145">
        <v>0.28799999999999998</v>
      </c>
      <c r="AH655" s="145">
        <v>2.7E-2</v>
      </c>
      <c r="AI655" s="145" t="s">
        <v>400</v>
      </c>
      <c r="AJ655" s="145">
        <v>10.686999999999999</v>
      </c>
      <c r="AK655" s="145">
        <v>85.043999999999997</v>
      </c>
      <c r="AL655" s="145">
        <v>15.858000000000001</v>
      </c>
      <c r="AM655" s="145">
        <v>12.019</v>
      </c>
    </row>
    <row r="656" spans="1:39">
      <c r="A656" s="143" t="s">
        <v>1716</v>
      </c>
      <c r="B656" s="144">
        <v>100</v>
      </c>
      <c r="C656" s="145">
        <v>119.148</v>
      </c>
      <c r="D656" s="145">
        <v>5.6840000000000002</v>
      </c>
      <c r="E656" s="145">
        <v>3.5459999999999998</v>
      </c>
      <c r="F656" s="145">
        <v>1.3149999999999999</v>
      </c>
      <c r="G656" s="145">
        <v>1.2989999999999999</v>
      </c>
      <c r="H656" s="145">
        <v>0.41</v>
      </c>
      <c r="I656" s="145">
        <v>0.34499999999999997</v>
      </c>
      <c r="J656" s="145">
        <v>1.2E-2</v>
      </c>
      <c r="K656" s="145">
        <v>119.18</v>
      </c>
      <c r="L656" s="145">
        <v>15.752000000000001</v>
      </c>
      <c r="M656" s="145" t="s">
        <v>400</v>
      </c>
      <c r="N656" s="145">
        <v>93.201999999999998</v>
      </c>
      <c r="O656" s="145">
        <v>10.16</v>
      </c>
      <c r="P656" s="145">
        <v>1.0999999999999999E-2</v>
      </c>
      <c r="Q656" s="145">
        <v>110.375</v>
      </c>
      <c r="R656" s="145">
        <v>0.34699999999999998</v>
      </c>
      <c r="S656" s="145">
        <v>63.283999999999999</v>
      </c>
      <c r="T656" s="145">
        <v>135.83500000000001</v>
      </c>
      <c r="U656" s="145">
        <v>1.0999999999999999E-2</v>
      </c>
      <c r="V656" s="145">
        <v>0.56799999999999995</v>
      </c>
      <c r="W656" s="145">
        <v>84.567999999999998</v>
      </c>
      <c r="X656" s="145">
        <v>3.1E-2</v>
      </c>
      <c r="Y656" s="145">
        <v>0.26700000000000002</v>
      </c>
      <c r="Z656" s="146">
        <v>5.8000000000000003E-2</v>
      </c>
      <c r="AA656" s="145">
        <v>8.3000000000000004E-2</v>
      </c>
      <c r="AB656" s="145" t="s">
        <v>400</v>
      </c>
      <c r="AC656" s="145">
        <v>1.224</v>
      </c>
      <c r="AD656" s="145">
        <v>0.59699999999999998</v>
      </c>
      <c r="AE656" s="145">
        <v>15.355</v>
      </c>
      <c r="AF656" s="145">
        <v>1.216</v>
      </c>
      <c r="AG656" s="145">
        <v>0.28799999999999998</v>
      </c>
      <c r="AH656" s="145">
        <v>2.7E-2</v>
      </c>
      <c r="AI656" s="145" t="s">
        <v>400</v>
      </c>
      <c r="AJ656" s="145">
        <v>10.686999999999999</v>
      </c>
      <c r="AK656" s="145">
        <v>85.043999999999997</v>
      </c>
      <c r="AL656" s="145">
        <v>15.858000000000001</v>
      </c>
      <c r="AM656" s="145">
        <v>12.019</v>
      </c>
    </row>
    <row r="657" spans="1:39">
      <c r="A657" s="143" t="s">
        <v>1717</v>
      </c>
      <c r="B657" s="144">
        <v>100</v>
      </c>
      <c r="C657" s="145">
        <v>119.148</v>
      </c>
      <c r="D657" s="145">
        <v>5.6840000000000002</v>
      </c>
      <c r="E657" s="145">
        <v>3.5459999999999998</v>
      </c>
      <c r="F657" s="145">
        <v>1.3149999999999999</v>
      </c>
      <c r="G657" s="145">
        <v>1.2989999999999999</v>
      </c>
      <c r="H657" s="145">
        <v>0.41</v>
      </c>
      <c r="I657" s="145">
        <v>0.34499999999999997</v>
      </c>
      <c r="J657" s="145">
        <v>1.2E-2</v>
      </c>
      <c r="K657" s="145">
        <v>119.18</v>
      </c>
      <c r="L657" s="145">
        <v>15.752000000000001</v>
      </c>
      <c r="M657" s="145" t="s">
        <v>400</v>
      </c>
      <c r="N657" s="145">
        <v>93.201999999999998</v>
      </c>
      <c r="O657" s="145">
        <v>10.16</v>
      </c>
      <c r="P657" s="145">
        <v>1.0999999999999999E-2</v>
      </c>
      <c r="Q657" s="145">
        <v>110.375</v>
      </c>
      <c r="R657" s="145">
        <v>0.34699999999999998</v>
      </c>
      <c r="S657" s="145">
        <v>63.283999999999999</v>
      </c>
      <c r="T657" s="145">
        <v>135.83500000000001</v>
      </c>
      <c r="U657" s="145">
        <v>1.0999999999999999E-2</v>
      </c>
      <c r="V657" s="145">
        <v>0.56799999999999995</v>
      </c>
      <c r="W657" s="145">
        <v>84.567999999999998</v>
      </c>
      <c r="X657" s="145">
        <v>3.1E-2</v>
      </c>
      <c r="Y657" s="145">
        <v>0.26700000000000002</v>
      </c>
      <c r="Z657" s="146">
        <v>5.8000000000000003E-2</v>
      </c>
      <c r="AA657" s="145">
        <v>8.3000000000000004E-2</v>
      </c>
      <c r="AB657" s="145" t="s">
        <v>400</v>
      </c>
      <c r="AC657" s="145">
        <v>1.224</v>
      </c>
      <c r="AD657" s="145">
        <v>0.59699999999999998</v>
      </c>
      <c r="AE657" s="145">
        <v>15.355</v>
      </c>
      <c r="AF657" s="145">
        <v>1.216</v>
      </c>
      <c r="AG657" s="145">
        <v>0.28799999999999998</v>
      </c>
      <c r="AH657" s="145">
        <v>2.7E-2</v>
      </c>
      <c r="AI657" s="145" t="s">
        <v>400</v>
      </c>
      <c r="AJ657" s="145">
        <v>10.686999999999999</v>
      </c>
      <c r="AK657" s="145">
        <v>85.043999999999997</v>
      </c>
      <c r="AL657" s="145">
        <v>15.858000000000001</v>
      </c>
      <c r="AM657" s="145">
        <v>12.019</v>
      </c>
    </row>
    <row r="658" spans="1:39">
      <c r="A658" s="143" t="s">
        <v>1718</v>
      </c>
      <c r="B658" s="144">
        <v>100</v>
      </c>
      <c r="C658" s="145">
        <v>292.291</v>
      </c>
      <c r="D658" s="145">
        <v>7.577</v>
      </c>
      <c r="E658" s="145">
        <v>3.6150000000000002</v>
      </c>
      <c r="F658" s="145">
        <v>2.081</v>
      </c>
      <c r="G658" s="145">
        <v>0.90500000000000003</v>
      </c>
      <c r="H658" s="145">
        <v>0.215</v>
      </c>
      <c r="I658" s="145">
        <v>0.13200000000000001</v>
      </c>
      <c r="J658" s="145">
        <v>8.2000000000000003E-2</v>
      </c>
      <c r="K658" s="145">
        <v>13.254</v>
      </c>
      <c r="L658" s="145">
        <v>58.981999999999999</v>
      </c>
      <c r="M658" s="145" t="s">
        <v>400</v>
      </c>
      <c r="N658" s="145">
        <v>274.57299999999998</v>
      </c>
      <c r="O658" s="145">
        <v>24.181000000000001</v>
      </c>
      <c r="P658" s="145">
        <v>7.0000000000000001E-3</v>
      </c>
      <c r="Q658" s="145">
        <v>221.13800000000001</v>
      </c>
      <c r="R658" s="145">
        <v>7.3999999999999996E-2</v>
      </c>
      <c r="S658" s="145">
        <v>94.295000000000002</v>
      </c>
      <c r="T658" s="145">
        <v>345.16800000000001</v>
      </c>
      <c r="U658" s="145">
        <v>2.8000000000000001E-2</v>
      </c>
      <c r="V658" s="145">
        <v>0.94299999999999995</v>
      </c>
      <c r="W658" s="145">
        <v>31.526</v>
      </c>
      <c r="X658" s="145">
        <v>0.10199999999999999</v>
      </c>
      <c r="Y658" s="145">
        <v>0.42799999999999999</v>
      </c>
      <c r="Z658" s="146">
        <v>8.4000000000000005E-2</v>
      </c>
      <c r="AA658" s="145">
        <v>0.23</v>
      </c>
      <c r="AB658" s="145" t="s">
        <v>400</v>
      </c>
      <c r="AC658" s="145">
        <v>2.3929999999999998</v>
      </c>
      <c r="AD658" s="145">
        <v>1.1200000000000001</v>
      </c>
      <c r="AE658" s="145">
        <v>11.483000000000001</v>
      </c>
      <c r="AF658" s="145">
        <v>6.5000000000000002E-2</v>
      </c>
      <c r="AG658" s="145">
        <v>7.6999999999999999E-2</v>
      </c>
      <c r="AH658" s="145">
        <v>0.13800000000000001</v>
      </c>
      <c r="AI658" s="145" t="s">
        <v>400</v>
      </c>
      <c r="AJ658" s="145">
        <v>8.0579999999999998</v>
      </c>
      <c r="AK658" s="145">
        <v>31.977</v>
      </c>
      <c r="AL658" s="145">
        <v>59.908000000000001</v>
      </c>
      <c r="AM658" s="145">
        <v>48.067</v>
      </c>
    </row>
    <row r="659" spans="1:39">
      <c r="A659" s="143" t="s">
        <v>1719</v>
      </c>
      <c r="B659" s="144">
        <v>100</v>
      </c>
      <c r="C659" s="145">
        <v>292.291</v>
      </c>
      <c r="D659" s="145">
        <v>7.577</v>
      </c>
      <c r="E659" s="145">
        <v>3.6150000000000002</v>
      </c>
      <c r="F659" s="145">
        <v>2.081</v>
      </c>
      <c r="G659" s="145">
        <v>0.90500000000000003</v>
      </c>
      <c r="H659" s="145">
        <v>0.215</v>
      </c>
      <c r="I659" s="145">
        <v>0.13200000000000001</v>
      </c>
      <c r="J659" s="145">
        <v>8.2000000000000003E-2</v>
      </c>
      <c r="K659" s="145">
        <v>13.254</v>
      </c>
      <c r="L659" s="145">
        <v>58.981999999999999</v>
      </c>
      <c r="M659" s="145" t="s">
        <v>400</v>
      </c>
      <c r="N659" s="145">
        <v>274.57299999999998</v>
      </c>
      <c r="O659" s="145">
        <v>24.181000000000001</v>
      </c>
      <c r="P659" s="145">
        <v>7.0000000000000001E-3</v>
      </c>
      <c r="Q659" s="145">
        <v>221.13800000000001</v>
      </c>
      <c r="R659" s="145">
        <v>7.3999999999999996E-2</v>
      </c>
      <c r="S659" s="145">
        <v>94.295000000000002</v>
      </c>
      <c r="T659" s="145">
        <v>345.16800000000001</v>
      </c>
      <c r="U659" s="145">
        <v>2.8000000000000001E-2</v>
      </c>
      <c r="V659" s="145">
        <v>0.94299999999999995</v>
      </c>
      <c r="W659" s="145">
        <v>31.526</v>
      </c>
      <c r="X659" s="145">
        <v>0.10199999999999999</v>
      </c>
      <c r="Y659" s="145">
        <v>0.42799999999999999</v>
      </c>
      <c r="Z659" s="146">
        <v>8.4000000000000005E-2</v>
      </c>
      <c r="AA659" s="145">
        <v>0.23</v>
      </c>
      <c r="AB659" s="145" t="s">
        <v>400</v>
      </c>
      <c r="AC659" s="145">
        <v>2.3929999999999998</v>
      </c>
      <c r="AD659" s="145">
        <v>1.1200000000000001</v>
      </c>
      <c r="AE659" s="145">
        <v>11.483000000000001</v>
      </c>
      <c r="AF659" s="145">
        <v>6.5000000000000002E-2</v>
      </c>
      <c r="AG659" s="145">
        <v>7.6999999999999999E-2</v>
      </c>
      <c r="AH659" s="145">
        <v>0.13800000000000001</v>
      </c>
      <c r="AI659" s="145" t="s">
        <v>400</v>
      </c>
      <c r="AJ659" s="145">
        <v>8.0579999999999998</v>
      </c>
      <c r="AK659" s="145">
        <v>31.977</v>
      </c>
      <c r="AL659" s="145">
        <v>59.908000000000001</v>
      </c>
      <c r="AM659" s="145">
        <v>48.067</v>
      </c>
    </row>
    <row r="660" spans="1:39">
      <c r="A660" s="143" t="s">
        <v>1720</v>
      </c>
      <c r="B660" s="144">
        <v>100</v>
      </c>
      <c r="C660" s="145">
        <v>403.44900000000001</v>
      </c>
      <c r="D660" s="145">
        <v>5.5620000000000003</v>
      </c>
      <c r="E660" s="145">
        <v>5.4359999999999999</v>
      </c>
      <c r="F660" s="145">
        <v>0.54700000000000004</v>
      </c>
      <c r="G660" s="145">
        <v>2.798</v>
      </c>
      <c r="H660" s="145">
        <v>1.6890000000000001</v>
      </c>
      <c r="I660" s="145">
        <v>1.2450000000000001</v>
      </c>
      <c r="J660" s="145">
        <v>0.44400000000000001</v>
      </c>
      <c r="K660" s="145" t="s">
        <v>400</v>
      </c>
      <c r="L660" s="145">
        <v>86.361000000000004</v>
      </c>
      <c r="M660" s="145">
        <v>7.2030000000000003</v>
      </c>
      <c r="N660" s="145">
        <v>74.965000000000003</v>
      </c>
      <c r="O660" s="145">
        <v>68.293999999999997</v>
      </c>
      <c r="P660" s="145">
        <v>2.2650000000000001</v>
      </c>
      <c r="Q660" s="145">
        <v>156.08099999999999</v>
      </c>
      <c r="R660" s="145">
        <v>1.8759999999999999</v>
      </c>
      <c r="S660" s="145">
        <v>230.505</v>
      </c>
      <c r="T660" s="145">
        <v>421.892</v>
      </c>
      <c r="U660" s="145">
        <v>0.29299999999999998</v>
      </c>
      <c r="V660" s="145">
        <v>1.212</v>
      </c>
      <c r="W660" s="145" t="s">
        <v>400</v>
      </c>
      <c r="X660" s="145">
        <v>0.23100000000000001</v>
      </c>
      <c r="Y660" s="145">
        <v>9.5000000000000001E-2</v>
      </c>
      <c r="Z660" s="146">
        <v>0.27800000000000002</v>
      </c>
      <c r="AA660" s="145">
        <v>2.2570000000000001</v>
      </c>
      <c r="AB660" s="145">
        <v>37.081000000000003</v>
      </c>
      <c r="AC660" s="145">
        <v>3.4279999999999999</v>
      </c>
      <c r="AD660" s="145" t="s">
        <v>400</v>
      </c>
      <c r="AE660" s="145">
        <v>49.594999999999999</v>
      </c>
      <c r="AF660" s="145" t="s">
        <v>400</v>
      </c>
      <c r="AG660" s="145">
        <v>1.1830000000000001</v>
      </c>
      <c r="AH660" s="145">
        <v>1.4999999999999999E-2</v>
      </c>
      <c r="AI660" s="145" t="s">
        <v>400</v>
      </c>
      <c r="AJ660" s="145">
        <v>12.257</v>
      </c>
      <c r="AK660" s="145">
        <v>1.2969999999999999</v>
      </c>
      <c r="AL660" s="145">
        <v>38.427</v>
      </c>
      <c r="AM660" s="145">
        <v>12.43</v>
      </c>
    </row>
    <row r="661" spans="1:39">
      <c r="A661" s="143" t="s">
        <v>1721</v>
      </c>
      <c r="B661" s="144">
        <v>100</v>
      </c>
      <c r="C661" s="145">
        <v>403.44900000000001</v>
      </c>
      <c r="D661" s="145">
        <v>5.5620000000000003</v>
      </c>
      <c r="E661" s="145">
        <v>5.4359999999999999</v>
      </c>
      <c r="F661" s="145">
        <v>0.54700000000000004</v>
      </c>
      <c r="G661" s="145">
        <v>2.798</v>
      </c>
      <c r="H661" s="145">
        <v>1.6890000000000001</v>
      </c>
      <c r="I661" s="145">
        <v>1.2450000000000001</v>
      </c>
      <c r="J661" s="145">
        <v>0.44400000000000001</v>
      </c>
      <c r="K661" s="145" t="s">
        <v>400</v>
      </c>
      <c r="L661" s="145">
        <v>86.361000000000004</v>
      </c>
      <c r="M661" s="145">
        <v>7.2030000000000003</v>
      </c>
      <c r="N661" s="145">
        <v>74.965000000000003</v>
      </c>
      <c r="O661" s="145">
        <v>68.293999999999997</v>
      </c>
      <c r="P661" s="145">
        <v>2.2650000000000001</v>
      </c>
      <c r="Q661" s="145">
        <v>156.08099999999999</v>
      </c>
      <c r="R661" s="145">
        <v>1.8759999999999999</v>
      </c>
      <c r="S661" s="145">
        <v>230.505</v>
      </c>
      <c r="T661" s="145">
        <v>421.892</v>
      </c>
      <c r="U661" s="145">
        <v>0.29299999999999998</v>
      </c>
      <c r="V661" s="145">
        <v>1.212</v>
      </c>
      <c r="W661" s="145" t="s">
        <v>400</v>
      </c>
      <c r="X661" s="145">
        <v>0.23100000000000001</v>
      </c>
      <c r="Y661" s="145">
        <v>9.5000000000000001E-2</v>
      </c>
      <c r="Z661" s="146">
        <v>0.27800000000000002</v>
      </c>
      <c r="AA661" s="145">
        <v>2.2570000000000001</v>
      </c>
      <c r="AB661" s="145">
        <v>37.081000000000003</v>
      </c>
      <c r="AC661" s="145">
        <v>3.4279999999999999</v>
      </c>
      <c r="AD661" s="145" t="s">
        <v>400</v>
      </c>
      <c r="AE661" s="145">
        <v>49.594999999999999</v>
      </c>
      <c r="AF661" s="145" t="s">
        <v>400</v>
      </c>
      <c r="AG661" s="145">
        <v>1.1830000000000001</v>
      </c>
      <c r="AH661" s="145">
        <v>1.4999999999999999E-2</v>
      </c>
      <c r="AI661" s="145" t="s">
        <v>400</v>
      </c>
      <c r="AJ661" s="145">
        <v>12.257</v>
      </c>
      <c r="AK661" s="145">
        <v>1.2969999999999999</v>
      </c>
      <c r="AL661" s="145">
        <v>38.427</v>
      </c>
      <c r="AM661" s="145">
        <v>12.43</v>
      </c>
    </row>
    <row r="662" spans="1:39">
      <c r="A662" s="143" t="s">
        <v>1722</v>
      </c>
      <c r="B662" s="144">
        <v>100</v>
      </c>
      <c r="C662" s="145">
        <v>335.524</v>
      </c>
      <c r="D662" s="145">
        <v>19.187999999999999</v>
      </c>
      <c r="E662" s="145">
        <v>1.87</v>
      </c>
      <c r="F662" s="145">
        <v>0.75700000000000001</v>
      </c>
      <c r="G662" s="145">
        <v>0.42099999999999999</v>
      </c>
      <c r="H662" s="145">
        <v>0.41099999999999998</v>
      </c>
      <c r="I662" s="145">
        <v>0.36599999999999999</v>
      </c>
      <c r="J662" s="145">
        <v>4.4999999999999998E-2</v>
      </c>
      <c r="K662" s="145">
        <v>5.274</v>
      </c>
      <c r="L662" s="145">
        <v>69.938000000000002</v>
      </c>
      <c r="M662" s="145">
        <v>7.3890000000000002</v>
      </c>
      <c r="N662" s="145">
        <v>536.57600000000002</v>
      </c>
      <c r="O662" s="145">
        <v>357.142</v>
      </c>
      <c r="P662" s="145">
        <v>0.26900000000000002</v>
      </c>
      <c r="Q662" s="145">
        <v>366.596</v>
      </c>
      <c r="R662" s="145">
        <v>22.856999999999999</v>
      </c>
      <c r="S662" s="145">
        <v>395.27199999999999</v>
      </c>
      <c r="T662" s="145">
        <v>928.745</v>
      </c>
      <c r="U662" s="145">
        <v>0.71099999999999997</v>
      </c>
      <c r="V662" s="145">
        <v>16.071999999999999</v>
      </c>
      <c r="W662" s="145">
        <v>803.11300000000006</v>
      </c>
      <c r="X662" s="145">
        <v>1.6080000000000001</v>
      </c>
      <c r="Y662" s="145">
        <v>0.69799999999999995</v>
      </c>
      <c r="Z662" s="146">
        <v>2.1429999999999998</v>
      </c>
      <c r="AA662" s="145">
        <v>24.995999999999999</v>
      </c>
      <c r="AB662" s="145">
        <v>64.286000000000001</v>
      </c>
      <c r="AC662" s="145">
        <v>29.62</v>
      </c>
      <c r="AD662" s="145">
        <v>4.2869999999999999</v>
      </c>
      <c r="AE662" s="145">
        <v>588.803</v>
      </c>
      <c r="AF662" s="145">
        <v>3.5710000000000002</v>
      </c>
      <c r="AG662" s="145">
        <v>24.122</v>
      </c>
      <c r="AH662" s="145">
        <v>0.01</v>
      </c>
      <c r="AI662" s="145" t="s">
        <v>400</v>
      </c>
      <c r="AJ662" s="145">
        <v>11.733000000000001</v>
      </c>
      <c r="AK662" s="145">
        <v>803.21799999999996</v>
      </c>
      <c r="AL662" s="145">
        <v>59.328000000000003</v>
      </c>
      <c r="AM662" s="145">
        <v>39.637999999999998</v>
      </c>
    </row>
    <row r="663" spans="1:39">
      <c r="A663" s="143" t="s">
        <v>1723</v>
      </c>
      <c r="B663" s="144">
        <v>100</v>
      </c>
      <c r="C663" s="145">
        <v>404.8</v>
      </c>
      <c r="D663" s="145">
        <v>1.01</v>
      </c>
      <c r="E663" s="145">
        <v>12.46</v>
      </c>
      <c r="F663" s="145">
        <v>11.01</v>
      </c>
      <c r="G663" s="145">
        <v>0.53</v>
      </c>
      <c r="H663" s="145">
        <v>0.14000000000000001</v>
      </c>
      <c r="I663" s="145">
        <v>0.14000000000000001</v>
      </c>
      <c r="J663" s="145" t="s">
        <v>400</v>
      </c>
      <c r="K663" s="145" t="s">
        <v>400</v>
      </c>
      <c r="L663" s="145">
        <v>75.650000000000006</v>
      </c>
      <c r="M663" s="145">
        <v>1.58</v>
      </c>
      <c r="N663" s="145">
        <v>8.3000000000000007</v>
      </c>
      <c r="O663" s="145">
        <v>17.68</v>
      </c>
      <c r="P663" s="145">
        <v>0.87</v>
      </c>
      <c r="Q663" s="145">
        <v>37.450000000000003</v>
      </c>
      <c r="R663" s="145">
        <v>0.68</v>
      </c>
      <c r="S663" s="145">
        <v>107.35</v>
      </c>
      <c r="T663" s="145">
        <v>119.68</v>
      </c>
      <c r="U663" s="145">
        <v>0.11</v>
      </c>
      <c r="V663" s="145">
        <v>0.71</v>
      </c>
      <c r="W663" s="145" t="s">
        <v>400</v>
      </c>
      <c r="X663" s="145">
        <v>0.02</v>
      </c>
      <c r="Y663" s="145">
        <v>0.02</v>
      </c>
      <c r="Z663" s="145">
        <v>0.1</v>
      </c>
      <c r="AA663" s="145">
        <v>0.17</v>
      </c>
      <c r="AB663" s="145">
        <v>0.25</v>
      </c>
      <c r="AC663" s="145">
        <v>0.36</v>
      </c>
      <c r="AD663" s="145" t="s">
        <v>400</v>
      </c>
      <c r="AE663" s="145">
        <v>2.8</v>
      </c>
      <c r="AF663" s="145" t="s">
        <v>400</v>
      </c>
      <c r="AG663" s="145">
        <v>0.14000000000000001</v>
      </c>
      <c r="AH663" s="145" t="s">
        <v>400</v>
      </c>
      <c r="AI663" s="145" t="s">
        <v>400</v>
      </c>
      <c r="AJ663" s="145">
        <v>6.25</v>
      </c>
      <c r="AK663" s="145" t="s">
        <v>400</v>
      </c>
      <c r="AL663" s="145">
        <v>62.21</v>
      </c>
      <c r="AM663" s="145">
        <v>71.44</v>
      </c>
    </row>
    <row r="664" spans="1:39">
      <c r="A664" s="143" t="s">
        <v>1724</v>
      </c>
      <c r="B664" s="144">
        <v>100</v>
      </c>
      <c r="C664" s="145">
        <v>599</v>
      </c>
      <c r="D664" s="145">
        <v>28.03</v>
      </c>
      <c r="E664" s="145">
        <v>52.5</v>
      </c>
      <c r="F664" s="145">
        <v>8.6859999999999999</v>
      </c>
      <c r="G664" s="145">
        <v>25.975999999999999</v>
      </c>
      <c r="H664" s="145">
        <v>15.292</v>
      </c>
      <c r="I664" s="145">
        <v>15.103</v>
      </c>
      <c r="J664" s="145">
        <v>3.7999999999999999E-2</v>
      </c>
      <c r="K664" s="145" t="s">
        <v>400</v>
      </c>
      <c r="L664" s="145">
        <v>15.26</v>
      </c>
      <c r="M664" s="145">
        <v>9.4</v>
      </c>
      <c r="N664" s="145">
        <v>61</v>
      </c>
      <c r="O664" s="145">
        <v>176</v>
      </c>
      <c r="P664" s="145">
        <v>1.845</v>
      </c>
      <c r="Q664" s="145">
        <v>397</v>
      </c>
      <c r="R664" s="145">
        <v>1.52</v>
      </c>
      <c r="S664" s="145">
        <v>6</v>
      </c>
      <c r="T664" s="145">
        <v>726</v>
      </c>
      <c r="U664" s="145">
        <v>0.53300000000000003</v>
      </c>
      <c r="V664" s="145">
        <v>3.28</v>
      </c>
      <c r="W664" s="145" t="s">
        <v>400</v>
      </c>
      <c r="X664" s="145">
        <v>8.5000000000000006E-2</v>
      </c>
      <c r="Y664" s="145">
        <v>8.8999999999999996E-2</v>
      </c>
      <c r="Z664" s="146">
        <v>0.46100000000000002</v>
      </c>
      <c r="AA664" s="145">
        <v>13.824999999999999</v>
      </c>
      <c r="AB664" s="145">
        <v>0.8</v>
      </c>
      <c r="AC664" s="145">
        <v>17.675000000000001</v>
      </c>
      <c r="AD664" s="145" t="s">
        <v>400</v>
      </c>
      <c r="AE664" s="145">
        <v>120</v>
      </c>
      <c r="AF664" s="145" t="s">
        <v>400</v>
      </c>
      <c r="AG664" s="145">
        <v>6.94</v>
      </c>
      <c r="AH664" s="145" t="s">
        <v>400</v>
      </c>
      <c r="AI664" s="145" t="s">
        <v>400</v>
      </c>
      <c r="AJ664" s="145">
        <v>3.3</v>
      </c>
      <c r="AK664" s="145" t="s">
        <v>400</v>
      </c>
      <c r="AL664" s="145">
        <v>4.1900000000000004</v>
      </c>
      <c r="AM664" s="145" t="s">
        <v>400</v>
      </c>
    </row>
    <row r="665" spans="1:39">
      <c r="A665" s="143" t="s">
        <v>1725</v>
      </c>
      <c r="B665" s="144">
        <v>100</v>
      </c>
      <c r="C665" s="145">
        <v>599</v>
      </c>
      <c r="D665" s="145">
        <v>28.03</v>
      </c>
      <c r="E665" s="145">
        <v>52.5</v>
      </c>
      <c r="F665" s="145">
        <v>8.6859999999999999</v>
      </c>
      <c r="G665" s="145">
        <v>25.975999999999999</v>
      </c>
      <c r="H665" s="145">
        <v>15.292</v>
      </c>
      <c r="I665" s="145">
        <v>15.103</v>
      </c>
      <c r="J665" s="145">
        <v>3.7999999999999999E-2</v>
      </c>
      <c r="K665" s="145" t="s">
        <v>400</v>
      </c>
      <c r="L665" s="145">
        <v>15.26</v>
      </c>
      <c r="M665" s="145">
        <v>9.4</v>
      </c>
      <c r="N665" s="145">
        <v>61</v>
      </c>
      <c r="O665" s="145">
        <v>176</v>
      </c>
      <c r="P665" s="145">
        <v>1.845</v>
      </c>
      <c r="Q665" s="145">
        <v>397</v>
      </c>
      <c r="R665" s="145">
        <v>1.52</v>
      </c>
      <c r="S665" s="145">
        <v>6</v>
      </c>
      <c r="T665" s="145">
        <v>726</v>
      </c>
      <c r="U665" s="145">
        <v>0.53300000000000003</v>
      </c>
      <c r="V665" s="145">
        <v>3.28</v>
      </c>
      <c r="W665" s="145" t="s">
        <v>400</v>
      </c>
      <c r="X665" s="145">
        <v>8.5000000000000006E-2</v>
      </c>
      <c r="Y665" s="145">
        <v>8.8999999999999996E-2</v>
      </c>
      <c r="Z665" s="146">
        <v>0.46100000000000002</v>
      </c>
      <c r="AA665" s="145">
        <v>13.824999999999999</v>
      </c>
      <c r="AB665" s="145">
        <v>0.8</v>
      </c>
      <c r="AC665" s="145">
        <v>17.675000000000001</v>
      </c>
      <c r="AD665" s="145" t="s">
        <v>400</v>
      </c>
      <c r="AE665" s="145">
        <v>120</v>
      </c>
      <c r="AF665" s="145" t="s">
        <v>400</v>
      </c>
      <c r="AG665" s="145">
        <v>6.94</v>
      </c>
      <c r="AH665" s="145" t="s">
        <v>400</v>
      </c>
      <c r="AI665" s="145" t="s">
        <v>400</v>
      </c>
      <c r="AJ665" s="145">
        <v>3.3</v>
      </c>
      <c r="AK665" s="145" t="s">
        <v>400</v>
      </c>
      <c r="AL665" s="145">
        <v>4.1900000000000004</v>
      </c>
      <c r="AM665" s="145" t="s">
        <v>400</v>
      </c>
    </row>
    <row r="666" spans="1:39">
      <c r="A666" s="143" t="s">
        <v>1726</v>
      </c>
      <c r="B666" s="144">
        <v>100</v>
      </c>
      <c r="C666" s="145">
        <v>477.86</v>
      </c>
      <c r="D666" s="145">
        <v>7.09</v>
      </c>
      <c r="E666" s="145">
        <v>21.64</v>
      </c>
      <c r="F666" s="145">
        <v>7.25</v>
      </c>
      <c r="G666" s="145">
        <v>8.6999999999999993</v>
      </c>
      <c r="H666" s="145">
        <v>4.45</v>
      </c>
      <c r="I666" s="145">
        <v>4.42</v>
      </c>
      <c r="J666" s="145">
        <v>0.03</v>
      </c>
      <c r="K666" s="145">
        <v>22.75</v>
      </c>
      <c r="L666" s="145">
        <v>64.64</v>
      </c>
      <c r="M666" s="145">
        <v>2.96</v>
      </c>
      <c r="N666" s="145">
        <v>28.39</v>
      </c>
      <c r="O666" s="145">
        <v>46.65</v>
      </c>
      <c r="P666" s="145">
        <v>0.55000000000000004</v>
      </c>
      <c r="Q666" s="145">
        <v>110.61</v>
      </c>
      <c r="R666" s="145">
        <v>1.53</v>
      </c>
      <c r="S666" s="145">
        <v>309.23</v>
      </c>
      <c r="T666" s="145">
        <v>191.09</v>
      </c>
      <c r="U666" s="145">
        <v>0.34</v>
      </c>
      <c r="V666" s="145">
        <v>0.92</v>
      </c>
      <c r="W666" s="145">
        <v>71.010000000000005</v>
      </c>
      <c r="X666" s="145">
        <v>0.17</v>
      </c>
      <c r="Y666" s="145">
        <v>0.04</v>
      </c>
      <c r="Z666" s="145">
        <v>0.09</v>
      </c>
      <c r="AA666" s="145">
        <v>3.2</v>
      </c>
      <c r="AB666" s="145" t="s">
        <v>400</v>
      </c>
      <c r="AC666" s="145">
        <v>4.33</v>
      </c>
      <c r="AD666" s="145">
        <v>0.02</v>
      </c>
      <c r="AE666" s="145">
        <v>63.81</v>
      </c>
      <c r="AF666" s="145">
        <v>0.15</v>
      </c>
      <c r="AG666" s="145">
        <v>2.4500000000000002</v>
      </c>
      <c r="AH666" s="145">
        <v>0.35</v>
      </c>
      <c r="AI666" s="145" t="s">
        <v>400</v>
      </c>
      <c r="AJ666" s="145">
        <v>3.86</v>
      </c>
      <c r="AK666" s="145">
        <v>72.400000000000006</v>
      </c>
      <c r="AL666" s="145">
        <v>1.07</v>
      </c>
      <c r="AM666" s="145" t="s">
        <v>400</v>
      </c>
    </row>
    <row r="667" spans="1:39">
      <c r="A667" s="143" t="s">
        <v>1727</v>
      </c>
      <c r="B667" s="144">
        <v>100</v>
      </c>
      <c r="C667" s="145">
        <v>292.291</v>
      </c>
      <c r="D667" s="145">
        <v>7.577</v>
      </c>
      <c r="E667" s="145">
        <v>3.6150000000000002</v>
      </c>
      <c r="F667" s="145">
        <v>2.081</v>
      </c>
      <c r="G667" s="145">
        <v>0.90500000000000003</v>
      </c>
      <c r="H667" s="145">
        <v>0.215</v>
      </c>
      <c r="I667" s="145">
        <v>0.13200000000000001</v>
      </c>
      <c r="J667" s="145">
        <v>8.2000000000000003E-2</v>
      </c>
      <c r="K667" s="145">
        <v>13.254</v>
      </c>
      <c r="L667" s="145">
        <v>58.981999999999999</v>
      </c>
      <c r="M667" s="145" t="s">
        <v>400</v>
      </c>
      <c r="N667" s="145">
        <v>274.57299999999998</v>
      </c>
      <c r="O667" s="145">
        <v>24.181000000000001</v>
      </c>
      <c r="P667" s="145">
        <v>7.0000000000000001E-3</v>
      </c>
      <c r="Q667" s="145">
        <v>221.13800000000001</v>
      </c>
      <c r="R667" s="145">
        <v>7.3999999999999996E-2</v>
      </c>
      <c r="S667" s="145">
        <v>94.295000000000002</v>
      </c>
      <c r="T667" s="145">
        <v>345.16800000000001</v>
      </c>
      <c r="U667" s="145">
        <v>2.8000000000000001E-2</v>
      </c>
      <c r="V667" s="145">
        <v>0.94299999999999995</v>
      </c>
      <c r="W667" s="145">
        <v>31.526</v>
      </c>
      <c r="X667" s="145">
        <v>0.10199999999999999</v>
      </c>
      <c r="Y667" s="145">
        <v>0.42799999999999999</v>
      </c>
      <c r="Z667" s="146">
        <v>8.4000000000000005E-2</v>
      </c>
      <c r="AA667" s="145">
        <v>0.23</v>
      </c>
      <c r="AB667" s="145" t="s">
        <v>400</v>
      </c>
      <c r="AC667" s="145">
        <v>2.3929999999999998</v>
      </c>
      <c r="AD667" s="145">
        <v>1.1200000000000001</v>
      </c>
      <c r="AE667" s="145">
        <v>11.483000000000001</v>
      </c>
      <c r="AF667" s="145">
        <v>6.5000000000000002E-2</v>
      </c>
      <c r="AG667" s="145">
        <v>7.6999999999999999E-2</v>
      </c>
      <c r="AH667" s="145">
        <v>0.13800000000000001</v>
      </c>
      <c r="AI667" s="145" t="s">
        <v>400</v>
      </c>
      <c r="AJ667" s="145">
        <v>8.0579999999999998</v>
      </c>
      <c r="AK667" s="145">
        <v>31.977</v>
      </c>
      <c r="AL667" s="145">
        <v>59.908000000000001</v>
      </c>
      <c r="AM667" s="145">
        <v>48.067</v>
      </c>
    </row>
    <row r="668" spans="1:39">
      <c r="A668" s="143" t="s">
        <v>1728</v>
      </c>
      <c r="B668" s="144">
        <v>100</v>
      </c>
      <c r="C668" s="145">
        <v>179.005</v>
      </c>
      <c r="D668" s="145">
        <v>0.36199999999999999</v>
      </c>
      <c r="E668" s="145">
        <v>5.0999999999999997E-2</v>
      </c>
      <c r="F668" s="145">
        <v>1.6E-2</v>
      </c>
      <c r="G668" s="145">
        <v>2E-3</v>
      </c>
      <c r="H668" s="145">
        <v>1.4E-2</v>
      </c>
      <c r="I668" s="145">
        <v>1.0999999999999999E-2</v>
      </c>
      <c r="J668" s="145">
        <v>3.0000000000000001E-3</v>
      </c>
      <c r="K668" s="145" t="s">
        <v>400</v>
      </c>
      <c r="L668" s="145">
        <v>46.127000000000002</v>
      </c>
      <c r="M668" s="145">
        <v>0.34499999999999997</v>
      </c>
      <c r="N668" s="145">
        <v>9.234</v>
      </c>
      <c r="O668" s="145">
        <v>6.758</v>
      </c>
      <c r="P668" s="145">
        <v>0.22900000000000001</v>
      </c>
      <c r="Q668" s="145">
        <v>6.9649999999999999</v>
      </c>
      <c r="R668" s="145">
        <v>0.157</v>
      </c>
      <c r="S668" s="145">
        <v>2.008</v>
      </c>
      <c r="T668" s="145">
        <v>86.844999999999999</v>
      </c>
      <c r="U668" s="145">
        <v>1.7999999999999999E-2</v>
      </c>
      <c r="V668" s="145">
        <v>3.2000000000000001E-2</v>
      </c>
      <c r="W668" s="145" t="s">
        <v>400</v>
      </c>
      <c r="X668" s="145">
        <v>1.6E-2</v>
      </c>
      <c r="Y668" s="145">
        <v>0.03</v>
      </c>
      <c r="Z668" s="146">
        <v>4.1000000000000002E-2</v>
      </c>
      <c r="AA668" s="145">
        <v>0.16600000000000001</v>
      </c>
      <c r="AB668" s="145">
        <v>6.3E-2</v>
      </c>
      <c r="AC668" s="145">
        <v>0.16600000000000001</v>
      </c>
      <c r="AD668" s="145" t="s">
        <v>400</v>
      </c>
      <c r="AE668" s="145">
        <v>1.9</v>
      </c>
      <c r="AF668" s="145" t="s">
        <v>400</v>
      </c>
      <c r="AG668" s="145" t="s">
        <v>400</v>
      </c>
      <c r="AH668" s="145" t="s">
        <v>400</v>
      </c>
      <c r="AI668" s="145" t="s">
        <v>400</v>
      </c>
      <c r="AJ668" s="145">
        <v>0.28000000000000003</v>
      </c>
      <c r="AK668" s="145">
        <v>0.26400000000000001</v>
      </c>
      <c r="AL668" s="145">
        <v>45.609000000000002</v>
      </c>
      <c r="AM668" s="145">
        <v>36.073</v>
      </c>
    </row>
    <row r="669" spans="1:39">
      <c r="A669" s="143" t="s">
        <v>1729</v>
      </c>
      <c r="B669" s="144">
        <v>100</v>
      </c>
      <c r="C669" s="145">
        <v>365</v>
      </c>
      <c r="D669" s="145">
        <v>2.17</v>
      </c>
      <c r="E669" s="145" t="s">
        <v>400</v>
      </c>
      <c r="F669" s="145" t="s">
        <v>400</v>
      </c>
      <c r="G669" s="145" t="s">
        <v>400</v>
      </c>
      <c r="H669" s="145" t="s">
        <v>400</v>
      </c>
      <c r="I669" s="145" t="s">
        <v>400</v>
      </c>
      <c r="J669" s="145" t="s">
        <v>400</v>
      </c>
      <c r="K669" s="145" t="s">
        <v>400</v>
      </c>
      <c r="L669" s="145">
        <v>89.08</v>
      </c>
      <c r="M669" s="145" t="s">
        <v>400</v>
      </c>
      <c r="N669" s="145" t="s">
        <v>400</v>
      </c>
      <c r="O669" s="145" t="s">
        <v>400</v>
      </c>
      <c r="P669" s="145" t="s">
        <v>400</v>
      </c>
      <c r="Q669" s="145" t="s">
        <v>400</v>
      </c>
      <c r="R669" s="145">
        <v>0.04</v>
      </c>
      <c r="S669" s="145" t="s">
        <v>400</v>
      </c>
      <c r="T669" s="145">
        <v>4</v>
      </c>
      <c r="U669" s="145" t="s">
        <v>400</v>
      </c>
      <c r="V669" s="145">
        <v>0.01</v>
      </c>
      <c r="W669" s="145" t="s">
        <v>400</v>
      </c>
      <c r="X669" s="145" t="s">
        <v>400</v>
      </c>
      <c r="Y669" s="145" t="s">
        <v>400</v>
      </c>
      <c r="Z669" s="146" t="s">
        <v>400</v>
      </c>
      <c r="AA669" s="145" t="s">
        <v>400</v>
      </c>
      <c r="AB669" s="145" t="s">
        <v>400</v>
      </c>
      <c r="AC669" s="145" t="s">
        <v>400</v>
      </c>
      <c r="AD669" s="145" t="s">
        <v>400</v>
      </c>
      <c r="AE669" s="145" t="s">
        <v>400</v>
      </c>
      <c r="AF669" s="145" t="s">
        <v>400</v>
      </c>
      <c r="AG669" s="145" t="s">
        <v>400</v>
      </c>
      <c r="AH669" s="145" t="s">
        <v>400</v>
      </c>
      <c r="AI669" s="145" t="s">
        <v>400</v>
      </c>
      <c r="AJ669" s="145">
        <v>0.5</v>
      </c>
      <c r="AK669" s="145" t="s">
        <v>400</v>
      </c>
      <c r="AL669" s="145">
        <v>80.72</v>
      </c>
      <c r="AM669" s="145">
        <v>85.67</v>
      </c>
    </row>
    <row r="670" spans="1:39">
      <c r="A670" s="143" t="s">
        <v>1730</v>
      </c>
      <c r="B670" s="144">
        <v>100</v>
      </c>
      <c r="C670" s="145">
        <v>365</v>
      </c>
      <c r="D670" s="145">
        <v>2.17</v>
      </c>
      <c r="E670" s="145" t="s">
        <v>400</v>
      </c>
      <c r="F670" s="145" t="s">
        <v>400</v>
      </c>
      <c r="G670" s="145" t="s">
        <v>400</v>
      </c>
      <c r="H670" s="145" t="s">
        <v>400</v>
      </c>
      <c r="I670" s="145" t="s">
        <v>400</v>
      </c>
      <c r="J670" s="145" t="s">
        <v>400</v>
      </c>
      <c r="K670" s="145" t="s">
        <v>400</v>
      </c>
      <c r="L670" s="145">
        <v>89.08</v>
      </c>
      <c r="M670" s="145" t="s">
        <v>400</v>
      </c>
      <c r="N670" s="145" t="s">
        <v>400</v>
      </c>
      <c r="O670" s="145" t="s">
        <v>400</v>
      </c>
      <c r="P670" s="145" t="s">
        <v>400</v>
      </c>
      <c r="Q670" s="145" t="s">
        <v>400</v>
      </c>
      <c r="R670" s="145">
        <v>0.04</v>
      </c>
      <c r="S670" s="145" t="s">
        <v>400</v>
      </c>
      <c r="T670" s="145">
        <v>4</v>
      </c>
      <c r="U670" s="145" t="s">
        <v>400</v>
      </c>
      <c r="V670" s="145">
        <v>0.01</v>
      </c>
      <c r="W670" s="145" t="s">
        <v>400</v>
      </c>
      <c r="X670" s="145" t="s">
        <v>400</v>
      </c>
      <c r="Y670" s="145" t="s">
        <v>400</v>
      </c>
      <c r="Z670" s="146" t="s">
        <v>400</v>
      </c>
      <c r="AA670" s="145" t="s">
        <v>400</v>
      </c>
      <c r="AB670" s="145" t="s">
        <v>400</v>
      </c>
      <c r="AC670" s="145" t="s">
        <v>400</v>
      </c>
      <c r="AD670" s="145" t="s">
        <v>400</v>
      </c>
      <c r="AE670" s="145" t="s">
        <v>400</v>
      </c>
      <c r="AF670" s="145" t="s">
        <v>400</v>
      </c>
      <c r="AG670" s="145" t="s">
        <v>400</v>
      </c>
      <c r="AH670" s="145" t="s">
        <v>400</v>
      </c>
      <c r="AI670" s="145" t="s">
        <v>400</v>
      </c>
      <c r="AJ670" s="145">
        <v>0.5</v>
      </c>
      <c r="AK670" s="145" t="s">
        <v>400</v>
      </c>
      <c r="AL670" s="145">
        <v>80.72</v>
      </c>
      <c r="AM670" s="145">
        <v>85.67</v>
      </c>
    </row>
    <row r="671" spans="1:39">
      <c r="A671" s="143" t="s">
        <v>1731</v>
      </c>
      <c r="B671" s="144">
        <v>100</v>
      </c>
      <c r="C671" s="145" t="s">
        <v>400</v>
      </c>
      <c r="D671" s="145" t="s">
        <v>400</v>
      </c>
      <c r="E671" s="145" t="s">
        <v>400</v>
      </c>
      <c r="F671" s="145" t="s">
        <v>400</v>
      </c>
      <c r="G671" s="145" t="s">
        <v>400</v>
      </c>
      <c r="H671" s="145" t="s">
        <v>400</v>
      </c>
      <c r="I671" s="145" t="s">
        <v>400</v>
      </c>
      <c r="J671" s="145" t="s">
        <v>400</v>
      </c>
      <c r="K671" s="145" t="s">
        <v>400</v>
      </c>
      <c r="L671" s="145" t="s">
        <v>400</v>
      </c>
      <c r="M671" s="145" t="s">
        <v>400</v>
      </c>
      <c r="N671" s="145" t="s">
        <v>400</v>
      </c>
      <c r="O671" s="145" t="s">
        <v>400</v>
      </c>
      <c r="P671" s="145" t="s">
        <v>400</v>
      </c>
      <c r="Q671" s="145" t="s">
        <v>400</v>
      </c>
      <c r="R671" s="145" t="s">
        <v>400</v>
      </c>
      <c r="S671" s="145">
        <v>240</v>
      </c>
      <c r="T671" s="145" t="s">
        <v>400</v>
      </c>
      <c r="U671" s="145" t="s">
        <v>400</v>
      </c>
      <c r="V671" s="145" t="s">
        <v>400</v>
      </c>
      <c r="W671" s="145" t="s">
        <v>400</v>
      </c>
      <c r="X671" s="145" t="s">
        <v>400</v>
      </c>
      <c r="Y671" s="145" t="s">
        <v>400</v>
      </c>
      <c r="Z671" s="146" t="s">
        <v>400</v>
      </c>
      <c r="AA671" s="145" t="s">
        <v>400</v>
      </c>
      <c r="AB671" s="145" t="s">
        <v>400</v>
      </c>
      <c r="AC671" s="145" t="s">
        <v>400</v>
      </c>
      <c r="AD671" s="145" t="s">
        <v>400</v>
      </c>
      <c r="AE671" s="145" t="s">
        <v>400</v>
      </c>
      <c r="AF671" s="145" t="s">
        <v>400</v>
      </c>
      <c r="AG671" s="145" t="s">
        <v>400</v>
      </c>
      <c r="AH671" s="145" t="s">
        <v>400</v>
      </c>
      <c r="AI671" s="145" t="s">
        <v>400</v>
      </c>
      <c r="AJ671" s="145" t="s">
        <v>400</v>
      </c>
      <c r="AK671" s="145" t="s">
        <v>400</v>
      </c>
      <c r="AL671" s="145" t="s">
        <v>400</v>
      </c>
      <c r="AM671" s="145" t="s">
        <v>400</v>
      </c>
    </row>
    <row r="672" spans="1:39">
      <c r="A672" s="143" t="s">
        <v>1732</v>
      </c>
      <c r="B672" s="144">
        <v>100</v>
      </c>
      <c r="C672" s="145">
        <v>67</v>
      </c>
      <c r="D672" s="145">
        <v>4.37</v>
      </c>
      <c r="E672" s="145">
        <v>4.01</v>
      </c>
      <c r="F672" s="145">
        <v>0.248</v>
      </c>
      <c r="G672" s="145">
        <v>2.6269999999999998</v>
      </c>
      <c r="H672" s="145">
        <v>0.95399999999999996</v>
      </c>
      <c r="I672" s="145">
        <v>0.443</v>
      </c>
      <c r="J672" s="145">
        <v>0.45800000000000002</v>
      </c>
      <c r="K672" s="145" t="s">
        <v>400</v>
      </c>
      <c r="L672" s="145">
        <v>5.33</v>
      </c>
      <c r="M672" s="145">
        <v>3.3</v>
      </c>
      <c r="N672" s="145">
        <v>58</v>
      </c>
      <c r="O672" s="145">
        <v>49</v>
      </c>
      <c r="P672" s="145">
        <v>0.41699999999999998</v>
      </c>
      <c r="Q672" s="145">
        <v>106</v>
      </c>
      <c r="R672" s="145">
        <v>1.51</v>
      </c>
      <c r="S672" s="145">
        <v>1135</v>
      </c>
      <c r="T672" s="145">
        <v>138</v>
      </c>
      <c r="U672" s="145">
        <v>8.5000000000000006E-2</v>
      </c>
      <c r="V672" s="145">
        <v>0.64</v>
      </c>
      <c r="W672" s="145" t="s">
        <v>400</v>
      </c>
      <c r="X672" s="145">
        <v>0.34300000000000003</v>
      </c>
      <c r="Y672" s="145">
        <v>0.03</v>
      </c>
      <c r="Z672" s="146">
        <v>6.3E-2</v>
      </c>
      <c r="AA672" s="145">
        <v>0.52300000000000002</v>
      </c>
      <c r="AB672" s="145">
        <v>1.5</v>
      </c>
      <c r="AC672" s="145">
        <v>0.67300000000000004</v>
      </c>
      <c r="AD672" s="145" t="s">
        <v>400</v>
      </c>
      <c r="AE672" s="145">
        <v>7</v>
      </c>
      <c r="AF672" s="145" t="s">
        <v>400</v>
      </c>
      <c r="AG672" s="145">
        <v>0.36</v>
      </c>
      <c r="AH672" s="145">
        <v>1.2999999999999999E-2</v>
      </c>
      <c r="AI672" s="145" t="s">
        <v>400</v>
      </c>
      <c r="AJ672" s="145">
        <v>32.9</v>
      </c>
      <c r="AK672" s="145">
        <v>3.5</v>
      </c>
      <c r="AL672" s="145">
        <v>0.86</v>
      </c>
      <c r="AM672" s="145" t="s">
        <v>400</v>
      </c>
    </row>
    <row r="673" spans="1:39">
      <c r="A673" s="143" t="s">
        <v>1733</v>
      </c>
      <c r="B673" s="144">
        <v>100</v>
      </c>
      <c r="C673" s="145">
        <v>1.0009999999999999</v>
      </c>
      <c r="D673" s="145" t="s">
        <v>400</v>
      </c>
      <c r="E673" s="145" t="s">
        <v>400</v>
      </c>
      <c r="F673" s="145">
        <v>2E-3</v>
      </c>
      <c r="G673" s="145">
        <v>1E-3</v>
      </c>
      <c r="H673" s="145">
        <v>5.0000000000000001E-3</v>
      </c>
      <c r="I673" s="145" t="s">
        <v>400</v>
      </c>
      <c r="J673" s="145" t="s">
        <v>400</v>
      </c>
      <c r="K673" s="145" t="s">
        <v>400</v>
      </c>
      <c r="L673" s="145">
        <v>0.2</v>
      </c>
      <c r="M673" s="145" t="s">
        <v>400</v>
      </c>
      <c r="N673" s="145">
        <v>2.0019999999999998</v>
      </c>
      <c r="O673" s="145">
        <v>1.0009999999999999</v>
      </c>
      <c r="P673" s="145">
        <v>4.3999999999999997E-2</v>
      </c>
      <c r="Q673" s="145" t="s">
        <v>400</v>
      </c>
      <c r="R673" s="145">
        <v>0.08</v>
      </c>
      <c r="S673" s="145">
        <v>1.0009999999999999</v>
      </c>
      <c r="T673" s="145">
        <v>9.0079999999999991</v>
      </c>
      <c r="U673" s="145">
        <v>1.4999999999999999E-2</v>
      </c>
      <c r="V673" s="145">
        <v>0.04</v>
      </c>
      <c r="W673" s="145" t="s">
        <v>400</v>
      </c>
      <c r="X673" s="145">
        <v>0.01</v>
      </c>
      <c r="Y673" s="145">
        <v>4.0000000000000001E-3</v>
      </c>
      <c r="Z673" s="146" t="s">
        <v>400</v>
      </c>
      <c r="AA673" s="145" t="s">
        <v>400</v>
      </c>
      <c r="AB673" s="145" t="s">
        <v>400</v>
      </c>
      <c r="AC673" s="145" t="s">
        <v>400</v>
      </c>
      <c r="AD673" s="145" t="s">
        <v>400</v>
      </c>
      <c r="AE673" s="145">
        <v>1.0009999999999999</v>
      </c>
      <c r="AF673" s="145" t="s">
        <v>400</v>
      </c>
      <c r="AG673" s="145" t="s">
        <v>400</v>
      </c>
      <c r="AH673" s="145" t="s">
        <v>400</v>
      </c>
      <c r="AI673" s="145" t="s">
        <v>400</v>
      </c>
      <c r="AJ673" s="145" t="s">
        <v>400</v>
      </c>
      <c r="AK673" s="145" t="s">
        <v>400</v>
      </c>
      <c r="AL673" s="145" t="s">
        <v>400</v>
      </c>
      <c r="AM673" s="145" t="s">
        <v>400</v>
      </c>
    </row>
    <row r="674" spans="1:39">
      <c r="A674" s="143" t="s">
        <v>1734</v>
      </c>
      <c r="B674" s="144">
        <v>100</v>
      </c>
      <c r="C674" s="145">
        <v>23</v>
      </c>
      <c r="D674" s="145">
        <v>2.36</v>
      </c>
      <c r="E674" s="145">
        <v>0.86</v>
      </c>
      <c r="F674" s="145">
        <v>0.23300000000000001</v>
      </c>
      <c r="G674" s="145">
        <v>6.3E-2</v>
      </c>
      <c r="H674" s="145">
        <v>0.30399999999999999</v>
      </c>
      <c r="I674" s="145">
        <v>0.111</v>
      </c>
      <c r="J674" s="145">
        <v>0.183</v>
      </c>
      <c r="K674" s="145" t="s">
        <v>400</v>
      </c>
      <c r="L674" s="145">
        <v>4.8899999999999997</v>
      </c>
      <c r="M674" s="145">
        <v>3.2</v>
      </c>
      <c r="N674" s="145">
        <v>40</v>
      </c>
      <c r="O674" s="145">
        <v>33</v>
      </c>
      <c r="P674" s="145">
        <v>7.8E-2</v>
      </c>
      <c r="Q674" s="145">
        <v>10</v>
      </c>
      <c r="R674" s="145">
        <v>1.67</v>
      </c>
      <c r="S674" s="145">
        <v>2964</v>
      </c>
      <c r="T674" s="145">
        <v>40</v>
      </c>
      <c r="U674" s="145">
        <v>0.374</v>
      </c>
      <c r="V674" s="145">
        <v>0.32</v>
      </c>
      <c r="W674" s="145" t="s">
        <v>400</v>
      </c>
      <c r="X674" s="145">
        <v>1.7999999999999999E-2</v>
      </c>
      <c r="Y674" s="145">
        <v>0.13900000000000001</v>
      </c>
      <c r="Z674" s="146">
        <v>2.3E-2</v>
      </c>
      <c r="AA674" s="145">
        <v>0.65200000000000002</v>
      </c>
      <c r="AB674" s="145">
        <v>4.3</v>
      </c>
      <c r="AC674" s="145">
        <v>0.96899999999999997</v>
      </c>
      <c r="AD674" s="145" t="s">
        <v>400</v>
      </c>
      <c r="AE674" s="145">
        <v>23</v>
      </c>
      <c r="AF674" s="145" t="s">
        <v>400</v>
      </c>
      <c r="AG674" s="145">
        <v>0.88</v>
      </c>
      <c r="AH674" s="145" t="s">
        <v>400</v>
      </c>
      <c r="AI674" s="146" t="s">
        <v>400</v>
      </c>
      <c r="AJ674" s="145">
        <v>1.2</v>
      </c>
      <c r="AK674" s="145">
        <v>6.9169999999999998</v>
      </c>
      <c r="AL674" s="145">
        <v>2.5339999999999998</v>
      </c>
      <c r="AM674" s="145" t="s">
        <v>400</v>
      </c>
    </row>
    <row r="675" spans="1:39">
      <c r="A675" s="143" t="s">
        <v>1735</v>
      </c>
      <c r="B675" s="144">
        <v>100</v>
      </c>
      <c r="C675" s="145">
        <v>279</v>
      </c>
      <c r="D675" s="145">
        <v>21.93</v>
      </c>
      <c r="E675" s="145">
        <v>4.78</v>
      </c>
      <c r="F675" s="145">
        <v>0.12</v>
      </c>
      <c r="G675" s="145">
        <v>2.23</v>
      </c>
      <c r="H675" s="145">
        <v>0.33</v>
      </c>
      <c r="I675" s="145">
        <v>0.33</v>
      </c>
      <c r="J675" s="145" t="s">
        <v>400</v>
      </c>
      <c r="K675" s="145" t="s">
        <v>400</v>
      </c>
      <c r="L675" s="145">
        <v>52.1</v>
      </c>
      <c r="M675" s="145">
        <v>10.4</v>
      </c>
      <c r="N675" s="145">
        <v>1246</v>
      </c>
      <c r="O675" s="145">
        <v>694</v>
      </c>
      <c r="P675" s="145">
        <v>6.36</v>
      </c>
      <c r="Q675" s="145">
        <v>481</v>
      </c>
      <c r="R675" s="145">
        <v>42.46</v>
      </c>
      <c r="S675" s="145">
        <v>211</v>
      </c>
      <c r="T675" s="145">
        <v>4466</v>
      </c>
      <c r="U675" s="145">
        <v>1.79</v>
      </c>
      <c r="V675" s="145">
        <v>4.72</v>
      </c>
      <c r="W675" s="145" t="s">
        <v>400</v>
      </c>
      <c r="X675" s="145">
        <v>1.25</v>
      </c>
      <c r="Y675" s="145">
        <v>1.5</v>
      </c>
      <c r="Z675" s="145">
        <v>0.61</v>
      </c>
      <c r="AA675" s="145">
        <v>10.71</v>
      </c>
      <c r="AB675" s="145">
        <v>566.70000000000005</v>
      </c>
      <c r="AC675" s="145">
        <v>10.71</v>
      </c>
      <c r="AD675" s="145" t="s">
        <v>400</v>
      </c>
      <c r="AE675" s="145">
        <v>274</v>
      </c>
      <c r="AF675" s="145" t="s">
        <v>400</v>
      </c>
      <c r="AG675" s="145">
        <v>1.03</v>
      </c>
      <c r="AH675" s="145" t="s">
        <v>400</v>
      </c>
      <c r="AI675" s="145" t="s">
        <v>400</v>
      </c>
      <c r="AJ675" s="145">
        <v>29.3</v>
      </c>
      <c r="AK675" s="145">
        <v>292.5</v>
      </c>
      <c r="AL675" s="145">
        <v>34.75</v>
      </c>
      <c r="AM675" s="145" t="s">
        <v>400</v>
      </c>
    </row>
    <row r="676" spans="1:39">
      <c r="A676" s="143" t="s">
        <v>1736</v>
      </c>
      <c r="B676" s="144">
        <v>100</v>
      </c>
      <c r="C676" s="145">
        <v>53</v>
      </c>
      <c r="D676" s="145">
        <v>6.28</v>
      </c>
      <c r="E676" s="145">
        <v>0.04</v>
      </c>
      <c r="F676" s="145">
        <v>0.01</v>
      </c>
      <c r="G676" s="145">
        <v>0.01</v>
      </c>
      <c r="H676" s="145">
        <v>0.02</v>
      </c>
      <c r="I676" s="145">
        <v>0.02</v>
      </c>
      <c r="J676" s="145" t="s">
        <v>400</v>
      </c>
      <c r="K676" s="145" t="s">
        <v>400</v>
      </c>
      <c r="L676" s="145">
        <v>7.61</v>
      </c>
      <c r="M676" s="145">
        <v>0.8</v>
      </c>
      <c r="N676" s="145">
        <v>19</v>
      </c>
      <c r="O676" s="145">
        <v>43</v>
      </c>
      <c r="P676" s="145">
        <v>0.42</v>
      </c>
      <c r="Q676" s="145">
        <v>125</v>
      </c>
      <c r="R676" s="145">
        <v>1.93</v>
      </c>
      <c r="S676" s="145">
        <v>5637</v>
      </c>
      <c r="T676" s="145">
        <v>217</v>
      </c>
      <c r="U676" s="145">
        <v>0.1</v>
      </c>
      <c r="V676" s="145">
        <v>0.52</v>
      </c>
      <c r="W676" s="145" t="s">
        <v>400</v>
      </c>
      <c r="X676" s="145">
        <v>0.03</v>
      </c>
      <c r="Y676" s="145">
        <v>0.17</v>
      </c>
      <c r="Z676" s="145">
        <v>0.15</v>
      </c>
      <c r="AA676" s="145">
        <v>2.2000000000000002</v>
      </c>
      <c r="AB676" s="145" t="s">
        <v>400</v>
      </c>
      <c r="AC676" s="145">
        <v>3.7</v>
      </c>
      <c r="AD676" s="145" t="s">
        <v>400</v>
      </c>
      <c r="AE676" s="145">
        <v>14</v>
      </c>
      <c r="AF676" s="145" t="s">
        <v>400</v>
      </c>
      <c r="AG676" s="145" t="s">
        <v>400</v>
      </c>
      <c r="AH676" s="145" t="s">
        <v>400</v>
      </c>
      <c r="AI676" s="145" t="s">
        <v>400</v>
      </c>
      <c r="AJ676" s="145">
        <v>0.5</v>
      </c>
      <c r="AK676" s="145" t="s">
        <v>400</v>
      </c>
      <c r="AL676" s="145">
        <v>2</v>
      </c>
      <c r="AM676" s="145" t="s">
        <v>400</v>
      </c>
    </row>
    <row r="677" spans="1:39">
      <c r="A677" s="143" t="s">
        <v>1737</v>
      </c>
      <c r="B677" s="144">
        <v>100</v>
      </c>
      <c r="C677" s="145">
        <v>53</v>
      </c>
      <c r="D677" s="145">
        <v>6.28</v>
      </c>
      <c r="E677" s="145">
        <v>0.04</v>
      </c>
      <c r="F677" s="145">
        <v>0.01</v>
      </c>
      <c r="G677" s="145">
        <v>0.01</v>
      </c>
      <c r="H677" s="145">
        <v>0.02</v>
      </c>
      <c r="I677" s="145">
        <v>0.02</v>
      </c>
      <c r="J677" s="145" t="s">
        <v>400</v>
      </c>
      <c r="K677" s="145" t="s">
        <v>400</v>
      </c>
      <c r="L677" s="145">
        <v>7.61</v>
      </c>
      <c r="M677" s="145">
        <v>0.8</v>
      </c>
      <c r="N677" s="145">
        <v>19</v>
      </c>
      <c r="O677" s="145">
        <v>43</v>
      </c>
      <c r="P677" s="145">
        <v>0.42</v>
      </c>
      <c r="Q677" s="145">
        <v>125</v>
      </c>
      <c r="R677" s="145">
        <v>1.93</v>
      </c>
      <c r="S677" s="145">
        <v>5637</v>
      </c>
      <c r="T677" s="145">
        <v>217</v>
      </c>
      <c r="U677" s="145">
        <v>0.1</v>
      </c>
      <c r="V677" s="145">
        <v>0.52</v>
      </c>
      <c r="W677" s="145" t="s">
        <v>400</v>
      </c>
      <c r="X677" s="145">
        <v>0.03</v>
      </c>
      <c r="Y677" s="145">
        <v>0.17</v>
      </c>
      <c r="Z677" s="145">
        <v>0.15</v>
      </c>
      <c r="AA677" s="145">
        <v>2.2000000000000002</v>
      </c>
      <c r="AB677" s="145" t="s">
        <v>400</v>
      </c>
      <c r="AC677" s="145">
        <v>3.7</v>
      </c>
      <c r="AD677" s="145" t="s">
        <v>400</v>
      </c>
      <c r="AE677" s="145">
        <v>14</v>
      </c>
      <c r="AF677" s="145" t="s">
        <v>400</v>
      </c>
      <c r="AG677" s="145" t="s">
        <v>400</v>
      </c>
      <c r="AH677" s="145" t="s">
        <v>400</v>
      </c>
      <c r="AI677" s="145" t="s">
        <v>400</v>
      </c>
      <c r="AJ677" s="145">
        <v>0.5</v>
      </c>
      <c r="AK677" s="145" t="s">
        <v>400</v>
      </c>
      <c r="AL677" s="145">
        <v>2</v>
      </c>
      <c r="AM677" s="145" t="s">
        <v>400</v>
      </c>
    </row>
    <row r="678" spans="1:39">
      <c r="A678" s="143" t="s">
        <v>1738</v>
      </c>
      <c r="B678" s="144">
        <v>100</v>
      </c>
      <c r="C678" s="145">
        <v>202.46</v>
      </c>
      <c r="D678" s="145">
        <v>1.6140000000000001</v>
      </c>
      <c r="E678" s="145">
        <v>20.847000000000001</v>
      </c>
      <c r="F678" s="145">
        <v>18.486999999999998</v>
      </c>
      <c r="G678" s="145">
        <v>0.88700000000000001</v>
      </c>
      <c r="H678" s="145">
        <v>0.22900000000000001</v>
      </c>
      <c r="I678" s="145">
        <v>0.22900000000000001</v>
      </c>
      <c r="J678" s="145" t="s">
        <v>400</v>
      </c>
      <c r="K678" s="145" t="s">
        <v>400</v>
      </c>
      <c r="L678" s="145">
        <v>5.593</v>
      </c>
      <c r="M678" s="145">
        <v>0.91200000000000003</v>
      </c>
      <c r="N678" s="145">
        <v>4.0090000000000003</v>
      </c>
      <c r="O678" s="145">
        <v>32.073</v>
      </c>
      <c r="P678" s="145">
        <v>0.81100000000000005</v>
      </c>
      <c r="Q678" s="145">
        <v>59.134</v>
      </c>
      <c r="R678" s="145">
        <v>0.81200000000000006</v>
      </c>
      <c r="S678" s="145">
        <v>12.026999999999999</v>
      </c>
      <c r="T678" s="145">
        <v>232.52799999999999</v>
      </c>
      <c r="U678" s="145">
        <v>0.23599999999999999</v>
      </c>
      <c r="V678" s="145">
        <v>0.59099999999999997</v>
      </c>
      <c r="W678" s="145" t="s">
        <v>400</v>
      </c>
      <c r="X678" s="145">
        <v>2.3E-2</v>
      </c>
      <c r="Y678" s="145" t="s">
        <v>400</v>
      </c>
      <c r="Z678" s="146">
        <v>0.03</v>
      </c>
      <c r="AA678" s="145">
        <v>0.67300000000000004</v>
      </c>
      <c r="AB678" s="145">
        <v>1.103</v>
      </c>
      <c r="AC678" s="145">
        <v>0.99</v>
      </c>
      <c r="AD678" s="145" t="s">
        <v>400</v>
      </c>
      <c r="AE678" s="145">
        <v>14.032</v>
      </c>
      <c r="AF678" s="145" t="s">
        <v>400</v>
      </c>
      <c r="AG678" s="145">
        <v>8.0000000000000002E-3</v>
      </c>
      <c r="AH678" s="145" t="s">
        <v>400</v>
      </c>
      <c r="AI678" s="145" t="s">
        <v>400</v>
      </c>
      <c r="AJ678" s="145">
        <v>3.7080000000000002</v>
      </c>
      <c r="AK678" s="145" t="s">
        <v>400</v>
      </c>
      <c r="AL678" s="145">
        <v>4.681</v>
      </c>
      <c r="AM678" s="145" t="s">
        <v>400</v>
      </c>
    </row>
    <row r="679" spans="1:39">
      <c r="A679" s="143" t="s">
        <v>1739</v>
      </c>
      <c r="B679" s="144">
        <v>100</v>
      </c>
      <c r="C679" s="145">
        <v>261.05200000000002</v>
      </c>
      <c r="D679" s="145">
        <v>0.46500000000000002</v>
      </c>
      <c r="E679" s="145">
        <v>23.332999999999998</v>
      </c>
      <c r="F679" s="145">
        <v>3.7959999999999998</v>
      </c>
      <c r="G679" s="145">
        <v>5.4649999999999999</v>
      </c>
      <c r="H679" s="145">
        <v>13.177</v>
      </c>
      <c r="I679" s="145">
        <v>11.622999999999999</v>
      </c>
      <c r="J679" s="145">
        <v>1.5389999999999999</v>
      </c>
      <c r="K679" s="145">
        <v>32.906999999999996</v>
      </c>
      <c r="L679" s="145">
        <v>13.378</v>
      </c>
      <c r="M679" s="145">
        <v>6.3E-2</v>
      </c>
      <c r="N679" s="145">
        <v>5.758</v>
      </c>
      <c r="O679" s="145">
        <v>0.78100000000000003</v>
      </c>
      <c r="P679" s="145">
        <v>1.4999999999999999E-2</v>
      </c>
      <c r="Q679" s="145">
        <v>11.683</v>
      </c>
      <c r="R679" s="145">
        <v>0.13100000000000001</v>
      </c>
      <c r="S679" s="145">
        <v>831.34</v>
      </c>
      <c r="T679" s="145">
        <v>7.923</v>
      </c>
      <c r="U679" s="145">
        <v>6.0000000000000001E-3</v>
      </c>
      <c r="V679" s="145">
        <v>7.6999999999999999E-2</v>
      </c>
      <c r="W679" s="145">
        <v>9.8930000000000007</v>
      </c>
      <c r="X679" s="145">
        <v>6.0000000000000001E-3</v>
      </c>
      <c r="Y679" s="145">
        <v>1.9E-2</v>
      </c>
      <c r="Z679" s="146">
        <v>1.9E-2</v>
      </c>
      <c r="AA679" s="145">
        <v>2.1999999999999999E-2</v>
      </c>
      <c r="AB679" s="145">
        <v>0.11899999999999999</v>
      </c>
      <c r="AC679" s="145">
        <v>0.109</v>
      </c>
      <c r="AD679" s="145">
        <v>5.1999999999999998E-2</v>
      </c>
      <c r="AE679" s="145">
        <v>4.0369999999999999</v>
      </c>
      <c r="AF679" s="145">
        <v>7.0999999999999994E-2</v>
      </c>
      <c r="AG679" s="145">
        <v>1.9590000000000001</v>
      </c>
      <c r="AH679" s="145">
        <v>0.12</v>
      </c>
      <c r="AI679" s="145" t="s">
        <v>400</v>
      </c>
      <c r="AJ679" s="145">
        <v>12.023</v>
      </c>
      <c r="AK679" s="145">
        <v>13.683999999999999</v>
      </c>
      <c r="AL679" s="145">
        <v>10.24</v>
      </c>
      <c r="AM679" s="145">
        <v>10.441000000000001</v>
      </c>
    </row>
    <row r="680" spans="1:39">
      <c r="A680" s="143" t="s">
        <v>1740</v>
      </c>
      <c r="B680" s="144">
        <v>100</v>
      </c>
      <c r="C680" s="145">
        <v>38</v>
      </c>
      <c r="D680" s="145">
        <v>1.65</v>
      </c>
      <c r="E680" s="145">
        <v>0.21</v>
      </c>
      <c r="F680" s="145">
        <v>2.9000000000000001E-2</v>
      </c>
      <c r="G680" s="145">
        <v>3.1E-2</v>
      </c>
      <c r="H680" s="145">
        <v>8.5999999999999993E-2</v>
      </c>
      <c r="I680" s="145">
        <v>8.2000000000000003E-2</v>
      </c>
      <c r="J680" s="145">
        <v>4.0000000000000001E-3</v>
      </c>
      <c r="K680" s="145" t="s">
        <v>400</v>
      </c>
      <c r="L680" s="145">
        <v>8.98</v>
      </c>
      <c r="M680" s="145">
        <v>1.9</v>
      </c>
      <c r="N680" s="145">
        <v>18</v>
      </c>
      <c r="O680" s="145">
        <v>23</v>
      </c>
      <c r="P680" s="145">
        <v>0.16900000000000001</v>
      </c>
      <c r="Q680" s="145">
        <v>40</v>
      </c>
      <c r="R680" s="145">
        <v>1.78</v>
      </c>
      <c r="S680" s="145">
        <v>393</v>
      </c>
      <c r="T680" s="145">
        <v>439</v>
      </c>
      <c r="U680" s="145">
        <v>0.28699999999999998</v>
      </c>
      <c r="V680" s="145">
        <v>0.36</v>
      </c>
      <c r="W680" s="145" t="s">
        <v>400</v>
      </c>
      <c r="X680" s="145">
        <v>2.5000000000000001E-2</v>
      </c>
      <c r="Y680" s="145">
        <v>0.08</v>
      </c>
      <c r="Z680" s="146">
        <v>0.126</v>
      </c>
      <c r="AA680" s="145">
        <v>1.466</v>
      </c>
      <c r="AB680" s="145">
        <v>10.6</v>
      </c>
      <c r="AC680" s="145">
        <v>1.649</v>
      </c>
      <c r="AD680" s="145" t="s">
        <v>400</v>
      </c>
      <c r="AE680" s="145">
        <v>11</v>
      </c>
      <c r="AF680" s="145" t="s">
        <v>400</v>
      </c>
      <c r="AG680" s="145">
        <v>1.95</v>
      </c>
      <c r="AH680" s="145" t="s">
        <v>400</v>
      </c>
      <c r="AI680" s="145" t="s">
        <v>400</v>
      </c>
      <c r="AJ680" s="145">
        <v>0.7</v>
      </c>
      <c r="AK680" s="145">
        <v>25.5</v>
      </c>
      <c r="AL680" s="145">
        <v>4.83</v>
      </c>
      <c r="AM680" s="145" t="s">
        <v>400</v>
      </c>
    </row>
    <row r="681" spans="1:39">
      <c r="A681" s="143" t="s">
        <v>1741</v>
      </c>
      <c r="B681" s="144">
        <v>100</v>
      </c>
      <c r="C681" s="145">
        <v>24</v>
      </c>
      <c r="D681" s="145">
        <v>1.32</v>
      </c>
      <c r="E681" s="145">
        <v>0.18</v>
      </c>
      <c r="F681" s="145">
        <v>0.03</v>
      </c>
      <c r="G681" s="145">
        <v>0.03</v>
      </c>
      <c r="H681" s="145">
        <v>7.0000000000000007E-2</v>
      </c>
      <c r="I681" s="145">
        <v>7.0000000000000007E-2</v>
      </c>
      <c r="J681" s="145" t="s">
        <v>400</v>
      </c>
      <c r="K681" s="145" t="s">
        <v>400</v>
      </c>
      <c r="L681" s="145">
        <v>5.38</v>
      </c>
      <c r="M681" s="145">
        <v>1.5</v>
      </c>
      <c r="N681" s="145">
        <v>13</v>
      </c>
      <c r="O681" s="145">
        <v>16</v>
      </c>
      <c r="P681" s="145">
        <v>0.11</v>
      </c>
      <c r="Q681" s="145">
        <v>26</v>
      </c>
      <c r="R681" s="145">
        <v>1.02</v>
      </c>
      <c r="S681" s="145">
        <v>524</v>
      </c>
      <c r="T681" s="145">
        <v>331</v>
      </c>
      <c r="U681" s="145">
        <v>0.12</v>
      </c>
      <c r="V681" s="145">
        <v>0.2</v>
      </c>
      <c r="W681" s="145" t="s">
        <v>400</v>
      </c>
      <c r="X681" s="145">
        <v>0.02</v>
      </c>
      <c r="Y681" s="145">
        <v>7.0000000000000007E-2</v>
      </c>
      <c r="Z681" s="145">
        <v>0.1</v>
      </c>
      <c r="AA681" s="145">
        <v>0.98</v>
      </c>
      <c r="AB681" s="145">
        <v>7</v>
      </c>
      <c r="AC681" s="145">
        <v>1.1399999999999999</v>
      </c>
      <c r="AD681" s="145" t="s">
        <v>400</v>
      </c>
      <c r="AE681" s="145">
        <v>11</v>
      </c>
      <c r="AF681" s="145" t="s">
        <v>400</v>
      </c>
      <c r="AG681" s="145">
        <v>1.42</v>
      </c>
      <c r="AH681" s="145" t="s">
        <v>400</v>
      </c>
      <c r="AI681" s="145" t="s">
        <v>400</v>
      </c>
      <c r="AJ681" s="145">
        <v>0.2</v>
      </c>
      <c r="AK681" s="145">
        <v>17.420000000000002</v>
      </c>
      <c r="AL681" s="145">
        <v>4.25</v>
      </c>
      <c r="AM681" s="145" t="s">
        <v>400</v>
      </c>
    </row>
    <row r="682" spans="1:39">
      <c r="A682" s="143" t="s">
        <v>1742</v>
      </c>
      <c r="B682" s="144">
        <v>100</v>
      </c>
      <c r="C682" s="145">
        <v>97</v>
      </c>
      <c r="D682" s="145">
        <v>1.74</v>
      </c>
      <c r="E682" s="145">
        <v>0.31</v>
      </c>
      <c r="F682" s="145">
        <v>4.2999999999999997E-2</v>
      </c>
      <c r="G682" s="145">
        <v>4.7E-2</v>
      </c>
      <c r="H682" s="145">
        <v>0.126</v>
      </c>
      <c r="I682" s="145">
        <v>0.121</v>
      </c>
      <c r="J682" s="145">
        <v>4.0000000000000001E-3</v>
      </c>
      <c r="K682" s="145" t="s">
        <v>400</v>
      </c>
      <c r="L682" s="145">
        <v>25.15</v>
      </c>
      <c r="M682" s="145">
        <v>0.3</v>
      </c>
      <c r="N682" s="145">
        <v>18</v>
      </c>
      <c r="O682" s="145">
        <v>19</v>
      </c>
      <c r="P682" s="145">
        <v>0.128</v>
      </c>
      <c r="Q682" s="145">
        <v>33</v>
      </c>
      <c r="R682" s="145">
        <v>0.51</v>
      </c>
      <c r="S682" s="145">
        <v>1114</v>
      </c>
      <c r="T682" s="145">
        <v>382</v>
      </c>
      <c r="U682" s="145">
        <v>0.18099999999999999</v>
      </c>
      <c r="V682" s="145">
        <v>0.26</v>
      </c>
      <c r="W682" s="145" t="s">
        <v>400</v>
      </c>
      <c r="X682" s="145">
        <v>1.0999999999999999E-2</v>
      </c>
      <c r="Y682" s="145">
        <v>0.13200000000000001</v>
      </c>
      <c r="Z682" s="146">
        <v>0.14899999999999999</v>
      </c>
      <c r="AA682" s="145">
        <v>1.4259999999999999</v>
      </c>
      <c r="AB682" s="145">
        <v>15.1</v>
      </c>
      <c r="AC682" s="145">
        <v>1.726</v>
      </c>
      <c r="AD682" s="145" t="s">
        <v>400</v>
      </c>
      <c r="AE682" s="145">
        <v>10</v>
      </c>
      <c r="AF682" s="145" t="s">
        <v>400</v>
      </c>
      <c r="AG682" s="145">
        <v>1.46</v>
      </c>
      <c r="AH682" s="145" t="s">
        <v>400</v>
      </c>
      <c r="AI682" s="145" t="s">
        <v>400</v>
      </c>
      <c r="AJ682" s="145">
        <v>0.3</v>
      </c>
      <c r="AK682" s="145">
        <v>46.667000000000002</v>
      </c>
      <c r="AL682" s="145">
        <v>22.77</v>
      </c>
      <c r="AM682" s="145">
        <v>16.298999999999999</v>
      </c>
    </row>
    <row r="683" spans="1:39">
      <c r="A683" s="143" t="s">
        <v>1743</v>
      </c>
      <c r="B683" s="144">
        <v>100</v>
      </c>
      <c r="C683" s="145">
        <v>97</v>
      </c>
      <c r="D683" s="145">
        <v>1.74</v>
      </c>
      <c r="E683" s="145">
        <v>0.31</v>
      </c>
      <c r="F683" s="145">
        <v>4.2999999999999997E-2</v>
      </c>
      <c r="G683" s="145">
        <v>4.7E-2</v>
      </c>
      <c r="H683" s="145">
        <v>0.126</v>
      </c>
      <c r="I683" s="145">
        <v>0.121</v>
      </c>
      <c r="J683" s="145">
        <v>4.0000000000000001E-3</v>
      </c>
      <c r="K683" s="145" t="s">
        <v>400</v>
      </c>
      <c r="L683" s="145">
        <v>25.15</v>
      </c>
      <c r="M683" s="145">
        <v>0.3</v>
      </c>
      <c r="N683" s="145">
        <v>18</v>
      </c>
      <c r="O683" s="145">
        <v>19</v>
      </c>
      <c r="P683" s="145">
        <v>0.128</v>
      </c>
      <c r="Q683" s="145">
        <v>33</v>
      </c>
      <c r="R683" s="145">
        <v>0.51</v>
      </c>
      <c r="S683" s="145">
        <v>1114</v>
      </c>
      <c r="T683" s="145">
        <v>382</v>
      </c>
      <c r="U683" s="145">
        <v>0.18099999999999999</v>
      </c>
      <c r="V683" s="145">
        <v>0.26</v>
      </c>
      <c r="W683" s="145" t="s">
        <v>400</v>
      </c>
      <c r="X683" s="145">
        <v>1.0999999999999999E-2</v>
      </c>
      <c r="Y683" s="145">
        <v>0.13200000000000001</v>
      </c>
      <c r="Z683" s="146">
        <v>0.14899999999999999</v>
      </c>
      <c r="AA683" s="145">
        <v>1.4259999999999999</v>
      </c>
      <c r="AB683" s="145">
        <v>15.1</v>
      </c>
      <c r="AC683" s="145">
        <v>1.726</v>
      </c>
      <c r="AD683" s="145" t="s">
        <v>400</v>
      </c>
      <c r="AE683" s="145">
        <v>10</v>
      </c>
      <c r="AF683" s="145" t="s">
        <v>400</v>
      </c>
      <c r="AG683" s="145">
        <v>1.46</v>
      </c>
      <c r="AH683" s="145" t="s">
        <v>400</v>
      </c>
      <c r="AI683" s="145" t="s">
        <v>400</v>
      </c>
      <c r="AJ683" s="145">
        <v>0.3</v>
      </c>
      <c r="AK683" s="145">
        <v>46.667000000000002</v>
      </c>
      <c r="AL683" s="145">
        <v>22.77</v>
      </c>
      <c r="AM683" s="145">
        <v>16.298999999999999</v>
      </c>
    </row>
    <row r="684" spans="1:39">
      <c r="A684" s="143" t="s">
        <v>1744</v>
      </c>
      <c r="B684" s="144">
        <v>100</v>
      </c>
      <c r="C684" s="145">
        <v>255</v>
      </c>
      <c r="D684" s="145">
        <v>10.95</v>
      </c>
      <c r="E684" s="145">
        <v>3.26</v>
      </c>
      <c r="F684" s="145">
        <v>0.98</v>
      </c>
      <c r="G684" s="145">
        <v>1.01</v>
      </c>
      <c r="H684" s="145">
        <v>1.1299999999999999</v>
      </c>
      <c r="I684" s="145">
        <v>0.97</v>
      </c>
      <c r="J684" s="145">
        <v>0.16</v>
      </c>
      <c r="K684" s="145" t="s">
        <v>400</v>
      </c>
      <c r="L684" s="145">
        <v>64.81</v>
      </c>
      <c r="M684" s="145">
        <v>26.5</v>
      </c>
      <c r="N684" s="145">
        <v>437</v>
      </c>
      <c r="O684" s="145">
        <v>194</v>
      </c>
      <c r="P684" s="145">
        <v>5.625</v>
      </c>
      <c r="Q684" s="145">
        <v>173</v>
      </c>
      <c r="R684" s="145">
        <v>28.86</v>
      </c>
      <c r="S684" s="145">
        <v>44</v>
      </c>
      <c r="T684" s="145">
        <v>1259</v>
      </c>
      <c r="U684" s="145">
        <v>1.127</v>
      </c>
      <c r="V684" s="145">
        <v>1.42</v>
      </c>
      <c r="W684" s="145" t="s">
        <v>400</v>
      </c>
      <c r="X684" s="145">
        <v>0.109</v>
      </c>
      <c r="Y684" s="145">
        <v>0.24</v>
      </c>
      <c r="Z684" s="146">
        <v>0.28999999999999998</v>
      </c>
      <c r="AA684" s="145">
        <v>1.1419999999999999</v>
      </c>
      <c r="AB684" s="145">
        <v>21</v>
      </c>
      <c r="AC684" s="145">
        <v>1.1419999999999999</v>
      </c>
      <c r="AD684" s="145" t="s">
        <v>400</v>
      </c>
      <c r="AE684" s="145">
        <v>10</v>
      </c>
      <c r="AF684" s="145" t="s">
        <v>400</v>
      </c>
      <c r="AG684" s="145">
        <v>0.72</v>
      </c>
      <c r="AH684" s="145" t="s">
        <v>400</v>
      </c>
      <c r="AI684" s="145" t="s">
        <v>400</v>
      </c>
      <c r="AJ684" s="145">
        <v>3.1</v>
      </c>
      <c r="AK684" s="145">
        <v>15</v>
      </c>
      <c r="AL684" s="145" t="s">
        <v>400</v>
      </c>
      <c r="AM684" s="145" t="s">
        <v>400</v>
      </c>
    </row>
    <row r="685" spans="1:39">
      <c r="A685" s="143" t="s">
        <v>1745</v>
      </c>
      <c r="B685" s="144">
        <v>100</v>
      </c>
      <c r="C685" s="145">
        <v>4.8689999999999998</v>
      </c>
      <c r="D685" s="145">
        <v>1.0999999999999999E-2</v>
      </c>
      <c r="E685" s="145">
        <v>2E-3</v>
      </c>
      <c r="F685" s="145" t="s">
        <v>400</v>
      </c>
      <c r="G685" s="145" t="s">
        <v>400</v>
      </c>
      <c r="H685" s="145">
        <v>1E-3</v>
      </c>
      <c r="I685" s="145">
        <v>1E-3</v>
      </c>
      <c r="J685" s="145" t="s">
        <v>400</v>
      </c>
      <c r="K685" s="145" t="s">
        <v>400</v>
      </c>
      <c r="L685" s="145">
        <v>1.3</v>
      </c>
      <c r="M685" s="145">
        <v>8.9999999999999993E-3</v>
      </c>
      <c r="N685" s="145">
        <v>2.4009999999999998</v>
      </c>
      <c r="O685" s="145">
        <v>0.60899999999999999</v>
      </c>
      <c r="P685" s="145">
        <v>4.0000000000000001E-3</v>
      </c>
      <c r="Q685" s="145">
        <v>0.46700000000000003</v>
      </c>
      <c r="R685" s="145">
        <v>8.9999999999999993E-3</v>
      </c>
      <c r="S685" s="145">
        <v>400.05700000000002</v>
      </c>
      <c r="T685" s="145">
        <v>3.3319999999999999</v>
      </c>
      <c r="U685" s="145">
        <v>1E-3</v>
      </c>
      <c r="V685" s="145">
        <v>3.0000000000000001E-3</v>
      </c>
      <c r="W685" s="145">
        <v>21.28</v>
      </c>
      <c r="X685" s="145">
        <v>1E-3</v>
      </c>
      <c r="Y685" s="145">
        <v>1E-3</v>
      </c>
      <c r="Z685" s="145">
        <v>2E-3</v>
      </c>
      <c r="AA685" s="145">
        <v>4.0000000000000001E-3</v>
      </c>
      <c r="AB685" s="145">
        <v>9.5000000000000001E-2</v>
      </c>
      <c r="AC685" s="145">
        <v>6.0000000000000001E-3</v>
      </c>
      <c r="AD685" s="145" t="s">
        <v>400</v>
      </c>
      <c r="AE685" s="145">
        <v>4.4999999999999998E-2</v>
      </c>
      <c r="AF685" s="145" t="s">
        <v>400</v>
      </c>
      <c r="AG685" s="145">
        <v>1.2999999999999999E-2</v>
      </c>
      <c r="AH685" s="145" t="s">
        <v>400</v>
      </c>
      <c r="AI685" s="145" t="s">
        <v>400</v>
      </c>
      <c r="AJ685" s="145">
        <v>1.9E-2</v>
      </c>
      <c r="AK685" s="145">
        <v>10.64</v>
      </c>
      <c r="AL685" s="145">
        <v>1.1879999999999999</v>
      </c>
      <c r="AM685" s="145">
        <v>1.1970000000000001</v>
      </c>
    </row>
    <row r="686" spans="1:39">
      <c r="A686" s="143" t="s">
        <v>1746</v>
      </c>
      <c r="B686" s="144">
        <v>100</v>
      </c>
      <c r="C686" s="145">
        <v>209.65700000000001</v>
      </c>
      <c r="D686" s="145">
        <v>10.34</v>
      </c>
      <c r="E686" s="145">
        <v>15.808</v>
      </c>
      <c r="F686" s="145">
        <v>9.8360000000000003</v>
      </c>
      <c r="G686" s="145">
        <v>4.2919999999999998</v>
      </c>
      <c r="H686" s="145">
        <v>0.60899999999999999</v>
      </c>
      <c r="I686" s="145">
        <v>0.46</v>
      </c>
      <c r="J686" s="145">
        <v>0.15</v>
      </c>
      <c r="K686" s="145">
        <v>51.124000000000002</v>
      </c>
      <c r="L686" s="145">
        <v>6.7220000000000004</v>
      </c>
      <c r="M686" s="145">
        <v>9.8000000000000004E-2</v>
      </c>
      <c r="N686" s="145">
        <v>287.52199999999999</v>
      </c>
      <c r="O686" s="145">
        <v>15.679</v>
      </c>
      <c r="P686" s="145">
        <v>2.7E-2</v>
      </c>
      <c r="Q686" s="145">
        <v>217.096</v>
      </c>
      <c r="R686" s="145">
        <v>0.24299999999999999</v>
      </c>
      <c r="S686" s="145">
        <v>208.55500000000001</v>
      </c>
      <c r="T686" s="145">
        <v>138.69</v>
      </c>
      <c r="U686" s="145">
        <v>2.1000000000000001E-2</v>
      </c>
      <c r="V686" s="145">
        <v>1.1870000000000001</v>
      </c>
      <c r="W686" s="145">
        <v>127.226</v>
      </c>
      <c r="X686" s="145">
        <v>6.4000000000000001E-2</v>
      </c>
      <c r="Y686" s="145">
        <v>0.25</v>
      </c>
      <c r="Z686" s="146">
        <v>0.05</v>
      </c>
      <c r="AA686" s="145">
        <v>0.30599999999999999</v>
      </c>
      <c r="AB686" s="145" t="s">
        <v>400</v>
      </c>
      <c r="AC686" s="145">
        <v>3.0819999999999999</v>
      </c>
      <c r="AD686" s="145">
        <v>0.59599999999999997</v>
      </c>
      <c r="AE686" s="145">
        <v>13.289</v>
      </c>
      <c r="AF686" s="145">
        <v>0.89100000000000001</v>
      </c>
      <c r="AG686" s="145">
        <v>0.25600000000000001</v>
      </c>
      <c r="AH686" s="145">
        <v>0.48499999999999999</v>
      </c>
      <c r="AI686" s="145" t="s">
        <v>400</v>
      </c>
      <c r="AJ686" s="145">
        <v>9.5500000000000007</v>
      </c>
      <c r="AK686" s="145">
        <v>130.13900000000001</v>
      </c>
      <c r="AL686" s="145">
        <v>4.8380000000000001</v>
      </c>
      <c r="AM686" s="145" t="s">
        <v>400</v>
      </c>
    </row>
    <row r="687" spans="1:39">
      <c r="A687" s="143" t="s">
        <v>1747</v>
      </c>
      <c r="B687" s="144">
        <v>100</v>
      </c>
      <c r="C687" s="145">
        <v>16</v>
      </c>
      <c r="D687" s="145">
        <v>2</v>
      </c>
      <c r="E687" s="145">
        <v>0.6</v>
      </c>
      <c r="F687" s="145">
        <v>0.14199999999999999</v>
      </c>
      <c r="G687" s="145">
        <v>0.121</v>
      </c>
      <c r="H687" s="145">
        <v>0.16200000000000001</v>
      </c>
      <c r="I687" s="145">
        <v>6.0000000000000001E-3</v>
      </c>
      <c r="J687" s="145">
        <v>6.0000000000000001E-3</v>
      </c>
      <c r="K687" s="145" t="s">
        <v>400</v>
      </c>
      <c r="L687" s="145">
        <v>0.4</v>
      </c>
      <c r="M687" s="145" t="s">
        <v>400</v>
      </c>
      <c r="N687" s="145">
        <v>30</v>
      </c>
      <c r="O687" s="145">
        <v>1</v>
      </c>
      <c r="P687" s="145">
        <v>2.5999999999999999E-2</v>
      </c>
      <c r="Q687" s="145">
        <v>30</v>
      </c>
      <c r="R687" s="145">
        <v>0.21</v>
      </c>
      <c r="S687" s="145">
        <v>318</v>
      </c>
      <c r="T687" s="145">
        <v>86</v>
      </c>
      <c r="U687" s="145">
        <v>5.0999999999999997E-2</v>
      </c>
      <c r="V687" s="145">
        <v>0.1</v>
      </c>
      <c r="W687" s="145">
        <v>1</v>
      </c>
      <c r="X687" s="145" t="s">
        <v>400</v>
      </c>
      <c r="Y687" s="145">
        <v>0.03</v>
      </c>
      <c r="Z687" s="146">
        <v>0.01</v>
      </c>
      <c r="AA687" s="145">
        <v>1.37</v>
      </c>
      <c r="AB687" s="145" t="s">
        <v>400</v>
      </c>
      <c r="AC687" s="145">
        <v>1.7529999999999999</v>
      </c>
      <c r="AD687" s="145">
        <v>0.1</v>
      </c>
      <c r="AE687" s="145">
        <v>4</v>
      </c>
      <c r="AF687" s="145">
        <v>0.192</v>
      </c>
      <c r="AG687" s="145">
        <v>0.15</v>
      </c>
      <c r="AH687" s="145" t="s">
        <v>400</v>
      </c>
      <c r="AI687" s="145" t="s">
        <v>400</v>
      </c>
      <c r="AJ687" s="145">
        <v>0.7</v>
      </c>
      <c r="AK687" s="145">
        <v>1</v>
      </c>
      <c r="AL687" s="145">
        <v>0.16200000000000001</v>
      </c>
      <c r="AM687" s="145" t="s">
        <v>400</v>
      </c>
    </row>
    <row r="688" spans="1:39">
      <c r="A688" s="143" t="s">
        <v>1748</v>
      </c>
      <c r="B688" s="144">
        <v>100</v>
      </c>
      <c r="C688" s="145">
        <v>37.654000000000003</v>
      </c>
      <c r="D688" s="145">
        <v>0.753</v>
      </c>
      <c r="E688" s="145">
        <v>0.77800000000000002</v>
      </c>
      <c r="F688" s="145">
        <v>0.14000000000000001</v>
      </c>
      <c r="G688" s="145">
        <v>0.215</v>
      </c>
      <c r="H688" s="145">
        <v>0.36599999999999999</v>
      </c>
      <c r="I688" s="145">
        <v>0.35499999999999998</v>
      </c>
      <c r="J688" s="145">
        <v>1.0999999999999999E-2</v>
      </c>
      <c r="K688" s="145" t="s">
        <v>400</v>
      </c>
      <c r="L688" s="145">
        <v>7.39</v>
      </c>
      <c r="M688" s="145">
        <v>0.45600000000000002</v>
      </c>
      <c r="N688" s="145">
        <v>6.202</v>
      </c>
      <c r="O688" s="145">
        <v>5.1550000000000002</v>
      </c>
      <c r="P688" s="145">
        <v>5.5E-2</v>
      </c>
      <c r="Q688" s="145">
        <v>11.015000000000001</v>
      </c>
      <c r="R688" s="145">
        <v>0.42799999999999999</v>
      </c>
      <c r="S688" s="145">
        <v>305.04599999999999</v>
      </c>
      <c r="T688" s="145">
        <v>88.3</v>
      </c>
      <c r="U688" s="145">
        <v>4.5999999999999999E-2</v>
      </c>
      <c r="V688" s="145">
        <v>0.09</v>
      </c>
      <c r="W688" s="145" t="s">
        <v>400</v>
      </c>
      <c r="X688" s="145">
        <v>3.5000000000000003E-2</v>
      </c>
      <c r="Y688" s="145">
        <v>3.2000000000000001E-2</v>
      </c>
      <c r="Z688" s="146">
        <v>0.02</v>
      </c>
      <c r="AA688" s="145">
        <v>0.48099999999999998</v>
      </c>
      <c r="AB688" s="145">
        <v>5.6849999999999996</v>
      </c>
      <c r="AC688" s="145">
        <v>0.60499999999999998</v>
      </c>
      <c r="AD688" s="145" t="s">
        <v>400</v>
      </c>
      <c r="AE688" s="145">
        <v>8.7919999999999998</v>
      </c>
      <c r="AF688" s="145" t="s">
        <v>400</v>
      </c>
      <c r="AG688" s="145">
        <v>0.49399999999999999</v>
      </c>
      <c r="AH688" s="145">
        <v>3.4000000000000002E-2</v>
      </c>
      <c r="AI688" s="145" t="s">
        <v>400</v>
      </c>
      <c r="AJ688" s="145">
        <v>1.948</v>
      </c>
      <c r="AK688" s="145">
        <v>6.3310000000000004</v>
      </c>
      <c r="AL688" s="145">
        <v>3.7530000000000001</v>
      </c>
      <c r="AM688" s="145">
        <v>2.9039999999999999</v>
      </c>
    </row>
    <row r="689" spans="1:39">
      <c r="A689" s="143" t="s">
        <v>1749</v>
      </c>
      <c r="B689" s="144">
        <v>100</v>
      </c>
      <c r="C689" s="145">
        <v>631</v>
      </c>
      <c r="D689" s="145">
        <v>20.45</v>
      </c>
      <c r="E689" s="145">
        <v>61.21</v>
      </c>
      <c r="F689" s="145">
        <v>9.06</v>
      </c>
      <c r="G689" s="145">
        <v>23.92</v>
      </c>
      <c r="H689" s="145">
        <v>25.49</v>
      </c>
      <c r="I689" s="145">
        <v>25.23</v>
      </c>
      <c r="J689" s="145">
        <v>0.26</v>
      </c>
      <c r="K689" s="145" t="s">
        <v>400</v>
      </c>
      <c r="L689" s="145">
        <v>11.73</v>
      </c>
      <c r="M689" s="145">
        <v>11.6</v>
      </c>
      <c r="N689" s="145">
        <v>60</v>
      </c>
      <c r="O689" s="145">
        <v>345</v>
      </c>
      <c r="P689" s="145">
        <v>1.44</v>
      </c>
      <c r="Q689" s="145">
        <v>667</v>
      </c>
      <c r="R689" s="145">
        <v>6.36</v>
      </c>
      <c r="S689" s="145">
        <v>47</v>
      </c>
      <c r="T689" s="145">
        <v>370</v>
      </c>
      <c r="U689" s="145">
        <v>1.4</v>
      </c>
      <c r="V689" s="145">
        <v>6.73</v>
      </c>
      <c r="W689" s="145" t="s">
        <v>400</v>
      </c>
      <c r="X689" s="145">
        <v>0.7</v>
      </c>
      <c r="Y689" s="145">
        <v>0.09</v>
      </c>
      <c r="Z689" s="145">
        <v>0.4</v>
      </c>
      <c r="AA689" s="145">
        <v>5.8</v>
      </c>
      <c r="AB689" s="145" t="s">
        <v>400</v>
      </c>
      <c r="AC689" s="145">
        <v>11.3</v>
      </c>
      <c r="AD689" s="145" t="s">
        <v>400</v>
      </c>
      <c r="AE689" s="145">
        <v>115</v>
      </c>
      <c r="AF689" s="145" t="s">
        <v>400</v>
      </c>
      <c r="AG689" s="145">
        <v>1.68</v>
      </c>
      <c r="AH689" s="145" t="s">
        <v>400</v>
      </c>
      <c r="AI689" s="145" t="s">
        <v>400</v>
      </c>
      <c r="AJ689" s="145">
        <v>97.5</v>
      </c>
      <c r="AK689" s="145">
        <v>3.33</v>
      </c>
      <c r="AL689" s="145">
        <v>0.52</v>
      </c>
      <c r="AM689" s="145" t="s">
        <v>400</v>
      </c>
    </row>
    <row r="690" spans="1:39">
      <c r="A690" s="143" t="s">
        <v>1750</v>
      </c>
      <c r="B690" s="144">
        <v>100</v>
      </c>
      <c r="C690" s="145">
        <v>213</v>
      </c>
      <c r="D690" s="145">
        <v>5.0599999999999996</v>
      </c>
      <c r="E690" s="145">
        <v>14.08</v>
      </c>
      <c r="F690" s="145">
        <v>1.893</v>
      </c>
      <c r="G690" s="145">
        <v>8.6630000000000003</v>
      </c>
      <c r="H690" s="145">
        <v>2.06</v>
      </c>
      <c r="I690" s="145">
        <v>1.982</v>
      </c>
      <c r="J690" s="145">
        <v>7.8E-2</v>
      </c>
      <c r="K690" s="145" t="s">
        <v>400</v>
      </c>
      <c r="L690" s="145">
        <v>23.33</v>
      </c>
      <c r="M690" s="145">
        <v>5.8</v>
      </c>
      <c r="N690" s="145">
        <v>47</v>
      </c>
      <c r="O690" s="145">
        <v>81</v>
      </c>
      <c r="P690" s="145">
        <v>0.46600000000000003</v>
      </c>
      <c r="Q690" s="145">
        <v>139</v>
      </c>
      <c r="R690" s="145">
        <v>2.68</v>
      </c>
      <c r="S690" s="145">
        <v>266</v>
      </c>
      <c r="T690" s="145">
        <v>1565</v>
      </c>
      <c r="U690" s="145">
        <v>0.47299999999999998</v>
      </c>
      <c r="V690" s="145">
        <v>0.78</v>
      </c>
      <c r="W690" s="145" t="s">
        <v>400</v>
      </c>
      <c r="X690" s="145">
        <v>0.193</v>
      </c>
      <c r="Y690" s="145">
        <v>0.38300000000000001</v>
      </c>
      <c r="Z690" s="146">
        <v>0.31900000000000001</v>
      </c>
      <c r="AA690" s="145">
        <v>3.63</v>
      </c>
      <c r="AB690" s="145">
        <v>101.8</v>
      </c>
      <c r="AC690" s="145">
        <v>4.2469999999999999</v>
      </c>
      <c r="AD690" s="145" t="s">
        <v>400</v>
      </c>
      <c r="AE690" s="145">
        <v>23</v>
      </c>
      <c r="AF690" s="145" t="s">
        <v>400</v>
      </c>
      <c r="AG690" s="145">
        <v>1.847</v>
      </c>
      <c r="AH690" s="145">
        <v>0.01</v>
      </c>
      <c r="AI690" s="145" t="s">
        <v>400</v>
      </c>
      <c r="AJ690" s="145">
        <v>3</v>
      </c>
      <c r="AK690" s="145">
        <v>64.332999999999998</v>
      </c>
      <c r="AL690" s="145">
        <v>13.9</v>
      </c>
      <c r="AM690" s="145" t="s">
        <v>400</v>
      </c>
    </row>
    <row r="691" spans="1:39">
      <c r="A691" s="143" t="s">
        <v>1751</v>
      </c>
      <c r="B691" s="144">
        <v>100</v>
      </c>
      <c r="C691" s="145">
        <v>156.578</v>
      </c>
      <c r="D691" s="145">
        <v>0.58799999999999997</v>
      </c>
      <c r="E691" s="145">
        <v>9.4640000000000004</v>
      </c>
      <c r="F691" s="145">
        <v>1.613</v>
      </c>
      <c r="G691" s="145">
        <v>2.2919999999999998</v>
      </c>
      <c r="H691" s="145">
        <v>5.1680000000000001</v>
      </c>
      <c r="I691" s="145">
        <v>4.5570000000000004</v>
      </c>
      <c r="J691" s="145">
        <v>0.59799999999999998</v>
      </c>
      <c r="K691" s="145">
        <v>31.088000000000001</v>
      </c>
      <c r="L691" s="145">
        <v>18.77</v>
      </c>
      <c r="M691" s="145">
        <v>1.2390000000000001</v>
      </c>
      <c r="N691" s="145">
        <v>12.717000000000001</v>
      </c>
      <c r="O691" s="145">
        <v>1.8580000000000001</v>
      </c>
      <c r="P691" s="145">
        <v>2.1999999999999999E-2</v>
      </c>
      <c r="Q691" s="145">
        <v>11.99</v>
      </c>
      <c r="R691" s="145">
        <v>0.19</v>
      </c>
      <c r="S691" s="145">
        <v>876.69100000000003</v>
      </c>
      <c r="T691" s="145">
        <v>14.558</v>
      </c>
      <c r="U691" s="145">
        <v>8.0000000000000002E-3</v>
      </c>
      <c r="V691" s="145">
        <v>7.8E-2</v>
      </c>
      <c r="W691" s="145">
        <v>10.106</v>
      </c>
      <c r="X691" s="145">
        <v>6.0000000000000001E-3</v>
      </c>
      <c r="Y691" s="145">
        <v>2.5000000000000001E-2</v>
      </c>
      <c r="Z691" s="146">
        <v>1.7999999999999999E-2</v>
      </c>
      <c r="AA691" s="145">
        <v>2.1999999999999999E-2</v>
      </c>
      <c r="AB691" s="145">
        <v>0.111</v>
      </c>
      <c r="AC691" s="145">
        <v>0.13300000000000001</v>
      </c>
      <c r="AD691" s="145">
        <v>5.7000000000000002E-2</v>
      </c>
      <c r="AE691" s="145">
        <v>3.698</v>
      </c>
      <c r="AF691" s="145">
        <v>7.3999999999999996E-2</v>
      </c>
      <c r="AG691" s="145">
        <v>0.82199999999999995</v>
      </c>
      <c r="AH691" s="145">
        <v>4.7E-2</v>
      </c>
      <c r="AI691" s="145" t="s">
        <v>400</v>
      </c>
      <c r="AJ691" s="145">
        <v>5.8520000000000003</v>
      </c>
      <c r="AK691" s="145">
        <v>13.621</v>
      </c>
      <c r="AL691" s="145">
        <v>12.481999999999999</v>
      </c>
      <c r="AM691" s="145">
        <v>12.711</v>
      </c>
    </row>
    <row r="692" spans="1:39">
      <c r="A692" s="143" t="s">
        <v>1752</v>
      </c>
      <c r="B692" s="144">
        <v>100</v>
      </c>
      <c r="C692" s="145">
        <v>53.127000000000002</v>
      </c>
      <c r="D692" s="145">
        <v>5.1820000000000004</v>
      </c>
      <c r="E692" s="145">
        <v>0.08</v>
      </c>
      <c r="F692" s="145">
        <v>0.01</v>
      </c>
      <c r="G692" s="145">
        <v>1.2E-2</v>
      </c>
      <c r="H692" s="145">
        <v>3.5999999999999997E-2</v>
      </c>
      <c r="I692" s="145">
        <v>3.2000000000000001E-2</v>
      </c>
      <c r="J692" s="145">
        <v>4.0000000000000001E-3</v>
      </c>
      <c r="K692" s="145" t="s">
        <v>400</v>
      </c>
      <c r="L692" s="145">
        <v>8.5299999999999994</v>
      </c>
      <c r="M692" s="145">
        <v>0.80200000000000005</v>
      </c>
      <c r="N692" s="145">
        <v>17.041</v>
      </c>
      <c r="O692" s="145">
        <v>34.082000000000001</v>
      </c>
      <c r="P692" s="145">
        <v>0.42499999999999999</v>
      </c>
      <c r="Q692" s="145">
        <v>110.264</v>
      </c>
      <c r="R692" s="145">
        <v>2.0249999999999999</v>
      </c>
      <c r="S692" s="145">
        <v>3341.0070000000001</v>
      </c>
      <c r="T692" s="145">
        <v>180.43199999999999</v>
      </c>
      <c r="U692" s="145">
        <v>0.115</v>
      </c>
      <c r="V692" s="145">
        <v>0.371</v>
      </c>
      <c r="W692" s="145" t="s">
        <v>400</v>
      </c>
      <c r="X692" s="145">
        <v>0.05</v>
      </c>
      <c r="Y692" s="145">
        <v>0.13</v>
      </c>
      <c r="Z692" s="146">
        <v>0.17</v>
      </c>
      <c r="AA692" s="145">
        <v>3.3679999999999999</v>
      </c>
      <c r="AB692" s="145" t="s">
        <v>400</v>
      </c>
      <c r="AC692" s="145">
        <v>4.6040000000000001</v>
      </c>
      <c r="AD692" s="145" t="s">
        <v>400</v>
      </c>
      <c r="AE692" s="145">
        <v>16.038</v>
      </c>
      <c r="AF692" s="145" t="s">
        <v>400</v>
      </c>
      <c r="AG692" s="145" t="s">
        <v>400</v>
      </c>
      <c r="AH692" s="145" t="s">
        <v>400</v>
      </c>
      <c r="AI692" s="145" t="s">
        <v>400</v>
      </c>
      <c r="AJ692" s="145">
        <v>0.80200000000000005</v>
      </c>
      <c r="AK692" s="145" t="s">
        <v>400</v>
      </c>
      <c r="AL692" s="145">
        <v>2.0950000000000002</v>
      </c>
      <c r="AM692" s="145" t="s">
        <v>400</v>
      </c>
    </row>
    <row r="693" spans="1:39">
      <c r="A693" s="143" t="s">
        <v>1753</v>
      </c>
      <c r="B693" s="144">
        <v>100</v>
      </c>
      <c r="C693" s="145">
        <v>202.46</v>
      </c>
      <c r="D693" s="145">
        <v>1.6140000000000001</v>
      </c>
      <c r="E693" s="145">
        <v>20.847000000000001</v>
      </c>
      <c r="F693" s="145">
        <v>18.486999999999998</v>
      </c>
      <c r="G693" s="145">
        <v>0.88700000000000001</v>
      </c>
      <c r="H693" s="145">
        <v>0.22900000000000001</v>
      </c>
      <c r="I693" s="145">
        <v>0.22900000000000001</v>
      </c>
      <c r="J693" s="145" t="s">
        <v>400</v>
      </c>
      <c r="K693" s="145" t="s">
        <v>400</v>
      </c>
      <c r="L693" s="145">
        <v>5.593</v>
      </c>
      <c r="M693" s="145">
        <v>0.91200000000000003</v>
      </c>
      <c r="N693" s="145">
        <v>4.0090000000000003</v>
      </c>
      <c r="O693" s="145">
        <v>32.073</v>
      </c>
      <c r="P693" s="145">
        <v>0.81100000000000005</v>
      </c>
      <c r="Q693" s="145">
        <v>59.134</v>
      </c>
      <c r="R693" s="145">
        <v>0.81200000000000006</v>
      </c>
      <c r="S693" s="145">
        <v>12.026999999999999</v>
      </c>
      <c r="T693" s="145">
        <v>232.52799999999999</v>
      </c>
      <c r="U693" s="145">
        <v>0.23599999999999999</v>
      </c>
      <c r="V693" s="145">
        <v>0.59099999999999997</v>
      </c>
      <c r="W693" s="145" t="s">
        <v>400</v>
      </c>
      <c r="X693" s="145">
        <v>2.3E-2</v>
      </c>
      <c r="Y693" s="145" t="s">
        <v>400</v>
      </c>
      <c r="Z693" s="146">
        <v>0.03</v>
      </c>
      <c r="AA693" s="145">
        <v>0.67300000000000004</v>
      </c>
      <c r="AB693" s="145">
        <v>1.103</v>
      </c>
      <c r="AC693" s="145">
        <v>0.99</v>
      </c>
      <c r="AD693" s="145" t="s">
        <v>400</v>
      </c>
      <c r="AE693" s="145">
        <v>14.032</v>
      </c>
      <c r="AF693" s="145" t="s">
        <v>400</v>
      </c>
      <c r="AG693" s="145">
        <v>8.0000000000000002E-3</v>
      </c>
      <c r="AH693" s="145" t="s">
        <v>400</v>
      </c>
      <c r="AI693" s="145" t="s">
        <v>400</v>
      </c>
      <c r="AJ693" s="145">
        <v>3.7080000000000002</v>
      </c>
      <c r="AK693" s="145" t="s">
        <v>400</v>
      </c>
      <c r="AL693" s="145">
        <v>4.681</v>
      </c>
      <c r="AM693" s="145" t="s">
        <v>400</v>
      </c>
    </row>
    <row r="694" spans="1:39">
      <c r="A694" s="143" t="s">
        <v>1754</v>
      </c>
      <c r="B694" s="144">
        <v>100</v>
      </c>
      <c r="C694" s="145">
        <v>76.784999999999997</v>
      </c>
      <c r="D694" s="145">
        <v>0.65300000000000002</v>
      </c>
      <c r="E694" s="145">
        <v>6.2130000000000001</v>
      </c>
      <c r="F694" s="145">
        <v>0.86499999999999999</v>
      </c>
      <c r="G694" s="145">
        <v>4.4710000000000001</v>
      </c>
      <c r="H694" s="145">
        <v>0.67400000000000004</v>
      </c>
      <c r="I694" s="145">
        <v>0.626</v>
      </c>
      <c r="J694" s="145">
        <v>4.8000000000000001E-2</v>
      </c>
      <c r="K694" s="145" t="s">
        <v>400</v>
      </c>
      <c r="L694" s="145">
        <v>3.68</v>
      </c>
      <c r="M694" s="145">
        <v>0.92600000000000005</v>
      </c>
      <c r="N694" s="145">
        <v>19.920000000000002</v>
      </c>
      <c r="O694" s="145">
        <v>10.151999999999999</v>
      </c>
      <c r="P694" s="145">
        <v>0.16200000000000001</v>
      </c>
      <c r="Q694" s="145">
        <v>19.03</v>
      </c>
      <c r="R694" s="145">
        <v>0.64700000000000002</v>
      </c>
      <c r="S694" s="145">
        <v>1299.7739999999999</v>
      </c>
      <c r="T694" s="145">
        <v>156.70099999999999</v>
      </c>
      <c r="U694" s="145">
        <v>3.6999999999999998E-2</v>
      </c>
      <c r="V694" s="145">
        <v>0.16900000000000001</v>
      </c>
      <c r="W694" s="145" t="s">
        <v>400</v>
      </c>
      <c r="X694" s="145">
        <v>2.5000000000000001E-2</v>
      </c>
      <c r="Y694" s="145">
        <v>1.7000000000000001E-2</v>
      </c>
      <c r="Z694" s="146">
        <v>5.0999999999999997E-2</v>
      </c>
      <c r="AA694" s="145">
        <v>0.26900000000000002</v>
      </c>
      <c r="AB694" s="145">
        <v>13.733000000000001</v>
      </c>
      <c r="AC694" s="145">
        <v>0.39200000000000002</v>
      </c>
      <c r="AD694" s="145" t="s">
        <v>400</v>
      </c>
      <c r="AE694" s="145">
        <v>17.933</v>
      </c>
      <c r="AF694" s="145" t="s">
        <v>400</v>
      </c>
      <c r="AG694" s="145">
        <v>1.071</v>
      </c>
      <c r="AH694" s="145">
        <v>0.01</v>
      </c>
      <c r="AI694" s="145" t="s">
        <v>400</v>
      </c>
      <c r="AJ694" s="145">
        <v>0.14699999999999999</v>
      </c>
      <c r="AK694" s="145">
        <v>39.194000000000003</v>
      </c>
      <c r="AL694" s="145">
        <v>3.4220000000000002</v>
      </c>
      <c r="AM694" s="145" t="s">
        <v>400</v>
      </c>
    </row>
    <row r="695" spans="1:39">
      <c r="A695" s="143" t="s">
        <v>1755</v>
      </c>
      <c r="B695" s="144">
        <v>100</v>
      </c>
      <c r="C695" s="145">
        <v>204</v>
      </c>
      <c r="D695" s="145">
        <v>30.67</v>
      </c>
      <c r="E695" s="145">
        <v>9</v>
      </c>
      <c r="F695" s="145">
        <v>3.415</v>
      </c>
      <c r="G695" s="145">
        <v>3.9180000000000001</v>
      </c>
      <c r="H695" s="145">
        <v>0.34699999999999998</v>
      </c>
      <c r="I695" s="145">
        <v>0.23799999999999999</v>
      </c>
      <c r="J695" s="145">
        <v>8.6999999999999994E-2</v>
      </c>
      <c r="K695" s="145">
        <v>58</v>
      </c>
      <c r="L695" s="145" t="s">
        <v>400</v>
      </c>
      <c r="M695" s="145" t="s">
        <v>400</v>
      </c>
      <c r="N695" s="145">
        <v>7</v>
      </c>
      <c r="O695" s="145">
        <v>20</v>
      </c>
      <c r="P695" s="145">
        <v>1.0999999999999999E-2</v>
      </c>
      <c r="Q695" s="145">
        <v>193</v>
      </c>
      <c r="R695" s="145">
        <v>2.5299999999999998</v>
      </c>
      <c r="S695" s="145">
        <v>41</v>
      </c>
      <c r="T695" s="145">
        <v>252</v>
      </c>
      <c r="U695" s="145">
        <v>7.3999999999999996E-2</v>
      </c>
      <c r="V695" s="145">
        <v>5.2</v>
      </c>
      <c r="W695" s="145" t="s">
        <v>400</v>
      </c>
      <c r="X695" s="145">
        <v>7.0000000000000007E-2</v>
      </c>
      <c r="Y695" s="145">
        <v>0.16300000000000001</v>
      </c>
      <c r="Z695" s="146">
        <v>0.40300000000000002</v>
      </c>
      <c r="AA695" s="145">
        <v>5.36</v>
      </c>
      <c r="AB695" s="145" t="s">
        <v>400</v>
      </c>
      <c r="AC695" s="145">
        <v>8.7270000000000003</v>
      </c>
      <c r="AD695" s="145">
        <v>1.71</v>
      </c>
      <c r="AE695" s="145">
        <v>10</v>
      </c>
      <c r="AF695" s="145">
        <v>0.6</v>
      </c>
      <c r="AG695" s="145">
        <v>0.43</v>
      </c>
      <c r="AH695" s="145">
        <v>0.40899999999999997</v>
      </c>
      <c r="AI695" s="145">
        <v>333</v>
      </c>
      <c r="AJ695" s="145">
        <v>31.7</v>
      </c>
      <c r="AK695" s="145" t="s">
        <v>400</v>
      </c>
      <c r="AL695" s="145" t="s">
        <v>400</v>
      </c>
      <c r="AM695" s="145" t="s">
        <v>400</v>
      </c>
    </row>
    <row r="696" spans="1:39">
      <c r="A696" s="143" t="s">
        <v>1756</v>
      </c>
      <c r="B696" s="144">
        <v>100</v>
      </c>
      <c r="C696" s="145">
        <v>204</v>
      </c>
      <c r="D696" s="145">
        <v>30.67</v>
      </c>
      <c r="E696" s="145">
        <v>9</v>
      </c>
      <c r="F696" s="145">
        <v>3.415</v>
      </c>
      <c r="G696" s="145">
        <v>3.9180000000000001</v>
      </c>
      <c r="H696" s="145">
        <v>0.34699999999999998</v>
      </c>
      <c r="I696" s="145">
        <v>0.23799999999999999</v>
      </c>
      <c r="J696" s="145">
        <v>8.6999999999999994E-2</v>
      </c>
      <c r="K696" s="145">
        <v>58</v>
      </c>
      <c r="L696" s="145" t="s">
        <v>400</v>
      </c>
      <c r="M696" s="145" t="s">
        <v>400</v>
      </c>
      <c r="N696" s="145">
        <v>7</v>
      </c>
      <c r="O696" s="145">
        <v>20</v>
      </c>
      <c r="P696" s="145">
        <v>1.0999999999999999E-2</v>
      </c>
      <c r="Q696" s="145">
        <v>193</v>
      </c>
      <c r="R696" s="145">
        <v>2.5299999999999998</v>
      </c>
      <c r="S696" s="145">
        <v>41</v>
      </c>
      <c r="T696" s="145">
        <v>252</v>
      </c>
      <c r="U696" s="145">
        <v>7.3999999999999996E-2</v>
      </c>
      <c r="V696" s="145">
        <v>5.2</v>
      </c>
      <c r="W696" s="145" t="s">
        <v>400</v>
      </c>
      <c r="X696" s="145">
        <v>7.0000000000000007E-2</v>
      </c>
      <c r="Y696" s="145">
        <v>0.16300000000000001</v>
      </c>
      <c r="Z696" s="146">
        <v>0.40300000000000002</v>
      </c>
      <c r="AA696" s="145">
        <v>5.36</v>
      </c>
      <c r="AB696" s="145" t="s">
        <v>400</v>
      </c>
      <c r="AC696" s="145">
        <v>8.7270000000000003</v>
      </c>
      <c r="AD696" s="145">
        <v>1.71</v>
      </c>
      <c r="AE696" s="145">
        <v>10</v>
      </c>
      <c r="AF696" s="145">
        <v>0.6</v>
      </c>
      <c r="AG696" s="145">
        <v>0.43</v>
      </c>
      <c r="AH696" s="145">
        <v>0.40899999999999997</v>
      </c>
      <c r="AI696" s="145">
        <v>333</v>
      </c>
      <c r="AJ696" s="145">
        <v>31.7</v>
      </c>
      <c r="AK696" s="145" t="s">
        <v>400</v>
      </c>
      <c r="AL696" s="145" t="s">
        <v>400</v>
      </c>
      <c r="AM696" s="145" t="s">
        <v>400</v>
      </c>
    </row>
    <row r="697" spans="1:39">
      <c r="A697" s="143" t="s">
        <v>1757</v>
      </c>
      <c r="B697" s="144">
        <v>100</v>
      </c>
      <c r="C697" s="145">
        <v>204</v>
      </c>
      <c r="D697" s="145">
        <v>30.67</v>
      </c>
      <c r="E697" s="145">
        <v>9</v>
      </c>
      <c r="F697" s="145">
        <v>3.415</v>
      </c>
      <c r="G697" s="145">
        <v>3.9180000000000001</v>
      </c>
      <c r="H697" s="145">
        <v>0.34699999999999998</v>
      </c>
      <c r="I697" s="145">
        <v>0.23799999999999999</v>
      </c>
      <c r="J697" s="145">
        <v>8.6999999999999994E-2</v>
      </c>
      <c r="K697" s="145">
        <v>58</v>
      </c>
      <c r="L697" s="145" t="s">
        <v>400</v>
      </c>
      <c r="M697" s="145" t="s">
        <v>400</v>
      </c>
      <c r="N697" s="145">
        <v>7</v>
      </c>
      <c r="O697" s="145">
        <v>20</v>
      </c>
      <c r="P697" s="145">
        <v>1.0999999999999999E-2</v>
      </c>
      <c r="Q697" s="145">
        <v>193</v>
      </c>
      <c r="R697" s="145">
        <v>2.5299999999999998</v>
      </c>
      <c r="S697" s="145">
        <v>41</v>
      </c>
      <c r="T697" s="145">
        <v>252</v>
      </c>
      <c r="U697" s="145">
        <v>7.3999999999999996E-2</v>
      </c>
      <c r="V697" s="145">
        <v>5.2</v>
      </c>
      <c r="W697" s="145" t="s">
        <v>400</v>
      </c>
      <c r="X697" s="145">
        <v>7.0000000000000007E-2</v>
      </c>
      <c r="Y697" s="145">
        <v>0.16300000000000001</v>
      </c>
      <c r="Z697" s="146">
        <v>0.40300000000000002</v>
      </c>
      <c r="AA697" s="145">
        <v>5.36</v>
      </c>
      <c r="AB697" s="145" t="s">
        <v>400</v>
      </c>
      <c r="AC697" s="145">
        <v>8.7270000000000003</v>
      </c>
      <c r="AD697" s="145">
        <v>1.71</v>
      </c>
      <c r="AE697" s="145">
        <v>10</v>
      </c>
      <c r="AF697" s="145">
        <v>0.6</v>
      </c>
      <c r="AG697" s="145">
        <v>0.43</v>
      </c>
      <c r="AH697" s="145">
        <v>0.40899999999999997</v>
      </c>
      <c r="AI697" s="145">
        <v>333</v>
      </c>
      <c r="AJ697" s="145">
        <v>31.7</v>
      </c>
      <c r="AK697" s="145" t="s">
        <v>400</v>
      </c>
      <c r="AL697" s="145" t="s">
        <v>400</v>
      </c>
      <c r="AM697" s="145" t="s">
        <v>400</v>
      </c>
    </row>
    <row r="698" spans="1:39">
      <c r="A698" s="143" t="s">
        <v>1758</v>
      </c>
      <c r="B698" s="144">
        <v>100</v>
      </c>
      <c r="C698" s="145">
        <v>226.65899999999999</v>
      </c>
      <c r="D698" s="145">
        <v>30.67</v>
      </c>
      <c r="E698" s="145">
        <v>11.563000000000001</v>
      </c>
      <c r="F698" s="145">
        <v>3.8159999999999998</v>
      </c>
      <c r="G698" s="145">
        <v>4.5019999999999998</v>
      </c>
      <c r="H698" s="145">
        <v>1.827</v>
      </c>
      <c r="I698" s="145">
        <v>1.544</v>
      </c>
      <c r="J698" s="145">
        <v>0.26100000000000001</v>
      </c>
      <c r="K698" s="145">
        <v>58</v>
      </c>
      <c r="L698" s="145" t="s">
        <v>400</v>
      </c>
      <c r="M698" s="145" t="s">
        <v>400</v>
      </c>
      <c r="N698" s="145">
        <v>7</v>
      </c>
      <c r="O698" s="145">
        <v>20</v>
      </c>
      <c r="P698" s="145">
        <v>1.0999999999999999E-2</v>
      </c>
      <c r="Q698" s="145">
        <v>193</v>
      </c>
      <c r="R698" s="145">
        <v>2.5310000000000001</v>
      </c>
      <c r="S698" s="145">
        <v>41</v>
      </c>
      <c r="T698" s="145">
        <v>252</v>
      </c>
      <c r="U698" s="145">
        <v>7.3999999999999996E-2</v>
      </c>
      <c r="V698" s="145">
        <v>5.2</v>
      </c>
      <c r="W698" s="145" t="s">
        <v>400</v>
      </c>
      <c r="X698" s="145">
        <v>7.0000000000000007E-2</v>
      </c>
      <c r="Y698" s="145">
        <v>0.16300000000000001</v>
      </c>
      <c r="Z698" s="146">
        <v>0.40300000000000002</v>
      </c>
      <c r="AA698" s="145">
        <v>5.36</v>
      </c>
      <c r="AB698" s="145" t="s">
        <v>400</v>
      </c>
      <c r="AC698" s="145">
        <v>8.7270000000000003</v>
      </c>
      <c r="AD698" s="145">
        <v>1.71</v>
      </c>
      <c r="AE698" s="145">
        <v>10</v>
      </c>
      <c r="AF698" s="145">
        <v>0.6</v>
      </c>
      <c r="AG698" s="145">
        <v>0.64</v>
      </c>
      <c r="AH698" s="145">
        <v>0.42299999999999999</v>
      </c>
      <c r="AI698" s="145">
        <v>333</v>
      </c>
      <c r="AJ698" s="145">
        <v>32.875</v>
      </c>
      <c r="AK698" s="145" t="s">
        <v>400</v>
      </c>
      <c r="AL698" s="145" t="s">
        <v>400</v>
      </c>
      <c r="AM698" s="145" t="s">
        <v>400</v>
      </c>
    </row>
    <row r="699" spans="1:39">
      <c r="A699" s="143" t="s">
        <v>1759</v>
      </c>
      <c r="B699" s="144">
        <v>100</v>
      </c>
      <c r="C699" s="145">
        <v>242.83699999999999</v>
      </c>
      <c r="D699" s="145">
        <v>31.129000000000001</v>
      </c>
      <c r="E699" s="145">
        <v>11.606999999999999</v>
      </c>
      <c r="F699" s="145">
        <v>3.823</v>
      </c>
      <c r="G699" s="145">
        <v>4.5060000000000002</v>
      </c>
      <c r="H699" s="145">
        <v>1.845</v>
      </c>
      <c r="I699" s="145">
        <v>1.5609999999999999</v>
      </c>
      <c r="J699" s="145">
        <v>0.26200000000000001</v>
      </c>
      <c r="K699" s="145">
        <v>58</v>
      </c>
      <c r="L699" s="145">
        <v>3.3919999999999999</v>
      </c>
      <c r="M699" s="145">
        <v>0.13500000000000001</v>
      </c>
      <c r="N699" s="145">
        <v>7.6669999999999998</v>
      </c>
      <c r="O699" s="145">
        <v>20.978000000000002</v>
      </c>
      <c r="P699" s="145">
        <v>4.1000000000000002E-2</v>
      </c>
      <c r="Q699" s="145">
        <v>197.8</v>
      </c>
      <c r="R699" s="145">
        <v>2.738</v>
      </c>
      <c r="S699" s="145">
        <v>41.088999999999999</v>
      </c>
      <c r="T699" s="145">
        <v>256.75599999999997</v>
      </c>
      <c r="U699" s="145">
        <v>0.08</v>
      </c>
      <c r="V699" s="145">
        <v>5.2309999999999999</v>
      </c>
      <c r="W699" s="145" t="s">
        <v>400</v>
      </c>
      <c r="X699" s="145">
        <v>0.105</v>
      </c>
      <c r="Y699" s="145">
        <v>0.185</v>
      </c>
      <c r="Z699" s="146">
        <v>0.40500000000000003</v>
      </c>
      <c r="AA699" s="145">
        <v>5.6219999999999999</v>
      </c>
      <c r="AB699" s="145" t="s">
        <v>400</v>
      </c>
      <c r="AC699" s="145">
        <v>9.0830000000000002</v>
      </c>
      <c r="AD699" s="145">
        <v>1.71</v>
      </c>
      <c r="AE699" s="145">
        <v>19.067</v>
      </c>
      <c r="AF699" s="145">
        <v>0.6</v>
      </c>
      <c r="AG699" s="145">
        <v>0.64200000000000002</v>
      </c>
      <c r="AH699" s="145">
        <v>0.42299999999999999</v>
      </c>
      <c r="AI699" s="145">
        <v>333</v>
      </c>
      <c r="AJ699" s="145">
        <v>34.381</v>
      </c>
      <c r="AK699" s="145" t="s">
        <v>400</v>
      </c>
      <c r="AL699" s="145">
        <v>1.4E-2</v>
      </c>
      <c r="AM699" s="145" t="s">
        <v>400</v>
      </c>
    </row>
    <row r="700" spans="1:39">
      <c r="A700" s="143" t="s">
        <v>1760</v>
      </c>
      <c r="B700" s="144">
        <v>100</v>
      </c>
      <c r="C700" s="145">
        <v>226.65899999999999</v>
      </c>
      <c r="D700" s="145">
        <v>30.67</v>
      </c>
      <c r="E700" s="145">
        <v>11.563000000000001</v>
      </c>
      <c r="F700" s="145">
        <v>3.8159999999999998</v>
      </c>
      <c r="G700" s="145">
        <v>4.5019999999999998</v>
      </c>
      <c r="H700" s="145">
        <v>1.827</v>
      </c>
      <c r="I700" s="145">
        <v>1.544</v>
      </c>
      <c r="J700" s="145">
        <v>0.26100000000000001</v>
      </c>
      <c r="K700" s="145">
        <v>58</v>
      </c>
      <c r="L700" s="145" t="s">
        <v>400</v>
      </c>
      <c r="M700" s="145" t="s">
        <v>400</v>
      </c>
      <c r="N700" s="145">
        <v>7</v>
      </c>
      <c r="O700" s="145">
        <v>20</v>
      </c>
      <c r="P700" s="145">
        <v>1.0999999999999999E-2</v>
      </c>
      <c r="Q700" s="145">
        <v>193</v>
      </c>
      <c r="R700" s="145">
        <v>2.5310000000000001</v>
      </c>
      <c r="S700" s="145">
        <v>41</v>
      </c>
      <c r="T700" s="145">
        <v>252</v>
      </c>
      <c r="U700" s="145">
        <v>7.3999999999999996E-2</v>
      </c>
      <c r="V700" s="145">
        <v>5.2</v>
      </c>
      <c r="W700" s="145" t="s">
        <v>400</v>
      </c>
      <c r="X700" s="145">
        <v>7.0000000000000007E-2</v>
      </c>
      <c r="Y700" s="145">
        <v>0.16300000000000001</v>
      </c>
      <c r="Z700" s="146">
        <v>0.40300000000000002</v>
      </c>
      <c r="AA700" s="145">
        <v>5.36</v>
      </c>
      <c r="AB700" s="145" t="s">
        <v>400</v>
      </c>
      <c r="AC700" s="145">
        <v>8.7270000000000003</v>
      </c>
      <c r="AD700" s="145">
        <v>1.71</v>
      </c>
      <c r="AE700" s="145">
        <v>10</v>
      </c>
      <c r="AF700" s="145">
        <v>0.6</v>
      </c>
      <c r="AG700" s="145">
        <v>0.64</v>
      </c>
      <c r="AH700" s="145">
        <v>0.42299999999999999</v>
      </c>
      <c r="AI700" s="145">
        <v>333</v>
      </c>
      <c r="AJ700" s="145">
        <v>32.875</v>
      </c>
      <c r="AK700" s="145" t="s">
        <v>400</v>
      </c>
      <c r="AL700" s="145" t="s">
        <v>400</v>
      </c>
      <c r="AM700" s="145" t="s">
        <v>400</v>
      </c>
    </row>
    <row r="701" spans="1:39">
      <c r="A701" s="143" t="s">
        <v>1761</v>
      </c>
      <c r="B701" s="144">
        <v>100</v>
      </c>
      <c r="C701" s="145">
        <v>168</v>
      </c>
      <c r="D701" s="145">
        <v>24.8</v>
      </c>
      <c r="E701" s="145">
        <v>7.2359999999999998</v>
      </c>
      <c r="F701" s="145">
        <v>2.7370000000000001</v>
      </c>
      <c r="G701" s="145">
        <v>3.14</v>
      </c>
      <c r="H701" s="145">
        <v>0.29199999999999998</v>
      </c>
      <c r="I701" s="145">
        <v>0.20399999999999999</v>
      </c>
      <c r="J701" s="145">
        <v>7.0000000000000007E-2</v>
      </c>
      <c r="K701" s="145">
        <v>46.4</v>
      </c>
      <c r="L701" s="145">
        <v>1.0760000000000001</v>
      </c>
      <c r="M701" s="145">
        <v>0.3</v>
      </c>
      <c r="N701" s="145">
        <v>8.1999999999999993</v>
      </c>
      <c r="O701" s="145">
        <v>19.2</v>
      </c>
      <c r="P701" s="145">
        <v>0.03</v>
      </c>
      <c r="Q701" s="145">
        <v>159.6</v>
      </c>
      <c r="R701" s="145">
        <v>2.2280000000000002</v>
      </c>
      <c r="S701" s="145">
        <v>137.6</v>
      </c>
      <c r="T701" s="145">
        <v>267.8</v>
      </c>
      <c r="U701" s="145">
        <v>8.3000000000000004E-2</v>
      </c>
      <c r="V701" s="145">
        <v>4.2</v>
      </c>
      <c r="W701" s="145" t="s">
        <v>400</v>
      </c>
      <c r="X701" s="145">
        <v>6.0999999999999999E-2</v>
      </c>
      <c r="Y701" s="145">
        <v>0.14399999999999999</v>
      </c>
      <c r="Z701" s="146">
        <v>0.34200000000000003</v>
      </c>
      <c r="AA701" s="145">
        <v>4.4829999999999997</v>
      </c>
      <c r="AB701" s="145">
        <v>1.4</v>
      </c>
      <c r="AC701" s="145">
        <v>7.21</v>
      </c>
      <c r="AD701" s="145">
        <v>1.3680000000000001</v>
      </c>
      <c r="AE701" s="145">
        <v>10.199999999999999</v>
      </c>
      <c r="AF701" s="145">
        <v>0.48</v>
      </c>
      <c r="AG701" s="145">
        <v>0.628</v>
      </c>
      <c r="AH701" s="145">
        <v>0.32700000000000001</v>
      </c>
      <c r="AI701" s="145">
        <v>333</v>
      </c>
      <c r="AJ701" s="145">
        <v>25.4</v>
      </c>
      <c r="AK701" s="145">
        <v>3.4830000000000001</v>
      </c>
      <c r="AL701" s="145">
        <v>0.85</v>
      </c>
      <c r="AM701" s="145" t="s">
        <v>400</v>
      </c>
    </row>
    <row r="702" spans="1:39">
      <c r="A702" s="143" t="s">
        <v>1762</v>
      </c>
      <c r="B702" s="144">
        <v>100</v>
      </c>
      <c r="C702" s="145">
        <v>195.79</v>
      </c>
      <c r="D702" s="145">
        <v>25.315000000000001</v>
      </c>
      <c r="E702" s="145">
        <v>9.6890000000000001</v>
      </c>
      <c r="F702" s="145">
        <v>4.2640000000000002</v>
      </c>
      <c r="G702" s="145">
        <v>3.7709999999999999</v>
      </c>
      <c r="H702" s="145">
        <v>0.39</v>
      </c>
      <c r="I702" s="145">
        <v>0.28100000000000003</v>
      </c>
      <c r="J702" s="145">
        <v>9.1999999999999998E-2</v>
      </c>
      <c r="K702" s="145">
        <v>53.232999999999997</v>
      </c>
      <c r="L702" s="145">
        <v>1.851</v>
      </c>
      <c r="M702" s="145">
        <v>4.2999999999999997E-2</v>
      </c>
      <c r="N702" s="145">
        <v>28.478999999999999</v>
      </c>
      <c r="O702" s="145">
        <v>18.312000000000001</v>
      </c>
      <c r="P702" s="145">
        <v>1.9E-2</v>
      </c>
      <c r="Q702" s="145">
        <v>174.09299999999999</v>
      </c>
      <c r="R702" s="145">
        <v>2.0939999999999999</v>
      </c>
      <c r="S702" s="145">
        <v>53.716999999999999</v>
      </c>
      <c r="T702" s="145">
        <v>231.654</v>
      </c>
      <c r="U702" s="145">
        <v>6.3E-2</v>
      </c>
      <c r="V702" s="145">
        <v>4.2489999999999997</v>
      </c>
      <c r="W702" s="145">
        <v>20.696999999999999</v>
      </c>
      <c r="X702" s="145">
        <v>7.4999999999999997E-2</v>
      </c>
      <c r="Y702" s="145">
        <v>0.17299999999999999</v>
      </c>
      <c r="Z702" s="146">
        <v>0.33</v>
      </c>
      <c r="AA702" s="145">
        <v>4.3840000000000003</v>
      </c>
      <c r="AB702" s="145">
        <v>4.0000000000000001E-3</v>
      </c>
      <c r="AC702" s="145">
        <v>7.3520000000000003</v>
      </c>
      <c r="AD702" s="145">
        <v>1.458</v>
      </c>
      <c r="AE702" s="145">
        <v>11.596</v>
      </c>
      <c r="AF702" s="145">
        <v>0.70699999999999996</v>
      </c>
      <c r="AG702" s="145">
        <v>0.40899999999999997</v>
      </c>
      <c r="AH702" s="145">
        <v>0.42399999999999999</v>
      </c>
      <c r="AI702" s="145">
        <v>333</v>
      </c>
      <c r="AJ702" s="145">
        <v>26.529</v>
      </c>
      <c r="AK702" s="145">
        <v>21.081</v>
      </c>
      <c r="AL702" s="145">
        <v>1.0329999999999999</v>
      </c>
      <c r="AM702" s="145" t="s">
        <v>400</v>
      </c>
    </row>
    <row r="703" spans="1:39">
      <c r="A703" s="143" t="s">
        <v>1763</v>
      </c>
      <c r="B703" s="144">
        <v>100</v>
      </c>
      <c r="C703" s="145">
        <v>223.137</v>
      </c>
      <c r="D703" s="145">
        <v>30.693000000000001</v>
      </c>
      <c r="E703" s="145">
        <v>11.164999999999999</v>
      </c>
      <c r="F703" s="145">
        <v>4.7859999999999996</v>
      </c>
      <c r="G703" s="145">
        <v>4.4790000000000001</v>
      </c>
      <c r="H703" s="145">
        <v>0.42799999999999999</v>
      </c>
      <c r="I703" s="145">
        <v>0.311</v>
      </c>
      <c r="J703" s="145">
        <v>9.5000000000000001E-2</v>
      </c>
      <c r="K703" s="145">
        <v>63.738</v>
      </c>
      <c r="L703" s="145">
        <v>2E-3</v>
      </c>
      <c r="M703" s="145" t="s">
        <v>400</v>
      </c>
      <c r="N703" s="145">
        <v>7.641</v>
      </c>
      <c r="O703" s="145">
        <v>20.053000000000001</v>
      </c>
      <c r="P703" s="145">
        <v>1.0999999999999999E-2</v>
      </c>
      <c r="Q703" s="145">
        <v>193.64099999999999</v>
      </c>
      <c r="R703" s="145">
        <v>2.5310000000000001</v>
      </c>
      <c r="S703" s="145">
        <v>56.374000000000002</v>
      </c>
      <c r="T703" s="145">
        <v>252.64099999999999</v>
      </c>
      <c r="U703" s="145">
        <v>7.3999999999999996E-2</v>
      </c>
      <c r="V703" s="145">
        <v>5.202</v>
      </c>
      <c r="W703" s="145">
        <v>17.908999999999999</v>
      </c>
      <c r="X703" s="145">
        <v>7.0000000000000007E-2</v>
      </c>
      <c r="Y703" s="145">
        <v>0.16400000000000001</v>
      </c>
      <c r="Z703" s="146">
        <v>0.40300000000000002</v>
      </c>
      <c r="AA703" s="145">
        <v>5.3609999999999998</v>
      </c>
      <c r="AB703" s="145" t="s">
        <v>400</v>
      </c>
      <c r="AC703" s="145">
        <v>8.7330000000000005</v>
      </c>
      <c r="AD703" s="145">
        <v>1.7150000000000001</v>
      </c>
      <c r="AE703" s="145">
        <v>10.08</v>
      </c>
      <c r="AF703" s="145">
        <v>0.63700000000000001</v>
      </c>
      <c r="AG703" s="145">
        <v>0.49199999999999999</v>
      </c>
      <c r="AH703" s="145">
        <v>0.496</v>
      </c>
      <c r="AI703" s="145">
        <v>333</v>
      </c>
      <c r="AJ703" s="145">
        <v>31.727</v>
      </c>
      <c r="AK703" s="145">
        <v>18.260999999999999</v>
      </c>
      <c r="AL703" s="145">
        <v>3.0000000000000001E-3</v>
      </c>
      <c r="AM703" s="145" t="s">
        <v>400</v>
      </c>
    </row>
    <row r="704" spans="1:39">
      <c r="A704" s="143" t="s">
        <v>1764</v>
      </c>
      <c r="B704" s="144">
        <v>100</v>
      </c>
      <c r="C704" s="145">
        <v>204</v>
      </c>
      <c r="D704" s="145">
        <v>30.67</v>
      </c>
      <c r="E704" s="145">
        <v>9</v>
      </c>
      <c r="F704" s="145">
        <v>3.415</v>
      </c>
      <c r="G704" s="145">
        <v>3.9180000000000001</v>
      </c>
      <c r="H704" s="145">
        <v>0.34699999999999998</v>
      </c>
      <c r="I704" s="145">
        <v>0.23799999999999999</v>
      </c>
      <c r="J704" s="145">
        <v>8.6999999999999994E-2</v>
      </c>
      <c r="K704" s="145">
        <v>58</v>
      </c>
      <c r="L704" s="145" t="s">
        <v>400</v>
      </c>
      <c r="M704" s="145" t="s">
        <v>400</v>
      </c>
      <c r="N704" s="145">
        <v>7</v>
      </c>
      <c r="O704" s="145">
        <v>20</v>
      </c>
      <c r="P704" s="145">
        <v>1.0999999999999999E-2</v>
      </c>
      <c r="Q704" s="145">
        <v>193</v>
      </c>
      <c r="R704" s="145">
        <v>2.5299999999999998</v>
      </c>
      <c r="S704" s="145">
        <v>41</v>
      </c>
      <c r="T704" s="145">
        <v>252</v>
      </c>
      <c r="U704" s="145">
        <v>7.3999999999999996E-2</v>
      </c>
      <c r="V704" s="145">
        <v>5.2</v>
      </c>
      <c r="W704" s="145" t="s">
        <v>400</v>
      </c>
      <c r="X704" s="145">
        <v>7.0000000000000007E-2</v>
      </c>
      <c r="Y704" s="145">
        <v>0.16300000000000001</v>
      </c>
      <c r="Z704" s="146">
        <v>0.40300000000000002</v>
      </c>
      <c r="AA704" s="145">
        <v>5.36</v>
      </c>
      <c r="AB704" s="145" t="s">
        <v>400</v>
      </c>
      <c r="AC704" s="145">
        <v>8.7270000000000003</v>
      </c>
      <c r="AD704" s="145">
        <v>1.71</v>
      </c>
      <c r="AE704" s="145">
        <v>10</v>
      </c>
      <c r="AF704" s="145">
        <v>0.6</v>
      </c>
      <c r="AG704" s="145">
        <v>0.43</v>
      </c>
      <c r="AH704" s="145">
        <v>0.40899999999999997</v>
      </c>
      <c r="AI704" s="145">
        <v>333</v>
      </c>
      <c r="AJ704" s="145">
        <v>31.7</v>
      </c>
      <c r="AK704" s="145" t="s">
        <v>400</v>
      </c>
      <c r="AL704" s="145" t="s">
        <v>400</v>
      </c>
      <c r="AM704" s="145" t="s">
        <v>400</v>
      </c>
    </row>
    <row r="705" spans="1:39">
      <c r="A705" s="143" t="s">
        <v>1765</v>
      </c>
      <c r="B705" s="144">
        <v>100</v>
      </c>
      <c r="C705" s="145">
        <v>204</v>
      </c>
      <c r="D705" s="145">
        <v>30.67</v>
      </c>
      <c r="E705" s="145">
        <v>9</v>
      </c>
      <c r="F705" s="145">
        <v>3.415</v>
      </c>
      <c r="G705" s="145">
        <v>3.9180000000000001</v>
      </c>
      <c r="H705" s="145">
        <v>0.34699999999999998</v>
      </c>
      <c r="I705" s="145">
        <v>0.23799999999999999</v>
      </c>
      <c r="J705" s="145">
        <v>8.6999999999999994E-2</v>
      </c>
      <c r="K705" s="145">
        <v>58</v>
      </c>
      <c r="L705" s="145" t="s">
        <v>400</v>
      </c>
      <c r="M705" s="145" t="s">
        <v>400</v>
      </c>
      <c r="N705" s="145">
        <v>7</v>
      </c>
      <c r="O705" s="145">
        <v>20</v>
      </c>
      <c r="P705" s="145">
        <v>1.0999999999999999E-2</v>
      </c>
      <c r="Q705" s="145">
        <v>193</v>
      </c>
      <c r="R705" s="145">
        <v>2.5299999999999998</v>
      </c>
      <c r="S705" s="145">
        <v>41</v>
      </c>
      <c r="T705" s="145">
        <v>252</v>
      </c>
      <c r="U705" s="145">
        <v>7.3999999999999996E-2</v>
      </c>
      <c r="V705" s="145">
        <v>5.2</v>
      </c>
      <c r="W705" s="145" t="s">
        <v>400</v>
      </c>
      <c r="X705" s="145">
        <v>7.0000000000000007E-2</v>
      </c>
      <c r="Y705" s="145">
        <v>0.16300000000000001</v>
      </c>
      <c r="Z705" s="146">
        <v>0.40300000000000002</v>
      </c>
      <c r="AA705" s="145">
        <v>5.36</v>
      </c>
      <c r="AB705" s="145" t="s">
        <v>400</v>
      </c>
      <c r="AC705" s="145">
        <v>8.7270000000000003</v>
      </c>
      <c r="AD705" s="145">
        <v>1.71</v>
      </c>
      <c r="AE705" s="145">
        <v>10</v>
      </c>
      <c r="AF705" s="145">
        <v>0.6</v>
      </c>
      <c r="AG705" s="145">
        <v>0.43</v>
      </c>
      <c r="AH705" s="145">
        <v>0.40899999999999997</v>
      </c>
      <c r="AI705" s="145">
        <v>333</v>
      </c>
      <c r="AJ705" s="145">
        <v>31.7</v>
      </c>
      <c r="AK705" s="145" t="s">
        <v>400</v>
      </c>
      <c r="AL705" s="145" t="s">
        <v>400</v>
      </c>
      <c r="AM705" s="145" t="s">
        <v>400</v>
      </c>
    </row>
    <row r="706" spans="1:39">
      <c r="A706" s="143" t="s">
        <v>1766</v>
      </c>
      <c r="B706" s="144">
        <v>100</v>
      </c>
      <c r="C706" s="145">
        <v>204</v>
      </c>
      <c r="D706" s="145">
        <v>30.67</v>
      </c>
      <c r="E706" s="145">
        <v>9</v>
      </c>
      <c r="F706" s="145">
        <v>3.415</v>
      </c>
      <c r="G706" s="145">
        <v>3.9180000000000001</v>
      </c>
      <c r="H706" s="145">
        <v>0.34699999999999998</v>
      </c>
      <c r="I706" s="145">
        <v>0.23799999999999999</v>
      </c>
      <c r="J706" s="145">
        <v>8.6999999999999994E-2</v>
      </c>
      <c r="K706" s="145">
        <v>58</v>
      </c>
      <c r="L706" s="145" t="s">
        <v>400</v>
      </c>
      <c r="M706" s="145" t="s">
        <v>400</v>
      </c>
      <c r="N706" s="145">
        <v>7</v>
      </c>
      <c r="O706" s="145">
        <v>20</v>
      </c>
      <c r="P706" s="145">
        <v>1.0999999999999999E-2</v>
      </c>
      <c r="Q706" s="145">
        <v>193</v>
      </c>
      <c r="R706" s="145">
        <v>2.5299999999999998</v>
      </c>
      <c r="S706" s="145">
        <v>41</v>
      </c>
      <c r="T706" s="145">
        <v>252</v>
      </c>
      <c r="U706" s="145">
        <v>7.3999999999999996E-2</v>
      </c>
      <c r="V706" s="145">
        <v>5.2</v>
      </c>
      <c r="W706" s="145" t="s">
        <v>400</v>
      </c>
      <c r="X706" s="145">
        <v>7.0000000000000007E-2</v>
      </c>
      <c r="Y706" s="145">
        <v>0.16300000000000001</v>
      </c>
      <c r="Z706" s="146">
        <v>0.40300000000000002</v>
      </c>
      <c r="AA706" s="145">
        <v>5.36</v>
      </c>
      <c r="AB706" s="145" t="s">
        <v>400</v>
      </c>
      <c r="AC706" s="145">
        <v>8.7270000000000003</v>
      </c>
      <c r="AD706" s="145">
        <v>1.71</v>
      </c>
      <c r="AE706" s="145">
        <v>10</v>
      </c>
      <c r="AF706" s="145">
        <v>0.6</v>
      </c>
      <c r="AG706" s="145">
        <v>0.43</v>
      </c>
      <c r="AH706" s="145">
        <v>0.40899999999999997</v>
      </c>
      <c r="AI706" s="145">
        <v>333</v>
      </c>
      <c r="AJ706" s="145">
        <v>31.7</v>
      </c>
      <c r="AK706" s="145" t="s">
        <v>400</v>
      </c>
      <c r="AL706" s="145" t="s">
        <v>400</v>
      </c>
      <c r="AM706" s="145" t="s">
        <v>400</v>
      </c>
    </row>
    <row r="707" spans="1:39">
      <c r="A707" s="143" t="s">
        <v>1767</v>
      </c>
      <c r="B707" s="144">
        <v>100</v>
      </c>
      <c r="C707" s="145">
        <v>204</v>
      </c>
      <c r="D707" s="145">
        <v>30.67</v>
      </c>
      <c r="E707" s="145">
        <v>9</v>
      </c>
      <c r="F707" s="145">
        <v>3.415</v>
      </c>
      <c r="G707" s="145">
        <v>3.9180000000000001</v>
      </c>
      <c r="H707" s="145">
        <v>0.34699999999999998</v>
      </c>
      <c r="I707" s="145">
        <v>0.23799999999999999</v>
      </c>
      <c r="J707" s="145">
        <v>8.6999999999999994E-2</v>
      </c>
      <c r="K707" s="145">
        <v>58</v>
      </c>
      <c r="L707" s="145" t="s">
        <v>400</v>
      </c>
      <c r="M707" s="145" t="s">
        <v>400</v>
      </c>
      <c r="N707" s="145">
        <v>7</v>
      </c>
      <c r="O707" s="145">
        <v>20</v>
      </c>
      <c r="P707" s="145">
        <v>1.0999999999999999E-2</v>
      </c>
      <c r="Q707" s="145">
        <v>193</v>
      </c>
      <c r="R707" s="145">
        <v>2.5299999999999998</v>
      </c>
      <c r="S707" s="145">
        <v>41</v>
      </c>
      <c r="T707" s="145">
        <v>252</v>
      </c>
      <c r="U707" s="145">
        <v>7.3999999999999996E-2</v>
      </c>
      <c r="V707" s="145">
        <v>5.2</v>
      </c>
      <c r="W707" s="145" t="s">
        <v>400</v>
      </c>
      <c r="X707" s="145">
        <v>7.0000000000000007E-2</v>
      </c>
      <c r="Y707" s="145">
        <v>0.16300000000000001</v>
      </c>
      <c r="Z707" s="146">
        <v>0.40300000000000002</v>
      </c>
      <c r="AA707" s="145">
        <v>5.36</v>
      </c>
      <c r="AB707" s="145" t="s">
        <v>400</v>
      </c>
      <c r="AC707" s="145">
        <v>8.7270000000000003</v>
      </c>
      <c r="AD707" s="145">
        <v>1.71</v>
      </c>
      <c r="AE707" s="145">
        <v>10</v>
      </c>
      <c r="AF707" s="145">
        <v>0.6</v>
      </c>
      <c r="AG707" s="145">
        <v>0.43</v>
      </c>
      <c r="AH707" s="145">
        <v>0.40899999999999997</v>
      </c>
      <c r="AI707" s="145">
        <v>333</v>
      </c>
      <c r="AJ707" s="145">
        <v>31.7</v>
      </c>
      <c r="AK707" s="145" t="s">
        <v>400</v>
      </c>
      <c r="AL707" s="145" t="s">
        <v>400</v>
      </c>
      <c r="AM707" s="145" t="s">
        <v>400</v>
      </c>
    </row>
    <row r="708" spans="1:39">
      <c r="A708" s="143" t="s">
        <v>1768</v>
      </c>
      <c r="B708" s="144">
        <v>100</v>
      </c>
      <c r="C708" s="145">
        <v>226.65899999999999</v>
      </c>
      <c r="D708" s="145">
        <v>30.67</v>
      </c>
      <c r="E708" s="145">
        <v>11.563000000000001</v>
      </c>
      <c r="F708" s="145">
        <v>3.8159999999999998</v>
      </c>
      <c r="G708" s="145">
        <v>4.5019999999999998</v>
      </c>
      <c r="H708" s="145">
        <v>1.827</v>
      </c>
      <c r="I708" s="145">
        <v>1.544</v>
      </c>
      <c r="J708" s="145">
        <v>0.26100000000000001</v>
      </c>
      <c r="K708" s="145">
        <v>58</v>
      </c>
      <c r="L708" s="145" t="s">
        <v>400</v>
      </c>
      <c r="M708" s="145" t="s">
        <v>400</v>
      </c>
      <c r="N708" s="145">
        <v>7</v>
      </c>
      <c r="O708" s="145">
        <v>20</v>
      </c>
      <c r="P708" s="145">
        <v>1.0999999999999999E-2</v>
      </c>
      <c r="Q708" s="145">
        <v>193</v>
      </c>
      <c r="R708" s="145">
        <v>2.5310000000000001</v>
      </c>
      <c r="S708" s="145">
        <v>41</v>
      </c>
      <c r="T708" s="145">
        <v>252</v>
      </c>
      <c r="U708" s="145">
        <v>7.3999999999999996E-2</v>
      </c>
      <c r="V708" s="145">
        <v>5.2</v>
      </c>
      <c r="W708" s="145" t="s">
        <v>400</v>
      </c>
      <c r="X708" s="145">
        <v>7.0000000000000007E-2</v>
      </c>
      <c r="Y708" s="145">
        <v>0.16300000000000001</v>
      </c>
      <c r="Z708" s="146">
        <v>0.40300000000000002</v>
      </c>
      <c r="AA708" s="145">
        <v>5.36</v>
      </c>
      <c r="AB708" s="145" t="s">
        <v>400</v>
      </c>
      <c r="AC708" s="145">
        <v>8.7270000000000003</v>
      </c>
      <c r="AD708" s="145">
        <v>1.71</v>
      </c>
      <c r="AE708" s="145">
        <v>10</v>
      </c>
      <c r="AF708" s="145">
        <v>0.6</v>
      </c>
      <c r="AG708" s="145">
        <v>0.64</v>
      </c>
      <c r="AH708" s="145">
        <v>0.42299999999999999</v>
      </c>
      <c r="AI708" s="145">
        <v>333</v>
      </c>
      <c r="AJ708" s="145">
        <v>32.875</v>
      </c>
      <c r="AK708" s="145" t="s">
        <v>400</v>
      </c>
      <c r="AL708" s="145" t="s">
        <v>400</v>
      </c>
      <c r="AM708" s="145" t="s">
        <v>400</v>
      </c>
    </row>
    <row r="709" spans="1:39">
      <c r="A709" s="143" t="s">
        <v>1769</v>
      </c>
      <c r="B709" s="144">
        <v>100</v>
      </c>
      <c r="C709" s="145">
        <v>242.83699999999999</v>
      </c>
      <c r="D709" s="145">
        <v>31.129000000000001</v>
      </c>
      <c r="E709" s="145">
        <v>11.606999999999999</v>
      </c>
      <c r="F709" s="145">
        <v>3.823</v>
      </c>
      <c r="G709" s="145">
        <v>4.5060000000000002</v>
      </c>
      <c r="H709" s="145">
        <v>1.845</v>
      </c>
      <c r="I709" s="145">
        <v>1.5609999999999999</v>
      </c>
      <c r="J709" s="145">
        <v>0.26200000000000001</v>
      </c>
      <c r="K709" s="145">
        <v>58</v>
      </c>
      <c r="L709" s="145">
        <v>3.3919999999999999</v>
      </c>
      <c r="M709" s="145">
        <v>0.13500000000000001</v>
      </c>
      <c r="N709" s="145">
        <v>7.6669999999999998</v>
      </c>
      <c r="O709" s="145">
        <v>20.978000000000002</v>
      </c>
      <c r="P709" s="145">
        <v>4.1000000000000002E-2</v>
      </c>
      <c r="Q709" s="145">
        <v>197.8</v>
      </c>
      <c r="R709" s="145">
        <v>2.738</v>
      </c>
      <c r="S709" s="145">
        <v>41.088999999999999</v>
      </c>
      <c r="T709" s="145">
        <v>256.75599999999997</v>
      </c>
      <c r="U709" s="145">
        <v>0.08</v>
      </c>
      <c r="V709" s="145">
        <v>5.2309999999999999</v>
      </c>
      <c r="W709" s="145" t="s">
        <v>400</v>
      </c>
      <c r="X709" s="145">
        <v>0.105</v>
      </c>
      <c r="Y709" s="145">
        <v>0.185</v>
      </c>
      <c r="Z709" s="146">
        <v>0.40500000000000003</v>
      </c>
      <c r="AA709" s="145">
        <v>5.6219999999999999</v>
      </c>
      <c r="AB709" s="145" t="s">
        <v>400</v>
      </c>
      <c r="AC709" s="145">
        <v>9.0830000000000002</v>
      </c>
      <c r="AD709" s="145">
        <v>1.71</v>
      </c>
      <c r="AE709" s="145">
        <v>19.067</v>
      </c>
      <c r="AF709" s="145">
        <v>0.6</v>
      </c>
      <c r="AG709" s="145">
        <v>0.64200000000000002</v>
      </c>
      <c r="AH709" s="145">
        <v>0.42299999999999999</v>
      </c>
      <c r="AI709" s="145">
        <v>333</v>
      </c>
      <c r="AJ709" s="145">
        <v>34.381</v>
      </c>
      <c r="AK709" s="145" t="s">
        <v>400</v>
      </c>
      <c r="AL709" s="145">
        <v>1.4E-2</v>
      </c>
      <c r="AM709" s="145" t="s">
        <v>400</v>
      </c>
    </row>
    <row r="710" spans="1:39">
      <c r="A710" s="143" t="s">
        <v>1770</v>
      </c>
      <c r="B710" s="144">
        <v>100</v>
      </c>
      <c r="C710" s="145">
        <v>226.65899999999999</v>
      </c>
      <c r="D710" s="145">
        <v>30.67</v>
      </c>
      <c r="E710" s="145">
        <v>11.563000000000001</v>
      </c>
      <c r="F710" s="145">
        <v>3.8159999999999998</v>
      </c>
      <c r="G710" s="145">
        <v>4.5019999999999998</v>
      </c>
      <c r="H710" s="145">
        <v>1.827</v>
      </c>
      <c r="I710" s="145">
        <v>1.544</v>
      </c>
      <c r="J710" s="145">
        <v>0.26100000000000001</v>
      </c>
      <c r="K710" s="145">
        <v>58</v>
      </c>
      <c r="L710" s="145" t="s">
        <v>400</v>
      </c>
      <c r="M710" s="145" t="s">
        <v>400</v>
      </c>
      <c r="N710" s="145">
        <v>7</v>
      </c>
      <c r="O710" s="145">
        <v>20</v>
      </c>
      <c r="P710" s="145">
        <v>1.0999999999999999E-2</v>
      </c>
      <c r="Q710" s="145">
        <v>193</v>
      </c>
      <c r="R710" s="145">
        <v>2.5310000000000001</v>
      </c>
      <c r="S710" s="145">
        <v>41</v>
      </c>
      <c r="T710" s="145">
        <v>252</v>
      </c>
      <c r="U710" s="145">
        <v>7.3999999999999996E-2</v>
      </c>
      <c r="V710" s="145">
        <v>5.2</v>
      </c>
      <c r="W710" s="145" t="s">
        <v>400</v>
      </c>
      <c r="X710" s="145">
        <v>7.0000000000000007E-2</v>
      </c>
      <c r="Y710" s="145">
        <v>0.16300000000000001</v>
      </c>
      <c r="Z710" s="146">
        <v>0.40300000000000002</v>
      </c>
      <c r="AA710" s="145">
        <v>5.36</v>
      </c>
      <c r="AB710" s="145" t="s">
        <v>400</v>
      </c>
      <c r="AC710" s="145">
        <v>8.7270000000000003</v>
      </c>
      <c r="AD710" s="145">
        <v>1.71</v>
      </c>
      <c r="AE710" s="145">
        <v>10</v>
      </c>
      <c r="AF710" s="145">
        <v>0.6</v>
      </c>
      <c r="AG710" s="145">
        <v>0.64</v>
      </c>
      <c r="AH710" s="145">
        <v>0.42299999999999999</v>
      </c>
      <c r="AI710" s="145">
        <v>333</v>
      </c>
      <c r="AJ710" s="145">
        <v>32.875</v>
      </c>
      <c r="AK710" s="145" t="s">
        <v>400</v>
      </c>
      <c r="AL710" s="145" t="s">
        <v>400</v>
      </c>
      <c r="AM710" s="145" t="s">
        <v>400</v>
      </c>
    </row>
    <row r="711" spans="1:39">
      <c r="A711" s="143" t="s">
        <v>1771</v>
      </c>
      <c r="B711" s="144">
        <v>100</v>
      </c>
      <c r="C711" s="145">
        <v>168</v>
      </c>
      <c r="D711" s="145">
        <v>24.8</v>
      </c>
      <c r="E711" s="145">
        <v>7.2359999999999998</v>
      </c>
      <c r="F711" s="145">
        <v>2.7370000000000001</v>
      </c>
      <c r="G711" s="145">
        <v>3.14</v>
      </c>
      <c r="H711" s="145">
        <v>0.29199999999999998</v>
      </c>
      <c r="I711" s="145">
        <v>0.20399999999999999</v>
      </c>
      <c r="J711" s="145">
        <v>7.0000000000000007E-2</v>
      </c>
      <c r="K711" s="145">
        <v>46.4</v>
      </c>
      <c r="L711" s="145">
        <v>1.0760000000000001</v>
      </c>
      <c r="M711" s="145">
        <v>0.3</v>
      </c>
      <c r="N711" s="145">
        <v>8.1999999999999993</v>
      </c>
      <c r="O711" s="145">
        <v>19.2</v>
      </c>
      <c r="P711" s="145">
        <v>0.03</v>
      </c>
      <c r="Q711" s="145">
        <v>159.6</v>
      </c>
      <c r="R711" s="145">
        <v>2.2280000000000002</v>
      </c>
      <c r="S711" s="145">
        <v>137.6</v>
      </c>
      <c r="T711" s="145">
        <v>267.8</v>
      </c>
      <c r="U711" s="145">
        <v>8.3000000000000004E-2</v>
      </c>
      <c r="V711" s="145">
        <v>4.2</v>
      </c>
      <c r="W711" s="145" t="s">
        <v>400</v>
      </c>
      <c r="X711" s="145">
        <v>6.0999999999999999E-2</v>
      </c>
      <c r="Y711" s="145">
        <v>0.14399999999999999</v>
      </c>
      <c r="Z711" s="146">
        <v>0.34200000000000003</v>
      </c>
      <c r="AA711" s="145">
        <v>4.4829999999999997</v>
      </c>
      <c r="AB711" s="145">
        <v>1.4</v>
      </c>
      <c r="AC711" s="145">
        <v>7.21</v>
      </c>
      <c r="AD711" s="145">
        <v>1.3680000000000001</v>
      </c>
      <c r="AE711" s="145">
        <v>10.199999999999999</v>
      </c>
      <c r="AF711" s="145">
        <v>0.48</v>
      </c>
      <c r="AG711" s="145">
        <v>0.628</v>
      </c>
      <c r="AH711" s="145">
        <v>0.32700000000000001</v>
      </c>
      <c r="AI711" s="145">
        <v>333</v>
      </c>
      <c r="AJ711" s="145">
        <v>25.4</v>
      </c>
      <c r="AK711" s="145">
        <v>3.4830000000000001</v>
      </c>
      <c r="AL711" s="145">
        <v>0.85</v>
      </c>
      <c r="AM711" s="145" t="s">
        <v>400</v>
      </c>
    </row>
    <row r="712" spans="1:39">
      <c r="A712" s="143" t="s">
        <v>1772</v>
      </c>
      <c r="B712" s="144">
        <v>100</v>
      </c>
      <c r="C712" s="145">
        <v>471</v>
      </c>
      <c r="D712" s="145">
        <v>21.57</v>
      </c>
      <c r="E712" s="145">
        <v>41.98</v>
      </c>
      <c r="F712" s="145">
        <v>17.8</v>
      </c>
      <c r="G712" s="145">
        <v>18.88</v>
      </c>
      <c r="H712" s="145">
        <v>1.53</v>
      </c>
      <c r="I712" s="145">
        <v>0.98</v>
      </c>
      <c r="J712" s="145">
        <v>0.5</v>
      </c>
      <c r="K712" s="145">
        <v>94</v>
      </c>
      <c r="L712" s="145" t="s">
        <v>400</v>
      </c>
      <c r="M712" s="145" t="s">
        <v>400</v>
      </c>
      <c r="N712" s="145">
        <v>12</v>
      </c>
      <c r="O712" s="145">
        <v>15</v>
      </c>
      <c r="P712" s="145">
        <v>1.2999999999999999E-2</v>
      </c>
      <c r="Q712" s="145">
        <v>162</v>
      </c>
      <c r="R712" s="145">
        <v>2.31</v>
      </c>
      <c r="S712" s="145">
        <v>50</v>
      </c>
      <c r="T712" s="145">
        <v>224</v>
      </c>
      <c r="U712" s="145">
        <v>9.9000000000000005E-2</v>
      </c>
      <c r="V712" s="145">
        <v>4.88</v>
      </c>
      <c r="W712" s="145" t="s">
        <v>400</v>
      </c>
      <c r="X712" s="145">
        <v>0.05</v>
      </c>
      <c r="Y712" s="145">
        <v>0.15</v>
      </c>
      <c r="Z712" s="145">
        <v>0.22</v>
      </c>
      <c r="AA712" s="145">
        <v>2.452</v>
      </c>
      <c r="AB712" s="145" t="s">
        <v>400</v>
      </c>
      <c r="AC712" s="145">
        <v>4.819</v>
      </c>
      <c r="AD712" s="145">
        <v>2.62</v>
      </c>
      <c r="AE712" s="145">
        <v>5</v>
      </c>
      <c r="AF712" s="145">
        <v>0.6</v>
      </c>
      <c r="AG712" s="145">
        <v>0.28999999999999998</v>
      </c>
      <c r="AH712" s="145">
        <v>1.91</v>
      </c>
      <c r="AI712" s="145">
        <v>333</v>
      </c>
      <c r="AJ712" s="145">
        <v>20.8</v>
      </c>
      <c r="AK712" s="145" t="s">
        <v>400</v>
      </c>
      <c r="AL712" s="145" t="s">
        <v>400</v>
      </c>
      <c r="AM712" s="145" t="s">
        <v>400</v>
      </c>
    </row>
    <row r="713" spans="1:39">
      <c r="A713" s="143" t="s">
        <v>1773</v>
      </c>
      <c r="B713" s="144">
        <v>100</v>
      </c>
      <c r="C713" s="145">
        <v>471</v>
      </c>
      <c r="D713" s="145">
        <v>21.57</v>
      </c>
      <c r="E713" s="145">
        <v>41.98</v>
      </c>
      <c r="F713" s="145">
        <v>17.8</v>
      </c>
      <c r="G713" s="145">
        <v>18.88</v>
      </c>
      <c r="H713" s="145">
        <v>1.53</v>
      </c>
      <c r="I713" s="145">
        <v>0.98</v>
      </c>
      <c r="J713" s="145">
        <v>0.5</v>
      </c>
      <c r="K713" s="145">
        <v>94</v>
      </c>
      <c r="L713" s="145" t="s">
        <v>400</v>
      </c>
      <c r="M713" s="145" t="s">
        <v>400</v>
      </c>
      <c r="N713" s="145">
        <v>12</v>
      </c>
      <c r="O713" s="145">
        <v>15</v>
      </c>
      <c r="P713" s="145">
        <v>1.2999999999999999E-2</v>
      </c>
      <c r="Q713" s="145">
        <v>162</v>
      </c>
      <c r="R713" s="145">
        <v>2.31</v>
      </c>
      <c r="S713" s="145">
        <v>50</v>
      </c>
      <c r="T713" s="145">
        <v>224</v>
      </c>
      <c r="U713" s="145">
        <v>9.9000000000000005E-2</v>
      </c>
      <c r="V713" s="145">
        <v>4.88</v>
      </c>
      <c r="W713" s="145" t="s">
        <v>400</v>
      </c>
      <c r="X713" s="145">
        <v>0.05</v>
      </c>
      <c r="Y713" s="145">
        <v>0.15</v>
      </c>
      <c r="Z713" s="145">
        <v>0.22</v>
      </c>
      <c r="AA713" s="145">
        <v>2.452</v>
      </c>
      <c r="AB713" s="145" t="s">
        <v>400</v>
      </c>
      <c r="AC713" s="145">
        <v>4.819</v>
      </c>
      <c r="AD713" s="145">
        <v>2.62</v>
      </c>
      <c r="AE713" s="145">
        <v>5</v>
      </c>
      <c r="AF713" s="145">
        <v>0.6</v>
      </c>
      <c r="AG713" s="145">
        <v>0.28999999999999998</v>
      </c>
      <c r="AH713" s="145">
        <v>1.91</v>
      </c>
      <c r="AI713" s="145">
        <v>333</v>
      </c>
      <c r="AJ713" s="145">
        <v>20.8</v>
      </c>
      <c r="AK713" s="145" t="s">
        <v>400</v>
      </c>
      <c r="AL713" s="145" t="s">
        <v>400</v>
      </c>
      <c r="AM713" s="145" t="s">
        <v>400</v>
      </c>
    </row>
    <row r="714" spans="1:39">
      <c r="A714" s="143" t="s">
        <v>1774</v>
      </c>
      <c r="B714" s="144">
        <v>100</v>
      </c>
      <c r="C714" s="145">
        <v>471</v>
      </c>
      <c r="D714" s="145">
        <v>21.57</v>
      </c>
      <c r="E714" s="145">
        <v>41.98</v>
      </c>
      <c r="F714" s="145">
        <v>17.8</v>
      </c>
      <c r="G714" s="145">
        <v>18.88</v>
      </c>
      <c r="H714" s="145">
        <v>1.53</v>
      </c>
      <c r="I714" s="145">
        <v>0.98</v>
      </c>
      <c r="J714" s="145">
        <v>0.5</v>
      </c>
      <c r="K714" s="145">
        <v>94</v>
      </c>
      <c r="L714" s="145" t="s">
        <v>400</v>
      </c>
      <c r="M714" s="145" t="s">
        <v>400</v>
      </c>
      <c r="N714" s="145">
        <v>12</v>
      </c>
      <c r="O714" s="145">
        <v>15</v>
      </c>
      <c r="P714" s="145">
        <v>1.2999999999999999E-2</v>
      </c>
      <c r="Q714" s="145">
        <v>162</v>
      </c>
      <c r="R714" s="145">
        <v>2.31</v>
      </c>
      <c r="S714" s="145">
        <v>50</v>
      </c>
      <c r="T714" s="145">
        <v>224</v>
      </c>
      <c r="U714" s="145">
        <v>9.9000000000000005E-2</v>
      </c>
      <c r="V714" s="145">
        <v>4.88</v>
      </c>
      <c r="W714" s="145" t="s">
        <v>400</v>
      </c>
      <c r="X714" s="145">
        <v>0.05</v>
      </c>
      <c r="Y714" s="145">
        <v>0.15</v>
      </c>
      <c r="Z714" s="145">
        <v>0.22</v>
      </c>
      <c r="AA714" s="145">
        <v>2.452</v>
      </c>
      <c r="AB714" s="145" t="s">
        <v>400</v>
      </c>
      <c r="AC714" s="145">
        <v>4.819</v>
      </c>
      <c r="AD714" s="145">
        <v>2.62</v>
      </c>
      <c r="AE714" s="145">
        <v>5</v>
      </c>
      <c r="AF714" s="145">
        <v>0.6</v>
      </c>
      <c r="AG714" s="145">
        <v>0.28999999999999998</v>
      </c>
      <c r="AH714" s="145">
        <v>1.91</v>
      </c>
      <c r="AI714" s="145">
        <v>333</v>
      </c>
      <c r="AJ714" s="145">
        <v>20.8</v>
      </c>
      <c r="AK714" s="145" t="s">
        <v>400</v>
      </c>
      <c r="AL714" s="145" t="s">
        <v>400</v>
      </c>
      <c r="AM714" s="145" t="s">
        <v>400</v>
      </c>
    </row>
    <row r="715" spans="1:39">
      <c r="A715" s="143" t="s">
        <v>1775</v>
      </c>
      <c r="B715" s="144">
        <v>100</v>
      </c>
      <c r="C715" s="145">
        <v>471</v>
      </c>
      <c r="D715" s="145">
        <v>21.57</v>
      </c>
      <c r="E715" s="145">
        <v>41.98</v>
      </c>
      <c r="F715" s="145">
        <v>17.8</v>
      </c>
      <c r="G715" s="145">
        <v>18.88</v>
      </c>
      <c r="H715" s="145">
        <v>1.53</v>
      </c>
      <c r="I715" s="145">
        <v>0.98</v>
      </c>
      <c r="J715" s="145">
        <v>0.5</v>
      </c>
      <c r="K715" s="145">
        <v>94</v>
      </c>
      <c r="L715" s="145" t="s">
        <v>400</v>
      </c>
      <c r="M715" s="145" t="s">
        <v>400</v>
      </c>
      <c r="N715" s="145">
        <v>12</v>
      </c>
      <c r="O715" s="145">
        <v>15</v>
      </c>
      <c r="P715" s="145">
        <v>1.2999999999999999E-2</v>
      </c>
      <c r="Q715" s="145">
        <v>162</v>
      </c>
      <c r="R715" s="145">
        <v>2.31</v>
      </c>
      <c r="S715" s="145">
        <v>50</v>
      </c>
      <c r="T715" s="145">
        <v>224</v>
      </c>
      <c r="U715" s="145">
        <v>9.9000000000000005E-2</v>
      </c>
      <c r="V715" s="145">
        <v>4.88</v>
      </c>
      <c r="W715" s="145" t="s">
        <v>400</v>
      </c>
      <c r="X715" s="145">
        <v>0.05</v>
      </c>
      <c r="Y715" s="145">
        <v>0.15</v>
      </c>
      <c r="Z715" s="145">
        <v>0.22</v>
      </c>
      <c r="AA715" s="145">
        <v>2.452</v>
      </c>
      <c r="AB715" s="145" t="s">
        <v>400</v>
      </c>
      <c r="AC715" s="145">
        <v>4.819</v>
      </c>
      <c r="AD715" s="145">
        <v>2.62</v>
      </c>
      <c r="AE715" s="145">
        <v>5</v>
      </c>
      <c r="AF715" s="145">
        <v>0.6</v>
      </c>
      <c r="AG715" s="145">
        <v>0.28999999999999998</v>
      </c>
      <c r="AH715" s="145">
        <v>1.91</v>
      </c>
      <c r="AI715" s="145">
        <v>333</v>
      </c>
      <c r="AJ715" s="145">
        <v>20.8</v>
      </c>
      <c r="AK715" s="145" t="s">
        <v>400</v>
      </c>
      <c r="AL715" s="145" t="s">
        <v>400</v>
      </c>
      <c r="AM715" s="145" t="s">
        <v>400</v>
      </c>
    </row>
    <row r="716" spans="1:39">
      <c r="A716" s="143" t="s">
        <v>1776</v>
      </c>
      <c r="B716" s="144">
        <v>100</v>
      </c>
      <c r="C716" s="145">
        <v>471</v>
      </c>
      <c r="D716" s="145">
        <v>21.57</v>
      </c>
      <c r="E716" s="145">
        <v>41.98</v>
      </c>
      <c r="F716" s="145">
        <v>17.8</v>
      </c>
      <c r="G716" s="145">
        <v>18.88</v>
      </c>
      <c r="H716" s="145">
        <v>1.53</v>
      </c>
      <c r="I716" s="145">
        <v>0.98</v>
      </c>
      <c r="J716" s="145">
        <v>0.5</v>
      </c>
      <c r="K716" s="145">
        <v>94</v>
      </c>
      <c r="L716" s="145" t="s">
        <v>400</v>
      </c>
      <c r="M716" s="145" t="s">
        <v>400</v>
      </c>
      <c r="N716" s="145">
        <v>12</v>
      </c>
      <c r="O716" s="145">
        <v>15</v>
      </c>
      <c r="P716" s="145">
        <v>1.2999999999999999E-2</v>
      </c>
      <c r="Q716" s="145">
        <v>162</v>
      </c>
      <c r="R716" s="145">
        <v>2.31</v>
      </c>
      <c r="S716" s="145">
        <v>50</v>
      </c>
      <c r="T716" s="145">
        <v>224</v>
      </c>
      <c r="U716" s="145">
        <v>9.9000000000000005E-2</v>
      </c>
      <c r="V716" s="145">
        <v>4.88</v>
      </c>
      <c r="W716" s="145" t="s">
        <v>400</v>
      </c>
      <c r="X716" s="145">
        <v>0.05</v>
      </c>
      <c r="Y716" s="145">
        <v>0.15</v>
      </c>
      <c r="Z716" s="145">
        <v>0.22</v>
      </c>
      <c r="AA716" s="145">
        <v>2.452</v>
      </c>
      <c r="AB716" s="145" t="s">
        <v>400</v>
      </c>
      <c r="AC716" s="145">
        <v>4.819</v>
      </c>
      <c r="AD716" s="145">
        <v>2.62</v>
      </c>
      <c r="AE716" s="145">
        <v>5</v>
      </c>
      <c r="AF716" s="145">
        <v>0.6</v>
      </c>
      <c r="AG716" s="145">
        <v>0.28999999999999998</v>
      </c>
      <c r="AH716" s="145">
        <v>1.91</v>
      </c>
      <c r="AI716" s="145">
        <v>333</v>
      </c>
      <c r="AJ716" s="145">
        <v>20.8</v>
      </c>
      <c r="AK716" s="145" t="s">
        <v>400</v>
      </c>
      <c r="AL716" s="145" t="s">
        <v>400</v>
      </c>
      <c r="AM716" s="145" t="s">
        <v>400</v>
      </c>
    </row>
    <row r="717" spans="1:39">
      <c r="A717" s="143" t="s">
        <v>1777</v>
      </c>
      <c r="B717" s="144">
        <v>100</v>
      </c>
      <c r="C717" s="145">
        <v>329.83699999999999</v>
      </c>
      <c r="D717" s="145">
        <v>26.309000000000001</v>
      </c>
      <c r="E717" s="145">
        <v>22.646999999999998</v>
      </c>
      <c r="F717" s="145">
        <v>8.3019999999999996</v>
      </c>
      <c r="G717" s="145">
        <v>9.2430000000000003</v>
      </c>
      <c r="H717" s="145">
        <v>2.2400000000000002</v>
      </c>
      <c r="I717" s="145">
        <v>1.8420000000000001</v>
      </c>
      <c r="J717" s="145">
        <v>0.35299999999999998</v>
      </c>
      <c r="K717" s="145">
        <v>105</v>
      </c>
      <c r="L717" s="145">
        <v>3.3919999999999999</v>
      </c>
      <c r="M717" s="145">
        <v>0.13500000000000001</v>
      </c>
      <c r="N717" s="145">
        <v>19.667000000000002</v>
      </c>
      <c r="O717" s="145">
        <v>22.978000000000002</v>
      </c>
      <c r="P717" s="145">
        <v>3.9E-2</v>
      </c>
      <c r="Q717" s="145">
        <v>205.8</v>
      </c>
      <c r="R717" s="145">
        <v>1.8680000000000001</v>
      </c>
      <c r="S717" s="145">
        <v>53.088999999999999</v>
      </c>
      <c r="T717" s="145">
        <v>327.75599999999997</v>
      </c>
      <c r="U717" s="145">
        <v>8.4000000000000005E-2</v>
      </c>
      <c r="V717" s="145">
        <v>4.7009999999999996</v>
      </c>
      <c r="W717" s="145" t="s">
        <v>400</v>
      </c>
      <c r="X717" s="145">
        <v>0.105</v>
      </c>
      <c r="Y717" s="145">
        <v>0.14699999999999999</v>
      </c>
      <c r="Z717" s="145">
        <v>0.54300000000000004</v>
      </c>
      <c r="AA717" s="145">
        <v>7.1429999999999998</v>
      </c>
      <c r="AB717" s="145" t="s">
        <v>400</v>
      </c>
      <c r="AC717" s="145">
        <v>10.071</v>
      </c>
      <c r="AD717" s="145">
        <v>1.52</v>
      </c>
      <c r="AE717" s="145">
        <v>17.067</v>
      </c>
      <c r="AF717" s="145">
        <v>0.6</v>
      </c>
      <c r="AG717" s="145">
        <v>0.70199999999999996</v>
      </c>
      <c r="AH717" s="145">
        <v>0.92400000000000004</v>
      </c>
      <c r="AI717" s="145">
        <v>333</v>
      </c>
      <c r="AJ717" s="145">
        <v>30.681000000000001</v>
      </c>
      <c r="AK717" s="145" t="s">
        <v>400</v>
      </c>
      <c r="AL717" s="145">
        <v>1.4E-2</v>
      </c>
      <c r="AM717" s="145" t="s">
        <v>400</v>
      </c>
    </row>
    <row r="718" spans="1:39">
      <c r="A718" s="143" t="s">
        <v>1778</v>
      </c>
      <c r="B718" s="144">
        <v>100</v>
      </c>
      <c r="C718" s="145">
        <v>471</v>
      </c>
      <c r="D718" s="145">
        <v>21.57</v>
      </c>
      <c r="E718" s="145">
        <v>41.98</v>
      </c>
      <c r="F718" s="145">
        <v>17.8</v>
      </c>
      <c r="G718" s="145">
        <v>18.88</v>
      </c>
      <c r="H718" s="145">
        <v>1.53</v>
      </c>
      <c r="I718" s="145">
        <v>0.98</v>
      </c>
      <c r="J718" s="145">
        <v>0.5</v>
      </c>
      <c r="K718" s="145">
        <v>94</v>
      </c>
      <c r="L718" s="145" t="s">
        <v>400</v>
      </c>
      <c r="M718" s="145" t="s">
        <v>400</v>
      </c>
      <c r="N718" s="145">
        <v>12</v>
      </c>
      <c r="O718" s="145">
        <v>15</v>
      </c>
      <c r="P718" s="145">
        <v>1.2999999999999999E-2</v>
      </c>
      <c r="Q718" s="145">
        <v>162</v>
      </c>
      <c r="R718" s="145">
        <v>2.31</v>
      </c>
      <c r="S718" s="145">
        <v>50</v>
      </c>
      <c r="T718" s="145">
        <v>224</v>
      </c>
      <c r="U718" s="145">
        <v>9.9000000000000005E-2</v>
      </c>
      <c r="V718" s="145">
        <v>4.88</v>
      </c>
      <c r="W718" s="145" t="s">
        <v>400</v>
      </c>
      <c r="X718" s="145">
        <v>0.05</v>
      </c>
      <c r="Y718" s="145">
        <v>0.15</v>
      </c>
      <c r="Z718" s="145">
        <v>0.22</v>
      </c>
      <c r="AA718" s="145">
        <v>2.452</v>
      </c>
      <c r="AB718" s="145" t="s">
        <v>400</v>
      </c>
      <c r="AC718" s="145">
        <v>4.819</v>
      </c>
      <c r="AD718" s="145">
        <v>2.62</v>
      </c>
      <c r="AE718" s="145">
        <v>5</v>
      </c>
      <c r="AF718" s="145">
        <v>0.6</v>
      </c>
      <c r="AG718" s="145">
        <v>0.28999999999999998</v>
      </c>
      <c r="AH718" s="145">
        <v>1.91</v>
      </c>
      <c r="AI718" s="145">
        <v>333</v>
      </c>
      <c r="AJ718" s="145">
        <v>20.8</v>
      </c>
      <c r="AK718" s="145" t="s">
        <v>400</v>
      </c>
      <c r="AL718" s="145" t="s">
        <v>400</v>
      </c>
      <c r="AM718" s="145" t="s">
        <v>400</v>
      </c>
    </row>
    <row r="719" spans="1:39">
      <c r="A719" s="143" t="s">
        <v>1779</v>
      </c>
      <c r="B719" s="144">
        <v>100</v>
      </c>
      <c r="C719" s="145">
        <v>381.6</v>
      </c>
      <c r="D719" s="145">
        <v>17.52</v>
      </c>
      <c r="E719" s="145">
        <v>33.619999999999997</v>
      </c>
      <c r="F719" s="145">
        <v>14.244999999999999</v>
      </c>
      <c r="G719" s="145">
        <v>15.109</v>
      </c>
      <c r="H719" s="145">
        <v>1.2390000000000001</v>
      </c>
      <c r="I719" s="145">
        <v>0.79800000000000004</v>
      </c>
      <c r="J719" s="145">
        <v>0.40100000000000002</v>
      </c>
      <c r="K719" s="145">
        <v>75.2</v>
      </c>
      <c r="L719" s="145">
        <v>1.0760000000000001</v>
      </c>
      <c r="M719" s="145">
        <v>0.3</v>
      </c>
      <c r="N719" s="145">
        <v>12.2</v>
      </c>
      <c r="O719" s="145">
        <v>15.2</v>
      </c>
      <c r="P719" s="145">
        <v>3.2000000000000001E-2</v>
      </c>
      <c r="Q719" s="145">
        <v>134.80000000000001</v>
      </c>
      <c r="R719" s="145">
        <v>2.052</v>
      </c>
      <c r="S719" s="145">
        <v>144.80000000000001</v>
      </c>
      <c r="T719" s="145">
        <v>245.4</v>
      </c>
      <c r="U719" s="145">
        <v>0.10299999999999999</v>
      </c>
      <c r="V719" s="145">
        <v>3.944</v>
      </c>
      <c r="W719" s="145" t="s">
        <v>400</v>
      </c>
      <c r="X719" s="145">
        <v>4.4999999999999998E-2</v>
      </c>
      <c r="Y719" s="145">
        <v>0.13300000000000001</v>
      </c>
      <c r="Z719" s="145">
        <v>0.19500000000000001</v>
      </c>
      <c r="AA719" s="145">
        <v>2.157</v>
      </c>
      <c r="AB719" s="145">
        <v>1.4</v>
      </c>
      <c r="AC719" s="145">
        <v>4.0830000000000002</v>
      </c>
      <c r="AD719" s="145">
        <v>2.0960000000000001</v>
      </c>
      <c r="AE719" s="145">
        <v>6.2</v>
      </c>
      <c r="AF719" s="145">
        <v>0.48</v>
      </c>
      <c r="AG719" s="145">
        <v>0.51600000000000001</v>
      </c>
      <c r="AH719" s="145">
        <v>1.528</v>
      </c>
      <c r="AI719" s="145">
        <v>333</v>
      </c>
      <c r="AJ719" s="145">
        <v>16.68</v>
      </c>
      <c r="AK719" s="145">
        <v>3.4830000000000001</v>
      </c>
      <c r="AL719" s="145">
        <v>0.85</v>
      </c>
      <c r="AM719" s="145" t="s">
        <v>400</v>
      </c>
    </row>
    <row r="720" spans="1:39">
      <c r="A720" s="143" t="s">
        <v>1780</v>
      </c>
      <c r="B720" s="144">
        <v>100</v>
      </c>
      <c r="C720" s="145">
        <v>204</v>
      </c>
      <c r="D720" s="145">
        <v>30.67</v>
      </c>
      <c r="E720" s="145">
        <v>9</v>
      </c>
      <c r="F720" s="145">
        <v>3.415</v>
      </c>
      <c r="G720" s="145">
        <v>3.9180000000000001</v>
      </c>
      <c r="H720" s="145">
        <v>0.34699999999999998</v>
      </c>
      <c r="I720" s="145">
        <v>0.23799999999999999</v>
      </c>
      <c r="J720" s="145">
        <v>8.6999999999999994E-2</v>
      </c>
      <c r="K720" s="145">
        <v>58</v>
      </c>
      <c r="L720" s="145" t="s">
        <v>400</v>
      </c>
      <c r="M720" s="145" t="s">
        <v>400</v>
      </c>
      <c r="N720" s="145">
        <v>7</v>
      </c>
      <c r="O720" s="145">
        <v>20</v>
      </c>
      <c r="P720" s="145">
        <v>1.0999999999999999E-2</v>
      </c>
      <c r="Q720" s="145">
        <v>193</v>
      </c>
      <c r="R720" s="145">
        <v>2.5299999999999998</v>
      </c>
      <c r="S720" s="145">
        <v>41</v>
      </c>
      <c r="T720" s="145">
        <v>252</v>
      </c>
      <c r="U720" s="145">
        <v>7.3999999999999996E-2</v>
      </c>
      <c r="V720" s="145">
        <v>5.2</v>
      </c>
      <c r="W720" s="145" t="s">
        <v>400</v>
      </c>
      <c r="X720" s="145">
        <v>7.0000000000000007E-2</v>
      </c>
      <c r="Y720" s="145">
        <v>0.16300000000000001</v>
      </c>
      <c r="Z720" s="146">
        <v>0.40300000000000002</v>
      </c>
      <c r="AA720" s="145">
        <v>5.36</v>
      </c>
      <c r="AB720" s="145" t="s">
        <v>400</v>
      </c>
      <c r="AC720" s="145">
        <v>8.7270000000000003</v>
      </c>
      <c r="AD720" s="145">
        <v>1.71</v>
      </c>
      <c r="AE720" s="145">
        <v>10</v>
      </c>
      <c r="AF720" s="145">
        <v>0.6</v>
      </c>
      <c r="AG720" s="145">
        <v>0.43</v>
      </c>
      <c r="AH720" s="145">
        <v>0.40899999999999997</v>
      </c>
      <c r="AI720" s="145">
        <v>333</v>
      </c>
      <c r="AJ720" s="145">
        <v>31.7</v>
      </c>
      <c r="AK720" s="145" t="s">
        <v>400</v>
      </c>
      <c r="AL720" s="145" t="s">
        <v>400</v>
      </c>
      <c r="AM720" s="145" t="s">
        <v>400</v>
      </c>
    </row>
    <row r="721" spans="1:39">
      <c r="A721" s="143" t="s">
        <v>1781</v>
      </c>
      <c r="B721" s="144">
        <v>100</v>
      </c>
      <c r="C721" s="145">
        <v>204</v>
      </c>
      <c r="D721" s="145">
        <v>30.67</v>
      </c>
      <c r="E721" s="145">
        <v>9</v>
      </c>
      <c r="F721" s="145">
        <v>3.415</v>
      </c>
      <c r="G721" s="145">
        <v>3.9180000000000001</v>
      </c>
      <c r="H721" s="145">
        <v>0.34699999999999998</v>
      </c>
      <c r="I721" s="145">
        <v>0.23799999999999999</v>
      </c>
      <c r="J721" s="145">
        <v>8.6999999999999994E-2</v>
      </c>
      <c r="K721" s="145">
        <v>58</v>
      </c>
      <c r="L721" s="145" t="s">
        <v>400</v>
      </c>
      <c r="M721" s="145" t="s">
        <v>400</v>
      </c>
      <c r="N721" s="145">
        <v>7</v>
      </c>
      <c r="O721" s="145">
        <v>20</v>
      </c>
      <c r="P721" s="145">
        <v>1.0999999999999999E-2</v>
      </c>
      <c r="Q721" s="145">
        <v>193</v>
      </c>
      <c r="R721" s="145">
        <v>2.5299999999999998</v>
      </c>
      <c r="S721" s="145">
        <v>41</v>
      </c>
      <c r="T721" s="145">
        <v>252</v>
      </c>
      <c r="U721" s="145">
        <v>7.3999999999999996E-2</v>
      </c>
      <c r="V721" s="145">
        <v>5.2</v>
      </c>
      <c r="W721" s="145" t="s">
        <v>400</v>
      </c>
      <c r="X721" s="145">
        <v>7.0000000000000007E-2</v>
      </c>
      <c r="Y721" s="145">
        <v>0.16300000000000001</v>
      </c>
      <c r="Z721" s="146">
        <v>0.40300000000000002</v>
      </c>
      <c r="AA721" s="145">
        <v>5.36</v>
      </c>
      <c r="AB721" s="145" t="s">
        <v>400</v>
      </c>
      <c r="AC721" s="145">
        <v>8.7270000000000003</v>
      </c>
      <c r="AD721" s="145">
        <v>1.71</v>
      </c>
      <c r="AE721" s="145">
        <v>10</v>
      </c>
      <c r="AF721" s="145">
        <v>0.6</v>
      </c>
      <c r="AG721" s="145">
        <v>0.43</v>
      </c>
      <c r="AH721" s="145">
        <v>0.40899999999999997</v>
      </c>
      <c r="AI721" s="145">
        <v>333</v>
      </c>
      <c r="AJ721" s="145">
        <v>31.7</v>
      </c>
      <c r="AK721" s="145" t="s">
        <v>400</v>
      </c>
      <c r="AL721" s="145" t="s">
        <v>400</v>
      </c>
      <c r="AM721" s="145" t="s">
        <v>400</v>
      </c>
    </row>
    <row r="722" spans="1:39">
      <c r="A722" s="143" t="s">
        <v>1782</v>
      </c>
      <c r="B722" s="144">
        <v>100</v>
      </c>
      <c r="C722" s="145">
        <v>204</v>
      </c>
      <c r="D722" s="145">
        <v>30.67</v>
      </c>
      <c r="E722" s="145">
        <v>9</v>
      </c>
      <c r="F722" s="145">
        <v>3.415</v>
      </c>
      <c r="G722" s="145">
        <v>3.9180000000000001</v>
      </c>
      <c r="H722" s="145">
        <v>0.34699999999999998</v>
      </c>
      <c r="I722" s="145">
        <v>0.23799999999999999</v>
      </c>
      <c r="J722" s="145">
        <v>8.6999999999999994E-2</v>
      </c>
      <c r="K722" s="145">
        <v>58</v>
      </c>
      <c r="L722" s="145" t="s">
        <v>400</v>
      </c>
      <c r="M722" s="145" t="s">
        <v>400</v>
      </c>
      <c r="N722" s="145">
        <v>7</v>
      </c>
      <c r="O722" s="145">
        <v>20</v>
      </c>
      <c r="P722" s="145">
        <v>1.0999999999999999E-2</v>
      </c>
      <c r="Q722" s="145">
        <v>193</v>
      </c>
      <c r="R722" s="145">
        <v>2.5299999999999998</v>
      </c>
      <c r="S722" s="145">
        <v>41</v>
      </c>
      <c r="T722" s="145">
        <v>252</v>
      </c>
      <c r="U722" s="145">
        <v>7.3999999999999996E-2</v>
      </c>
      <c r="V722" s="145">
        <v>5.2</v>
      </c>
      <c r="W722" s="145" t="s">
        <v>400</v>
      </c>
      <c r="X722" s="145">
        <v>7.0000000000000007E-2</v>
      </c>
      <c r="Y722" s="145">
        <v>0.16300000000000001</v>
      </c>
      <c r="Z722" s="146">
        <v>0.40300000000000002</v>
      </c>
      <c r="AA722" s="145">
        <v>5.36</v>
      </c>
      <c r="AB722" s="145" t="s">
        <v>400</v>
      </c>
      <c r="AC722" s="145">
        <v>8.7270000000000003</v>
      </c>
      <c r="AD722" s="145">
        <v>1.71</v>
      </c>
      <c r="AE722" s="145">
        <v>10</v>
      </c>
      <c r="AF722" s="145">
        <v>0.6</v>
      </c>
      <c r="AG722" s="145">
        <v>0.43</v>
      </c>
      <c r="AH722" s="145">
        <v>0.40899999999999997</v>
      </c>
      <c r="AI722" s="145">
        <v>333</v>
      </c>
      <c r="AJ722" s="145">
        <v>31.7</v>
      </c>
      <c r="AK722" s="145" t="s">
        <v>400</v>
      </c>
      <c r="AL722" s="145" t="s">
        <v>400</v>
      </c>
      <c r="AM722" s="145" t="s">
        <v>400</v>
      </c>
    </row>
    <row r="723" spans="1:39">
      <c r="A723" s="143" t="s">
        <v>1783</v>
      </c>
      <c r="B723" s="144">
        <v>100</v>
      </c>
      <c r="C723" s="145">
        <v>204</v>
      </c>
      <c r="D723" s="145">
        <v>30.67</v>
      </c>
      <c r="E723" s="145">
        <v>9</v>
      </c>
      <c r="F723" s="145">
        <v>3.415</v>
      </c>
      <c r="G723" s="145">
        <v>3.9180000000000001</v>
      </c>
      <c r="H723" s="145">
        <v>0.34699999999999998</v>
      </c>
      <c r="I723" s="145">
        <v>0.23799999999999999</v>
      </c>
      <c r="J723" s="145">
        <v>8.6999999999999994E-2</v>
      </c>
      <c r="K723" s="145">
        <v>58</v>
      </c>
      <c r="L723" s="145" t="s">
        <v>400</v>
      </c>
      <c r="M723" s="145" t="s">
        <v>400</v>
      </c>
      <c r="N723" s="145">
        <v>7</v>
      </c>
      <c r="O723" s="145">
        <v>20</v>
      </c>
      <c r="P723" s="145">
        <v>1.0999999999999999E-2</v>
      </c>
      <c r="Q723" s="145">
        <v>193</v>
      </c>
      <c r="R723" s="145">
        <v>2.5299999999999998</v>
      </c>
      <c r="S723" s="145">
        <v>41</v>
      </c>
      <c r="T723" s="145">
        <v>252</v>
      </c>
      <c r="U723" s="145">
        <v>7.3999999999999996E-2</v>
      </c>
      <c r="V723" s="145">
        <v>5.2</v>
      </c>
      <c r="W723" s="145" t="s">
        <v>400</v>
      </c>
      <c r="X723" s="145">
        <v>7.0000000000000007E-2</v>
      </c>
      <c r="Y723" s="145">
        <v>0.16300000000000001</v>
      </c>
      <c r="Z723" s="146">
        <v>0.40300000000000002</v>
      </c>
      <c r="AA723" s="145">
        <v>5.36</v>
      </c>
      <c r="AB723" s="145" t="s">
        <v>400</v>
      </c>
      <c r="AC723" s="145">
        <v>8.7270000000000003</v>
      </c>
      <c r="AD723" s="145">
        <v>1.71</v>
      </c>
      <c r="AE723" s="145">
        <v>10</v>
      </c>
      <c r="AF723" s="145">
        <v>0.6</v>
      </c>
      <c r="AG723" s="145">
        <v>0.43</v>
      </c>
      <c r="AH723" s="145">
        <v>0.40899999999999997</v>
      </c>
      <c r="AI723" s="145">
        <v>333</v>
      </c>
      <c r="AJ723" s="145">
        <v>31.7</v>
      </c>
      <c r="AK723" s="145" t="s">
        <v>400</v>
      </c>
      <c r="AL723" s="145" t="s">
        <v>400</v>
      </c>
      <c r="AM723" s="145" t="s">
        <v>400</v>
      </c>
    </row>
    <row r="724" spans="1:39">
      <c r="A724" s="143" t="s">
        <v>1784</v>
      </c>
      <c r="B724" s="144">
        <v>100</v>
      </c>
      <c r="C724" s="145">
        <v>253.56700000000001</v>
      </c>
      <c r="D724" s="145">
        <v>30.67</v>
      </c>
      <c r="E724" s="145">
        <v>14.606999999999999</v>
      </c>
      <c r="F724" s="145">
        <v>4.2930000000000001</v>
      </c>
      <c r="G724" s="145">
        <v>5.1950000000000003</v>
      </c>
      <c r="H724" s="145">
        <v>3.585</v>
      </c>
      <c r="I724" s="145">
        <v>3.0950000000000002</v>
      </c>
      <c r="J724" s="145">
        <v>0.46800000000000003</v>
      </c>
      <c r="K724" s="145">
        <v>58</v>
      </c>
      <c r="L724" s="145" t="s">
        <v>400</v>
      </c>
      <c r="M724" s="145" t="s">
        <v>400</v>
      </c>
      <c r="N724" s="145">
        <v>7</v>
      </c>
      <c r="O724" s="145">
        <v>20</v>
      </c>
      <c r="P724" s="145">
        <v>1.0999999999999999E-2</v>
      </c>
      <c r="Q724" s="145">
        <v>193</v>
      </c>
      <c r="R724" s="145">
        <v>2.5329999999999999</v>
      </c>
      <c r="S724" s="145">
        <v>41</v>
      </c>
      <c r="T724" s="145">
        <v>252</v>
      </c>
      <c r="U724" s="145">
        <v>7.3999999999999996E-2</v>
      </c>
      <c r="V724" s="145">
        <v>5.2009999999999996</v>
      </c>
      <c r="W724" s="145" t="s">
        <v>400</v>
      </c>
      <c r="X724" s="145">
        <v>7.0000000000000007E-2</v>
      </c>
      <c r="Y724" s="145">
        <v>0.16300000000000001</v>
      </c>
      <c r="Z724" s="146">
        <v>0.40300000000000002</v>
      </c>
      <c r="AA724" s="145">
        <v>5.36</v>
      </c>
      <c r="AB724" s="145" t="s">
        <v>400</v>
      </c>
      <c r="AC724" s="145">
        <v>8.7270000000000003</v>
      </c>
      <c r="AD724" s="145">
        <v>1.71</v>
      </c>
      <c r="AE724" s="145">
        <v>10</v>
      </c>
      <c r="AF724" s="145">
        <v>0.6</v>
      </c>
      <c r="AG724" s="145">
        <v>0.88900000000000001</v>
      </c>
      <c r="AH724" s="145">
        <v>0.439</v>
      </c>
      <c r="AI724" s="145">
        <v>333</v>
      </c>
      <c r="AJ724" s="145">
        <v>34.270000000000003</v>
      </c>
      <c r="AK724" s="145" t="s">
        <v>400</v>
      </c>
      <c r="AL724" s="145" t="s">
        <v>400</v>
      </c>
      <c r="AM724" s="145" t="s">
        <v>400</v>
      </c>
    </row>
    <row r="725" spans="1:39">
      <c r="A725" s="143" t="s">
        <v>1785</v>
      </c>
      <c r="B725" s="144">
        <v>100</v>
      </c>
      <c r="C725" s="145">
        <v>253.56700000000001</v>
      </c>
      <c r="D725" s="145">
        <v>30.67</v>
      </c>
      <c r="E725" s="145">
        <v>14.606999999999999</v>
      </c>
      <c r="F725" s="145">
        <v>4.2930000000000001</v>
      </c>
      <c r="G725" s="145">
        <v>5.1950000000000003</v>
      </c>
      <c r="H725" s="145">
        <v>3.585</v>
      </c>
      <c r="I725" s="145">
        <v>3.0950000000000002</v>
      </c>
      <c r="J725" s="145">
        <v>0.46800000000000003</v>
      </c>
      <c r="K725" s="145">
        <v>58</v>
      </c>
      <c r="L725" s="145" t="s">
        <v>400</v>
      </c>
      <c r="M725" s="145" t="s">
        <v>400</v>
      </c>
      <c r="N725" s="145">
        <v>7</v>
      </c>
      <c r="O725" s="145">
        <v>20</v>
      </c>
      <c r="P725" s="145">
        <v>1.0999999999999999E-2</v>
      </c>
      <c r="Q725" s="145">
        <v>193</v>
      </c>
      <c r="R725" s="145">
        <v>2.5329999999999999</v>
      </c>
      <c r="S725" s="145">
        <v>41</v>
      </c>
      <c r="T725" s="145">
        <v>252</v>
      </c>
      <c r="U725" s="145">
        <v>7.3999999999999996E-2</v>
      </c>
      <c r="V725" s="145">
        <v>5.2009999999999996</v>
      </c>
      <c r="W725" s="145" t="s">
        <v>400</v>
      </c>
      <c r="X725" s="145">
        <v>7.0000000000000007E-2</v>
      </c>
      <c r="Y725" s="145">
        <v>0.16300000000000001</v>
      </c>
      <c r="Z725" s="146">
        <v>0.40300000000000002</v>
      </c>
      <c r="AA725" s="145">
        <v>5.36</v>
      </c>
      <c r="AB725" s="145" t="s">
        <v>400</v>
      </c>
      <c r="AC725" s="145">
        <v>8.7270000000000003</v>
      </c>
      <c r="AD725" s="145">
        <v>1.71</v>
      </c>
      <c r="AE725" s="145">
        <v>10</v>
      </c>
      <c r="AF725" s="145">
        <v>0.6</v>
      </c>
      <c r="AG725" s="145">
        <v>0.88900000000000001</v>
      </c>
      <c r="AH725" s="145">
        <v>0.439</v>
      </c>
      <c r="AI725" s="145">
        <v>333</v>
      </c>
      <c r="AJ725" s="145">
        <v>34.270000000000003</v>
      </c>
      <c r="AK725" s="145" t="s">
        <v>400</v>
      </c>
      <c r="AL725" s="145" t="s">
        <v>400</v>
      </c>
      <c r="AM725" s="145" t="s">
        <v>400</v>
      </c>
    </row>
    <row r="726" spans="1:39">
      <c r="A726" s="143" t="s">
        <v>1786</v>
      </c>
      <c r="B726" s="144">
        <v>100</v>
      </c>
      <c r="C726" s="145">
        <v>253.56700000000001</v>
      </c>
      <c r="D726" s="145">
        <v>30.67</v>
      </c>
      <c r="E726" s="145">
        <v>14.606999999999999</v>
      </c>
      <c r="F726" s="145">
        <v>4.2930000000000001</v>
      </c>
      <c r="G726" s="145">
        <v>5.1950000000000003</v>
      </c>
      <c r="H726" s="145">
        <v>3.585</v>
      </c>
      <c r="I726" s="145">
        <v>3.0950000000000002</v>
      </c>
      <c r="J726" s="145">
        <v>0.46800000000000003</v>
      </c>
      <c r="K726" s="145">
        <v>58</v>
      </c>
      <c r="L726" s="145" t="s">
        <v>400</v>
      </c>
      <c r="M726" s="145" t="s">
        <v>400</v>
      </c>
      <c r="N726" s="145">
        <v>7</v>
      </c>
      <c r="O726" s="145">
        <v>20</v>
      </c>
      <c r="P726" s="145">
        <v>1.0999999999999999E-2</v>
      </c>
      <c r="Q726" s="145">
        <v>193</v>
      </c>
      <c r="R726" s="145">
        <v>2.5329999999999999</v>
      </c>
      <c r="S726" s="145">
        <v>41</v>
      </c>
      <c r="T726" s="145">
        <v>252</v>
      </c>
      <c r="U726" s="145">
        <v>7.3999999999999996E-2</v>
      </c>
      <c r="V726" s="145">
        <v>5.2009999999999996</v>
      </c>
      <c r="W726" s="145" t="s">
        <v>400</v>
      </c>
      <c r="X726" s="145">
        <v>7.0000000000000007E-2</v>
      </c>
      <c r="Y726" s="145">
        <v>0.16300000000000001</v>
      </c>
      <c r="Z726" s="146">
        <v>0.40300000000000002</v>
      </c>
      <c r="AA726" s="145">
        <v>5.36</v>
      </c>
      <c r="AB726" s="145" t="s">
        <v>400</v>
      </c>
      <c r="AC726" s="145">
        <v>8.7270000000000003</v>
      </c>
      <c r="AD726" s="145">
        <v>1.71</v>
      </c>
      <c r="AE726" s="145">
        <v>10</v>
      </c>
      <c r="AF726" s="145">
        <v>0.6</v>
      </c>
      <c r="AG726" s="145">
        <v>0.88900000000000001</v>
      </c>
      <c r="AH726" s="145">
        <v>0.439</v>
      </c>
      <c r="AI726" s="145">
        <v>333</v>
      </c>
      <c r="AJ726" s="145">
        <v>34.270000000000003</v>
      </c>
      <c r="AK726" s="145" t="s">
        <v>400</v>
      </c>
      <c r="AL726" s="145" t="s">
        <v>400</v>
      </c>
      <c r="AM726" s="145" t="s">
        <v>400</v>
      </c>
    </row>
    <row r="727" spans="1:39">
      <c r="A727" s="143" t="s">
        <v>1787</v>
      </c>
      <c r="B727" s="144">
        <v>100</v>
      </c>
      <c r="C727" s="145">
        <v>168</v>
      </c>
      <c r="D727" s="145">
        <v>24.8</v>
      </c>
      <c r="E727" s="145">
        <v>7.2359999999999998</v>
      </c>
      <c r="F727" s="145">
        <v>2.7370000000000001</v>
      </c>
      <c r="G727" s="145">
        <v>3.14</v>
      </c>
      <c r="H727" s="145">
        <v>0.29199999999999998</v>
      </c>
      <c r="I727" s="145">
        <v>0.20399999999999999</v>
      </c>
      <c r="J727" s="145">
        <v>7.0000000000000007E-2</v>
      </c>
      <c r="K727" s="145">
        <v>46.4</v>
      </c>
      <c r="L727" s="145">
        <v>1.0760000000000001</v>
      </c>
      <c r="M727" s="145">
        <v>0.3</v>
      </c>
      <c r="N727" s="145">
        <v>8.1999999999999993</v>
      </c>
      <c r="O727" s="145">
        <v>19.2</v>
      </c>
      <c r="P727" s="145">
        <v>0.03</v>
      </c>
      <c r="Q727" s="145">
        <v>159.6</v>
      </c>
      <c r="R727" s="145">
        <v>2.2280000000000002</v>
      </c>
      <c r="S727" s="145">
        <v>137.6</v>
      </c>
      <c r="T727" s="145">
        <v>267.8</v>
      </c>
      <c r="U727" s="145">
        <v>8.3000000000000004E-2</v>
      </c>
      <c r="V727" s="145">
        <v>4.2</v>
      </c>
      <c r="W727" s="145" t="s">
        <v>400</v>
      </c>
      <c r="X727" s="145">
        <v>6.0999999999999999E-2</v>
      </c>
      <c r="Y727" s="145">
        <v>0.14399999999999999</v>
      </c>
      <c r="Z727" s="146">
        <v>0.34200000000000003</v>
      </c>
      <c r="AA727" s="145">
        <v>4.4829999999999997</v>
      </c>
      <c r="AB727" s="145">
        <v>1.4</v>
      </c>
      <c r="AC727" s="145">
        <v>7.21</v>
      </c>
      <c r="AD727" s="145">
        <v>1.3680000000000001</v>
      </c>
      <c r="AE727" s="145">
        <v>10.199999999999999</v>
      </c>
      <c r="AF727" s="145">
        <v>0.48</v>
      </c>
      <c r="AG727" s="145">
        <v>0.628</v>
      </c>
      <c r="AH727" s="145">
        <v>0.32700000000000001</v>
      </c>
      <c r="AI727" s="145">
        <v>333</v>
      </c>
      <c r="AJ727" s="145">
        <v>25.4</v>
      </c>
      <c r="AK727" s="145">
        <v>3.4830000000000001</v>
      </c>
      <c r="AL727" s="145">
        <v>0.85</v>
      </c>
      <c r="AM727" s="145" t="s">
        <v>400</v>
      </c>
    </row>
    <row r="728" spans="1:39">
      <c r="A728" s="143" t="s">
        <v>1788</v>
      </c>
      <c r="B728" s="144">
        <v>100</v>
      </c>
      <c r="C728" s="145">
        <v>204</v>
      </c>
      <c r="D728" s="145">
        <v>30.67</v>
      </c>
      <c r="E728" s="145">
        <v>9</v>
      </c>
      <c r="F728" s="145">
        <v>3.415</v>
      </c>
      <c r="G728" s="145">
        <v>3.9180000000000001</v>
      </c>
      <c r="H728" s="145">
        <v>0.34699999999999998</v>
      </c>
      <c r="I728" s="145">
        <v>0.23799999999999999</v>
      </c>
      <c r="J728" s="145">
        <v>8.6999999999999994E-2</v>
      </c>
      <c r="K728" s="145">
        <v>58</v>
      </c>
      <c r="L728" s="145" t="s">
        <v>400</v>
      </c>
      <c r="M728" s="145" t="s">
        <v>400</v>
      </c>
      <c r="N728" s="145">
        <v>7</v>
      </c>
      <c r="O728" s="145">
        <v>20</v>
      </c>
      <c r="P728" s="145">
        <v>1.0999999999999999E-2</v>
      </c>
      <c r="Q728" s="145">
        <v>193</v>
      </c>
      <c r="R728" s="145">
        <v>2.5299999999999998</v>
      </c>
      <c r="S728" s="145">
        <v>41</v>
      </c>
      <c r="T728" s="145">
        <v>252</v>
      </c>
      <c r="U728" s="145">
        <v>7.3999999999999996E-2</v>
      </c>
      <c r="V728" s="145">
        <v>5.2</v>
      </c>
      <c r="W728" s="145" t="s">
        <v>400</v>
      </c>
      <c r="X728" s="145">
        <v>7.0000000000000007E-2</v>
      </c>
      <c r="Y728" s="145">
        <v>0.16300000000000001</v>
      </c>
      <c r="Z728" s="146">
        <v>0.40300000000000002</v>
      </c>
      <c r="AA728" s="145">
        <v>5.36</v>
      </c>
      <c r="AB728" s="145" t="s">
        <v>400</v>
      </c>
      <c r="AC728" s="145">
        <v>8.7270000000000003</v>
      </c>
      <c r="AD728" s="145">
        <v>1.71</v>
      </c>
      <c r="AE728" s="145">
        <v>10</v>
      </c>
      <c r="AF728" s="145">
        <v>0.6</v>
      </c>
      <c r="AG728" s="145">
        <v>0.43</v>
      </c>
      <c r="AH728" s="145">
        <v>0.40899999999999997</v>
      </c>
      <c r="AI728" s="145">
        <v>333</v>
      </c>
      <c r="AJ728" s="145">
        <v>31.7</v>
      </c>
      <c r="AK728" s="145" t="s">
        <v>400</v>
      </c>
      <c r="AL728" s="145" t="s">
        <v>400</v>
      </c>
      <c r="AM728" s="145" t="s">
        <v>400</v>
      </c>
    </row>
    <row r="729" spans="1:39">
      <c r="A729" s="143" t="s">
        <v>1789</v>
      </c>
      <c r="B729" s="144">
        <v>100</v>
      </c>
      <c r="C729" s="145">
        <v>253.56700000000001</v>
      </c>
      <c r="D729" s="145">
        <v>30.67</v>
      </c>
      <c r="E729" s="145">
        <v>14.606999999999999</v>
      </c>
      <c r="F729" s="145">
        <v>4.2930000000000001</v>
      </c>
      <c r="G729" s="145">
        <v>5.1950000000000003</v>
      </c>
      <c r="H729" s="145">
        <v>3.585</v>
      </c>
      <c r="I729" s="145">
        <v>3.0950000000000002</v>
      </c>
      <c r="J729" s="145">
        <v>0.46800000000000003</v>
      </c>
      <c r="K729" s="145">
        <v>58</v>
      </c>
      <c r="L729" s="145" t="s">
        <v>400</v>
      </c>
      <c r="M729" s="145" t="s">
        <v>400</v>
      </c>
      <c r="N729" s="145">
        <v>7</v>
      </c>
      <c r="O729" s="145">
        <v>20</v>
      </c>
      <c r="P729" s="145">
        <v>1.0999999999999999E-2</v>
      </c>
      <c r="Q729" s="145">
        <v>193</v>
      </c>
      <c r="R729" s="145">
        <v>2.5329999999999999</v>
      </c>
      <c r="S729" s="145">
        <v>41</v>
      </c>
      <c r="T729" s="145">
        <v>252</v>
      </c>
      <c r="U729" s="145">
        <v>7.3999999999999996E-2</v>
      </c>
      <c r="V729" s="145">
        <v>5.2009999999999996</v>
      </c>
      <c r="W729" s="145" t="s">
        <v>400</v>
      </c>
      <c r="X729" s="145">
        <v>7.0000000000000007E-2</v>
      </c>
      <c r="Y729" s="145">
        <v>0.16300000000000001</v>
      </c>
      <c r="Z729" s="146">
        <v>0.40300000000000002</v>
      </c>
      <c r="AA729" s="145">
        <v>5.36</v>
      </c>
      <c r="AB729" s="145" t="s">
        <v>400</v>
      </c>
      <c r="AC729" s="145">
        <v>8.7270000000000003</v>
      </c>
      <c r="AD729" s="145">
        <v>1.71</v>
      </c>
      <c r="AE729" s="145">
        <v>10</v>
      </c>
      <c r="AF729" s="145">
        <v>0.6</v>
      </c>
      <c r="AG729" s="145">
        <v>0.88900000000000001</v>
      </c>
      <c r="AH729" s="145">
        <v>0.439</v>
      </c>
      <c r="AI729" s="145">
        <v>333</v>
      </c>
      <c r="AJ729" s="145">
        <v>34.270000000000003</v>
      </c>
      <c r="AK729" s="145" t="s">
        <v>400</v>
      </c>
      <c r="AL729" s="145" t="s">
        <v>400</v>
      </c>
      <c r="AM729" s="145" t="s">
        <v>400</v>
      </c>
    </row>
    <row r="730" spans="1:39">
      <c r="A730" s="143" t="s">
        <v>1790</v>
      </c>
      <c r="B730" s="144">
        <v>100</v>
      </c>
      <c r="C730" s="145">
        <v>199</v>
      </c>
      <c r="D730" s="145">
        <v>36.119999999999997</v>
      </c>
      <c r="E730" s="145">
        <v>5</v>
      </c>
      <c r="F730" s="145">
        <v>1.72</v>
      </c>
      <c r="G730" s="145">
        <v>2</v>
      </c>
      <c r="H730" s="145">
        <v>0.22</v>
      </c>
      <c r="I730" s="145">
        <v>0.17</v>
      </c>
      <c r="J730" s="145">
        <v>0.02</v>
      </c>
      <c r="K730" s="145">
        <v>90</v>
      </c>
      <c r="L730" s="145" t="s">
        <v>400</v>
      </c>
      <c r="M730" s="145" t="s">
        <v>400</v>
      </c>
      <c r="N730" s="145">
        <v>4</v>
      </c>
      <c r="O730" s="145">
        <v>26</v>
      </c>
      <c r="P730" s="145">
        <v>1.7999999999999999E-2</v>
      </c>
      <c r="Q730" s="145">
        <v>226</v>
      </c>
      <c r="R730" s="145">
        <v>3.32</v>
      </c>
      <c r="S730" s="145">
        <v>45</v>
      </c>
      <c r="T730" s="145">
        <v>334</v>
      </c>
      <c r="U730" s="145">
        <v>0.124</v>
      </c>
      <c r="V730" s="145">
        <v>4.5599999999999996</v>
      </c>
      <c r="W730" s="145" t="s">
        <v>400</v>
      </c>
      <c r="X730" s="145">
        <v>7.0000000000000007E-2</v>
      </c>
      <c r="Y730" s="145">
        <v>0.25</v>
      </c>
      <c r="Z730" s="146">
        <v>0.28000000000000003</v>
      </c>
      <c r="AA730" s="145">
        <v>3.81</v>
      </c>
      <c r="AB730" s="145" t="s">
        <v>400</v>
      </c>
      <c r="AC730" s="145">
        <v>7.76</v>
      </c>
      <c r="AD730" s="145">
        <v>2.7</v>
      </c>
      <c r="AE730" s="145">
        <v>9</v>
      </c>
      <c r="AF730" s="145">
        <v>0.7</v>
      </c>
      <c r="AG730" s="145">
        <v>0.14000000000000001</v>
      </c>
      <c r="AH730" s="145">
        <v>0.22700000000000001</v>
      </c>
      <c r="AI730" s="145">
        <v>333</v>
      </c>
      <c r="AJ730" s="145">
        <v>33</v>
      </c>
      <c r="AK730" s="145" t="s">
        <v>400</v>
      </c>
      <c r="AL730" s="145" t="s">
        <v>400</v>
      </c>
      <c r="AM730" s="145" t="s">
        <v>400</v>
      </c>
    </row>
    <row r="731" spans="1:39">
      <c r="A731" s="143" t="s">
        <v>1791</v>
      </c>
      <c r="B731" s="144">
        <v>100</v>
      </c>
      <c r="C731" s="145">
        <v>199</v>
      </c>
      <c r="D731" s="145">
        <v>36.119999999999997</v>
      </c>
      <c r="E731" s="145">
        <v>5</v>
      </c>
      <c r="F731" s="145">
        <v>1.72</v>
      </c>
      <c r="G731" s="145">
        <v>2</v>
      </c>
      <c r="H731" s="145">
        <v>0.22</v>
      </c>
      <c r="I731" s="145">
        <v>0.17</v>
      </c>
      <c r="J731" s="145">
        <v>0.02</v>
      </c>
      <c r="K731" s="145">
        <v>90</v>
      </c>
      <c r="L731" s="145" t="s">
        <v>400</v>
      </c>
      <c r="M731" s="145" t="s">
        <v>400</v>
      </c>
      <c r="N731" s="145">
        <v>4</v>
      </c>
      <c r="O731" s="145">
        <v>26</v>
      </c>
      <c r="P731" s="145">
        <v>1.7999999999999999E-2</v>
      </c>
      <c r="Q731" s="145">
        <v>226</v>
      </c>
      <c r="R731" s="145">
        <v>3.32</v>
      </c>
      <c r="S731" s="145">
        <v>45</v>
      </c>
      <c r="T731" s="145">
        <v>334</v>
      </c>
      <c r="U731" s="145">
        <v>0.124</v>
      </c>
      <c r="V731" s="145">
        <v>4.5599999999999996</v>
      </c>
      <c r="W731" s="145" t="s">
        <v>400</v>
      </c>
      <c r="X731" s="145">
        <v>7.0000000000000007E-2</v>
      </c>
      <c r="Y731" s="145">
        <v>0.25</v>
      </c>
      <c r="Z731" s="146">
        <v>0.28000000000000003</v>
      </c>
      <c r="AA731" s="145">
        <v>3.81</v>
      </c>
      <c r="AB731" s="145" t="s">
        <v>400</v>
      </c>
      <c r="AC731" s="145">
        <v>7.76</v>
      </c>
      <c r="AD731" s="145">
        <v>2.7</v>
      </c>
      <c r="AE731" s="145">
        <v>9</v>
      </c>
      <c r="AF731" s="145">
        <v>0.7</v>
      </c>
      <c r="AG731" s="145">
        <v>0.14000000000000001</v>
      </c>
      <c r="AH731" s="145">
        <v>0.22700000000000001</v>
      </c>
      <c r="AI731" s="145">
        <v>333</v>
      </c>
      <c r="AJ731" s="145">
        <v>33</v>
      </c>
      <c r="AK731" s="145" t="s">
        <v>400</v>
      </c>
      <c r="AL731" s="145" t="s">
        <v>400</v>
      </c>
      <c r="AM731" s="145" t="s">
        <v>400</v>
      </c>
    </row>
    <row r="732" spans="1:39">
      <c r="A732" s="143" t="s">
        <v>1792</v>
      </c>
      <c r="B732" s="144">
        <v>100</v>
      </c>
      <c r="C732" s="145">
        <v>248.56700000000001</v>
      </c>
      <c r="D732" s="145">
        <v>36.119999999999997</v>
      </c>
      <c r="E732" s="145">
        <v>10.606999999999999</v>
      </c>
      <c r="F732" s="145">
        <v>2.5979999999999999</v>
      </c>
      <c r="G732" s="145">
        <v>3.2770000000000001</v>
      </c>
      <c r="H732" s="145">
        <v>3.4580000000000002</v>
      </c>
      <c r="I732" s="145">
        <v>3.0270000000000001</v>
      </c>
      <c r="J732" s="145">
        <v>0.40100000000000002</v>
      </c>
      <c r="K732" s="145">
        <v>90</v>
      </c>
      <c r="L732" s="145" t="s">
        <v>400</v>
      </c>
      <c r="M732" s="145" t="s">
        <v>400</v>
      </c>
      <c r="N732" s="145">
        <v>4</v>
      </c>
      <c r="O732" s="145">
        <v>26</v>
      </c>
      <c r="P732" s="145">
        <v>1.7999999999999999E-2</v>
      </c>
      <c r="Q732" s="145">
        <v>226</v>
      </c>
      <c r="R732" s="145">
        <v>3.323</v>
      </c>
      <c r="S732" s="145">
        <v>45</v>
      </c>
      <c r="T732" s="145">
        <v>334</v>
      </c>
      <c r="U732" s="145">
        <v>0.124</v>
      </c>
      <c r="V732" s="145">
        <v>4.5609999999999999</v>
      </c>
      <c r="W732" s="145" t="s">
        <v>400</v>
      </c>
      <c r="X732" s="145">
        <v>7.0000000000000007E-2</v>
      </c>
      <c r="Y732" s="145">
        <v>0.25</v>
      </c>
      <c r="Z732" s="146">
        <v>0.28000000000000003</v>
      </c>
      <c r="AA732" s="145">
        <v>3.81</v>
      </c>
      <c r="AB732" s="145" t="s">
        <v>400</v>
      </c>
      <c r="AC732" s="145">
        <v>7.76</v>
      </c>
      <c r="AD732" s="145">
        <v>2.7</v>
      </c>
      <c r="AE732" s="145">
        <v>9</v>
      </c>
      <c r="AF732" s="145">
        <v>0.7</v>
      </c>
      <c r="AG732" s="145">
        <v>0.59899999999999998</v>
      </c>
      <c r="AH732" s="145">
        <v>0.25700000000000001</v>
      </c>
      <c r="AI732" s="145">
        <v>333</v>
      </c>
      <c r="AJ732" s="145">
        <v>35.57</v>
      </c>
      <c r="AK732" s="145" t="s">
        <v>400</v>
      </c>
      <c r="AL732" s="145" t="s">
        <v>400</v>
      </c>
      <c r="AM732" s="145" t="s">
        <v>400</v>
      </c>
    </row>
    <row r="733" spans="1:39">
      <c r="A733" s="143" t="s">
        <v>1793</v>
      </c>
      <c r="B733" s="144">
        <v>100</v>
      </c>
      <c r="C733" s="145">
        <v>164</v>
      </c>
      <c r="D733" s="145">
        <v>29.16</v>
      </c>
      <c r="E733" s="145">
        <v>4.0359999999999996</v>
      </c>
      <c r="F733" s="145">
        <v>1.381</v>
      </c>
      <c r="G733" s="145">
        <v>1.605</v>
      </c>
      <c r="H733" s="145">
        <v>0.191</v>
      </c>
      <c r="I733" s="145">
        <v>0.15</v>
      </c>
      <c r="J733" s="145">
        <v>1.7000000000000001E-2</v>
      </c>
      <c r="K733" s="145">
        <v>72</v>
      </c>
      <c r="L733" s="145">
        <v>1.0760000000000001</v>
      </c>
      <c r="M733" s="145">
        <v>0.3</v>
      </c>
      <c r="N733" s="145">
        <v>5.8</v>
      </c>
      <c r="O733" s="145">
        <v>24</v>
      </c>
      <c r="P733" s="145">
        <v>3.5999999999999997E-2</v>
      </c>
      <c r="Q733" s="145">
        <v>186</v>
      </c>
      <c r="R733" s="145">
        <v>2.86</v>
      </c>
      <c r="S733" s="145">
        <v>140.80000000000001</v>
      </c>
      <c r="T733" s="145">
        <v>333.4</v>
      </c>
      <c r="U733" s="145">
        <v>0.123</v>
      </c>
      <c r="V733" s="145">
        <v>3.6880000000000002</v>
      </c>
      <c r="W733" s="145" t="s">
        <v>400</v>
      </c>
      <c r="X733" s="145">
        <v>6.0999999999999999E-2</v>
      </c>
      <c r="Y733" s="145">
        <v>0.21299999999999999</v>
      </c>
      <c r="Z733" s="146">
        <v>0.24299999999999999</v>
      </c>
      <c r="AA733" s="145">
        <v>3.2429999999999999</v>
      </c>
      <c r="AB733" s="145">
        <v>1.4</v>
      </c>
      <c r="AC733" s="145">
        <v>6.4359999999999999</v>
      </c>
      <c r="AD733" s="145">
        <v>2.16</v>
      </c>
      <c r="AE733" s="145">
        <v>9.4</v>
      </c>
      <c r="AF733" s="145">
        <v>0.56000000000000005</v>
      </c>
      <c r="AG733" s="145">
        <v>0.39600000000000002</v>
      </c>
      <c r="AH733" s="145">
        <v>0.182</v>
      </c>
      <c r="AI733" s="145">
        <v>333</v>
      </c>
      <c r="AJ733" s="145">
        <v>26.44</v>
      </c>
      <c r="AK733" s="145">
        <v>3.4830000000000001</v>
      </c>
      <c r="AL733" s="145">
        <v>0.85</v>
      </c>
      <c r="AM733" s="145" t="s">
        <v>400</v>
      </c>
    </row>
    <row r="734" spans="1:39">
      <c r="A734" s="143" t="s">
        <v>1794</v>
      </c>
      <c r="B734" s="144">
        <v>100</v>
      </c>
      <c r="C734" s="145">
        <v>204</v>
      </c>
      <c r="D734" s="145">
        <v>30.67</v>
      </c>
      <c r="E734" s="145">
        <v>9</v>
      </c>
      <c r="F734" s="145">
        <v>3.415</v>
      </c>
      <c r="G734" s="145">
        <v>3.9180000000000001</v>
      </c>
      <c r="H734" s="145">
        <v>0.34699999999999998</v>
      </c>
      <c r="I734" s="145">
        <v>0.23799999999999999</v>
      </c>
      <c r="J734" s="145">
        <v>8.6999999999999994E-2</v>
      </c>
      <c r="K734" s="145">
        <v>58</v>
      </c>
      <c r="L734" s="145" t="s">
        <v>400</v>
      </c>
      <c r="M734" s="145" t="s">
        <v>400</v>
      </c>
      <c r="N734" s="145">
        <v>7</v>
      </c>
      <c r="O734" s="145">
        <v>20</v>
      </c>
      <c r="P734" s="145">
        <v>1.0999999999999999E-2</v>
      </c>
      <c r="Q734" s="145">
        <v>193</v>
      </c>
      <c r="R734" s="145">
        <v>2.5299999999999998</v>
      </c>
      <c r="S734" s="145">
        <v>41</v>
      </c>
      <c r="T734" s="145">
        <v>252</v>
      </c>
      <c r="U734" s="145">
        <v>7.3999999999999996E-2</v>
      </c>
      <c r="V734" s="145">
        <v>5.2</v>
      </c>
      <c r="W734" s="145" t="s">
        <v>400</v>
      </c>
      <c r="X734" s="145">
        <v>7.0000000000000007E-2</v>
      </c>
      <c r="Y734" s="145">
        <v>0.16300000000000001</v>
      </c>
      <c r="Z734" s="146">
        <v>0.40300000000000002</v>
      </c>
      <c r="AA734" s="145">
        <v>5.36</v>
      </c>
      <c r="AB734" s="145" t="s">
        <v>400</v>
      </c>
      <c r="AC734" s="145">
        <v>8.7270000000000003</v>
      </c>
      <c r="AD734" s="145">
        <v>1.71</v>
      </c>
      <c r="AE734" s="145">
        <v>10</v>
      </c>
      <c r="AF734" s="145">
        <v>0.6</v>
      </c>
      <c r="AG734" s="145">
        <v>0.43</v>
      </c>
      <c r="AH734" s="145">
        <v>0.40899999999999997</v>
      </c>
      <c r="AI734" s="145">
        <v>333</v>
      </c>
      <c r="AJ734" s="145">
        <v>31.7</v>
      </c>
      <c r="AK734" s="145" t="s">
        <v>400</v>
      </c>
      <c r="AL734" s="145" t="s">
        <v>400</v>
      </c>
      <c r="AM734" s="145" t="s">
        <v>400</v>
      </c>
    </row>
    <row r="735" spans="1:39">
      <c r="A735" s="143" t="s">
        <v>1795</v>
      </c>
      <c r="B735" s="144">
        <v>100</v>
      </c>
      <c r="C735" s="145">
        <v>204</v>
      </c>
      <c r="D735" s="145">
        <v>30.67</v>
      </c>
      <c r="E735" s="145">
        <v>9</v>
      </c>
      <c r="F735" s="145">
        <v>3.415</v>
      </c>
      <c r="G735" s="145">
        <v>3.9180000000000001</v>
      </c>
      <c r="H735" s="145">
        <v>0.34699999999999998</v>
      </c>
      <c r="I735" s="145">
        <v>0.23799999999999999</v>
      </c>
      <c r="J735" s="145">
        <v>8.6999999999999994E-2</v>
      </c>
      <c r="K735" s="145">
        <v>58</v>
      </c>
      <c r="L735" s="145" t="s">
        <v>400</v>
      </c>
      <c r="M735" s="145" t="s">
        <v>400</v>
      </c>
      <c r="N735" s="145">
        <v>7</v>
      </c>
      <c r="O735" s="145">
        <v>20</v>
      </c>
      <c r="P735" s="145">
        <v>1.0999999999999999E-2</v>
      </c>
      <c r="Q735" s="145">
        <v>193</v>
      </c>
      <c r="R735" s="145">
        <v>2.5299999999999998</v>
      </c>
      <c r="S735" s="145">
        <v>41</v>
      </c>
      <c r="T735" s="145">
        <v>252</v>
      </c>
      <c r="U735" s="145">
        <v>7.3999999999999996E-2</v>
      </c>
      <c r="V735" s="145">
        <v>5.2</v>
      </c>
      <c r="W735" s="145" t="s">
        <v>400</v>
      </c>
      <c r="X735" s="145">
        <v>7.0000000000000007E-2</v>
      </c>
      <c r="Y735" s="145">
        <v>0.16300000000000001</v>
      </c>
      <c r="Z735" s="146">
        <v>0.40300000000000002</v>
      </c>
      <c r="AA735" s="145">
        <v>5.36</v>
      </c>
      <c r="AB735" s="145" t="s">
        <v>400</v>
      </c>
      <c r="AC735" s="145">
        <v>8.7270000000000003</v>
      </c>
      <c r="AD735" s="145">
        <v>1.71</v>
      </c>
      <c r="AE735" s="145">
        <v>10</v>
      </c>
      <c r="AF735" s="145">
        <v>0.6</v>
      </c>
      <c r="AG735" s="145">
        <v>0.43</v>
      </c>
      <c r="AH735" s="145">
        <v>0.40899999999999997</v>
      </c>
      <c r="AI735" s="145">
        <v>333</v>
      </c>
      <c r="AJ735" s="145">
        <v>31.7</v>
      </c>
      <c r="AK735" s="145" t="s">
        <v>400</v>
      </c>
      <c r="AL735" s="145" t="s">
        <v>400</v>
      </c>
      <c r="AM735" s="145" t="s">
        <v>400</v>
      </c>
    </row>
    <row r="736" spans="1:39">
      <c r="A736" s="143" t="s">
        <v>1796</v>
      </c>
      <c r="B736" s="144">
        <v>100</v>
      </c>
      <c r="C736" s="145">
        <v>204</v>
      </c>
      <c r="D736" s="145">
        <v>30.67</v>
      </c>
      <c r="E736" s="145">
        <v>9</v>
      </c>
      <c r="F736" s="145">
        <v>3.415</v>
      </c>
      <c r="G736" s="145">
        <v>3.9180000000000001</v>
      </c>
      <c r="H736" s="145">
        <v>0.34699999999999998</v>
      </c>
      <c r="I736" s="145">
        <v>0.23799999999999999</v>
      </c>
      <c r="J736" s="145">
        <v>8.6999999999999994E-2</v>
      </c>
      <c r="K736" s="145">
        <v>58</v>
      </c>
      <c r="L736" s="145" t="s">
        <v>400</v>
      </c>
      <c r="M736" s="145" t="s">
        <v>400</v>
      </c>
      <c r="N736" s="145">
        <v>7</v>
      </c>
      <c r="O736" s="145">
        <v>20</v>
      </c>
      <c r="P736" s="145">
        <v>1.0999999999999999E-2</v>
      </c>
      <c r="Q736" s="145">
        <v>193</v>
      </c>
      <c r="R736" s="145">
        <v>2.5299999999999998</v>
      </c>
      <c r="S736" s="145">
        <v>41</v>
      </c>
      <c r="T736" s="145">
        <v>252</v>
      </c>
      <c r="U736" s="145">
        <v>7.3999999999999996E-2</v>
      </c>
      <c r="V736" s="145">
        <v>5.2</v>
      </c>
      <c r="W736" s="145" t="s">
        <v>400</v>
      </c>
      <c r="X736" s="145">
        <v>7.0000000000000007E-2</v>
      </c>
      <c r="Y736" s="145">
        <v>0.16300000000000001</v>
      </c>
      <c r="Z736" s="146">
        <v>0.40300000000000002</v>
      </c>
      <c r="AA736" s="145">
        <v>5.36</v>
      </c>
      <c r="AB736" s="145" t="s">
        <v>400</v>
      </c>
      <c r="AC736" s="145">
        <v>8.7270000000000003</v>
      </c>
      <c r="AD736" s="145">
        <v>1.71</v>
      </c>
      <c r="AE736" s="145">
        <v>10</v>
      </c>
      <c r="AF736" s="145">
        <v>0.6</v>
      </c>
      <c r="AG736" s="145">
        <v>0.43</v>
      </c>
      <c r="AH736" s="145">
        <v>0.40899999999999997</v>
      </c>
      <c r="AI736" s="145">
        <v>333</v>
      </c>
      <c r="AJ736" s="145">
        <v>31.7</v>
      </c>
      <c r="AK736" s="145" t="s">
        <v>400</v>
      </c>
      <c r="AL736" s="145" t="s">
        <v>400</v>
      </c>
      <c r="AM736" s="145" t="s">
        <v>400</v>
      </c>
    </row>
    <row r="737" spans="1:39">
      <c r="A737" s="143" t="s">
        <v>1797</v>
      </c>
      <c r="B737" s="144">
        <v>100</v>
      </c>
      <c r="C737" s="145">
        <v>253.56700000000001</v>
      </c>
      <c r="D737" s="145">
        <v>30.67</v>
      </c>
      <c r="E737" s="145">
        <v>14.606999999999999</v>
      </c>
      <c r="F737" s="145">
        <v>4.2930000000000001</v>
      </c>
      <c r="G737" s="145">
        <v>5.1950000000000003</v>
      </c>
      <c r="H737" s="145">
        <v>3.585</v>
      </c>
      <c r="I737" s="145">
        <v>3.0950000000000002</v>
      </c>
      <c r="J737" s="145">
        <v>0.46800000000000003</v>
      </c>
      <c r="K737" s="145">
        <v>58</v>
      </c>
      <c r="L737" s="145" t="s">
        <v>400</v>
      </c>
      <c r="M737" s="145" t="s">
        <v>400</v>
      </c>
      <c r="N737" s="145">
        <v>7</v>
      </c>
      <c r="O737" s="145">
        <v>20</v>
      </c>
      <c r="P737" s="145">
        <v>1.0999999999999999E-2</v>
      </c>
      <c r="Q737" s="145">
        <v>193</v>
      </c>
      <c r="R737" s="145">
        <v>2.5329999999999999</v>
      </c>
      <c r="S737" s="145">
        <v>41</v>
      </c>
      <c r="T737" s="145">
        <v>252</v>
      </c>
      <c r="U737" s="145">
        <v>7.3999999999999996E-2</v>
      </c>
      <c r="V737" s="145">
        <v>5.2009999999999996</v>
      </c>
      <c r="W737" s="145" t="s">
        <v>400</v>
      </c>
      <c r="X737" s="145">
        <v>7.0000000000000007E-2</v>
      </c>
      <c r="Y737" s="145">
        <v>0.16300000000000001</v>
      </c>
      <c r="Z737" s="146">
        <v>0.40300000000000002</v>
      </c>
      <c r="AA737" s="145">
        <v>5.36</v>
      </c>
      <c r="AB737" s="145" t="s">
        <v>400</v>
      </c>
      <c r="AC737" s="145">
        <v>8.7270000000000003</v>
      </c>
      <c r="AD737" s="145">
        <v>1.71</v>
      </c>
      <c r="AE737" s="145">
        <v>10</v>
      </c>
      <c r="AF737" s="145">
        <v>0.6</v>
      </c>
      <c r="AG737" s="145">
        <v>0.88900000000000001</v>
      </c>
      <c r="AH737" s="145">
        <v>0.439</v>
      </c>
      <c r="AI737" s="145">
        <v>333</v>
      </c>
      <c r="AJ737" s="145">
        <v>34.270000000000003</v>
      </c>
      <c r="AK737" s="145" t="s">
        <v>400</v>
      </c>
      <c r="AL737" s="145" t="s">
        <v>400</v>
      </c>
      <c r="AM737" s="145" t="s">
        <v>400</v>
      </c>
    </row>
    <row r="738" spans="1:39">
      <c r="A738" s="143" t="s">
        <v>1798</v>
      </c>
      <c r="B738" s="144">
        <v>100</v>
      </c>
      <c r="C738" s="145">
        <v>253.56700000000001</v>
      </c>
      <c r="D738" s="145">
        <v>30.67</v>
      </c>
      <c r="E738" s="145">
        <v>14.606999999999999</v>
      </c>
      <c r="F738" s="145">
        <v>4.2930000000000001</v>
      </c>
      <c r="G738" s="145">
        <v>5.1950000000000003</v>
      </c>
      <c r="H738" s="145">
        <v>3.585</v>
      </c>
      <c r="I738" s="145">
        <v>3.0950000000000002</v>
      </c>
      <c r="J738" s="145">
        <v>0.46800000000000003</v>
      </c>
      <c r="K738" s="145">
        <v>58</v>
      </c>
      <c r="L738" s="145" t="s">
        <v>400</v>
      </c>
      <c r="M738" s="145" t="s">
        <v>400</v>
      </c>
      <c r="N738" s="145">
        <v>7</v>
      </c>
      <c r="O738" s="145">
        <v>20</v>
      </c>
      <c r="P738" s="145">
        <v>1.0999999999999999E-2</v>
      </c>
      <c r="Q738" s="145">
        <v>193</v>
      </c>
      <c r="R738" s="145">
        <v>2.5329999999999999</v>
      </c>
      <c r="S738" s="145">
        <v>41</v>
      </c>
      <c r="T738" s="145">
        <v>252</v>
      </c>
      <c r="U738" s="145">
        <v>7.3999999999999996E-2</v>
      </c>
      <c r="V738" s="145">
        <v>5.2009999999999996</v>
      </c>
      <c r="W738" s="145" t="s">
        <v>400</v>
      </c>
      <c r="X738" s="145">
        <v>7.0000000000000007E-2</v>
      </c>
      <c r="Y738" s="145">
        <v>0.16300000000000001</v>
      </c>
      <c r="Z738" s="146">
        <v>0.40300000000000002</v>
      </c>
      <c r="AA738" s="145">
        <v>5.36</v>
      </c>
      <c r="AB738" s="145" t="s">
        <v>400</v>
      </c>
      <c r="AC738" s="145">
        <v>8.7270000000000003</v>
      </c>
      <c r="AD738" s="145">
        <v>1.71</v>
      </c>
      <c r="AE738" s="145">
        <v>10</v>
      </c>
      <c r="AF738" s="145">
        <v>0.6</v>
      </c>
      <c r="AG738" s="145">
        <v>0.88900000000000001</v>
      </c>
      <c r="AH738" s="145">
        <v>0.439</v>
      </c>
      <c r="AI738" s="145">
        <v>333</v>
      </c>
      <c r="AJ738" s="145">
        <v>34.270000000000003</v>
      </c>
      <c r="AK738" s="145" t="s">
        <v>400</v>
      </c>
      <c r="AL738" s="145" t="s">
        <v>400</v>
      </c>
      <c r="AM738" s="145" t="s">
        <v>400</v>
      </c>
    </row>
    <row r="739" spans="1:39">
      <c r="A739" s="143" t="s">
        <v>1799</v>
      </c>
      <c r="B739" s="144">
        <v>100</v>
      </c>
      <c r="C739" s="145">
        <v>199</v>
      </c>
      <c r="D739" s="145">
        <v>36.119999999999997</v>
      </c>
      <c r="E739" s="145">
        <v>5</v>
      </c>
      <c r="F739" s="145">
        <v>1.72</v>
      </c>
      <c r="G739" s="145">
        <v>2</v>
      </c>
      <c r="H739" s="145">
        <v>0.22</v>
      </c>
      <c r="I739" s="145">
        <v>0.17</v>
      </c>
      <c r="J739" s="145">
        <v>0.02</v>
      </c>
      <c r="K739" s="145">
        <v>90</v>
      </c>
      <c r="L739" s="145" t="s">
        <v>400</v>
      </c>
      <c r="M739" s="145" t="s">
        <v>400</v>
      </c>
      <c r="N739" s="145">
        <v>4</v>
      </c>
      <c r="O739" s="145">
        <v>26</v>
      </c>
      <c r="P739" s="145">
        <v>1.7999999999999999E-2</v>
      </c>
      <c r="Q739" s="145">
        <v>226</v>
      </c>
      <c r="R739" s="145">
        <v>3.32</v>
      </c>
      <c r="S739" s="145">
        <v>45</v>
      </c>
      <c r="T739" s="145">
        <v>334</v>
      </c>
      <c r="U739" s="145">
        <v>0.124</v>
      </c>
      <c r="V739" s="145">
        <v>4.5599999999999996</v>
      </c>
      <c r="W739" s="145" t="s">
        <v>400</v>
      </c>
      <c r="X739" s="145">
        <v>7.0000000000000007E-2</v>
      </c>
      <c r="Y739" s="145">
        <v>0.25</v>
      </c>
      <c r="Z739" s="146">
        <v>0.28000000000000003</v>
      </c>
      <c r="AA739" s="145">
        <v>3.81</v>
      </c>
      <c r="AB739" s="145" t="s">
        <v>400</v>
      </c>
      <c r="AC739" s="145">
        <v>7.76</v>
      </c>
      <c r="AD739" s="145">
        <v>2.7</v>
      </c>
      <c r="AE739" s="145">
        <v>9</v>
      </c>
      <c r="AF739" s="145">
        <v>0.7</v>
      </c>
      <c r="AG739" s="145">
        <v>0.14000000000000001</v>
      </c>
      <c r="AH739" s="145">
        <v>0.22700000000000001</v>
      </c>
      <c r="AI739" s="145">
        <v>333</v>
      </c>
      <c r="AJ739" s="145">
        <v>33</v>
      </c>
      <c r="AK739" s="145" t="s">
        <v>400</v>
      </c>
      <c r="AL739" s="145" t="s">
        <v>400</v>
      </c>
      <c r="AM739" s="145" t="s">
        <v>400</v>
      </c>
    </row>
    <row r="740" spans="1:39">
      <c r="A740" s="143" t="s">
        <v>1800</v>
      </c>
      <c r="B740" s="144">
        <v>100</v>
      </c>
      <c r="C740" s="145">
        <v>199</v>
      </c>
      <c r="D740" s="145">
        <v>36.119999999999997</v>
      </c>
      <c r="E740" s="145">
        <v>5</v>
      </c>
      <c r="F740" s="145">
        <v>1.72</v>
      </c>
      <c r="G740" s="145">
        <v>2</v>
      </c>
      <c r="H740" s="145">
        <v>0.22</v>
      </c>
      <c r="I740" s="145">
        <v>0.17</v>
      </c>
      <c r="J740" s="145">
        <v>0.02</v>
      </c>
      <c r="K740" s="145">
        <v>90</v>
      </c>
      <c r="L740" s="145" t="s">
        <v>400</v>
      </c>
      <c r="M740" s="145" t="s">
        <v>400</v>
      </c>
      <c r="N740" s="145">
        <v>4</v>
      </c>
      <c r="O740" s="145">
        <v>26</v>
      </c>
      <c r="P740" s="145">
        <v>1.7999999999999999E-2</v>
      </c>
      <c r="Q740" s="145">
        <v>226</v>
      </c>
      <c r="R740" s="145">
        <v>3.32</v>
      </c>
      <c r="S740" s="145">
        <v>45</v>
      </c>
      <c r="T740" s="145">
        <v>334</v>
      </c>
      <c r="U740" s="145">
        <v>0.124</v>
      </c>
      <c r="V740" s="145">
        <v>4.5599999999999996</v>
      </c>
      <c r="W740" s="145" t="s">
        <v>400</v>
      </c>
      <c r="X740" s="145">
        <v>7.0000000000000007E-2</v>
      </c>
      <c r="Y740" s="145">
        <v>0.25</v>
      </c>
      <c r="Z740" s="146">
        <v>0.28000000000000003</v>
      </c>
      <c r="AA740" s="145">
        <v>3.81</v>
      </c>
      <c r="AB740" s="145" t="s">
        <v>400</v>
      </c>
      <c r="AC740" s="145">
        <v>7.76</v>
      </c>
      <c r="AD740" s="145">
        <v>2.7</v>
      </c>
      <c r="AE740" s="145">
        <v>9</v>
      </c>
      <c r="AF740" s="145">
        <v>0.7</v>
      </c>
      <c r="AG740" s="145">
        <v>0.14000000000000001</v>
      </c>
      <c r="AH740" s="145">
        <v>0.22700000000000001</v>
      </c>
      <c r="AI740" s="145">
        <v>333</v>
      </c>
      <c r="AJ740" s="145">
        <v>33</v>
      </c>
      <c r="AK740" s="145" t="s">
        <v>400</v>
      </c>
      <c r="AL740" s="145" t="s">
        <v>400</v>
      </c>
      <c r="AM740" s="145" t="s">
        <v>400</v>
      </c>
    </row>
    <row r="741" spans="1:39">
      <c r="A741" s="143" t="s">
        <v>1801</v>
      </c>
      <c r="B741" s="144">
        <v>100</v>
      </c>
      <c r="C741" s="145">
        <v>199</v>
      </c>
      <c r="D741" s="145">
        <v>36.119999999999997</v>
      </c>
      <c r="E741" s="145">
        <v>5</v>
      </c>
      <c r="F741" s="145">
        <v>1.72</v>
      </c>
      <c r="G741" s="145">
        <v>2</v>
      </c>
      <c r="H741" s="145">
        <v>0.22</v>
      </c>
      <c r="I741" s="145">
        <v>0.17</v>
      </c>
      <c r="J741" s="145">
        <v>0.02</v>
      </c>
      <c r="K741" s="145">
        <v>90</v>
      </c>
      <c r="L741" s="145" t="s">
        <v>400</v>
      </c>
      <c r="M741" s="145" t="s">
        <v>400</v>
      </c>
      <c r="N741" s="145">
        <v>4</v>
      </c>
      <c r="O741" s="145">
        <v>26</v>
      </c>
      <c r="P741" s="145">
        <v>1.7999999999999999E-2</v>
      </c>
      <c r="Q741" s="145">
        <v>226</v>
      </c>
      <c r="R741" s="145">
        <v>3.32</v>
      </c>
      <c r="S741" s="145">
        <v>45</v>
      </c>
      <c r="T741" s="145">
        <v>334</v>
      </c>
      <c r="U741" s="145">
        <v>0.124</v>
      </c>
      <c r="V741" s="145">
        <v>4.5599999999999996</v>
      </c>
      <c r="W741" s="145" t="s">
        <v>400</v>
      </c>
      <c r="X741" s="145">
        <v>7.0000000000000007E-2</v>
      </c>
      <c r="Y741" s="145">
        <v>0.25</v>
      </c>
      <c r="Z741" s="146">
        <v>0.28000000000000003</v>
      </c>
      <c r="AA741" s="145">
        <v>3.81</v>
      </c>
      <c r="AB741" s="145" t="s">
        <v>400</v>
      </c>
      <c r="AC741" s="145">
        <v>7.76</v>
      </c>
      <c r="AD741" s="145">
        <v>2.7</v>
      </c>
      <c r="AE741" s="145">
        <v>9</v>
      </c>
      <c r="AF741" s="145">
        <v>0.7</v>
      </c>
      <c r="AG741" s="145">
        <v>0.14000000000000001</v>
      </c>
      <c r="AH741" s="145">
        <v>0.22700000000000001</v>
      </c>
      <c r="AI741" s="145">
        <v>333</v>
      </c>
      <c r="AJ741" s="145">
        <v>33</v>
      </c>
      <c r="AK741" s="145" t="s">
        <v>400</v>
      </c>
      <c r="AL741" s="145" t="s">
        <v>400</v>
      </c>
      <c r="AM741" s="145" t="s">
        <v>400</v>
      </c>
    </row>
    <row r="742" spans="1:39">
      <c r="A742" s="143" t="s">
        <v>1802</v>
      </c>
      <c r="B742" s="144">
        <v>100</v>
      </c>
      <c r="C742" s="145">
        <v>248.56700000000001</v>
      </c>
      <c r="D742" s="145">
        <v>36.119999999999997</v>
      </c>
      <c r="E742" s="145">
        <v>10.606999999999999</v>
      </c>
      <c r="F742" s="145">
        <v>2.5979999999999999</v>
      </c>
      <c r="G742" s="145">
        <v>3.2770000000000001</v>
      </c>
      <c r="H742" s="145">
        <v>3.4580000000000002</v>
      </c>
      <c r="I742" s="145">
        <v>3.0270000000000001</v>
      </c>
      <c r="J742" s="145">
        <v>0.40100000000000002</v>
      </c>
      <c r="K742" s="145">
        <v>90</v>
      </c>
      <c r="L742" s="145" t="s">
        <v>400</v>
      </c>
      <c r="M742" s="145" t="s">
        <v>400</v>
      </c>
      <c r="N742" s="145">
        <v>4</v>
      </c>
      <c r="O742" s="145">
        <v>26</v>
      </c>
      <c r="P742" s="145">
        <v>1.7999999999999999E-2</v>
      </c>
      <c r="Q742" s="145">
        <v>226</v>
      </c>
      <c r="R742" s="145">
        <v>3.323</v>
      </c>
      <c r="S742" s="145">
        <v>45</v>
      </c>
      <c r="T742" s="145">
        <v>334</v>
      </c>
      <c r="U742" s="145">
        <v>0.124</v>
      </c>
      <c r="V742" s="145">
        <v>4.5609999999999999</v>
      </c>
      <c r="W742" s="145" t="s">
        <v>400</v>
      </c>
      <c r="X742" s="145">
        <v>7.0000000000000007E-2</v>
      </c>
      <c r="Y742" s="145">
        <v>0.25</v>
      </c>
      <c r="Z742" s="146">
        <v>0.28000000000000003</v>
      </c>
      <c r="AA742" s="145">
        <v>3.81</v>
      </c>
      <c r="AB742" s="145" t="s">
        <v>400</v>
      </c>
      <c r="AC742" s="145">
        <v>7.76</v>
      </c>
      <c r="AD742" s="145">
        <v>2.7</v>
      </c>
      <c r="AE742" s="145">
        <v>9</v>
      </c>
      <c r="AF742" s="145">
        <v>0.7</v>
      </c>
      <c r="AG742" s="145">
        <v>0.59899999999999998</v>
      </c>
      <c r="AH742" s="145">
        <v>0.25700000000000001</v>
      </c>
      <c r="AI742" s="145">
        <v>333</v>
      </c>
      <c r="AJ742" s="145">
        <v>35.57</v>
      </c>
      <c r="AK742" s="145" t="s">
        <v>400</v>
      </c>
      <c r="AL742" s="145" t="s">
        <v>400</v>
      </c>
      <c r="AM742" s="145" t="s">
        <v>400</v>
      </c>
    </row>
    <row r="743" spans="1:39">
      <c r="A743" s="143" t="s">
        <v>1803</v>
      </c>
      <c r="B743" s="144">
        <v>100</v>
      </c>
      <c r="C743" s="145">
        <v>248.56700000000001</v>
      </c>
      <c r="D743" s="145">
        <v>36.119999999999997</v>
      </c>
      <c r="E743" s="145">
        <v>10.606999999999999</v>
      </c>
      <c r="F743" s="145">
        <v>2.5979999999999999</v>
      </c>
      <c r="G743" s="145">
        <v>3.2770000000000001</v>
      </c>
      <c r="H743" s="145">
        <v>3.4580000000000002</v>
      </c>
      <c r="I743" s="145">
        <v>3.0270000000000001</v>
      </c>
      <c r="J743" s="145">
        <v>0.40100000000000002</v>
      </c>
      <c r="K743" s="145">
        <v>90</v>
      </c>
      <c r="L743" s="145" t="s">
        <v>400</v>
      </c>
      <c r="M743" s="145" t="s">
        <v>400</v>
      </c>
      <c r="N743" s="145">
        <v>4</v>
      </c>
      <c r="O743" s="145">
        <v>26</v>
      </c>
      <c r="P743" s="145">
        <v>1.7999999999999999E-2</v>
      </c>
      <c r="Q743" s="145">
        <v>226</v>
      </c>
      <c r="R743" s="145">
        <v>3.323</v>
      </c>
      <c r="S743" s="145">
        <v>45</v>
      </c>
      <c r="T743" s="145">
        <v>334</v>
      </c>
      <c r="U743" s="145">
        <v>0.124</v>
      </c>
      <c r="V743" s="145">
        <v>4.5609999999999999</v>
      </c>
      <c r="W743" s="145" t="s">
        <v>400</v>
      </c>
      <c r="X743" s="145">
        <v>7.0000000000000007E-2</v>
      </c>
      <c r="Y743" s="145">
        <v>0.25</v>
      </c>
      <c r="Z743" s="146">
        <v>0.28000000000000003</v>
      </c>
      <c r="AA743" s="145">
        <v>3.81</v>
      </c>
      <c r="AB743" s="145" t="s">
        <v>400</v>
      </c>
      <c r="AC743" s="145">
        <v>7.76</v>
      </c>
      <c r="AD743" s="145">
        <v>2.7</v>
      </c>
      <c r="AE743" s="145">
        <v>9</v>
      </c>
      <c r="AF743" s="145">
        <v>0.7</v>
      </c>
      <c r="AG743" s="145">
        <v>0.59899999999999998</v>
      </c>
      <c r="AH743" s="145">
        <v>0.25700000000000001</v>
      </c>
      <c r="AI743" s="145">
        <v>333</v>
      </c>
      <c r="AJ743" s="145">
        <v>35.57</v>
      </c>
      <c r="AK743" s="145" t="s">
        <v>400</v>
      </c>
      <c r="AL743" s="145" t="s">
        <v>400</v>
      </c>
      <c r="AM743" s="145" t="s">
        <v>400</v>
      </c>
    </row>
    <row r="744" spans="1:39">
      <c r="A744" s="143" t="s">
        <v>1804</v>
      </c>
      <c r="B744" s="144">
        <v>100</v>
      </c>
      <c r="C744" s="145">
        <v>164</v>
      </c>
      <c r="D744" s="145">
        <v>29.16</v>
      </c>
      <c r="E744" s="145">
        <v>4.0359999999999996</v>
      </c>
      <c r="F744" s="145">
        <v>1.381</v>
      </c>
      <c r="G744" s="145">
        <v>1.605</v>
      </c>
      <c r="H744" s="145">
        <v>0.191</v>
      </c>
      <c r="I744" s="145">
        <v>0.15</v>
      </c>
      <c r="J744" s="145">
        <v>1.7000000000000001E-2</v>
      </c>
      <c r="K744" s="145">
        <v>72</v>
      </c>
      <c r="L744" s="145">
        <v>1.0760000000000001</v>
      </c>
      <c r="M744" s="145">
        <v>0.3</v>
      </c>
      <c r="N744" s="145">
        <v>5.8</v>
      </c>
      <c r="O744" s="145">
        <v>24</v>
      </c>
      <c r="P744" s="145">
        <v>3.5999999999999997E-2</v>
      </c>
      <c r="Q744" s="145">
        <v>186</v>
      </c>
      <c r="R744" s="145">
        <v>2.86</v>
      </c>
      <c r="S744" s="145">
        <v>140.80000000000001</v>
      </c>
      <c r="T744" s="145">
        <v>333.4</v>
      </c>
      <c r="U744" s="145">
        <v>0.123</v>
      </c>
      <c r="V744" s="145">
        <v>3.6880000000000002</v>
      </c>
      <c r="W744" s="145" t="s">
        <v>400</v>
      </c>
      <c r="X744" s="145">
        <v>6.0999999999999999E-2</v>
      </c>
      <c r="Y744" s="145">
        <v>0.21299999999999999</v>
      </c>
      <c r="Z744" s="146">
        <v>0.24299999999999999</v>
      </c>
      <c r="AA744" s="145">
        <v>3.2429999999999999</v>
      </c>
      <c r="AB744" s="145">
        <v>1.4</v>
      </c>
      <c r="AC744" s="145">
        <v>6.4359999999999999</v>
      </c>
      <c r="AD744" s="145">
        <v>2.16</v>
      </c>
      <c r="AE744" s="145">
        <v>9.4</v>
      </c>
      <c r="AF744" s="145">
        <v>0.56000000000000005</v>
      </c>
      <c r="AG744" s="145">
        <v>0.39600000000000002</v>
      </c>
      <c r="AH744" s="145">
        <v>0.182</v>
      </c>
      <c r="AI744" s="145">
        <v>333</v>
      </c>
      <c r="AJ744" s="145">
        <v>26.44</v>
      </c>
      <c r="AK744" s="145">
        <v>3.4830000000000001</v>
      </c>
      <c r="AL744" s="145">
        <v>0.85</v>
      </c>
      <c r="AM744" s="145" t="s">
        <v>400</v>
      </c>
    </row>
    <row r="745" spans="1:39">
      <c r="A745" s="143" t="s">
        <v>1805</v>
      </c>
      <c r="B745" s="144">
        <v>100</v>
      </c>
      <c r="C745" s="145">
        <v>248.56700000000001</v>
      </c>
      <c r="D745" s="145">
        <v>36.119999999999997</v>
      </c>
      <c r="E745" s="145">
        <v>10.606999999999999</v>
      </c>
      <c r="F745" s="145">
        <v>2.5979999999999999</v>
      </c>
      <c r="G745" s="145">
        <v>3.2770000000000001</v>
      </c>
      <c r="H745" s="145">
        <v>3.4580000000000002</v>
      </c>
      <c r="I745" s="145">
        <v>3.0270000000000001</v>
      </c>
      <c r="J745" s="145">
        <v>0.40100000000000002</v>
      </c>
      <c r="K745" s="145">
        <v>90</v>
      </c>
      <c r="L745" s="145" t="s">
        <v>400</v>
      </c>
      <c r="M745" s="145" t="s">
        <v>400</v>
      </c>
      <c r="N745" s="145">
        <v>4</v>
      </c>
      <c r="O745" s="145">
        <v>26</v>
      </c>
      <c r="P745" s="145">
        <v>1.7999999999999999E-2</v>
      </c>
      <c r="Q745" s="145">
        <v>226</v>
      </c>
      <c r="R745" s="145">
        <v>3.323</v>
      </c>
      <c r="S745" s="145">
        <v>45</v>
      </c>
      <c r="T745" s="145">
        <v>334</v>
      </c>
      <c r="U745" s="145">
        <v>0.124</v>
      </c>
      <c r="V745" s="145">
        <v>4.5609999999999999</v>
      </c>
      <c r="W745" s="145" t="s">
        <v>400</v>
      </c>
      <c r="X745" s="145">
        <v>7.0000000000000007E-2</v>
      </c>
      <c r="Y745" s="145">
        <v>0.25</v>
      </c>
      <c r="Z745" s="146">
        <v>0.28000000000000003</v>
      </c>
      <c r="AA745" s="145">
        <v>3.81</v>
      </c>
      <c r="AB745" s="145" t="s">
        <v>400</v>
      </c>
      <c r="AC745" s="145">
        <v>7.76</v>
      </c>
      <c r="AD745" s="145">
        <v>2.7</v>
      </c>
      <c r="AE745" s="145">
        <v>9</v>
      </c>
      <c r="AF745" s="145">
        <v>0.7</v>
      </c>
      <c r="AG745" s="145">
        <v>0.59899999999999998</v>
      </c>
      <c r="AH745" s="145">
        <v>0.25700000000000001</v>
      </c>
      <c r="AI745" s="145">
        <v>333</v>
      </c>
      <c r="AJ745" s="145">
        <v>35.57</v>
      </c>
      <c r="AK745" s="145" t="s">
        <v>400</v>
      </c>
      <c r="AL745" s="145" t="s">
        <v>400</v>
      </c>
      <c r="AM745" s="145" t="s">
        <v>400</v>
      </c>
    </row>
    <row r="746" spans="1:39">
      <c r="A746" s="143" t="s">
        <v>1806</v>
      </c>
      <c r="B746" s="144">
        <v>100</v>
      </c>
      <c r="C746" s="145">
        <v>199</v>
      </c>
      <c r="D746" s="145">
        <v>36.119999999999997</v>
      </c>
      <c r="E746" s="145">
        <v>5</v>
      </c>
      <c r="F746" s="145">
        <v>1.72</v>
      </c>
      <c r="G746" s="145">
        <v>2</v>
      </c>
      <c r="H746" s="145">
        <v>0.22</v>
      </c>
      <c r="I746" s="145">
        <v>0.17</v>
      </c>
      <c r="J746" s="145">
        <v>0.02</v>
      </c>
      <c r="K746" s="145">
        <v>90</v>
      </c>
      <c r="L746" s="145" t="s">
        <v>400</v>
      </c>
      <c r="M746" s="145" t="s">
        <v>400</v>
      </c>
      <c r="N746" s="145">
        <v>4</v>
      </c>
      <c r="O746" s="145">
        <v>26</v>
      </c>
      <c r="P746" s="145">
        <v>1.7999999999999999E-2</v>
      </c>
      <c r="Q746" s="145">
        <v>226</v>
      </c>
      <c r="R746" s="145">
        <v>3.32</v>
      </c>
      <c r="S746" s="145">
        <v>45</v>
      </c>
      <c r="T746" s="145">
        <v>334</v>
      </c>
      <c r="U746" s="145">
        <v>0.124</v>
      </c>
      <c r="V746" s="145">
        <v>4.5599999999999996</v>
      </c>
      <c r="W746" s="145" t="s">
        <v>400</v>
      </c>
      <c r="X746" s="145">
        <v>7.0000000000000007E-2</v>
      </c>
      <c r="Y746" s="145">
        <v>0.25</v>
      </c>
      <c r="Z746" s="146">
        <v>0.28000000000000003</v>
      </c>
      <c r="AA746" s="145">
        <v>3.81</v>
      </c>
      <c r="AB746" s="145" t="s">
        <v>400</v>
      </c>
      <c r="AC746" s="145">
        <v>7.76</v>
      </c>
      <c r="AD746" s="145">
        <v>2.7</v>
      </c>
      <c r="AE746" s="145">
        <v>9</v>
      </c>
      <c r="AF746" s="145">
        <v>0.7</v>
      </c>
      <c r="AG746" s="145">
        <v>0.14000000000000001</v>
      </c>
      <c r="AH746" s="145">
        <v>0.22700000000000001</v>
      </c>
      <c r="AI746" s="145">
        <v>333</v>
      </c>
      <c r="AJ746" s="145">
        <v>33</v>
      </c>
      <c r="AK746" s="145" t="s">
        <v>400</v>
      </c>
      <c r="AL746" s="145" t="s">
        <v>400</v>
      </c>
      <c r="AM746" s="145" t="s">
        <v>400</v>
      </c>
    </row>
    <row r="747" spans="1:39">
      <c r="A747" s="143" t="s">
        <v>1807</v>
      </c>
      <c r="B747" s="144">
        <v>100</v>
      </c>
      <c r="C747" s="145">
        <v>199</v>
      </c>
      <c r="D747" s="145">
        <v>36.119999999999997</v>
      </c>
      <c r="E747" s="145">
        <v>5</v>
      </c>
      <c r="F747" s="145">
        <v>1.72</v>
      </c>
      <c r="G747" s="145">
        <v>2</v>
      </c>
      <c r="H747" s="145">
        <v>0.22</v>
      </c>
      <c r="I747" s="145">
        <v>0.17</v>
      </c>
      <c r="J747" s="145">
        <v>0.02</v>
      </c>
      <c r="K747" s="145">
        <v>90</v>
      </c>
      <c r="L747" s="145" t="s">
        <v>400</v>
      </c>
      <c r="M747" s="145" t="s">
        <v>400</v>
      </c>
      <c r="N747" s="145">
        <v>4</v>
      </c>
      <c r="O747" s="145">
        <v>26</v>
      </c>
      <c r="P747" s="145">
        <v>1.7999999999999999E-2</v>
      </c>
      <c r="Q747" s="145">
        <v>226</v>
      </c>
      <c r="R747" s="145">
        <v>3.32</v>
      </c>
      <c r="S747" s="145">
        <v>45</v>
      </c>
      <c r="T747" s="145">
        <v>334</v>
      </c>
      <c r="U747" s="145">
        <v>0.124</v>
      </c>
      <c r="V747" s="145">
        <v>4.5599999999999996</v>
      </c>
      <c r="W747" s="145" t="s">
        <v>400</v>
      </c>
      <c r="X747" s="145">
        <v>7.0000000000000007E-2</v>
      </c>
      <c r="Y747" s="145">
        <v>0.25</v>
      </c>
      <c r="Z747" s="146">
        <v>0.28000000000000003</v>
      </c>
      <c r="AA747" s="145">
        <v>3.81</v>
      </c>
      <c r="AB747" s="145" t="s">
        <v>400</v>
      </c>
      <c r="AC747" s="145">
        <v>7.76</v>
      </c>
      <c r="AD747" s="145">
        <v>2.7</v>
      </c>
      <c r="AE747" s="145">
        <v>9</v>
      </c>
      <c r="AF747" s="145">
        <v>0.7</v>
      </c>
      <c r="AG747" s="145">
        <v>0.14000000000000001</v>
      </c>
      <c r="AH747" s="145">
        <v>0.22700000000000001</v>
      </c>
      <c r="AI747" s="145">
        <v>333</v>
      </c>
      <c r="AJ747" s="145">
        <v>33</v>
      </c>
      <c r="AK747" s="145" t="s">
        <v>400</v>
      </c>
      <c r="AL747" s="145" t="s">
        <v>400</v>
      </c>
      <c r="AM747" s="145" t="s">
        <v>400</v>
      </c>
    </row>
    <row r="748" spans="1:39">
      <c r="A748" s="143" t="s">
        <v>1808</v>
      </c>
      <c r="B748" s="144">
        <v>100</v>
      </c>
      <c r="C748" s="145">
        <v>199</v>
      </c>
      <c r="D748" s="145">
        <v>36.119999999999997</v>
      </c>
      <c r="E748" s="145">
        <v>5</v>
      </c>
      <c r="F748" s="145">
        <v>1.72</v>
      </c>
      <c r="G748" s="145">
        <v>2</v>
      </c>
      <c r="H748" s="145">
        <v>0.22</v>
      </c>
      <c r="I748" s="145">
        <v>0.17</v>
      </c>
      <c r="J748" s="145">
        <v>0.02</v>
      </c>
      <c r="K748" s="145">
        <v>90</v>
      </c>
      <c r="L748" s="145" t="s">
        <v>400</v>
      </c>
      <c r="M748" s="145" t="s">
        <v>400</v>
      </c>
      <c r="N748" s="145">
        <v>4</v>
      </c>
      <c r="O748" s="145">
        <v>26</v>
      </c>
      <c r="P748" s="145">
        <v>1.7999999999999999E-2</v>
      </c>
      <c r="Q748" s="145">
        <v>226</v>
      </c>
      <c r="R748" s="145">
        <v>3.32</v>
      </c>
      <c r="S748" s="145">
        <v>45</v>
      </c>
      <c r="T748" s="145">
        <v>334</v>
      </c>
      <c r="U748" s="145">
        <v>0.124</v>
      </c>
      <c r="V748" s="145">
        <v>4.5599999999999996</v>
      </c>
      <c r="W748" s="145" t="s">
        <v>400</v>
      </c>
      <c r="X748" s="145">
        <v>7.0000000000000007E-2</v>
      </c>
      <c r="Y748" s="145">
        <v>0.25</v>
      </c>
      <c r="Z748" s="146">
        <v>0.28000000000000003</v>
      </c>
      <c r="AA748" s="145">
        <v>3.81</v>
      </c>
      <c r="AB748" s="145" t="s">
        <v>400</v>
      </c>
      <c r="AC748" s="145">
        <v>7.76</v>
      </c>
      <c r="AD748" s="145">
        <v>2.7</v>
      </c>
      <c r="AE748" s="145">
        <v>9</v>
      </c>
      <c r="AF748" s="145">
        <v>0.7</v>
      </c>
      <c r="AG748" s="145">
        <v>0.14000000000000001</v>
      </c>
      <c r="AH748" s="145">
        <v>0.22700000000000001</v>
      </c>
      <c r="AI748" s="145">
        <v>333</v>
      </c>
      <c r="AJ748" s="145">
        <v>33</v>
      </c>
      <c r="AK748" s="145" t="s">
        <v>400</v>
      </c>
      <c r="AL748" s="145" t="s">
        <v>400</v>
      </c>
      <c r="AM748" s="145" t="s">
        <v>400</v>
      </c>
    </row>
    <row r="749" spans="1:39">
      <c r="A749" s="143" t="s">
        <v>1809</v>
      </c>
      <c r="B749" s="144">
        <v>100</v>
      </c>
      <c r="C749" s="145">
        <v>248.56700000000001</v>
      </c>
      <c r="D749" s="145">
        <v>36.119999999999997</v>
      </c>
      <c r="E749" s="145">
        <v>10.606999999999999</v>
      </c>
      <c r="F749" s="145">
        <v>2.5979999999999999</v>
      </c>
      <c r="G749" s="145">
        <v>3.2770000000000001</v>
      </c>
      <c r="H749" s="145">
        <v>3.4580000000000002</v>
      </c>
      <c r="I749" s="145">
        <v>3.0270000000000001</v>
      </c>
      <c r="J749" s="145">
        <v>0.40100000000000002</v>
      </c>
      <c r="K749" s="145">
        <v>90</v>
      </c>
      <c r="L749" s="145" t="s">
        <v>400</v>
      </c>
      <c r="M749" s="145" t="s">
        <v>400</v>
      </c>
      <c r="N749" s="145">
        <v>4</v>
      </c>
      <c r="O749" s="145">
        <v>26</v>
      </c>
      <c r="P749" s="145">
        <v>1.7999999999999999E-2</v>
      </c>
      <c r="Q749" s="145">
        <v>226</v>
      </c>
      <c r="R749" s="145">
        <v>3.323</v>
      </c>
      <c r="S749" s="145">
        <v>45</v>
      </c>
      <c r="T749" s="145">
        <v>334</v>
      </c>
      <c r="U749" s="145">
        <v>0.124</v>
      </c>
      <c r="V749" s="145">
        <v>4.5609999999999999</v>
      </c>
      <c r="W749" s="145" t="s">
        <v>400</v>
      </c>
      <c r="X749" s="145">
        <v>7.0000000000000007E-2</v>
      </c>
      <c r="Y749" s="145">
        <v>0.25</v>
      </c>
      <c r="Z749" s="146">
        <v>0.28000000000000003</v>
      </c>
      <c r="AA749" s="145">
        <v>3.81</v>
      </c>
      <c r="AB749" s="145" t="s">
        <v>400</v>
      </c>
      <c r="AC749" s="145">
        <v>7.76</v>
      </c>
      <c r="AD749" s="145">
        <v>2.7</v>
      </c>
      <c r="AE749" s="145">
        <v>9</v>
      </c>
      <c r="AF749" s="145">
        <v>0.7</v>
      </c>
      <c r="AG749" s="145">
        <v>0.59899999999999998</v>
      </c>
      <c r="AH749" s="145">
        <v>0.25700000000000001</v>
      </c>
      <c r="AI749" s="145">
        <v>333</v>
      </c>
      <c r="AJ749" s="145">
        <v>35.57</v>
      </c>
      <c r="AK749" s="145" t="s">
        <v>400</v>
      </c>
      <c r="AL749" s="145" t="s">
        <v>400</v>
      </c>
      <c r="AM749" s="145" t="s">
        <v>400</v>
      </c>
    </row>
    <row r="750" spans="1:39">
      <c r="A750" s="143" t="s">
        <v>1810</v>
      </c>
      <c r="B750" s="144">
        <v>100</v>
      </c>
      <c r="C750" s="145">
        <v>248.56700000000001</v>
      </c>
      <c r="D750" s="145">
        <v>36.119999999999997</v>
      </c>
      <c r="E750" s="145">
        <v>10.606999999999999</v>
      </c>
      <c r="F750" s="145">
        <v>2.5979999999999999</v>
      </c>
      <c r="G750" s="145">
        <v>3.2770000000000001</v>
      </c>
      <c r="H750" s="145">
        <v>3.4580000000000002</v>
      </c>
      <c r="I750" s="145">
        <v>3.0270000000000001</v>
      </c>
      <c r="J750" s="145">
        <v>0.40100000000000002</v>
      </c>
      <c r="K750" s="145">
        <v>90</v>
      </c>
      <c r="L750" s="145" t="s">
        <v>400</v>
      </c>
      <c r="M750" s="145" t="s">
        <v>400</v>
      </c>
      <c r="N750" s="145">
        <v>4</v>
      </c>
      <c r="O750" s="145">
        <v>26</v>
      </c>
      <c r="P750" s="145">
        <v>1.7999999999999999E-2</v>
      </c>
      <c r="Q750" s="145">
        <v>226</v>
      </c>
      <c r="R750" s="145">
        <v>3.323</v>
      </c>
      <c r="S750" s="145">
        <v>45</v>
      </c>
      <c r="T750" s="145">
        <v>334</v>
      </c>
      <c r="U750" s="145">
        <v>0.124</v>
      </c>
      <c r="V750" s="145">
        <v>4.5609999999999999</v>
      </c>
      <c r="W750" s="145" t="s">
        <v>400</v>
      </c>
      <c r="X750" s="145">
        <v>7.0000000000000007E-2</v>
      </c>
      <c r="Y750" s="145">
        <v>0.25</v>
      </c>
      <c r="Z750" s="146">
        <v>0.28000000000000003</v>
      </c>
      <c r="AA750" s="145">
        <v>3.81</v>
      </c>
      <c r="AB750" s="145" t="s">
        <v>400</v>
      </c>
      <c r="AC750" s="145">
        <v>7.76</v>
      </c>
      <c r="AD750" s="145">
        <v>2.7</v>
      </c>
      <c r="AE750" s="145">
        <v>9</v>
      </c>
      <c r="AF750" s="145">
        <v>0.7</v>
      </c>
      <c r="AG750" s="145">
        <v>0.59899999999999998</v>
      </c>
      <c r="AH750" s="145">
        <v>0.25700000000000001</v>
      </c>
      <c r="AI750" s="145">
        <v>333</v>
      </c>
      <c r="AJ750" s="145">
        <v>35.57</v>
      </c>
      <c r="AK750" s="145" t="s">
        <v>400</v>
      </c>
      <c r="AL750" s="145" t="s">
        <v>400</v>
      </c>
      <c r="AM750" s="145" t="s">
        <v>400</v>
      </c>
    </row>
    <row r="751" spans="1:39">
      <c r="A751" s="143" t="s">
        <v>1811</v>
      </c>
      <c r="B751" s="144">
        <v>100</v>
      </c>
      <c r="C751" s="145">
        <v>248.56700000000001</v>
      </c>
      <c r="D751" s="145">
        <v>36.119999999999997</v>
      </c>
      <c r="E751" s="145">
        <v>10.606999999999999</v>
      </c>
      <c r="F751" s="145">
        <v>2.5979999999999999</v>
      </c>
      <c r="G751" s="145">
        <v>3.2770000000000001</v>
      </c>
      <c r="H751" s="145">
        <v>3.4580000000000002</v>
      </c>
      <c r="I751" s="145">
        <v>3.0270000000000001</v>
      </c>
      <c r="J751" s="145">
        <v>0.40100000000000002</v>
      </c>
      <c r="K751" s="145">
        <v>90</v>
      </c>
      <c r="L751" s="145" t="s">
        <v>400</v>
      </c>
      <c r="M751" s="145" t="s">
        <v>400</v>
      </c>
      <c r="N751" s="145">
        <v>4</v>
      </c>
      <c r="O751" s="145">
        <v>26</v>
      </c>
      <c r="P751" s="145">
        <v>1.7999999999999999E-2</v>
      </c>
      <c r="Q751" s="145">
        <v>226</v>
      </c>
      <c r="R751" s="145">
        <v>3.323</v>
      </c>
      <c r="S751" s="145">
        <v>45</v>
      </c>
      <c r="T751" s="145">
        <v>334</v>
      </c>
      <c r="U751" s="145">
        <v>0.124</v>
      </c>
      <c r="V751" s="145">
        <v>4.5609999999999999</v>
      </c>
      <c r="W751" s="145" t="s">
        <v>400</v>
      </c>
      <c r="X751" s="145">
        <v>7.0000000000000007E-2</v>
      </c>
      <c r="Y751" s="145">
        <v>0.25</v>
      </c>
      <c r="Z751" s="146">
        <v>0.28000000000000003</v>
      </c>
      <c r="AA751" s="145">
        <v>3.81</v>
      </c>
      <c r="AB751" s="145" t="s">
        <v>400</v>
      </c>
      <c r="AC751" s="145">
        <v>7.76</v>
      </c>
      <c r="AD751" s="145">
        <v>2.7</v>
      </c>
      <c r="AE751" s="145">
        <v>9</v>
      </c>
      <c r="AF751" s="145">
        <v>0.7</v>
      </c>
      <c r="AG751" s="145">
        <v>0.59899999999999998</v>
      </c>
      <c r="AH751" s="145">
        <v>0.25700000000000001</v>
      </c>
      <c r="AI751" s="145">
        <v>333</v>
      </c>
      <c r="AJ751" s="145">
        <v>35.57</v>
      </c>
      <c r="AK751" s="145" t="s">
        <v>400</v>
      </c>
      <c r="AL751" s="145" t="s">
        <v>400</v>
      </c>
      <c r="AM751" s="145" t="s">
        <v>400</v>
      </c>
    </row>
    <row r="752" spans="1:39">
      <c r="A752" s="143" t="s">
        <v>1812</v>
      </c>
      <c r="B752" s="144">
        <v>100</v>
      </c>
      <c r="C752" s="145">
        <v>199</v>
      </c>
      <c r="D752" s="145">
        <v>36.119999999999997</v>
      </c>
      <c r="E752" s="145">
        <v>5</v>
      </c>
      <c r="F752" s="145">
        <v>1.72</v>
      </c>
      <c r="G752" s="145">
        <v>2</v>
      </c>
      <c r="H752" s="145">
        <v>0.22</v>
      </c>
      <c r="I752" s="145">
        <v>0.17</v>
      </c>
      <c r="J752" s="145">
        <v>0.02</v>
      </c>
      <c r="K752" s="145">
        <v>90</v>
      </c>
      <c r="L752" s="145" t="s">
        <v>400</v>
      </c>
      <c r="M752" s="145" t="s">
        <v>400</v>
      </c>
      <c r="N752" s="145">
        <v>4</v>
      </c>
      <c r="O752" s="145">
        <v>26</v>
      </c>
      <c r="P752" s="145">
        <v>1.7999999999999999E-2</v>
      </c>
      <c r="Q752" s="145">
        <v>226</v>
      </c>
      <c r="R752" s="145">
        <v>3.32</v>
      </c>
      <c r="S752" s="145">
        <v>45</v>
      </c>
      <c r="T752" s="145">
        <v>334</v>
      </c>
      <c r="U752" s="145">
        <v>0.124</v>
      </c>
      <c r="V752" s="145">
        <v>4.5599999999999996</v>
      </c>
      <c r="W752" s="145" t="s">
        <v>400</v>
      </c>
      <c r="X752" s="145">
        <v>7.0000000000000007E-2</v>
      </c>
      <c r="Y752" s="145">
        <v>0.25</v>
      </c>
      <c r="Z752" s="146">
        <v>0.28000000000000003</v>
      </c>
      <c r="AA752" s="145">
        <v>3.81</v>
      </c>
      <c r="AB752" s="145" t="s">
        <v>400</v>
      </c>
      <c r="AC752" s="145">
        <v>7.76</v>
      </c>
      <c r="AD752" s="145">
        <v>2.7</v>
      </c>
      <c r="AE752" s="145">
        <v>9</v>
      </c>
      <c r="AF752" s="145">
        <v>0.7</v>
      </c>
      <c r="AG752" s="145">
        <v>0.14000000000000001</v>
      </c>
      <c r="AH752" s="145">
        <v>0.22700000000000001</v>
      </c>
      <c r="AI752" s="145">
        <v>333</v>
      </c>
      <c r="AJ752" s="145">
        <v>33</v>
      </c>
      <c r="AK752" s="145" t="s">
        <v>400</v>
      </c>
      <c r="AL752" s="145" t="s">
        <v>400</v>
      </c>
      <c r="AM752" s="145" t="s">
        <v>400</v>
      </c>
    </row>
    <row r="753" spans="1:39">
      <c r="A753" s="143" t="s">
        <v>1813</v>
      </c>
      <c r="B753" s="144">
        <v>100</v>
      </c>
      <c r="C753" s="145">
        <v>248.56700000000001</v>
      </c>
      <c r="D753" s="145">
        <v>36.119999999999997</v>
      </c>
      <c r="E753" s="145">
        <v>10.606999999999999</v>
      </c>
      <c r="F753" s="145">
        <v>2.5979999999999999</v>
      </c>
      <c r="G753" s="145">
        <v>3.2770000000000001</v>
      </c>
      <c r="H753" s="145">
        <v>3.4580000000000002</v>
      </c>
      <c r="I753" s="145">
        <v>3.0270000000000001</v>
      </c>
      <c r="J753" s="145">
        <v>0.40100000000000002</v>
      </c>
      <c r="K753" s="145">
        <v>90</v>
      </c>
      <c r="L753" s="145" t="s">
        <v>400</v>
      </c>
      <c r="M753" s="145" t="s">
        <v>400</v>
      </c>
      <c r="N753" s="145">
        <v>4</v>
      </c>
      <c r="O753" s="145">
        <v>26</v>
      </c>
      <c r="P753" s="145">
        <v>1.7999999999999999E-2</v>
      </c>
      <c r="Q753" s="145">
        <v>226</v>
      </c>
      <c r="R753" s="145">
        <v>3.323</v>
      </c>
      <c r="S753" s="145">
        <v>45</v>
      </c>
      <c r="T753" s="145">
        <v>334</v>
      </c>
      <c r="U753" s="145">
        <v>0.124</v>
      </c>
      <c r="V753" s="145">
        <v>4.5609999999999999</v>
      </c>
      <c r="W753" s="145" t="s">
        <v>400</v>
      </c>
      <c r="X753" s="145">
        <v>7.0000000000000007E-2</v>
      </c>
      <c r="Y753" s="145">
        <v>0.25</v>
      </c>
      <c r="Z753" s="146">
        <v>0.28000000000000003</v>
      </c>
      <c r="AA753" s="145">
        <v>3.81</v>
      </c>
      <c r="AB753" s="145" t="s">
        <v>400</v>
      </c>
      <c r="AC753" s="145">
        <v>7.76</v>
      </c>
      <c r="AD753" s="145">
        <v>2.7</v>
      </c>
      <c r="AE753" s="145">
        <v>9</v>
      </c>
      <c r="AF753" s="145">
        <v>0.7</v>
      </c>
      <c r="AG753" s="145">
        <v>0.59899999999999998</v>
      </c>
      <c r="AH753" s="145">
        <v>0.25700000000000001</v>
      </c>
      <c r="AI753" s="145">
        <v>333</v>
      </c>
      <c r="AJ753" s="145">
        <v>35.57</v>
      </c>
      <c r="AK753" s="145" t="s">
        <v>400</v>
      </c>
      <c r="AL753" s="145" t="s">
        <v>400</v>
      </c>
      <c r="AM753" s="145" t="s">
        <v>400</v>
      </c>
    </row>
    <row r="754" spans="1:39">
      <c r="A754" s="143" t="s">
        <v>1814</v>
      </c>
      <c r="B754" s="144">
        <v>100</v>
      </c>
      <c r="C754" s="145">
        <v>164</v>
      </c>
      <c r="D754" s="145">
        <v>29.16</v>
      </c>
      <c r="E754" s="145">
        <v>4.0359999999999996</v>
      </c>
      <c r="F754" s="145">
        <v>1.381</v>
      </c>
      <c r="G754" s="145">
        <v>1.605</v>
      </c>
      <c r="H754" s="145">
        <v>0.191</v>
      </c>
      <c r="I754" s="145">
        <v>0.15</v>
      </c>
      <c r="J754" s="145">
        <v>1.7000000000000001E-2</v>
      </c>
      <c r="K754" s="145">
        <v>72</v>
      </c>
      <c r="L754" s="145">
        <v>1.0760000000000001</v>
      </c>
      <c r="M754" s="145">
        <v>0.3</v>
      </c>
      <c r="N754" s="145">
        <v>5.8</v>
      </c>
      <c r="O754" s="145">
        <v>24</v>
      </c>
      <c r="P754" s="145">
        <v>3.5999999999999997E-2</v>
      </c>
      <c r="Q754" s="145">
        <v>186</v>
      </c>
      <c r="R754" s="145">
        <v>2.86</v>
      </c>
      <c r="S754" s="145">
        <v>140.80000000000001</v>
      </c>
      <c r="T754" s="145">
        <v>333.4</v>
      </c>
      <c r="U754" s="145">
        <v>0.123</v>
      </c>
      <c r="V754" s="145">
        <v>3.6880000000000002</v>
      </c>
      <c r="W754" s="145" t="s">
        <v>400</v>
      </c>
      <c r="X754" s="145">
        <v>6.0999999999999999E-2</v>
      </c>
      <c r="Y754" s="145">
        <v>0.21299999999999999</v>
      </c>
      <c r="Z754" s="146">
        <v>0.24299999999999999</v>
      </c>
      <c r="AA754" s="145">
        <v>3.2429999999999999</v>
      </c>
      <c r="AB754" s="145">
        <v>1.4</v>
      </c>
      <c r="AC754" s="145">
        <v>6.4359999999999999</v>
      </c>
      <c r="AD754" s="145">
        <v>2.16</v>
      </c>
      <c r="AE754" s="145">
        <v>9.4</v>
      </c>
      <c r="AF754" s="145">
        <v>0.56000000000000005</v>
      </c>
      <c r="AG754" s="145">
        <v>0.39600000000000002</v>
      </c>
      <c r="AH754" s="145">
        <v>0.182</v>
      </c>
      <c r="AI754" s="145">
        <v>333</v>
      </c>
      <c r="AJ754" s="145">
        <v>26.44</v>
      </c>
      <c r="AK754" s="145">
        <v>3.4830000000000001</v>
      </c>
      <c r="AL754" s="145">
        <v>0.85</v>
      </c>
      <c r="AM754" s="145" t="s">
        <v>400</v>
      </c>
    </row>
    <row r="755" spans="1:39">
      <c r="A755" s="143" t="s">
        <v>1815</v>
      </c>
      <c r="B755" s="144">
        <v>100</v>
      </c>
      <c r="C755" s="145">
        <v>199</v>
      </c>
      <c r="D755" s="145">
        <v>36.119999999999997</v>
      </c>
      <c r="E755" s="145">
        <v>5</v>
      </c>
      <c r="F755" s="145">
        <v>1.72</v>
      </c>
      <c r="G755" s="145">
        <v>2</v>
      </c>
      <c r="H755" s="145">
        <v>0.22</v>
      </c>
      <c r="I755" s="145">
        <v>0.17</v>
      </c>
      <c r="J755" s="145">
        <v>0.02</v>
      </c>
      <c r="K755" s="145">
        <v>90</v>
      </c>
      <c r="L755" s="145" t="s">
        <v>400</v>
      </c>
      <c r="M755" s="145" t="s">
        <v>400</v>
      </c>
      <c r="N755" s="145">
        <v>4</v>
      </c>
      <c r="O755" s="145">
        <v>26</v>
      </c>
      <c r="P755" s="145">
        <v>1.7999999999999999E-2</v>
      </c>
      <c r="Q755" s="145">
        <v>226</v>
      </c>
      <c r="R755" s="145">
        <v>3.32</v>
      </c>
      <c r="S755" s="145">
        <v>45</v>
      </c>
      <c r="T755" s="145">
        <v>334</v>
      </c>
      <c r="U755" s="145">
        <v>0.124</v>
      </c>
      <c r="V755" s="145">
        <v>4.5599999999999996</v>
      </c>
      <c r="W755" s="145" t="s">
        <v>400</v>
      </c>
      <c r="X755" s="145">
        <v>7.0000000000000007E-2</v>
      </c>
      <c r="Y755" s="145">
        <v>0.25</v>
      </c>
      <c r="Z755" s="146">
        <v>0.28000000000000003</v>
      </c>
      <c r="AA755" s="145">
        <v>3.81</v>
      </c>
      <c r="AB755" s="145" t="s">
        <v>400</v>
      </c>
      <c r="AC755" s="145">
        <v>7.76</v>
      </c>
      <c r="AD755" s="145">
        <v>2.7</v>
      </c>
      <c r="AE755" s="145">
        <v>9</v>
      </c>
      <c r="AF755" s="145">
        <v>0.7</v>
      </c>
      <c r="AG755" s="145">
        <v>0.14000000000000001</v>
      </c>
      <c r="AH755" s="145">
        <v>0.22700000000000001</v>
      </c>
      <c r="AI755" s="145">
        <v>333</v>
      </c>
      <c r="AJ755" s="145">
        <v>33</v>
      </c>
      <c r="AK755" s="145" t="s">
        <v>400</v>
      </c>
      <c r="AL755" s="145" t="s">
        <v>400</v>
      </c>
      <c r="AM755" s="145" t="s">
        <v>400</v>
      </c>
    </row>
    <row r="756" spans="1:39">
      <c r="A756" s="143" t="s">
        <v>1816</v>
      </c>
      <c r="B756" s="144">
        <v>100</v>
      </c>
      <c r="C756" s="145">
        <v>199</v>
      </c>
      <c r="D756" s="145">
        <v>36.119999999999997</v>
      </c>
      <c r="E756" s="145">
        <v>5</v>
      </c>
      <c r="F756" s="145">
        <v>1.72</v>
      </c>
      <c r="G756" s="145">
        <v>2</v>
      </c>
      <c r="H756" s="145">
        <v>0.22</v>
      </c>
      <c r="I756" s="145">
        <v>0.17</v>
      </c>
      <c r="J756" s="145">
        <v>0.02</v>
      </c>
      <c r="K756" s="145">
        <v>90</v>
      </c>
      <c r="L756" s="145" t="s">
        <v>400</v>
      </c>
      <c r="M756" s="145" t="s">
        <v>400</v>
      </c>
      <c r="N756" s="145">
        <v>4</v>
      </c>
      <c r="O756" s="145">
        <v>26</v>
      </c>
      <c r="P756" s="145">
        <v>1.7999999999999999E-2</v>
      </c>
      <c r="Q756" s="145">
        <v>226</v>
      </c>
      <c r="R756" s="145">
        <v>3.32</v>
      </c>
      <c r="S756" s="145">
        <v>45</v>
      </c>
      <c r="T756" s="145">
        <v>334</v>
      </c>
      <c r="U756" s="145">
        <v>0.124</v>
      </c>
      <c r="V756" s="145">
        <v>4.5599999999999996</v>
      </c>
      <c r="W756" s="145" t="s">
        <v>400</v>
      </c>
      <c r="X756" s="145">
        <v>7.0000000000000007E-2</v>
      </c>
      <c r="Y756" s="145">
        <v>0.25</v>
      </c>
      <c r="Z756" s="146">
        <v>0.28000000000000003</v>
      </c>
      <c r="AA756" s="145">
        <v>3.81</v>
      </c>
      <c r="AB756" s="145" t="s">
        <v>400</v>
      </c>
      <c r="AC756" s="145">
        <v>7.76</v>
      </c>
      <c r="AD756" s="145">
        <v>2.7</v>
      </c>
      <c r="AE756" s="145">
        <v>9</v>
      </c>
      <c r="AF756" s="145">
        <v>0.7</v>
      </c>
      <c r="AG756" s="145">
        <v>0.14000000000000001</v>
      </c>
      <c r="AH756" s="145">
        <v>0.22700000000000001</v>
      </c>
      <c r="AI756" s="145">
        <v>333</v>
      </c>
      <c r="AJ756" s="145">
        <v>33</v>
      </c>
      <c r="AK756" s="145" t="s">
        <v>400</v>
      </c>
      <c r="AL756" s="145" t="s">
        <v>400</v>
      </c>
      <c r="AM756" s="145" t="s">
        <v>400</v>
      </c>
    </row>
    <row r="757" spans="1:39">
      <c r="A757" s="143" t="s">
        <v>1817</v>
      </c>
      <c r="B757" s="144">
        <v>100</v>
      </c>
      <c r="C757" s="145">
        <v>248.56700000000001</v>
      </c>
      <c r="D757" s="145">
        <v>36.119999999999997</v>
      </c>
      <c r="E757" s="145">
        <v>10.606999999999999</v>
      </c>
      <c r="F757" s="145">
        <v>2.5979999999999999</v>
      </c>
      <c r="G757" s="145">
        <v>3.2770000000000001</v>
      </c>
      <c r="H757" s="145">
        <v>3.4580000000000002</v>
      </c>
      <c r="I757" s="145">
        <v>3.0270000000000001</v>
      </c>
      <c r="J757" s="145">
        <v>0.40100000000000002</v>
      </c>
      <c r="K757" s="145">
        <v>90</v>
      </c>
      <c r="L757" s="145" t="s">
        <v>400</v>
      </c>
      <c r="M757" s="145" t="s">
        <v>400</v>
      </c>
      <c r="N757" s="145">
        <v>4</v>
      </c>
      <c r="O757" s="145">
        <v>26</v>
      </c>
      <c r="P757" s="145">
        <v>1.7999999999999999E-2</v>
      </c>
      <c r="Q757" s="145">
        <v>226</v>
      </c>
      <c r="R757" s="145">
        <v>3.323</v>
      </c>
      <c r="S757" s="145">
        <v>45</v>
      </c>
      <c r="T757" s="145">
        <v>334</v>
      </c>
      <c r="U757" s="145">
        <v>0.124</v>
      </c>
      <c r="V757" s="145">
        <v>4.5609999999999999</v>
      </c>
      <c r="W757" s="145" t="s">
        <v>400</v>
      </c>
      <c r="X757" s="145">
        <v>7.0000000000000007E-2</v>
      </c>
      <c r="Y757" s="145">
        <v>0.25</v>
      </c>
      <c r="Z757" s="146">
        <v>0.28000000000000003</v>
      </c>
      <c r="AA757" s="145">
        <v>3.81</v>
      </c>
      <c r="AB757" s="145" t="s">
        <v>400</v>
      </c>
      <c r="AC757" s="145">
        <v>7.76</v>
      </c>
      <c r="AD757" s="145">
        <v>2.7</v>
      </c>
      <c r="AE757" s="145">
        <v>9</v>
      </c>
      <c r="AF757" s="145">
        <v>0.7</v>
      </c>
      <c r="AG757" s="145">
        <v>0.59899999999999998</v>
      </c>
      <c r="AH757" s="145">
        <v>0.25700000000000001</v>
      </c>
      <c r="AI757" s="145">
        <v>333</v>
      </c>
      <c r="AJ757" s="145">
        <v>35.57</v>
      </c>
      <c r="AK757" s="145" t="s">
        <v>400</v>
      </c>
      <c r="AL757" s="145" t="s">
        <v>400</v>
      </c>
      <c r="AM757" s="145" t="s">
        <v>400</v>
      </c>
    </row>
    <row r="758" spans="1:39">
      <c r="A758" s="143" t="s">
        <v>1818</v>
      </c>
      <c r="B758" s="144">
        <v>100</v>
      </c>
      <c r="C758" s="145">
        <v>199</v>
      </c>
      <c r="D758" s="145">
        <v>36.119999999999997</v>
      </c>
      <c r="E758" s="145">
        <v>5</v>
      </c>
      <c r="F758" s="145">
        <v>1.72</v>
      </c>
      <c r="G758" s="145">
        <v>2</v>
      </c>
      <c r="H758" s="145">
        <v>0.22</v>
      </c>
      <c r="I758" s="145">
        <v>0.17</v>
      </c>
      <c r="J758" s="145">
        <v>0.02</v>
      </c>
      <c r="K758" s="145">
        <v>90</v>
      </c>
      <c r="L758" s="145" t="s">
        <v>400</v>
      </c>
      <c r="M758" s="145" t="s">
        <v>400</v>
      </c>
      <c r="N758" s="145">
        <v>4</v>
      </c>
      <c r="O758" s="145">
        <v>26</v>
      </c>
      <c r="P758" s="145">
        <v>1.7999999999999999E-2</v>
      </c>
      <c r="Q758" s="145">
        <v>226</v>
      </c>
      <c r="R758" s="145">
        <v>3.32</v>
      </c>
      <c r="S758" s="145">
        <v>45</v>
      </c>
      <c r="T758" s="145">
        <v>334</v>
      </c>
      <c r="U758" s="145">
        <v>0.124</v>
      </c>
      <c r="V758" s="145">
        <v>4.5599999999999996</v>
      </c>
      <c r="W758" s="145" t="s">
        <v>400</v>
      </c>
      <c r="X758" s="145">
        <v>7.0000000000000007E-2</v>
      </c>
      <c r="Y758" s="145">
        <v>0.25</v>
      </c>
      <c r="Z758" s="146">
        <v>0.28000000000000003</v>
      </c>
      <c r="AA758" s="145">
        <v>3.81</v>
      </c>
      <c r="AB758" s="145" t="s">
        <v>400</v>
      </c>
      <c r="AC758" s="145">
        <v>7.76</v>
      </c>
      <c r="AD758" s="145">
        <v>2.7</v>
      </c>
      <c r="AE758" s="145">
        <v>9</v>
      </c>
      <c r="AF758" s="145">
        <v>0.7</v>
      </c>
      <c r="AG758" s="145">
        <v>0.14000000000000001</v>
      </c>
      <c r="AH758" s="145">
        <v>0.22700000000000001</v>
      </c>
      <c r="AI758" s="145">
        <v>333</v>
      </c>
      <c r="AJ758" s="145">
        <v>33</v>
      </c>
      <c r="AK758" s="145" t="s">
        <v>400</v>
      </c>
      <c r="AL758" s="145" t="s">
        <v>400</v>
      </c>
      <c r="AM758" s="145" t="s">
        <v>400</v>
      </c>
    </row>
    <row r="759" spans="1:39">
      <c r="A759" s="143" t="s">
        <v>1819</v>
      </c>
      <c r="B759" s="144">
        <v>100</v>
      </c>
      <c r="C759" s="145">
        <v>199</v>
      </c>
      <c r="D759" s="145">
        <v>36.119999999999997</v>
      </c>
      <c r="E759" s="145">
        <v>5</v>
      </c>
      <c r="F759" s="145">
        <v>1.72</v>
      </c>
      <c r="G759" s="145">
        <v>2</v>
      </c>
      <c r="H759" s="145">
        <v>0.22</v>
      </c>
      <c r="I759" s="145">
        <v>0.17</v>
      </c>
      <c r="J759" s="145">
        <v>0.02</v>
      </c>
      <c r="K759" s="145">
        <v>90</v>
      </c>
      <c r="L759" s="145" t="s">
        <v>400</v>
      </c>
      <c r="M759" s="145" t="s">
        <v>400</v>
      </c>
      <c r="N759" s="145">
        <v>4</v>
      </c>
      <c r="O759" s="145">
        <v>26</v>
      </c>
      <c r="P759" s="145">
        <v>1.7999999999999999E-2</v>
      </c>
      <c r="Q759" s="145">
        <v>226</v>
      </c>
      <c r="R759" s="145">
        <v>3.32</v>
      </c>
      <c r="S759" s="145">
        <v>45</v>
      </c>
      <c r="T759" s="145">
        <v>334</v>
      </c>
      <c r="U759" s="145">
        <v>0.124</v>
      </c>
      <c r="V759" s="145">
        <v>4.5599999999999996</v>
      </c>
      <c r="W759" s="145" t="s">
        <v>400</v>
      </c>
      <c r="X759" s="145">
        <v>7.0000000000000007E-2</v>
      </c>
      <c r="Y759" s="145">
        <v>0.25</v>
      </c>
      <c r="Z759" s="146">
        <v>0.28000000000000003</v>
      </c>
      <c r="AA759" s="145">
        <v>3.81</v>
      </c>
      <c r="AB759" s="145" t="s">
        <v>400</v>
      </c>
      <c r="AC759" s="145">
        <v>7.76</v>
      </c>
      <c r="AD759" s="145">
        <v>2.7</v>
      </c>
      <c r="AE759" s="145">
        <v>9</v>
      </c>
      <c r="AF759" s="145">
        <v>0.7</v>
      </c>
      <c r="AG759" s="145">
        <v>0.14000000000000001</v>
      </c>
      <c r="AH759" s="145">
        <v>0.22700000000000001</v>
      </c>
      <c r="AI759" s="145">
        <v>333</v>
      </c>
      <c r="AJ759" s="145">
        <v>33</v>
      </c>
      <c r="AK759" s="145" t="s">
        <v>400</v>
      </c>
      <c r="AL759" s="145" t="s">
        <v>400</v>
      </c>
      <c r="AM759" s="145" t="s">
        <v>400</v>
      </c>
    </row>
    <row r="760" spans="1:39">
      <c r="A760" s="143" t="s">
        <v>1820</v>
      </c>
      <c r="B760" s="144">
        <v>100</v>
      </c>
      <c r="C760" s="145">
        <v>199</v>
      </c>
      <c r="D760" s="145">
        <v>36.119999999999997</v>
      </c>
      <c r="E760" s="145">
        <v>5</v>
      </c>
      <c r="F760" s="145">
        <v>1.72</v>
      </c>
      <c r="G760" s="145">
        <v>2</v>
      </c>
      <c r="H760" s="145">
        <v>0.22</v>
      </c>
      <c r="I760" s="145">
        <v>0.17</v>
      </c>
      <c r="J760" s="145">
        <v>0.02</v>
      </c>
      <c r="K760" s="145">
        <v>90</v>
      </c>
      <c r="L760" s="145" t="s">
        <v>400</v>
      </c>
      <c r="M760" s="145" t="s">
        <v>400</v>
      </c>
      <c r="N760" s="145">
        <v>4</v>
      </c>
      <c r="O760" s="145">
        <v>26</v>
      </c>
      <c r="P760" s="145">
        <v>1.7999999999999999E-2</v>
      </c>
      <c r="Q760" s="145">
        <v>226</v>
      </c>
      <c r="R760" s="145">
        <v>3.32</v>
      </c>
      <c r="S760" s="145">
        <v>45</v>
      </c>
      <c r="T760" s="145">
        <v>334</v>
      </c>
      <c r="U760" s="145">
        <v>0.124</v>
      </c>
      <c r="V760" s="145">
        <v>4.5599999999999996</v>
      </c>
      <c r="W760" s="145" t="s">
        <v>400</v>
      </c>
      <c r="X760" s="145">
        <v>7.0000000000000007E-2</v>
      </c>
      <c r="Y760" s="145">
        <v>0.25</v>
      </c>
      <c r="Z760" s="146">
        <v>0.28000000000000003</v>
      </c>
      <c r="AA760" s="145">
        <v>3.81</v>
      </c>
      <c r="AB760" s="145" t="s">
        <v>400</v>
      </c>
      <c r="AC760" s="145">
        <v>7.76</v>
      </c>
      <c r="AD760" s="145">
        <v>2.7</v>
      </c>
      <c r="AE760" s="145">
        <v>9</v>
      </c>
      <c r="AF760" s="145">
        <v>0.7</v>
      </c>
      <c r="AG760" s="145">
        <v>0.14000000000000001</v>
      </c>
      <c r="AH760" s="145">
        <v>0.22700000000000001</v>
      </c>
      <c r="AI760" s="145">
        <v>333</v>
      </c>
      <c r="AJ760" s="145">
        <v>33</v>
      </c>
      <c r="AK760" s="145" t="s">
        <v>400</v>
      </c>
      <c r="AL760" s="145" t="s">
        <v>400</v>
      </c>
      <c r="AM760" s="145" t="s">
        <v>400</v>
      </c>
    </row>
    <row r="761" spans="1:39">
      <c r="A761" s="143" t="s">
        <v>1821</v>
      </c>
      <c r="B761" s="144">
        <v>100</v>
      </c>
      <c r="C761" s="145">
        <v>199</v>
      </c>
      <c r="D761" s="145">
        <v>36.119999999999997</v>
      </c>
      <c r="E761" s="145">
        <v>5</v>
      </c>
      <c r="F761" s="145">
        <v>1.72</v>
      </c>
      <c r="G761" s="145">
        <v>2</v>
      </c>
      <c r="H761" s="145">
        <v>0.22</v>
      </c>
      <c r="I761" s="145">
        <v>0.17</v>
      </c>
      <c r="J761" s="145">
        <v>0.02</v>
      </c>
      <c r="K761" s="145">
        <v>90</v>
      </c>
      <c r="L761" s="145" t="s">
        <v>400</v>
      </c>
      <c r="M761" s="145" t="s">
        <v>400</v>
      </c>
      <c r="N761" s="145">
        <v>4</v>
      </c>
      <c r="O761" s="145">
        <v>26</v>
      </c>
      <c r="P761" s="145">
        <v>1.7999999999999999E-2</v>
      </c>
      <c r="Q761" s="145">
        <v>226</v>
      </c>
      <c r="R761" s="145">
        <v>3.32</v>
      </c>
      <c r="S761" s="145">
        <v>45</v>
      </c>
      <c r="T761" s="145">
        <v>334</v>
      </c>
      <c r="U761" s="145">
        <v>0.124</v>
      </c>
      <c r="V761" s="145">
        <v>4.5599999999999996</v>
      </c>
      <c r="W761" s="145" t="s">
        <v>400</v>
      </c>
      <c r="X761" s="145">
        <v>7.0000000000000007E-2</v>
      </c>
      <c r="Y761" s="145">
        <v>0.25</v>
      </c>
      <c r="Z761" s="146">
        <v>0.28000000000000003</v>
      </c>
      <c r="AA761" s="145">
        <v>3.81</v>
      </c>
      <c r="AB761" s="145" t="s">
        <v>400</v>
      </c>
      <c r="AC761" s="145">
        <v>7.76</v>
      </c>
      <c r="AD761" s="145">
        <v>2.7</v>
      </c>
      <c r="AE761" s="145">
        <v>9</v>
      </c>
      <c r="AF761" s="145">
        <v>0.7</v>
      </c>
      <c r="AG761" s="145">
        <v>0.14000000000000001</v>
      </c>
      <c r="AH761" s="145">
        <v>0.22700000000000001</v>
      </c>
      <c r="AI761" s="145">
        <v>333</v>
      </c>
      <c r="AJ761" s="145">
        <v>33</v>
      </c>
      <c r="AK761" s="145" t="s">
        <v>400</v>
      </c>
      <c r="AL761" s="145" t="s">
        <v>400</v>
      </c>
      <c r="AM761" s="145" t="s">
        <v>400</v>
      </c>
    </row>
    <row r="762" spans="1:39">
      <c r="A762" s="143" t="s">
        <v>1822</v>
      </c>
      <c r="B762" s="144">
        <v>100</v>
      </c>
      <c r="C762" s="145">
        <v>199</v>
      </c>
      <c r="D762" s="145">
        <v>36.119999999999997</v>
      </c>
      <c r="E762" s="145">
        <v>5</v>
      </c>
      <c r="F762" s="145">
        <v>1.72</v>
      </c>
      <c r="G762" s="145">
        <v>2</v>
      </c>
      <c r="H762" s="145">
        <v>0.22</v>
      </c>
      <c r="I762" s="145">
        <v>0.17</v>
      </c>
      <c r="J762" s="145">
        <v>0.02</v>
      </c>
      <c r="K762" s="145">
        <v>90</v>
      </c>
      <c r="L762" s="145" t="s">
        <v>400</v>
      </c>
      <c r="M762" s="145" t="s">
        <v>400</v>
      </c>
      <c r="N762" s="145">
        <v>4</v>
      </c>
      <c r="O762" s="145">
        <v>26</v>
      </c>
      <c r="P762" s="145">
        <v>1.7999999999999999E-2</v>
      </c>
      <c r="Q762" s="145">
        <v>226</v>
      </c>
      <c r="R762" s="145">
        <v>3.32</v>
      </c>
      <c r="S762" s="145">
        <v>45</v>
      </c>
      <c r="T762" s="145">
        <v>334</v>
      </c>
      <c r="U762" s="145">
        <v>0.124</v>
      </c>
      <c r="V762" s="145">
        <v>4.5599999999999996</v>
      </c>
      <c r="W762" s="145" t="s">
        <v>400</v>
      </c>
      <c r="X762" s="145">
        <v>7.0000000000000007E-2</v>
      </c>
      <c r="Y762" s="145">
        <v>0.25</v>
      </c>
      <c r="Z762" s="146">
        <v>0.28000000000000003</v>
      </c>
      <c r="AA762" s="145">
        <v>3.81</v>
      </c>
      <c r="AB762" s="145" t="s">
        <v>400</v>
      </c>
      <c r="AC762" s="145">
        <v>7.76</v>
      </c>
      <c r="AD762" s="145">
        <v>2.7</v>
      </c>
      <c r="AE762" s="145">
        <v>9</v>
      </c>
      <c r="AF762" s="145">
        <v>0.7</v>
      </c>
      <c r="AG762" s="145">
        <v>0.14000000000000001</v>
      </c>
      <c r="AH762" s="145">
        <v>0.22700000000000001</v>
      </c>
      <c r="AI762" s="145">
        <v>333</v>
      </c>
      <c r="AJ762" s="145">
        <v>33</v>
      </c>
      <c r="AK762" s="145" t="s">
        <v>400</v>
      </c>
      <c r="AL762" s="145" t="s">
        <v>400</v>
      </c>
      <c r="AM762" s="145" t="s">
        <v>400</v>
      </c>
    </row>
    <row r="763" spans="1:39">
      <c r="A763" s="143" t="s">
        <v>1823</v>
      </c>
      <c r="B763" s="144">
        <v>100</v>
      </c>
      <c r="C763" s="145">
        <v>248.56700000000001</v>
      </c>
      <c r="D763" s="145">
        <v>36.119999999999997</v>
      </c>
      <c r="E763" s="145">
        <v>10.606999999999999</v>
      </c>
      <c r="F763" s="145">
        <v>2.5979999999999999</v>
      </c>
      <c r="G763" s="145">
        <v>3.2770000000000001</v>
      </c>
      <c r="H763" s="145">
        <v>3.4580000000000002</v>
      </c>
      <c r="I763" s="145">
        <v>3.0270000000000001</v>
      </c>
      <c r="J763" s="145">
        <v>0.40100000000000002</v>
      </c>
      <c r="K763" s="145">
        <v>90</v>
      </c>
      <c r="L763" s="145" t="s">
        <v>400</v>
      </c>
      <c r="M763" s="145" t="s">
        <v>400</v>
      </c>
      <c r="N763" s="145">
        <v>4</v>
      </c>
      <c r="O763" s="145">
        <v>26</v>
      </c>
      <c r="P763" s="145">
        <v>1.7999999999999999E-2</v>
      </c>
      <c r="Q763" s="145">
        <v>226</v>
      </c>
      <c r="R763" s="145">
        <v>3.323</v>
      </c>
      <c r="S763" s="145">
        <v>45</v>
      </c>
      <c r="T763" s="145">
        <v>334</v>
      </c>
      <c r="U763" s="145">
        <v>0.124</v>
      </c>
      <c r="V763" s="145">
        <v>4.5609999999999999</v>
      </c>
      <c r="W763" s="145" t="s">
        <v>400</v>
      </c>
      <c r="X763" s="145">
        <v>7.0000000000000007E-2</v>
      </c>
      <c r="Y763" s="145">
        <v>0.25</v>
      </c>
      <c r="Z763" s="146">
        <v>0.28000000000000003</v>
      </c>
      <c r="AA763" s="145">
        <v>3.81</v>
      </c>
      <c r="AB763" s="145" t="s">
        <v>400</v>
      </c>
      <c r="AC763" s="145">
        <v>7.76</v>
      </c>
      <c r="AD763" s="145">
        <v>2.7</v>
      </c>
      <c r="AE763" s="145">
        <v>9</v>
      </c>
      <c r="AF763" s="145">
        <v>0.7</v>
      </c>
      <c r="AG763" s="145">
        <v>0.59899999999999998</v>
      </c>
      <c r="AH763" s="145">
        <v>0.25700000000000001</v>
      </c>
      <c r="AI763" s="145">
        <v>333</v>
      </c>
      <c r="AJ763" s="145">
        <v>35.57</v>
      </c>
      <c r="AK763" s="145" t="s">
        <v>400</v>
      </c>
      <c r="AL763" s="145" t="s">
        <v>400</v>
      </c>
      <c r="AM763" s="145" t="s">
        <v>400</v>
      </c>
    </row>
    <row r="764" spans="1:39">
      <c r="A764" s="143" t="s">
        <v>1824</v>
      </c>
      <c r="B764" s="144">
        <v>100</v>
      </c>
      <c r="C764" s="145">
        <v>248.56700000000001</v>
      </c>
      <c r="D764" s="145">
        <v>36.119999999999997</v>
      </c>
      <c r="E764" s="145">
        <v>10.606999999999999</v>
      </c>
      <c r="F764" s="145">
        <v>2.5979999999999999</v>
      </c>
      <c r="G764" s="145">
        <v>3.2770000000000001</v>
      </c>
      <c r="H764" s="145">
        <v>3.4580000000000002</v>
      </c>
      <c r="I764" s="145">
        <v>3.0270000000000001</v>
      </c>
      <c r="J764" s="145">
        <v>0.40100000000000002</v>
      </c>
      <c r="K764" s="145">
        <v>90</v>
      </c>
      <c r="L764" s="145" t="s">
        <v>400</v>
      </c>
      <c r="M764" s="145" t="s">
        <v>400</v>
      </c>
      <c r="N764" s="145">
        <v>4</v>
      </c>
      <c r="O764" s="145">
        <v>26</v>
      </c>
      <c r="P764" s="145">
        <v>1.7999999999999999E-2</v>
      </c>
      <c r="Q764" s="145">
        <v>226</v>
      </c>
      <c r="R764" s="145">
        <v>3.323</v>
      </c>
      <c r="S764" s="145">
        <v>45</v>
      </c>
      <c r="T764" s="145">
        <v>334</v>
      </c>
      <c r="U764" s="145">
        <v>0.124</v>
      </c>
      <c r="V764" s="145">
        <v>4.5609999999999999</v>
      </c>
      <c r="W764" s="145" t="s">
        <v>400</v>
      </c>
      <c r="X764" s="145">
        <v>7.0000000000000007E-2</v>
      </c>
      <c r="Y764" s="145">
        <v>0.25</v>
      </c>
      <c r="Z764" s="146">
        <v>0.28000000000000003</v>
      </c>
      <c r="AA764" s="145">
        <v>3.81</v>
      </c>
      <c r="AB764" s="145" t="s">
        <v>400</v>
      </c>
      <c r="AC764" s="145">
        <v>7.76</v>
      </c>
      <c r="AD764" s="145">
        <v>2.7</v>
      </c>
      <c r="AE764" s="145">
        <v>9</v>
      </c>
      <c r="AF764" s="145">
        <v>0.7</v>
      </c>
      <c r="AG764" s="145">
        <v>0.59899999999999998</v>
      </c>
      <c r="AH764" s="145">
        <v>0.25700000000000001</v>
      </c>
      <c r="AI764" s="145">
        <v>333</v>
      </c>
      <c r="AJ764" s="145">
        <v>35.57</v>
      </c>
      <c r="AK764" s="145" t="s">
        <v>400</v>
      </c>
      <c r="AL764" s="145" t="s">
        <v>400</v>
      </c>
      <c r="AM764" s="145" t="s">
        <v>400</v>
      </c>
    </row>
    <row r="765" spans="1:39">
      <c r="A765" s="143" t="s">
        <v>1825</v>
      </c>
      <c r="B765" s="144">
        <v>100</v>
      </c>
      <c r="C765" s="145">
        <v>199</v>
      </c>
      <c r="D765" s="145">
        <v>36.119999999999997</v>
      </c>
      <c r="E765" s="145">
        <v>5</v>
      </c>
      <c r="F765" s="145">
        <v>1.72</v>
      </c>
      <c r="G765" s="145">
        <v>2</v>
      </c>
      <c r="H765" s="145">
        <v>0.22</v>
      </c>
      <c r="I765" s="145">
        <v>0.17</v>
      </c>
      <c r="J765" s="145">
        <v>0.02</v>
      </c>
      <c r="K765" s="145">
        <v>90</v>
      </c>
      <c r="L765" s="145" t="s">
        <v>400</v>
      </c>
      <c r="M765" s="145" t="s">
        <v>400</v>
      </c>
      <c r="N765" s="145">
        <v>4</v>
      </c>
      <c r="O765" s="145">
        <v>26</v>
      </c>
      <c r="P765" s="145">
        <v>1.7999999999999999E-2</v>
      </c>
      <c r="Q765" s="145">
        <v>226</v>
      </c>
      <c r="R765" s="145">
        <v>3.32</v>
      </c>
      <c r="S765" s="145">
        <v>45</v>
      </c>
      <c r="T765" s="145">
        <v>334</v>
      </c>
      <c r="U765" s="145">
        <v>0.124</v>
      </c>
      <c r="V765" s="145">
        <v>4.5599999999999996</v>
      </c>
      <c r="W765" s="145" t="s">
        <v>400</v>
      </c>
      <c r="X765" s="145">
        <v>7.0000000000000007E-2</v>
      </c>
      <c r="Y765" s="145">
        <v>0.25</v>
      </c>
      <c r="Z765" s="146">
        <v>0.28000000000000003</v>
      </c>
      <c r="AA765" s="145">
        <v>3.81</v>
      </c>
      <c r="AB765" s="145" t="s">
        <v>400</v>
      </c>
      <c r="AC765" s="145">
        <v>7.76</v>
      </c>
      <c r="AD765" s="145">
        <v>2.7</v>
      </c>
      <c r="AE765" s="145">
        <v>9</v>
      </c>
      <c r="AF765" s="145">
        <v>0.7</v>
      </c>
      <c r="AG765" s="145">
        <v>0.14000000000000001</v>
      </c>
      <c r="AH765" s="145">
        <v>0.22700000000000001</v>
      </c>
      <c r="AI765" s="145">
        <v>333</v>
      </c>
      <c r="AJ765" s="145">
        <v>33</v>
      </c>
      <c r="AK765" s="145" t="s">
        <v>400</v>
      </c>
      <c r="AL765" s="145" t="s">
        <v>400</v>
      </c>
      <c r="AM765" s="145" t="s">
        <v>400</v>
      </c>
    </row>
    <row r="766" spans="1:39">
      <c r="A766" s="143" t="s">
        <v>1826</v>
      </c>
      <c r="B766" s="144">
        <v>100</v>
      </c>
      <c r="C766" s="145">
        <v>242</v>
      </c>
      <c r="D766" s="145">
        <v>24.22</v>
      </c>
      <c r="E766" s="145">
        <v>15.42</v>
      </c>
      <c r="F766" s="145">
        <v>5.7380000000000004</v>
      </c>
      <c r="G766" s="145">
        <v>7.0019999999999998</v>
      </c>
      <c r="H766" s="145">
        <v>0.61299999999999999</v>
      </c>
      <c r="I766" s="145">
        <v>0.41599999999999998</v>
      </c>
      <c r="J766" s="145">
        <v>0.16400000000000001</v>
      </c>
      <c r="K766" s="145">
        <v>75</v>
      </c>
      <c r="L766" s="145" t="s">
        <v>400</v>
      </c>
      <c r="M766" s="145" t="s">
        <v>400</v>
      </c>
      <c r="N766" s="145">
        <v>8</v>
      </c>
      <c r="O766" s="145">
        <v>20</v>
      </c>
      <c r="P766" s="145">
        <v>1E-3</v>
      </c>
      <c r="Q766" s="145">
        <v>196</v>
      </c>
      <c r="R766" s="145">
        <v>2.81</v>
      </c>
      <c r="S766" s="145">
        <v>67</v>
      </c>
      <c r="T766" s="145">
        <v>337</v>
      </c>
      <c r="U766" s="145">
        <v>9.2999999999999999E-2</v>
      </c>
      <c r="V766" s="145">
        <v>5.71</v>
      </c>
      <c r="W766" s="145" t="s">
        <v>400</v>
      </c>
      <c r="X766" s="145">
        <v>8.1000000000000003E-2</v>
      </c>
      <c r="Y766" s="145">
        <v>0.22600000000000001</v>
      </c>
      <c r="Z766" s="146">
        <v>0.255</v>
      </c>
      <c r="AA766" s="145">
        <v>3.2069999999999999</v>
      </c>
      <c r="AB766" s="145" t="s">
        <v>400</v>
      </c>
      <c r="AC766" s="145">
        <v>7.5739999999999998</v>
      </c>
      <c r="AD766" s="145">
        <v>2.83</v>
      </c>
      <c r="AE766" s="145">
        <v>9</v>
      </c>
      <c r="AF766" s="145">
        <v>0.7</v>
      </c>
      <c r="AG766" s="145">
        <v>0.14000000000000001</v>
      </c>
      <c r="AH766" s="145">
        <v>0.68</v>
      </c>
      <c r="AI766" s="145">
        <v>333</v>
      </c>
      <c r="AJ766" s="145">
        <v>28.3</v>
      </c>
      <c r="AK766" s="145" t="s">
        <v>400</v>
      </c>
      <c r="AL766" s="145" t="s">
        <v>400</v>
      </c>
      <c r="AM766" s="145" t="s">
        <v>400</v>
      </c>
    </row>
    <row r="767" spans="1:39">
      <c r="A767" s="143" t="s">
        <v>1827</v>
      </c>
      <c r="B767" s="144">
        <v>100</v>
      </c>
      <c r="C767" s="145">
        <v>242</v>
      </c>
      <c r="D767" s="145">
        <v>24.22</v>
      </c>
      <c r="E767" s="145">
        <v>15.42</v>
      </c>
      <c r="F767" s="145">
        <v>5.7380000000000004</v>
      </c>
      <c r="G767" s="145">
        <v>7.0019999999999998</v>
      </c>
      <c r="H767" s="145">
        <v>0.61299999999999999</v>
      </c>
      <c r="I767" s="145">
        <v>0.41599999999999998</v>
      </c>
      <c r="J767" s="145">
        <v>0.16400000000000001</v>
      </c>
      <c r="K767" s="145">
        <v>75</v>
      </c>
      <c r="L767" s="145" t="s">
        <v>400</v>
      </c>
      <c r="M767" s="145" t="s">
        <v>400</v>
      </c>
      <c r="N767" s="145">
        <v>8</v>
      </c>
      <c r="O767" s="145">
        <v>20</v>
      </c>
      <c r="P767" s="145">
        <v>1E-3</v>
      </c>
      <c r="Q767" s="145">
        <v>196</v>
      </c>
      <c r="R767" s="145">
        <v>2.81</v>
      </c>
      <c r="S767" s="145">
        <v>67</v>
      </c>
      <c r="T767" s="145">
        <v>337</v>
      </c>
      <c r="U767" s="145">
        <v>9.2999999999999999E-2</v>
      </c>
      <c r="V767" s="145">
        <v>5.71</v>
      </c>
      <c r="W767" s="145" t="s">
        <v>400</v>
      </c>
      <c r="X767" s="145">
        <v>8.1000000000000003E-2</v>
      </c>
      <c r="Y767" s="145">
        <v>0.22600000000000001</v>
      </c>
      <c r="Z767" s="146">
        <v>0.255</v>
      </c>
      <c r="AA767" s="145">
        <v>3.2069999999999999</v>
      </c>
      <c r="AB767" s="145" t="s">
        <v>400</v>
      </c>
      <c r="AC767" s="145">
        <v>7.5739999999999998</v>
      </c>
      <c r="AD767" s="145">
        <v>2.83</v>
      </c>
      <c r="AE767" s="145">
        <v>9</v>
      </c>
      <c r="AF767" s="145">
        <v>0.7</v>
      </c>
      <c r="AG767" s="145">
        <v>0.14000000000000001</v>
      </c>
      <c r="AH767" s="145">
        <v>0.68</v>
      </c>
      <c r="AI767" s="145">
        <v>333</v>
      </c>
      <c r="AJ767" s="145">
        <v>28.3</v>
      </c>
      <c r="AK767" s="145" t="s">
        <v>400</v>
      </c>
      <c r="AL767" s="145" t="s">
        <v>400</v>
      </c>
      <c r="AM767" s="145" t="s">
        <v>400</v>
      </c>
    </row>
    <row r="768" spans="1:39">
      <c r="A768" s="143" t="s">
        <v>1828</v>
      </c>
      <c r="B768" s="144">
        <v>100</v>
      </c>
      <c r="C768" s="145">
        <v>264.65899999999999</v>
      </c>
      <c r="D768" s="145">
        <v>24.22</v>
      </c>
      <c r="E768" s="145">
        <v>17.983000000000001</v>
      </c>
      <c r="F768" s="145">
        <v>6.1390000000000002</v>
      </c>
      <c r="G768" s="145">
        <v>7.5860000000000003</v>
      </c>
      <c r="H768" s="145">
        <v>2.093</v>
      </c>
      <c r="I768" s="145">
        <v>1.722</v>
      </c>
      <c r="J768" s="145">
        <v>0.33800000000000002</v>
      </c>
      <c r="K768" s="145">
        <v>75</v>
      </c>
      <c r="L768" s="145" t="s">
        <v>400</v>
      </c>
      <c r="M768" s="145" t="s">
        <v>400</v>
      </c>
      <c r="N768" s="145">
        <v>8</v>
      </c>
      <c r="O768" s="145">
        <v>20</v>
      </c>
      <c r="P768" s="145">
        <v>1E-3</v>
      </c>
      <c r="Q768" s="145">
        <v>196</v>
      </c>
      <c r="R768" s="145">
        <v>2.8109999999999999</v>
      </c>
      <c r="S768" s="145">
        <v>67</v>
      </c>
      <c r="T768" s="145">
        <v>337</v>
      </c>
      <c r="U768" s="145">
        <v>9.2999999999999999E-2</v>
      </c>
      <c r="V768" s="145">
        <v>5.71</v>
      </c>
      <c r="W768" s="145" t="s">
        <v>400</v>
      </c>
      <c r="X768" s="145">
        <v>8.1000000000000003E-2</v>
      </c>
      <c r="Y768" s="145">
        <v>0.22600000000000001</v>
      </c>
      <c r="Z768" s="146">
        <v>0.255</v>
      </c>
      <c r="AA768" s="145">
        <v>3.2069999999999999</v>
      </c>
      <c r="AB768" s="145" t="s">
        <v>400</v>
      </c>
      <c r="AC768" s="145">
        <v>7.5739999999999998</v>
      </c>
      <c r="AD768" s="145">
        <v>2.83</v>
      </c>
      <c r="AE768" s="145">
        <v>9</v>
      </c>
      <c r="AF768" s="145">
        <v>0.7</v>
      </c>
      <c r="AG768" s="145">
        <v>0.35</v>
      </c>
      <c r="AH768" s="145">
        <v>0.69399999999999995</v>
      </c>
      <c r="AI768" s="145">
        <v>333</v>
      </c>
      <c r="AJ768" s="145">
        <v>29.475000000000001</v>
      </c>
      <c r="AK768" s="145" t="s">
        <v>400</v>
      </c>
      <c r="AL768" s="145" t="s">
        <v>400</v>
      </c>
      <c r="AM768" s="145" t="s">
        <v>400</v>
      </c>
    </row>
    <row r="769" spans="1:39">
      <c r="A769" s="143" t="s">
        <v>1829</v>
      </c>
      <c r="B769" s="144">
        <v>100</v>
      </c>
      <c r="C769" s="145">
        <v>280.83699999999999</v>
      </c>
      <c r="D769" s="145">
        <v>24.678999999999998</v>
      </c>
      <c r="E769" s="145">
        <v>18.027000000000001</v>
      </c>
      <c r="F769" s="145">
        <v>6.1459999999999999</v>
      </c>
      <c r="G769" s="145">
        <v>7.59</v>
      </c>
      <c r="H769" s="145">
        <v>2.1110000000000002</v>
      </c>
      <c r="I769" s="145">
        <v>1.7390000000000001</v>
      </c>
      <c r="J769" s="145">
        <v>0.33900000000000002</v>
      </c>
      <c r="K769" s="145">
        <v>75</v>
      </c>
      <c r="L769" s="145">
        <v>3.3919999999999999</v>
      </c>
      <c r="M769" s="145">
        <v>0.13500000000000001</v>
      </c>
      <c r="N769" s="145">
        <v>8.6669999999999998</v>
      </c>
      <c r="O769" s="145">
        <v>20.978000000000002</v>
      </c>
      <c r="P769" s="145">
        <v>3.1E-2</v>
      </c>
      <c r="Q769" s="145">
        <v>200.8</v>
      </c>
      <c r="R769" s="145">
        <v>3.0179999999999998</v>
      </c>
      <c r="S769" s="145">
        <v>67.088999999999999</v>
      </c>
      <c r="T769" s="145">
        <v>341.75599999999997</v>
      </c>
      <c r="U769" s="145">
        <v>9.9000000000000005E-2</v>
      </c>
      <c r="V769" s="145">
        <v>5.7409999999999997</v>
      </c>
      <c r="W769" s="145" t="s">
        <v>400</v>
      </c>
      <c r="X769" s="145">
        <v>0.11600000000000001</v>
      </c>
      <c r="Y769" s="145">
        <v>0.248</v>
      </c>
      <c r="Z769" s="146">
        <v>0.25700000000000001</v>
      </c>
      <c r="AA769" s="145">
        <v>3.4689999999999999</v>
      </c>
      <c r="AB769" s="145" t="s">
        <v>400</v>
      </c>
      <c r="AC769" s="145">
        <v>7.93</v>
      </c>
      <c r="AD769" s="145">
        <v>2.83</v>
      </c>
      <c r="AE769" s="145">
        <v>18.067</v>
      </c>
      <c r="AF769" s="145">
        <v>0.7</v>
      </c>
      <c r="AG769" s="145">
        <v>0.35199999999999998</v>
      </c>
      <c r="AH769" s="145">
        <v>0.69399999999999995</v>
      </c>
      <c r="AI769" s="145">
        <v>333</v>
      </c>
      <c r="AJ769" s="145">
        <v>30.981000000000002</v>
      </c>
      <c r="AK769" s="145" t="s">
        <v>400</v>
      </c>
      <c r="AL769" s="145">
        <v>1.4E-2</v>
      </c>
      <c r="AM769" s="145" t="s">
        <v>400</v>
      </c>
    </row>
    <row r="770" spans="1:39">
      <c r="A770" s="143" t="s">
        <v>1830</v>
      </c>
      <c r="B770" s="144">
        <v>100</v>
      </c>
      <c r="C770" s="145">
        <v>264.65899999999999</v>
      </c>
      <c r="D770" s="145">
        <v>24.22</v>
      </c>
      <c r="E770" s="145">
        <v>17.983000000000001</v>
      </c>
      <c r="F770" s="145">
        <v>6.1390000000000002</v>
      </c>
      <c r="G770" s="145">
        <v>7.5860000000000003</v>
      </c>
      <c r="H770" s="145">
        <v>2.093</v>
      </c>
      <c r="I770" s="145">
        <v>1.722</v>
      </c>
      <c r="J770" s="145">
        <v>0.33800000000000002</v>
      </c>
      <c r="K770" s="145">
        <v>75</v>
      </c>
      <c r="L770" s="145" t="s">
        <v>400</v>
      </c>
      <c r="M770" s="145" t="s">
        <v>400</v>
      </c>
      <c r="N770" s="145">
        <v>8</v>
      </c>
      <c r="O770" s="145">
        <v>20</v>
      </c>
      <c r="P770" s="145">
        <v>1E-3</v>
      </c>
      <c r="Q770" s="145">
        <v>196</v>
      </c>
      <c r="R770" s="145">
        <v>2.8109999999999999</v>
      </c>
      <c r="S770" s="145">
        <v>67</v>
      </c>
      <c r="T770" s="145">
        <v>337</v>
      </c>
      <c r="U770" s="145">
        <v>9.2999999999999999E-2</v>
      </c>
      <c r="V770" s="145">
        <v>5.71</v>
      </c>
      <c r="W770" s="145" t="s">
        <v>400</v>
      </c>
      <c r="X770" s="145">
        <v>8.1000000000000003E-2</v>
      </c>
      <c r="Y770" s="145">
        <v>0.22600000000000001</v>
      </c>
      <c r="Z770" s="146">
        <v>0.255</v>
      </c>
      <c r="AA770" s="145">
        <v>3.2069999999999999</v>
      </c>
      <c r="AB770" s="145" t="s">
        <v>400</v>
      </c>
      <c r="AC770" s="145">
        <v>7.5739999999999998</v>
      </c>
      <c r="AD770" s="145">
        <v>2.83</v>
      </c>
      <c r="AE770" s="145">
        <v>9</v>
      </c>
      <c r="AF770" s="145">
        <v>0.7</v>
      </c>
      <c r="AG770" s="145">
        <v>0.35</v>
      </c>
      <c r="AH770" s="145">
        <v>0.69399999999999995</v>
      </c>
      <c r="AI770" s="145">
        <v>333</v>
      </c>
      <c r="AJ770" s="145">
        <v>29.475000000000001</v>
      </c>
      <c r="AK770" s="145" t="s">
        <v>400</v>
      </c>
      <c r="AL770" s="145" t="s">
        <v>400</v>
      </c>
      <c r="AM770" s="145" t="s">
        <v>400</v>
      </c>
    </row>
    <row r="771" spans="1:39">
      <c r="A771" s="143" t="s">
        <v>1831</v>
      </c>
      <c r="B771" s="144">
        <v>100</v>
      </c>
      <c r="C771" s="145">
        <v>264.65899999999999</v>
      </c>
      <c r="D771" s="145">
        <v>24.22</v>
      </c>
      <c r="E771" s="145">
        <v>17.983000000000001</v>
      </c>
      <c r="F771" s="145">
        <v>6.1390000000000002</v>
      </c>
      <c r="G771" s="145">
        <v>7.5860000000000003</v>
      </c>
      <c r="H771" s="145">
        <v>2.093</v>
      </c>
      <c r="I771" s="145">
        <v>1.722</v>
      </c>
      <c r="J771" s="145">
        <v>0.33800000000000002</v>
      </c>
      <c r="K771" s="145">
        <v>75</v>
      </c>
      <c r="L771" s="145" t="s">
        <v>400</v>
      </c>
      <c r="M771" s="145" t="s">
        <v>400</v>
      </c>
      <c r="N771" s="145">
        <v>8</v>
      </c>
      <c r="O771" s="145">
        <v>20</v>
      </c>
      <c r="P771" s="145">
        <v>1E-3</v>
      </c>
      <c r="Q771" s="145">
        <v>196</v>
      </c>
      <c r="R771" s="145">
        <v>2.8109999999999999</v>
      </c>
      <c r="S771" s="145">
        <v>67</v>
      </c>
      <c r="T771" s="145">
        <v>337</v>
      </c>
      <c r="U771" s="145">
        <v>9.2999999999999999E-2</v>
      </c>
      <c r="V771" s="145">
        <v>5.71</v>
      </c>
      <c r="W771" s="145" t="s">
        <v>400</v>
      </c>
      <c r="X771" s="145">
        <v>8.1000000000000003E-2</v>
      </c>
      <c r="Y771" s="145">
        <v>0.22600000000000001</v>
      </c>
      <c r="Z771" s="146">
        <v>0.255</v>
      </c>
      <c r="AA771" s="145">
        <v>3.2069999999999999</v>
      </c>
      <c r="AB771" s="145" t="s">
        <v>400</v>
      </c>
      <c r="AC771" s="145">
        <v>7.5739999999999998</v>
      </c>
      <c r="AD771" s="145">
        <v>2.83</v>
      </c>
      <c r="AE771" s="145">
        <v>9</v>
      </c>
      <c r="AF771" s="145">
        <v>0.7</v>
      </c>
      <c r="AG771" s="145">
        <v>0.35</v>
      </c>
      <c r="AH771" s="145">
        <v>0.69399999999999995</v>
      </c>
      <c r="AI771" s="145">
        <v>333</v>
      </c>
      <c r="AJ771" s="145">
        <v>29.475000000000001</v>
      </c>
      <c r="AK771" s="145" t="s">
        <v>400</v>
      </c>
      <c r="AL771" s="145" t="s">
        <v>400</v>
      </c>
      <c r="AM771" s="145" t="s">
        <v>400</v>
      </c>
    </row>
    <row r="772" spans="1:39">
      <c r="A772" s="143" t="s">
        <v>1832</v>
      </c>
      <c r="B772" s="144">
        <v>100</v>
      </c>
      <c r="C772" s="145">
        <v>242</v>
      </c>
      <c r="D772" s="145">
        <v>24.22</v>
      </c>
      <c r="E772" s="145">
        <v>15.42</v>
      </c>
      <c r="F772" s="145">
        <v>5.7380000000000004</v>
      </c>
      <c r="G772" s="145">
        <v>7.0019999999999998</v>
      </c>
      <c r="H772" s="145">
        <v>0.61299999999999999</v>
      </c>
      <c r="I772" s="145">
        <v>0.41599999999999998</v>
      </c>
      <c r="J772" s="145">
        <v>0.16400000000000001</v>
      </c>
      <c r="K772" s="145">
        <v>75</v>
      </c>
      <c r="L772" s="145" t="s">
        <v>400</v>
      </c>
      <c r="M772" s="145" t="s">
        <v>400</v>
      </c>
      <c r="N772" s="145">
        <v>8</v>
      </c>
      <c r="O772" s="145">
        <v>20</v>
      </c>
      <c r="P772" s="145">
        <v>1E-3</v>
      </c>
      <c r="Q772" s="145">
        <v>196</v>
      </c>
      <c r="R772" s="145">
        <v>2.81</v>
      </c>
      <c r="S772" s="145">
        <v>67</v>
      </c>
      <c r="T772" s="145">
        <v>337</v>
      </c>
      <c r="U772" s="145">
        <v>9.2999999999999999E-2</v>
      </c>
      <c r="V772" s="145">
        <v>5.71</v>
      </c>
      <c r="W772" s="145" t="s">
        <v>400</v>
      </c>
      <c r="X772" s="145">
        <v>8.1000000000000003E-2</v>
      </c>
      <c r="Y772" s="145">
        <v>0.22600000000000001</v>
      </c>
      <c r="Z772" s="146">
        <v>0.255</v>
      </c>
      <c r="AA772" s="145">
        <v>3.2069999999999999</v>
      </c>
      <c r="AB772" s="145" t="s">
        <v>400</v>
      </c>
      <c r="AC772" s="145">
        <v>7.5739999999999998</v>
      </c>
      <c r="AD772" s="145">
        <v>2.83</v>
      </c>
      <c r="AE772" s="145">
        <v>9</v>
      </c>
      <c r="AF772" s="145">
        <v>0.7</v>
      </c>
      <c r="AG772" s="145">
        <v>0.14000000000000001</v>
      </c>
      <c r="AH772" s="145">
        <v>0.68</v>
      </c>
      <c r="AI772" s="146">
        <v>333</v>
      </c>
      <c r="AJ772" s="145">
        <v>28.3</v>
      </c>
      <c r="AK772" s="145" t="s">
        <v>400</v>
      </c>
      <c r="AL772" s="145" t="s">
        <v>400</v>
      </c>
      <c r="AM772" s="145" t="s">
        <v>400</v>
      </c>
    </row>
    <row r="773" spans="1:39">
      <c r="A773" s="143" t="s">
        <v>1833</v>
      </c>
      <c r="B773" s="144">
        <v>100</v>
      </c>
      <c r="C773" s="145">
        <v>242</v>
      </c>
      <c r="D773" s="145">
        <v>24.22</v>
      </c>
      <c r="E773" s="145">
        <v>15.42</v>
      </c>
      <c r="F773" s="145">
        <v>5.7380000000000004</v>
      </c>
      <c r="G773" s="145">
        <v>7.0019999999999998</v>
      </c>
      <c r="H773" s="145">
        <v>0.61299999999999999</v>
      </c>
      <c r="I773" s="145">
        <v>0.41599999999999998</v>
      </c>
      <c r="J773" s="145">
        <v>0.16400000000000001</v>
      </c>
      <c r="K773" s="145">
        <v>75</v>
      </c>
      <c r="L773" s="145" t="s">
        <v>400</v>
      </c>
      <c r="M773" s="145" t="s">
        <v>400</v>
      </c>
      <c r="N773" s="145">
        <v>8</v>
      </c>
      <c r="O773" s="145">
        <v>20</v>
      </c>
      <c r="P773" s="145">
        <v>1E-3</v>
      </c>
      <c r="Q773" s="145">
        <v>196</v>
      </c>
      <c r="R773" s="145">
        <v>2.81</v>
      </c>
      <c r="S773" s="145">
        <v>67</v>
      </c>
      <c r="T773" s="145">
        <v>337</v>
      </c>
      <c r="U773" s="145">
        <v>9.2999999999999999E-2</v>
      </c>
      <c r="V773" s="145">
        <v>5.71</v>
      </c>
      <c r="W773" s="145" t="s">
        <v>400</v>
      </c>
      <c r="X773" s="145">
        <v>8.1000000000000003E-2</v>
      </c>
      <c r="Y773" s="145">
        <v>0.22600000000000001</v>
      </c>
      <c r="Z773" s="146">
        <v>0.255</v>
      </c>
      <c r="AA773" s="145">
        <v>3.2069999999999999</v>
      </c>
      <c r="AB773" s="145" t="s">
        <v>400</v>
      </c>
      <c r="AC773" s="145">
        <v>7.5739999999999998</v>
      </c>
      <c r="AD773" s="145">
        <v>2.83</v>
      </c>
      <c r="AE773" s="145">
        <v>9</v>
      </c>
      <c r="AF773" s="145">
        <v>0.7</v>
      </c>
      <c r="AG773" s="145">
        <v>0.14000000000000001</v>
      </c>
      <c r="AH773" s="145">
        <v>0.68</v>
      </c>
      <c r="AI773" s="146">
        <v>333</v>
      </c>
      <c r="AJ773" s="145">
        <v>28.3</v>
      </c>
      <c r="AK773" s="145" t="s">
        <v>400</v>
      </c>
      <c r="AL773" s="145" t="s">
        <v>400</v>
      </c>
      <c r="AM773" s="145" t="s">
        <v>400</v>
      </c>
    </row>
    <row r="774" spans="1:39">
      <c r="A774" s="143" t="s">
        <v>1834</v>
      </c>
      <c r="B774" s="144">
        <v>100</v>
      </c>
      <c r="C774" s="145">
        <v>264.65899999999999</v>
      </c>
      <c r="D774" s="145">
        <v>24.22</v>
      </c>
      <c r="E774" s="145">
        <v>17.983000000000001</v>
      </c>
      <c r="F774" s="145">
        <v>6.1390000000000002</v>
      </c>
      <c r="G774" s="145">
        <v>7.5860000000000003</v>
      </c>
      <c r="H774" s="145">
        <v>2.093</v>
      </c>
      <c r="I774" s="145">
        <v>1.722</v>
      </c>
      <c r="J774" s="145">
        <v>0.33800000000000002</v>
      </c>
      <c r="K774" s="145">
        <v>75</v>
      </c>
      <c r="L774" s="145" t="s">
        <v>400</v>
      </c>
      <c r="M774" s="145" t="s">
        <v>400</v>
      </c>
      <c r="N774" s="145">
        <v>8</v>
      </c>
      <c r="O774" s="145">
        <v>20</v>
      </c>
      <c r="P774" s="145">
        <v>1E-3</v>
      </c>
      <c r="Q774" s="145">
        <v>196</v>
      </c>
      <c r="R774" s="145">
        <v>2.8109999999999999</v>
      </c>
      <c r="S774" s="145">
        <v>67</v>
      </c>
      <c r="T774" s="145">
        <v>337</v>
      </c>
      <c r="U774" s="145">
        <v>9.2999999999999999E-2</v>
      </c>
      <c r="V774" s="145">
        <v>5.71</v>
      </c>
      <c r="W774" s="145" t="s">
        <v>400</v>
      </c>
      <c r="X774" s="145">
        <v>8.1000000000000003E-2</v>
      </c>
      <c r="Y774" s="145">
        <v>0.22600000000000001</v>
      </c>
      <c r="Z774" s="146">
        <v>0.255</v>
      </c>
      <c r="AA774" s="145">
        <v>3.2069999999999999</v>
      </c>
      <c r="AB774" s="145" t="s">
        <v>400</v>
      </c>
      <c r="AC774" s="145">
        <v>7.5739999999999998</v>
      </c>
      <c r="AD774" s="145">
        <v>2.83</v>
      </c>
      <c r="AE774" s="145">
        <v>9</v>
      </c>
      <c r="AF774" s="145">
        <v>0.7</v>
      </c>
      <c r="AG774" s="145">
        <v>0.35</v>
      </c>
      <c r="AH774" s="145">
        <v>0.69399999999999995</v>
      </c>
      <c r="AI774" s="146">
        <v>333</v>
      </c>
      <c r="AJ774" s="145">
        <v>29.475000000000001</v>
      </c>
      <c r="AK774" s="145" t="s">
        <v>400</v>
      </c>
      <c r="AL774" s="145" t="s">
        <v>400</v>
      </c>
      <c r="AM774" s="145" t="s">
        <v>400</v>
      </c>
    </row>
    <row r="775" spans="1:39">
      <c r="A775" s="143" t="s">
        <v>1835</v>
      </c>
      <c r="B775" s="144">
        <v>100</v>
      </c>
      <c r="C775" s="145">
        <v>242</v>
      </c>
      <c r="D775" s="145">
        <v>24.22</v>
      </c>
      <c r="E775" s="145">
        <v>15.42</v>
      </c>
      <c r="F775" s="145">
        <v>5.7380000000000004</v>
      </c>
      <c r="G775" s="145">
        <v>7.0019999999999998</v>
      </c>
      <c r="H775" s="145">
        <v>0.61299999999999999</v>
      </c>
      <c r="I775" s="145">
        <v>0.41599999999999998</v>
      </c>
      <c r="J775" s="145">
        <v>0.16400000000000001</v>
      </c>
      <c r="K775" s="145">
        <v>75</v>
      </c>
      <c r="L775" s="145" t="s">
        <v>400</v>
      </c>
      <c r="M775" s="145" t="s">
        <v>400</v>
      </c>
      <c r="N775" s="145">
        <v>8</v>
      </c>
      <c r="O775" s="145">
        <v>20</v>
      </c>
      <c r="P775" s="145">
        <v>1E-3</v>
      </c>
      <c r="Q775" s="145">
        <v>196</v>
      </c>
      <c r="R775" s="145">
        <v>2.81</v>
      </c>
      <c r="S775" s="145">
        <v>67</v>
      </c>
      <c r="T775" s="145">
        <v>337</v>
      </c>
      <c r="U775" s="145">
        <v>9.2999999999999999E-2</v>
      </c>
      <c r="V775" s="145">
        <v>5.71</v>
      </c>
      <c r="W775" s="145" t="s">
        <v>400</v>
      </c>
      <c r="X775" s="145">
        <v>8.1000000000000003E-2</v>
      </c>
      <c r="Y775" s="145">
        <v>0.22600000000000001</v>
      </c>
      <c r="Z775" s="146">
        <v>0.255</v>
      </c>
      <c r="AA775" s="145">
        <v>3.2069999999999999</v>
      </c>
      <c r="AB775" s="145" t="s">
        <v>400</v>
      </c>
      <c r="AC775" s="145">
        <v>7.5739999999999998</v>
      </c>
      <c r="AD775" s="145">
        <v>2.83</v>
      </c>
      <c r="AE775" s="145">
        <v>9</v>
      </c>
      <c r="AF775" s="145">
        <v>0.7</v>
      </c>
      <c r="AG775" s="145">
        <v>0.14000000000000001</v>
      </c>
      <c r="AH775" s="145">
        <v>0.68</v>
      </c>
      <c r="AI775" s="145">
        <v>333</v>
      </c>
      <c r="AJ775" s="145">
        <v>28.3</v>
      </c>
      <c r="AK775" s="145" t="s">
        <v>400</v>
      </c>
      <c r="AL775" s="145" t="s">
        <v>400</v>
      </c>
      <c r="AM775" s="145" t="s">
        <v>400</v>
      </c>
    </row>
    <row r="776" spans="1:39">
      <c r="A776" s="143" t="s">
        <v>1836</v>
      </c>
      <c r="B776" s="144">
        <v>100</v>
      </c>
      <c r="C776" s="145">
        <v>264.65899999999999</v>
      </c>
      <c r="D776" s="145">
        <v>24.22</v>
      </c>
      <c r="E776" s="145">
        <v>17.983000000000001</v>
      </c>
      <c r="F776" s="145">
        <v>6.1390000000000002</v>
      </c>
      <c r="G776" s="145">
        <v>7.5860000000000003</v>
      </c>
      <c r="H776" s="145">
        <v>2.093</v>
      </c>
      <c r="I776" s="145">
        <v>1.722</v>
      </c>
      <c r="J776" s="145">
        <v>0.33800000000000002</v>
      </c>
      <c r="K776" s="145">
        <v>75</v>
      </c>
      <c r="L776" s="145" t="s">
        <v>400</v>
      </c>
      <c r="M776" s="145" t="s">
        <v>400</v>
      </c>
      <c r="N776" s="145">
        <v>8</v>
      </c>
      <c r="O776" s="145">
        <v>20</v>
      </c>
      <c r="P776" s="145">
        <v>1E-3</v>
      </c>
      <c r="Q776" s="145">
        <v>196</v>
      </c>
      <c r="R776" s="145">
        <v>2.8109999999999999</v>
      </c>
      <c r="S776" s="145">
        <v>67</v>
      </c>
      <c r="T776" s="145">
        <v>337</v>
      </c>
      <c r="U776" s="145">
        <v>9.2999999999999999E-2</v>
      </c>
      <c r="V776" s="145">
        <v>5.71</v>
      </c>
      <c r="W776" s="145" t="s">
        <v>400</v>
      </c>
      <c r="X776" s="145">
        <v>8.1000000000000003E-2</v>
      </c>
      <c r="Y776" s="145">
        <v>0.22600000000000001</v>
      </c>
      <c r="Z776" s="146">
        <v>0.255</v>
      </c>
      <c r="AA776" s="145">
        <v>3.2069999999999999</v>
      </c>
      <c r="AB776" s="145" t="s">
        <v>400</v>
      </c>
      <c r="AC776" s="145">
        <v>7.5739999999999998</v>
      </c>
      <c r="AD776" s="145">
        <v>2.83</v>
      </c>
      <c r="AE776" s="145">
        <v>9</v>
      </c>
      <c r="AF776" s="145">
        <v>0.7</v>
      </c>
      <c r="AG776" s="145">
        <v>0.35</v>
      </c>
      <c r="AH776" s="145">
        <v>0.69399999999999995</v>
      </c>
      <c r="AI776" s="145">
        <v>333</v>
      </c>
      <c r="AJ776" s="145">
        <v>29.475000000000001</v>
      </c>
      <c r="AK776" s="145" t="s">
        <v>400</v>
      </c>
      <c r="AL776" s="145" t="s">
        <v>400</v>
      </c>
      <c r="AM776" s="145" t="s">
        <v>400</v>
      </c>
    </row>
    <row r="777" spans="1:39">
      <c r="A777" s="143" t="s">
        <v>1837</v>
      </c>
      <c r="B777" s="144">
        <v>100</v>
      </c>
      <c r="C777" s="145">
        <v>198.4</v>
      </c>
      <c r="D777" s="145">
        <v>19.64</v>
      </c>
      <c r="E777" s="145">
        <v>12.372</v>
      </c>
      <c r="F777" s="145">
        <v>4.5949999999999998</v>
      </c>
      <c r="G777" s="145">
        <v>5.6070000000000002</v>
      </c>
      <c r="H777" s="145">
        <v>0.505</v>
      </c>
      <c r="I777" s="145">
        <v>0.34699999999999998</v>
      </c>
      <c r="J777" s="145">
        <v>0.13200000000000001</v>
      </c>
      <c r="K777" s="145">
        <v>60</v>
      </c>
      <c r="L777" s="145">
        <v>1.0760000000000001</v>
      </c>
      <c r="M777" s="145">
        <v>0.3</v>
      </c>
      <c r="N777" s="145">
        <v>9</v>
      </c>
      <c r="O777" s="145">
        <v>19.2</v>
      </c>
      <c r="P777" s="145">
        <v>2.1999999999999999E-2</v>
      </c>
      <c r="Q777" s="145">
        <v>162</v>
      </c>
      <c r="R777" s="145">
        <v>2.452</v>
      </c>
      <c r="S777" s="145">
        <v>158.4</v>
      </c>
      <c r="T777" s="145">
        <v>335.8</v>
      </c>
      <c r="U777" s="145">
        <v>9.8000000000000004E-2</v>
      </c>
      <c r="V777" s="145">
        <v>4.6079999999999997</v>
      </c>
      <c r="W777" s="145" t="s">
        <v>400</v>
      </c>
      <c r="X777" s="145">
        <v>7.0000000000000007E-2</v>
      </c>
      <c r="Y777" s="145">
        <v>0.19400000000000001</v>
      </c>
      <c r="Z777" s="146">
        <v>0.223</v>
      </c>
      <c r="AA777" s="145">
        <v>2.7610000000000001</v>
      </c>
      <c r="AB777" s="145">
        <v>1.4</v>
      </c>
      <c r="AC777" s="145">
        <v>6.2869999999999999</v>
      </c>
      <c r="AD777" s="145">
        <v>2.2639999999999998</v>
      </c>
      <c r="AE777" s="145">
        <v>9.4</v>
      </c>
      <c r="AF777" s="145">
        <v>0.56000000000000005</v>
      </c>
      <c r="AG777" s="145">
        <v>0.39600000000000002</v>
      </c>
      <c r="AH777" s="145">
        <v>0.54400000000000004</v>
      </c>
      <c r="AI777" s="145">
        <v>333</v>
      </c>
      <c r="AJ777" s="145">
        <v>22.68</v>
      </c>
      <c r="AK777" s="145">
        <v>3.4830000000000001</v>
      </c>
      <c r="AL777" s="145">
        <v>0.85</v>
      </c>
      <c r="AM777" s="145" t="s">
        <v>400</v>
      </c>
    </row>
    <row r="778" spans="1:39">
      <c r="A778" s="143" t="s">
        <v>1838</v>
      </c>
      <c r="B778" s="144">
        <v>100</v>
      </c>
      <c r="C778" s="145">
        <v>264.65899999999999</v>
      </c>
      <c r="D778" s="145">
        <v>24.22</v>
      </c>
      <c r="E778" s="145">
        <v>17.983000000000001</v>
      </c>
      <c r="F778" s="145">
        <v>6.1390000000000002</v>
      </c>
      <c r="G778" s="145">
        <v>7.5860000000000003</v>
      </c>
      <c r="H778" s="145">
        <v>2.093</v>
      </c>
      <c r="I778" s="145">
        <v>1.722</v>
      </c>
      <c r="J778" s="145">
        <v>0.33800000000000002</v>
      </c>
      <c r="K778" s="145">
        <v>75</v>
      </c>
      <c r="L778" s="145" t="s">
        <v>400</v>
      </c>
      <c r="M778" s="145" t="s">
        <v>400</v>
      </c>
      <c r="N778" s="145">
        <v>8</v>
      </c>
      <c r="O778" s="145">
        <v>20</v>
      </c>
      <c r="P778" s="145">
        <v>1E-3</v>
      </c>
      <c r="Q778" s="145">
        <v>196</v>
      </c>
      <c r="R778" s="145">
        <v>2.8109999999999999</v>
      </c>
      <c r="S778" s="145">
        <v>67</v>
      </c>
      <c r="T778" s="145">
        <v>337</v>
      </c>
      <c r="U778" s="145">
        <v>9.2999999999999999E-2</v>
      </c>
      <c r="V778" s="145">
        <v>5.71</v>
      </c>
      <c r="W778" s="145" t="s">
        <v>400</v>
      </c>
      <c r="X778" s="145">
        <v>8.1000000000000003E-2</v>
      </c>
      <c r="Y778" s="145">
        <v>0.22600000000000001</v>
      </c>
      <c r="Z778" s="146">
        <v>0.255</v>
      </c>
      <c r="AA778" s="145">
        <v>3.2069999999999999</v>
      </c>
      <c r="AB778" s="145" t="s">
        <v>400</v>
      </c>
      <c r="AC778" s="145">
        <v>7.5739999999999998</v>
      </c>
      <c r="AD778" s="145">
        <v>2.83</v>
      </c>
      <c r="AE778" s="145">
        <v>9</v>
      </c>
      <c r="AF778" s="145">
        <v>0.7</v>
      </c>
      <c r="AG778" s="145">
        <v>0.35</v>
      </c>
      <c r="AH778" s="145">
        <v>0.69399999999999995</v>
      </c>
      <c r="AI778" s="145">
        <v>333</v>
      </c>
      <c r="AJ778" s="145">
        <v>29.475000000000001</v>
      </c>
      <c r="AK778" s="145" t="s">
        <v>400</v>
      </c>
      <c r="AL778" s="145" t="s">
        <v>400</v>
      </c>
      <c r="AM778" s="145" t="s">
        <v>400</v>
      </c>
    </row>
    <row r="779" spans="1:39">
      <c r="A779" s="143" t="s">
        <v>1839</v>
      </c>
      <c r="B779" s="144">
        <v>100</v>
      </c>
      <c r="C779" s="145">
        <v>242</v>
      </c>
      <c r="D779" s="145">
        <v>24.22</v>
      </c>
      <c r="E779" s="145">
        <v>15.42</v>
      </c>
      <c r="F779" s="145">
        <v>5.7380000000000004</v>
      </c>
      <c r="G779" s="145">
        <v>7.0019999999999998</v>
      </c>
      <c r="H779" s="145">
        <v>0.61299999999999999</v>
      </c>
      <c r="I779" s="145">
        <v>0.41599999999999998</v>
      </c>
      <c r="J779" s="145">
        <v>0.16400000000000001</v>
      </c>
      <c r="K779" s="145">
        <v>75</v>
      </c>
      <c r="L779" s="145" t="s">
        <v>400</v>
      </c>
      <c r="M779" s="145" t="s">
        <v>400</v>
      </c>
      <c r="N779" s="145">
        <v>8</v>
      </c>
      <c r="O779" s="145">
        <v>20</v>
      </c>
      <c r="P779" s="145">
        <v>1E-3</v>
      </c>
      <c r="Q779" s="145">
        <v>196</v>
      </c>
      <c r="R779" s="145">
        <v>2.81</v>
      </c>
      <c r="S779" s="145">
        <v>67</v>
      </c>
      <c r="T779" s="145">
        <v>337</v>
      </c>
      <c r="U779" s="145">
        <v>9.2999999999999999E-2</v>
      </c>
      <c r="V779" s="145">
        <v>5.71</v>
      </c>
      <c r="W779" s="145" t="s">
        <v>400</v>
      </c>
      <c r="X779" s="145">
        <v>8.1000000000000003E-2</v>
      </c>
      <c r="Y779" s="145">
        <v>0.22600000000000001</v>
      </c>
      <c r="Z779" s="146">
        <v>0.255</v>
      </c>
      <c r="AA779" s="145">
        <v>3.2069999999999999</v>
      </c>
      <c r="AB779" s="145" t="s">
        <v>400</v>
      </c>
      <c r="AC779" s="145">
        <v>7.5739999999999998</v>
      </c>
      <c r="AD779" s="145">
        <v>2.83</v>
      </c>
      <c r="AE779" s="145">
        <v>9</v>
      </c>
      <c r="AF779" s="145">
        <v>0.7</v>
      </c>
      <c r="AG779" s="145">
        <v>0.14000000000000001</v>
      </c>
      <c r="AH779" s="145">
        <v>0.68</v>
      </c>
      <c r="AI779" s="145">
        <v>333</v>
      </c>
      <c r="AJ779" s="145">
        <v>28.3</v>
      </c>
      <c r="AK779" s="145" t="s">
        <v>400</v>
      </c>
      <c r="AL779" s="145" t="s">
        <v>400</v>
      </c>
      <c r="AM779" s="145" t="s">
        <v>400</v>
      </c>
    </row>
    <row r="780" spans="1:39">
      <c r="A780" s="143" t="s">
        <v>1840</v>
      </c>
      <c r="B780" s="144">
        <v>100</v>
      </c>
      <c r="C780" s="145">
        <v>242</v>
      </c>
      <c r="D780" s="145">
        <v>24.22</v>
      </c>
      <c r="E780" s="145">
        <v>15.42</v>
      </c>
      <c r="F780" s="145">
        <v>5.7380000000000004</v>
      </c>
      <c r="G780" s="145">
        <v>7.0019999999999998</v>
      </c>
      <c r="H780" s="145">
        <v>0.61299999999999999</v>
      </c>
      <c r="I780" s="145">
        <v>0.41599999999999998</v>
      </c>
      <c r="J780" s="145">
        <v>0.16400000000000001</v>
      </c>
      <c r="K780" s="145">
        <v>75</v>
      </c>
      <c r="L780" s="145" t="s">
        <v>400</v>
      </c>
      <c r="M780" s="145" t="s">
        <v>400</v>
      </c>
      <c r="N780" s="145">
        <v>8</v>
      </c>
      <c r="O780" s="145">
        <v>20</v>
      </c>
      <c r="P780" s="145">
        <v>1E-3</v>
      </c>
      <c r="Q780" s="145">
        <v>196</v>
      </c>
      <c r="R780" s="145">
        <v>2.81</v>
      </c>
      <c r="S780" s="145">
        <v>67</v>
      </c>
      <c r="T780" s="145">
        <v>337</v>
      </c>
      <c r="U780" s="145">
        <v>9.2999999999999999E-2</v>
      </c>
      <c r="V780" s="145">
        <v>5.71</v>
      </c>
      <c r="W780" s="145" t="s">
        <v>400</v>
      </c>
      <c r="X780" s="145">
        <v>8.1000000000000003E-2</v>
      </c>
      <c r="Y780" s="145">
        <v>0.22600000000000001</v>
      </c>
      <c r="Z780" s="146">
        <v>0.255</v>
      </c>
      <c r="AA780" s="145">
        <v>3.2069999999999999</v>
      </c>
      <c r="AB780" s="145" t="s">
        <v>400</v>
      </c>
      <c r="AC780" s="145">
        <v>7.5739999999999998</v>
      </c>
      <c r="AD780" s="145">
        <v>2.83</v>
      </c>
      <c r="AE780" s="145">
        <v>9</v>
      </c>
      <c r="AF780" s="145">
        <v>0.7</v>
      </c>
      <c r="AG780" s="145">
        <v>0.14000000000000001</v>
      </c>
      <c r="AH780" s="145">
        <v>0.68</v>
      </c>
      <c r="AI780" s="145">
        <v>333</v>
      </c>
      <c r="AJ780" s="145">
        <v>28.3</v>
      </c>
      <c r="AK780" s="145" t="s">
        <v>400</v>
      </c>
      <c r="AL780" s="145" t="s">
        <v>400</v>
      </c>
      <c r="AM780" s="145" t="s">
        <v>400</v>
      </c>
    </row>
    <row r="781" spans="1:39">
      <c r="A781" s="143" t="s">
        <v>1841</v>
      </c>
      <c r="B781" s="144">
        <v>100</v>
      </c>
      <c r="C781" s="145">
        <v>242</v>
      </c>
      <c r="D781" s="145">
        <v>24.22</v>
      </c>
      <c r="E781" s="145">
        <v>15.42</v>
      </c>
      <c r="F781" s="145">
        <v>5.7380000000000004</v>
      </c>
      <c r="G781" s="145">
        <v>7.0019999999999998</v>
      </c>
      <c r="H781" s="145">
        <v>0.61299999999999999</v>
      </c>
      <c r="I781" s="145">
        <v>0.41599999999999998</v>
      </c>
      <c r="J781" s="145">
        <v>0.16400000000000001</v>
      </c>
      <c r="K781" s="145">
        <v>75</v>
      </c>
      <c r="L781" s="145" t="s">
        <v>400</v>
      </c>
      <c r="M781" s="145" t="s">
        <v>400</v>
      </c>
      <c r="N781" s="145">
        <v>8</v>
      </c>
      <c r="O781" s="145">
        <v>20</v>
      </c>
      <c r="P781" s="145">
        <v>1E-3</v>
      </c>
      <c r="Q781" s="145">
        <v>196</v>
      </c>
      <c r="R781" s="145">
        <v>2.81</v>
      </c>
      <c r="S781" s="145">
        <v>67</v>
      </c>
      <c r="T781" s="145">
        <v>337</v>
      </c>
      <c r="U781" s="145">
        <v>9.2999999999999999E-2</v>
      </c>
      <c r="V781" s="145">
        <v>5.71</v>
      </c>
      <c r="W781" s="145" t="s">
        <v>400</v>
      </c>
      <c r="X781" s="145">
        <v>8.1000000000000003E-2</v>
      </c>
      <c r="Y781" s="145">
        <v>0.22600000000000001</v>
      </c>
      <c r="Z781" s="146">
        <v>0.255</v>
      </c>
      <c r="AA781" s="145">
        <v>3.2069999999999999</v>
      </c>
      <c r="AB781" s="145" t="s">
        <v>400</v>
      </c>
      <c r="AC781" s="145">
        <v>7.5739999999999998</v>
      </c>
      <c r="AD781" s="145">
        <v>2.83</v>
      </c>
      <c r="AE781" s="145">
        <v>9</v>
      </c>
      <c r="AF781" s="145">
        <v>0.7</v>
      </c>
      <c r="AG781" s="145">
        <v>0.14000000000000001</v>
      </c>
      <c r="AH781" s="145">
        <v>0.68</v>
      </c>
      <c r="AI781" s="145">
        <v>333</v>
      </c>
      <c r="AJ781" s="145">
        <v>28.3</v>
      </c>
      <c r="AK781" s="145" t="s">
        <v>400</v>
      </c>
      <c r="AL781" s="145" t="s">
        <v>400</v>
      </c>
      <c r="AM781" s="145" t="s">
        <v>400</v>
      </c>
    </row>
    <row r="782" spans="1:39">
      <c r="A782" s="143" t="s">
        <v>1842</v>
      </c>
      <c r="B782" s="144">
        <v>100</v>
      </c>
      <c r="C782" s="145">
        <v>199</v>
      </c>
      <c r="D782" s="145">
        <v>36.119999999999997</v>
      </c>
      <c r="E782" s="145">
        <v>5</v>
      </c>
      <c r="F782" s="145">
        <v>1.72</v>
      </c>
      <c r="G782" s="145">
        <v>2</v>
      </c>
      <c r="H782" s="145">
        <v>0.22</v>
      </c>
      <c r="I782" s="145">
        <v>0.17</v>
      </c>
      <c r="J782" s="145">
        <v>0.02</v>
      </c>
      <c r="K782" s="145">
        <v>90</v>
      </c>
      <c r="L782" s="145" t="s">
        <v>400</v>
      </c>
      <c r="M782" s="145" t="s">
        <v>400</v>
      </c>
      <c r="N782" s="145">
        <v>4</v>
      </c>
      <c r="O782" s="145">
        <v>26</v>
      </c>
      <c r="P782" s="145">
        <v>1.7999999999999999E-2</v>
      </c>
      <c r="Q782" s="145">
        <v>226</v>
      </c>
      <c r="R782" s="145">
        <v>3.32</v>
      </c>
      <c r="S782" s="145">
        <v>45</v>
      </c>
      <c r="T782" s="145">
        <v>334</v>
      </c>
      <c r="U782" s="145">
        <v>0.124</v>
      </c>
      <c r="V782" s="145">
        <v>4.5599999999999996</v>
      </c>
      <c r="W782" s="145" t="s">
        <v>400</v>
      </c>
      <c r="X782" s="145">
        <v>7.0000000000000007E-2</v>
      </c>
      <c r="Y782" s="145">
        <v>0.25</v>
      </c>
      <c r="Z782" s="146">
        <v>0.28000000000000003</v>
      </c>
      <c r="AA782" s="145">
        <v>3.81</v>
      </c>
      <c r="AB782" s="145" t="s">
        <v>400</v>
      </c>
      <c r="AC782" s="145">
        <v>7.76</v>
      </c>
      <c r="AD782" s="145">
        <v>2.7</v>
      </c>
      <c r="AE782" s="145">
        <v>9</v>
      </c>
      <c r="AF782" s="145">
        <v>0.7</v>
      </c>
      <c r="AG782" s="145">
        <v>0.14000000000000001</v>
      </c>
      <c r="AH782" s="145">
        <v>0.22700000000000001</v>
      </c>
      <c r="AI782" s="145">
        <v>333</v>
      </c>
      <c r="AJ782" s="145">
        <v>33</v>
      </c>
      <c r="AK782" s="145" t="s">
        <v>400</v>
      </c>
      <c r="AL782" s="145" t="s">
        <v>400</v>
      </c>
      <c r="AM782" s="145" t="s">
        <v>400</v>
      </c>
    </row>
    <row r="783" spans="1:39">
      <c r="A783" s="143" t="s">
        <v>1843</v>
      </c>
      <c r="B783" s="144">
        <v>100</v>
      </c>
      <c r="C783" s="145">
        <v>199</v>
      </c>
      <c r="D783" s="145">
        <v>36.119999999999997</v>
      </c>
      <c r="E783" s="145">
        <v>5</v>
      </c>
      <c r="F783" s="145">
        <v>1.72</v>
      </c>
      <c r="G783" s="145">
        <v>2</v>
      </c>
      <c r="H783" s="145">
        <v>0.22</v>
      </c>
      <c r="I783" s="145">
        <v>0.17</v>
      </c>
      <c r="J783" s="145">
        <v>0.02</v>
      </c>
      <c r="K783" s="145">
        <v>90</v>
      </c>
      <c r="L783" s="145" t="s">
        <v>400</v>
      </c>
      <c r="M783" s="145" t="s">
        <v>400</v>
      </c>
      <c r="N783" s="145">
        <v>4</v>
      </c>
      <c r="O783" s="145">
        <v>26</v>
      </c>
      <c r="P783" s="145">
        <v>1.7999999999999999E-2</v>
      </c>
      <c r="Q783" s="145">
        <v>226</v>
      </c>
      <c r="R783" s="145">
        <v>3.32</v>
      </c>
      <c r="S783" s="145">
        <v>45</v>
      </c>
      <c r="T783" s="145">
        <v>334</v>
      </c>
      <c r="U783" s="145">
        <v>0.124</v>
      </c>
      <c r="V783" s="145">
        <v>4.5599999999999996</v>
      </c>
      <c r="W783" s="145" t="s">
        <v>400</v>
      </c>
      <c r="X783" s="145">
        <v>7.0000000000000007E-2</v>
      </c>
      <c r="Y783" s="145">
        <v>0.25</v>
      </c>
      <c r="Z783" s="146">
        <v>0.28000000000000003</v>
      </c>
      <c r="AA783" s="145">
        <v>3.81</v>
      </c>
      <c r="AB783" s="145" t="s">
        <v>400</v>
      </c>
      <c r="AC783" s="145">
        <v>7.76</v>
      </c>
      <c r="AD783" s="145">
        <v>2.7</v>
      </c>
      <c r="AE783" s="145">
        <v>9</v>
      </c>
      <c r="AF783" s="145">
        <v>0.7</v>
      </c>
      <c r="AG783" s="145">
        <v>0.14000000000000001</v>
      </c>
      <c r="AH783" s="145">
        <v>0.22700000000000001</v>
      </c>
      <c r="AI783" s="145">
        <v>333</v>
      </c>
      <c r="AJ783" s="145">
        <v>33</v>
      </c>
      <c r="AK783" s="145" t="s">
        <v>400</v>
      </c>
      <c r="AL783" s="145" t="s">
        <v>400</v>
      </c>
      <c r="AM783" s="145" t="s">
        <v>400</v>
      </c>
    </row>
    <row r="784" spans="1:39">
      <c r="A784" s="143" t="s">
        <v>1844</v>
      </c>
      <c r="B784" s="144">
        <v>100</v>
      </c>
      <c r="C784" s="145">
        <v>164</v>
      </c>
      <c r="D784" s="145">
        <v>29.16</v>
      </c>
      <c r="E784" s="145">
        <v>4.0359999999999996</v>
      </c>
      <c r="F784" s="145">
        <v>1.381</v>
      </c>
      <c r="G784" s="145">
        <v>1.605</v>
      </c>
      <c r="H784" s="145">
        <v>0.191</v>
      </c>
      <c r="I784" s="145">
        <v>0.15</v>
      </c>
      <c r="J784" s="145">
        <v>1.7000000000000001E-2</v>
      </c>
      <c r="K784" s="145">
        <v>72</v>
      </c>
      <c r="L784" s="145">
        <v>1.0760000000000001</v>
      </c>
      <c r="M784" s="145">
        <v>0.3</v>
      </c>
      <c r="N784" s="145">
        <v>5.8</v>
      </c>
      <c r="O784" s="145">
        <v>24</v>
      </c>
      <c r="P784" s="145">
        <v>3.5999999999999997E-2</v>
      </c>
      <c r="Q784" s="145">
        <v>186</v>
      </c>
      <c r="R784" s="145">
        <v>2.86</v>
      </c>
      <c r="S784" s="145">
        <v>140.80000000000001</v>
      </c>
      <c r="T784" s="145">
        <v>333.4</v>
      </c>
      <c r="U784" s="145">
        <v>0.123</v>
      </c>
      <c r="V784" s="145">
        <v>3.6880000000000002</v>
      </c>
      <c r="W784" s="145" t="s">
        <v>400</v>
      </c>
      <c r="X784" s="145">
        <v>6.0999999999999999E-2</v>
      </c>
      <c r="Y784" s="145">
        <v>0.21299999999999999</v>
      </c>
      <c r="Z784" s="145">
        <v>0.24299999999999999</v>
      </c>
      <c r="AA784" s="145">
        <v>3.2429999999999999</v>
      </c>
      <c r="AB784" s="145">
        <v>1.4</v>
      </c>
      <c r="AC784" s="145">
        <v>6.4359999999999999</v>
      </c>
      <c r="AD784" s="145">
        <v>2.16</v>
      </c>
      <c r="AE784" s="145">
        <v>9.4</v>
      </c>
      <c r="AF784" s="145">
        <v>0.56000000000000005</v>
      </c>
      <c r="AG784" s="145">
        <v>0.39600000000000002</v>
      </c>
      <c r="AH784" s="145">
        <v>0.182</v>
      </c>
      <c r="AI784" s="145">
        <v>333</v>
      </c>
      <c r="AJ784" s="145">
        <v>26.44</v>
      </c>
      <c r="AK784" s="145">
        <v>3.4830000000000001</v>
      </c>
      <c r="AL784" s="145">
        <v>0.85</v>
      </c>
      <c r="AM784" s="145" t="s">
        <v>400</v>
      </c>
    </row>
    <row r="785" spans="1:39">
      <c r="A785" s="143" t="s">
        <v>1845</v>
      </c>
      <c r="B785" s="144">
        <v>100</v>
      </c>
      <c r="C785" s="145">
        <v>221.65899999999999</v>
      </c>
      <c r="D785" s="145">
        <v>36.119999999999997</v>
      </c>
      <c r="E785" s="145">
        <v>7.5629999999999997</v>
      </c>
      <c r="F785" s="145">
        <v>2.121</v>
      </c>
      <c r="G785" s="145">
        <v>2.5840000000000001</v>
      </c>
      <c r="H785" s="145">
        <v>1.7</v>
      </c>
      <c r="I785" s="145">
        <v>1.476</v>
      </c>
      <c r="J785" s="145">
        <v>0.19400000000000001</v>
      </c>
      <c r="K785" s="145">
        <v>90</v>
      </c>
      <c r="L785" s="145" t="s">
        <v>400</v>
      </c>
      <c r="M785" s="145" t="s">
        <v>400</v>
      </c>
      <c r="N785" s="145">
        <v>4</v>
      </c>
      <c r="O785" s="145">
        <v>26</v>
      </c>
      <c r="P785" s="145">
        <v>1.7999999999999999E-2</v>
      </c>
      <c r="Q785" s="145">
        <v>226</v>
      </c>
      <c r="R785" s="145">
        <v>3.3210000000000002</v>
      </c>
      <c r="S785" s="145">
        <v>45</v>
      </c>
      <c r="T785" s="145">
        <v>334</v>
      </c>
      <c r="U785" s="145">
        <v>0.124</v>
      </c>
      <c r="V785" s="145">
        <v>4.5599999999999996</v>
      </c>
      <c r="W785" s="145" t="s">
        <v>400</v>
      </c>
      <c r="X785" s="145">
        <v>7.0000000000000007E-2</v>
      </c>
      <c r="Y785" s="145">
        <v>0.25</v>
      </c>
      <c r="Z785" s="145">
        <v>0.28000000000000003</v>
      </c>
      <c r="AA785" s="145">
        <v>3.81</v>
      </c>
      <c r="AB785" s="145" t="s">
        <v>400</v>
      </c>
      <c r="AC785" s="145">
        <v>7.76</v>
      </c>
      <c r="AD785" s="145">
        <v>2.7</v>
      </c>
      <c r="AE785" s="145">
        <v>9</v>
      </c>
      <c r="AF785" s="145">
        <v>0.7</v>
      </c>
      <c r="AG785" s="145">
        <v>0.35</v>
      </c>
      <c r="AH785" s="145">
        <v>0.24099999999999999</v>
      </c>
      <c r="AI785" s="145">
        <v>333</v>
      </c>
      <c r="AJ785" s="145">
        <v>34.174999999999997</v>
      </c>
      <c r="AK785" s="145" t="s">
        <v>400</v>
      </c>
      <c r="AL785" s="145" t="s">
        <v>400</v>
      </c>
      <c r="AM785" s="145" t="s">
        <v>400</v>
      </c>
    </row>
    <row r="786" spans="1:39">
      <c r="A786" s="143" t="s">
        <v>1846</v>
      </c>
      <c r="B786" s="144">
        <v>100</v>
      </c>
      <c r="C786" s="145">
        <v>63.941000000000003</v>
      </c>
      <c r="D786" s="145">
        <v>3.8119999999999998</v>
      </c>
      <c r="E786" s="145">
        <v>1.8069999999999999</v>
      </c>
      <c r="F786" s="145">
        <v>0.67700000000000005</v>
      </c>
      <c r="G786" s="145">
        <v>0.79200000000000004</v>
      </c>
      <c r="H786" s="145">
        <v>9.4E-2</v>
      </c>
      <c r="I786" s="145">
        <v>7.1999999999999995E-2</v>
      </c>
      <c r="J786" s="145">
        <v>1.9E-2</v>
      </c>
      <c r="K786" s="145">
        <v>7.86</v>
      </c>
      <c r="L786" s="145">
        <v>7.7320000000000002</v>
      </c>
      <c r="M786" s="145">
        <v>0.39200000000000002</v>
      </c>
      <c r="N786" s="145">
        <v>6.6289999999999996</v>
      </c>
      <c r="O786" s="145">
        <v>7.0270000000000001</v>
      </c>
      <c r="P786" s="145">
        <v>5.1999999999999998E-2</v>
      </c>
      <c r="Q786" s="145">
        <v>39.854999999999997</v>
      </c>
      <c r="R786" s="145">
        <v>0.65200000000000002</v>
      </c>
      <c r="S786" s="145">
        <v>364.00900000000001</v>
      </c>
      <c r="T786" s="145">
        <v>125.684</v>
      </c>
      <c r="U786" s="145">
        <v>4.9000000000000002E-2</v>
      </c>
      <c r="V786" s="145">
        <v>0.68200000000000005</v>
      </c>
      <c r="W786" s="145" t="s">
        <v>400</v>
      </c>
      <c r="X786" s="145">
        <v>4.7E-2</v>
      </c>
      <c r="Y786" s="145">
        <v>6.3E-2</v>
      </c>
      <c r="Z786" s="146">
        <v>6.9000000000000006E-2</v>
      </c>
      <c r="AA786" s="145">
        <v>1.2769999999999999</v>
      </c>
      <c r="AB786" s="145">
        <v>1.5740000000000001</v>
      </c>
      <c r="AC786" s="145">
        <v>1.962</v>
      </c>
      <c r="AD786" s="145">
        <v>0.33900000000000002</v>
      </c>
      <c r="AE786" s="145">
        <v>10.132999999999999</v>
      </c>
      <c r="AF786" s="145">
        <v>8.8999999999999996E-2</v>
      </c>
      <c r="AG786" s="145">
        <v>3.9E-2</v>
      </c>
      <c r="AH786" s="145">
        <v>7.6999999999999999E-2</v>
      </c>
      <c r="AI786" s="145" t="s">
        <v>400</v>
      </c>
      <c r="AJ786" s="145">
        <v>4.8079999999999998</v>
      </c>
      <c r="AK786" s="145">
        <v>0.745</v>
      </c>
      <c r="AL786" s="145">
        <v>0.24199999999999999</v>
      </c>
      <c r="AM786" s="145" t="s">
        <v>400</v>
      </c>
    </row>
    <row r="787" spans="1:39">
      <c r="A787" s="143" t="s">
        <v>1847</v>
      </c>
      <c r="B787" s="144">
        <v>100</v>
      </c>
      <c r="C787" s="145">
        <v>242</v>
      </c>
      <c r="D787" s="145">
        <v>24.22</v>
      </c>
      <c r="E787" s="145">
        <v>15.42</v>
      </c>
      <c r="F787" s="145">
        <v>5.7380000000000004</v>
      </c>
      <c r="G787" s="145">
        <v>7.0019999999999998</v>
      </c>
      <c r="H787" s="145">
        <v>0.61299999999999999</v>
      </c>
      <c r="I787" s="145">
        <v>0.41599999999999998</v>
      </c>
      <c r="J787" s="145">
        <v>0.16400000000000001</v>
      </c>
      <c r="K787" s="145">
        <v>75</v>
      </c>
      <c r="L787" s="145" t="s">
        <v>400</v>
      </c>
      <c r="M787" s="145" t="s">
        <v>400</v>
      </c>
      <c r="N787" s="145">
        <v>8</v>
      </c>
      <c r="O787" s="145">
        <v>20</v>
      </c>
      <c r="P787" s="145">
        <v>1E-3</v>
      </c>
      <c r="Q787" s="145">
        <v>196</v>
      </c>
      <c r="R787" s="145">
        <v>2.81</v>
      </c>
      <c r="S787" s="145">
        <v>67</v>
      </c>
      <c r="T787" s="145">
        <v>337</v>
      </c>
      <c r="U787" s="145">
        <v>9.2999999999999999E-2</v>
      </c>
      <c r="V787" s="145">
        <v>5.71</v>
      </c>
      <c r="W787" s="145" t="s">
        <v>400</v>
      </c>
      <c r="X787" s="145">
        <v>8.1000000000000003E-2</v>
      </c>
      <c r="Y787" s="145">
        <v>0.22600000000000001</v>
      </c>
      <c r="Z787" s="146">
        <v>0.255</v>
      </c>
      <c r="AA787" s="145">
        <v>3.2069999999999999</v>
      </c>
      <c r="AB787" s="145" t="s">
        <v>400</v>
      </c>
      <c r="AC787" s="145">
        <v>7.5739999999999998</v>
      </c>
      <c r="AD787" s="145">
        <v>2.83</v>
      </c>
      <c r="AE787" s="145">
        <v>9</v>
      </c>
      <c r="AF787" s="145">
        <v>0.7</v>
      </c>
      <c r="AG787" s="145">
        <v>0.14000000000000001</v>
      </c>
      <c r="AH787" s="145">
        <v>0.68</v>
      </c>
      <c r="AI787" s="145">
        <v>333</v>
      </c>
      <c r="AJ787" s="145">
        <v>28.3</v>
      </c>
      <c r="AK787" s="145" t="s">
        <v>400</v>
      </c>
      <c r="AL787" s="145" t="s">
        <v>400</v>
      </c>
      <c r="AM787" s="145" t="s">
        <v>400</v>
      </c>
    </row>
    <row r="788" spans="1:39">
      <c r="A788" s="143" t="s">
        <v>1848</v>
      </c>
      <c r="B788" s="144">
        <v>100</v>
      </c>
      <c r="C788" s="145">
        <v>242</v>
      </c>
      <c r="D788" s="145">
        <v>24.22</v>
      </c>
      <c r="E788" s="145">
        <v>15.42</v>
      </c>
      <c r="F788" s="145">
        <v>5.7380000000000004</v>
      </c>
      <c r="G788" s="145">
        <v>7.0019999999999998</v>
      </c>
      <c r="H788" s="145">
        <v>0.61299999999999999</v>
      </c>
      <c r="I788" s="145">
        <v>0.41599999999999998</v>
      </c>
      <c r="J788" s="145">
        <v>0.16400000000000001</v>
      </c>
      <c r="K788" s="145">
        <v>75</v>
      </c>
      <c r="L788" s="145" t="s">
        <v>400</v>
      </c>
      <c r="M788" s="145" t="s">
        <v>400</v>
      </c>
      <c r="N788" s="145">
        <v>8</v>
      </c>
      <c r="O788" s="145">
        <v>20</v>
      </c>
      <c r="P788" s="145">
        <v>1E-3</v>
      </c>
      <c r="Q788" s="145">
        <v>196</v>
      </c>
      <c r="R788" s="145">
        <v>2.81</v>
      </c>
      <c r="S788" s="145">
        <v>67</v>
      </c>
      <c r="T788" s="145">
        <v>337</v>
      </c>
      <c r="U788" s="145">
        <v>9.2999999999999999E-2</v>
      </c>
      <c r="V788" s="145">
        <v>5.71</v>
      </c>
      <c r="W788" s="145" t="s">
        <v>400</v>
      </c>
      <c r="X788" s="145">
        <v>8.1000000000000003E-2</v>
      </c>
      <c r="Y788" s="145">
        <v>0.22600000000000001</v>
      </c>
      <c r="Z788" s="146">
        <v>0.255</v>
      </c>
      <c r="AA788" s="145">
        <v>3.2069999999999999</v>
      </c>
      <c r="AB788" s="145" t="s">
        <v>400</v>
      </c>
      <c r="AC788" s="145">
        <v>7.5739999999999998</v>
      </c>
      <c r="AD788" s="145">
        <v>2.83</v>
      </c>
      <c r="AE788" s="145">
        <v>9</v>
      </c>
      <c r="AF788" s="145">
        <v>0.7</v>
      </c>
      <c r="AG788" s="145">
        <v>0.14000000000000001</v>
      </c>
      <c r="AH788" s="145">
        <v>0.68</v>
      </c>
      <c r="AI788" s="145">
        <v>333</v>
      </c>
      <c r="AJ788" s="145">
        <v>28.3</v>
      </c>
      <c r="AK788" s="145" t="s">
        <v>400</v>
      </c>
      <c r="AL788" s="145" t="s">
        <v>400</v>
      </c>
      <c r="AM788" s="145" t="s">
        <v>400</v>
      </c>
    </row>
    <row r="789" spans="1:39">
      <c r="A789" s="143" t="s">
        <v>1849</v>
      </c>
      <c r="B789" s="144">
        <v>100</v>
      </c>
      <c r="C789" s="145">
        <v>264.65899999999999</v>
      </c>
      <c r="D789" s="145">
        <v>24.22</v>
      </c>
      <c r="E789" s="145">
        <v>17.983000000000001</v>
      </c>
      <c r="F789" s="145">
        <v>6.1390000000000002</v>
      </c>
      <c r="G789" s="145">
        <v>7.5860000000000003</v>
      </c>
      <c r="H789" s="145">
        <v>2.093</v>
      </c>
      <c r="I789" s="145">
        <v>1.722</v>
      </c>
      <c r="J789" s="145">
        <v>0.33800000000000002</v>
      </c>
      <c r="K789" s="145">
        <v>75</v>
      </c>
      <c r="L789" s="145" t="s">
        <v>400</v>
      </c>
      <c r="M789" s="145" t="s">
        <v>400</v>
      </c>
      <c r="N789" s="145">
        <v>8</v>
      </c>
      <c r="O789" s="145">
        <v>20</v>
      </c>
      <c r="P789" s="145">
        <v>1E-3</v>
      </c>
      <c r="Q789" s="145">
        <v>196</v>
      </c>
      <c r="R789" s="145">
        <v>2.8109999999999999</v>
      </c>
      <c r="S789" s="145">
        <v>67</v>
      </c>
      <c r="T789" s="145">
        <v>337</v>
      </c>
      <c r="U789" s="145">
        <v>9.2999999999999999E-2</v>
      </c>
      <c r="V789" s="145">
        <v>5.71</v>
      </c>
      <c r="W789" s="145" t="s">
        <v>400</v>
      </c>
      <c r="X789" s="145">
        <v>8.1000000000000003E-2</v>
      </c>
      <c r="Y789" s="145">
        <v>0.22600000000000001</v>
      </c>
      <c r="Z789" s="146">
        <v>0.255</v>
      </c>
      <c r="AA789" s="145">
        <v>3.2069999999999999</v>
      </c>
      <c r="AB789" s="145" t="s">
        <v>400</v>
      </c>
      <c r="AC789" s="145">
        <v>7.5739999999999998</v>
      </c>
      <c r="AD789" s="145">
        <v>2.83</v>
      </c>
      <c r="AE789" s="145">
        <v>9</v>
      </c>
      <c r="AF789" s="145">
        <v>0.7</v>
      </c>
      <c r="AG789" s="145">
        <v>0.35</v>
      </c>
      <c r="AH789" s="145">
        <v>0.69399999999999995</v>
      </c>
      <c r="AI789" s="145">
        <v>333</v>
      </c>
      <c r="AJ789" s="145">
        <v>29.475000000000001</v>
      </c>
      <c r="AK789" s="145" t="s">
        <v>400</v>
      </c>
      <c r="AL789" s="145" t="s">
        <v>400</v>
      </c>
      <c r="AM789" s="145" t="s">
        <v>400</v>
      </c>
    </row>
    <row r="790" spans="1:39">
      <c r="A790" s="143" t="s">
        <v>1850</v>
      </c>
      <c r="B790" s="144">
        <v>100</v>
      </c>
      <c r="C790" s="145">
        <v>199</v>
      </c>
      <c r="D790" s="145">
        <v>36.119999999999997</v>
      </c>
      <c r="E790" s="145">
        <v>5</v>
      </c>
      <c r="F790" s="145">
        <v>1.72</v>
      </c>
      <c r="G790" s="145">
        <v>2</v>
      </c>
      <c r="H790" s="145">
        <v>0.22</v>
      </c>
      <c r="I790" s="145">
        <v>0.17</v>
      </c>
      <c r="J790" s="145">
        <v>0.02</v>
      </c>
      <c r="K790" s="145">
        <v>90</v>
      </c>
      <c r="L790" s="145" t="s">
        <v>400</v>
      </c>
      <c r="M790" s="145" t="s">
        <v>400</v>
      </c>
      <c r="N790" s="145">
        <v>4</v>
      </c>
      <c r="O790" s="145">
        <v>26</v>
      </c>
      <c r="P790" s="145">
        <v>1.7999999999999999E-2</v>
      </c>
      <c r="Q790" s="145">
        <v>226</v>
      </c>
      <c r="R790" s="145">
        <v>3.32</v>
      </c>
      <c r="S790" s="145">
        <v>45</v>
      </c>
      <c r="T790" s="145">
        <v>334</v>
      </c>
      <c r="U790" s="145">
        <v>0.124</v>
      </c>
      <c r="V790" s="145">
        <v>4.5599999999999996</v>
      </c>
      <c r="W790" s="145" t="s">
        <v>400</v>
      </c>
      <c r="X790" s="145">
        <v>7.0000000000000007E-2</v>
      </c>
      <c r="Y790" s="145">
        <v>0.25</v>
      </c>
      <c r="Z790" s="146">
        <v>0.28000000000000003</v>
      </c>
      <c r="AA790" s="145">
        <v>3.81</v>
      </c>
      <c r="AB790" s="145" t="s">
        <v>400</v>
      </c>
      <c r="AC790" s="145">
        <v>7.76</v>
      </c>
      <c r="AD790" s="145">
        <v>2.7</v>
      </c>
      <c r="AE790" s="145">
        <v>9</v>
      </c>
      <c r="AF790" s="145">
        <v>0.7</v>
      </c>
      <c r="AG790" s="145">
        <v>0.14000000000000001</v>
      </c>
      <c r="AH790" s="145">
        <v>0.22700000000000001</v>
      </c>
      <c r="AI790" s="145">
        <v>333</v>
      </c>
      <c r="AJ790" s="145">
        <v>33</v>
      </c>
      <c r="AK790" s="145" t="s">
        <v>400</v>
      </c>
      <c r="AL790" s="145" t="s">
        <v>400</v>
      </c>
      <c r="AM790" s="145" t="s">
        <v>400</v>
      </c>
    </row>
    <row r="791" spans="1:39">
      <c r="A791" s="143" t="s">
        <v>1851</v>
      </c>
      <c r="B791" s="144">
        <v>100</v>
      </c>
      <c r="C791" s="145">
        <v>221.65899999999999</v>
      </c>
      <c r="D791" s="145">
        <v>36.119999999999997</v>
      </c>
      <c r="E791" s="145">
        <v>7.5629999999999997</v>
      </c>
      <c r="F791" s="145">
        <v>2.121</v>
      </c>
      <c r="G791" s="145">
        <v>2.5840000000000001</v>
      </c>
      <c r="H791" s="145">
        <v>1.7</v>
      </c>
      <c r="I791" s="145">
        <v>1.476</v>
      </c>
      <c r="J791" s="145">
        <v>0.19400000000000001</v>
      </c>
      <c r="K791" s="145">
        <v>90</v>
      </c>
      <c r="L791" s="145" t="s">
        <v>400</v>
      </c>
      <c r="M791" s="145" t="s">
        <v>400</v>
      </c>
      <c r="N791" s="145">
        <v>4</v>
      </c>
      <c r="O791" s="145">
        <v>26</v>
      </c>
      <c r="P791" s="145">
        <v>1.7999999999999999E-2</v>
      </c>
      <c r="Q791" s="145">
        <v>226</v>
      </c>
      <c r="R791" s="145">
        <v>3.3210000000000002</v>
      </c>
      <c r="S791" s="145">
        <v>45</v>
      </c>
      <c r="T791" s="145">
        <v>334</v>
      </c>
      <c r="U791" s="145">
        <v>0.124</v>
      </c>
      <c r="V791" s="145">
        <v>4.5599999999999996</v>
      </c>
      <c r="W791" s="145" t="s">
        <v>400</v>
      </c>
      <c r="X791" s="145">
        <v>7.0000000000000007E-2</v>
      </c>
      <c r="Y791" s="145">
        <v>0.25</v>
      </c>
      <c r="Z791" s="145">
        <v>0.28000000000000003</v>
      </c>
      <c r="AA791" s="145">
        <v>3.81</v>
      </c>
      <c r="AB791" s="145" t="s">
        <v>400</v>
      </c>
      <c r="AC791" s="145">
        <v>7.76</v>
      </c>
      <c r="AD791" s="145">
        <v>2.7</v>
      </c>
      <c r="AE791" s="145">
        <v>9</v>
      </c>
      <c r="AF791" s="145">
        <v>0.7</v>
      </c>
      <c r="AG791" s="145">
        <v>0.35</v>
      </c>
      <c r="AH791" s="145">
        <v>0.24099999999999999</v>
      </c>
      <c r="AI791" s="145">
        <v>333</v>
      </c>
      <c r="AJ791" s="145">
        <v>34.174999999999997</v>
      </c>
      <c r="AK791" s="145" t="s">
        <v>400</v>
      </c>
      <c r="AL791" s="145" t="s">
        <v>400</v>
      </c>
      <c r="AM791" s="145" t="s">
        <v>400</v>
      </c>
    </row>
    <row r="792" spans="1:39">
      <c r="A792" s="143" t="s">
        <v>1852</v>
      </c>
      <c r="B792" s="144">
        <v>100</v>
      </c>
      <c r="C792" s="145">
        <v>221.65899999999999</v>
      </c>
      <c r="D792" s="145">
        <v>36.119999999999997</v>
      </c>
      <c r="E792" s="145">
        <v>7.5629999999999997</v>
      </c>
      <c r="F792" s="145">
        <v>2.121</v>
      </c>
      <c r="G792" s="145">
        <v>2.5840000000000001</v>
      </c>
      <c r="H792" s="145">
        <v>1.7</v>
      </c>
      <c r="I792" s="145">
        <v>1.476</v>
      </c>
      <c r="J792" s="145">
        <v>0.19400000000000001</v>
      </c>
      <c r="K792" s="145">
        <v>90</v>
      </c>
      <c r="L792" s="145" t="s">
        <v>400</v>
      </c>
      <c r="M792" s="145" t="s">
        <v>400</v>
      </c>
      <c r="N792" s="145">
        <v>4</v>
      </c>
      <c r="O792" s="145">
        <v>26</v>
      </c>
      <c r="P792" s="145">
        <v>1.7999999999999999E-2</v>
      </c>
      <c r="Q792" s="145">
        <v>226</v>
      </c>
      <c r="R792" s="145">
        <v>3.3210000000000002</v>
      </c>
      <c r="S792" s="145">
        <v>45</v>
      </c>
      <c r="T792" s="145">
        <v>334</v>
      </c>
      <c r="U792" s="145">
        <v>0.124</v>
      </c>
      <c r="V792" s="145">
        <v>4.5599999999999996</v>
      </c>
      <c r="W792" s="145" t="s">
        <v>400</v>
      </c>
      <c r="X792" s="145">
        <v>7.0000000000000007E-2</v>
      </c>
      <c r="Y792" s="145">
        <v>0.25</v>
      </c>
      <c r="Z792" s="145">
        <v>0.28000000000000003</v>
      </c>
      <c r="AA792" s="145">
        <v>3.81</v>
      </c>
      <c r="AB792" s="145" t="s">
        <v>400</v>
      </c>
      <c r="AC792" s="145">
        <v>7.76</v>
      </c>
      <c r="AD792" s="145">
        <v>2.7</v>
      </c>
      <c r="AE792" s="145">
        <v>9</v>
      </c>
      <c r="AF792" s="145">
        <v>0.7</v>
      </c>
      <c r="AG792" s="145">
        <v>0.35</v>
      </c>
      <c r="AH792" s="145">
        <v>0.24099999999999999</v>
      </c>
      <c r="AI792" s="145">
        <v>333</v>
      </c>
      <c r="AJ792" s="145">
        <v>34.174999999999997</v>
      </c>
      <c r="AK792" s="145" t="s">
        <v>400</v>
      </c>
      <c r="AL792" s="145" t="s">
        <v>400</v>
      </c>
      <c r="AM792" s="145" t="s">
        <v>400</v>
      </c>
    </row>
    <row r="793" spans="1:39">
      <c r="A793" s="143" t="s">
        <v>1853</v>
      </c>
      <c r="B793" s="144">
        <v>100</v>
      </c>
      <c r="C793" s="145">
        <v>204</v>
      </c>
      <c r="D793" s="145">
        <v>30.67</v>
      </c>
      <c r="E793" s="145">
        <v>9</v>
      </c>
      <c r="F793" s="145">
        <v>3.415</v>
      </c>
      <c r="G793" s="145">
        <v>3.9180000000000001</v>
      </c>
      <c r="H793" s="145">
        <v>0.34699999999999998</v>
      </c>
      <c r="I793" s="145">
        <v>0.23799999999999999</v>
      </c>
      <c r="J793" s="145">
        <v>8.6999999999999994E-2</v>
      </c>
      <c r="K793" s="145">
        <v>58</v>
      </c>
      <c r="L793" s="145" t="s">
        <v>400</v>
      </c>
      <c r="M793" s="145" t="s">
        <v>400</v>
      </c>
      <c r="N793" s="145">
        <v>7</v>
      </c>
      <c r="O793" s="145">
        <v>20</v>
      </c>
      <c r="P793" s="145">
        <v>1.0999999999999999E-2</v>
      </c>
      <c r="Q793" s="145">
        <v>193</v>
      </c>
      <c r="R793" s="145">
        <v>2.5299999999999998</v>
      </c>
      <c r="S793" s="145">
        <v>41</v>
      </c>
      <c r="T793" s="145">
        <v>252</v>
      </c>
      <c r="U793" s="145">
        <v>7.3999999999999996E-2</v>
      </c>
      <c r="V793" s="145">
        <v>5.2</v>
      </c>
      <c r="W793" s="145" t="s">
        <v>400</v>
      </c>
      <c r="X793" s="145">
        <v>7.0000000000000007E-2</v>
      </c>
      <c r="Y793" s="145">
        <v>0.16300000000000001</v>
      </c>
      <c r="Z793" s="146">
        <v>0.40300000000000002</v>
      </c>
      <c r="AA793" s="145">
        <v>5.36</v>
      </c>
      <c r="AB793" s="145" t="s">
        <v>400</v>
      </c>
      <c r="AC793" s="145">
        <v>8.7270000000000003</v>
      </c>
      <c r="AD793" s="145">
        <v>1.71</v>
      </c>
      <c r="AE793" s="145">
        <v>10</v>
      </c>
      <c r="AF793" s="145">
        <v>0.6</v>
      </c>
      <c r="AG793" s="145">
        <v>0.43</v>
      </c>
      <c r="AH793" s="145">
        <v>0.40899999999999997</v>
      </c>
      <c r="AI793" s="145">
        <v>333</v>
      </c>
      <c r="AJ793" s="145">
        <v>31.7</v>
      </c>
      <c r="AK793" s="145" t="s">
        <v>400</v>
      </c>
      <c r="AL793" s="145" t="s">
        <v>400</v>
      </c>
      <c r="AM793" s="145" t="s">
        <v>400</v>
      </c>
    </row>
    <row r="794" spans="1:39">
      <c r="A794" s="143" t="s">
        <v>1854</v>
      </c>
      <c r="B794" s="144">
        <v>100</v>
      </c>
      <c r="C794" s="145">
        <v>204</v>
      </c>
      <c r="D794" s="145">
        <v>30.67</v>
      </c>
      <c r="E794" s="145">
        <v>9</v>
      </c>
      <c r="F794" s="145">
        <v>3.415</v>
      </c>
      <c r="G794" s="145">
        <v>3.9180000000000001</v>
      </c>
      <c r="H794" s="145">
        <v>0.34699999999999998</v>
      </c>
      <c r="I794" s="145">
        <v>0.23799999999999999</v>
      </c>
      <c r="J794" s="145">
        <v>8.6999999999999994E-2</v>
      </c>
      <c r="K794" s="145">
        <v>58</v>
      </c>
      <c r="L794" s="145" t="s">
        <v>400</v>
      </c>
      <c r="M794" s="145" t="s">
        <v>400</v>
      </c>
      <c r="N794" s="145">
        <v>7</v>
      </c>
      <c r="O794" s="145">
        <v>20</v>
      </c>
      <c r="P794" s="145">
        <v>1.0999999999999999E-2</v>
      </c>
      <c r="Q794" s="145">
        <v>193</v>
      </c>
      <c r="R794" s="145">
        <v>2.5299999999999998</v>
      </c>
      <c r="S794" s="145">
        <v>41</v>
      </c>
      <c r="T794" s="145">
        <v>252</v>
      </c>
      <c r="U794" s="145">
        <v>7.3999999999999996E-2</v>
      </c>
      <c r="V794" s="145">
        <v>5.2</v>
      </c>
      <c r="W794" s="145" t="s">
        <v>400</v>
      </c>
      <c r="X794" s="145">
        <v>7.0000000000000007E-2</v>
      </c>
      <c r="Y794" s="145">
        <v>0.16300000000000001</v>
      </c>
      <c r="Z794" s="146">
        <v>0.40300000000000002</v>
      </c>
      <c r="AA794" s="145">
        <v>5.36</v>
      </c>
      <c r="AB794" s="145" t="s">
        <v>400</v>
      </c>
      <c r="AC794" s="145">
        <v>8.7270000000000003</v>
      </c>
      <c r="AD794" s="145">
        <v>1.71</v>
      </c>
      <c r="AE794" s="145">
        <v>10</v>
      </c>
      <c r="AF794" s="145">
        <v>0.6</v>
      </c>
      <c r="AG794" s="145">
        <v>0.43</v>
      </c>
      <c r="AH794" s="145">
        <v>0.40899999999999997</v>
      </c>
      <c r="AI794" s="145">
        <v>333</v>
      </c>
      <c r="AJ794" s="145">
        <v>31.7</v>
      </c>
      <c r="AK794" s="145" t="s">
        <v>400</v>
      </c>
      <c r="AL794" s="145" t="s">
        <v>400</v>
      </c>
      <c r="AM794" s="145" t="s">
        <v>400</v>
      </c>
    </row>
    <row r="795" spans="1:39">
      <c r="A795" s="143" t="s">
        <v>1855</v>
      </c>
      <c r="B795" s="144">
        <v>100</v>
      </c>
      <c r="C795" s="145">
        <v>226.65899999999999</v>
      </c>
      <c r="D795" s="145">
        <v>30.67</v>
      </c>
      <c r="E795" s="145">
        <v>11.563000000000001</v>
      </c>
      <c r="F795" s="145">
        <v>3.8159999999999998</v>
      </c>
      <c r="G795" s="145">
        <v>4.5019999999999998</v>
      </c>
      <c r="H795" s="145">
        <v>1.827</v>
      </c>
      <c r="I795" s="145">
        <v>1.544</v>
      </c>
      <c r="J795" s="145">
        <v>0.26100000000000001</v>
      </c>
      <c r="K795" s="145">
        <v>58</v>
      </c>
      <c r="L795" s="145" t="s">
        <v>400</v>
      </c>
      <c r="M795" s="145" t="s">
        <v>400</v>
      </c>
      <c r="N795" s="145">
        <v>7</v>
      </c>
      <c r="O795" s="145">
        <v>20</v>
      </c>
      <c r="P795" s="145">
        <v>1.0999999999999999E-2</v>
      </c>
      <c r="Q795" s="145">
        <v>193</v>
      </c>
      <c r="R795" s="145">
        <v>2.5310000000000001</v>
      </c>
      <c r="S795" s="145">
        <v>41</v>
      </c>
      <c r="T795" s="145">
        <v>252</v>
      </c>
      <c r="U795" s="145">
        <v>7.3999999999999996E-2</v>
      </c>
      <c r="V795" s="145">
        <v>5.2</v>
      </c>
      <c r="W795" s="145" t="s">
        <v>400</v>
      </c>
      <c r="X795" s="145">
        <v>7.0000000000000007E-2</v>
      </c>
      <c r="Y795" s="145">
        <v>0.16300000000000001</v>
      </c>
      <c r="Z795" s="146">
        <v>0.40300000000000002</v>
      </c>
      <c r="AA795" s="145">
        <v>5.36</v>
      </c>
      <c r="AB795" s="145" t="s">
        <v>400</v>
      </c>
      <c r="AC795" s="145">
        <v>8.7270000000000003</v>
      </c>
      <c r="AD795" s="145">
        <v>1.71</v>
      </c>
      <c r="AE795" s="145">
        <v>10</v>
      </c>
      <c r="AF795" s="145">
        <v>0.6</v>
      </c>
      <c r="AG795" s="145">
        <v>0.64</v>
      </c>
      <c r="AH795" s="145">
        <v>0.42299999999999999</v>
      </c>
      <c r="AI795" s="145">
        <v>333</v>
      </c>
      <c r="AJ795" s="145">
        <v>32.875</v>
      </c>
      <c r="AK795" s="145" t="s">
        <v>400</v>
      </c>
      <c r="AL795" s="145" t="s">
        <v>400</v>
      </c>
      <c r="AM795" s="145" t="s">
        <v>400</v>
      </c>
    </row>
    <row r="796" spans="1:39">
      <c r="A796" s="143" t="s">
        <v>1856</v>
      </c>
      <c r="B796" s="144">
        <v>100</v>
      </c>
      <c r="C796" s="145">
        <v>204</v>
      </c>
      <c r="D796" s="145">
        <v>30.67</v>
      </c>
      <c r="E796" s="145">
        <v>9</v>
      </c>
      <c r="F796" s="145">
        <v>3.415</v>
      </c>
      <c r="G796" s="145">
        <v>3.9180000000000001</v>
      </c>
      <c r="H796" s="145">
        <v>0.34699999999999998</v>
      </c>
      <c r="I796" s="145">
        <v>0.23799999999999999</v>
      </c>
      <c r="J796" s="145">
        <v>8.6999999999999994E-2</v>
      </c>
      <c r="K796" s="145">
        <v>58</v>
      </c>
      <c r="L796" s="145" t="s">
        <v>400</v>
      </c>
      <c r="M796" s="145" t="s">
        <v>400</v>
      </c>
      <c r="N796" s="145">
        <v>7</v>
      </c>
      <c r="O796" s="145">
        <v>20</v>
      </c>
      <c r="P796" s="145">
        <v>1.0999999999999999E-2</v>
      </c>
      <c r="Q796" s="145">
        <v>193</v>
      </c>
      <c r="R796" s="145">
        <v>2.5299999999999998</v>
      </c>
      <c r="S796" s="145">
        <v>41</v>
      </c>
      <c r="T796" s="145">
        <v>252</v>
      </c>
      <c r="U796" s="145">
        <v>7.3999999999999996E-2</v>
      </c>
      <c r="V796" s="145">
        <v>5.2</v>
      </c>
      <c r="W796" s="145" t="s">
        <v>400</v>
      </c>
      <c r="X796" s="145">
        <v>7.0000000000000007E-2</v>
      </c>
      <c r="Y796" s="145">
        <v>0.16300000000000001</v>
      </c>
      <c r="Z796" s="146">
        <v>0.40300000000000002</v>
      </c>
      <c r="AA796" s="145">
        <v>5.36</v>
      </c>
      <c r="AB796" s="145" t="s">
        <v>400</v>
      </c>
      <c r="AC796" s="145">
        <v>8.7270000000000003</v>
      </c>
      <c r="AD796" s="145">
        <v>1.71</v>
      </c>
      <c r="AE796" s="145">
        <v>10</v>
      </c>
      <c r="AF796" s="145">
        <v>0.6</v>
      </c>
      <c r="AG796" s="145">
        <v>0.43</v>
      </c>
      <c r="AH796" s="145">
        <v>0.40899999999999997</v>
      </c>
      <c r="AI796" s="145">
        <v>333</v>
      </c>
      <c r="AJ796" s="145">
        <v>31.7</v>
      </c>
      <c r="AK796" s="145" t="s">
        <v>400</v>
      </c>
      <c r="AL796" s="145" t="s">
        <v>400</v>
      </c>
      <c r="AM796" s="145" t="s">
        <v>400</v>
      </c>
    </row>
    <row r="797" spans="1:39">
      <c r="A797" s="143" t="s">
        <v>1857</v>
      </c>
      <c r="B797" s="144">
        <v>100</v>
      </c>
      <c r="C797" s="145">
        <v>226.65899999999999</v>
      </c>
      <c r="D797" s="145">
        <v>30.67</v>
      </c>
      <c r="E797" s="145">
        <v>11.563000000000001</v>
      </c>
      <c r="F797" s="145">
        <v>3.8159999999999998</v>
      </c>
      <c r="G797" s="145">
        <v>4.5019999999999998</v>
      </c>
      <c r="H797" s="145">
        <v>1.827</v>
      </c>
      <c r="I797" s="145">
        <v>1.544</v>
      </c>
      <c r="J797" s="145">
        <v>0.26100000000000001</v>
      </c>
      <c r="K797" s="145">
        <v>58</v>
      </c>
      <c r="L797" s="145" t="s">
        <v>400</v>
      </c>
      <c r="M797" s="145" t="s">
        <v>400</v>
      </c>
      <c r="N797" s="145">
        <v>7</v>
      </c>
      <c r="O797" s="145">
        <v>20</v>
      </c>
      <c r="P797" s="145">
        <v>1.0999999999999999E-2</v>
      </c>
      <c r="Q797" s="145">
        <v>193</v>
      </c>
      <c r="R797" s="145">
        <v>2.5310000000000001</v>
      </c>
      <c r="S797" s="145">
        <v>41</v>
      </c>
      <c r="T797" s="145">
        <v>252</v>
      </c>
      <c r="U797" s="145">
        <v>7.3999999999999996E-2</v>
      </c>
      <c r="V797" s="145">
        <v>5.2</v>
      </c>
      <c r="W797" s="145" t="s">
        <v>400</v>
      </c>
      <c r="X797" s="145">
        <v>7.0000000000000007E-2</v>
      </c>
      <c r="Y797" s="145">
        <v>0.16300000000000001</v>
      </c>
      <c r="Z797" s="146">
        <v>0.40300000000000002</v>
      </c>
      <c r="AA797" s="145">
        <v>5.36</v>
      </c>
      <c r="AB797" s="145" t="s">
        <v>400</v>
      </c>
      <c r="AC797" s="145">
        <v>8.7270000000000003</v>
      </c>
      <c r="AD797" s="145">
        <v>1.71</v>
      </c>
      <c r="AE797" s="145">
        <v>10</v>
      </c>
      <c r="AF797" s="145">
        <v>0.6</v>
      </c>
      <c r="AG797" s="145">
        <v>0.64</v>
      </c>
      <c r="AH797" s="145">
        <v>0.42299999999999999</v>
      </c>
      <c r="AI797" s="145">
        <v>333</v>
      </c>
      <c r="AJ797" s="145">
        <v>32.875</v>
      </c>
      <c r="AK797" s="145" t="s">
        <v>400</v>
      </c>
      <c r="AL797" s="145" t="s">
        <v>400</v>
      </c>
      <c r="AM797" s="145" t="s">
        <v>400</v>
      </c>
    </row>
    <row r="798" spans="1:39">
      <c r="A798" s="143" t="s">
        <v>1858</v>
      </c>
      <c r="B798" s="144">
        <v>100</v>
      </c>
      <c r="C798" s="145">
        <v>199</v>
      </c>
      <c r="D798" s="145">
        <v>36.119999999999997</v>
      </c>
      <c r="E798" s="145">
        <v>5</v>
      </c>
      <c r="F798" s="145">
        <v>1.72</v>
      </c>
      <c r="G798" s="145">
        <v>2</v>
      </c>
      <c r="H798" s="145">
        <v>0.22</v>
      </c>
      <c r="I798" s="145">
        <v>0.17</v>
      </c>
      <c r="J798" s="145">
        <v>0.02</v>
      </c>
      <c r="K798" s="145">
        <v>90</v>
      </c>
      <c r="L798" s="145" t="s">
        <v>400</v>
      </c>
      <c r="M798" s="145" t="s">
        <v>400</v>
      </c>
      <c r="N798" s="145">
        <v>4</v>
      </c>
      <c r="O798" s="145">
        <v>26</v>
      </c>
      <c r="P798" s="145">
        <v>1.7999999999999999E-2</v>
      </c>
      <c r="Q798" s="145">
        <v>226</v>
      </c>
      <c r="R798" s="145">
        <v>3.32</v>
      </c>
      <c r="S798" s="145">
        <v>45</v>
      </c>
      <c r="T798" s="145">
        <v>334</v>
      </c>
      <c r="U798" s="145">
        <v>0.124</v>
      </c>
      <c r="V798" s="145">
        <v>4.5599999999999996</v>
      </c>
      <c r="W798" s="145" t="s">
        <v>400</v>
      </c>
      <c r="X798" s="145">
        <v>7.0000000000000007E-2</v>
      </c>
      <c r="Y798" s="145">
        <v>0.25</v>
      </c>
      <c r="Z798" s="146">
        <v>0.28000000000000003</v>
      </c>
      <c r="AA798" s="145">
        <v>3.81</v>
      </c>
      <c r="AB798" s="145" t="s">
        <v>400</v>
      </c>
      <c r="AC798" s="145">
        <v>7.76</v>
      </c>
      <c r="AD798" s="145">
        <v>2.7</v>
      </c>
      <c r="AE798" s="145">
        <v>9</v>
      </c>
      <c r="AF798" s="145">
        <v>0.7</v>
      </c>
      <c r="AG798" s="145">
        <v>0.14000000000000001</v>
      </c>
      <c r="AH798" s="145">
        <v>0.22700000000000001</v>
      </c>
      <c r="AI798" s="145">
        <v>333</v>
      </c>
      <c r="AJ798" s="145">
        <v>33</v>
      </c>
      <c r="AK798" s="145" t="s">
        <v>400</v>
      </c>
      <c r="AL798" s="145" t="s">
        <v>400</v>
      </c>
      <c r="AM798" s="145" t="s">
        <v>400</v>
      </c>
    </row>
    <row r="799" spans="1:39">
      <c r="A799" s="143" t="s">
        <v>1859</v>
      </c>
      <c r="B799" s="144">
        <v>100</v>
      </c>
      <c r="C799" s="145">
        <v>199</v>
      </c>
      <c r="D799" s="145">
        <v>36.119999999999997</v>
      </c>
      <c r="E799" s="145">
        <v>5</v>
      </c>
      <c r="F799" s="145">
        <v>1.72</v>
      </c>
      <c r="G799" s="145">
        <v>2</v>
      </c>
      <c r="H799" s="145">
        <v>0.22</v>
      </c>
      <c r="I799" s="145">
        <v>0.17</v>
      </c>
      <c r="J799" s="145">
        <v>0.02</v>
      </c>
      <c r="K799" s="145">
        <v>90</v>
      </c>
      <c r="L799" s="145" t="s">
        <v>400</v>
      </c>
      <c r="M799" s="145" t="s">
        <v>400</v>
      </c>
      <c r="N799" s="145">
        <v>4</v>
      </c>
      <c r="O799" s="145">
        <v>26</v>
      </c>
      <c r="P799" s="145">
        <v>1.7999999999999999E-2</v>
      </c>
      <c r="Q799" s="145">
        <v>226</v>
      </c>
      <c r="R799" s="145">
        <v>3.32</v>
      </c>
      <c r="S799" s="145">
        <v>45</v>
      </c>
      <c r="T799" s="145">
        <v>334</v>
      </c>
      <c r="U799" s="145">
        <v>0.124</v>
      </c>
      <c r="V799" s="145">
        <v>4.5599999999999996</v>
      </c>
      <c r="W799" s="145" t="s">
        <v>400</v>
      </c>
      <c r="X799" s="145">
        <v>7.0000000000000007E-2</v>
      </c>
      <c r="Y799" s="145">
        <v>0.25</v>
      </c>
      <c r="Z799" s="146">
        <v>0.28000000000000003</v>
      </c>
      <c r="AA799" s="145">
        <v>3.81</v>
      </c>
      <c r="AB799" s="145" t="s">
        <v>400</v>
      </c>
      <c r="AC799" s="145">
        <v>7.76</v>
      </c>
      <c r="AD799" s="145">
        <v>2.7</v>
      </c>
      <c r="AE799" s="145">
        <v>9</v>
      </c>
      <c r="AF799" s="145">
        <v>0.7</v>
      </c>
      <c r="AG799" s="145">
        <v>0.14000000000000001</v>
      </c>
      <c r="AH799" s="145">
        <v>0.22700000000000001</v>
      </c>
      <c r="AI799" s="145">
        <v>333</v>
      </c>
      <c r="AJ799" s="145">
        <v>33</v>
      </c>
      <c r="AK799" s="145" t="s">
        <v>400</v>
      </c>
      <c r="AL799" s="145" t="s">
        <v>400</v>
      </c>
      <c r="AM799" s="145" t="s">
        <v>400</v>
      </c>
    </row>
    <row r="800" spans="1:39">
      <c r="A800" s="143" t="s">
        <v>1860</v>
      </c>
      <c r="B800" s="144">
        <v>100</v>
      </c>
      <c r="C800" s="145">
        <v>199</v>
      </c>
      <c r="D800" s="145">
        <v>36.119999999999997</v>
      </c>
      <c r="E800" s="145">
        <v>5</v>
      </c>
      <c r="F800" s="145">
        <v>1.72</v>
      </c>
      <c r="G800" s="145">
        <v>2</v>
      </c>
      <c r="H800" s="145">
        <v>0.22</v>
      </c>
      <c r="I800" s="145">
        <v>0.17</v>
      </c>
      <c r="J800" s="145">
        <v>0.02</v>
      </c>
      <c r="K800" s="145">
        <v>90</v>
      </c>
      <c r="L800" s="145" t="s">
        <v>400</v>
      </c>
      <c r="M800" s="145" t="s">
        <v>400</v>
      </c>
      <c r="N800" s="145">
        <v>4</v>
      </c>
      <c r="O800" s="145">
        <v>26</v>
      </c>
      <c r="P800" s="145">
        <v>1.7999999999999999E-2</v>
      </c>
      <c r="Q800" s="145">
        <v>226</v>
      </c>
      <c r="R800" s="145">
        <v>3.32</v>
      </c>
      <c r="S800" s="145">
        <v>45</v>
      </c>
      <c r="T800" s="145">
        <v>334</v>
      </c>
      <c r="U800" s="145">
        <v>0.124</v>
      </c>
      <c r="V800" s="145">
        <v>4.5599999999999996</v>
      </c>
      <c r="W800" s="145" t="s">
        <v>400</v>
      </c>
      <c r="X800" s="145">
        <v>7.0000000000000007E-2</v>
      </c>
      <c r="Y800" s="145">
        <v>0.25</v>
      </c>
      <c r="Z800" s="146">
        <v>0.28000000000000003</v>
      </c>
      <c r="AA800" s="145">
        <v>3.81</v>
      </c>
      <c r="AB800" s="145" t="s">
        <v>400</v>
      </c>
      <c r="AC800" s="145">
        <v>7.76</v>
      </c>
      <c r="AD800" s="145">
        <v>2.7</v>
      </c>
      <c r="AE800" s="145">
        <v>9</v>
      </c>
      <c r="AF800" s="145">
        <v>0.7</v>
      </c>
      <c r="AG800" s="145">
        <v>0.14000000000000001</v>
      </c>
      <c r="AH800" s="145">
        <v>0.22700000000000001</v>
      </c>
      <c r="AI800" s="145">
        <v>333</v>
      </c>
      <c r="AJ800" s="145">
        <v>33</v>
      </c>
      <c r="AK800" s="145" t="s">
        <v>400</v>
      </c>
      <c r="AL800" s="145" t="s">
        <v>400</v>
      </c>
      <c r="AM800" s="145" t="s">
        <v>400</v>
      </c>
    </row>
    <row r="801" spans="1:39">
      <c r="A801" s="143" t="s">
        <v>1861</v>
      </c>
      <c r="B801" s="144">
        <v>100</v>
      </c>
      <c r="C801" s="145">
        <v>221.65899999999999</v>
      </c>
      <c r="D801" s="145">
        <v>36.119999999999997</v>
      </c>
      <c r="E801" s="145">
        <v>7.5629999999999997</v>
      </c>
      <c r="F801" s="145">
        <v>2.121</v>
      </c>
      <c r="G801" s="145">
        <v>2.5840000000000001</v>
      </c>
      <c r="H801" s="145">
        <v>1.7</v>
      </c>
      <c r="I801" s="145">
        <v>1.476</v>
      </c>
      <c r="J801" s="145">
        <v>0.19400000000000001</v>
      </c>
      <c r="K801" s="145">
        <v>90</v>
      </c>
      <c r="L801" s="145" t="s">
        <v>400</v>
      </c>
      <c r="M801" s="145" t="s">
        <v>400</v>
      </c>
      <c r="N801" s="145">
        <v>4</v>
      </c>
      <c r="O801" s="145">
        <v>26</v>
      </c>
      <c r="P801" s="145">
        <v>1.7999999999999999E-2</v>
      </c>
      <c r="Q801" s="145">
        <v>226</v>
      </c>
      <c r="R801" s="145">
        <v>3.3210000000000002</v>
      </c>
      <c r="S801" s="145">
        <v>45</v>
      </c>
      <c r="T801" s="145">
        <v>334</v>
      </c>
      <c r="U801" s="145">
        <v>0.124</v>
      </c>
      <c r="V801" s="145">
        <v>4.5599999999999996</v>
      </c>
      <c r="W801" s="145" t="s">
        <v>400</v>
      </c>
      <c r="X801" s="145">
        <v>7.0000000000000007E-2</v>
      </c>
      <c r="Y801" s="145">
        <v>0.25</v>
      </c>
      <c r="Z801" s="146">
        <v>0.28000000000000003</v>
      </c>
      <c r="AA801" s="145">
        <v>3.81</v>
      </c>
      <c r="AB801" s="145" t="s">
        <v>400</v>
      </c>
      <c r="AC801" s="145">
        <v>7.76</v>
      </c>
      <c r="AD801" s="145">
        <v>2.7</v>
      </c>
      <c r="AE801" s="145">
        <v>9</v>
      </c>
      <c r="AF801" s="145">
        <v>0.7</v>
      </c>
      <c r="AG801" s="145">
        <v>0.35</v>
      </c>
      <c r="AH801" s="145">
        <v>0.24099999999999999</v>
      </c>
      <c r="AI801" s="145">
        <v>333</v>
      </c>
      <c r="AJ801" s="145">
        <v>34.174999999999997</v>
      </c>
      <c r="AK801" s="145" t="s">
        <v>400</v>
      </c>
      <c r="AL801" s="145" t="s">
        <v>400</v>
      </c>
      <c r="AM801" s="145" t="s">
        <v>400</v>
      </c>
    </row>
    <row r="802" spans="1:39">
      <c r="A802" s="143" t="s">
        <v>1862</v>
      </c>
      <c r="B802" s="144">
        <v>100</v>
      </c>
      <c r="C802" s="145">
        <v>242</v>
      </c>
      <c r="D802" s="145">
        <v>24.22</v>
      </c>
      <c r="E802" s="145">
        <v>15.42</v>
      </c>
      <c r="F802" s="145">
        <v>5.7380000000000004</v>
      </c>
      <c r="G802" s="145">
        <v>7.0019999999999998</v>
      </c>
      <c r="H802" s="145">
        <v>0.61299999999999999</v>
      </c>
      <c r="I802" s="145">
        <v>0.41599999999999998</v>
      </c>
      <c r="J802" s="145">
        <v>0.16400000000000001</v>
      </c>
      <c r="K802" s="145">
        <v>75</v>
      </c>
      <c r="L802" s="145" t="s">
        <v>400</v>
      </c>
      <c r="M802" s="145" t="s">
        <v>400</v>
      </c>
      <c r="N802" s="145">
        <v>8</v>
      </c>
      <c r="O802" s="145">
        <v>20</v>
      </c>
      <c r="P802" s="145">
        <v>1E-3</v>
      </c>
      <c r="Q802" s="145">
        <v>196</v>
      </c>
      <c r="R802" s="145">
        <v>2.81</v>
      </c>
      <c r="S802" s="145">
        <v>67</v>
      </c>
      <c r="T802" s="145">
        <v>337</v>
      </c>
      <c r="U802" s="145">
        <v>9.2999999999999999E-2</v>
      </c>
      <c r="V802" s="145">
        <v>5.71</v>
      </c>
      <c r="W802" s="145" t="s">
        <v>400</v>
      </c>
      <c r="X802" s="145">
        <v>8.1000000000000003E-2</v>
      </c>
      <c r="Y802" s="145">
        <v>0.22600000000000001</v>
      </c>
      <c r="Z802" s="146">
        <v>0.255</v>
      </c>
      <c r="AA802" s="145">
        <v>3.2069999999999999</v>
      </c>
      <c r="AB802" s="145" t="s">
        <v>400</v>
      </c>
      <c r="AC802" s="145">
        <v>7.5739999999999998</v>
      </c>
      <c r="AD802" s="145">
        <v>2.83</v>
      </c>
      <c r="AE802" s="145">
        <v>9</v>
      </c>
      <c r="AF802" s="145">
        <v>0.7</v>
      </c>
      <c r="AG802" s="145">
        <v>0.14000000000000001</v>
      </c>
      <c r="AH802" s="145">
        <v>0.68</v>
      </c>
      <c r="AI802" s="145">
        <v>333</v>
      </c>
      <c r="AJ802" s="145">
        <v>28.3</v>
      </c>
      <c r="AK802" s="145" t="s">
        <v>400</v>
      </c>
      <c r="AL802" s="145" t="s">
        <v>400</v>
      </c>
      <c r="AM802" s="145" t="s">
        <v>400</v>
      </c>
    </row>
    <row r="803" spans="1:39">
      <c r="A803" s="143" t="s">
        <v>1863</v>
      </c>
      <c r="B803" s="144">
        <v>100</v>
      </c>
      <c r="C803" s="145">
        <v>242</v>
      </c>
      <c r="D803" s="145">
        <v>24.22</v>
      </c>
      <c r="E803" s="145">
        <v>15.42</v>
      </c>
      <c r="F803" s="145">
        <v>5.7380000000000004</v>
      </c>
      <c r="G803" s="145">
        <v>7.0019999999999998</v>
      </c>
      <c r="H803" s="145">
        <v>0.61299999999999999</v>
      </c>
      <c r="I803" s="145">
        <v>0.41599999999999998</v>
      </c>
      <c r="J803" s="145">
        <v>0.16400000000000001</v>
      </c>
      <c r="K803" s="145">
        <v>75</v>
      </c>
      <c r="L803" s="145" t="s">
        <v>400</v>
      </c>
      <c r="M803" s="145" t="s">
        <v>400</v>
      </c>
      <c r="N803" s="145">
        <v>8</v>
      </c>
      <c r="O803" s="145">
        <v>20</v>
      </c>
      <c r="P803" s="145">
        <v>1E-3</v>
      </c>
      <c r="Q803" s="145">
        <v>196</v>
      </c>
      <c r="R803" s="145">
        <v>2.81</v>
      </c>
      <c r="S803" s="145">
        <v>67</v>
      </c>
      <c r="T803" s="145">
        <v>337</v>
      </c>
      <c r="U803" s="145">
        <v>9.2999999999999999E-2</v>
      </c>
      <c r="V803" s="145">
        <v>5.71</v>
      </c>
      <c r="W803" s="145" t="s">
        <v>400</v>
      </c>
      <c r="X803" s="145">
        <v>8.1000000000000003E-2</v>
      </c>
      <c r="Y803" s="145">
        <v>0.22600000000000001</v>
      </c>
      <c r="Z803" s="146">
        <v>0.255</v>
      </c>
      <c r="AA803" s="145">
        <v>3.2069999999999999</v>
      </c>
      <c r="AB803" s="145" t="s">
        <v>400</v>
      </c>
      <c r="AC803" s="145">
        <v>7.5739999999999998</v>
      </c>
      <c r="AD803" s="145">
        <v>2.83</v>
      </c>
      <c r="AE803" s="145">
        <v>9</v>
      </c>
      <c r="AF803" s="145">
        <v>0.7</v>
      </c>
      <c r="AG803" s="145">
        <v>0.14000000000000001</v>
      </c>
      <c r="AH803" s="145">
        <v>0.68</v>
      </c>
      <c r="AI803" s="145">
        <v>333</v>
      </c>
      <c r="AJ803" s="145">
        <v>28.3</v>
      </c>
      <c r="AK803" s="145" t="s">
        <v>400</v>
      </c>
      <c r="AL803" s="145" t="s">
        <v>400</v>
      </c>
      <c r="AM803" s="145" t="s">
        <v>400</v>
      </c>
    </row>
    <row r="804" spans="1:39">
      <c r="A804" s="143" t="s">
        <v>1864</v>
      </c>
      <c r="B804" s="144">
        <v>100</v>
      </c>
      <c r="C804" s="145">
        <v>264.65899999999999</v>
      </c>
      <c r="D804" s="145">
        <v>24.22</v>
      </c>
      <c r="E804" s="145">
        <v>17.983000000000001</v>
      </c>
      <c r="F804" s="145">
        <v>6.1390000000000002</v>
      </c>
      <c r="G804" s="145">
        <v>7.5860000000000003</v>
      </c>
      <c r="H804" s="145">
        <v>2.093</v>
      </c>
      <c r="I804" s="145">
        <v>1.722</v>
      </c>
      <c r="J804" s="145">
        <v>0.33800000000000002</v>
      </c>
      <c r="K804" s="145">
        <v>75</v>
      </c>
      <c r="L804" s="145" t="s">
        <v>400</v>
      </c>
      <c r="M804" s="145" t="s">
        <v>400</v>
      </c>
      <c r="N804" s="145">
        <v>8</v>
      </c>
      <c r="O804" s="145">
        <v>20</v>
      </c>
      <c r="P804" s="145">
        <v>1E-3</v>
      </c>
      <c r="Q804" s="145">
        <v>196</v>
      </c>
      <c r="R804" s="145">
        <v>2.8109999999999999</v>
      </c>
      <c r="S804" s="145">
        <v>67</v>
      </c>
      <c r="T804" s="145">
        <v>337</v>
      </c>
      <c r="U804" s="145">
        <v>9.2999999999999999E-2</v>
      </c>
      <c r="V804" s="145">
        <v>5.71</v>
      </c>
      <c r="W804" s="145" t="s">
        <v>400</v>
      </c>
      <c r="X804" s="145">
        <v>8.1000000000000003E-2</v>
      </c>
      <c r="Y804" s="145">
        <v>0.22600000000000001</v>
      </c>
      <c r="Z804" s="146">
        <v>0.255</v>
      </c>
      <c r="AA804" s="145">
        <v>3.2069999999999999</v>
      </c>
      <c r="AB804" s="145" t="s">
        <v>400</v>
      </c>
      <c r="AC804" s="145">
        <v>7.5739999999999998</v>
      </c>
      <c r="AD804" s="145">
        <v>2.83</v>
      </c>
      <c r="AE804" s="145">
        <v>9</v>
      </c>
      <c r="AF804" s="145">
        <v>0.7</v>
      </c>
      <c r="AG804" s="145">
        <v>0.35</v>
      </c>
      <c r="AH804" s="145">
        <v>0.69399999999999995</v>
      </c>
      <c r="AI804" s="145">
        <v>333</v>
      </c>
      <c r="AJ804" s="145">
        <v>29.475000000000001</v>
      </c>
      <c r="AK804" s="145" t="s">
        <v>400</v>
      </c>
      <c r="AL804" s="145" t="s">
        <v>400</v>
      </c>
      <c r="AM804" s="145" t="s">
        <v>400</v>
      </c>
    </row>
    <row r="805" spans="1:39">
      <c r="A805" s="143" t="s">
        <v>1865</v>
      </c>
      <c r="B805" s="144">
        <v>100</v>
      </c>
      <c r="C805" s="145">
        <v>365</v>
      </c>
      <c r="D805" s="145">
        <v>22.6</v>
      </c>
      <c r="E805" s="145">
        <v>29.79</v>
      </c>
      <c r="F805" s="145">
        <v>12.01</v>
      </c>
      <c r="G805" s="145">
        <v>12.8</v>
      </c>
      <c r="H805" s="145">
        <v>1.05</v>
      </c>
      <c r="I805" s="145">
        <v>0.7</v>
      </c>
      <c r="J805" s="145">
        <v>0.33</v>
      </c>
      <c r="K805" s="145">
        <v>84</v>
      </c>
      <c r="L805" s="145" t="s">
        <v>400</v>
      </c>
      <c r="M805" s="145" t="s">
        <v>400</v>
      </c>
      <c r="N805" s="145">
        <v>11</v>
      </c>
      <c r="O805" s="145">
        <v>20</v>
      </c>
      <c r="P805" s="145">
        <v>1.2999999999999999E-2</v>
      </c>
      <c r="Q805" s="145">
        <v>176</v>
      </c>
      <c r="R805" s="145">
        <v>2.35</v>
      </c>
      <c r="S805" s="145">
        <v>64</v>
      </c>
      <c r="T805" s="145">
        <v>302</v>
      </c>
      <c r="U805" s="145">
        <v>8.4000000000000005E-2</v>
      </c>
      <c r="V805" s="145">
        <v>5.4</v>
      </c>
      <c r="W805" s="145" t="s">
        <v>400</v>
      </c>
      <c r="X805" s="145">
        <v>7.0000000000000007E-2</v>
      </c>
      <c r="Y805" s="145">
        <v>0.17</v>
      </c>
      <c r="Z805" s="146">
        <v>0.23</v>
      </c>
      <c r="AA805" s="145">
        <v>3.43</v>
      </c>
      <c r="AB805" s="145" t="s">
        <v>400</v>
      </c>
      <c r="AC805" s="145">
        <v>7.6470000000000002</v>
      </c>
      <c r="AD805" s="145">
        <v>2.5499999999999998</v>
      </c>
      <c r="AE805" s="145">
        <v>7</v>
      </c>
      <c r="AF805" s="145">
        <v>0.6</v>
      </c>
      <c r="AG805" s="145">
        <v>0.24</v>
      </c>
      <c r="AH805" s="145">
        <v>1.35</v>
      </c>
      <c r="AI805" s="145">
        <v>333</v>
      </c>
      <c r="AJ805" s="145">
        <v>22.4</v>
      </c>
      <c r="AK805" s="145" t="s">
        <v>400</v>
      </c>
      <c r="AL805" s="145" t="s">
        <v>400</v>
      </c>
      <c r="AM805" s="145" t="s">
        <v>400</v>
      </c>
    </row>
    <row r="806" spans="1:39">
      <c r="A806" s="143" t="s">
        <v>1866</v>
      </c>
      <c r="B806" s="144">
        <v>100</v>
      </c>
      <c r="C806" s="145">
        <v>365</v>
      </c>
      <c r="D806" s="145">
        <v>22.6</v>
      </c>
      <c r="E806" s="145">
        <v>29.79</v>
      </c>
      <c r="F806" s="145">
        <v>12.01</v>
      </c>
      <c r="G806" s="145">
        <v>12.8</v>
      </c>
      <c r="H806" s="145">
        <v>1.05</v>
      </c>
      <c r="I806" s="145">
        <v>0.7</v>
      </c>
      <c r="J806" s="145">
        <v>0.33</v>
      </c>
      <c r="K806" s="145">
        <v>84</v>
      </c>
      <c r="L806" s="145" t="s">
        <v>400</v>
      </c>
      <c r="M806" s="145" t="s">
        <v>400</v>
      </c>
      <c r="N806" s="145">
        <v>11</v>
      </c>
      <c r="O806" s="145">
        <v>20</v>
      </c>
      <c r="P806" s="145">
        <v>1.2999999999999999E-2</v>
      </c>
      <c r="Q806" s="145">
        <v>176</v>
      </c>
      <c r="R806" s="145">
        <v>2.35</v>
      </c>
      <c r="S806" s="145">
        <v>64</v>
      </c>
      <c r="T806" s="145">
        <v>302</v>
      </c>
      <c r="U806" s="145">
        <v>8.4000000000000005E-2</v>
      </c>
      <c r="V806" s="145">
        <v>5.4</v>
      </c>
      <c r="W806" s="145" t="s">
        <v>400</v>
      </c>
      <c r="X806" s="145">
        <v>7.0000000000000007E-2</v>
      </c>
      <c r="Y806" s="145">
        <v>0.17</v>
      </c>
      <c r="Z806" s="146">
        <v>0.23</v>
      </c>
      <c r="AA806" s="145">
        <v>3.43</v>
      </c>
      <c r="AB806" s="145" t="s">
        <v>400</v>
      </c>
      <c r="AC806" s="145">
        <v>7.6470000000000002</v>
      </c>
      <c r="AD806" s="145">
        <v>2.5499999999999998</v>
      </c>
      <c r="AE806" s="145">
        <v>7</v>
      </c>
      <c r="AF806" s="145">
        <v>0.6</v>
      </c>
      <c r="AG806" s="145">
        <v>0.24</v>
      </c>
      <c r="AH806" s="145">
        <v>1.35</v>
      </c>
      <c r="AI806" s="145">
        <v>333</v>
      </c>
      <c r="AJ806" s="145">
        <v>22.4</v>
      </c>
      <c r="AK806" s="145" t="s">
        <v>400</v>
      </c>
      <c r="AL806" s="145" t="s">
        <v>400</v>
      </c>
      <c r="AM806" s="145" t="s">
        <v>400</v>
      </c>
    </row>
    <row r="807" spans="1:39">
      <c r="A807" s="143" t="s">
        <v>1867</v>
      </c>
      <c r="B807" s="144">
        <v>100</v>
      </c>
      <c r="C807" s="145">
        <v>365</v>
      </c>
      <c r="D807" s="145">
        <v>22.6</v>
      </c>
      <c r="E807" s="145">
        <v>29.79</v>
      </c>
      <c r="F807" s="145">
        <v>12.01</v>
      </c>
      <c r="G807" s="145">
        <v>12.8</v>
      </c>
      <c r="H807" s="145">
        <v>1.05</v>
      </c>
      <c r="I807" s="145">
        <v>0.7</v>
      </c>
      <c r="J807" s="145">
        <v>0.33</v>
      </c>
      <c r="K807" s="145">
        <v>84</v>
      </c>
      <c r="L807" s="145" t="s">
        <v>400</v>
      </c>
      <c r="M807" s="145" t="s">
        <v>400</v>
      </c>
      <c r="N807" s="145">
        <v>11</v>
      </c>
      <c r="O807" s="145">
        <v>20</v>
      </c>
      <c r="P807" s="145">
        <v>1.2999999999999999E-2</v>
      </c>
      <c r="Q807" s="145">
        <v>176</v>
      </c>
      <c r="R807" s="145">
        <v>2.35</v>
      </c>
      <c r="S807" s="145">
        <v>64</v>
      </c>
      <c r="T807" s="145">
        <v>302</v>
      </c>
      <c r="U807" s="145">
        <v>8.4000000000000005E-2</v>
      </c>
      <c r="V807" s="145">
        <v>5.4</v>
      </c>
      <c r="W807" s="145" t="s">
        <v>400</v>
      </c>
      <c r="X807" s="145">
        <v>7.0000000000000007E-2</v>
      </c>
      <c r="Y807" s="145">
        <v>0.17</v>
      </c>
      <c r="Z807" s="146">
        <v>0.23</v>
      </c>
      <c r="AA807" s="145">
        <v>3.43</v>
      </c>
      <c r="AB807" s="145" t="s">
        <v>400</v>
      </c>
      <c r="AC807" s="145">
        <v>7.6470000000000002</v>
      </c>
      <c r="AD807" s="145">
        <v>2.5499999999999998</v>
      </c>
      <c r="AE807" s="145">
        <v>7</v>
      </c>
      <c r="AF807" s="145">
        <v>0.6</v>
      </c>
      <c r="AG807" s="145">
        <v>0.24</v>
      </c>
      <c r="AH807" s="145">
        <v>1.35</v>
      </c>
      <c r="AI807" s="145">
        <v>333</v>
      </c>
      <c r="AJ807" s="145">
        <v>22.4</v>
      </c>
      <c r="AK807" s="145" t="s">
        <v>400</v>
      </c>
      <c r="AL807" s="145" t="s">
        <v>400</v>
      </c>
      <c r="AM807" s="145" t="s">
        <v>400</v>
      </c>
    </row>
    <row r="808" spans="1:39">
      <c r="A808" s="143" t="s">
        <v>1868</v>
      </c>
      <c r="B808" s="144">
        <v>100</v>
      </c>
      <c r="C808" s="145">
        <v>365</v>
      </c>
      <c r="D808" s="145">
        <v>22.6</v>
      </c>
      <c r="E808" s="145">
        <v>29.79</v>
      </c>
      <c r="F808" s="145">
        <v>12.01</v>
      </c>
      <c r="G808" s="145">
        <v>12.8</v>
      </c>
      <c r="H808" s="145">
        <v>1.05</v>
      </c>
      <c r="I808" s="145">
        <v>0.7</v>
      </c>
      <c r="J808" s="145">
        <v>0.33</v>
      </c>
      <c r="K808" s="145">
        <v>84</v>
      </c>
      <c r="L808" s="145" t="s">
        <v>400</v>
      </c>
      <c r="M808" s="145" t="s">
        <v>400</v>
      </c>
      <c r="N808" s="145">
        <v>11</v>
      </c>
      <c r="O808" s="145">
        <v>20</v>
      </c>
      <c r="P808" s="145">
        <v>1.2999999999999999E-2</v>
      </c>
      <c r="Q808" s="145">
        <v>176</v>
      </c>
      <c r="R808" s="145">
        <v>2.35</v>
      </c>
      <c r="S808" s="145">
        <v>64</v>
      </c>
      <c r="T808" s="145">
        <v>302</v>
      </c>
      <c r="U808" s="145">
        <v>8.4000000000000005E-2</v>
      </c>
      <c r="V808" s="145">
        <v>5.4</v>
      </c>
      <c r="W808" s="145" t="s">
        <v>400</v>
      </c>
      <c r="X808" s="145">
        <v>7.0000000000000007E-2</v>
      </c>
      <c r="Y808" s="145">
        <v>0.17</v>
      </c>
      <c r="Z808" s="146">
        <v>0.23</v>
      </c>
      <c r="AA808" s="145">
        <v>3.43</v>
      </c>
      <c r="AB808" s="145" t="s">
        <v>400</v>
      </c>
      <c r="AC808" s="145">
        <v>7.6470000000000002</v>
      </c>
      <c r="AD808" s="145">
        <v>2.5499999999999998</v>
      </c>
      <c r="AE808" s="145">
        <v>7</v>
      </c>
      <c r="AF808" s="145">
        <v>0.6</v>
      </c>
      <c r="AG808" s="145">
        <v>0.24</v>
      </c>
      <c r="AH808" s="145">
        <v>1.35</v>
      </c>
      <c r="AI808" s="145">
        <v>333</v>
      </c>
      <c r="AJ808" s="145">
        <v>22.4</v>
      </c>
      <c r="AK808" s="145" t="s">
        <v>400</v>
      </c>
      <c r="AL808" s="145" t="s">
        <v>400</v>
      </c>
      <c r="AM808" s="145" t="s">
        <v>400</v>
      </c>
    </row>
    <row r="809" spans="1:39">
      <c r="A809" s="143" t="s">
        <v>1869</v>
      </c>
      <c r="B809" s="144">
        <v>100</v>
      </c>
      <c r="C809" s="145">
        <v>365</v>
      </c>
      <c r="D809" s="145">
        <v>22.6</v>
      </c>
      <c r="E809" s="145">
        <v>29.79</v>
      </c>
      <c r="F809" s="145">
        <v>12.01</v>
      </c>
      <c r="G809" s="145">
        <v>12.8</v>
      </c>
      <c r="H809" s="145">
        <v>1.05</v>
      </c>
      <c r="I809" s="145">
        <v>0.7</v>
      </c>
      <c r="J809" s="145">
        <v>0.33</v>
      </c>
      <c r="K809" s="145">
        <v>84</v>
      </c>
      <c r="L809" s="145" t="s">
        <v>400</v>
      </c>
      <c r="M809" s="145" t="s">
        <v>400</v>
      </c>
      <c r="N809" s="145">
        <v>11</v>
      </c>
      <c r="O809" s="145">
        <v>20</v>
      </c>
      <c r="P809" s="145">
        <v>1.2999999999999999E-2</v>
      </c>
      <c r="Q809" s="145">
        <v>176</v>
      </c>
      <c r="R809" s="145">
        <v>2.35</v>
      </c>
      <c r="S809" s="145">
        <v>64</v>
      </c>
      <c r="T809" s="145">
        <v>302</v>
      </c>
      <c r="U809" s="145">
        <v>8.4000000000000005E-2</v>
      </c>
      <c r="V809" s="145">
        <v>5.4</v>
      </c>
      <c r="W809" s="145" t="s">
        <v>400</v>
      </c>
      <c r="X809" s="145">
        <v>7.0000000000000007E-2</v>
      </c>
      <c r="Y809" s="145">
        <v>0.17</v>
      </c>
      <c r="Z809" s="146">
        <v>0.23</v>
      </c>
      <c r="AA809" s="145">
        <v>3.43</v>
      </c>
      <c r="AB809" s="145" t="s">
        <v>400</v>
      </c>
      <c r="AC809" s="145">
        <v>7.6470000000000002</v>
      </c>
      <c r="AD809" s="145">
        <v>2.5499999999999998</v>
      </c>
      <c r="AE809" s="145">
        <v>7</v>
      </c>
      <c r="AF809" s="145">
        <v>0.6</v>
      </c>
      <c r="AG809" s="145">
        <v>0.24</v>
      </c>
      <c r="AH809" s="145">
        <v>1.35</v>
      </c>
      <c r="AI809" s="145">
        <v>333</v>
      </c>
      <c r="AJ809" s="145">
        <v>22.4</v>
      </c>
      <c r="AK809" s="145" t="s">
        <v>400</v>
      </c>
      <c r="AL809" s="145" t="s">
        <v>400</v>
      </c>
      <c r="AM809" s="145" t="s">
        <v>400</v>
      </c>
    </row>
    <row r="810" spans="1:39">
      <c r="A810" s="143" t="s">
        <v>1870</v>
      </c>
      <c r="B810" s="144">
        <v>100</v>
      </c>
      <c r="C810" s="145">
        <v>365</v>
      </c>
      <c r="D810" s="145">
        <v>22.6</v>
      </c>
      <c r="E810" s="145">
        <v>29.79</v>
      </c>
      <c r="F810" s="145">
        <v>12.01</v>
      </c>
      <c r="G810" s="145">
        <v>12.8</v>
      </c>
      <c r="H810" s="145">
        <v>1.05</v>
      </c>
      <c r="I810" s="145">
        <v>0.7</v>
      </c>
      <c r="J810" s="145">
        <v>0.33</v>
      </c>
      <c r="K810" s="145">
        <v>84</v>
      </c>
      <c r="L810" s="145" t="s">
        <v>400</v>
      </c>
      <c r="M810" s="145" t="s">
        <v>400</v>
      </c>
      <c r="N810" s="145">
        <v>11</v>
      </c>
      <c r="O810" s="145">
        <v>20</v>
      </c>
      <c r="P810" s="145">
        <v>1.2999999999999999E-2</v>
      </c>
      <c r="Q810" s="145">
        <v>176</v>
      </c>
      <c r="R810" s="145">
        <v>2.35</v>
      </c>
      <c r="S810" s="145">
        <v>64</v>
      </c>
      <c r="T810" s="145">
        <v>302</v>
      </c>
      <c r="U810" s="145">
        <v>8.4000000000000005E-2</v>
      </c>
      <c r="V810" s="145">
        <v>5.4</v>
      </c>
      <c r="W810" s="145" t="s">
        <v>400</v>
      </c>
      <c r="X810" s="145">
        <v>7.0000000000000007E-2</v>
      </c>
      <c r="Y810" s="145">
        <v>0.17</v>
      </c>
      <c r="Z810" s="146">
        <v>0.23</v>
      </c>
      <c r="AA810" s="145">
        <v>3.43</v>
      </c>
      <c r="AB810" s="145" t="s">
        <v>400</v>
      </c>
      <c r="AC810" s="145">
        <v>7.6470000000000002</v>
      </c>
      <c r="AD810" s="145">
        <v>2.5499999999999998</v>
      </c>
      <c r="AE810" s="145">
        <v>7</v>
      </c>
      <c r="AF810" s="145">
        <v>0.6</v>
      </c>
      <c r="AG810" s="145">
        <v>0.24</v>
      </c>
      <c r="AH810" s="145">
        <v>1.35</v>
      </c>
      <c r="AI810" s="145">
        <v>333</v>
      </c>
      <c r="AJ810" s="145">
        <v>22.4</v>
      </c>
      <c r="AK810" s="145" t="s">
        <v>400</v>
      </c>
      <c r="AL810" s="145" t="s">
        <v>400</v>
      </c>
      <c r="AM810" s="145" t="s">
        <v>400</v>
      </c>
    </row>
    <row r="811" spans="1:39">
      <c r="A811" s="143" t="s">
        <v>1871</v>
      </c>
      <c r="B811" s="144">
        <v>100</v>
      </c>
      <c r="C811" s="145">
        <v>365</v>
      </c>
      <c r="D811" s="145">
        <v>22.6</v>
      </c>
      <c r="E811" s="145">
        <v>29.79</v>
      </c>
      <c r="F811" s="145">
        <v>12.01</v>
      </c>
      <c r="G811" s="145">
        <v>12.8</v>
      </c>
      <c r="H811" s="145">
        <v>1.05</v>
      </c>
      <c r="I811" s="145">
        <v>0.7</v>
      </c>
      <c r="J811" s="145">
        <v>0.33</v>
      </c>
      <c r="K811" s="145">
        <v>84</v>
      </c>
      <c r="L811" s="145" t="s">
        <v>400</v>
      </c>
      <c r="M811" s="145" t="s">
        <v>400</v>
      </c>
      <c r="N811" s="145">
        <v>11</v>
      </c>
      <c r="O811" s="145">
        <v>20</v>
      </c>
      <c r="P811" s="145">
        <v>1.2999999999999999E-2</v>
      </c>
      <c r="Q811" s="145">
        <v>176</v>
      </c>
      <c r="R811" s="145">
        <v>2.35</v>
      </c>
      <c r="S811" s="145">
        <v>64</v>
      </c>
      <c r="T811" s="145">
        <v>302</v>
      </c>
      <c r="U811" s="145">
        <v>8.4000000000000005E-2</v>
      </c>
      <c r="V811" s="145">
        <v>5.4</v>
      </c>
      <c r="W811" s="145" t="s">
        <v>400</v>
      </c>
      <c r="X811" s="145">
        <v>7.0000000000000007E-2</v>
      </c>
      <c r="Y811" s="145">
        <v>0.17</v>
      </c>
      <c r="Z811" s="146">
        <v>0.23</v>
      </c>
      <c r="AA811" s="145">
        <v>3.43</v>
      </c>
      <c r="AB811" s="145" t="s">
        <v>400</v>
      </c>
      <c r="AC811" s="145">
        <v>7.6470000000000002</v>
      </c>
      <c r="AD811" s="145">
        <v>2.5499999999999998</v>
      </c>
      <c r="AE811" s="145">
        <v>7</v>
      </c>
      <c r="AF811" s="145">
        <v>0.6</v>
      </c>
      <c r="AG811" s="145">
        <v>0.24</v>
      </c>
      <c r="AH811" s="145">
        <v>1.35</v>
      </c>
      <c r="AI811" s="145">
        <v>333</v>
      </c>
      <c r="AJ811" s="145">
        <v>22.4</v>
      </c>
      <c r="AK811" s="145" t="s">
        <v>400</v>
      </c>
      <c r="AL811" s="145" t="s">
        <v>400</v>
      </c>
      <c r="AM811" s="145" t="s">
        <v>400</v>
      </c>
    </row>
    <row r="812" spans="1:39">
      <c r="A812" s="143" t="s">
        <v>1872</v>
      </c>
      <c r="B812" s="144">
        <v>100</v>
      </c>
      <c r="C812" s="145">
        <v>242</v>
      </c>
      <c r="D812" s="145">
        <v>24.22</v>
      </c>
      <c r="E812" s="145">
        <v>15.42</v>
      </c>
      <c r="F812" s="145">
        <v>5.7380000000000004</v>
      </c>
      <c r="G812" s="145">
        <v>7.0019999999999998</v>
      </c>
      <c r="H812" s="145">
        <v>0.61299999999999999</v>
      </c>
      <c r="I812" s="145">
        <v>0.41599999999999998</v>
      </c>
      <c r="J812" s="145">
        <v>0.16400000000000001</v>
      </c>
      <c r="K812" s="145">
        <v>75</v>
      </c>
      <c r="L812" s="145" t="s">
        <v>400</v>
      </c>
      <c r="M812" s="145" t="s">
        <v>400</v>
      </c>
      <c r="N812" s="145">
        <v>8</v>
      </c>
      <c r="O812" s="145">
        <v>20</v>
      </c>
      <c r="P812" s="145">
        <v>1E-3</v>
      </c>
      <c r="Q812" s="145">
        <v>196</v>
      </c>
      <c r="R812" s="145">
        <v>2.81</v>
      </c>
      <c r="S812" s="145">
        <v>67</v>
      </c>
      <c r="T812" s="145">
        <v>337</v>
      </c>
      <c r="U812" s="145">
        <v>9.2999999999999999E-2</v>
      </c>
      <c r="V812" s="145">
        <v>5.71</v>
      </c>
      <c r="W812" s="145" t="s">
        <v>400</v>
      </c>
      <c r="X812" s="145">
        <v>8.1000000000000003E-2</v>
      </c>
      <c r="Y812" s="145">
        <v>0.22600000000000001</v>
      </c>
      <c r="Z812" s="146">
        <v>0.255</v>
      </c>
      <c r="AA812" s="145">
        <v>3.2069999999999999</v>
      </c>
      <c r="AB812" s="145" t="s">
        <v>400</v>
      </c>
      <c r="AC812" s="145">
        <v>7.5739999999999998</v>
      </c>
      <c r="AD812" s="145">
        <v>2.83</v>
      </c>
      <c r="AE812" s="145">
        <v>9</v>
      </c>
      <c r="AF812" s="145">
        <v>0.7</v>
      </c>
      <c r="AG812" s="145">
        <v>0.14000000000000001</v>
      </c>
      <c r="AH812" s="145">
        <v>0.68</v>
      </c>
      <c r="AI812" s="145">
        <v>333</v>
      </c>
      <c r="AJ812" s="145">
        <v>28.3</v>
      </c>
      <c r="AK812" s="145" t="s">
        <v>400</v>
      </c>
      <c r="AL812" s="145" t="s">
        <v>400</v>
      </c>
      <c r="AM812" s="145" t="s">
        <v>400</v>
      </c>
    </row>
    <row r="813" spans="1:39">
      <c r="A813" s="143" t="s">
        <v>1873</v>
      </c>
      <c r="B813" s="144">
        <v>100</v>
      </c>
      <c r="C813" s="145">
        <v>242</v>
      </c>
      <c r="D813" s="145">
        <v>24.22</v>
      </c>
      <c r="E813" s="145">
        <v>15.42</v>
      </c>
      <c r="F813" s="145">
        <v>5.7380000000000004</v>
      </c>
      <c r="G813" s="145">
        <v>7.0019999999999998</v>
      </c>
      <c r="H813" s="145">
        <v>0.61299999999999999</v>
      </c>
      <c r="I813" s="145">
        <v>0.41599999999999998</v>
      </c>
      <c r="J813" s="145">
        <v>0.16400000000000001</v>
      </c>
      <c r="K813" s="145">
        <v>75</v>
      </c>
      <c r="L813" s="145" t="s">
        <v>400</v>
      </c>
      <c r="M813" s="145" t="s">
        <v>400</v>
      </c>
      <c r="N813" s="145">
        <v>8</v>
      </c>
      <c r="O813" s="145">
        <v>20</v>
      </c>
      <c r="P813" s="145">
        <v>1E-3</v>
      </c>
      <c r="Q813" s="145">
        <v>196</v>
      </c>
      <c r="R813" s="145">
        <v>2.81</v>
      </c>
      <c r="S813" s="145">
        <v>67</v>
      </c>
      <c r="T813" s="145">
        <v>337</v>
      </c>
      <c r="U813" s="145">
        <v>9.2999999999999999E-2</v>
      </c>
      <c r="V813" s="145">
        <v>5.71</v>
      </c>
      <c r="W813" s="145" t="s">
        <v>400</v>
      </c>
      <c r="X813" s="145">
        <v>8.1000000000000003E-2</v>
      </c>
      <c r="Y813" s="145">
        <v>0.22600000000000001</v>
      </c>
      <c r="Z813" s="146">
        <v>0.255</v>
      </c>
      <c r="AA813" s="145">
        <v>3.2069999999999999</v>
      </c>
      <c r="AB813" s="145" t="s">
        <v>400</v>
      </c>
      <c r="AC813" s="145">
        <v>7.5739999999999998</v>
      </c>
      <c r="AD813" s="145">
        <v>2.83</v>
      </c>
      <c r="AE813" s="145">
        <v>9</v>
      </c>
      <c r="AF813" s="145">
        <v>0.7</v>
      </c>
      <c r="AG813" s="145">
        <v>0.14000000000000001</v>
      </c>
      <c r="AH813" s="145">
        <v>0.68</v>
      </c>
      <c r="AI813" s="145">
        <v>333</v>
      </c>
      <c r="AJ813" s="145">
        <v>28.3</v>
      </c>
      <c r="AK813" s="145" t="s">
        <v>400</v>
      </c>
      <c r="AL813" s="145" t="s">
        <v>400</v>
      </c>
      <c r="AM813" s="145" t="s">
        <v>400</v>
      </c>
    </row>
    <row r="814" spans="1:39">
      <c r="A814" s="143" t="s">
        <v>1874</v>
      </c>
      <c r="B814" s="144">
        <v>100</v>
      </c>
      <c r="C814" s="145">
        <v>264.65899999999999</v>
      </c>
      <c r="D814" s="145">
        <v>24.22</v>
      </c>
      <c r="E814" s="145">
        <v>17.983000000000001</v>
      </c>
      <c r="F814" s="145">
        <v>6.1390000000000002</v>
      </c>
      <c r="G814" s="145">
        <v>7.5860000000000003</v>
      </c>
      <c r="H814" s="145">
        <v>2.093</v>
      </c>
      <c r="I814" s="145">
        <v>1.722</v>
      </c>
      <c r="J814" s="145">
        <v>0.33800000000000002</v>
      </c>
      <c r="K814" s="145">
        <v>75</v>
      </c>
      <c r="L814" s="145" t="s">
        <v>400</v>
      </c>
      <c r="M814" s="145" t="s">
        <v>400</v>
      </c>
      <c r="N814" s="145">
        <v>8</v>
      </c>
      <c r="O814" s="145">
        <v>20</v>
      </c>
      <c r="P814" s="145">
        <v>1E-3</v>
      </c>
      <c r="Q814" s="145">
        <v>196</v>
      </c>
      <c r="R814" s="145">
        <v>2.8109999999999999</v>
      </c>
      <c r="S814" s="145">
        <v>67</v>
      </c>
      <c r="T814" s="145">
        <v>337</v>
      </c>
      <c r="U814" s="145">
        <v>9.2999999999999999E-2</v>
      </c>
      <c r="V814" s="145">
        <v>5.71</v>
      </c>
      <c r="W814" s="145" t="s">
        <v>400</v>
      </c>
      <c r="X814" s="145">
        <v>8.1000000000000003E-2</v>
      </c>
      <c r="Y814" s="145">
        <v>0.22600000000000001</v>
      </c>
      <c r="Z814" s="146">
        <v>0.255</v>
      </c>
      <c r="AA814" s="145">
        <v>3.2069999999999999</v>
      </c>
      <c r="AB814" s="145" t="s">
        <v>400</v>
      </c>
      <c r="AC814" s="145">
        <v>7.5739999999999998</v>
      </c>
      <c r="AD814" s="145">
        <v>2.83</v>
      </c>
      <c r="AE814" s="145">
        <v>9</v>
      </c>
      <c r="AF814" s="145">
        <v>0.7</v>
      </c>
      <c r="AG814" s="145">
        <v>0.35</v>
      </c>
      <c r="AH814" s="145">
        <v>0.69399999999999995</v>
      </c>
      <c r="AI814" s="145">
        <v>333</v>
      </c>
      <c r="AJ814" s="145">
        <v>29.475000000000001</v>
      </c>
      <c r="AK814" s="145" t="s">
        <v>400</v>
      </c>
      <c r="AL814" s="145" t="s">
        <v>400</v>
      </c>
      <c r="AM814" s="145" t="s">
        <v>400</v>
      </c>
    </row>
    <row r="815" spans="1:39">
      <c r="A815" s="143" t="s">
        <v>1875</v>
      </c>
      <c r="B815" s="144">
        <v>100</v>
      </c>
      <c r="C815" s="145">
        <v>280.83699999999999</v>
      </c>
      <c r="D815" s="145">
        <v>24.678999999999998</v>
      </c>
      <c r="E815" s="145">
        <v>18.027000000000001</v>
      </c>
      <c r="F815" s="145">
        <v>6.1459999999999999</v>
      </c>
      <c r="G815" s="145">
        <v>7.59</v>
      </c>
      <c r="H815" s="145">
        <v>2.1110000000000002</v>
      </c>
      <c r="I815" s="145">
        <v>1.7390000000000001</v>
      </c>
      <c r="J815" s="145">
        <v>0.33900000000000002</v>
      </c>
      <c r="K815" s="145">
        <v>75</v>
      </c>
      <c r="L815" s="145">
        <v>3.3919999999999999</v>
      </c>
      <c r="M815" s="145">
        <v>0.13500000000000001</v>
      </c>
      <c r="N815" s="145">
        <v>8.6669999999999998</v>
      </c>
      <c r="O815" s="145">
        <v>20.978000000000002</v>
      </c>
      <c r="P815" s="145">
        <v>3.1E-2</v>
      </c>
      <c r="Q815" s="145">
        <v>200.8</v>
      </c>
      <c r="R815" s="145">
        <v>3.0179999999999998</v>
      </c>
      <c r="S815" s="145">
        <v>67.088999999999999</v>
      </c>
      <c r="T815" s="145">
        <v>341.75599999999997</v>
      </c>
      <c r="U815" s="145">
        <v>9.9000000000000005E-2</v>
      </c>
      <c r="V815" s="145">
        <v>5.7409999999999997</v>
      </c>
      <c r="W815" s="145" t="s">
        <v>400</v>
      </c>
      <c r="X815" s="145">
        <v>0.11600000000000001</v>
      </c>
      <c r="Y815" s="145">
        <v>0.248</v>
      </c>
      <c r="Z815" s="146">
        <v>0.25700000000000001</v>
      </c>
      <c r="AA815" s="145">
        <v>3.4689999999999999</v>
      </c>
      <c r="AB815" s="145" t="s">
        <v>400</v>
      </c>
      <c r="AC815" s="145">
        <v>7.93</v>
      </c>
      <c r="AD815" s="145">
        <v>2.83</v>
      </c>
      <c r="AE815" s="145">
        <v>18.067</v>
      </c>
      <c r="AF815" s="145">
        <v>0.7</v>
      </c>
      <c r="AG815" s="145">
        <v>0.35199999999999998</v>
      </c>
      <c r="AH815" s="145">
        <v>0.69399999999999995</v>
      </c>
      <c r="AI815" s="145">
        <v>333</v>
      </c>
      <c r="AJ815" s="145">
        <v>30.981000000000002</v>
      </c>
      <c r="AK815" s="145" t="s">
        <v>400</v>
      </c>
      <c r="AL815" s="145">
        <v>1.4E-2</v>
      </c>
      <c r="AM815" s="145" t="s">
        <v>400</v>
      </c>
    </row>
    <row r="816" spans="1:39">
      <c r="A816" s="143" t="s">
        <v>1876</v>
      </c>
      <c r="B816" s="144">
        <v>100</v>
      </c>
      <c r="C816" s="145">
        <v>264.65899999999999</v>
      </c>
      <c r="D816" s="145">
        <v>24.22</v>
      </c>
      <c r="E816" s="145">
        <v>17.983000000000001</v>
      </c>
      <c r="F816" s="145">
        <v>6.1390000000000002</v>
      </c>
      <c r="G816" s="145">
        <v>7.5860000000000003</v>
      </c>
      <c r="H816" s="145">
        <v>2.093</v>
      </c>
      <c r="I816" s="145">
        <v>1.722</v>
      </c>
      <c r="J816" s="145">
        <v>0.33800000000000002</v>
      </c>
      <c r="K816" s="145">
        <v>75</v>
      </c>
      <c r="L816" s="145" t="s">
        <v>400</v>
      </c>
      <c r="M816" s="145" t="s">
        <v>400</v>
      </c>
      <c r="N816" s="145">
        <v>8</v>
      </c>
      <c r="O816" s="145">
        <v>20</v>
      </c>
      <c r="P816" s="145">
        <v>1E-3</v>
      </c>
      <c r="Q816" s="145">
        <v>196</v>
      </c>
      <c r="R816" s="145">
        <v>2.8109999999999999</v>
      </c>
      <c r="S816" s="145">
        <v>67</v>
      </c>
      <c r="T816" s="145">
        <v>337</v>
      </c>
      <c r="U816" s="145">
        <v>9.2999999999999999E-2</v>
      </c>
      <c r="V816" s="145">
        <v>5.71</v>
      </c>
      <c r="W816" s="145" t="s">
        <v>400</v>
      </c>
      <c r="X816" s="145">
        <v>8.1000000000000003E-2</v>
      </c>
      <c r="Y816" s="145">
        <v>0.22600000000000001</v>
      </c>
      <c r="Z816" s="146">
        <v>0.255</v>
      </c>
      <c r="AA816" s="145">
        <v>3.2069999999999999</v>
      </c>
      <c r="AB816" s="145" t="s">
        <v>400</v>
      </c>
      <c r="AC816" s="145">
        <v>7.5739999999999998</v>
      </c>
      <c r="AD816" s="145">
        <v>2.83</v>
      </c>
      <c r="AE816" s="145">
        <v>9</v>
      </c>
      <c r="AF816" s="145">
        <v>0.7</v>
      </c>
      <c r="AG816" s="145">
        <v>0.35</v>
      </c>
      <c r="AH816" s="145">
        <v>0.69399999999999995</v>
      </c>
      <c r="AI816" s="145">
        <v>333</v>
      </c>
      <c r="AJ816" s="145">
        <v>29.475000000000001</v>
      </c>
      <c r="AK816" s="145" t="s">
        <v>400</v>
      </c>
      <c r="AL816" s="145" t="s">
        <v>400</v>
      </c>
      <c r="AM816" s="145" t="s">
        <v>400</v>
      </c>
    </row>
    <row r="817" spans="1:39">
      <c r="A817" s="143" t="s">
        <v>1877</v>
      </c>
      <c r="B817" s="144">
        <v>100</v>
      </c>
      <c r="C817" s="145">
        <v>191</v>
      </c>
      <c r="D817" s="145">
        <v>29.08</v>
      </c>
      <c r="E817" s="145">
        <v>5.26</v>
      </c>
      <c r="F817" s="145">
        <v>1.696</v>
      </c>
      <c r="G817" s="145">
        <v>0.64700000000000002</v>
      </c>
      <c r="H817" s="145">
        <v>0.63900000000000001</v>
      </c>
      <c r="I817" s="145" t="s">
        <v>400</v>
      </c>
      <c r="J817" s="145" t="s">
        <v>400</v>
      </c>
      <c r="K817" s="145">
        <v>396</v>
      </c>
      <c r="L817" s="145">
        <v>5.13</v>
      </c>
      <c r="M817" s="145" t="s">
        <v>400</v>
      </c>
      <c r="N817" s="145">
        <v>6</v>
      </c>
      <c r="O817" s="145">
        <v>21</v>
      </c>
      <c r="P817" s="145">
        <v>0.35599999999999998</v>
      </c>
      <c r="Q817" s="145">
        <v>497</v>
      </c>
      <c r="R817" s="145">
        <v>6.54</v>
      </c>
      <c r="S817" s="145">
        <v>79</v>
      </c>
      <c r="T817" s="145">
        <v>352</v>
      </c>
      <c r="U817" s="145">
        <v>14.282999999999999</v>
      </c>
      <c r="V817" s="145">
        <v>5.3</v>
      </c>
      <c r="W817" s="145">
        <v>9428</v>
      </c>
      <c r="X817" s="145">
        <v>0.19400000000000001</v>
      </c>
      <c r="Y817" s="145">
        <v>3.4249999999999998</v>
      </c>
      <c r="Z817" s="146">
        <v>1.0169999999999999</v>
      </c>
      <c r="AA817" s="145">
        <v>17.524999999999999</v>
      </c>
      <c r="AB817" s="145">
        <v>1.9</v>
      </c>
      <c r="AC817" s="145">
        <v>23.658000000000001</v>
      </c>
      <c r="AD817" s="145">
        <v>70.58</v>
      </c>
      <c r="AE817" s="145">
        <v>253</v>
      </c>
      <c r="AF817" s="145">
        <v>0.4</v>
      </c>
      <c r="AG817" s="145">
        <v>0.51</v>
      </c>
      <c r="AH817" s="145">
        <v>0.21</v>
      </c>
      <c r="AI817" s="145">
        <v>333</v>
      </c>
      <c r="AJ817" s="145">
        <v>36.1</v>
      </c>
      <c r="AK817" s="145">
        <v>9442.4169999999995</v>
      </c>
      <c r="AL817" s="145" t="s">
        <v>400</v>
      </c>
      <c r="AM817" s="145" t="s">
        <v>400</v>
      </c>
    </row>
    <row r="818" spans="1:39">
      <c r="A818" s="143" t="s">
        <v>1878</v>
      </c>
      <c r="B818" s="144">
        <v>100</v>
      </c>
      <c r="C818" s="145">
        <v>213.65899999999999</v>
      </c>
      <c r="D818" s="145">
        <v>29.08</v>
      </c>
      <c r="E818" s="145">
        <v>7.8230000000000004</v>
      </c>
      <c r="F818" s="145">
        <v>2.097</v>
      </c>
      <c r="G818" s="145">
        <v>1.2310000000000001</v>
      </c>
      <c r="H818" s="145">
        <v>2.1190000000000002</v>
      </c>
      <c r="I818" s="145">
        <v>1.306</v>
      </c>
      <c r="J818" s="145">
        <v>0.17399999999999999</v>
      </c>
      <c r="K818" s="145">
        <v>396</v>
      </c>
      <c r="L818" s="145">
        <v>5.13</v>
      </c>
      <c r="M818" s="145" t="s">
        <v>400</v>
      </c>
      <c r="N818" s="145">
        <v>6</v>
      </c>
      <c r="O818" s="145">
        <v>21</v>
      </c>
      <c r="P818" s="145">
        <v>0.35599999999999998</v>
      </c>
      <c r="Q818" s="145">
        <v>497</v>
      </c>
      <c r="R818" s="145">
        <v>6.5410000000000004</v>
      </c>
      <c r="S818" s="145">
        <v>79</v>
      </c>
      <c r="T818" s="145">
        <v>352</v>
      </c>
      <c r="U818" s="145">
        <v>14.282999999999999</v>
      </c>
      <c r="V818" s="145">
        <v>5.3</v>
      </c>
      <c r="W818" s="145">
        <v>9428</v>
      </c>
      <c r="X818" s="145">
        <v>0.19400000000000001</v>
      </c>
      <c r="Y818" s="145">
        <v>3.4249999999999998</v>
      </c>
      <c r="Z818" s="146">
        <v>1.0169999999999999</v>
      </c>
      <c r="AA818" s="145">
        <v>17.524999999999999</v>
      </c>
      <c r="AB818" s="145">
        <v>1.9</v>
      </c>
      <c r="AC818" s="145">
        <v>23.658000000000001</v>
      </c>
      <c r="AD818" s="145">
        <v>70.58</v>
      </c>
      <c r="AE818" s="145">
        <v>253</v>
      </c>
      <c r="AF818" s="145">
        <v>0.4</v>
      </c>
      <c r="AG818" s="145">
        <v>0.72</v>
      </c>
      <c r="AH818" s="145">
        <v>0.224</v>
      </c>
      <c r="AI818" s="145">
        <v>333</v>
      </c>
      <c r="AJ818" s="145">
        <v>37.274999999999999</v>
      </c>
      <c r="AK818" s="145">
        <v>9442.4169999999995</v>
      </c>
      <c r="AL818" s="145" t="s">
        <v>400</v>
      </c>
      <c r="AM818" s="145" t="s">
        <v>400</v>
      </c>
    </row>
    <row r="819" spans="1:39">
      <c r="A819" s="143" t="s">
        <v>1879</v>
      </c>
      <c r="B819" s="144">
        <v>100</v>
      </c>
      <c r="C819" s="145">
        <v>100.041</v>
      </c>
      <c r="D819" s="145">
        <v>13.983000000000001</v>
      </c>
      <c r="E819" s="145">
        <v>2.9630000000000001</v>
      </c>
      <c r="F819" s="145">
        <v>0.89900000000000002</v>
      </c>
      <c r="G819" s="145">
        <v>0.626</v>
      </c>
      <c r="H819" s="145">
        <v>0.86</v>
      </c>
      <c r="I819" s="145">
        <v>0.34699999999999998</v>
      </c>
      <c r="J819" s="145">
        <v>6.0000000000000001E-3</v>
      </c>
      <c r="K819" s="145">
        <v>265.67700000000002</v>
      </c>
      <c r="L819" s="145">
        <v>4.18</v>
      </c>
      <c r="M819" s="145">
        <v>0.621</v>
      </c>
      <c r="N819" s="145">
        <v>15.865</v>
      </c>
      <c r="O819" s="145">
        <v>15.946999999999999</v>
      </c>
      <c r="P819" s="145">
        <v>0.222</v>
      </c>
      <c r="Q819" s="145">
        <v>195.69399999999999</v>
      </c>
      <c r="R819" s="145">
        <v>5.1870000000000003</v>
      </c>
      <c r="S819" s="145">
        <v>340.83499999999998</v>
      </c>
      <c r="T819" s="145">
        <v>224.90899999999999</v>
      </c>
      <c r="U819" s="145">
        <v>0.254</v>
      </c>
      <c r="V819" s="145">
        <v>2.202</v>
      </c>
      <c r="W819" s="145">
        <v>1539.8710000000001</v>
      </c>
      <c r="X819" s="145">
        <v>0.14199999999999999</v>
      </c>
      <c r="Y819" s="145">
        <v>0.81299999999999994</v>
      </c>
      <c r="Z819" s="146">
        <v>0.39</v>
      </c>
      <c r="AA819" s="145">
        <v>4.9000000000000004</v>
      </c>
      <c r="AB819" s="145">
        <v>34.222999999999999</v>
      </c>
      <c r="AC819" s="145">
        <v>7.3630000000000004</v>
      </c>
      <c r="AD819" s="145">
        <v>6.657</v>
      </c>
      <c r="AE819" s="145">
        <v>232.50899999999999</v>
      </c>
      <c r="AF819" s="145">
        <v>0.10299999999999999</v>
      </c>
      <c r="AG819" s="145">
        <v>0.57599999999999996</v>
      </c>
      <c r="AH819" s="145">
        <v>5.1999999999999998E-2</v>
      </c>
      <c r="AI819" s="145" t="s">
        <v>400</v>
      </c>
      <c r="AJ819" s="145">
        <v>37.481999999999999</v>
      </c>
      <c r="AK819" s="145">
        <v>1553.6020000000001</v>
      </c>
      <c r="AL819" s="145">
        <v>1.952</v>
      </c>
      <c r="AM819" s="145" t="s">
        <v>400</v>
      </c>
    </row>
    <row r="820" spans="1:39">
      <c r="A820" s="143" t="s">
        <v>1880</v>
      </c>
      <c r="B820" s="144">
        <v>100</v>
      </c>
      <c r="C820" s="145">
        <v>100.041</v>
      </c>
      <c r="D820" s="145">
        <v>13.983000000000001</v>
      </c>
      <c r="E820" s="145">
        <v>2.9630000000000001</v>
      </c>
      <c r="F820" s="145">
        <v>0.89900000000000002</v>
      </c>
      <c r="G820" s="145">
        <v>0.626</v>
      </c>
      <c r="H820" s="145">
        <v>0.86</v>
      </c>
      <c r="I820" s="145">
        <v>0.34699999999999998</v>
      </c>
      <c r="J820" s="145">
        <v>6.0000000000000001E-3</v>
      </c>
      <c r="K820" s="145">
        <v>265.67700000000002</v>
      </c>
      <c r="L820" s="145">
        <v>4.18</v>
      </c>
      <c r="M820" s="145">
        <v>0.621</v>
      </c>
      <c r="N820" s="145">
        <v>15.865</v>
      </c>
      <c r="O820" s="145">
        <v>15.946999999999999</v>
      </c>
      <c r="P820" s="145">
        <v>0.222</v>
      </c>
      <c r="Q820" s="145">
        <v>195.69399999999999</v>
      </c>
      <c r="R820" s="145">
        <v>5.1870000000000003</v>
      </c>
      <c r="S820" s="145">
        <v>340.83499999999998</v>
      </c>
      <c r="T820" s="145">
        <v>224.90899999999999</v>
      </c>
      <c r="U820" s="145">
        <v>0.254</v>
      </c>
      <c r="V820" s="145">
        <v>2.202</v>
      </c>
      <c r="W820" s="145">
        <v>1539.8710000000001</v>
      </c>
      <c r="X820" s="145">
        <v>0.14199999999999999</v>
      </c>
      <c r="Y820" s="145">
        <v>0.81299999999999994</v>
      </c>
      <c r="Z820" s="146">
        <v>0.39</v>
      </c>
      <c r="AA820" s="145">
        <v>4.9000000000000004</v>
      </c>
      <c r="AB820" s="145">
        <v>34.222999999999999</v>
      </c>
      <c r="AC820" s="145">
        <v>7.3630000000000004</v>
      </c>
      <c r="AD820" s="145">
        <v>6.657</v>
      </c>
      <c r="AE820" s="145">
        <v>232.50899999999999</v>
      </c>
      <c r="AF820" s="145">
        <v>0.10299999999999999</v>
      </c>
      <c r="AG820" s="145">
        <v>0.57599999999999996</v>
      </c>
      <c r="AH820" s="145">
        <v>5.1999999999999998E-2</v>
      </c>
      <c r="AI820" s="145" t="s">
        <v>400</v>
      </c>
      <c r="AJ820" s="145">
        <v>37.481999999999999</v>
      </c>
      <c r="AK820" s="145">
        <v>1553.6020000000001</v>
      </c>
      <c r="AL820" s="145">
        <v>1.952</v>
      </c>
      <c r="AM820" s="145" t="s">
        <v>400</v>
      </c>
    </row>
    <row r="821" spans="1:39">
      <c r="A821" s="143" t="s">
        <v>1881</v>
      </c>
      <c r="B821" s="144">
        <v>100</v>
      </c>
      <c r="C821" s="145">
        <v>165</v>
      </c>
      <c r="D821" s="145">
        <v>28.48</v>
      </c>
      <c r="E821" s="145">
        <v>4.7300000000000004</v>
      </c>
      <c r="F821" s="145">
        <v>1.4039999999999999</v>
      </c>
      <c r="G821" s="145">
        <v>1.0109999999999999</v>
      </c>
      <c r="H821" s="145">
        <v>0.98499999999999999</v>
      </c>
      <c r="I821" s="145">
        <v>0.73599999999999999</v>
      </c>
      <c r="J821" s="145">
        <v>1.9E-2</v>
      </c>
      <c r="K821" s="145">
        <v>212</v>
      </c>
      <c r="L821" s="145">
        <v>0.15</v>
      </c>
      <c r="M821" s="145" t="s">
        <v>400</v>
      </c>
      <c r="N821" s="145">
        <v>5</v>
      </c>
      <c r="O821" s="145">
        <v>21</v>
      </c>
      <c r="P821" s="145">
        <v>3.3000000000000002E-2</v>
      </c>
      <c r="Q821" s="145">
        <v>254</v>
      </c>
      <c r="R821" s="145">
        <v>6.38</v>
      </c>
      <c r="S821" s="145">
        <v>59</v>
      </c>
      <c r="T821" s="145">
        <v>219</v>
      </c>
      <c r="U821" s="145">
        <v>0.55900000000000005</v>
      </c>
      <c r="V821" s="145">
        <v>2.87</v>
      </c>
      <c r="W821" s="145" t="s">
        <v>400</v>
      </c>
      <c r="X821" s="145">
        <v>0.10100000000000001</v>
      </c>
      <c r="Y821" s="145">
        <v>1.21</v>
      </c>
      <c r="Z821" s="146">
        <v>0.245</v>
      </c>
      <c r="AA821" s="145">
        <v>6.68</v>
      </c>
      <c r="AB821" s="145" t="s">
        <v>400</v>
      </c>
      <c r="AC821" s="145">
        <v>12.047000000000001</v>
      </c>
      <c r="AD821" s="145">
        <v>10.8</v>
      </c>
      <c r="AE821" s="145">
        <v>5</v>
      </c>
      <c r="AF821" s="145" t="s">
        <v>400</v>
      </c>
      <c r="AG821" s="145">
        <v>0.28999999999999998</v>
      </c>
      <c r="AH821" s="145">
        <v>0.16</v>
      </c>
      <c r="AI821" s="145">
        <v>333</v>
      </c>
      <c r="AJ821" s="145">
        <v>38.9</v>
      </c>
      <c r="AK821" s="145" t="s">
        <v>400</v>
      </c>
      <c r="AL821" s="145" t="s">
        <v>400</v>
      </c>
      <c r="AM821" s="145" t="s">
        <v>400</v>
      </c>
    </row>
    <row r="822" spans="1:39">
      <c r="A822" s="143" t="s">
        <v>1882</v>
      </c>
      <c r="B822" s="144">
        <v>100</v>
      </c>
      <c r="C822" s="145">
        <v>165</v>
      </c>
      <c r="D822" s="145">
        <v>28.48</v>
      </c>
      <c r="E822" s="145">
        <v>4.7300000000000004</v>
      </c>
      <c r="F822" s="145">
        <v>1.4039999999999999</v>
      </c>
      <c r="G822" s="145">
        <v>1.0109999999999999</v>
      </c>
      <c r="H822" s="145">
        <v>0.98499999999999999</v>
      </c>
      <c r="I822" s="145">
        <v>0.73599999999999999</v>
      </c>
      <c r="J822" s="145">
        <v>1.9E-2</v>
      </c>
      <c r="K822" s="145">
        <v>212</v>
      </c>
      <c r="L822" s="145">
        <v>0.15</v>
      </c>
      <c r="M822" s="145" t="s">
        <v>400</v>
      </c>
      <c r="N822" s="145">
        <v>5</v>
      </c>
      <c r="O822" s="145">
        <v>21</v>
      </c>
      <c r="P822" s="145">
        <v>3.3000000000000002E-2</v>
      </c>
      <c r="Q822" s="145">
        <v>254</v>
      </c>
      <c r="R822" s="145">
        <v>6.38</v>
      </c>
      <c r="S822" s="145">
        <v>59</v>
      </c>
      <c r="T822" s="145">
        <v>219</v>
      </c>
      <c r="U822" s="145">
        <v>0.55900000000000005</v>
      </c>
      <c r="V822" s="145">
        <v>2.87</v>
      </c>
      <c r="W822" s="145" t="s">
        <v>400</v>
      </c>
      <c r="X822" s="145">
        <v>0.10100000000000001</v>
      </c>
      <c r="Y822" s="145">
        <v>1.21</v>
      </c>
      <c r="Z822" s="146">
        <v>0.245</v>
      </c>
      <c r="AA822" s="145">
        <v>6.68</v>
      </c>
      <c r="AB822" s="145" t="s">
        <v>400</v>
      </c>
      <c r="AC822" s="145">
        <v>12.047000000000001</v>
      </c>
      <c r="AD822" s="145">
        <v>10.8</v>
      </c>
      <c r="AE822" s="145">
        <v>5</v>
      </c>
      <c r="AF822" s="145" t="s">
        <v>400</v>
      </c>
      <c r="AG822" s="145">
        <v>0.28999999999999998</v>
      </c>
      <c r="AH822" s="145">
        <v>0.16</v>
      </c>
      <c r="AI822" s="145">
        <v>333</v>
      </c>
      <c r="AJ822" s="145">
        <v>38.9</v>
      </c>
      <c r="AK822" s="145" t="s">
        <v>400</v>
      </c>
      <c r="AL822" s="145" t="s">
        <v>400</v>
      </c>
      <c r="AM822" s="145" t="s">
        <v>400</v>
      </c>
    </row>
    <row r="823" spans="1:39">
      <c r="A823" s="143" t="s">
        <v>1883</v>
      </c>
      <c r="B823" s="144">
        <v>100</v>
      </c>
      <c r="C823" s="145">
        <v>165</v>
      </c>
      <c r="D823" s="145">
        <v>28.48</v>
      </c>
      <c r="E823" s="145">
        <v>4.7300000000000004</v>
      </c>
      <c r="F823" s="145">
        <v>1.4039999999999999</v>
      </c>
      <c r="G823" s="145">
        <v>1.0109999999999999</v>
      </c>
      <c r="H823" s="145">
        <v>0.98499999999999999</v>
      </c>
      <c r="I823" s="145">
        <v>0.73599999999999999</v>
      </c>
      <c r="J823" s="145">
        <v>1.9E-2</v>
      </c>
      <c r="K823" s="145">
        <v>212</v>
      </c>
      <c r="L823" s="145">
        <v>0.15</v>
      </c>
      <c r="M823" s="145" t="s">
        <v>400</v>
      </c>
      <c r="N823" s="145">
        <v>5</v>
      </c>
      <c r="O823" s="145">
        <v>21</v>
      </c>
      <c r="P823" s="145">
        <v>3.3000000000000002E-2</v>
      </c>
      <c r="Q823" s="145">
        <v>254</v>
      </c>
      <c r="R823" s="145">
        <v>6.38</v>
      </c>
      <c r="S823" s="145">
        <v>59</v>
      </c>
      <c r="T823" s="145">
        <v>219</v>
      </c>
      <c r="U823" s="145">
        <v>0.55900000000000005</v>
      </c>
      <c r="V823" s="145">
        <v>2.87</v>
      </c>
      <c r="W823" s="145" t="s">
        <v>400</v>
      </c>
      <c r="X823" s="145">
        <v>0.10100000000000001</v>
      </c>
      <c r="Y823" s="145">
        <v>1.21</v>
      </c>
      <c r="Z823" s="146">
        <v>0.245</v>
      </c>
      <c r="AA823" s="145">
        <v>6.68</v>
      </c>
      <c r="AB823" s="145" t="s">
        <v>400</v>
      </c>
      <c r="AC823" s="145">
        <v>12.047000000000001</v>
      </c>
      <c r="AD823" s="145">
        <v>10.8</v>
      </c>
      <c r="AE823" s="145">
        <v>5</v>
      </c>
      <c r="AF823" s="145" t="s">
        <v>400</v>
      </c>
      <c r="AG823" s="145">
        <v>0.28999999999999998</v>
      </c>
      <c r="AH823" s="145">
        <v>0.16</v>
      </c>
      <c r="AI823" s="145">
        <v>333</v>
      </c>
      <c r="AJ823" s="145">
        <v>38.9</v>
      </c>
      <c r="AK823" s="145" t="s">
        <v>400</v>
      </c>
      <c r="AL823" s="145" t="s">
        <v>400</v>
      </c>
      <c r="AM823" s="145" t="s">
        <v>400</v>
      </c>
    </row>
    <row r="824" spans="1:39">
      <c r="A824" s="143" t="s">
        <v>1884</v>
      </c>
      <c r="B824" s="144">
        <v>100</v>
      </c>
      <c r="C824" s="145">
        <v>187.65899999999999</v>
      </c>
      <c r="D824" s="145">
        <v>28.48</v>
      </c>
      <c r="E824" s="145">
        <v>7.2930000000000001</v>
      </c>
      <c r="F824" s="145">
        <v>1.8049999999999999</v>
      </c>
      <c r="G824" s="145">
        <v>1.595</v>
      </c>
      <c r="H824" s="145">
        <v>2.4649999999999999</v>
      </c>
      <c r="I824" s="145">
        <v>2.0419999999999998</v>
      </c>
      <c r="J824" s="145">
        <v>0.193</v>
      </c>
      <c r="K824" s="145">
        <v>212</v>
      </c>
      <c r="L824" s="145">
        <v>0.15</v>
      </c>
      <c r="M824" s="145" t="s">
        <v>400</v>
      </c>
      <c r="N824" s="145">
        <v>5</v>
      </c>
      <c r="O824" s="145">
        <v>21</v>
      </c>
      <c r="P824" s="145">
        <v>3.3000000000000002E-2</v>
      </c>
      <c r="Q824" s="145">
        <v>254</v>
      </c>
      <c r="R824" s="145">
        <v>6.3810000000000002</v>
      </c>
      <c r="S824" s="145">
        <v>59</v>
      </c>
      <c r="T824" s="145">
        <v>219</v>
      </c>
      <c r="U824" s="145">
        <v>0.55900000000000005</v>
      </c>
      <c r="V824" s="145">
        <v>2.87</v>
      </c>
      <c r="W824" s="145" t="s">
        <v>400</v>
      </c>
      <c r="X824" s="145">
        <v>0.10100000000000001</v>
      </c>
      <c r="Y824" s="145">
        <v>1.21</v>
      </c>
      <c r="Z824" s="146">
        <v>0.245</v>
      </c>
      <c r="AA824" s="145">
        <v>6.68</v>
      </c>
      <c r="AB824" s="145" t="s">
        <v>400</v>
      </c>
      <c r="AC824" s="145">
        <v>12.047000000000001</v>
      </c>
      <c r="AD824" s="145">
        <v>10.8</v>
      </c>
      <c r="AE824" s="145">
        <v>5</v>
      </c>
      <c r="AF824" s="145" t="s">
        <v>400</v>
      </c>
      <c r="AG824" s="145">
        <v>0.5</v>
      </c>
      <c r="AH824" s="145">
        <v>0.17399999999999999</v>
      </c>
      <c r="AI824" s="145">
        <v>333</v>
      </c>
      <c r="AJ824" s="145">
        <v>40.075000000000003</v>
      </c>
      <c r="AK824" s="145" t="s">
        <v>400</v>
      </c>
      <c r="AL824" s="145" t="s">
        <v>400</v>
      </c>
      <c r="AM824" s="145" t="s">
        <v>400</v>
      </c>
    </row>
    <row r="825" spans="1:39">
      <c r="A825" s="143" t="s">
        <v>1885</v>
      </c>
      <c r="B825" s="144">
        <v>100</v>
      </c>
      <c r="C825" s="145">
        <v>158</v>
      </c>
      <c r="D825" s="145">
        <v>27.27</v>
      </c>
      <c r="E825" s="145">
        <v>4.6500000000000004</v>
      </c>
      <c r="F825" s="145">
        <v>1.0660000000000001</v>
      </c>
      <c r="G825" s="145">
        <v>0.71099999999999997</v>
      </c>
      <c r="H825" s="145">
        <v>0.82699999999999996</v>
      </c>
      <c r="I825" s="145">
        <v>0.46400000000000002</v>
      </c>
      <c r="J825" s="145">
        <v>1.6E-2</v>
      </c>
      <c r="K825" s="145">
        <v>716</v>
      </c>
      <c r="L825" s="145" t="s">
        <v>400</v>
      </c>
      <c r="M825" s="145" t="s">
        <v>400</v>
      </c>
      <c r="N825" s="145">
        <v>19</v>
      </c>
      <c r="O825" s="145">
        <v>12</v>
      </c>
      <c r="P825" s="145">
        <v>0.185</v>
      </c>
      <c r="Q825" s="145">
        <v>304</v>
      </c>
      <c r="R825" s="145">
        <v>5.8</v>
      </c>
      <c r="S825" s="145">
        <v>94</v>
      </c>
      <c r="T825" s="145">
        <v>135</v>
      </c>
      <c r="U825" s="145">
        <v>0.56399999999999995</v>
      </c>
      <c r="V825" s="145">
        <v>2.84</v>
      </c>
      <c r="W825" s="145" t="s">
        <v>400</v>
      </c>
      <c r="X825" s="145">
        <v>0.16</v>
      </c>
      <c r="Y825" s="145">
        <v>2.97</v>
      </c>
      <c r="Z825" s="146">
        <v>0.39100000000000001</v>
      </c>
      <c r="AA825" s="145">
        <v>3.92</v>
      </c>
      <c r="AB825" s="145" t="s">
        <v>400</v>
      </c>
      <c r="AC825" s="145">
        <v>8.92</v>
      </c>
      <c r="AD825" s="145">
        <v>24.9</v>
      </c>
      <c r="AE825" s="145">
        <v>83</v>
      </c>
      <c r="AF825" s="145">
        <v>0.8</v>
      </c>
      <c r="AG825" s="145">
        <v>0.08</v>
      </c>
      <c r="AH825" s="145">
        <v>0.2</v>
      </c>
      <c r="AI825" s="145">
        <v>333</v>
      </c>
      <c r="AJ825" s="145">
        <v>168</v>
      </c>
      <c r="AK825" s="145" t="s">
        <v>400</v>
      </c>
      <c r="AL825" s="145" t="s">
        <v>400</v>
      </c>
      <c r="AM825" s="145" t="s">
        <v>400</v>
      </c>
    </row>
    <row r="826" spans="1:39">
      <c r="A826" s="143" t="s">
        <v>1886</v>
      </c>
      <c r="B826" s="144">
        <v>100</v>
      </c>
      <c r="C826" s="145">
        <v>158</v>
      </c>
      <c r="D826" s="145">
        <v>27.27</v>
      </c>
      <c r="E826" s="145">
        <v>4.6500000000000004</v>
      </c>
      <c r="F826" s="145">
        <v>1.0660000000000001</v>
      </c>
      <c r="G826" s="145">
        <v>0.71099999999999997</v>
      </c>
      <c r="H826" s="145">
        <v>0.82699999999999996</v>
      </c>
      <c r="I826" s="145">
        <v>0.46400000000000002</v>
      </c>
      <c r="J826" s="145">
        <v>1.6E-2</v>
      </c>
      <c r="K826" s="145">
        <v>716</v>
      </c>
      <c r="L826" s="145" t="s">
        <v>400</v>
      </c>
      <c r="M826" s="145" t="s">
        <v>400</v>
      </c>
      <c r="N826" s="145">
        <v>19</v>
      </c>
      <c r="O826" s="145">
        <v>12</v>
      </c>
      <c r="P826" s="145">
        <v>0.185</v>
      </c>
      <c r="Q826" s="145">
        <v>304</v>
      </c>
      <c r="R826" s="145">
        <v>5.8</v>
      </c>
      <c r="S826" s="145">
        <v>94</v>
      </c>
      <c r="T826" s="145">
        <v>135</v>
      </c>
      <c r="U826" s="145">
        <v>0.56399999999999995</v>
      </c>
      <c r="V826" s="145">
        <v>2.84</v>
      </c>
      <c r="W826" s="145" t="s">
        <v>400</v>
      </c>
      <c r="X826" s="145">
        <v>0.16</v>
      </c>
      <c r="Y826" s="145">
        <v>2.97</v>
      </c>
      <c r="Z826" s="146">
        <v>0.39100000000000001</v>
      </c>
      <c r="AA826" s="145">
        <v>3.92</v>
      </c>
      <c r="AB826" s="145" t="s">
        <v>400</v>
      </c>
      <c r="AC826" s="145">
        <v>8.92</v>
      </c>
      <c r="AD826" s="145">
        <v>24.9</v>
      </c>
      <c r="AE826" s="145">
        <v>83</v>
      </c>
      <c r="AF826" s="145">
        <v>0.8</v>
      </c>
      <c r="AG826" s="145">
        <v>0.08</v>
      </c>
      <c r="AH826" s="145">
        <v>0.2</v>
      </c>
      <c r="AI826" s="145">
        <v>333</v>
      </c>
      <c r="AJ826" s="145">
        <v>168</v>
      </c>
      <c r="AK826" s="145" t="s">
        <v>400</v>
      </c>
      <c r="AL826" s="145" t="s">
        <v>400</v>
      </c>
      <c r="AM826" s="145" t="s">
        <v>400</v>
      </c>
    </row>
    <row r="827" spans="1:39">
      <c r="A827" s="143" t="s">
        <v>1887</v>
      </c>
      <c r="B827" s="144">
        <v>100</v>
      </c>
      <c r="C827" s="145">
        <v>180.65899999999999</v>
      </c>
      <c r="D827" s="145">
        <v>27.27</v>
      </c>
      <c r="E827" s="145">
        <v>7.2130000000000001</v>
      </c>
      <c r="F827" s="145">
        <v>1.4670000000000001</v>
      </c>
      <c r="G827" s="145">
        <v>1.2949999999999999</v>
      </c>
      <c r="H827" s="145">
        <v>2.3069999999999999</v>
      </c>
      <c r="I827" s="145">
        <v>1.77</v>
      </c>
      <c r="J827" s="145">
        <v>0.19</v>
      </c>
      <c r="K827" s="145">
        <v>716</v>
      </c>
      <c r="L827" s="145" t="s">
        <v>400</v>
      </c>
      <c r="M827" s="145" t="s">
        <v>400</v>
      </c>
      <c r="N827" s="145">
        <v>19</v>
      </c>
      <c r="O827" s="145">
        <v>12</v>
      </c>
      <c r="P827" s="145">
        <v>0.185</v>
      </c>
      <c r="Q827" s="145">
        <v>304</v>
      </c>
      <c r="R827" s="145">
        <v>5.8010000000000002</v>
      </c>
      <c r="S827" s="145">
        <v>94</v>
      </c>
      <c r="T827" s="145">
        <v>135</v>
      </c>
      <c r="U827" s="145">
        <v>0.56399999999999995</v>
      </c>
      <c r="V827" s="145">
        <v>2.84</v>
      </c>
      <c r="W827" s="145" t="s">
        <v>400</v>
      </c>
      <c r="X827" s="145">
        <v>0.16</v>
      </c>
      <c r="Y827" s="145">
        <v>2.97</v>
      </c>
      <c r="Z827" s="146">
        <v>0.39100000000000001</v>
      </c>
      <c r="AA827" s="145">
        <v>3.92</v>
      </c>
      <c r="AB827" s="145" t="s">
        <v>400</v>
      </c>
      <c r="AC827" s="145">
        <v>8.92</v>
      </c>
      <c r="AD827" s="145">
        <v>24.9</v>
      </c>
      <c r="AE827" s="145">
        <v>83</v>
      </c>
      <c r="AF827" s="145">
        <v>0.8</v>
      </c>
      <c r="AG827" s="145">
        <v>0.28999999999999998</v>
      </c>
      <c r="AH827" s="145">
        <v>0.214</v>
      </c>
      <c r="AI827" s="145">
        <v>333</v>
      </c>
      <c r="AJ827" s="145">
        <v>169.17500000000001</v>
      </c>
      <c r="AK827" s="145" t="s">
        <v>400</v>
      </c>
      <c r="AL827" s="145" t="s">
        <v>400</v>
      </c>
      <c r="AM827" s="145" t="s">
        <v>400</v>
      </c>
    </row>
    <row r="828" spans="1:39">
      <c r="A828" s="143" t="s">
        <v>1888</v>
      </c>
      <c r="B828" s="144">
        <v>100</v>
      </c>
      <c r="C828" s="145">
        <v>180.65899999999999</v>
      </c>
      <c r="D828" s="145">
        <v>27.27</v>
      </c>
      <c r="E828" s="145">
        <v>7.2130000000000001</v>
      </c>
      <c r="F828" s="145">
        <v>1.4670000000000001</v>
      </c>
      <c r="G828" s="145">
        <v>1.2949999999999999</v>
      </c>
      <c r="H828" s="145">
        <v>2.3069999999999999</v>
      </c>
      <c r="I828" s="145">
        <v>1.77</v>
      </c>
      <c r="J828" s="145">
        <v>0.19</v>
      </c>
      <c r="K828" s="145">
        <v>716</v>
      </c>
      <c r="L828" s="145" t="s">
        <v>400</v>
      </c>
      <c r="M828" s="145" t="s">
        <v>400</v>
      </c>
      <c r="N828" s="145">
        <v>19</v>
      </c>
      <c r="O828" s="145">
        <v>12</v>
      </c>
      <c r="P828" s="145">
        <v>0.185</v>
      </c>
      <c r="Q828" s="145">
        <v>304</v>
      </c>
      <c r="R828" s="145">
        <v>5.8010000000000002</v>
      </c>
      <c r="S828" s="145">
        <v>94</v>
      </c>
      <c r="T828" s="145">
        <v>135</v>
      </c>
      <c r="U828" s="145">
        <v>0.56399999999999995</v>
      </c>
      <c r="V828" s="145">
        <v>2.84</v>
      </c>
      <c r="W828" s="145" t="s">
        <v>400</v>
      </c>
      <c r="X828" s="145">
        <v>0.16</v>
      </c>
      <c r="Y828" s="145">
        <v>2.97</v>
      </c>
      <c r="Z828" s="146">
        <v>0.39100000000000001</v>
      </c>
      <c r="AA828" s="145">
        <v>3.92</v>
      </c>
      <c r="AB828" s="145" t="s">
        <v>400</v>
      </c>
      <c r="AC828" s="145">
        <v>8.92</v>
      </c>
      <c r="AD828" s="145">
        <v>24.9</v>
      </c>
      <c r="AE828" s="145">
        <v>83</v>
      </c>
      <c r="AF828" s="145">
        <v>0.8</v>
      </c>
      <c r="AG828" s="145">
        <v>0.28999999999999998</v>
      </c>
      <c r="AH828" s="145">
        <v>0.214</v>
      </c>
      <c r="AI828" s="145">
        <v>333</v>
      </c>
      <c r="AJ828" s="145">
        <v>169.17500000000001</v>
      </c>
      <c r="AK828" s="145" t="s">
        <v>400</v>
      </c>
      <c r="AL828" s="145" t="s">
        <v>400</v>
      </c>
      <c r="AM828" s="145" t="s">
        <v>400</v>
      </c>
    </row>
    <row r="829" spans="1:39">
      <c r="A829" s="143" t="s">
        <v>1889</v>
      </c>
      <c r="B829" s="144">
        <v>100</v>
      </c>
      <c r="C829" s="145">
        <v>151</v>
      </c>
      <c r="D829" s="145">
        <v>11.67</v>
      </c>
      <c r="E829" s="145">
        <v>10.53</v>
      </c>
      <c r="F829" s="145">
        <v>2.3940000000000001</v>
      </c>
      <c r="G829" s="145">
        <v>1.8819999999999999</v>
      </c>
      <c r="H829" s="145">
        <v>1.6319999999999999</v>
      </c>
      <c r="I829" s="145">
        <v>3.9E-2</v>
      </c>
      <c r="J829" s="145" t="s">
        <v>400</v>
      </c>
      <c r="K829" s="145">
        <v>3100</v>
      </c>
      <c r="L829" s="145">
        <v>1.48</v>
      </c>
      <c r="M829" s="145" t="s">
        <v>400</v>
      </c>
      <c r="N829" s="145">
        <v>9</v>
      </c>
      <c r="O829" s="145">
        <v>12</v>
      </c>
      <c r="P829" s="145">
        <v>2.8000000000000001E-2</v>
      </c>
      <c r="Q829" s="145">
        <v>335</v>
      </c>
      <c r="R829" s="145">
        <v>2.2999999999999998</v>
      </c>
      <c r="S829" s="145">
        <v>108</v>
      </c>
      <c r="T829" s="145">
        <v>244</v>
      </c>
      <c r="U829" s="145">
        <v>0.23</v>
      </c>
      <c r="V829" s="145">
        <v>1.0900000000000001</v>
      </c>
      <c r="W829" s="145" t="s">
        <v>400</v>
      </c>
      <c r="X829" s="145">
        <v>6.9000000000000006E-2</v>
      </c>
      <c r="Y829" s="145">
        <v>0.217</v>
      </c>
      <c r="Z829" s="146">
        <v>0.14299999999999999</v>
      </c>
      <c r="AA829" s="145">
        <v>3.62</v>
      </c>
      <c r="AB829" s="145">
        <v>10.5</v>
      </c>
      <c r="AC829" s="145">
        <v>5.12</v>
      </c>
      <c r="AD829" s="145">
        <v>10.1</v>
      </c>
      <c r="AE829" s="145">
        <v>5</v>
      </c>
      <c r="AF829" s="145" t="s">
        <v>400</v>
      </c>
      <c r="AG829" s="145">
        <v>1.67</v>
      </c>
      <c r="AH829" s="145">
        <v>0.51</v>
      </c>
      <c r="AI829" s="145">
        <v>333</v>
      </c>
      <c r="AJ829" s="145">
        <v>21.8</v>
      </c>
      <c r="AK829" s="145">
        <v>5.8330000000000002</v>
      </c>
      <c r="AL829" s="145" t="s">
        <v>400</v>
      </c>
      <c r="AM829" s="145" t="s">
        <v>400</v>
      </c>
    </row>
    <row r="830" spans="1:39">
      <c r="A830" s="143" t="s">
        <v>1890</v>
      </c>
      <c r="B830" s="144">
        <v>100</v>
      </c>
      <c r="C830" s="145">
        <v>94</v>
      </c>
      <c r="D830" s="145">
        <v>11.71</v>
      </c>
      <c r="E830" s="145">
        <v>4.05</v>
      </c>
      <c r="F830" s="145">
        <v>1.357</v>
      </c>
      <c r="G830" s="145">
        <v>1.6040000000000001</v>
      </c>
      <c r="H830" s="145">
        <v>0.20799999999999999</v>
      </c>
      <c r="I830" s="145">
        <v>0.13700000000000001</v>
      </c>
      <c r="J830" s="145">
        <v>8.0000000000000002E-3</v>
      </c>
      <c r="K830" s="145">
        <v>157</v>
      </c>
      <c r="L830" s="145">
        <v>1.99</v>
      </c>
      <c r="M830" s="145" t="s">
        <v>400</v>
      </c>
      <c r="N830" s="145">
        <v>81</v>
      </c>
      <c r="O830" s="145">
        <v>15</v>
      </c>
      <c r="P830" s="145">
        <v>0.10299999999999999</v>
      </c>
      <c r="Q830" s="145">
        <v>66</v>
      </c>
      <c r="R830" s="145">
        <v>0.66</v>
      </c>
      <c r="S830" s="145">
        <v>68</v>
      </c>
      <c r="T830" s="145">
        <v>42</v>
      </c>
      <c r="U830" s="145" t="s">
        <v>400</v>
      </c>
      <c r="V830" s="145">
        <v>1.71</v>
      </c>
      <c r="W830" s="145" t="s">
        <v>400</v>
      </c>
      <c r="X830" s="145" t="s">
        <v>400</v>
      </c>
      <c r="Y830" s="145">
        <v>2.5000000000000001E-2</v>
      </c>
      <c r="Z830" s="145" t="s">
        <v>400</v>
      </c>
      <c r="AA830" s="145">
        <v>0.46100000000000002</v>
      </c>
      <c r="AB830" s="145" t="s">
        <v>400</v>
      </c>
      <c r="AC830" s="145">
        <v>1.744</v>
      </c>
      <c r="AD830" s="145">
        <v>0.72</v>
      </c>
      <c r="AE830" s="145">
        <v>3</v>
      </c>
      <c r="AF830" s="145" t="s">
        <v>400</v>
      </c>
      <c r="AG830" s="145">
        <v>0.14000000000000001</v>
      </c>
      <c r="AH830" s="145">
        <v>0.2</v>
      </c>
      <c r="AI830" s="145">
        <v>333</v>
      </c>
      <c r="AJ830" s="145">
        <v>11.8</v>
      </c>
      <c r="AK830" s="145" t="s">
        <v>400</v>
      </c>
      <c r="AL830" s="145" t="s">
        <v>400</v>
      </c>
      <c r="AM830" s="145" t="s">
        <v>400</v>
      </c>
    </row>
    <row r="831" spans="1:39">
      <c r="A831" s="143" t="s">
        <v>1891</v>
      </c>
      <c r="B831" s="144">
        <v>100</v>
      </c>
      <c r="C831" s="145">
        <v>94</v>
      </c>
      <c r="D831" s="145">
        <v>11.71</v>
      </c>
      <c r="E831" s="145">
        <v>4.05</v>
      </c>
      <c r="F831" s="145">
        <v>1.357</v>
      </c>
      <c r="G831" s="145">
        <v>1.6040000000000001</v>
      </c>
      <c r="H831" s="145">
        <v>0.20799999999999999</v>
      </c>
      <c r="I831" s="145">
        <v>0.13700000000000001</v>
      </c>
      <c r="J831" s="145">
        <v>8.0000000000000002E-3</v>
      </c>
      <c r="K831" s="145">
        <v>157</v>
      </c>
      <c r="L831" s="145">
        <v>1.99</v>
      </c>
      <c r="M831" s="145" t="s">
        <v>400</v>
      </c>
      <c r="N831" s="145">
        <v>81</v>
      </c>
      <c r="O831" s="145">
        <v>15</v>
      </c>
      <c r="P831" s="145">
        <v>0.10299999999999999</v>
      </c>
      <c r="Q831" s="145">
        <v>66</v>
      </c>
      <c r="R831" s="145">
        <v>0.66</v>
      </c>
      <c r="S831" s="145">
        <v>68</v>
      </c>
      <c r="T831" s="145">
        <v>42</v>
      </c>
      <c r="U831" s="145" t="s">
        <v>400</v>
      </c>
      <c r="V831" s="145">
        <v>1.71</v>
      </c>
      <c r="W831" s="145" t="s">
        <v>400</v>
      </c>
      <c r="X831" s="145" t="s">
        <v>400</v>
      </c>
      <c r="Y831" s="145">
        <v>2.5000000000000001E-2</v>
      </c>
      <c r="Z831" s="145" t="s">
        <v>400</v>
      </c>
      <c r="AA831" s="145">
        <v>0.46100000000000002</v>
      </c>
      <c r="AB831" s="145" t="s">
        <v>400</v>
      </c>
      <c r="AC831" s="145">
        <v>1.744</v>
      </c>
      <c r="AD831" s="145">
        <v>0.72</v>
      </c>
      <c r="AE831" s="145">
        <v>3</v>
      </c>
      <c r="AF831" s="145" t="s">
        <v>400</v>
      </c>
      <c r="AG831" s="145">
        <v>0.14000000000000001</v>
      </c>
      <c r="AH831" s="145">
        <v>0.2</v>
      </c>
      <c r="AI831" s="145">
        <v>333</v>
      </c>
      <c r="AJ831" s="145">
        <v>11.8</v>
      </c>
      <c r="AK831" s="145" t="s">
        <v>400</v>
      </c>
      <c r="AL831" s="145" t="s">
        <v>400</v>
      </c>
      <c r="AM831" s="145" t="s">
        <v>400</v>
      </c>
    </row>
    <row r="832" spans="1:39">
      <c r="A832" s="143" t="s">
        <v>1892</v>
      </c>
      <c r="B832" s="144">
        <v>100</v>
      </c>
      <c r="C832" s="145">
        <v>94</v>
      </c>
      <c r="D832" s="145">
        <v>11.71</v>
      </c>
      <c r="E832" s="145">
        <v>4.05</v>
      </c>
      <c r="F832" s="145">
        <v>1.357</v>
      </c>
      <c r="G832" s="145">
        <v>1.6040000000000001</v>
      </c>
      <c r="H832" s="145">
        <v>0.20799999999999999</v>
      </c>
      <c r="I832" s="145">
        <v>0.13700000000000001</v>
      </c>
      <c r="J832" s="145">
        <v>8.0000000000000002E-3</v>
      </c>
      <c r="K832" s="145">
        <v>157</v>
      </c>
      <c r="L832" s="145">
        <v>1.99</v>
      </c>
      <c r="M832" s="145" t="s">
        <v>400</v>
      </c>
      <c r="N832" s="145">
        <v>81</v>
      </c>
      <c r="O832" s="145">
        <v>15</v>
      </c>
      <c r="P832" s="145">
        <v>0.10299999999999999</v>
      </c>
      <c r="Q832" s="145">
        <v>66</v>
      </c>
      <c r="R832" s="145">
        <v>0.66</v>
      </c>
      <c r="S832" s="145">
        <v>68</v>
      </c>
      <c r="T832" s="145">
        <v>42</v>
      </c>
      <c r="U832" s="145" t="s">
        <v>400</v>
      </c>
      <c r="V832" s="145">
        <v>1.71</v>
      </c>
      <c r="W832" s="145" t="s">
        <v>400</v>
      </c>
      <c r="X832" s="145" t="s">
        <v>400</v>
      </c>
      <c r="Y832" s="145">
        <v>2.5000000000000001E-2</v>
      </c>
      <c r="Z832" s="145" t="s">
        <v>400</v>
      </c>
      <c r="AA832" s="145">
        <v>0.46100000000000002</v>
      </c>
      <c r="AB832" s="145" t="s">
        <v>400</v>
      </c>
      <c r="AC832" s="145">
        <v>1.744</v>
      </c>
      <c r="AD832" s="145">
        <v>0.72</v>
      </c>
      <c r="AE832" s="145">
        <v>3</v>
      </c>
      <c r="AF832" s="145" t="s">
        <v>400</v>
      </c>
      <c r="AG832" s="145">
        <v>0.14000000000000001</v>
      </c>
      <c r="AH832" s="145">
        <v>0.2</v>
      </c>
      <c r="AI832" s="145">
        <v>333</v>
      </c>
      <c r="AJ832" s="145">
        <v>11.8</v>
      </c>
      <c r="AK832" s="145" t="s">
        <v>400</v>
      </c>
      <c r="AL832" s="145" t="s">
        <v>400</v>
      </c>
      <c r="AM832" s="145" t="s">
        <v>400</v>
      </c>
    </row>
    <row r="833" spans="1:39">
      <c r="A833" s="143" t="s">
        <v>1893</v>
      </c>
      <c r="B833" s="144">
        <v>100</v>
      </c>
      <c r="C833" s="145">
        <v>116.65900000000001</v>
      </c>
      <c r="D833" s="145">
        <v>11.71</v>
      </c>
      <c r="E833" s="145">
        <v>6.6130000000000004</v>
      </c>
      <c r="F833" s="145">
        <v>1.758</v>
      </c>
      <c r="G833" s="145">
        <v>2.1880000000000002</v>
      </c>
      <c r="H833" s="145">
        <v>1.6879999999999999</v>
      </c>
      <c r="I833" s="145">
        <v>1.4430000000000001</v>
      </c>
      <c r="J833" s="145">
        <v>0.182</v>
      </c>
      <c r="K833" s="145">
        <v>157</v>
      </c>
      <c r="L833" s="145">
        <v>1.99</v>
      </c>
      <c r="M833" s="145" t="s">
        <v>400</v>
      </c>
      <c r="N833" s="145">
        <v>81</v>
      </c>
      <c r="O833" s="145">
        <v>15</v>
      </c>
      <c r="P833" s="145">
        <v>0.10299999999999999</v>
      </c>
      <c r="Q833" s="145">
        <v>66</v>
      </c>
      <c r="R833" s="145">
        <v>0.66100000000000003</v>
      </c>
      <c r="S833" s="145">
        <v>68</v>
      </c>
      <c r="T833" s="145">
        <v>42</v>
      </c>
      <c r="U833" s="145" t="s">
        <v>400</v>
      </c>
      <c r="V833" s="145">
        <v>1.71</v>
      </c>
      <c r="W833" s="145" t="s">
        <v>400</v>
      </c>
      <c r="X833" s="145" t="s">
        <v>400</v>
      </c>
      <c r="Y833" s="145">
        <v>2.5000000000000001E-2</v>
      </c>
      <c r="Z833" s="145" t="s">
        <v>400</v>
      </c>
      <c r="AA833" s="145">
        <v>0.46100000000000002</v>
      </c>
      <c r="AB833" s="145" t="s">
        <v>400</v>
      </c>
      <c r="AC833" s="145">
        <v>1.744</v>
      </c>
      <c r="AD833" s="145">
        <v>0.72</v>
      </c>
      <c r="AE833" s="145">
        <v>3</v>
      </c>
      <c r="AF833" s="145" t="s">
        <v>400</v>
      </c>
      <c r="AG833" s="145">
        <v>0.35</v>
      </c>
      <c r="AH833" s="145">
        <v>0.214</v>
      </c>
      <c r="AI833" s="145">
        <v>333</v>
      </c>
      <c r="AJ833" s="145">
        <v>12.975</v>
      </c>
      <c r="AK833" s="145" t="s">
        <v>400</v>
      </c>
      <c r="AL833" s="145" t="s">
        <v>400</v>
      </c>
      <c r="AM833" s="145" t="s">
        <v>400</v>
      </c>
    </row>
    <row r="834" spans="1:39">
      <c r="A834" s="143" t="s">
        <v>1894</v>
      </c>
      <c r="B834" s="144">
        <v>100</v>
      </c>
      <c r="C834" s="145">
        <v>94</v>
      </c>
      <c r="D834" s="145">
        <v>11.71</v>
      </c>
      <c r="E834" s="145">
        <v>4.05</v>
      </c>
      <c r="F834" s="145">
        <v>1.357</v>
      </c>
      <c r="G834" s="145">
        <v>1.6040000000000001</v>
      </c>
      <c r="H834" s="145">
        <v>0.20799999999999999</v>
      </c>
      <c r="I834" s="145">
        <v>0.13700000000000001</v>
      </c>
      <c r="J834" s="145">
        <v>8.0000000000000002E-3</v>
      </c>
      <c r="K834" s="145">
        <v>157</v>
      </c>
      <c r="L834" s="145">
        <v>1.99</v>
      </c>
      <c r="M834" s="145" t="s">
        <v>400</v>
      </c>
      <c r="N834" s="145">
        <v>81</v>
      </c>
      <c r="O834" s="145">
        <v>15</v>
      </c>
      <c r="P834" s="145">
        <v>0.10299999999999999</v>
      </c>
      <c r="Q834" s="145">
        <v>66</v>
      </c>
      <c r="R834" s="145">
        <v>0.66</v>
      </c>
      <c r="S834" s="145">
        <v>68</v>
      </c>
      <c r="T834" s="145">
        <v>42</v>
      </c>
      <c r="U834" s="145" t="s">
        <v>400</v>
      </c>
      <c r="V834" s="145">
        <v>1.71</v>
      </c>
      <c r="W834" s="145" t="s">
        <v>400</v>
      </c>
      <c r="X834" s="145" t="s">
        <v>400</v>
      </c>
      <c r="Y834" s="145">
        <v>2.5000000000000001E-2</v>
      </c>
      <c r="Z834" s="145" t="s">
        <v>400</v>
      </c>
      <c r="AA834" s="145">
        <v>0.46100000000000002</v>
      </c>
      <c r="AB834" s="145" t="s">
        <v>400</v>
      </c>
      <c r="AC834" s="145">
        <v>1.744</v>
      </c>
      <c r="AD834" s="145">
        <v>0.72</v>
      </c>
      <c r="AE834" s="145">
        <v>3</v>
      </c>
      <c r="AF834" s="145" t="s">
        <v>400</v>
      </c>
      <c r="AG834" s="145">
        <v>0.14000000000000001</v>
      </c>
      <c r="AH834" s="145">
        <v>0.2</v>
      </c>
      <c r="AI834" s="145">
        <v>333</v>
      </c>
      <c r="AJ834" s="145">
        <v>11.8</v>
      </c>
      <c r="AK834" s="145" t="s">
        <v>400</v>
      </c>
      <c r="AL834" s="145" t="s">
        <v>400</v>
      </c>
      <c r="AM834" s="145" t="s">
        <v>400</v>
      </c>
    </row>
    <row r="835" spans="1:39">
      <c r="A835" s="143" t="s">
        <v>1895</v>
      </c>
      <c r="B835" s="144">
        <v>100</v>
      </c>
      <c r="C835" s="145">
        <v>94</v>
      </c>
      <c r="D835" s="145">
        <v>11.71</v>
      </c>
      <c r="E835" s="145">
        <v>4.05</v>
      </c>
      <c r="F835" s="145">
        <v>1.357</v>
      </c>
      <c r="G835" s="145">
        <v>1.6040000000000001</v>
      </c>
      <c r="H835" s="145">
        <v>0.20799999999999999</v>
      </c>
      <c r="I835" s="145">
        <v>0.13700000000000001</v>
      </c>
      <c r="J835" s="145">
        <v>8.0000000000000002E-3</v>
      </c>
      <c r="K835" s="145">
        <v>157</v>
      </c>
      <c r="L835" s="145">
        <v>1.99</v>
      </c>
      <c r="M835" s="145" t="s">
        <v>400</v>
      </c>
      <c r="N835" s="145">
        <v>81</v>
      </c>
      <c r="O835" s="145">
        <v>15</v>
      </c>
      <c r="P835" s="145">
        <v>0.10299999999999999</v>
      </c>
      <c r="Q835" s="145">
        <v>66</v>
      </c>
      <c r="R835" s="145">
        <v>0.66</v>
      </c>
      <c r="S835" s="145">
        <v>68</v>
      </c>
      <c r="T835" s="145">
        <v>42</v>
      </c>
      <c r="U835" s="145" t="s">
        <v>400</v>
      </c>
      <c r="V835" s="145">
        <v>1.71</v>
      </c>
      <c r="W835" s="145" t="s">
        <v>400</v>
      </c>
      <c r="X835" s="145" t="s">
        <v>400</v>
      </c>
      <c r="Y835" s="145">
        <v>2.5000000000000001E-2</v>
      </c>
      <c r="Z835" s="145" t="s">
        <v>400</v>
      </c>
      <c r="AA835" s="145">
        <v>0.46100000000000002</v>
      </c>
      <c r="AB835" s="145" t="s">
        <v>400</v>
      </c>
      <c r="AC835" s="145">
        <v>1.744</v>
      </c>
      <c r="AD835" s="145">
        <v>0.72</v>
      </c>
      <c r="AE835" s="145">
        <v>3</v>
      </c>
      <c r="AF835" s="145" t="s">
        <v>400</v>
      </c>
      <c r="AG835" s="145">
        <v>0.14000000000000001</v>
      </c>
      <c r="AH835" s="145">
        <v>0.2</v>
      </c>
      <c r="AI835" s="145">
        <v>333</v>
      </c>
      <c r="AJ835" s="145">
        <v>11.8</v>
      </c>
      <c r="AK835" s="145" t="s">
        <v>400</v>
      </c>
      <c r="AL835" s="145" t="s">
        <v>400</v>
      </c>
      <c r="AM835" s="145" t="s">
        <v>400</v>
      </c>
    </row>
    <row r="836" spans="1:39">
      <c r="A836" s="143" t="s">
        <v>1896</v>
      </c>
      <c r="B836" s="144">
        <v>100</v>
      </c>
      <c r="C836" s="145">
        <v>80</v>
      </c>
      <c r="D836" s="145">
        <v>9.6319999999999997</v>
      </c>
      <c r="E836" s="145">
        <v>3.2759999999999998</v>
      </c>
      <c r="F836" s="145">
        <v>1.091</v>
      </c>
      <c r="G836" s="145">
        <v>1.2889999999999999</v>
      </c>
      <c r="H836" s="145">
        <v>0.18099999999999999</v>
      </c>
      <c r="I836" s="145">
        <v>0.123</v>
      </c>
      <c r="J836" s="145">
        <v>7.0000000000000001E-3</v>
      </c>
      <c r="K836" s="145">
        <v>125.6</v>
      </c>
      <c r="L836" s="145">
        <v>2.6680000000000001</v>
      </c>
      <c r="M836" s="145">
        <v>0.3</v>
      </c>
      <c r="N836" s="145">
        <v>67.400000000000006</v>
      </c>
      <c r="O836" s="145">
        <v>15.2</v>
      </c>
      <c r="P836" s="145">
        <v>0.104</v>
      </c>
      <c r="Q836" s="145">
        <v>58</v>
      </c>
      <c r="R836" s="145">
        <v>0.73199999999999998</v>
      </c>
      <c r="S836" s="145">
        <v>159.19999999999999</v>
      </c>
      <c r="T836" s="145">
        <v>99.8</v>
      </c>
      <c r="U836" s="145">
        <v>2.3E-2</v>
      </c>
      <c r="V836" s="145">
        <v>1.4079999999999999</v>
      </c>
      <c r="W836" s="145" t="s">
        <v>400</v>
      </c>
      <c r="X836" s="145">
        <v>5.0000000000000001E-3</v>
      </c>
      <c r="Y836" s="145">
        <v>3.3000000000000002E-2</v>
      </c>
      <c r="Z836" s="145">
        <v>1.9E-2</v>
      </c>
      <c r="AA836" s="145">
        <v>0.56399999999999995</v>
      </c>
      <c r="AB836" s="145">
        <v>1.4</v>
      </c>
      <c r="AC836" s="145">
        <v>1.6240000000000001</v>
      </c>
      <c r="AD836" s="145">
        <v>0.57599999999999996</v>
      </c>
      <c r="AE836" s="145">
        <v>4.5999999999999996</v>
      </c>
      <c r="AF836" s="145" t="s">
        <v>400</v>
      </c>
      <c r="AG836" s="145">
        <v>0.39600000000000002</v>
      </c>
      <c r="AH836" s="145">
        <v>0.16</v>
      </c>
      <c r="AI836" s="145">
        <v>333</v>
      </c>
      <c r="AJ836" s="145">
        <v>9.48</v>
      </c>
      <c r="AK836" s="145">
        <v>3.4830000000000001</v>
      </c>
      <c r="AL836" s="145">
        <v>0.85</v>
      </c>
      <c r="AM836" s="145" t="s">
        <v>400</v>
      </c>
    </row>
    <row r="837" spans="1:39">
      <c r="A837" s="143" t="s">
        <v>1897</v>
      </c>
      <c r="B837" s="144">
        <v>100</v>
      </c>
      <c r="C837" s="145">
        <v>116.65900000000001</v>
      </c>
      <c r="D837" s="145">
        <v>11.71</v>
      </c>
      <c r="E837" s="145">
        <v>6.6130000000000004</v>
      </c>
      <c r="F837" s="145">
        <v>1.758</v>
      </c>
      <c r="G837" s="145">
        <v>2.1880000000000002</v>
      </c>
      <c r="H837" s="145">
        <v>1.6879999999999999</v>
      </c>
      <c r="I837" s="145">
        <v>1.4430000000000001</v>
      </c>
      <c r="J837" s="145">
        <v>0.182</v>
      </c>
      <c r="K837" s="145">
        <v>157</v>
      </c>
      <c r="L837" s="145">
        <v>1.99</v>
      </c>
      <c r="M837" s="145" t="s">
        <v>400</v>
      </c>
      <c r="N837" s="145">
        <v>81</v>
      </c>
      <c r="O837" s="145">
        <v>15</v>
      </c>
      <c r="P837" s="145">
        <v>0.10299999999999999</v>
      </c>
      <c r="Q837" s="145">
        <v>66</v>
      </c>
      <c r="R837" s="145">
        <v>0.66100000000000003</v>
      </c>
      <c r="S837" s="145">
        <v>68</v>
      </c>
      <c r="T837" s="145">
        <v>42</v>
      </c>
      <c r="U837" s="145" t="s">
        <v>400</v>
      </c>
      <c r="V837" s="145">
        <v>1.71</v>
      </c>
      <c r="W837" s="145" t="s">
        <v>400</v>
      </c>
      <c r="X837" s="145" t="s">
        <v>400</v>
      </c>
      <c r="Y837" s="145">
        <v>2.5000000000000001E-2</v>
      </c>
      <c r="Z837" s="145" t="s">
        <v>400</v>
      </c>
      <c r="AA837" s="145">
        <v>0.46100000000000002</v>
      </c>
      <c r="AB837" s="145" t="s">
        <v>400</v>
      </c>
      <c r="AC837" s="145">
        <v>1.744</v>
      </c>
      <c r="AD837" s="145">
        <v>0.72</v>
      </c>
      <c r="AE837" s="145">
        <v>3</v>
      </c>
      <c r="AF837" s="145" t="s">
        <v>400</v>
      </c>
      <c r="AG837" s="145">
        <v>0.35</v>
      </c>
      <c r="AH837" s="145">
        <v>0.214</v>
      </c>
      <c r="AI837" s="145">
        <v>333</v>
      </c>
      <c r="AJ837" s="145">
        <v>12.975</v>
      </c>
      <c r="AK837" s="145" t="s">
        <v>400</v>
      </c>
      <c r="AL837" s="145" t="s">
        <v>400</v>
      </c>
      <c r="AM837" s="145" t="s">
        <v>400</v>
      </c>
    </row>
    <row r="838" spans="1:39">
      <c r="A838" s="143" t="s">
        <v>1898</v>
      </c>
      <c r="B838" s="144">
        <v>100</v>
      </c>
      <c r="C838" s="145">
        <v>94</v>
      </c>
      <c r="D838" s="145">
        <v>11.71</v>
      </c>
      <c r="E838" s="145">
        <v>4.05</v>
      </c>
      <c r="F838" s="145">
        <v>1.357</v>
      </c>
      <c r="G838" s="145">
        <v>1.6040000000000001</v>
      </c>
      <c r="H838" s="145">
        <v>0.20799999999999999</v>
      </c>
      <c r="I838" s="145">
        <v>0.13700000000000001</v>
      </c>
      <c r="J838" s="145">
        <v>8.0000000000000002E-3</v>
      </c>
      <c r="K838" s="145">
        <v>157</v>
      </c>
      <c r="L838" s="145">
        <v>1.99</v>
      </c>
      <c r="M838" s="145" t="s">
        <v>400</v>
      </c>
      <c r="N838" s="145">
        <v>81</v>
      </c>
      <c r="O838" s="145">
        <v>15</v>
      </c>
      <c r="P838" s="145">
        <v>0.10299999999999999</v>
      </c>
      <c r="Q838" s="145">
        <v>66</v>
      </c>
      <c r="R838" s="145">
        <v>0.66</v>
      </c>
      <c r="S838" s="145">
        <v>68</v>
      </c>
      <c r="T838" s="145">
        <v>42</v>
      </c>
      <c r="U838" s="145" t="s">
        <v>400</v>
      </c>
      <c r="V838" s="145">
        <v>1.71</v>
      </c>
      <c r="W838" s="145" t="s">
        <v>400</v>
      </c>
      <c r="X838" s="145" t="s">
        <v>400</v>
      </c>
      <c r="Y838" s="145">
        <v>2.5000000000000001E-2</v>
      </c>
      <c r="Z838" s="145" t="s">
        <v>400</v>
      </c>
      <c r="AA838" s="145">
        <v>0.46100000000000002</v>
      </c>
      <c r="AB838" s="145" t="s">
        <v>400</v>
      </c>
      <c r="AC838" s="145">
        <v>1.744</v>
      </c>
      <c r="AD838" s="145">
        <v>0.72</v>
      </c>
      <c r="AE838" s="145">
        <v>3</v>
      </c>
      <c r="AF838" s="145" t="s">
        <v>400</v>
      </c>
      <c r="AG838" s="145">
        <v>0.14000000000000001</v>
      </c>
      <c r="AH838" s="145">
        <v>0.2</v>
      </c>
      <c r="AI838" s="145">
        <v>333</v>
      </c>
      <c r="AJ838" s="145">
        <v>11.8</v>
      </c>
      <c r="AK838" s="145" t="s">
        <v>400</v>
      </c>
      <c r="AL838" s="145" t="s">
        <v>400</v>
      </c>
      <c r="AM838" s="145" t="s">
        <v>400</v>
      </c>
    </row>
    <row r="839" spans="1:39">
      <c r="A839" s="143" t="s">
        <v>1899</v>
      </c>
      <c r="B839" s="144">
        <v>100</v>
      </c>
      <c r="C839" s="145">
        <v>94</v>
      </c>
      <c r="D839" s="145">
        <v>11.71</v>
      </c>
      <c r="E839" s="145">
        <v>4.05</v>
      </c>
      <c r="F839" s="145">
        <v>1.357</v>
      </c>
      <c r="G839" s="145">
        <v>1.6040000000000001</v>
      </c>
      <c r="H839" s="145">
        <v>0.20799999999999999</v>
      </c>
      <c r="I839" s="145">
        <v>0.13700000000000001</v>
      </c>
      <c r="J839" s="145">
        <v>8.0000000000000002E-3</v>
      </c>
      <c r="K839" s="145">
        <v>157</v>
      </c>
      <c r="L839" s="145">
        <v>1.99</v>
      </c>
      <c r="M839" s="145" t="s">
        <v>400</v>
      </c>
      <c r="N839" s="145">
        <v>81</v>
      </c>
      <c r="O839" s="145">
        <v>15</v>
      </c>
      <c r="P839" s="145">
        <v>0.10299999999999999</v>
      </c>
      <c r="Q839" s="145">
        <v>66</v>
      </c>
      <c r="R839" s="145">
        <v>0.66</v>
      </c>
      <c r="S839" s="145">
        <v>68</v>
      </c>
      <c r="T839" s="145">
        <v>42</v>
      </c>
      <c r="U839" s="145" t="s">
        <v>400</v>
      </c>
      <c r="V839" s="145">
        <v>1.71</v>
      </c>
      <c r="W839" s="145" t="s">
        <v>400</v>
      </c>
      <c r="X839" s="145" t="s">
        <v>400</v>
      </c>
      <c r="Y839" s="145">
        <v>2.5000000000000001E-2</v>
      </c>
      <c r="Z839" s="145" t="s">
        <v>400</v>
      </c>
      <c r="AA839" s="145">
        <v>0.46100000000000002</v>
      </c>
      <c r="AB839" s="145" t="s">
        <v>400</v>
      </c>
      <c r="AC839" s="145">
        <v>1.744</v>
      </c>
      <c r="AD839" s="145">
        <v>0.72</v>
      </c>
      <c r="AE839" s="145">
        <v>3</v>
      </c>
      <c r="AF839" s="145" t="s">
        <v>400</v>
      </c>
      <c r="AG839" s="145">
        <v>0.14000000000000001</v>
      </c>
      <c r="AH839" s="145">
        <v>0.2</v>
      </c>
      <c r="AI839" s="145">
        <v>333</v>
      </c>
      <c r="AJ839" s="145">
        <v>11.8</v>
      </c>
      <c r="AK839" s="145" t="s">
        <v>400</v>
      </c>
      <c r="AL839" s="145" t="s">
        <v>400</v>
      </c>
      <c r="AM839" s="145" t="s">
        <v>400</v>
      </c>
    </row>
    <row r="840" spans="1:39">
      <c r="A840" s="143" t="s">
        <v>1900</v>
      </c>
      <c r="B840" s="144">
        <v>100</v>
      </c>
      <c r="C840" s="145">
        <v>116.65900000000001</v>
      </c>
      <c r="D840" s="145">
        <v>11.71</v>
      </c>
      <c r="E840" s="145">
        <v>6.6130000000000004</v>
      </c>
      <c r="F840" s="145">
        <v>1.758</v>
      </c>
      <c r="G840" s="145">
        <v>2.1880000000000002</v>
      </c>
      <c r="H840" s="145">
        <v>1.6879999999999999</v>
      </c>
      <c r="I840" s="145">
        <v>1.4430000000000001</v>
      </c>
      <c r="J840" s="145">
        <v>0.182</v>
      </c>
      <c r="K840" s="145">
        <v>157</v>
      </c>
      <c r="L840" s="145">
        <v>1.99</v>
      </c>
      <c r="M840" s="145" t="s">
        <v>400</v>
      </c>
      <c r="N840" s="145">
        <v>81</v>
      </c>
      <c r="O840" s="145">
        <v>15</v>
      </c>
      <c r="P840" s="145">
        <v>0.10299999999999999</v>
      </c>
      <c r="Q840" s="145">
        <v>66</v>
      </c>
      <c r="R840" s="145">
        <v>0.66100000000000003</v>
      </c>
      <c r="S840" s="145">
        <v>68</v>
      </c>
      <c r="T840" s="145">
        <v>42</v>
      </c>
      <c r="U840" s="145" t="s">
        <v>400</v>
      </c>
      <c r="V840" s="145">
        <v>1.71</v>
      </c>
      <c r="W840" s="145" t="s">
        <v>400</v>
      </c>
      <c r="X840" s="145" t="s">
        <v>400</v>
      </c>
      <c r="Y840" s="145">
        <v>2.5000000000000001E-2</v>
      </c>
      <c r="Z840" s="145" t="s">
        <v>400</v>
      </c>
      <c r="AA840" s="145">
        <v>0.46100000000000002</v>
      </c>
      <c r="AB840" s="145" t="s">
        <v>400</v>
      </c>
      <c r="AC840" s="145">
        <v>1.744</v>
      </c>
      <c r="AD840" s="145">
        <v>0.72</v>
      </c>
      <c r="AE840" s="145">
        <v>3</v>
      </c>
      <c r="AF840" s="145" t="s">
        <v>400</v>
      </c>
      <c r="AG840" s="145">
        <v>0.35</v>
      </c>
      <c r="AH840" s="145">
        <v>0.214</v>
      </c>
      <c r="AI840" s="145">
        <v>333</v>
      </c>
      <c r="AJ840" s="145">
        <v>12.975</v>
      </c>
      <c r="AK840" s="145" t="s">
        <v>400</v>
      </c>
      <c r="AL840" s="145" t="s">
        <v>400</v>
      </c>
      <c r="AM840" s="145" t="s">
        <v>400</v>
      </c>
    </row>
    <row r="841" spans="1:39">
      <c r="A841" s="143" t="s">
        <v>1901</v>
      </c>
      <c r="B841" s="144">
        <v>100</v>
      </c>
      <c r="C841" s="145">
        <v>94</v>
      </c>
      <c r="D841" s="145">
        <v>11.71</v>
      </c>
      <c r="E841" s="145">
        <v>4.05</v>
      </c>
      <c r="F841" s="145">
        <v>1.357</v>
      </c>
      <c r="G841" s="145">
        <v>1.6040000000000001</v>
      </c>
      <c r="H841" s="145">
        <v>0.20799999999999999</v>
      </c>
      <c r="I841" s="145">
        <v>0.13700000000000001</v>
      </c>
      <c r="J841" s="145">
        <v>8.0000000000000002E-3</v>
      </c>
      <c r="K841" s="145">
        <v>157</v>
      </c>
      <c r="L841" s="145">
        <v>1.99</v>
      </c>
      <c r="M841" s="145" t="s">
        <v>400</v>
      </c>
      <c r="N841" s="145">
        <v>81</v>
      </c>
      <c r="O841" s="145">
        <v>15</v>
      </c>
      <c r="P841" s="145">
        <v>0.10299999999999999</v>
      </c>
      <c r="Q841" s="145">
        <v>66</v>
      </c>
      <c r="R841" s="145">
        <v>0.66</v>
      </c>
      <c r="S841" s="145">
        <v>68</v>
      </c>
      <c r="T841" s="145">
        <v>42</v>
      </c>
      <c r="U841" s="145" t="s">
        <v>400</v>
      </c>
      <c r="V841" s="145">
        <v>1.71</v>
      </c>
      <c r="W841" s="145" t="s">
        <v>400</v>
      </c>
      <c r="X841" s="145" t="s">
        <v>400</v>
      </c>
      <c r="Y841" s="145">
        <v>2.5000000000000001E-2</v>
      </c>
      <c r="Z841" s="145" t="s">
        <v>400</v>
      </c>
      <c r="AA841" s="145">
        <v>0.46100000000000002</v>
      </c>
      <c r="AB841" s="145" t="s">
        <v>400</v>
      </c>
      <c r="AC841" s="145">
        <v>1.744</v>
      </c>
      <c r="AD841" s="145">
        <v>0.72</v>
      </c>
      <c r="AE841" s="145">
        <v>3</v>
      </c>
      <c r="AF841" s="145" t="s">
        <v>400</v>
      </c>
      <c r="AG841" s="145">
        <v>0.14000000000000001</v>
      </c>
      <c r="AH841" s="145">
        <v>0.2</v>
      </c>
      <c r="AI841" s="145">
        <v>333</v>
      </c>
      <c r="AJ841" s="145">
        <v>11.8</v>
      </c>
      <c r="AK841" s="145" t="s">
        <v>400</v>
      </c>
      <c r="AL841" s="145" t="s">
        <v>400</v>
      </c>
      <c r="AM841" s="145" t="s">
        <v>400</v>
      </c>
    </row>
    <row r="842" spans="1:39">
      <c r="A842" s="143" t="s">
        <v>1902</v>
      </c>
      <c r="B842" s="144">
        <v>100</v>
      </c>
      <c r="C842" s="145">
        <v>191</v>
      </c>
      <c r="D842" s="145">
        <v>29.08</v>
      </c>
      <c r="E842" s="145">
        <v>5.26</v>
      </c>
      <c r="F842" s="145">
        <v>1.696</v>
      </c>
      <c r="G842" s="145">
        <v>0.64700000000000002</v>
      </c>
      <c r="H842" s="145">
        <v>0.63900000000000001</v>
      </c>
      <c r="I842" s="145" t="s">
        <v>400</v>
      </c>
      <c r="J842" s="145" t="s">
        <v>400</v>
      </c>
      <c r="K842" s="145">
        <v>396</v>
      </c>
      <c r="L842" s="145">
        <v>5.13</v>
      </c>
      <c r="M842" s="145" t="s">
        <v>400</v>
      </c>
      <c r="N842" s="145">
        <v>6</v>
      </c>
      <c r="O842" s="145">
        <v>21</v>
      </c>
      <c r="P842" s="145">
        <v>0.35599999999999998</v>
      </c>
      <c r="Q842" s="145">
        <v>497</v>
      </c>
      <c r="R842" s="145">
        <v>6.54</v>
      </c>
      <c r="S842" s="145">
        <v>79</v>
      </c>
      <c r="T842" s="145">
        <v>352</v>
      </c>
      <c r="U842" s="145">
        <v>14.282999999999999</v>
      </c>
      <c r="V842" s="145">
        <v>5.3</v>
      </c>
      <c r="W842" s="145">
        <v>9428</v>
      </c>
      <c r="X842" s="145">
        <v>0.19400000000000001</v>
      </c>
      <c r="Y842" s="145">
        <v>3.4249999999999998</v>
      </c>
      <c r="Z842" s="146">
        <v>1.0169999999999999</v>
      </c>
      <c r="AA842" s="145">
        <v>17.524999999999999</v>
      </c>
      <c r="AB842" s="145">
        <v>1.9</v>
      </c>
      <c r="AC842" s="145">
        <v>23.658000000000001</v>
      </c>
      <c r="AD842" s="145">
        <v>70.58</v>
      </c>
      <c r="AE842" s="145">
        <v>253</v>
      </c>
      <c r="AF842" s="145">
        <v>0.4</v>
      </c>
      <c r="AG842" s="145">
        <v>0.51</v>
      </c>
      <c r="AH842" s="145">
        <v>0.21</v>
      </c>
      <c r="AI842" s="145">
        <v>333</v>
      </c>
      <c r="AJ842" s="145">
        <v>36.1</v>
      </c>
      <c r="AK842" s="145">
        <v>9442.4169999999995</v>
      </c>
      <c r="AL842" s="145" t="s">
        <v>400</v>
      </c>
      <c r="AM842" s="145" t="s">
        <v>400</v>
      </c>
    </row>
    <row r="843" spans="1:39">
      <c r="A843" s="143" t="s">
        <v>1903</v>
      </c>
      <c r="B843" s="144">
        <v>100</v>
      </c>
      <c r="C843" s="145">
        <v>191</v>
      </c>
      <c r="D843" s="145">
        <v>29.08</v>
      </c>
      <c r="E843" s="145">
        <v>5.26</v>
      </c>
      <c r="F843" s="145">
        <v>1.696</v>
      </c>
      <c r="G843" s="145">
        <v>0.64700000000000002</v>
      </c>
      <c r="H843" s="145">
        <v>0.63900000000000001</v>
      </c>
      <c r="I843" s="145" t="s">
        <v>400</v>
      </c>
      <c r="J843" s="145" t="s">
        <v>400</v>
      </c>
      <c r="K843" s="145">
        <v>396</v>
      </c>
      <c r="L843" s="145">
        <v>5.13</v>
      </c>
      <c r="M843" s="145" t="s">
        <v>400</v>
      </c>
      <c r="N843" s="145">
        <v>6</v>
      </c>
      <c r="O843" s="145">
        <v>21</v>
      </c>
      <c r="P843" s="145">
        <v>0.35599999999999998</v>
      </c>
      <c r="Q843" s="145">
        <v>497</v>
      </c>
      <c r="R843" s="145">
        <v>6.54</v>
      </c>
      <c r="S843" s="145">
        <v>79</v>
      </c>
      <c r="T843" s="145">
        <v>352</v>
      </c>
      <c r="U843" s="145">
        <v>14.282999999999999</v>
      </c>
      <c r="V843" s="145">
        <v>5.3</v>
      </c>
      <c r="W843" s="145">
        <v>9428</v>
      </c>
      <c r="X843" s="145">
        <v>0.19400000000000001</v>
      </c>
      <c r="Y843" s="145">
        <v>3.4249999999999998</v>
      </c>
      <c r="Z843" s="146">
        <v>1.0169999999999999</v>
      </c>
      <c r="AA843" s="145">
        <v>17.524999999999999</v>
      </c>
      <c r="AB843" s="145">
        <v>1.9</v>
      </c>
      <c r="AC843" s="145">
        <v>23.658000000000001</v>
      </c>
      <c r="AD843" s="145">
        <v>70.58</v>
      </c>
      <c r="AE843" s="145">
        <v>253</v>
      </c>
      <c r="AF843" s="145">
        <v>0.4</v>
      </c>
      <c r="AG843" s="145">
        <v>0.51</v>
      </c>
      <c r="AH843" s="145">
        <v>0.21</v>
      </c>
      <c r="AI843" s="145">
        <v>333</v>
      </c>
      <c r="AJ843" s="145">
        <v>36.1</v>
      </c>
      <c r="AK843" s="145">
        <v>9442.4169999999995</v>
      </c>
      <c r="AL843" s="145" t="s">
        <v>400</v>
      </c>
      <c r="AM843" s="145" t="s">
        <v>400</v>
      </c>
    </row>
    <row r="844" spans="1:39">
      <c r="A844" s="143" t="s">
        <v>1904</v>
      </c>
      <c r="B844" s="144">
        <v>100</v>
      </c>
      <c r="C844" s="145">
        <v>191</v>
      </c>
      <c r="D844" s="145">
        <v>29.08</v>
      </c>
      <c r="E844" s="145">
        <v>5.26</v>
      </c>
      <c r="F844" s="145">
        <v>1.696</v>
      </c>
      <c r="G844" s="145">
        <v>0.64700000000000002</v>
      </c>
      <c r="H844" s="145">
        <v>0.63900000000000001</v>
      </c>
      <c r="I844" s="145" t="s">
        <v>400</v>
      </c>
      <c r="J844" s="145" t="s">
        <v>400</v>
      </c>
      <c r="K844" s="145">
        <v>396</v>
      </c>
      <c r="L844" s="145">
        <v>5.13</v>
      </c>
      <c r="M844" s="145" t="s">
        <v>400</v>
      </c>
      <c r="N844" s="145">
        <v>6</v>
      </c>
      <c r="O844" s="145">
        <v>21</v>
      </c>
      <c r="P844" s="145">
        <v>0.35599999999999998</v>
      </c>
      <c r="Q844" s="145">
        <v>497</v>
      </c>
      <c r="R844" s="145">
        <v>6.54</v>
      </c>
      <c r="S844" s="145">
        <v>79</v>
      </c>
      <c r="T844" s="145">
        <v>352</v>
      </c>
      <c r="U844" s="145">
        <v>14.282999999999999</v>
      </c>
      <c r="V844" s="145">
        <v>5.3</v>
      </c>
      <c r="W844" s="145">
        <v>9428</v>
      </c>
      <c r="X844" s="145">
        <v>0.19400000000000001</v>
      </c>
      <c r="Y844" s="145">
        <v>3.4249999999999998</v>
      </c>
      <c r="Z844" s="146">
        <v>1.0169999999999999</v>
      </c>
      <c r="AA844" s="145">
        <v>17.524999999999999</v>
      </c>
      <c r="AB844" s="145">
        <v>1.9</v>
      </c>
      <c r="AC844" s="145">
        <v>23.658000000000001</v>
      </c>
      <c r="AD844" s="145">
        <v>70.58</v>
      </c>
      <c r="AE844" s="145">
        <v>253</v>
      </c>
      <c r="AF844" s="145">
        <v>0.4</v>
      </c>
      <c r="AG844" s="145">
        <v>0.51</v>
      </c>
      <c r="AH844" s="145">
        <v>0.21</v>
      </c>
      <c r="AI844" s="145">
        <v>333</v>
      </c>
      <c r="AJ844" s="145">
        <v>36.1</v>
      </c>
      <c r="AK844" s="145">
        <v>9442.4169999999995</v>
      </c>
      <c r="AL844" s="145" t="s">
        <v>400</v>
      </c>
      <c r="AM844" s="145" t="s">
        <v>400</v>
      </c>
    </row>
    <row r="845" spans="1:39">
      <c r="A845" s="143" t="s">
        <v>1905</v>
      </c>
      <c r="B845" s="144">
        <v>100</v>
      </c>
      <c r="C845" s="145">
        <v>191</v>
      </c>
      <c r="D845" s="145">
        <v>29.08</v>
      </c>
      <c r="E845" s="145">
        <v>5.26</v>
      </c>
      <c r="F845" s="145">
        <v>1.696</v>
      </c>
      <c r="G845" s="145">
        <v>0.64700000000000002</v>
      </c>
      <c r="H845" s="145">
        <v>0.63900000000000001</v>
      </c>
      <c r="I845" s="145" t="s">
        <v>400</v>
      </c>
      <c r="J845" s="145" t="s">
        <v>400</v>
      </c>
      <c r="K845" s="145">
        <v>396</v>
      </c>
      <c r="L845" s="145">
        <v>5.13</v>
      </c>
      <c r="M845" s="145" t="s">
        <v>400</v>
      </c>
      <c r="N845" s="145">
        <v>6</v>
      </c>
      <c r="O845" s="145">
        <v>21</v>
      </c>
      <c r="P845" s="145">
        <v>0.35599999999999998</v>
      </c>
      <c r="Q845" s="145">
        <v>497</v>
      </c>
      <c r="R845" s="145">
        <v>6.54</v>
      </c>
      <c r="S845" s="145">
        <v>79</v>
      </c>
      <c r="T845" s="145">
        <v>352</v>
      </c>
      <c r="U845" s="145">
        <v>14.282999999999999</v>
      </c>
      <c r="V845" s="145">
        <v>5.3</v>
      </c>
      <c r="W845" s="145">
        <v>9428</v>
      </c>
      <c r="X845" s="145">
        <v>0.19400000000000001</v>
      </c>
      <c r="Y845" s="145">
        <v>3.4249999999999998</v>
      </c>
      <c r="Z845" s="146">
        <v>1.0169999999999999</v>
      </c>
      <c r="AA845" s="145">
        <v>17.524999999999999</v>
      </c>
      <c r="AB845" s="145">
        <v>1.9</v>
      </c>
      <c r="AC845" s="145">
        <v>23.658000000000001</v>
      </c>
      <c r="AD845" s="145">
        <v>70.58</v>
      </c>
      <c r="AE845" s="145">
        <v>253</v>
      </c>
      <c r="AF845" s="145">
        <v>0.4</v>
      </c>
      <c r="AG845" s="145">
        <v>0.51</v>
      </c>
      <c r="AH845" s="145">
        <v>0.21</v>
      </c>
      <c r="AI845" s="145">
        <v>333</v>
      </c>
      <c r="AJ845" s="145">
        <v>36.1</v>
      </c>
      <c r="AK845" s="145">
        <v>9442.4169999999995</v>
      </c>
      <c r="AL845" s="145" t="s">
        <v>400</v>
      </c>
      <c r="AM845" s="145" t="s">
        <v>400</v>
      </c>
    </row>
    <row r="846" spans="1:39">
      <c r="A846" s="143" t="s">
        <v>1906</v>
      </c>
      <c r="B846" s="144">
        <v>100</v>
      </c>
      <c r="C846" s="145">
        <v>213.65899999999999</v>
      </c>
      <c r="D846" s="145">
        <v>29.08</v>
      </c>
      <c r="E846" s="145">
        <v>7.8230000000000004</v>
      </c>
      <c r="F846" s="145">
        <v>2.097</v>
      </c>
      <c r="G846" s="145">
        <v>1.2310000000000001</v>
      </c>
      <c r="H846" s="145">
        <v>2.1190000000000002</v>
      </c>
      <c r="I846" s="145">
        <v>1.306</v>
      </c>
      <c r="J846" s="145">
        <v>0.17399999999999999</v>
      </c>
      <c r="K846" s="145">
        <v>396</v>
      </c>
      <c r="L846" s="145">
        <v>5.13</v>
      </c>
      <c r="M846" s="145" t="s">
        <v>400</v>
      </c>
      <c r="N846" s="145">
        <v>6</v>
      </c>
      <c r="O846" s="145">
        <v>21</v>
      </c>
      <c r="P846" s="145">
        <v>0.35599999999999998</v>
      </c>
      <c r="Q846" s="145">
        <v>497</v>
      </c>
      <c r="R846" s="145">
        <v>6.5410000000000004</v>
      </c>
      <c r="S846" s="145">
        <v>79</v>
      </c>
      <c r="T846" s="145">
        <v>352</v>
      </c>
      <c r="U846" s="145">
        <v>14.282999999999999</v>
      </c>
      <c r="V846" s="145">
        <v>5.3</v>
      </c>
      <c r="W846" s="145">
        <v>9428</v>
      </c>
      <c r="X846" s="145">
        <v>0.19400000000000001</v>
      </c>
      <c r="Y846" s="145">
        <v>3.4249999999999998</v>
      </c>
      <c r="Z846" s="146">
        <v>1.0169999999999999</v>
      </c>
      <c r="AA846" s="145">
        <v>17.524999999999999</v>
      </c>
      <c r="AB846" s="145">
        <v>1.9</v>
      </c>
      <c r="AC846" s="145">
        <v>23.658000000000001</v>
      </c>
      <c r="AD846" s="145">
        <v>70.58</v>
      </c>
      <c r="AE846" s="145">
        <v>253</v>
      </c>
      <c r="AF846" s="145">
        <v>0.4</v>
      </c>
      <c r="AG846" s="145">
        <v>0.72</v>
      </c>
      <c r="AH846" s="145">
        <v>0.224</v>
      </c>
      <c r="AI846" s="145">
        <v>333</v>
      </c>
      <c r="AJ846" s="145">
        <v>37.274999999999999</v>
      </c>
      <c r="AK846" s="145">
        <v>9442.4169999999995</v>
      </c>
      <c r="AL846" s="145" t="s">
        <v>400</v>
      </c>
      <c r="AM846" s="145" t="s">
        <v>400</v>
      </c>
    </row>
    <row r="847" spans="1:39">
      <c r="A847" s="143" t="s">
        <v>1907</v>
      </c>
      <c r="B847" s="144">
        <v>100</v>
      </c>
      <c r="C847" s="145">
        <v>229.83699999999999</v>
      </c>
      <c r="D847" s="145">
        <v>29.539000000000001</v>
      </c>
      <c r="E847" s="145">
        <v>7.867</v>
      </c>
      <c r="F847" s="145">
        <v>2.1040000000000001</v>
      </c>
      <c r="G847" s="145">
        <v>1.2350000000000001</v>
      </c>
      <c r="H847" s="145">
        <v>2.137</v>
      </c>
      <c r="I847" s="145">
        <v>1.323</v>
      </c>
      <c r="J847" s="145">
        <v>0.17499999999999999</v>
      </c>
      <c r="K847" s="145">
        <v>396</v>
      </c>
      <c r="L847" s="145">
        <v>8.5220000000000002</v>
      </c>
      <c r="M847" s="145">
        <v>0.13500000000000001</v>
      </c>
      <c r="N847" s="145">
        <v>6.6669999999999998</v>
      </c>
      <c r="O847" s="145">
        <v>21.978000000000002</v>
      </c>
      <c r="P847" s="145">
        <v>0.38600000000000001</v>
      </c>
      <c r="Q847" s="145">
        <v>501.8</v>
      </c>
      <c r="R847" s="145">
        <v>6.7480000000000002</v>
      </c>
      <c r="S847" s="145">
        <v>79.088999999999999</v>
      </c>
      <c r="T847" s="145">
        <v>356.75599999999997</v>
      </c>
      <c r="U847" s="145">
        <v>14.289</v>
      </c>
      <c r="V847" s="145">
        <v>5.3310000000000004</v>
      </c>
      <c r="W847" s="145">
        <v>9428</v>
      </c>
      <c r="X847" s="145">
        <v>0.22900000000000001</v>
      </c>
      <c r="Y847" s="145">
        <v>3.4470000000000001</v>
      </c>
      <c r="Z847" s="146">
        <v>1.0189999999999999</v>
      </c>
      <c r="AA847" s="145">
        <v>17.786999999999999</v>
      </c>
      <c r="AB847" s="145">
        <v>1.9</v>
      </c>
      <c r="AC847" s="145">
        <v>24.015000000000001</v>
      </c>
      <c r="AD847" s="145">
        <v>70.58</v>
      </c>
      <c r="AE847" s="145">
        <v>262.06700000000001</v>
      </c>
      <c r="AF847" s="145">
        <v>0.4</v>
      </c>
      <c r="AG847" s="145">
        <v>0.72199999999999998</v>
      </c>
      <c r="AH847" s="145">
        <v>0.224</v>
      </c>
      <c r="AI847" s="145">
        <v>333</v>
      </c>
      <c r="AJ847" s="145">
        <v>38.780999999999999</v>
      </c>
      <c r="AK847" s="145">
        <v>9442.4169999999995</v>
      </c>
      <c r="AL847" s="145">
        <v>1.4E-2</v>
      </c>
      <c r="AM847" s="145" t="s">
        <v>400</v>
      </c>
    </row>
    <row r="848" spans="1:39">
      <c r="A848" s="143" t="s">
        <v>1908</v>
      </c>
      <c r="B848" s="144">
        <v>100</v>
      </c>
      <c r="C848" s="145">
        <v>213.65899999999999</v>
      </c>
      <c r="D848" s="145">
        <v>29.08</v>
      </c>
      <c r="E848" s="145">
        <v>7.8230000000000004</v>
      </c>
      <c r="F848" s="145">
        <v>2.097</v>
      </c>
      <c r="G848" s="145">
        <v>1.2310000000000001</v>
      </c>
      <c r="H848" s="145">
        <v>2.1190000000000002</v>
      </c>
      <c r="I848" s="145">
        <v>1.306</v>
      </c>
      <c r="J848" s="145">
        <v>0.17399999999999999</v>
      </c>
      <c r="K848" s="145">
        <v>396</v>
      </c>
      <c r="L848" s="145">
        <v>5.13</v>
      </c>
      <c r="M848" s="145" t="s">
        <v>400</v>
      </c>
      <c r="N848" s="145">
        <v>6</v>
      </c>
      <c r="O848" s="145">
        <v>21</v>
      </c>
      <c r="P848" s="145">
        <v>0.35599999999999998</v>
      </c>
      <c r="Q848" s="145">
        <v>497</v>
      </c>
      <c r="R848" s="145">
        <v>6.5410000000000004</v>
      </c>
      <c r="S848" s="145">
        <v>79</v>
      </c>
      <c r="T848" s="145">
        <v>352</v>
      </c>
      <c r="U848" s="145">
        <v>14.282999999999999</v>
      </c>
      <c r="V848" s="145">
        <v>5.3</v>
      </c>
      <c r="W848" s="145">
        <v>9428</v>
      </c>
      <c r="X848" s="145">
        <v>0.19400000000000001</v>
      </c>
      <c r="Y848" s="145">
        <v>3.4249999999999998</v>
      </c>
      <c r="Z848" s="146">
        <v>1.0169999999999999</v>
      </c>
      <c r="AA848" s="145">
        <v>17.524999999999999</v>
      </c>
      <c r="AB848" s="145">
        <v>1.9</v>
      </c>
      <c r="AC848" s="145">
        <v>23.658000000000001</v>
      </c>
      <c r="AD848" s="145">
        <v>70.58</v>
      </c>
      <c r="AE848" s="145">
        <v>253</v>
      </c>
      <c r="AF848" s="145">
        <v>0.4</v>
      </c>
      <c r="AG848" s="145">
        <v>0.72</v>
      </c>
      <c r="AH848" s="145">
        <v>0.224</v>
      </c>
      <c r="AI848" s="145">
        <v>333</v>
      </c>
      <c r="AJ848" s="145">
        <v>37.274999999999999</v>
      </c>
      <c r="AK848" s="145">
        <v>9442.4169999999995</v>
      </c>
      <c r="AL848" s="145" t="s">
        <v>400</v>
      </c>
      <c r="AM848" s="145" t="s">
        <v>400</v>
      </c>
    </row>
    <row r="849" spans="1:39">
      <c r="A849" s="143" t="s">
        <v>1909</v>
      </c>
      <c r="B849" s="144">
        <v>100</v>
      </c>
      <c r="C849" s="145">
        <v>157.6</v>
      </c>
      <c r="D849" s="145">
        <v>23.527999999999999</v>
      </c>
      <c r="E849" s="145">
        <v>4.2439999999999998</v>
      </c>
      <c r="F849" s="145">
        <v>1.3620000000000001</v>
      </c>
      <c r="G849" s="145">
        <v>0.52300000000000002</v>
      </c>
      <c r="H849" s="145">
        <v>0.52600000000000002</v>
      </c>
      <c r="I849" s="145">
        <v>1.4E-2</v>
      </c>
      <c r="J849" s="145">
        <v>1E-3</v>
      </c>
      <c r="K849" s="145">
        <v>316.8</v>
      </c>
      <c r="L849" s="145">
        <v>5.18</v>
      </c>
      <c r="M849" s="145">
        <v>0.3</v>
      </c>
      <c r="N849" s="145">
        <v>7.4</v>
      </c>
      <c r="O849" s="145">
        <v>20</v>
      </c>
      <c r="P849" s="145">
        <v>0.30599999999999999</v>
      </c>
      <c r="Q849" s="145">
        <v>402.8</v>
      </c>
      <c r="R849" s="145">
        <v>5.4359999999999999</v>
      </c>
      <c r="S849" s="145">
        <v>168</v>
      </c>
      <c r="T849" s="145">
        <v>347.8</v>
      </c>
      <c r="U849" s="145">
        <v>11.45</v>
      </c>
      <c r="V849" s="145">
        <v>4.28</v>
      </c>
      <c r="W849" s="145">
        <v>7542.4</v>
      </c>
      <c r="X849" s="145">
        <v>0.16</v>
      </c>
      <c r="Y849" s="145">
        <v>2.7530000000000001</v>
      </c>
      <c r="Z849" s="146">
        <v>0.83299999999999996</v>
      </c>
      <c r="AA849" s="145">
        <v>14.215</v>
      </c>
      <c r="AB849" s="145">
        <v>2.92</v>
      </c>
      <c r="AC849" s="145">
        <v>19.155000000000001</v>
      </c>
      <c r="AD849" s="145">
        <v>56.463999999999999</v>
      </c>
      <c r="AE849" s="145">
        <v>204.6</v>
      </c>
      <c r="AF849" s="145">
        <v>0.32</v>
      </c>
      <c r="AG849" s="145">
        <v>0.69199999999999995</v>
      </c>
      <c r="AH849" s="145">
        <v>0.16800000000000001</v>
      </c>
      <c r="AI849" s="145">
        <v>333</v>
      </c>
      <c r="AJ849" s="145">
        <v>28.92</v>
      </c>
      <c r="AK849" s="145">
        <v>7557.4170000000004</v>
      </c>
      <c r="AL849" s="145">
        <v>0.85</v>
      </c>
      <c r="AM849" s="145" t="s">
        <v>400</v>
      </c>
    </row>
    <row r="850" spans="1:39">
      <c r="A850" s="143" t="s">
        <v>1910</v>
      </c>
      <c r="B850" s="144">
        <v>100</v>
      </c>
      <c r="C850" s="145">
        <v>213.65899999999999</v>
      </c>
      <c r="D850" s="145">
        <v>29.08</v>
      </c>
      <c r="E850" s="145">
        <v>7.8230000000000004</v>
      </c>
      <c r="F850" s="145">
        <v>2.097</v>
      </c>
      <c r="G850" s="145">
        <v>1.2310000000000001</v>
      </c>
      <c r="H850" s="145">
        <v>2.1190000000000002</v>
      </c>
      <c r="I850" s="145">
        <v>1.306</v>
      </c>
      <c r="J850" s="145">
        <v>0.17399999999999999</v>
      </c>
      <c r="K850" s="145">
        <v>396</v>
      </c>
      <c r="L850" s="145">
        <v>5.13</v>
      </c>
      <c r="M850" s="145" t="s">
        <v>400</v>
      </c>
      <c r="N850" s="145">
        <v>6</v>
      </c>
      <c r="O850" s="145">
        <v>21</v>
      </c>
      <c r="P850" s="145">
        <v>0.35599999999999998</v>
      </c>
      <c r="Q850" s="145">
        <v>497</v>
      </c>
      <c r="R850" s="145">
        <v>6.5410000000000004</v>
      </c>
      <c r="S850" s="145">
        <v>79</v>
      </c>
      <c r="T850" s="145">
        <v>352</v>
      </c>
      <c r="U850" s="145">
        <v>14.282999999999999</v>
      </c>
      <c r="V850" s="145">
        <v>5.3</v>
      </c>
      <c r="W850" s="145">
        <v>9428</v>
      </c>
      <c r="X850" s="145">
        <v>0.19400000000000001</v>
      </c>
      <c r="Y850" s="145">
        <v>3.4249999999999998</v>
      </c>
      <c r="Z850" s="146">
        <v>1.0169999999999999</v>
      </c>
      <c r="AA850" s="145">
        <v>17.524999999999999</v>
      </c>
      <c r="AB850" s="145">
        <v>1.9</v>
      </c>
      <c r="AC850" s="145">
        <v>23.658000000000001</v>
      </c>
      <c r="AD850" s="145">
        <v>70.58</v>
      </c>
      <c r="AE850" s="145">
        <v>253</v>
      </c>
      <c r="AF850" s="145">
        <v>0.4</v>
      </c>
      <c r="AG850" s="145">
        <v>0.72</v>
      </c>
      <c r="AH850" s="145">
        <v>0.224</v>
      </c>
      <c r="AI850" s="145">
        <v>333</v>
      </c>
      <c r="AJ850" s="145">
        <v>37.274999999999999</v>
      </c>
      <c r="AK850" s="145">
        <v>9442.4169999999995</v>
      </c>
      <c r="AL850" s="145" t="s">
        <v>400</v>
      </c>
      <c r="AM850" s="145" t="s">
        <v>400</v>
      </c>
    </row>
    <row r="851" spans="1:39">
      <c r="A851" s="143" t="s">
        <v>1911</v>
      </c>
      <c r="B851" s="144">
        <v>100</v>
      </c>
      <c r="C851" s="145">
        <v>213.65899999999999</v>
      </c>
      <c r="D851" s="145">
        <v>29.08</v>
      </c>
      <c r="E851" s="145">
        <v>7.8230000000000004</v>
      </c>
      <c r="F851" s="145">
        <v>2.097</v>
      </c>
      <c r="G851" s="145">
        <v>1.2310000000000001</v>
      </c>
      <c r="H851" s="145">
        <v>2.1190000000000002</v>
      </c>
      <c r="I851" s="145">
        <v>1.306</v>
      </c>
      <c r="J851" s="145">
        <v>0.17399999999999999</v>
      </c>
      <c r="K851" s="145">
        <v>396</v>
      </c>
      <c r="L851" s="145">
        <v>5.13</v>
      </c>
      <c r="M851" s="145" t="s">
        <v>400</v>
      </c>
      <c r="N851" s="145">
        <v>6</v>
      </c>
      <c r="O851" s="145">
        <v>21</v>
      </c>
      <c r="P851" s="145">
        <v>0.35599999999999998</v>
      </c>
      <c r="Q851" s="145">
        <v>497</v>
      </c>
      <c r="R851" s="145">
        <v>6.5410000000000004</v>
      </c>
      <c r="S851" s="145">
        <v>79</v>
      </c>
      <c r="T851" s="145">
        <v>352</v>
      </c>
      <c r="U851" s="145">
        <v>14.282999999999999</v>
      </c>
      <c r="V851" s="145">
        <v>5.3</v>
      </c>
      <c r="W851" s="145">
        <v>9428</v>
      </c>
      <c r="X851" s="145">
        <v>0.19400000000000001</v>
      </c>
      <c r="Y851" s="145">
        <v>3.4249999999999998</v>
      </c>
      <c r="Z851" s="146">
        <v>1.0169999999999999</v>
      </c>
      <c r="AA851" s="145">
        <v>17.524999999999999</v>
      </c>
      <c r="AB851" s="145">
        <v>1.9</v>
      </c>
      <c r="AC851" s="145">
        <v>23.658000000000001</v>
      </c>
      <c r="AD851" s="145">
        <v>70.58</v>
      </c>
      <c r="AE851" s="145">
        <v>253</v>
      </c>
      <c r="AF851" s="145">
        <v>0.4</v>
      </c>
      <c r="AG851" s="145">
        <v>0.72</v>
      </c>
      <c r="AH851" s="145">
        <v>0.224</v>
      </c>
      <c r="AI851" s="145">
        <v>333</v>
      </c>
      <c r="AJ851" s="145">
        <v>37.274999999999999</v>
      </c>
      <c r="AK851" s="145">
        <v>9442.4169999999995</v>
      </c>
      <c r="AL851" s="145" t="s">
        <v>400</v>
      </c>
      <c r="AM851" s="145" t="s">
        <v>400</v>
      </c>
    </row>
    <row r="852" spans="1:39">
      <c r="A852" s="143" t="s">
        <v>1912</v>
      </c>
      <c r="B852" s="144">
        <v>100</v>
      </c>
      <c r="C852" s="155">
        <v>330.1002908333333</v>
      </c>
      <c r="D852" s="156">
        <v>28.631250000000001</v>
      </c>
      <c r="E852" s="155">
        <v>23.042666666666666</v>
      </c>
      <c r="F852" s="149">
        <v>5.5</v>
      </c>
      <c r="G852" s="149">
        <v>5.4</v>
      </c>
      <c r="H852" s="149">
        <v>0.2</v>
      </c>
      <c r="I852" s="149">
        <v>0.16</v>
      </c>
      <c r="J852" s="149">
        <v>0.03</v>
      </c>
      <c r="K852" s="155">
        <v>90.8</v>
      </c>
      <c r="L852" s="150" t="s">
        <v>400</v>
      </c>
      <c r="M852" s="156" t="s">
        <v>400</v>
      </c>
      <c r="N852" s="155">
        <v>7.6233333333333322</v>
      </c>
      <c r="O852" s="155">
        <v>18.206666666666667</v>
      </c>
      <c r="P852" s="155" t="s">
        <v>400</v>
      </c>
      <c r="Q852" s="155">
        <v>212.27</v>
      </c>
      <c r="R852" s="155">
        <v>2.7033333333333331</v>
      </c>
      <c r="S852" s="155">
        <v>71.586666666666673</v>
      </c>
      <c r="T852" s="155">
        <v>321.07333333333332</v>
      </c>
      <c r="U852" s="155">
        <v>0.08</v>
      </c>
      <c r="V852" s="155">
        <v>5.2866666666666662</v>
      </c>
      <c r="W852" s="155" t="s">
        <v>400</v>
      </c>
      <c r="X852" s="155" t="s">
        <v>400</v>
      </c>
      <c r="Y852" s="155">
        <v>7.6666666666666675E-2</v>
      </c>
      <c r="Z852" s="157">
        <v>0.14000000000000001</v>
      </c>
      <c r="AA852" s="155">
        <v>2.1633333333333336</v>
      </c>
      <c r="AB852" s="155" t="s">
        <v>400</v>
      </c>
      <c r="AC852" s="145" t="s">
        <v>400</v>
      </c>
      <c r="AD852" s="145" t="s">
        <v>400</v>
      </c>
      <c r="AE852" s="145" t="s">
        <v>400</v>
      </c>
      <c r="AF852" s="145" t="s">
        <v>400</v>
      </c>
      <c r="AG852" s="145" t="s">
        <v>400</v>
      </c>
      <c r="AH852" s="145" t="s">
        <v>400</v>
      </c>
      <c r="AI852" s="145">
        <v>333</v>
      </c>
      <c r="AJ852" s="145" t="s">
        <v>400</v>
      </c>
      <c r="AK852" s="155" t="s">
        <v>400</v>
      </c>
      <c r="AL852" s="145" t="s">
        <v>400</v>
      </c>
      <c r="AM852" s="145" t="s">
        <v>400</v>
      </c>
    </row>
    <row r="853" spans="1:39">
      <c r="A853" s="143" t="s">
        <v>1913</v>
      </c>
      <c r="B853" s="144">
        <v>100</v>
      </c>
      <c r="C853" s="155">
        <v>330.1002908333333</v>
      </c>
      <c r="D853" s="156">
        <v>28.631250000000001</v>
      </c>
      <c r="E853" s="155">
        <v>23.042666666666666</v>
      </c>
      <c r="F853" s="149">
        <v>5.5</v>
      </c>
      <c r="G853" s="149">
        <v>5.4</v>
      </c>
      <c r="H853" s="149">
        <v>0.2</v>
      </c>
      <c r="I853" s="149">
        <v>0.16</v>
      </c>
      <c r="J853" s="149">
        <v>0.03</v>
      </c>
      <c r="K853" s="155">
        <v>90.8</v>
      </c>
      <c r="L853" s="150" t="s">
        <v>400</v>
      </c>
      <c r="M853" s="156" t="s">
        <v>400</v>
      </c>
      <c r="N853" s="155">
        <v>7.6233333333333322</v>
      </c>
      <c r="O853" s="155">
        <v>18.206666666666667</v>
      </c>
      <c r="P853" s="155" t="s">
        <v>400</v>
      </c>
      <c r="Q853" s="155">
        <v>212.27</v>
      </c>
      <c r="R853" s="155">
        <v>2.7033333333333331</v>
      </c>
      <c r="S853" s="155">
        <v>71.586666666666673</v>
      </c>
      <c r="T853" s="155">
        <v>321.07333333333332</v>
      </c>
      <c r="U853" s="155">
        <v>0.08</v>
      </c>
      <c r="V853" s="155">
        <v>5.2866666666666662</v>
      </c>
      <c r="W853" s="155" t="s">
        <v>400</v>
      </c>
      <c r="X853" s="155" t="s">
        <v>400</v>
      </c>
      <c r="Y853" s="155">
        <v>7.6666666666666675E-2</v>
      </c>
      <c r="Z853" s="157">
        <v>0.14000000000000001</v>
      </c>
      <c r="AA853" s="155">
        <v>2.1633333333333336</v>
      </c>
      <c r="AB853" s="155" t="s">
        <v>400</v>
      </c>
      <c r="AC853" s="145" t="s">
        <v>400</v>
      </c>
      <c r="AD853" s="145" t="s">
        <v>400</v>
      </c>
      <c r="AE853" s="145" t="s">
        <v>400</v>
      </c>
      <c r="AF853" s="145" t="s">
        <v>400</v>
      </c>
      <c r="AG853" s="145" t="s">
        <v>400</v>
      </c>
      <c r="AH853" s="145" t="s">
        <v>400</v>
      </c>
      <c r="AI853" s="145">
        <v>333</v>
      </c>
      <c r="AJ853" s="145" t="s">
        <v>400</v>
      </c>
      <c r="AK853" s="155" t="s">
        <v>400</v>
      </c>
      <c r="AL853" s="145" t="s">
        <v>400</v>
      </c>
      <c r="AM853" s="145" t="s">
        <v>400</v>
      </c>
    </row>
    <row r="854" spans="1:39">
      <c r="A854" s="143" t="s">
        <v>1914</v>
      </c>
      <c r="B854" s="144">
        <v>100</v>
      </c>
      <c r="C854" s="145">
        <v>363.0783133833333</v>
      </c>
      <c r="D854" s="145">
        <v>26.913374999999998</v>
      </c>
      <c r="E854" s="145">
        <v>27.631126666666663</v>
      </c>
      <c r="F854" s="145">
        <v>6.1044400000000003</v>
      </c>
      <c r="G854" s="145">
        <v>6.4363799999999998</v>
      </c>
      <c r="H854" s="145">
        <v>3.6356600000000001</v>
      </c>
      <c r="I854" s="145">
        <v>3.1927599999999998</v>
      </c>
      <c r="J854" s="145">
        <v>0.43356</v>
      </c>
      <c r="K854" s="145">
        <v>85.35199999999999</v>
      </c>
      <c r="L854" s="145" t="s">
        <v>400</v>
      </c>
      <c r="M854" s="145" t="s">
        <v>400</v>
      </c>
      <c r="N854" s="145">
        <v>7.1659333333333315</v>
      </c>
      <c r="O854" s="145">
        <v>17.114266666666666</v>
      </c>
      <c r="P854" s="145" t="s">
        <v>400</v>
      </c>
      <c r="Q854" s="145">
        <v>199.53379999999999</v>
      </c>
      <c r="R854" s="145">
        <v>2.5441333333333329</v>
      </c>
      <c r="S854" s="145">
        <v>67.291466666666665</v>
      </c>
      <c r="T854" s="145">
        <v>301.8089333333333</v>
      </c>
      <c r="U854" s="145">
        <v>7.5200000000000003E-2</v>
      </c>
      <c r="V854" s="145">
        <v>4.970066666666666</v>
      </c>
      <c r="W854" s="145" t="s">
        <v>400</v>
      </c>
      <c r="X854" s="145" t="s">
        <v>400</v>
      </c>
      <c r="Y854" s="145">
        <v>7.2066666666666668E-2</v>
      </c>
      <c r="Z854" s="146">
        <v>0.13159999999999999</v>
      </c>
      <c r="AA854" s="145">
        <v>2.0335333333333336</v>
      </c>
      <c r="AB854" s="145" t="s">
        <v>400</v>
      </c>
      <c r="AC854" s="145" t="s">
        <v>400</v>
      </c>
      <c r="AD854" s="145" t="s">
        <v>400</v>
      </c>
      <c r="AE854" s="145" t="s">
        <v>400</v>
      </c>
      <c r="AF854" s="145" t="s">
        <v>400</v>
      </c>
      <c r="AG854" s="145">
        <v>0.48846000000000001</v>
      </c>
      <c r="AH854" s="145">
        <v>3.1800000000000002E-2</v>
      </c>
      <c r="AI854" s="145">
        <v>333</v>
      </c>
      <c r="AJ854" s="145">
        <v>2.7365400000000002</v>
      </c>
      <c r="AK854" s="145" t="s">
        <v>400</v>
      </c>
      <c r="AL854" s="145" t="s">
        <v>400</v>
      </c>
      <c r="AM854" s="145" t="s">
        <v>400</v>
      </c>
    </row>
    <row r="855" spans="1:39">
      <c r="A855" s="143" t="s">
        <v>1915</v>
      </c>
      <c r="B855" s="144">
        <v>100</v>
      </c>
      <c r="C855" s="145">
        <v>284</v>
      </c>
      <c r="D855" s="145">
        <v>19.29</v>
      </c>
      <c r="E855" s="145">
        <v>22.3</v>
      </c>
      <c r="F855" s="145">
        <v>8.125</v>
      </c>
      <c r="G855" s="145">
        <v>10.102</v>
      </c>
      <c r="H855" s="145">
        <v>0.746</v>
      </c>
      <c r="I855" s="145">
        <v>0.52600000000000002</v>
      </c>
      <c r="J855" s="145">
        <v>9.0999999999999998E-2</v>
      </c>
      <c r="K855" s="145">
        <v>132</v>
      </c>
      <c r="L855" s="145" t="s">
        <v>400</v>
      </c>
      <c r="M855" s="145" t="s">
        <v>400</v>
      </c>
      <c r="N855" s="145">
        <v>5</v>
      </c>
      <c r="O855" s="145">
        <v>15</v>
      </c>
      <c r="P855" s="145">
        <v>1.7999999999999999E-2</v>
      </c>
      <c r="Q855" s="145">
        <v>145</v>
      </c>
      <c r="R855" s="145">
        <v>2.61</v>
      </c>
      <c r="S855" s="145">
        <v>65</v>
      </c>
      <c r="T855" s="145">
        <v>184</v>
      </c>
      <c r="U855" s="145">
        <v>0.14799999999999999</v>
      </c>
      <c r="V855" s="145">
        <v>4.09</v>
      </c>
      <c r="W855" s="145" t="s">
        <v>400</v>
      </c>
      <c r="X855" s="145">
        <v>2.1999999999999999E-2</v>
      </c>
      <c r="Y855" s="145">
        <v>0.29399999999999998</v>
      </c>
      <c r="Z855" s="146">
        <v>0.155</v>
      </c>
      <c r="AA855" s="145">
        <v>3.49</v>
      </c>
      <c r="AB855" s="145">
        <v>1.3</v>
      </c>
      <c r="AC855" s="145">
        <v>6.3230000000000004</v>
      </c>
      <c r="AD855" s="145">
        <v>3.13</v>
      </c>
      <c r="AE855" s="145">
        <v>7</v>
      </c>
      <c r="AF855" s="145" t="s">
        <v>400</v>
      </c>
      <c r="AG855" s="145">
        <v>0.3</v>
      </c>
      <c r="AH855" s="145">
        <v>0.84</v>
      </c>
      <c r="AI855" s="145">
        <v>333</v>
      </c>
      <c r="AJ855" s="145">
        <v>13.2</v>
      </c>
      <c r="AK855" s="145" t="s">
        <v>400</v>
      </c>
      <c r="AL855" s="145" t="s">
        <v>400</v>
      </c>
      <c r="AM855" s="145" t="s">
        <v>400</v>
      </c>
    </row>
    <row r="856" spans="1:39">
      <c r="A856" s="143" t="s">
        <v>1916</v>
      </c>
      <c r="B856" s="144">
        <v>100</v>
      </c>
      <c r="C856" s="145">
        <v>284</v>
      </c>
      <c r="D856" s="145">
        <v>19.29</v>
      </c>
      <c r="E856" s="145">
        <v>22.3</v>
      </c>
      <c r="F856" s="145">
        <v>8.125</v>
      </c>
      <c r="G856" s="145">
        <v>10.102</v>
      </c>
      <c r="H856" s="145">
        <v>0.746</v>
      </c>
      <c r="I856" s="145">
        <v>0.52600000000000002</v>
      </c>
      <c r="J856" s="145">
        <v>9.0999999999999998E-2</v>
      </c>
      <c r="K856" s="145">
        <v>132</v>
      </c>
      <c r="L856" s="145" t="s">
        <v>400</v>
      </c>
      <c r="M856" s="145" t="s">
        <v>400</v>
      </c>
      <c r="N856" s="145">
        <v>5</v>
      </c>
      <c r="O856" s="145">
        <v>15</v>
      </c>
      <c r="P856" s="145">
        <v>1.7999999999999999E-2</v>
      </c>
      <c r="Q856" s="145">
        <v>145</v>
      </c>
      <c r="R856" s="145">
        <v>2.61</v>
      </c>
      <c r="S856" s="145">
        <v>65</v>
      </c>
      <c r="T856" s="145">
        <v>184</v>
      </c>
      <c r="U856" s="145">
        <v>0.14799999999999999</v>
      </c>
      <c r="V856" s="145">
        <v>4.09</v>
      </c>
      <c r="W856" s="145" t="s">
        <v>400</v>
      </c>
      <c r="X856" s="145">
        <v>2.1999999999999999E-2</v>
      </c>
      <c r="Y856" s="145">
        <v>0.29399999999999998</v>
      </c>
      <c r="Z856" s="146">
        <v>0.155</v>
      </c>
      <c r="AA856" s="145">
        <v>3.49</v>
      </c>
      <c r="AB856" s="145">
        <v>1.3</v>
      </c>
      <c r="AC856" s="145">
        <v>6.3230000000000004</v>
      </c>
      <c r="AD856" s="145">
        <v>3.13</v>
      </c>
      <c r="AE856" s="145">
        <v>7</v>
      </c>
      <c r="AF856" s="145" t="s">
        <v>400</v>
      </c>
      <c r="AG856" s="145">
        <v>0.3</v>
      </c>
      <c r="AH856" s="145">
        <v>0.84</v>
      </c>
      <c r="AI856" s="145">
        <v>333</v>
      </c>
      <c r="AJ856" s="145">
        <v>13.2</v>
      </c>
      <c r="AK856" s="145" t="s">
        <v>400</v>
      </c>
      <c r="AL856" s="145" t="s">
        <v>400</v>
      </c>
      <c r="AM856" s="145" t="s">
        <v>400</v>
      </c>
    </row>
    <row r="857" spans="1:39">
      <c r="A857" s="143" t="s">
        <v>1917</v>
      </c>
      <c r="B857" s="144">
        <v>100</v>
      </c>
      <c r="C857" s="145">
        <v>284</v>
      </c>
      <c r="D857" s="145">
        <v>19.29</v>
      </c>
      <c r="E857" s="145">
        <v>22.3</v>
      </c>
      <c r="F857" s="145">
        <v>8.125</v>
      </c>
      <c r="G857" s="145">
        <v>10.102</v>
      </c>
      <c r="H857" s="145">
        <v>0.746</v>
      </c>
      <c r="I857" s="145">
        <v>0.52600000000000002</v>
      </c>
      <c r="J857" s="145">
        <v>9.0999999999999998E-2</v>
      </c>
      <c r="K857" s="145">
        <v>132</v>
      </c>
      <c r="L857" s="145" t="s">
        <v>400</v>
      </c>
      <c r="M857" s="145" t="s">
        <v>400</v>
      </c>
      <c r="N857" s="145">
        <v>5</v>
      </c>
      <c r="O857" s="145">
        <v>15</v>
      </c>
      <c r="P857" s="145">
        <v>1.7999999999999999E-2</v>
      </c>
      <c r="Q857" s="145">
        <v>145</v>
      </c>
      <c r="R857" s="145">
        <v>2.61</v>
      </c>
      <c r="S857" s="145">
        <v>65</v>
      </c>
      <c r="T857" s="145">
        <v>184</v>
      </c>
      <c r="U857" s="145">
        <v>0.14799999999999999</v>
      </c>
      <c r="V857" s="145">
        <v>4.09</v>
      </c>
      <c r="W857" s="145" t="s">
        <v>400</v>
      </c>
      <c r="X857" s="145">
        <v>2.1999999999999999E-2</v>
      </c>
      <c r="Y857" s="145">
        <v>0.29399999999999998</v>
      </c>
      <c r="Z857" s="146">
        <v>0.155</v>
      </c>
      <c r="AA857" s="145">
        <v>3.49</v>
      </c>
      <c r="AB857" s="145">
        <v>1.3</v>
      </c>
      <c r="AC857" s="145">
        <v>6.3230000000000004</v>
      </c>
      <c r="AD857" s="145">
        <v>3.13</v>
      </c>
      <c r="AE857" s="145">
        <v>7</v>
      </c>
      <c r="AF857" s="145" t="s">
        <v>400</v>
      </c>
      <c r="AG857" s="145">
        <v>0.3</v>
      </c>
      <c r="AH857" s="145">
        <v>0.84</v>
      </c>
      <c r="AI857" s="145">
        <v>333</v>
      </c>
      <c r="AJ857" s="145">
        <v>13.2</v>
      </c>
      <c r="AK857" s="145" t="s">
        <v>400</v>
      </c>
      <c r="AL857" s="145" t="s">
        <v>400</v>
      </c>
      <c r="AM857" s="145" t="s">
        <v>400</v>
      </c>
    </row>
    <row r="858" spans="1:39">
      <c r="A858" s="143" t="s">
        <v>1918</v>
      </c>
      <c r="B858" s="144">
        <v>100</v>
      </c>
      <c r="C858" s="145">
        <v>306.65899999999999</v>
      </c>
      <c r="D858" s="145">
        <v>19.29</v>
      </c>
      <c r="E858" s="145">
        <v>24.863</v>
      </c>
      <c r="F858" s="145">
        <v>8.5259999999999998</v>
      </c>
      <c r="G858" s="145">
        <v>10.686</v>
      </c>
      <c r="H858" s="145">
        <v>2.226</v>
      </c>
      <c r="I858" s="145">
        <v>1.8320000000000001</v>
      </c>
      <c r="J858" s="145">
        <v>0.26500000000000001</v>
      </c>
      <c r="K858" s="145">
        <v>132</v>
      </c>
      <c r="L858" s="145" t="s">
        <v>400</v>
      </c>
      <c r="M858" s="145" t="s">
        <v>400</v>
      </c>
      <c r="N858" s="145">
        <v>5</v>
      </c>
      <c r="O858" s="145">
        <v>15</v>
      </c>
      <c r="P858" s="145">
        <v>1.7999999999999999E-2</v>
      </c>
      <c r="Q858" s="145">
        <v>145</v>
      </c>
      <c r="R858" s="145">
        <v>2.6110000000000002</v>
      </c>
      <c r="S858" s="145">
        <v>65</v>
      </c>
      <c r="T858" s="145">
        <v>184</v>
      </c>
      <c r="U858" s="145">
        <v>0.14799999999999999</v>
      </c>
      <c r="V858" s="145">
        <v>4.09</v>
      </c>
      <c r="W858" s="145" t="s">
        <v>400</v>
      </c>
      <c r="X858" s="145">
        <v>2.1999999999999999E-2</v>
      </c>
      <c r="Y858" s="145">
        <v>0.29399999999999998</v>
      </c>
      <c r="Z858" s="146">
        <v>0.155</v>
      </c>
      <c r="AA858" s="145">
        <v>3.49</v>
      </c>
      <c r="AB858" s="145">
        <v>1.3</v>
      </c>
      <c r="AC858" s="145">
        <v>6.3230000000000004</v>
      </c>
      <c r="AD858" s="145">
        <v>3.13</v>
      </c>
      <c r="AE858" s="145">
        <v>7</v>
      </c>
      <c r="AF858" s="145" t="s">
        <v>400</v>
      </c>
      <c r="AG858" s="145">
        <v>0.51</v>
      </c>
      <c r="AH858" s="145">
        <v>0.85399999999999998</v>
      </c>
      <c r="AI858" s="145">
        <v>333</v>
      </c>
      <c r="AJ858" s="145">
        <v>14.375</v>
      </c>
      <c r="AK858" s="145" t="s">
        <v>400</v>
      </c>
      <c r="AL858" s="145" t="s">
        <v>400</v>
      </c>
      <c r="AM858" s="145" t="s">
        <v>400</v>
      </c>
    </row>
    <row r="859" spans="1:39">
      <c r="A859" s="143" t="s">
        <v>1919</v>
      </c>
      <c r="B859" s="144">
        <v>100</v>
      </c>
      <c r="C859" s="145">
        <v>232</v>
      </c>
      <c r="D859" s="145">
        <v>15.696</v>
      </c>
      <c r="E859" s="145">
        <v>17.876000000000001</v>
      </c>
      <c r="F859" s="145">
        <v>6.5049999999999999</v>
      </c>
      <c r="G859" s="145">
        <v>8.0869999999999997</v>
      </c>
      <c r="H859" s="145">
        <v>0.61099999999999999</v>
      </c>
      <c r="I859" s="145">
        <v>0.435</v>
      </c>
      <c r="J859" s="145">
        <v>7.2999999999999995E-2</v>
      </c>
      <c r="K859" s="145">
        <v>105.6</v>
      </c>
      <c r="L859" s="145">
        <v>1.0760000000000001</v>
      </c>
      <c r="M859" s="145">
        <v>0.3</v>
      </c>
      <c r="N859" s="145">
        <v>6.6</v>
      </c>
      <c r="O859" s="145">
        <v>15.2</v>
      </c>
      <c r="P859" s="145">
        <v>3.5999999999999997E-2</v>
      </c>
      <c r="Q859" s="145">
        <v>121.2</v>
      </c>
      <c r="R859" s="145">
        <v>2.2919999999999998</v>
      </c>
      <c r="S859" s="145">
        <v>156.80000000000001</v>
      </c>
      <c r="T859" s="145">
        <v>213.4</v>
      </c>
      <c r="U859" s="145">
        <v>0.14199999999999999</v>
      </c>
      <c r="V859" s="145">
        <v>3.3119999999999998</v>
      </c>
      <c r="W859" s="145" t="s">
        <v>400</v>
      </c>
      <c r="X859" s="145">
        <v>2.1999999999999999E-2</v>
      </c>
      <c r="Y859" s="145">
        <v>0.248</v>
      </c>
      <c r="Z859" s="146">
        <v>0.14299999999999999</v>
      </c>
      <c r="AA859" s="145">
        <v>2.9870000000000001</v>
      </c>
      <c r="AB859" s="145">
        <v>2.44</v>
      </c>
      <c r="AC859" s="145">
        <v>5.2869999999999999</v>
      </c>
      <c r="AD859" s="145">
        <v>2.504</v>
      </c>
      <c r="AE859" s="145">
        <v>7.8</v>
      </c>
      <c r="AF859" s="145" t="s">
        <v>400</v>
      </c>
      <c r="AG859" s="145">
        <v>0.52400000000000002</v>
      </c>
      <c r="AH859" s="145">
        <v>0.67200000000000004</v>
      </c>
      <c r="AI859" s="145">
        <v>333</v>
      </c>
      <c r="AJ859" s="145">
        <v>10.6</v>
      </c>
      <c r="AK859" s="145">
        <v>3.4830000000000001</v>
      </c>
      <c r="AL859" s="145">
        <v>0.85</v>
      </c>
      <c r="AM859" s="145" t="s">
        <v>400</v>
      </c>
    </row>
    <row r="860" spans="1:39">
      <c r="A860" s="143" t="s">
        <v>1920</v>
      </c>
      <c r="B860" s="144">
        <v>100</v>
      </c>
      <c r="C860" s="145">
        <v>306.65899999999999</v>
      </c>
      <c r="D860" s="145">
        <v>19.29</v>
      </c>
      <c r="E860" s="145">
        <v>24.863</v>
      </c>
      <c r="F860" s="145">
        <v>8.5259999999999998</v>
      </c>
      <c r="G860" s="145">
        <v>10.686</v>
      </c>
      <c r="H860" s="145">
        <v>2.226</v>
      </c>
      <c r="I860" s="145">
        <v>1.8320000000000001</v>
      </c>
      <c r="J860" s="145">
        <v>0.26500000000000001</v>
      </c>
      <c r="K860" s="145">
        <v>132</v>
      </c>
      <c r="L860" s="145" t="s">
        <v>400</v>
      </c>
      <c r="M860" s="145" t="s">
        <v>400</v>
      </c>
      <c r="N860" s="145">
        <v>5</v>
      </c>
      <c r="O860" s="145">
        <v>15</v>
      </c>
      <c r="P860" s="145">
        <v>1.7999999999999999E-2</v>
      </c>
      <c r="Q860" s="145">
        <v>145</v>
      </c>
      <c r="R860" s="145">
        <v>2.6110000000000002</v>
      </c>
      <c r="S860" s="145">
        <v>65</v>
      </c>
      <c r="T860" s="145">
        <v>184</v>
      </c>
      <c r="U860" s="145">
        <v>0.14799999999999999</v>
      </c>
      <c r="V860" s="145">
        <v>4.09</v>
      </c>
      <c r="W860" s="145" t="s">
        <v>400</v>
      </c>
      <c r="X860" s="145">
        <v>2.1999999999999999E-2</v>
      </c>
      <c r="Y860" s="145">
        <v>0.29399999999999998</v>
      </c>
      <c r="Z860" s="146">
        <v>0.155</v>
      </c>
      <c r="AA860" s="145">
        <v>3.49</v>
      </c>
      <c r="AB860" s="145">
        <v>1.3</v>
      </c>
      <c r="AC860" s="145">
        <v>6.3230000000000004</v>
      </c>
      <c r="AD860" s="145">
        <v>3.13</v>
      </c>
      <c r="AE860" s="145">
        <v>7</v>
      </c>
      <c r="AF860" s="145" t="s">
        <v>400</v>
      </c>
      <c r="AG860" s="145">
        <v>0.51</v>
      </c>
      <c r="AH860" s="145">
        <v>0.85399999999999998</v>
      </c>
      <c r="AI860" s="145">
        <v>333</v>
      </c>
      <c r="AJ860" s="145">
        <v>14.375</v>
      </c>
      <c r="AK860" s="145" t="s">
        <v>400</v>
      </c>
      <c r="AL860" s="145" t="s">
        <v>400</v>
      </c>
      <c r="AM860" s="145" t="s">
        <v>400</v>
      </c>
    </row>
    <row r="861" spans="1:39">
      <c r="A861" s="143" t="s">
        <v>1921</v>
      </c>
      <c r="B861" s="144">
        <v>100</v>
      </c>
      <c r="C861" s="145">
        <v>365</v>
      </c>
      <c r="D861" s="145">
        <v>22.6</v>
      </c>
      <c r="E861" s="145">
        <v>29.79</v>
      </c>
      <c r="F861" s="145">
        <v>12.01</v>
      </c>
      <c r="G861" s="145">
        <v>12.8</v>
      </c>
      <c r="H861" s="145">
        <v>1.05</v>
      </c>
      <c r="I861" s="145">
        <v>0.7</v>
      </c>
      <c r="J861" s="145">
        <v>0.33</v>
      </c>
      <c r="K861" s="145">
        <v>84</v>
      </c>
      <c r="L861" s="145" t="s">
        <v>400</v>
      </c>
      <c r="M861" s="145" t="s">
        <v>400</v>
      </c>
      <c r="N861" s="145">
        <v>11.206</v>
      </c>
      <c r="O861" s="145">
        <v>20.009</v>
      </c>
      <c r="P861" s="145">
        <v>1.4E-2</v>
      </c>
      <c r="Q861" s="145">
        <v>176</v>
      </c>
      <c r="R861" s="145">
        <v>2.3530000000000002</v>
      </c>
      <c r="S861" s="145">
        <v>396.673</v>
      </c>
      <c r="T861" s="145">
        <v>302.06900000000002</v>
      </c>
      <c r="U861" s="145">
        <v>8.4000000000000005E-2</v>
      </c>
      <c r="V861" s="145">
        <v>5.4009999999999998</v>
      </c>
      <c r="W861" s="145" t="s">
        <v>400</v>
      </c>
      <c r="X861" s="145">
        <v>7.0000000000000007E-2</v>
      </c>
      <c r="Y861" s="145">
        <v>0.17</v>
      </c>
      <c r="Z861" s="146">
        <v>0.23</v>
      </c>
      <c r="AA861" s="145">
        <v>3.43</v>
      </c>
      <c r="AB861" s="145" t="s">
        <v>400</v>
      </c>
      <c r="AC861" s="145">
        <v>7.6470000000000002</v>
      </c>
      <c r="AD861" s="145">
        <v>2.5499999999999998</v>
      </c>
      <c r="AE861" s="145">
        <v>7</v>
      </c>
      <c r="AF861" s="145">
        <v>0.6</v>
      </c>
      <c r="AG861" s="145">
        <v>0.24</v>
      </c>
      <c r="AH861" s="145">
        <v>1.35</v>
      </c>
      <c r="AI861" s="145">
        <v>333</v>
      </c>
      <c r="AJ861" s="145">
        <v>22.401</v>
      </c>
      <c r="AK861" s="145" t="s">
        <v>400</v>
      </c>
      <c r="AL861" s="145" t="s">
        <v>400</v>
      </c>
      <c r="AM861" s="145" t="s">
        <v>400</v>
      </c>
    </row>
    <row r="862" spans="1:39">
      <c r="A862" s="143" t="s">
        <v>1922</v>
      </c>
      <c r="B862" s="144">
        <v>100</v>
      </c>
      <c r="C862" s="145">
        <v>214</v>
      </c>
      <c r="D862" s="145">
        <v>28.81</v>
      </c>
      <c r="E862" s="145">
        <v>10.130000000000001</v>
      </c>
      <c r="F862" s="145">
        <v>3.54</v>
      </c>
      <c r="G862" s="145">
        <v>4.49</v>
      </c>
      <c r="H862" s="145">
        <v>0.85</v>
      </c>
      <c r="I862" s="145">
        <v>0.73</v>
      </c>
      <c r="J862" s="145">
        <v>0.02</v>
      </c>
      <c r="K862" s="145">
        <v>83</v>
      </c>
      <c r="L862" s="145" t="s">
        <v>400</v>
      </c>
      <c r="M862" s="145" t="s">
        <v>400</v>
      </c>
      <c r="N862" s="145">
        <v>6</v>
      </c>
      <c r="O862" s="145">
        <v>24</v>
      </c>
      <c r="P862" s="145">
        <v>1.0999999999999999E-2</v>
      </c>
      <c r="Q862" s="145">
        <v>222</v>
      </c>
      <c r="R862" s="145">
        <v>1</v>
      </c>
      <c r="S862" s="145">
        <v>50</v>
      </c>
      <c r="T862" s="145">
        <v>363</v>
      </c>
      <c r="U862" s="145">
        <v>1.2E-2</v>
      </c>
      <c r="V862" s="145">
        <v>2.83</v>
      </c>
      <c r="W862" s="145">
        <v>2</v>
      </c>
      <c r="X862" s="145">
        <v>0.63900000000000001</v>
      </c>
      <c r="Y862" s="145">
        <v>0.312</v>
      </c>
      <c r="Z862" s="146">
        <v>0.4</v>
      </c>
      <c r="AA862" s="145">
        <v>5.3550000000000004</v>
      </c>
      <c r="AB862" s="145">
        <v>0.4</v>
      </c>
      <c r="AC862" s="145">
        <v>11.455</v>
      </c>
      <c r="AD862" s="145">
        <v>0.55000000000000004</v>
      </c>
      <c r="AE862" s="145">
        <v>9</v>
      </c>
      <c r="AF862" s="145">
        <v>0.8</v>
      </c>
      <c r="AG862" s="145">
        <v>0.32</v>
      </c>
      <c r="AH862" s="145">
        <v>0.03</v>
      </c>
      <c r="AI862" s="145">
        <v>333</v>
      </c>
      <c r="AJ862" s="145">
        <v>43.2</v>
      </c>
      <c r="AK862" s="145">
        <v>2</v>
      </c>
      <c r="AL862" s="145" t="s">
        <v>400</v>
      </c>
      <c r="AM862" s="145" t="s">
        <v>400</v>
      </c>
    </row>
    <row r="863" spans="1:39">
      <c r="A863" s="143" t="s">
        <v>1923</v>
      </c>
      <c r="B863" s="144">
        <v>100</v>
      </c>
      <c r="C863" s="145">
        <v>214</v>
      </c>
      <c r="D863" s="145">
        <v>28.81</v>
      </c>
      <c r="E863" s="145">
        <v>10.130000000000001</v>
      </c>
      <c r="F863" s="145">
        <v>3.54</v>
      </c>
      <c r="G863" s="145">
        <v>4.49</v>
      </c>
      <c r="H863" s="145">
        <v>0.85</v>
      </c>
      <c r="I863" s="145">
        <v>0.73</v>
      </c>
      <c r="J863" s="145">
        <v>0.02</v>
      </c>
      <c r="K863" s="145">
        <v>83</v>
      </c>
      <c r="L863" s="145" t="s">
        <v>400</v>
      </c>
      <c r="M863" s="145" t="s">
        <v>400</v>
      </c>
      <c r="N863" s="145">
        <v>6</v>
      </c>
      <c r="O863" s="145">
        <v>24</v>
      </c>
      <c r="P863" s="145">
        <v>1.0999999999999999E-2</v>
      </c>
      <c r="Q863" s="145">
        <v>222</v>
      </c>
      <c r="R863" s="145">
        <v>1</v>
      </c>
      <c r="S863" s="145">
        <v>50</v>
      </c>
      <c r="T863" s="145">
        <v>363</v>
      </c>
      <c r="U863" s="145">
        <v>1.2E-2</v>
      </c>
      <c r="V863" s="145">
        <v>2.83</v>
      </c>
      <c r="W863" s="145">
        <v>2</v>
      </c>
      <c r="X863" s="145">
        <v>0.63900000000000001</v>
      </c>
      <c r="Y863" s="145">
        <v>0.312</v>
      </c>
      <c r="Z863" s="146">
        <v>0.4</v>
      </c>
      <c r="AA863" s="145">
        <v>5.3550000000000004</v>
      </c>
      <c r="AB863" s="145">
        <v>0.4</v>
      </c>
      <c r="AC863" s="145">
        <v>11.455</v>
      </c>
      <c r="AD863" s="145">
        <v>0.55000000000000004</v>
      </c>
      <c r="AE863" s="145">
        <v>9</v>
      </c>
      <c r="AF863" s="145">
        <v>0.8</v>
      </c>
      <c r="AG863" s="145">
        <v>0.32</v>
      </c>
      <c r="AH863" s="145">
        <v>0.03</v>
      </c>
      <c r="AI863" s="145">
        <v>333</v>
      </c>
      <c r="AJ863" s="145">
        <v>43.2</v>
      </c>
      <c r="AK863" s="145">
        <v>2</v>
      </c>
      <c r="AL863" s="145" t="s">
        <v>400</v>
      </c>
      <c r="AM863" s="145" t="s">
        <v>400</v>
      </c>
    </row>
    <row r="864" spans="1:39">
      <c r="A864" s="143" t="s">
        <v>1924</v>
      </c>
      <c r="B864" s="144">
        <v>100</v>
      </c>
      <c r="C864" s="145">
        <v>63.941000000000003</v>
      </c>
      <c r="D864" s="145">
        <v>3.8119999999999998</v>
      </c>
      <c r="E864" s="145">
        <v>1.8069999999999999</v>
      </c>
      <c r="F864" s="145">
        <v>0.67700000000000005</v>
      </c>
      <c r="G864" s="145">
        <v>0.79200000000000004</v>
      </c>
      <c r="H864" s="145">
        <v>9.4E-2</v>
      </c>
      <c r="I864" s="145">
        <v>7.1999999999999995E-2</v>
      </c>
      <c r="J864" s="145">
        <v>1.9E-2</v>
      </c>
      <c r="K864" s="145">
        <v>7.86</v>
      </c>
      <c r="L864" s="145">
        <v>7.7320000000000002</v>
      </c>
      <c r="M864" s="145">
        <v>0.39200000000000002</v>
      </c>
      <c r="N864" s="145">
        <v>6.6289999999999996</v>
      </c>
      <c r="O864" s="145">
        <v>7.0270000000000001</v>
      </c>
      <c r="P864" s="145">
        <v>5.1999999999999998E-2</v>
      </c>
      <c r="Q864" s="145">
        <v>39.854999999999997</v>
      </c>
      <c r="R864" s="145">
        <v>0.65200000000000002</v>
      </c>
      <c r="S864" s="145">
        <v>364.00900000000001</v>
      </c>
      <c r="T864" s="145">
        <v>125.684</v>
      </c>
      <c r="U864" s="145">
        <v>4.9000000000000002E-2</v>
      </c>
      <c r="V864" s="145">
        <v>0.68200000000000005</v>
      </c>
      <c r="W864" s="145" t="s">
        <v>400</v>
      </c>
      <c r="X864" s="145">
        <v>4.7E-2</v>
      </c>
      <c r="Y864" s="145">
        <v>6.3E-2</v>
      </c>
      <c r="Z864" s="146">
        <v>6.9000000000000006E-2</v>
      </c>
      <c r="AA864" s="145">
        <v>1.2769999999999999</v>
      </c>
      <c r="AB864" s="145">
        <v>1.5740000000000001</v>
      </c>
      <c r="AC864" s="145">
        <v>1.962</v>
      </c>
      <c r="AD864" s="145">
        <v>0.33900000000000002</v>
      </c>
      <c r="AE864" s="145">
        <v>10.132999999999999</v>
      </c>
      <c r="AF864" s="145">
        <v>8.8999999999999996E-2</v>
      </c>
      <c r="AG864" s="145">
        <v>3.9E-2</v>
      </c>
      <c r="AH864" s="145">
        <v>7.6999999999999999E-2</v>
      </c>
      <c r="AI864" s="145">
        <v>333</v>
      </c>
      <c r="AJ864" s="145">
        <v>4.8079999999999998</v>
      </c>
      <c r="AK864" s="145">
        <v>0.745</v>
      </c>
      <c r="AL864" s="145">
        <v>0.24199999999999999</v>
      </c>
      <c r="AM864" s="145" t="s">
        <v>400</v>
      </c>
    </row>
    <row r="865" spans="1:39">
      <c r="A865" s="143" t="s">
        <v>1925</v>
      </c>
      <c r="B865" s="144">
        <v>100</v>
      </c>
      <c r="C865" s="145">
        <v>214</v>
      </c>
      <c r="D865" s="145">
        <v>28.81</v>
      </c>
      <c r="E865" s="145">
        <v>10.130000000000001</v>
      </c>
      <c r="F865" s="145">
        <v>3.54</v>
      </c>
      <c r="G865" s="145">
        <v>4.49</v>
      </c>
      <c r="H865" s="145">
        <v>0.85</v>
      </c>
      <c r="I865" s="145">
        <v>0.73</v>
      </c>
      <c r="J865" s="145">
        <v>0.02</v>
      </c>
      <c r="K865" s="145">
        <v>83</v>
      </c>
      <c r="L865" s="145" t="s">
        <v>400</v>
      </c>
      <c r="M865" s="145" t="s">
        <v>400</v>
      </c>
      <c r="N865" s="145">
        <v>6</v>
      </c>
      <c r="O865" s="145">
        <v>24</v>
      </c>
      <c r="P865" s="145">
        <v>1.0999999999999999E-2</v>
      </c>
      <c r="Q865" s="145">
        <v>222</v>
      </c>
      <c r="R865" s="145">
        <v>1</v>
      </c>
      <c r="S865" s="145">
        <v>50</v>
      </c>
      <c r="T865" s="145">
        <v>363</v>
      </c>
      <c r="U865" s="145">
        <v>1.2E-2</v>
      </c>
      <c r="V865" s="145">
        <v>2.83</v>
      </c>
      <c r="W865" s="145">
        <v>2</v>
      </c>
      <c r="X865" s="145">
        <v>0.63900000000000001</v>
      </c>
      <c r="Y865" s="145">
        <v>0.312</v>
      </c>
      <c r="Z865" s="146">
        <v>0.4</v>
      </c>
      <c r="AA865" s="145">
        <v>5.3550000000000004</v>
      </c>
      <c r="AB865" s="145">
        <v>0.4</v>
      </c>
      <c r="AC865" s="145">
        <v>11.455</v>
      </c>
      <c r="AD865" s="145">
        <v>0.55000000000000004</v>
      </c>
      <c r="AE865" s="145">
        <v>9</v>
      </c>
      <c r="AF865" s="145">
        <v>0.8</v>
      </c>
      <c r="AG865" s="145">
        <v>0.32</v>
      </c>
      <c r="AH865" s="145">
        <v>0.03</v>
      </c>
      <c r="AI865" s="145">
        <v>333</v>
      </c>
      <c r="AJ865" s="145">
        <v>43.2</v>
      </c>
      <c r="AK865" s="145">
        <v>2</v>
      </c>
      <c r="AL865" s="145" t="s">
        <v>400</v>
      </c>
      <c r="AM865" s="145" t="s">
        <v>400</v>
      </c>
    </row>
    <row r="866" spans="1:39">
      <c r="A866" s="143" t="s">
        <v>1926</v>
      </c>
      <c r="B866" s="144">
        <v>100</v>
      </c>
      <c r="C866" s="145">
        <v>221.65899999999999</v>
      </c>
      <c r="D866" s="145">
        <v>36.119999999999997</v>
      </c>
      <c r="E866" s="145">
        <v>7.5629999999999997</v>
      </c>
      <c r="F866" s="145">
        <v>2.121</v>
      </c>
      <c r="G866" s="145">
        <v>2.5840000000000001</v>
      </c>
      <c r="H866" s="145">
        <v>1.7</v>
      </c>
      <c r="I866" s="145">
        <v>1.476</v>
      </c>
      <c r="J866" s="145">
        <v>0.19400000000000001</v>
      </c>
      <c r="K866" s="145">
        <v>90</v>
      </c>
      <c r="L866" s="145" t="s">
        <v>400</v>
      </c>
      <c r="M866" s="145" t="s">
        <v>400</v>
      </c>
      <c r="N866" s="145">
        <v>4</v>
      </c>
      <c r="O866" s="145">
        <v>26</v>
      </c>
      <c r="P866" s="145">
        <v>1.7999999999999999E-2</v>
      </c>
      <c r="Q866" s="145">
        <v>226</v>
      </c>
      <c r="R866" s="145">
        <v>3.3210000000000002</v>
      </c>
      <c r="S866" s="145">
        <v>45</v>
      </c>
      <c r="T866" s="145">
        <v>334</v>
      </c>
      <c r="U866" s="145">
        <v>0.124</v>
      </c>
      <c r="V866" s="145">
        <v>4.5599999999999996</v>
      </c>
      <c r="W866" s="145" t="s">
        <v>400</v>
      </c>
      <c r="X866" s="145">
        <v>7.0000000000000007E-2</v>
      </c>
      <c r="Y866" s="145">
        <v>0.25</v>
      </c>
      <c r="Z866" s="145">
        <v>0.28000000000000003</v>
      </c>
      <c r="AA866" s="145">
        <v>3.81</v>
      </c>
      <c r="AB866" s="145" t="s">
        <v>400</v>
      </c>
      <c r="AC866" s="145">
        <v>7.76</v>
      </c>
      <c r="AD866" s="145">
        <v>2.7</v>
      </c>
      <c r="AE866" s="145">
        <v>9</v>
      </c>
      <c r="AF866" s="145">
        <v>0.7</v>
      </c>
      <c r="AG866" s="145">
        <v>0.35</v>
      </c>
      <c r="AH866" s="145">
        <v>0.24099999999999999</v>
      </c>
      <c r="AI866" s="145">
        <v>333</v>
      </c>
      <c r="AJ866" s="145">
        <v>34.174999999999997</v>
      </c>
      <c r="AK866" s="145" t="s">
        <v>400</v>
      </c>
      <c r="AL866" s="145" t="s">
        <v>400</v>
      </c>
      <c r="AM866" s="145" t="s">
        <v>400</v>
      </c>
    </row>
    <row r="867" spans="1:39">
      <c r="A867" s="143" t="s">
        <v>1927</v>
      </c>
      <c r="B867" s="144">
        <v>100</v>
      </c>
      <c r="C867" s="145">
        <v>214</v>
      </c>
      <c r="D867" s="145">
        <v>28.81</v>
      </c>
      <c r="E867" s="145">
        <v>10.130000000000001</v>
      </c>
      <c r="F867" s="145">
        <v>3.54</v>
      </c>
      <c r="G867" s="145">
        <v>4.49</v>
      </c>
      <c r="H867" s="145">
        <v>0.85</v>
      </c>
      <c r="I867" s="145">
        <v>0.73</v>
      </c>
      <c r="J867" s="145">
        <v>0.02</v>
      </c>
      <c r="K867" s="145">
        <v>83</v>
      </c>
      <c r="L867" s="145" t="s">
        <v>400</v>
      </c>
      <c r="M867" s="145" t="s">
        <v>400</v>
      </c>
      <c r="N867" s="145">
        <v>6</v>
      </c>
      <c r="O867" s="145">
        <v>24</v>
      </c>
      <c r="P867" s="145">
        <v>1.0999999999999999E-2</v>
      </c>
      <c r="Q867" s="145">
        <v>222</v>
      </c>
      <c r="R867" s="145">
        <v>1</v>
      </c>
      <c r="S867" s="145">
        <v>50</v>
      </c>
      <c r="T867" s="145">
        <v>363</v>
      </c>
      <c r="U867" s="145">
        <v>1.2E-2</v>
      </c>
      <c r="V867" s="145">
        <v>2.83</v>
      </c>
      <c r="W867" s="145">
        <v>2</v>
      </c>
      <c r="X867" s="145">
        <v>0.63900000000000001</v>
      </c>
      <c r="Y867" s="145">
        <v>0.312</v>
      </c>
      <c r="Z867" s="146">
        <v>0.4</v>
      </c>
      <c r="AA867" s="145">
        <v>5.3550000000000004</v>
      </c>
      <c r="AB867" s="145">
        <v>0.4</v>
      </c>
      <c r="AC867" s="145">
        <v>11.455</v>
      </c>
      <c r="AD867" s="145">
        <v>0.55000000000000004</v>
      </c>
      <c r="AE867" s="145">
        <v>9</v>
      </c>
      <c r="AF867" s="145">
        <v>0.8</v>
      </c>
      <c r="AG867" s="145">
        <v>0.32</v>
      </c>
      <c r="AH867" s="145">
        <v>0.03</v>
      </c>
      <c r="AI867" s="145">
        <v>333</v>
      </c>
      <c r="AJ867" s="145">
        <v>43.2</v>
      </c>
      <c r="AK867" s="145">
        <v>2</v>
      </c>
      <c r="AL867" s="145" t="s">
        <v>400</v>
      </c>
      <c r="AM867" s="145" t="s">
        <v>400</v>
      </c>
    </row>
    <row r="868" spans="1:39">
      <c r="A868" s="143" t="s">
        <v>1928</v>
      </c>
      <c r="B868" s="144">
        <v>100</v>
      </c>
      <c r="C868" s="145">
        <v>397</v>
      </c>
      <c r="D868" s="145">
        <v>29.06</v>
      </c>
      <c r="E868" s="145">
        <v>30.3</v>
      </c>
      <c r="F868" s="145">
        <v>11.12</v>
      </c>
      <c r="G868" s="145">
        <v>13.48</v>
      </c>
      <c r="H868" s="145">
        <v>2.73</v>
      </c>
      <c r="I868" s="145">
        <v>2.5099999999999998</v>
      </c>
      <c r="J868" s="145">
        <v>0.11</v>
      </c>
      <c r="K868" s="145">
        <v>121</v>
      </c>
      <c r="L868" s="145" t="s">
        <v>400</v>
      </c>
      <c r="M868" s="145" t="s">
        <v>400</v>
      </c>
      <c r="N868" s="145">
        <v>47</v>
      </c>
      <c r="O868" s="145">
        <v>24</v>
      </c>
      <c r="P868" s="145">
        <v>1.4E-2</v>
      </c>
      <c r="Q868" s="145">
        <v>261</v>
      </c>
      <c r="R868" s="145">
        <v>1.85</v>
      </c>
      <c r="S868" s="145">
        <v>93</v>
      </c>
      <c r="T868" s="145">
        <v>320</v>
      </c>
      <c r="U868" s="145">
        <v>0.14199999999999999</v>
      </c>
      <c r="V868" s="145">
        <v>4.5999999999999996</v>
      </c>
      <c r="W868" s="145">
        <v>3</v>
      </c>
      <c r="X868" s="145">
        <v>0.40799999999999997</v>
      </c>
      <c r="Y868" s="145">
        <v>0.38200000000000001</v>
      </c>
      <c r="Z868" s="146">
        <v>0.35</v>
      </c>
      <c r="AA868" s="145">
        <v>5.4749999999999996</v>
      </c>
      <c r="AB868" s="145" t="s">
        <v>400</v>
      </c>
      <c r="AC868" s="145">
        <v>11.625</v>
      </c>
      <c r="AD868" s="145">
        <v>1.08</v>
      </c>
      <c r="AE868" s="145">
        <v>4</v>
      </c>
      <c r="AF868" s="145">
        <v>1.1000000000000001</v>
      </c>
      <c r="AG868" s="145">
        <v>0.34</v>
      </c>
      <c r="AH868" s="145">
        <v>8.2000000000000003E-2</v>
      </c>
      <c r="AI868" s="145">
        <v>333</v>
      </c>
      <c r="AJ868" s="145">
        <v>37.4</v>
      </c>
      <c r="AK868" s="145">
        <v>3</v>
      </c>
      <c r="AL868" s="145" t="s">
        <v>400</v>
      </c>
      <c r="AM868" s="145" t="s">
        <v>400</v>
      </c>
    </row>
    <row r="869" spans="1:39">
      <c r="A869" s="143" t="s">
        <v>1929</v>
      </c>
      <c r="B869" s="144">
        <v>100</v>
      </c>
      <c r="C869" s="145">
        <v>397</v>
      </c>
      <c r="D869" s="145">
        <v>29.06</v>
      </c>
      <c r="E869" s="145">
        <v>30.3</v>
      </c>
      <c r="F869" s="145">
        <v>11.12</v>
      </c>
      <c r="G869" s="145">
        <v>13.48</v>
      </c>
      <c r="H869" s="145">
        <v>2.73</v>
      </c>
      <c r="I869" s="145">
        <v>2.5099999999999998</v>
      </c>
      <c r="J869" s="145">
        <v>0.11</v>
      </c>
      <c r="K869" s="145">
        <v>121</v>
      </c>
      <c r="L869" s="145" t="s">
        <v>400</v>
      </c>
      <c r="M869" s="145" t="s">
        <v>400</v>
      </c>
      <c r="N869" s="145">
        <v>47</v>
      </c>
      <c r="O869" s="145">
        <v>24</v>
      </c>
      <c r="P869" s="145">
        <v>1.4E-2</v>
      </c>
      <c r="Q869" s="145">
        <v>261</v>
      </c>
      <c r="R869" s="145">
        <v>1.85</v>
      </c>
      <c r="S869" s="145">
        <v>93</v>
      </c>
      <c r="T869" s="145">
        <v>320</v>
      </c>
      <c r="U869" s="145">
        <v>0.14199999999999999</v>
      </c>
      <c r="V869" s="145">
        <v>4.5999999999999996</v>
      </c>
      <c r="W869" s="145">
        <v>3</v>
      </c>
      <c r="X869" s="145">
        <v>0.40799999999999997</v>
      </c>
      <c r="Y869" s="145">
        <v>0.38200000000000001</v>
      </c>
      <c r="Z869" s="146">
        <v>0.35</v>
      </c>
      <c r="AA869" s="145">
        <v>5.4749999999999996</v>
      </c>
      <c r="AB869" s="145" t="s">
        <v>400</v>
      </c>
      <c r="AC869" s="145">
        <v>11.625</v>
      </c>
      <c r="AD869" s="145">
        <v>1.08</v>
      </c>
      <c r="AE869" s="145">
        <v>4</v>
      </c>
      <c r="AF869" s="145">
        <v>1.1000000000000001</v>
      </c>
      <c r="AG869" s="145">
        <v>0.34</v>
      </c>
      <c r="AH869" s="145">
        <v>8.2000000000000003E-2</v>
      </c>
      <c r="AI869" s="145">
        <v>333</v>
      </c>
      <c r="AJ869" s="145">
        <v>37.4</v>
      </c>
      <c r="AK869" s="145">
        <v>3</v>
      </c>
      <c r="AL869" s="145" t="s">
        <v>400</v>
      </c>
      <c r="AM869" s="145" t="s">
        <v>400</v>
      </c>
    </row>
    <row r="870" spans="1:39">
      <c r="A870" s="143" t="s">
        <v>1930</v>
      </c>
      <c r="B870" s="144">
        <v>100</v>
      </c>
      <c r="C870" s="145">
        <v>397</v>
      </c>
      <c r="D870" s="145">
        <v>29.06</v>
      </c>
      <c r="E870" s="145">
        <v>30.3</v>
      </c>
      <c r="F870" s="145">
        <v>11.12</v>
      </c>
      <c r="G870" s="145">
        <v>13.48</v>
      </c>
      <c r="H870" s="145">
        <v>2.73</v>
      </c>
      <c r="I870" s="145">
        <v>2.5099999999999998</v>
      </c>
      <c r="J870" s="145">
        <v>0.11</v>
      </c>
      <c r="K870" s="145">
        <v>121</v>
      </c>
      <c r="L870" s="145" t="s">
        <v>400</v>
      </c>
      <c r="M870" s="145" t="s">
        <v>400</v>
      </c>
      <c r="N870" s="145">
        <v>47</v>
      </c>
      <c r="O870" s="145">
        <v>24</v>
      </c>
      <c r="P870" s="145">
        <v>1.4E-2</v>
      </c>
      <c r="Q870" s="145">
        <v>261</v>
      </c>
      <c r="R870" s="145">
        <v>1.85</v>
      </c>
      <c r="S870" s="145">
        <v>93</v>
      </c>
      <c r="T870" s="145">
        <v>320</v>
      </c>
      <c r="U870" s="145">
        <v>0.14199999999999999</v>
      </c>
      <c r="V870" s="145">
        <v>4.5999999999999996</v>
      </c>
      <c r="W870" s="145">
        <v>3</v>
      </c>
      <c r="X870" s="145">
        <v>0.40799999999999997</v>
      </c>
      <c r="Y870" s="145">
        <v>0.38200000000000001</v>
      </c>
      <c r="Z870" s="146">
        <v>0.35</v>
      </c>
      <c r="AA870" s="145">
        <v>5.4749999999999996</v>
      </c>
      <c r="AB870" s="145" t="s">
        <v>400</v>
      </c>
      <c r="AC870" s="145">
        <v>11.625</v>
      </c>
      <c r="AD870" s="145">
        <v>1.08</v>
      </c>
      <c r="AE870" s="145">
        <v>4</v>
      </c>
      <c r="AF870" s="145">
        <v>1.1000000000000001</v>
      </c>
      <c r="AG870" s="145">
        <v>0.34</v>
      </c>
      <c r="AH870" s="145">
        <v>8.2000000000000003E-2</v>
      </c>
      <c r="AI870" s="145">
        <v>333</v>
      </c>
      <c r="AJ870" s="145">
        <v>37.4</v>
      </c>
      <c r="AK870" s="145">
        <v>3</v>
      </c>
      <c r="AL870" s="145" t="s">
        <v>400</v>
      </c>
      <c r="AM870" s="145" t="s">
        <v>400</v>
      </c>
    </row>
    <row r="871" spans="1:39">
      <c r="A871" s="143" t="s">
        <v>1931</v>
      </c>
      <c r="B871" s="144">
        <v>100</v>
      </c>
      <c r="C871" s="145">
        <v>397</v>
      </c>
      <c r="D871" s="145">
        <v>29.06</v>
      </c>
      <c r="E871" s="145">
        <v>30.3</v>
      </c>
      <c r="F871" s="145">
        <v>11.12</v>
      </c>
      <c r="G871" s="145">
        <v>13.48</v>
      </c>
      <c r="H871" s="145">
        <v>2.73</v>
      </c>
      <c r="I871" s="145">
        <v>2.5099999999999998</v>
      </c>
      <c r="J871" s="145">
        <v>0.11</v>
      </c>
      <c r="K871" s="145">
        <v>121</v>
      </c>
      <c r="L871" s="145" t="s">
        <v>400</v>
      </c>
      <c r="M871" s="145" t="s">
        <v>400</v>
      </c>
      <c r="N871" s="145">
        <v>47</v>
      </c>
      <c r="O871" s="145">
        <v>24</v>
      </c>
      <c r="P871" s="145">
        <v>1.4E-2</v>
      </c>
      <c r="Q871" s="145">
        <v>261</v>
      </c>
      <c r="R871" s="145">
        <v>1.85</v>
      </c>
      <c r="S871" s="145">
        <v>93</v>
      </c>
      <c r="T871" s="145">
        <v>320</v>
      </c>
      <c r="U871" s="145">
        <v>0.14199999999999999</v>
      </c>
      <c r="V871" s="145">
        <v>4.5999999999999996</v>
      </c>
      <c r="W871" s="145">
        <v>3</v>
      </c>
      <c r="X871" s="145">
        <v>0.40799999999999997</v>
      </c>
      <c r="Y871" s="145">
        <v>0.38200000000000001</v>
      </c>
      <c r="Z871" s="146">
        <v>0.35</v>
      </c>
      <c r="AA871" s="145">
        <v>5.4749999999999996</v>
      </c>
      <c r="AB871" s="145" t="s">
        <v>400</v>
      </c>
      <c r="AC871" s="145">
        <v>11.625</v>
      </c>
      <c r="AD871" s="145">
        <v>1.08</v>
      </c>
      <c r="AE871" s="145">
        <v>4</v>
      </c>
      <c r="AF871" s="145">
        <v>1.1000000000000001</v>
      </c>
      <c r="AG871" s="145">
        <v>0.34</v>
      </c>
      <c r="AH871" s="145">
        <v>8.2000000000000003E-2</v>
      </c>
      <c r="AI871" s="145">
        <v>333</v>
      </c>
      <c r="AJ871" s="145">
        <v>37.4</v>
      </c>
      <c r="AK871" s="145">
        <v>3</v>
      </c>
      <c r="AL871" s="145" t="s">
        <v>400</v>
      </c>
      <c r="AM871" s="145" t="s">
        <v>400</v>
      </c>
    </row>
    <row r="872" spans="1:39">
      <c r="A872" s="143" t="s">
        <v>1932</v>
      </c>
      <c r="B872" s="144">
        <v>100</v>
      </c>
      <c r="C872" s="145">
        <v>397</v>
      </c>
      <c r="D872" s="145">
        <v>29.06</v>
      </c>
      <c r="E872" s="145">
        <v>30.3</v>
      </c>
      <c r="F872" s="145">
        <v>11.12</v>
      </c>
      <c r="G872" s="145">
        <v>13.48</v>
      </c>
      <c r="H872" s="145">
        <v>2.73</v>
      </c>
      <c r="I872" s="145">
        <v>2.5099999999999998</v>
      </c>
      <c r="J872" s="145">
        <v>0.11</v>
      </c>
      <c r="K872" s="145">
        <v>121</v>
      </c>
      <c r="L872" s="145" t="s">
        <v>400</v>
      </c>
      <c r="M872" s="145" t="s">
        <v>400</v>
      </c>
      <c r="N872" s="145">
        <v>47</v>
      </c>
      <c r="O872" s="145">
        <v>24</v>
      </c>
      <c r="P872" s="145">
        <v>1.4E-2</v>
      </c>
      <c r="Q872" s="145">
        <v>261</v>
      </c>
      <c r="R872" s="145">
        <v>1.85</v>
      </c>
      <c r="S872" s="145">
        <v>93</v>
      </c>
      <c r="T872" s="145">
        <v>320</v>
      </c>
      <c r="U872" s="145">
        <v>0.14199999999999999</v>
      </c>
      <c r="V872" s="145">
        <v>4.5999999999999996</v>
      </c>
      <c r="W872" s="145">
        <v>3</v>
      </c>
      <c r="X872" s="145">
        <v>0.40799999999999997</v>
      </c>
      <c r="Y872" s="145">
        <v>0.38200000000000001</v>
      </c>
      <c r="Z872" s="146">
        <v>0.35</v>
      </c>
      <c r="AA872" s="145">
        <v>5.4749999999999996</v>
      </c>
      <c r="AB872" s="145" t="s">
        <v>400</v>
      </c>
      <c r="AC872" s="145">
        <v>11.625</v>
      </c>
      <c r="AD872" s="145">
        <v>1.08</v>
      </c>
      <c r="AE872" s="145">
        <v>4</v>
      </c>
      <c r="AF872" s="145">
        <v>1.1000000000000001</v>
      </c>
      <c r="AG872" s="145">
        <v>0.34</v>
      </c>
      <c r="AH872" s="145">
        <v>8.2000000000000003E-2</v>
      </c>
      <c r="AI872" s="145">
        <v>333</v>
      </c>
      <c r="AJ872" s="145">
        <v>37.4</v>
      </c>
      <c r="AK872" s="145">
        <v>3</v>
      </c>
      <c r="AL872" s="145" t="s">
        <v>400</v>
      </c>
      <c r="AM872" s="145" t="s">
        <v>400</v>
      </c>
    </row>
    <row r="873" spans="1:39">
      <c r="A873" s="143" t="s">
        <v>1933</v>
      </c>
      <c r="B873" s="144">
        <v>100</v>
      </c>
      <c r="C873" s="145">
        <v>397</v>
      </c>
      <c r="D873" s="145">
        <v>29.06</v>
      </c>
      <c r="E873" s="145">
        <v>30.3</v>
      </c>
      <c r="F873" s="145">
        <v>11.12</v>
      </c>
      <c r="G873" s="145">
        <v>13.48</v>
      </c>
      <c r="H873" s="145">
        <v>2.73</v>
      </c>
      <c r="I873" s="145">
        <v>2.5099999999999998</v>
      </c>
      <c r="J873" s="145">
        <v>0.11</v>
      </c>
      <c r="K873" s="145">
        <v>121</v>
      </c>
      <c r="L873" s="145" t="s">
        <v>400</v>
      </c>
      <c r="M873" s="145" t="s">
        <v>400</v>
      </c>
      <c r="N873" s="145">
        <v>47</v>
      </c>
      <c r="O873" s="145">
        <v>24</v>
      </c>
      <c r="P873" s="145">
        <v>1.4E-2</v>
      </c>
      <c r="Q873" s="145">
        <v>261</v>
      </c>
      <c r="R873" s="145">
        <v>1.85</v>
      </c>
      <c r="S873" s="145">
        <v>93</v>
      </c>
      <c r="T873" s="145">
        <v>320</v>
      </c>
      <c r="U873" s="145">
        <v>0.14199999999999999</v>
      </c>
      <c r="V873" s="145">
        <v>4.5999999999999996</v>
      </c>
      <c r="W873" s="145">
        <v>3</v>
      </c>
      <c r="X873" s="145">
        <v>0.40799999999999997</v>
      </c>
      <c r="Y873" s="145">
        <v>0.38200000000000001</v>
      </c>
      <c r="Z873" s="146">
        <v>0.35</v>
      </c>
      <c r="AA873" s="145">
        <v>5.4749999999999996</v>
      </c>
      <c r="AB873" s="145" t="s">
        <v>400</v>
      </c>
      <c r="AC873" s="145">
        <v>11.625</v>
      </c>
      <c r="AD873" s="145">
        <v>1.08</v>
      </c>
      <c r="AE873" s="145">
        <v>4</v>
      </c>
      <c r="AF873" s="145">
        <v>1.1000000000000001</v>
      </c>
      <c r="AG873" s="145">
        <v>0.34</v>
      </c>
      <c r="AH873" s="145">
        <v>8.2000000000000003E-2</v>
      </c>
      <c r="AI873" s="145">
        <v>333</v>
      </c>
      <c r="AJ873" s="145">
        <v>37.4</v>
      </c>
      <c r="AK873" s="145">
        <v>3</v>
      </c>
      <c r="AL873" s="145" t="s">
        <v>400</v>
      </c>
      <c r="AM873" s="145" t="s">
        <v>400</v>
      </c>
    </row>
    <row r="874" spans="1:39">
      <c r="A874" s="143" t="s">
        <v>1934</v>
      </c>
      <c r="B874" s="144">
        <v>100</v>
      </c>
      <c r="C874" s="145">
        <v>397</v>
      </c>
      <c r="D874" s="145">
        <v>29.06</v>
      </c>
      <c r="E874" s="145">
        <v>30.3</v>
      </c>
      <c r="F874" s="145">
        <v>11.12</v>
      </c>
      <c r="G874" s="145">
        <v>13.48</v>
      </c>
      <c r="H874" s="145">
        <v>2.73</v>
      </c>
      <c r="I874" s="145">
        <v>2.5099999999999998</v>
      </c>
      <c r="J874" s="145">
        <v>0.11</v>
      </c>
      <c r="K874" s="145">
        <v>121</v>
      </c>
      <c r="L874" s="145" t="s">
        <v>400</v>
      </c>
      <c r="M874" s="145" t="s">
        <v>400</v>
      </c>
      <c r="N874" s="145">
        <v>47</v>
      </c>
      <c r="O874" s="145">
        <v>24</v>
      </c>
      <c r="P874" s="145">
        <v>1.4E-2</v>
      </c>
      <c r="Q874" s="145">
        <v>261</v>
      </c>
      <c r="R874" s="145">
        <v>1.85</v>
      </c>
      <c r="S874" s="145">
        <v>93</v>
      </c>
      <c r="T874" s="145">
        <v>320</v>
      </c>
      <c r="U874" s="145">
        <v>0.14199999999999999</v>
      </c>
      <c r="V874" s="145">
        <v>4.5999999999999996</v>
      </c>
      <c r="W874" s="145">
        <v>3</v>
      </c>
      <c r="X874" s="145">
        <v>0.40799999999999997</v>
      </c>
      <c r="Y874" s="145">
        <v>0.38200000000000001</v>
      </c>
      <c r="Z874" s="146">
        <v>0.35</v>
      </c>
      <c r="AA874" s="145">
        <v>5.4749999999999996</v>
      </c>
      <c r="AB874" s="145" t="s">
        <v>400</v>
      </c>
      <c r="AC874" s="145">
        <v>11.625</v>
      </c>
      <c r="AD874" s="145">
        <v>1.08</v>
      </c>
      <c r="AE874" s="145">
        <v>4</v>
      </c>
      <c r="AF874" s="145">
        <v>1.1000000000000001</v>
      </c>
      <c r="AG874" s="145">
        <v>0.34</v>
      </c>
      <c r="AH874" s="145">
        <v>8.2000000000000003E-2</v>
      </c>
      <c r="AI874" s="145">
        <v>333</v>
      </c>
      <c r="AJ874" s="145">
        <v>37.4</v>
      </c>
      <c r="AK874" s="145">
        <v>3</v>
      </c>
      <c r="AL874" s="145" t="s">
        <v>400</v>
      </c>
      <c r="AM874" s="145" t="s">
        <v>400</v>
      </c>
    </row>
    <row r="875" spans="1:39">
      <c r="A875" s="143" t="s">
        <v>1935</v>
      </c>
      <c r="B875" s="144">
        <v>100</v>
      </c>
      <c r="C875" s="145">
        <v>397</v>
      </c>
      <c r="D875" s="145">
        <v>29.06</v>
      </c>
      <c r="E875" s="145">
        <v>30.3</v>
      </c>
      <c r="F875" s="145">
        <v>11.12</v>
      </c>
      <c r="G875" s="145">
        <v>13.48</v>
      </c>
      <c r="H875" s="145">
        <v>2.73</v>
      </c>
      <c r="I875" s="145">
        <v>2.5099999999999998</v>
      </c>
      <c r="J875" s="145">
        <v>0.11</v>
      </c>
      <c r="K875" s="145">
        <v>121</v>
      </c>
      <c r="L875" s="145" t="s">
        <v>400</v>
      </c>
      <c r="M875" s="145" t="s">
        <v>400</v>
      </c>
      <c r="N875" s="145">
        <v>47</v>
      </c>
      <c r="O875" s="145">
        <v>24</v>
      </c>
      <c r="P875" s="145">
        <v>1.4E-2</v>
      </c>
      <c r="Q875" s="145">
        <v>261</v>
      </c>
      <c r="R875" s="145">
        <v>1.85</v>
      </c>
      <c r="S875" s="145">
        <v>93</v>
      </c>
      <c r="T875" s="145">
        <v>320</v>
      </c>
      <c r="U875" s="145">
        <v>0.14199999999999999</v>
      </c>
      <c r="V875" s="145">
        <v>4.5999999999999996</v>
      </c>
      <c r="W875" s="145">
        <v>3</v>
      </c>
      <c r="X875" s="145">
        <v>0.40799999999999997</v>
      </c>
      <c r="Y875" s="145">
        <v>0.38200000000000001</v>
      </c>
      <c r="Z875" s="146">
        <v>0.35</v>
      </c>
      <c r="AA875" s="145">
        <v>5.4749999999999996</v>
      </c>
      <c r="AB875" s="145" t="s">
        <v>400</v>
      </c>
      <c r="AC875" s="145">
        <v>11.625</v>
      </c>
      <c r="AD875" s="145">
        <v>1.08</v>
      </c>
      <c r="AE875" s="145">
        <v>4</v>
      </c>
      <c r="AF875" s="145">
        <v>1.1000000000000001</v>
      </c>
      <c r="AG875" s="145">
        <v>0.34</v>
      </c>
      <c r="AH875" s="145">
        <v>8.2000000000000003E-2</v>
      </c>
      <c r="AI875" s="145">
        <v>333</v>
      </c>
      <c r="AJ875" s="145">
        <v>37.4</v>
      </c>
      <c r="AK875" s="145">
        <v>3</v>
      </c>
      <c r="AL875" s="145" t="s">
        <v>400</v>
      </c>
      <c r="AM875" s="145" t="s">
        <v>400</v>
      </c>
    </row>
    <row r="876" spans="1:39">
      <c r="A876" s="143" t="s">
        <v>1936</v>
      </c>
      <c r="B876" s="144">
        <v>100</v>
      </c>
      <c r="C876" s="145">
        <v>397</v>
      </c>
      <c r="D876" s="145">
        <v>29.06</v>
      </c>
      <c r="E876" s="145">
        <v>30.3</v>
      </c>
      <c r="F876" s="145">
        <v>11.12</v>
      </c>
      <c r="G876" s="145">
        <v>13.48</v>
      </c>
      <c r="H876" s="145">
        <v>2.73</v>
      </c>
      <c r="I876" s="145">
        <v>2.5099999999999998</v>
      </c>
      <c r="J876" s="145">
        <v>0.11</v>
      </c>
      <c r="K876" s="145">
        <v>121</v>
      </c>
      <c r="L876" s="145" t="s">
        <v>400</v>
      </c>
      <c r="M876" s="145" t="s">
        <v>400</v>
      </c>
      <c r="N876" s="145">
        <v>47</v>
      </c>
      <c r="O876" s="145">
        <v>24</v>
      </c>
      <c r="P876" s="145">
        <v>1.4E-2</v>
      </c>
      <c r="Q876" s="145">
        <v>261</v>
      </c>
      <c r="R876" s="145">
        <v>1.85</v>
      </c>
      <c r="S876" s="145">
        <v>93</v>
      </c>
      <c r="T876" s="145">
        <v>320</v>
      </c>
      <c r="U876" s="145">
        <v>0.14199999999999999</v>
      </c>
      <c r="V876" s="145">
        <v>4.5999999999999996</v>
      </c>
      <c r="W876" s="145">
        <v>3</v>
      </c>
      <c r="X876" s="145">
        <v>0.40799999999999997</v>
      </c>
      <c r="Y876" s="145">
        <v>0.38200000000000001</v>
      </c>
      <c r="Z876" s="146">
        <v>0.35</v>
      </c>
      <c r="AA876" s="145">
        <v>5.4749999999999996</v>
      </c>
      <c r="AB876" s="145" t="s">
        <v>400</v>
      </c>
      <c r="AC876" s="145">
        <v>11.625</v>
      </c>
      <c r="AD876" s="145">
        <v>1.08</v>
      </c>
      <c r="AE876" s="145">
        <v>4</v>
      </c>
      <c r="AF876" s="145">
        <v>1.1000000000000001</v>
      </c>
      <c r="AG876" s="145">
        <v>0.34</v>
      </c>
      <c r="AH876" s="145">
        <v>8.2000000000000003E-2</v>
      </c>
      <c r="AI876" s="145">
        <v>333</v>
      </c>
      <c r="AJ876" s="145">
        <v>37.4</v>
      </c>
      <c r="AK876" s="145">
        <v>3</v>
      </c>
      <c r="AL876" s="145" t="s">
        <v>400</v>
      </c>
      <c r="AM876" s="145" t="s">
        <v>400</v>
      </c>
    </row>
    <row r="877" spans="1:39">
      <c r="A877" s="143" t="s">
        <v>1937</v>
      </c>
      <c r="B877" s="144">
        <v>100</v>
      </c>
      <c r="C877" s="145">
        <v>397</v>
      </c>
      <c r="D877" s="145">
        <v>29.06</v>
      </c>
      <c r="E877" s="145">
        <v>30.3</v>
      </c>
      <c r="F877" s="145">
        <v>11.12</v>
      </c>
      <c r="G877" s="145">
        <v>13.48</v>
      </c>
      <c r="H877" s="145">
        <v>2.73</v>
      </c>
      <c r="I877" s="145">
        <v>2.5099999999999998</v>
      </c>
      <c r="J877" s="145">
        <v>0.11</v>
      </c>
      <c r="K877" s="145">
        <v>121</v>
      </c>
      <c r="L877" s="145" t="s">
        <v>400</v>
      </c>
      <c r="M877" s="145" t="s">
        <v>400</v>
      </c>
      <c r="N877" s="145">
        <v>47</v>
      </c>
      <c r="O877" s="145">
        <v>24</v>
      </c>
      <c r="P877" s="145">
        <v>1.4E-2</v>
      </c>
      <c r="Q877" s="145">
        <v>261</v>
      </c>
      <c r="R877" s="145">
        <v>1.85</v>
      </c>
      <c r="S877" s="145">
        <v>93</v>
      </c>
      <c r="T877" s="145">
        <v>320</v>
      </c>
      <c r="U877" s="145">
        <v>0.14199999999999999</v>
      </c>
      <c r="V877" s="145">
        <v>4.5999999999999996</v>
      </c>
      <c r="W877" s="145">
        <v>3</v>
      </c>
      <c r="X877" s="145">
        <v>0.40799999999999997</v>
      </c>
      <c r="Y877" s="145">
        <v>0.38200000000000001</v>
      </c>
      <c r="Z877" s="146">
        <v>0.35</v>
      </c>
      <c r="AA877" s="145">
        <v>5.4749999999999996</v>
      </c>
      <c r="AB877" s="145" t="s">
        <v>400</v>
      </c>
      <c r="AC877" s="145">
        <v>11.625</v>
      </c>
      <c r="AD877" s="145">
        <v>1.08</v>
      </c>
      <c r="AE877" s="145">
        <v>4</v>
      </c>
      <c r="AF877" s="145">
        <v>1.1000000000000001</v>
      </c>
      <c r="AG877" s="145">
        <v>0.34</v>
      </c>
      <c r="AH877" s="145">
        <v>8.2000000000000003E-2</v>
      </c>
      <c r="AI877" s="145">
        <v>333</v>
      </c>
      <c r="AJ877" s="145">
        <v>37.4</v>
      </c>
      <c r="AK877" s="145">
        <v>3</v>
      </c>
      <c r="AL877" s="145" t="s">
        <v>400</v>
      </c>
      <c r="AM877" s="145" t="s">
        <v>400</v>
      </c>
    </row>
    <row r="878" spans="1:39">
      <c r="A878" s="143" t="s">
        <v>1938</v>
      </c>
      <c r="B878" s="144">
        <v>100</v>
      </c>
      <c r="C878" s="145">
        <v>397</v>
      </c>
      <c r="D878" s="145">
        <v>29.06</v>
      </c>
      <c r="E878" s="145">
        <v>30.3</v>
      </c>
      <c r="F878" s="145">
        <v>11.12</v>
      </c>
      <c r="G878" s="145">
        <v>13.48</v>
      </c>
      <c r="H878" s="145">
        <v>2.73</v>
      </c>
      <c r="I878" s="145">
        <v>2.5099999999999998</v>
      </c>
      <c r="J878" s="145">
        <v>0.11</v>
      </c>
      <c r="K878" s="145">
        <v>121</v>
      </c>
      <c r="L878" s="145" t="s">
        <v>400</v>
      </c>
      <c r="M878" s="145" t="s">
        <v>400</v>
      </c>
      <c r="N878" s="145">
        <v>47</v>
      </c>
      <c r="O878" s="145">
        <v>24</v>
      </c>
      <c r="P878" s="145">
        <v>1.4E-2</v>
      </c>
      <c r="Q878" s="145">
        <v>261</v>
      </c>
      <c r="R878" s="145">
        <v>1.85</v>
      </c>
      <c r="S878" s="145">
        <v>93</v>
      </c>
      <c r="T878" s="145">
        <v>320</v>
      </c>
      <c r="U878" s="145">
        <v>0.14199999999999999</v>
      </c>
      <c r="V878" s="145">
        <v>4.5999999999999996</v>
      </c>
      <c r="W878" s="145">
        <v>3</v>
      </c>
      <c r="X878" s="145">
        <v>0.40799999999999997</v>
      </c>
      <c r="Y878" s="145">
        <v>0.38200000000000001</v>
      </c>
      <c r="Z878" s="146">
        <v>0.35</v>
      </c>
      <c r="AA878" s="145">
        <v>5.4749999999999996</v>
      </c>
      <c r="AB878" s="145" t="s">
        <v>400</v>
      </c>
      <c r="AC878" s="145">
        <v>11.625</v>
      </c>
      <c r="AD878" s="145">
        <v>1.08</v>
      </c>
      <c r="AE878" s="145">
        <v>4</v>
      </c>
      <c r="AF878" s="145">
        <v>1.1000000000000001</v>
      </c>
      <c r="AG878" s="145">
        <v>0.34</v>
      </c>
      <c r="AH878" s="145">
        <v>8.2000000000000003E-2</v>
      </c>
      <c r="AI878" s="145">
        <v>333</v>
      </c>
      <c r="AJ878" s="145">
        <v>37.4</v>
      </c>
      <c r="AK878" s="145">
        <v>3</v>
      </c>
      <c r="AL878" s="145" t="s">
        <v>400</v>
      </c>
      <c r="AM878" s="145" t="s">
        <v>400</v>
      </c>
    </row>
    <row r="879" spans="1:39">
      <c r="A879" s="143" t="s">
        <v>1939</v>
      </c>
      <c r="B879" s="144">
        <v>100</v>
      </c>
      <c r="C879" s="145">
        <v>289</v>
      </c>
      <c r="D879" s="145">
        <v>25.34</v>
      </c>
      <c r="E879" s="145">
        <v>20.059999999999999</v>
      </c>
      <c r="F879" s="145">
        <v>7.36</v>
      </c>
      <c r="G879" s="145">
        <v>9.02</v>
      </c>
      <c r="H879" s="145">
        <v>1.89</v>
      </c>
      <c r="I879" s="145">
        <v>1.71</v>
      </c>
      <c r="J879" s="145">
        <v>0.06</v>
      </c>
      <c r="K879" s="145">
        <v>92</v>
      </c>
      <c r="L879" s="145" t="s">
        <v>400</v>
      </c>
      <c r="M879" s="145" t="s">
        <v>400</v>
      </c>
      <c r="N879" s="145">
        <v>15</v>
      </c>
      <c r="O879" s="145">
        <v>22</v>
      </c>
      <c r="P879" s="145">
        <v>2.8000000000000001E-2</v>
      </c>
      <c r="Q879" s="145">
        <v>257</v>
      </c>
      <c r="R879" s="145">
        <v>0.98</v>
      </c>
      <c r="S879" s="145">
        <v>59</v>
      </c>
      <c r="T879" s="145">
        <v>338</v>
      </c>
      <c r="U879" s="145">
        <v>9.8000000000000004E-2</v>
      </c>
      <c r="V879" s="145">
        <v>3.06</v>
      </c>
      <c r="W879" s="145">
        <v>3</v>
      </c>
      <c r="X879" s="145">
        <v>0.57799999999999996</v>
      </c>
      <c r="Y879" s="145">
        <v>0.30199999999999999</v>
      </c>
      <c r="Z879" s="146">
        <v>0.40100000000000002</v>
      </c>
      <c r="AA879" s="145">
        <v>4.46</v>
      </c>
      <c r="AB879" s="145">
        <v>0.3</v>
      </c>
      <c r="AC879" s="145">
        <v>9.4770000000000003</v>
      </c>
      <c r="AD879" s="145">
        <v>0.66</v>
      </c>
      <c r="AE879" s="145">
        <v>5</v>
      </c>
      <c r="AF879" s="145">
        <v>1.1000000000000001</v>
      </c>
      <c r="AG879" s="145">
        <v>0.22</v>
      </c>
      <c r="AH879" s="145">
        <v>3.6999999999999998E-2</v>
      </c>
      <c r="AI879" s="145">
        <v>166</v>
      </c>
      <c r="AJ879" s="145">
        <v>43.3</v>
      </c>
      <c r="AK879" s="145">
        <v>3</v>
      </c>
      <c r="AL879" s="145" t="s">
        <v>400</v>
      </c>
      <c r="AM879" s="145" t="s">
        <v>400</v>
      </c>
    </row>
    <row r="880" spans="1:39">
      <c r="A880" s="143" t="s">
        <v>1940</v>
      </c>
      <c r="B880" s="144">
        <v>100</v>
      </c>
      <c r="C880" s="145">
        <v>289</v>
      </c>
      <c r="D880" s="145">
        <v>25.34</v>
      </c>
      <c r="E880" s="145">
        <v>20.059999999999999</v>
      </c>
      <c r="F880" s="145">
        <v>7.36</v>
      </c>
      <c r="G880" s="145">
        <v>9.02</v>
      </c>
      <c r="H880" s="145">
        <v>1.89</v>
      </c>
      <c r="I880" s="145">
        <v>1.71</v>
      </c>
      <c r="J880" s="145">
        <v>0.06</v>
      </c>
      <c r="K880" s="145">
        <v>92</v>
      </c>
      <c r="L880" s="145" t="s">
        <v>400</v>
      </c>
      <c r="M880" s="145" t="s">
        <v>400</v>
      </c>
      <c r="N880" s="145">
        <v>15</v>
      </c>
      <c r="O880" s="145">
        <v>22</v>
      </c>
      <c r="P880" s="145">
        <v>2.8000000000000001E-2</v>
      </c>
      <c r="Q880" s="145">
        <v>257</v>
      </c>
      <c r="R880" s="145">
        <v>0.98</v>
      </c>
      <c r="S880" s="145">
        <v>59</v>
      </c>
      <c r="T880" s="145">
        <v>338</v>
      </c>
      <c r="U880" s="145">
        <v>9.8000000000000004E-2</v>
      </c>
      <c r="V880" s="145">
        <v>3.06</v>
      </c>
      <c r="W880" s="145">
        <v>3</v>
      </c>
      <c r="X880" s="145">
        <v>0.57799999999999996</v>
      </c>
      <c r="Y880" s="145">
        <v>0.30199999999999999</v>
      </c>
      <c r="Z880" s="146">
        <v>0.40100000000000002</v>
      </c>
      <c r="AA880" s="145">
        <v>4.46</v>
      </c>
      <c r="AB880" s="145">
        <v>0.3</v>
      </c>
      <c r="AC880" s="145">
        <v>9.4770000000000003</v>
      </c>
      <c r="AD880" s="145">
        <v>0.66</v>
      </c>
      <c r="AE880" s="145">
        <v>5</v>
      </c>
      <c r="AF880" s="145">
        <v>1.1000000000000001</v>
      </c>
      <c r="AG880" s="145">
        <v>0.22</v>
      </c>
      <c r="AH880" s="145">
        <v>3.6999999999999998E-2</v>
      </c>
      <c r="AI880" s="145">
        <v>166</v>
      </c>
      <c r="AJ880" s="145">
        <v>43.3</v>
      </c>
      <c r="AK880" s="145">
        <v>3</v>
      </c>
      <c r="AL880" s="145" t="s">
        <v>400</v>
      </c>
      <c r="AM880" s="145" t="s">
        <v>400</v>
      </c>
    </row>
    <row r="881" spans="1:39">
      <c r="A881" s="143" t="s">
        <v>1941</v>
      </c>
      <c r="B881" s="144">
        <v>100</v>
      </c>
      <c r="C881" s="145">
        <v>338.56700000000001</v>
      </c>
      <c r="D881" s="145">
        <v>25.34</v>
      </c>
      <c r="E881" s="145">
        <v>25.667000000000002</v>
      </c>
      <c r="F881" s="145">
        <v>8.2379999999999995</v>
      </c>
      <c r="G881" s="145">
        <v>10.297000000000001</v>
      </c>
      <c r="H881" s="145">
        <v>5.1280000000000001</v>
      </c>
      <c r="I881" s="145">
        <v>4.5670000000000002</v>
      </c>
      <c r="J881" s="145">
        <v>0.441</v>
      </c>
      <c r="K881" s="145">
        <v>92</v>
      </c>
      <c r="L881" s="145" t="s">
        <v>400</v>
      </c>
      <c r="M881" s="145" t="s">
        <v>400</v>
      </c>
      <c r="N881" s="145">
        <v>15</v>
      </c>
      <c r="O881" s="145">
        <v>22</v>
      </c>
      <c r="P881" s="145">
        <v>2.8000000000000001E-2</v>
      </c>
      <c r="Q881" s="145">
        <v>257</v>
      </c>
      <c r="R881" s="145">
        <v>0.98299999999999998</v>
      </c>
      <c r="S881" s="145">
        <v>59</v>
      </c>
      <c r="T881" s="145">
        <v>338</v>
      </c>
      <c r="U881" s="145">
        <v>9.8000000000000004E-2</v>
      </c>
      <c r="V881" s="145">
        <v>3.0609999999999999</v>
      </c>
      <c r="W881" s="145">
        <v>3</v>
      </c>
      <c r="X881" s="145">
        <v>0.57799999999999996</v>
      </c>
      <c r="Y881" s="145">
        <v>0.30199999999999999</v>
      </c>
      <c r="Z881" s="146">
        <v>0.40100000000000002</v>
      </c>
      <c r="AA881" s="145">
        <v>4.46</v>
      </c>
      <c r="AB881" s="145">
        <v>0.3</v>
      </c>
      <c r="AC881" s="145">
        <v>9.4770000000000003</v>
      </c>
      <c r="AD881" s="145">
        <v>0.66</v>
      </c>
      <c r="AE881" s="145">
        <v>5</v>
      </c>
      <c r="AF881" s="145">
        <v>1.1000000000000001</v>
      </c>
      <c r="AG881" s="145">
        <v>0.67900000000000005</v>
      </c>
      <c r="AH881" s="145">
        <v>6.7000000000000004E-2</v>
      </c>
      <c r="AI881" s="145">
        <v>166</v>
      </c>
      <c r="AJ881" s="145">
        <v>45.87</v>
      </c>
      <c r="AK881" s="145">
        <v>3</v>
      </c>
      <c r="AL881" s="145" t="s">
        <v>400</v>
      </c>
      <c r="AM881" s="145" t="s">
        <v>400</v>
      </c>
    </row>
    <row r="882" spans="1:39">
      <c r="A882" s="143" t="s">
        <v>1942</v>
      </c>
      <c r="B882" s="144">
        <v>100</v>
      </c>
      <c r="C882" s="145">
        <v>338.56700000000001</v>
      </c>
      <c r="D882" s="145">
        <v>25.34</v>
      </c>
      <c r="E882" s="145">
        <v>25.667000000000002</v>
      </c>
      <c r="F882" s="145">
        <v>8.2379999999999995</v>
      </c>
      <c r="G882" s="145">
        <v>10.297000000000001</v>
      </c>
      <c r="H882" s="145">
        <v>5.1280000000000001</v>
      </c>
      <c r="I882" s="145">
        <v>4.5670000000000002</v>
      </c>
      <c r="J882" s="145">
        <v>0.441</v>
      </c>
      <c r="K882" s="145">
        <v>92</v>
      </c>
      <c r="L882" s="145" t="s">
        <v>400</v>
      </c>
      <c r="M882" s="145" t="s">
        <v>400</v>
      </c>
      <c r="N882" s="145">
        <v>15</v>
      </c>
      <c r="O882" s="145">
        <v>22</v>
      </c>
      <c r="P882" s="145">
        <v>2.8000000000000001E-2</v>
      </c>
      <c r="Q882" s="145">
        <v>257</v>
      </c>
      <c r="R882" s="145">
        <v>0.98299999999999998</v>
      </c>
      <c r="S882" s="145">
        <v>59</v>
      </c>
      <c r="T882" s="145">
        <v>338</v>
      </c>
      <c r="U882" s="145">
        <v>9.8000000000000004E-2</v>
      </c>
      <c r="V882" s="145">
        <v>3.0609999999999999</v>
      </c>
      <c r="W882" s="145">
        <v>3</v>
      </c>
      <c r="X882" s="145">
        <v>0.57799999999999996</v>
      </c>
      <c r="Y882" s="145">
        <v>0.30199999999999999</v>
      </c>
      <c r="Z882" s="146">
        <v>0.40100000000000002</v>
      </c>
      <c r="AA882" s="145">
        <v>4.46</v>
      </c>
      <c r="AB882" s="145">
        <v>0.3</v>
      </c>
      <c r="AC882" s="145">
        <v>9.4770000000000003</v>
      </c>
      <c r="AD882" s="145">
        <v>0.66</v>
      </c>
      <c r="AE882" s="145">
        <v>5</v>
      </c>
      <c r="AF882" s="145">
        <v>1.1000000000000001</v>
      </c>
      <c r="AG882" s="145">
        <v>0.67900000000000005</v>
      </c>
      <c r="AH882" s="145">
        <v>6.7000000000000004E-2</v>
      </c>
      <c r="AI882" s="145">
        <v>166</v>
      </c>
      <c r="AJ882" s="145">
        <v>45.87</v>
      </c>
      <c r="AK882" s="145">
        <v>3</v>
      </c>
      <c r="AL882" s="145" t="s">
        <v>400</v>
      </c>
      <c r="AM882" s="145" t="s">
        <v>400</v>
      </c>
    </row>
    <row r="883" spans="1:39">
      <c r="A883" s="143" t="s">
        <v>1943</v>
      </c>
      <c r="B883" s="144">
        <v>100</v>
      </c>
      <c r="C883" s="145">
        <v>289</v>
      </c>
      <c r="D883" s="145">
        <v>25.34</v>
      </c>
      <c r="E883" s="145">
        <v>20.059999999999999</v>
      </c>
      <c r="F883" s="145">
        <v>7.36</v>
      </c>
      <c r="G883" s="145">
        <v>9.02</v>
      </c>
      <c r="H883" s="145">
        <v>1.89</v>
      </c>
      <c r="I883" s="145">
        <v>1.71</v>
      </c>
      <c r="J883" s="145">
        <v>0.06</v>
      </c>
      <c r="K883" s="145">
        <v>92</v>
      </c>
      <c r="L883" s="145" t="s">
        <v>400</v>
      </c>
      <c r="M883" s="145" t="s">
        <v>400</v>
      </c>
      <c r="N883" s="145">
        <v>15</v>
      </c>
      <c r="O883" s="145">
        <v>22</v>
      </c>
      <c r="P883" s="145">
        <v>2.8000000000000001E-2</v>
      </c>
      <c r="Q883" s="145">
        <v>257</v>
      </c>
      <c r="R883" s="145">
        <v>0.98</v>
      </c>
      <c r="S883" s="145">
        <v>59</v>
      </c>
      <c r="T883" s="145">
        <v>338</v>
      </c>
      <c r="U883" s="145">
        <v>9.8000000000000004E-2</v>
      </c>
      <c r="V883" s="145">
        <v>3.06</v>
      </c>
      <c r="W883" s="145">
        <v>3</v>
      </c>
      <c r="X883" s="145">
        <v>0.57799999999999996</v>
      </c>
      <c r="Y883" s="145">
        <v>0.30199999999999999</v>
      </c>
      <c r="Z883" s="146">
        <v>0.40100000000000002</v>
      </c>
      <c r="AA883" s="145">
        <v>4.46</v>
      </c>
      <c r="AB883" s="145">
        <v>0.3</v>
      </c>
      <c r="AC883" s="145">
        <v>9.4770000000000003</v>
      </c>
      <c r="AD883" s="145">
        <v>0.66</v>
      </c>
      <c r="AE883" s="145">
        <v>5</v>
      </c>
      <c r="AF883" s="145">
        <v>1.1000000000000001</v>
      </c>
      <c r="AG883" s="145">
        <v>0.22</v>
      </c>
      <c r="AH883" s="145">
        <v>3.6999999999999998E-2</v>
      </c>
      <c r="AI883" s="145">
        <v>166</v>
      </c>
      <c r="AJ883" s="145">
        <v>43.3</v>
      </c>
      <c r="AK883" s="145">
        <v>3</v>
      </c>
      <c r="AL883" s="145" t="s">
        <v>400</v>
      </c>
      <c r="AM883" s="145" t="s">
        <v>400</v>
      </c>
    </row>
    <row r="884" spans="1:39">
      <c r="A884" s="143" t="s">
        <v>1944</v>
      </c>
      <c r="B884" s="144">
        <v>100</v>
      </c>
      <c r="C884" s="145">
        <v>397</v>
      </c>
      <c r="D884" s="145">
        <v>29.06</v>
      </c>
      <c r="E884" s="145">
        <v>30.3</v>
      </c>
      <c r="F884" s="145">
        <v>11.12</v>
      </c>
      <c r="G884" s="145">
        <v>13.48</v>
      </c>
      <c r="H884" s="145">
        <v>2.73</v>
      </c>
      <c r="I884" s="145">
        <v>2.5099999999999998</v>
      </c>
      <c r="J884" s="145">
        <v>0.11</v>
      </c>
      <c r="K884" s="145">
        <v>121</v>
      </c>
      <c r="L884" s="145" t="s">
        <v>400</v>
      </c>
      <c r="M884" s="145" t="s">
        <v>400</v>
      </c>
      <c r="N884" s="145">
        <v>47</v>
      </c>
      <c r="O884" s="145">
        <v>24</v>
      </c>
      <c r="P884" s="145">
        <v>1.4E-2</v>
      </c>
      <c r="Q884" s="145">
        <v>261</v>
      </c>
      <c r="R884" s="145">
        <v>1.85</v>
      </c>
      <c r="S884" s="145">
        <v>93</v>
      </c>
      <c r="T884" s="145">
        <v>320</v>
      </c>
      <c r="U884" s="145">
        <v>0.14199999999999999</v>
      </c>
      <c r="V884" s="145">
        <v>4.5999999999999996</v>
      </c>
      <c r="W884" s="145">
        <v>3</v>
      </c>
      <c r="X884" s="145">
        <v>0.40799999999999997</v>
      </c>
      <c r="Y884" s="145">
        <v>0.38200000000000001</v>
      </c>
      <c r="Z884" s="146">
        <v>0.35</v>
      </c>
      <c r="AA884" s="145">
        <v>5.4749999999999996</v>
      </c>
      <c r="AB884" s="145" t="s">
        <v>400</v>
      </c>
      <c r="AC884" s="145">
        <v>11.625</v>
      </c>
      <c r="AD884" s="145">
        <v>1.08</v>
      </c>
      <c r="AE884" s="145">
        <v>4</v>
      </c>
      <c r="AF884" s="145">
        <v>1.1000000000000001</v>
      </c>
      <c r="AG884" s="145">
        <v>0.34</v>
      </c>
      <c r="AH884" s="145">
        <v>8.2000000000000003E-2</v>
      </c>
      <c r="AI884" s="145">
        <v>333</v>
      </c>
      <c r="AJ884" s="145">
        <v>37.4</v>
      </c>
      <c r="AK884" s="145">
        <v>3</v>
      </c>
      <c r="AL884" s="145" t="s">
        <v>400</v>
      </c>
      <c r="AM884" s="145" t="s">
        <v>400</v>
      </c>
    </row>
    <row r="885" spans="1:39">
      <c r="A885" s="143" t="s">
        <v>1945</v>
      </c>
      <c r="B885" s="144">
        <v>100</v>
      </c>
      <c r="C885" s="145">
        <v>397</v>
      </c>
      <c r="D885" s="145">
        <v>29.06</v>
      </c>
      <c r="E885" s="145">
        <v>30.3</v>
      </c>
      <c r="F885" s="145">
        <v>11.12</v>
      </c>
      <c r="G885" s="145">
        <v>13.48</v>
      </c>
      <c r="H885" s="145">
        <v>2.73</v>
      </c>
      <c r="I885" s="145">
        <v>2.5099999999999998</v>
      </c>
      <c r="J885" s="145">
        <v>0.11</v>
      </c>
      <c r="K885" s="145">
        <v>121</v>
      </c>
      <c r="L885" s="145" t="s">
        <v>400</v>
      </c>
      <c r="M885" s="145" t="s">
        <v>400</v>
      </c>
      <c r="N885" s="145">
        <v>47</v>
      </c>
      <c r="O885" s="145">
        <v>24</v>
      </c>
      <c r="P885" s="145">
        <v>1.4E-2</v>
      </c>
      <c r="Q885" s="145">
        <v>261</v>
      </c>
      <c r="R885" s="145">
        <v>1.85</v>
      </c>
      <c r="S885" s="145">
        <v>93</v>
      </c>
      <c r="T885" s="145">
        <v>320</v>
      </c>
      <c r="U885" s="145">
        <v>0.14199999999999999</v>
      </c>
      <c r="V885" s="145">
        <v>4.5999999999999996</v>
      </c>
      <c r="W885" s="145">
        <v>3</v>
      </c>
      <c r="X885" s="145">
        <v>0.40799999999999997</v>
      </c>
      <c r="Y885" s="145">
        <v>0.38200000000000001</v>
      </c>
      <c r="Z885" s="146">
        <v>0.35</v>
      </c>
      <c r="AA885" s="145">
        <v>5.4749999999999996</v>
      </c>
      <c r="AB885" s="145" t="s">
        <v>400</v>
      </c>
      <c r="AC885" s="145">
        <v>11.625</v>
      </c>
      <c r="AD885" s="145">
        <v>1.08</v>
      </c>
      <c r="AE885" s="145">
        <v>4</v>
      </c>
      <c r="AF885" s="145">
        <v>1.1000000000000001</v>
      </c>
      <c r="AG885" s="145">
        <v>0.34</v>
      </c>
      <c r="AH885" s="145">
        <v>8.2000000000000003E-2</v>
      </c>
      <c r="AI885" s="145">
        <v>333</v>
      </c>
      <c r="AJ885" s="145">
        <v>37.4</v>
      </c>
      <c r="AK885" s="145">
        <v>3</v>
      </c>
      <c r="AL885" s="145" t="s">
        <v>400</v>
      </c>
      <c r="AM885" s="145" t="s">
        <v>400</v>
      </c>
    </row>
    <row r="886" spans="1:39">
      <c r="A886" s="143" t="s">
        <v>1946</v>
      </c>
      <c r="B886" s="144">
        <v>100</v>
      </c>
      <c r="C886" s="145">
        <v>397</v>
      </c>
      <c r="D886" s="145">
        <v>29.06</v>
      </c>
      <c r="E886" s="145">
        <v>30.3</v>
      </c>
      <c r="F886" s="145">
        <v>11.12</v>
      </c>
      <c r="G886" s="145">
        <v>13.48</v>
      </c>
      <c r="H886" s="145">
        <v>2.73</v>
      </c>
      <c r="I886" s="145">
        <v>2.5099999999999998</v>
      </c>
      <c r="J886" s="145">
        <v>0.11</v>
      </c>
      <c r="K886" s="145">
        <v>121</v>
      </c>
      <c r="L886" s="145" t="s">
        <v>400</v>
      </c>
      <c r="M886" s="145" t="s">
        <v>400</v>
      </c>
      <c r="N886" s="145">
        <v>47</v>
      </c>
      <c r="O886" s="145">
        <v>24</v>
      </c>
      <c r="P886" s="145">
        <v>1.4E-2</v>
      </c>
      <c r="Q886" s="145">
        <v>261</v>
      </c>
      <c r="R886" s="145">
        <v>1.85</v>
      </c>
      <c r="S886" s="145">
        <v>93</v>
      </c>
      <c r="T886" s="145">
        <v>320</v>
      </c>
      <c r="U886" s="145">
        <v>0.14199999999999999</v>
      </c>
      <c r="V886" s="145">
        <v>4.5999999999999996</v>
      </c>
      <c r="W886" s="145">
        <v>3</v>
      </c>
      <c r="X886" s="145">
        <v>0.40799999999999997</v>
      </c>
      <c r="Y886" s="145">
        <v>0.38200000000000001</v>
      </c>
      <c r="Z886" s="146">
        <v>0.35</v>
      </c>
      <c r="AA886" s="145">
        <v>5.4749999999999996</v>
      </c>
      <c r="AB886" s="145" t="s">
        <v>400</v>
      </c>
      <c r="AC886" s="145">
        <v>11.625</v>
      </c>
      <c r="AD886" s="145">
        <v>1.08</v>
      </c>
      <c r="AE886" s="145">
        <v>4</v>
      </c>
      <c r="AF886" s="145">
        <v>1.1000000000000001</v>
      </c>
      <c r="AG886" s="145">
        <v>0.34</v>
      </c>
      <c r="AH886" s="145">
        <v>8.2000000000000003E-2</v>
      </c>
      <c r="AI886" s="145">
        <v>333</v>
      </c>
      <c r="AJ886" s="145">
        <v>37.4</v>
      </c>
      <c r="AK886" s="145">
        <v>3</v>
      </c>
      <c r="AL886" s="145" t="s">
        <v>400</v>
      </c>
      <c r="AM886" s="145" t="s">
        <v>400</v>
      </c>
    </row>
    <row r="887" spans="1:39">
      <c r="A887" s="143" t="s">
        <v>1947</v>
      </c>
      <c r="B887" s="144">
        <v>100</v>
      </c>
      <c r="C887" s="145">
        <v>397</v>
      </c>
      <c r="D887" s="145">
        <v>29.06</v>
      </c>
      <c r="E887" s="145">
        <v>30.3</v>
      </c>
      <c r="F887" s="145">
        <v>11.12</v>
      </c>
      <c r="G887" s="145">
        <v>13.48</v>
      </c>
      <c r="H887" s="145">
        <v>2.73</v>
      </c>
      <c r="I887" s="145">
        <v>2.5099999999999998</v>
      </c>
      <c r="J887" s="145">
        <v>0.11</v>
      </c>
      <c r="K887" s="145">
        <v>121</v>
      </c>
      <c r="L887" s="145" t="s">
        <v>400</v>
      </c>
      <c r="M887" s="145" t="s">
        <v>400</v>
      </c>
      <c r="N887" s="145">
        <v>47</v>
      </c>
      <c r="O887" s="145">
        <v>24</v>
      </c>
      <c r="P887" s="145">
        <v>1.4E-2</v>
      </c>
      <c r="Q887" s="145">
        <v>261</v>
      </c>
      <c r="R887" s="145">
        <v>1.85</v>
      </c>
      <c r="S887" s="145">
        <v>93</v>
      </c>
      <c r="T887" s="145">
        <v>320</v>
      </c>
      <c r="U887" s="145">
        <v>0.14199999999999999</v>
      </c>
      <c r="V887" s="145">
        <v>4.5999999999999996</v>
      </c>
      <c r="W887" s="145">
        <v>3</v>
      </c>
      <c r="X887" s="145">
        <v>0.40799999999999997</v>
      </c>
      <c r="Y887" s="145">
        <v>0.38200000000000001</v>
      </c>
      <c r="Z887" s="146">
        <v>0.35</v>
      </c>
      <c r="AA887" s="145">
        <v>5.4749999999999996</v>
      </c>
      <c r="AB887" s="145" t="s">
        <v>400</v>
      </c>
      <c r="AC887" s="145">
        <v>11.625</v>
      </c>
      <c r="AD887" s="145">
        <v>1.08</v>
      </c>
      <c r="AE887" s="145">
        <v>4</v>
      </c>
      <c r="AF887" s="145">
        <v>1.1000000000000001</v>
      </c>
      <c r="AG887" s="145">
        <v>0.34</v>
      </c>
      <c r="AH887" s="145">
        <v>8.2000000000000003E-2</v>
      </c>
      <c r="AI887" s="145">
        <v>333</v>
      </c>
      <c r="AJ887" s="145">
        <v>37.4</v>
      </c>
      <c r="AK887" s="145">
        <v>3</v>
      </c>
      <c r="AL887" s="145" t="s">
        <v>400</v>
      </c>
      <c r="AM887" s="145" t="s">
        <v>400</v>
      </c>
    </row>
    <row r="888" spans="1:39">
      <c r="A888" s="143" t="s">
        <v>1948</v>
      </c>
      <c r="B888" s="144">
        <v>100</v>
      </c>
      <c r="C888" s="145">
        <v>397</v>
      </c>
      <c r="D888" s="145">
        <v>29.06</v>
      </c>
      <c r="E888" s="145">
        <v>30.3</v>
      </c>
      <c r="F888" s="145">
        <v>11.12</v>
      </c>
      <c r="G888" s="145">
        <v>13.48</v>
      </c>
      <c r="H888" s="145">
        <v>2.73</v>
      </c>
      <c r="I888" s="145">
        <v>2.5099999999999998</v>
      </c>
      <c r="J888" s="145">
        <v>0.11</v>
      </c>
      <c r="K888" s="145">
        <v>121</v>
      </c>
      <c r="L888" s="145" t="s">
        <v>400</v>
      </c>
      <c r="M888" s="145" t="s">
        <v>400</v>
      </c>
      <c r="N888" s="145">
        <v>47</v>
      </c>
      <c r="O888" s="145">
        <v>24</v>
      </c>
      <c r="P888" s="145">
        <v>1.4E-2</v>
      </c>
      <c r="Q888" s="145">
        <v>261</v>
      </c>
      <c r="R888" s="145">
        <v>1.85</v>
      </c>
      <c r="S888" s="145">
        <v>93</v>
      </c>
      <c r="T888" s="145">
        <v>320</v>
      </c>
      <c r="U888" s="145">
        <v>0.14199999999999999</v>
      </c>
      <c r="V888" s="145">
        <v>4.5999999999999996</v>
      </c>
      <c r="W888" s="145">
        <v>3</v>
      </c>
      <c r="X888" s="145">
        <v>0.40799999999999997</v>
      </c>
      <c r="Y888" s="145">
        <v>0.38200000000000001</v>
      </c>
      <c r="Z888" s="146">
        <v>0.35</v>
      </c>
      <c r="AA888" s="145">
        <v>5.4749999999999996</v>
      </c>
      <c r="AB888" s="145" t="s">
        <v>400</v>
      </c>
      <c r="AC888" s="145">
        <v>11.625</v>
      </c>
      <c r="AD888" s="145">
        <v>1.08</v>
      </c>
      <c r="AE888" s="145">
        <v>4</v>
      </c>
      <c r="AF888" s="145">
        <v>1.1000000000000001</v>
      </c>
      <c r="AG888" s="145">
        <v>0.34</v>
      </c>
      <c r="AH888" s="145">
        <v>8.2000000000000003E-2</v>
      </c>
      <c r="AI888" s="145">
        <v>333</v>
      </c>
      <c r="AJ888" s="145">
        <v>37.4</v>
      </c>
      <c r="AK888" s="145">
        <v>3</v>
      </c>
      <c r="AL888" s="145" t="s">
        <v>400</v>
      </c>
      <c r="AM888" s="145" t="s">
        <v>400</v>
      </c>
    </row>
    <row r="889" spans="1:39">
      <c r="A889" s="143" t="s">
        <v>1949</v>
      </c>
      <c r="B889" s="144">
        <v>100</v>
      </c>
      <c r="C889" s="145">
        <v>397</v>
      </c>
      <c r="D889" s="145">
        <v>29.06</v>
      </c>
      <c r="E889" s="145">
        <v>30.3</v>
      </c>
      <c r="F889" s="145">
        <v>11.12</v>
      </c>
      <c r="G889" s="145">
        <v>13.48</v>
      </c>
      <c r="H889" s="145">
        <v>2.73</v>
      </c>
      <c r="I889" s="145">
        <v>2.5099999999999998</v>
      </c>
      <c r="J889" s="145">
        <v>0.11</v>
      </c>
      <c r="K889" s="145">
        <v>121</v>
      </c>
      <c r="L889" s="145" t="s">
        <v>400</v>
      </c>
      <c r="M889" s="145" t="s">
        <v>400</v>
      </c>
      <c r="N889" s="145">
        <v>47</v>
      </c>
      <c r="O889" s="145">
        <v>24</v>
      </c>
      <c r="P889" s="145">
        <v>1.4E-2</v>
      </c>
      <c r="Q889" s="145">
        <v>261</v>
      </c>
      <c r="R889" s="145">
        <v>1.85</v>
      </c>
      <c r="S889" s="145">
        <v>93</v>
      </c>
      <c r="T889" s="145">
        <v>320</v>
      </c>
      <c r="U889" s="145">
        <v>0.14199999999999999</v>
      </c>
      <c r="V889" s="145">
        <v>4.5999999999999996</v>
      </c>
      <c r="W889" s="145">
        <v>3</v>
      </c>
      <c r="X889" s="145">
        <v>0.40799999999999997</v>
      </c>
      <c r="Y889" s="145">
        <v>0.38200000000000001</v>
      </c>
      <c r="Z889" s="146">
        <v>0.35</v>
      </c>
      <c r="AA889" s="145">
        <v>5.4749999999999996</v>
      </c>
      <c r="AB889" s="145" t="s">
        <v>400</v>
      </c>
      <c r="AC889" s="145">
        <v>11.625</v>
      </c>
      <c r="AD889" s="145">
        <v>1.08</v>
      </c>
      <c r="AE889" s="145">
        <v>4</v>
      </c>
      <c r="AF889" s="145">
        <v>1.1000000000000001</v>
      </c>
      <c r="AG889" s="145">
        <v>0.34</v>
      </c>
      <c r="AH889" s="145">
        <v>8.2000000000000003E-2</v>
      </c>
      <c r="AI889" s="145">
        <v>333</v>
      </c>
      <c r="AJ889" s="145">
        <v>37.4</v>
      </c>
      <c r="AK889" s="145">
        <v>3</v>
      </c>
      <c r="AL889" s="145" t="s">
        <v>400</v>
      </c>
      <c r="AM889" s="145" t="s">
        <v>400</v>
      </c>
    </row>
    <row r="890" spans="1:39">
      <c r="A890" s="143" t="s">
        <v>1950</v>
      </c>
      <c r="B890" s="144">
        <v>100</v>
      </c>
      <c r="C890" s="145">
        <v>322.39999999999998</v>
      </c>
      <c r="D890" s="145">
        <v>23.512</v>
      </c>
      <c r="E890" s="145">
        <v>24.276</v>
      </c>
      <c r="F890" s="145">
        <v>8.9009999999999998</v>
      </c>
      <c r="G890" s="145">
        <v>10.789</v>
      </c>
      <c r="H890" s="145">
        <v>2.1989999999999998</v>
      </c>
      <c r="I890" s="145">
        <v>2.0219999999999998</v>
      </c>
      <c r="J890" s="145">
        <v>8.8999999999999996E-2</v>
      </c>
      <c r="K890" s="145">
        <v>96.8</v>
      </c>
      <c r="L890" s="145">
        <v>1.0760000000000001</v>
      </c>
      <c r="M890" s="145">
        <v>0.3</v>
      </c>
      <c r="N890" s="145">
        <v>40.200000000000003</v>
      </c>
      <c r="O890" s="145">
        <v>22.4</v>
      </c>
      <c r="P890" s="145">
        <v>3.3000000000000002E-2</v>
      </c>
      <c r="Q890" s="145">
        <v>214</v>
      </c>
      <c r="R890" s="145">
        <v>1.6839999999999999</v>
      </c>
      <c r="S890" s="145">
        <v>179.2</v>
      </c>
      <c r="T890" s="145">
        <v>322.2</v>
      </c>
      <c r="U890" s="145">
        <v>0.13700000000000001</v>
      </c>
      <c r="V890" s="145">
        <v>3.72</v>
      </c>
      <c r="W890" s="145">
        <v>2.4</v>
      </c>
      <c r="X890" s="145">
        <v>0.33100000000000002</v>
      </c>
      <c r="Y890" s="145">
        <v>0.31900000000000001</v>
      </c>
      <c r="Z890" s="146">
        <v>0.29899999999999999</v>
      </c>
      <c r="AA890" s="145">
        <v>4.5750000000000002</v>
      </c>
      <c r="AB890" s="145">
        <v>1.4</v>
      </c>
      <c r="AC890" s="145">
        <v>9.5280000000000005</v>
      </c>
      <c r="AD890" s="145">
        <v>0.86399999999999999</v>
      </c>
      <c r="AE890" s="145">
        <v>5.4</v>
      </c>
      <c r="AF890" s="145">
        <v>0.88</v>
      </c>
      <c r="AG890" s="145">
        <v>0.55600000000000005</v>
      </c>
      <c r="AH890" s="145">
        <v>6.6000000000000003E-2</v>
      </c>
      <c r="AI890" s="145">
        <v>333</v>
      </c>
      <c r="AJ890" s="145">
        <v>29.96</v>
      </c>
      <c r="AK890" s="145">
        <v>5.883</v>
      </c>
      <c r="AL890" s="145">
        <v>0.85</v>
      </c>
      <c r="AM890" s="145" t="s">
        <v>400</v>
      </c>
    </row>
    <row r="891" spans="1:39">
      <c r="A891" s="143" t="s">
        <v>1951</v>
      </c>
      <c r="B891" s="144">
        <v>100</v>
      </c>
      <c r="C891" s="145">
        <v>397</v>
      </c>
      <c r="D891" s="145">
        <v>29.06</v>
      </c>
      <c r="E891" s="145">
        <v>30.3</v>
      </c>
      <c r="F891" s="145">
        <v>11.12</v>
      </c>
      <c r="G891" s="145">
        <v>13.48</v>
      </c>
      <c r="H891" s="145">
        <v>2.73</v>
      </c>
      <c r="I891" s="145">
        <v>2.5099999999999998</v>
      </c>
      <c r="J891" s="145">
        <v>0.11</v>
      </c>
      <c r="K891" s="145">
        <v>121</v>
      </c>
      <c r="L891" s="145" t="s">
        <v>400</v>
      </c>
      <c r="M891" s="145" t="s">
        <v>400</v>
      </c>
      <c r="N891" s="145">
        <v>47</v>
      </c>
      <c r="O891" s="145">
        <v>24</v>
      </c>
      <c r="P891" s="145">
        <v>1.4E-2</v>
      </c>
      <c r="Q891" s="145">
        <v>261</v>
      </c>
      <c r="R891" s="145">
        <v>1.85</v>
      </c>
      <c r="S891" s="145">
        <v>93</v>
      </c>
      <c r="T891" s="145">
        <v>320</v>
      </c>
      <c r="U891" s="145">
        <v>0.14199999999999999</v>
      </c>
      <c r="V891" s="145">
        <v>4.5999999999999996</v>
      </c>
      <c r="W891" s="145">
        <v>3</v>
      </c>
      <c r="X891" s="145">
        <v>0.40799999999999997</v>
      </c>
      <c r="Y891" s="145">
        <v>0.38200000000000001</v>
      </c>
      <c r="Z891" s="146">
        <v>0.35</v>
      </c>
      <c r="AA891" s="145">
        <v>5.4749999999999996</v>
      </c>
      <c r="AB891" s="145" t="s">
        <v>400</v>
      </c>
      <c r="AC891" s="145">
        <v>11.625</v>
      </c>
      <c r="AD891" s="145">
        <v>1.08</v>
      </c>
      <c r="AE891" s="145">
        <v>4</v>
      </c>
      <c r="AF891" s="145">
        <v>1.1000000000000001</v>
      </c>
      <c r="AG891" s="145">
        <v>0.34</v>
      </c>
      <c r="AH891" s="145">
        <v>8.2000000000000003E-2</v>
      </c>
      <c r="AI891" s="145">
        <v>333</v>
      </c>
      <c r="AJ891" s="145">
        <v>37.4</v>
      </c>
      <c r="AK891" s="145">
        <v>3</v>
      </c>
      <c r="AL891" s="145" t="s">
        <v>400</v>
      </c>
      <c r="AM891" s="145" t="s">
        <v>400</v>
      </c>
    </row>
    <row r="892" spans="1:39">
      <c r="A892" s="143" t="s">
        <v>1952</v>
      </c>
      <c r="B892" s="144">
        <v>100</v>
      </c>
      <c r="C892" s="145">
        <v>397</v>
      </c>
      <c r="D892" s="145">
        <v>29.06</v>
      </c>
      <c r="E892" s="145">
        <v>30.3</v>
      </c>
      <c r="F892" s="145">
        <v>11.12</v>
      </c>
      <c r="G892" s="145">
        <v>13.48</v>
      </c>
      <c r="H892" s="145">
        <v>2.73</v>
      </c>
      <c r="I892" s="145">
        <v>2.5099999999999998</v>
      </c>
      <c r="J892" s="145">
        <v>0.11</v>
      </c>
      <c r="K892" s="145">
        <v>121</v>
      </c>
      <c r="L892" s="145" t="s">
        <v>400</v>
      </c>
      <c r="M892" s="145" t="s">
        <v>400</v>
      </c>
      <c r="N892" s="145">
        <v>47</v>
      </c>
      <c r="O892" s="145">
        <v>24</v>
      </c>
      <c r="P892" s="145">
        <v>1.4E-2</v>
      </c>
      <c r="Q892" s="145">
        <v>261</v>
      </c>
      <c r="R892" s="145">
        <v>1.85</v>
      </c>
      <c r="S892" s="145">
        <v>93</v>
      </c>
      <c r="T892" s="145">
        <v>320</v>
      </c>
      <c r="U892" s="145">
        <v>0.14199999999999999</v>
      </c>
      <c r="V892" s="145">
        <v>4.5999999999999996</v>
      </c>
      <c r="W892" s="145">
        <v>3</v>
      </c>
      <c r="X892" s="145">
        <v>0.40799999999999997</v>
      </c>
      <c r="Y892" s="145">
        <v>0.38200000000000001</v>
      </c>
      <c r="Z892" s="146">
        <v>0.35</v>
      </c>
      <c r="AA892" s="145">
        <v>5.4749999999999996</v>
      </c>
      <c r="AB892" s="145" t="s">
        <v>400</v>
      </c>
      <c r="AC892" s="145">
        <v>11.625</v>
      </c>
      <c r="AD892" s="145">
        <v>1.08</v>
      </c>
      <c r="AE892" s="145">
        <v>4</v>
      </c>
      <c r="AF892" s="145">
        <v>1.1000000000000001</v>
      </c>
      <c r="AG892" s="145">
        <v>0.34</v>
      </c>
      <c r="AH892" s="145">
        <v>8.2000000000000003E-2</v>
      </c>
      <c r="AI892" s="145">
        <v>333</v>
      </c>
      <c r="AJ892" s="145">
        <v>37.4</v>
      </c>
      <c r="AK892" s="145">
        <v>3</v>
      </c>
      <c r="AL892" s="145" t="s">
        <v>400</v>
      </c>
      <c r="AM892" s="145" t="s">
        <v>400</v>
      </c>
    </row>
    <row r="893" spans="1:39">
      <c r="A893" s="143" t="s">
        <v>1953</v>
      </c>
      <c r="B893" s="144">
        <v>100</v>
      </c>
      <c r="C893" s="145">
        <v>289</v>
      </c>
      <c r="D893" s="145">
        <v>25.34</v>
      </c>
      <c r="E893" s="145">
        <v>20.059999999999999</v>
      </c>
      <c r="F893" s="145">
        <v>7.36</v>
      </c>
      <c r="G893" s="145">
        <v>9.02</v>
      </c>
      <c r="H893" s="145">
        <v>1.89</v>
      </c>
      <c r="I893" s="145">
        <v>1.71</v>
      </c>
      <c r="J893" s="145">
        <v>0.06</v>
      </c>
      <c r="K893" s="145">
        <v>92</v>
      </c>
      <c r="L893" s="145" t="s">
        <v>400</v>
      </c>
      <c r="M893" s="145" t="s">
        <v>400</v>
      </c>
      <c r="N893" s="145">
        <v>15</v>
      </c>
      <c r="O893" s="145">
        <v>22</v>
      </c>
      <c r="P893" s="145">
        <v>2.8000000000000001E-2</v>
      </c>
      <c r="Q893" s="145">
        <v>257</v>
      </c>
      <c r="R893" s="145">
        <v>0.98</v>
      </c>
      <c r="S893" s="145">
        <v>59</v>
      </c>
      <c r="T893" s="145">
        <v>338</v>
      </c>
      <c r="U893" s="145">
        <v>9.8000000000000004E-2</v>
      </c>
      <c r="V893" s="145">
        <v>3.06</v>
      </c>
      <c r="W893" s="145">
        <v>3</v>
      </c>
      <c r="X893" s="145">
        <v>0.57799999999999996</v>
      </c>
      <c r="Y893" s="145">
        <v>0.30199999999999999</v>
      </c>
      <c r="Z893" s="146">
        <v>0.40100000000000002</v>
      </c>
      <c r="AA893" s="145">
        <v>4.46</v>
      </c>
      <c r="AB893" s="145">
        <v>0.3</v>
      </c>
      <c r="AC893" s="145">
        <v>9.4770000000000003</v>
      </c>
      <c r="AD893" s="145">
        <v>0.66</v>
      </c>
      <c r="AE893" s="145">
        <v>5</v>
      </c>
      <c r="AF893" s="145">
        <v>1.1000000000000001</v>
      </c>
      <c r="AG893" s="145">
        <v>0.22</v>
      </c>
      <c r="AH893" s="145">
        <v>3.6999999999999998E-2</v>
      </c>
      <c r="AI893" s="145">
        <v>166</v>
      </c>
      <c r="AJ893" s="145">
        <v>43.3</v>
      </c>
      <c r="AK893" s="145">
        <v>3</v>
      </c>
      <c r="AL893" s="145" t="s">
        <v>400</v>
      </c>
      <c r="AM893" s="145" t="s">
        <v>400</v>
      </c>
    </row>
    <row r="894" spans="1:39">
      <c r="A894" s="143" t="s">
        <v>1954</v>
      </c>
      <c r="B894" s="144">
        <v>100</v>
      </c>
      <c r="C894" s="145">
        <v>289</v>
      </c>
      <c r="D894" s="145">
        <v>25.34</v>
      </c>
      <c r="E894" s="145">
        <v>20.059999999999999</v>
      </c>
      <c r="F894" s="145">
        <v>7.36</v>
      </c>
      <c r="G894" s="145">
        <v>9.02</v>
      </c>
      <c r="H894" s="145">
        <v>1.89</v>
      </c>
      <c r="I894" s="145">
        <v>1.71</v>
      </c>
      <c r="J894" s="145">
        <v>0.06</v>
      </c>
      <c r="K894" s="145">
        <v>92</v>
      </c>
      <c r="L894" s="145" t="s">
        <v>400</v>
      </c>
      <c r="M894" s="145" t="s">
        <v>400</v>
      </c>
      <c r="N894" s="145">
        <v>15</v>
      </c>
      <c r="O894" s="145">
        <v>22</v>
      </c>
      <c r="P894" s="145">
        <v>2.8000000000000001E-2</v>
      </c>
      <c r="Q894" s="145">
        <v>257</v>
      </c>
      <c r="R894" s="145">
        <v>0.98</v>
      </c>
      <c r="S894" s="145">
        <v>59</v>
      </c>
      <c r="T894" s="145">
        <v>338</v>
      </c>
      <c r="U894" s="145">
        <v>9.8000000000000004E-2</v>
      </c>
      <c r="V894" s="145">
        <v>3.06</v>
      </c>
      <c r="W894" s="145">
        <v>3</v>
      </c>
      <c r="X894" s="145">
        <v>0.57799999999999996</v>
      </c>
      <c r="Y894" s="145">
        <v>0.30199999999999999</v>
      </c>
      <c r="Z894" s="146">
        <v>0.40100000000000002</v>
      </c>
      <c r="AA894" s="145">
        <v>4.46</v>
      </c>
      <c r="AB894" s="145">
        <v>0.3</v>
      </c>
      <c r="AC894" s="145">
        <v>9.4770000000000003</v>
      </c>
      <c r="AD894" s="145">
        <v>0.66</v>
      </c>
      <c r="AE894" s="145">
        <v>5</v>
      </c>
      <c r="AF894" s="145">
        <v>1.1000000000000001</v>
      </c>
      <c r="AG894" s="145">
        <v>0.22</v>
      </c>
      <c r="AH894" s="145">
        <v>3.6999999999999998E-2</v>
      </c>
      <c r="AI894" s="145">
        <v>166</v>
      </c>
      <c r="AJ894" s="145">
        <v>43.3</v>
      </c>
      <c r="AK894" s="145">
        <v>3</v>
      </c>
      <c r="AL894" s="145" t="s">
        <v>400</v>
      </c>
      <c r="AM894" s="145" t="s">
        <v>400</v>
      </c>
    </row>
    <row r="895" spans="1:39">
      <c r="A895" s="143" t="s">
        <v>1955</v>
      </c>
      <c r="B895" s="144">
        <v>100</v>
      </c>
      <c r="C895" s="145">
        <v>289</v>
      </c>
      <c r="D895" s="145">
        <v>25.34</v>
      </c>
      <c r="E895" s="145">
        <v>20.059999999999999</v>
      </c>
      <c r="F895" s="145">
        <v>7.36</v>
      </c>
      <c r="G895" s="145">
        <v>9.02</v>
      </c>
      <c r="H895" s="145">
        <v>1.89</v>
      </c>
      <c r="I895" s="145">
        <v>1.71</v>
      </c>
      <c r="J895" s="145">
        <v>0.06</v>
      </c>
      <c r="K895" s="145">
        <v>92</v>
      </c>
      <c r="L895" s="145" t="s">
        <v>400</v>
      </c>
      <c r="M895" s="145" t="s">
        <v>400</v>
      </c>
      <c r="N895" s="145">
        <v>15</v>
      </c>
      <c r="O895" s="145">
        <v>22</v>
      </c>
      <c r="P895" s="145">
        <v>2.8000000000000001E-2</v>
      </c>
      <c r="Q895" s="145">
        <v>257</v>
      </c>
      <c r="R895" s="145">
        <v>0.98</v>
      </c>
      <c r="S895" s="145">
        <v>59</v>
      </c>
      <c r="T895" s="145">
        <v>338</v>
      </c>
      <c r="U895" s="145">
        <v>9.8000000000000004E-2</v>
      </c>
      <c r="V895" s="145">
        <v>3.06</v>
      </c>
      <c r="W895" s="145">
        <v>3</v>
      </c>
      <c r="X895" s="145">
        <v>0.57799999999999996</v>
      </c>
      <c r="Y895" s="145">
        <v>0.30199999999999999</v>
      </c>
      <c r="Z895" s="146">
        <v>0.40100000000000002</v>
      </c>
      <c r="AA895" s="145">
        <v>4.46</v>
      </c>
      <c r="AB895" s="145">
        <v>0.3</v>
      </c>
      <c r="AC895" s="145">
        <v>9.4770000000000003</v>
      </c>
      <c r="AD895" s="145">
        <v>0.66</v>
      </c>
      <c r="AE895" s="145">
        <v>5</v>
      </c>
      <c r="AF895" s="145">
        <v>1.1000000000000001</v>
      </c>
      <c r="AG895" s="145">
        <v>0.22</v>
      </c>
      <c r="AH895" s="145">
        <v>3.6999999999999998E-2</v>
      </c>
      <c r="AI895" s="145">
        <v>166</v>
      </c>
      <c r="AJ895" s="145">
        <v>43.3</v>
      </c>
      <c r="AK895" s="145">
        <v>3</v>
      </c>
      <c r="AL895" s="145" t="s">
        <v>400</v>
      </c>
      <c r="AM895" s="145" t="s">
        <v>400</v>
      </c>
    </row>
    <row r="896" spans="1:39">
      <c r="A896" s="143" t="s">
        <v>1956</v>
      </c>
      <c r="B896" s="144">
        <v>100</v>
      </c>
      <c r="C896" s="145">
        <v>338.56700000000001</v>
      </c>
      <c r="D896" s="145">
        <v>25.34</v>
      </c>
      <c r="E896" s="145">
        <v>25.667000000000002</v>
      </c>
      <c r="F896" s="145">
        <v>8.2379999999999995</v>
      </c>
      <c r="G896" s="145">
        <v>10.297000000000001</v>
      </c>
      <c r="H896" s="145">
        <v>5.1280000000000001</v>
      </c>
      <c r="I896" s="145">
        <v>4.5670000000000002</v>
      </c>
      <c r="J896" s="145">
        <v>0.441</v>
      </c>
      <c r="K896" s="145">
        <v>92</v>
      </c>
      <c r="L896" s="145" t="s">
        <v>400</v>
      </c>
      <c r="M896" s="145" t="s">
        <v>400</v>
      </c>
      <c r="N896" s="145">
        <v>15</v>
      </c>
      <c r="O896" s="145">
        <v>22</v>
      </c>
      <c r="P896" s="145">
        <v>2.8000000000000001E-2</v>
      </c>
      <c r="Q896" s="145">
        <v>257</v>
      </c>
      <c r="R896" s="145">
        <v>0.98299999999999998</v>
      </c>
      <c r="S896" s="145">
        <v>59</v>
      </c>
      <c r="T896" s="145">
        <v>338</v>
      </c>
      <c r="U896" s="145">
        <v>9.8000000000000004E-2</v>
      </c>
      <c r="V896" s="145">
        <v>3.0609999999999999</v>
      </c>
      <c r="W896" s="145">
        <v>3</v>
      </c>
      <c r="X896" s="145">
        <v>0.57799999999999996</v>
      </c>
      <c r="Y896" s="145">
        <v>0.30199999999999999</v>
      </c>
      <c r="Z896" s="146">
        <v>0.40100000000000002</v>
      </c>
      <c r="AA896" s="145">
        <v>4.46</v>
      </c>
      <c r="AB896" s="145">
        <v>0.3</v>
      </c>
      <c r="AC896" s="145">
        <v>9.4770000000000003</v>
      </c>
      <c r="AD896" s="145">
        <v>0.66</v>
      </c>
      <c r="AE896" s="145">
        <v>5</v>
      </c>
      <c r="AF896" s="145">
        <v>1.1000000000000001</v>
      </c>
      <c r="AG896" s="145">
        <v>0.67900000000000005</v>
      </c>
      <c r="AH896" s="145">
        <v>6.7000000000000004E-2</v>
      </c>
      <c r="AI896" s="145">
        <v>166</v>
      </c>
      <c r="AJ896" s="145">
        <v>45.87</v>
      </c>
      <c r="AK896" s="145">
        <v>3</v>
      </c>
      <c r="AL896" s="145" t="s">
        <v>400</v>
      </c>
      <c r="AM896" s="145" t="s">
        <v>400</v>
      </c>
    </row>
    <row r="897" spans="1:39">
      <c r="A897" s="143" t="s">
        <v>1957</v>
      </c>
      <c r="B897" s="144">
        <v>100</v>
      </c>
      <c r="C897" s="145">
        <v>541</v>
      </c>
      <c r="D897" s="145">
        <v>37.04</v>
      </c>
      <c r="E897" s="145">
        <v>41.78</v>
      </c>
      <c r="F897" s="145">
        <v>13.739000000000001</v>
      </c>
      <c r="G897" s="145">
        <v>18.52</v>
      </c>
      <c r="H897" s="145">
        <v>4.548</v>
      </c>
      <c r="I897" s="145">
        <v>4</v>
      </c>
      <c r="J897" s="145">
        <v>0.2</v>
      </c>
      <c r="K897" s="145">
        <v>110</v>
      </c>
      <c r="L897" s="145">
        <v>1.43</v>
      </c>
      <c r="M897" s="145" t="s">
        <v>400</v>
      </c>
      <c r="N897" s="145">
        <v>11</v>
      </c>
      <c r="O897" s="145">
        <v>33</v>
      </c>
      <c r="P897" s="145">
        <v>2.1999999999999999E-2</v>
      </c>
      <c r="Q897" s="145">
        <v>533</v>
      </c>
      <c r="R897" s="145">
        <v>1.44</v>
      </c>
      <c r="S897" s="145">
        <v>2310</v>
      </c>
      <c r="T897" s="145">
        <v>565</v>
      </c>
      <c r="U897" s="145">
        <v>0.16400000000000001</v>
      </c>
      <c r="V897" s="145">
        <v>3.5</v>
      </c>
      <c r="W897" s="145">
        <v>11</v>
      </c>
      <c r="X897" s="145">
        <v>0.40400000000000003</v>
      </c>
      <c r="Y897" s="145">
        <v>0.26400000000000001</v>
      </c>
      <c r="Z897" s="146">
        <v>0.34899999999999998</v>
      </c>
      <c r="AA897" s="145">
        <v>11.099</v>
      </c>
      <c r="AB897" s="145" t="s">
        <v>400</v>
      </c>
      <c r="AC897" s="145">
        <v>16.449000000000002</v>
      </c>
      <c r="AD897" s="145">
        <v>1.23</v>
      </c>
      <c r="AE897" s="145">
        <v>2</v>
      </c>
      <c r="AF897" s="145">
        <v>0.7</v>
      </c>
      <c r="AG897" s="145">
        <v>0.31</v>
      </c>
      <c r="AH897" s="145">
        <v>0.31</v>
      </c>
      <c r="AI897" s="145" t="s">
        <v>400</v>
      </c>
      <c r="AJ897" s="145">
        <v>62</v>
      </c>
      <c r="AK897" s="145">
        <v>11</v>
      </c>
      <c r="AL897" s="145">
        <v>0.59</v>
      </c>
      <c r="AM897" s="145">
        <v>1.43</v>
      </c>
    </row>
    <row r="898" spans="1:39">
      <c r="A898" s="143" t="s">
        <v>1958</v>
      </c>
      <c r="B898" s="144">
        <v>100</v>
      </c>
      <c r="C898" s="145">
        <v>165</v>
      </c>
      <c r="D898" s="145">
        <v>26.02</v>
      </c>
      <c r="E898" s="145">
        <v>4.4000000000000004</v>
      </c>
      <c r="F898" s="145">
        <v>1.41</v>
      </c>
      <c r="G898" s="145">
        <v>0.63</v>
      </c>
      <c r="H898" s="145">
        <v>1.05</v>
      </c>
      <c r="I898" s="145">
        <v>0.42</v>
      </c>
      <c r="J898" s="145">
        <v>0.04</v>
      </c>
      <c r="K898" s="145">
        <v>355</v>
      </c>
      <c r="L898" s="145">
        <v>3.76</v>
      </c>
      <c r="M898" s="145" t="s">
        <v>400</v>
      </c>
      <c r="N898" s="145">
        <v>10</v>
      </c>
      <c r="O898" s="145">
        <v>14</v>
      </c>
      <c r="P898" s="145">
        <v>0.3</v>
      </c>
      <c r="Q898" s="145">
        <v>241</v>
      </c>
      <c r="R898" s="145">
        <v>17.920000000000002</v>
      </c>
      <c r="S898" s="145">
        <v>49</v>
      </c>
      <c r="T898" s="145">
        <v>150</v>
      </c>
      <c r="U898" s="145">
        <v>0.63400000000000001</v>
      </c>
      <c r="V898" s="145">
        <v>6.72</v>
      </c>
      <c r="W898" s="145">
        <v>5405</v>
      </c>
      <c r="X898" s="145">
        <v>0.25800000000000001</v>
      </c>
      <c r="Y898" s="145">
        <v>2.1960000000000002</v>
      </c>
      <c r="Z898" s="146">
        <v>0.56999999999999995</v>
      </c>
      <c r="AA898" s="145">
        <v>8.4350000000000005</v>
      </c>
      <c r="AB898" s="145">
        <v>23.6</v>
      </c>
      <c r="AC898" s="145">
        <v>14.535</v>
      </c>
      <c r="AD898" s="145">
        <v>18.670000000000002</v>
      </c>
      <c r="AE898" s="145">
        <v>163</v>
      </c>
      <c r="AF898" s="145">
        <v>1.1000000000000001</v>
      </c>
      <c r="AG898" s="145">
        <v>0.55500000000000005</v>
      </c>
      <c r="AH898" s="145" t="s">
        <v>400</v>
      </c>
      <c r="AI898" s="145">
        <v>333</v>
      </c>
      <c r="AJ898" s="145">
        <v>67.5</v>
      </c>
      <c r="AK898" s="145">
        <v>5405</v>
      </c>
      <c r="AL898" s="145" t="s">
        <v>400</v>
      </c>
      <c r="AM898" s="145" t="s">
        <v>400</v>
      </c>
    </row>
    <row r="899" spans="1:39">
      <c r="A899" s="143" t="s">
        <v>1959</v>
      </c>
      <c r="B899" s="144">
        <v>100</v>
      </c>
      <c r="C899" s="145">
        <v>100.041</v>
      </c>
      <c r="D899" s="145">
        <v>13.983000000000001</v>
      </c>
      <c r="E899" s="145">
        <v>2.9630000000000001</v>
      </c>
      <c r="F899" s="145">
        <v>0.89900000000000002</v>
      </c>
      <c r="G899" s="145">
        <v>0.626</v>
      </c>
      <c r="H899" s="145">
        <v>0.86</v>
      </c>
      <c r="I899" s="145">
        <v>0.34699999999999998</v>
      </c>
      <c r="J899" s="145">
        <v>6.0000000000000001E-3</v>
      </c>
      <c r="K899" s="145">
        <v>265.67700000000002</v>
      </c>
      <c r="L899" s="145">
        <v>4.18</v>
      </c>
      <c r="M899" s="145">
        <v>0.621</v>
      </c>
      <c r="N899" s="145">
        <v>15.865</v>
      </c>
      <c r="O899" s="145">
        <v>15.946999999999999</v>
      </c>
      <c r="P899" s="145">
        <v>0.222</v>
      </c>
      <c r="Q899" s="145">
        <v>195.69399999999999</v>
      </c>
      <c r="R899" s="145">
        <v>5.1870000000000003</v>
      </c>
      <c r="S899" s="145">
        <v>340.83499999999998</v>
      </c>
      <c r="T899" s="145">
        <v>224.90899999999999</v>
      </c>
      <c r="U899" s="145">
        <v>0.254</v>
      </c>
      <c r="V899" s="145">
        <v>2.202</v>
      </c>
      <c r="W899" s="145">
        <v>1539.8710000000001</v>
      </c>
      <c r="X899" s="145">
        <v>0.14199999999999999</v>
      </c>
      <c r="Y899" s="145">
        <v>0.81299999999999994</v>
      </c>
      <c r="Z899" s="146">
        <v>0.39</v>
      </c>
      <c r="AA899" s="145">
        <v>4.9000000000000004</v>
      </c>
      <c r="AB899" s="145">
        <v>34.222999999999999</v>
      </c>
      <c r="AC899" s="145">
        <v>7.3630000000000004</v>
      </c>
      <c r="AD899" s="145">
        <v>6.657</v>
      </c>
      <c r="AE899" s="145">
        <v>232.50899999999999</v>
      </c>
      <c r="AF899" s="145">
        <v>0.10299999999999999</v>
      </c>
      <c r="AG899" s="145">
        <v>0.57599999999999996</v>
      </c>
      <c r="AH899" s="145">
        <v>5.1999999999999998E-2</v>
      </c>
      <c r="AI899" s="145" t="s">
        <v>400</v>
      </c>
      <c r="AJ899" s="145">
        <v>37.481999999999999</v>
      </c>
      <c r="AK899" s="145">
        <v>1553.6020000000001</v>
      </c>
      <c r="AL899" s="145">
        <v>1.952</v>
      </c>
      <c r="AM899" s="145" t="s">
        <v>400</v>
      </c>
    </row>
    <row r="900" spans="1:39">
      <c r="A900" s="143" t="s">
        <v>1960</v>
      </c>
      <c r="B900" s="144">
        <v>100</v>
      </c>
      <c r="C900" s="145">
        <v>100.041</v>
      </c>
      <c r="D900" s="145">
        <v>13.983000000000001</v>
      </c>
      <c r="E900" s="145">
        <v>2.9630000000000001</v>
      </c>
      <c r="F900" s="145">
        <v>0.89900000000000002</v>
      </c>
      <c r="G900" s="145">
        <v>0.626</v>
      </c>
      <c r="H900" s="145">
        <v>0.86</v>
      </c>
      <c r="I900" s="145">
        <v>0.34699999999999998</v>
      </c>
      <c r="J900" s="145">
        <v>6.0000000000000001E-3</v>
      </c>
      <c r="K900" s="145">
        <v>265.67700000000002</v>
      </c>
      <c r="L900" s="145">
        <v>4.18</v>
      </c>
      <c r="M900" s="145">
        <v>0.621</v>
      </c>
      <c r="N900" s="145">
        <v>15.865</v>
      </c>
      <c r="O900" s="145">
        <v>15.946999999999999</v>
      </c>
      <c r="P900" s="145">
        <v>0.222</v>
      </c>
      <c r="Q900" s="145">
        <v>195.69399999999999</v>
      </c>
      <c r="R900" s="145">
        <v>5.1870000000000003</v>
      </c>
      <c r="S900" s="145">
        <v>340.83499999999998</v>
      </c>
      <c r="T900" s="145">
        <v>224.90899999999999</v>
      </c>
      <c r="U900" s="145">
        <v>0.254</v>
      </c>
      <c r="V900" s="145">
        <v>2.202</v>
      </c>
      <c r="W900" s="145">
        <v>1539.8710000000001</v>
      </c>
      <c r="X900" s="145">
        <v>0.14199999999999999</v>
      </c>
      <c r="Y900" s="145">
        <v>0.81299999999999994</v>
      </c>
      <c r="Z900" s="146">
        <v>0.39</v>
      </c>
      <c r="AA900" s="145">
        <v>4.9000000000000004</v>
      </c>
      <c r="AB900" s="145">
        <v>34.222999999999999</v>
      </c>
      <c r="AC900" s="145">
        <v>7.3630000000000004</v>
      </c>
      <c r="AD900" s="145">
        <v>6.657</v>
      </c>
      <c r="AE900" s="145">
        <v>232.50899999999999</v>
      </c>
      <c r="AF900" s="145">
        <v>0.10299999999999999</v>
      </c>
      <c r="AG900" s="145">
        <v>0.57599999999999996</v>
      </c>
      <c r="AH900" s="145">
        <v>5.1999999999999998E-2</v>
      </c>
      <c r="AI900" s="145" t="s">
        <v>400</v>
      </c>
      <c r="AJ900" s="145">
        <v>37.481999999999999</v>
      </c>
      <c r="AK900" s="145">
        <v>1553.6020000000001</v>
      </c>
      <c r="AL900" s="145">
        <v>1.952</v>
      </c>
      <c r="AM900" s="145" t="s">
        <v>400</v>
      </c>
    </row>
    <row r="901" spans="1:39">
      <c r="A901" s="143" t="s">
        <v>1961</v>
      </c>
      <c r="B901" s="144">
        <v>100</v>
      </c>
      <c r="C901" s="145">
        <v>289</v>
      </c>
      <c r="D901" s="145">
        <v>25.34</v>
      </c>
      <c r="E901" s="145">
        <v>20.059999999999999</v>
      </c>
      <c r="F901" s="145">
        <v>7.36</v>
      </c>
      <c r="G901" s="145">
        <v>9.02</v>
      </c>
      <c r="H901" s="145">
        <v>1.89</v>
      </c>
      <c r="I901" s="145">
        <v>1.71</v>
      </c>
      <c r="J901" s="145">
        <v>0.06</v>
      </c>
      <c r="K901" s="145">
        <v>92</v>
      </c>
      <c r="L901" s="145" t="s">
        <v>400</v>
      </c>
      <c r="M901" s="145" t="s">
        <v>400</v>
      </c>
      <c r="N901" s="145">
        <v>15</v>
      </c>
      <c r="O901" s="145">
        <v>22</v>
      </c>
      <c r="P901" s="145">
        <v>2.8000000000000001E-2</v>
      </c>
      <c r="Q901" s="145">
        <v>257</v>
      </c>
      <c r="R901" s="145">
        <v>0.98</v>
      </c>
      <c r="S901" s="145">
        <v>59</v>
      </c>
      <c r="T901" s="145">
        <v>338</v>
      </c>
      <c r="U901" s="145">
        <v>9.8000000000000004E-2</v>
      </c>
      <c r="V901" s="145">
        <v>3.06</v>
      </c>
      <c r="W901" s="145">
        <v>3</v>
      </c>
      <c r="X901" s="145">
        <v>0.57799999999999996</v>
      </c>
      <c r="Y901" s="145">
        <v>0.30199999999999999</v>
      </c>
      <c r="Z901" s="146">
        <v>0.40100000000000002</v>
      </c>
      <c r="AA901" s="145">
        <v>4.46</v>
      </c>
      <c r="AB901" s="145">
        <v>0.3</v>
      </c>
      <c r="AC901" s="145">
        <v>9.4770000000000003</v>
      </c>
      <c r="AD901" s="145">
        <v>0.66</v>
      </c>
      <c r="AE901" s="145">
        <v>5</v>
      </c>
      <c r="AF901" s="145">
        <v>1.1000000000000001</v>
      </c>
      <c r="AG901" s="145">
        <v>0.22</v>
      </c>
      <c r="AH901" s="145">
        <v>3.6999999999999998E-2</v>
      </c>
      <c r="AI901" s="145">
        <v>166</v>
      </c>
      <c r="AJ901" s="145">
        <v>43.3</v>
      </c>
      <c r="AK901" s="145">
        <v>3</v>
      </c>
      <c r="AL901" s="145" t="s">
        <v>400</v>
      </c>
      <c r="AM901" s="145" t="s">
        <v>400</v>
      </c>
    </row>
    <row r="902" spans="1:39">
      <c r="A902" s="143" t="s">
        <v>1962</v>
      </c>
      <c r="B902" s="144">
        <v>100</v>
      </c>
      <c r="C902" s="145">
        <v>289</v>
      </c>
      <c r="D902" s="145">
        <v>25.34</v>
      </c>
      <c r="E902" s="145">
        <v>20.059999999999999</v>
      </c>
      <c r="F902" s="145">
        <v>7.36</v>
      </c>
      <c r="G902" s="145">
        <v>9.02</v>
      </c>
      <c r="H902" s="145">
        <v>1.89</v>
      </c>
      <c r="I902" s="145">
        <v>1.71</v>
      </c>
      <c r="J902" s="145">
        <v>0.06</v>
      </c>
      <c r="K902" s="145">
        <v>92</v>
      </c>
      <c r="L902" s="145" t="s">
        <v>400</v>
      </c>
      <c r="M902" s="145" t="s">
        <v>400</v>
      </c>
      <c r="N902" s="145">
        <v>15</v>
      </c>
      <c r="O902" s="145">
        <v>22</v>
      </c>
      <c r="P902" s="145">
        <v>2.8000000000000001E-2</v>
      </c>
      <c r="Q902" s="145">
        <v>257</v>
      </c>
      <c r="R902" s="145">
        <v>0.98</v>
      </c>
      <c r="S902" s="145">
        <v>59</v>
      </c>
      <c r="T902" s="145">
        <v>338</v>
      </c>
      <c r="U902" s="145">
        <v>9.8000000000000004E-2</v>
      </c>
      <c r="V902" s="145">
        <v>3.06</v>
      </c>
      <c r="W902" s="145">
        <v>3</v>
      </c>
      <c r="X902" s="145">
        <v>0.57799999999999996</v>
      </c>
      <c r="Y902" s="145">
        <v>0.30199999999999999</v>
      </c>
      <c r="Z902" s="146">
        <v>0.40100000000000002</v>
      </c>
      <c r="AA902" s="145">
        <v>4.46</v>
      </c>
      <c r="AB902" s="145">
        <v>0.3</v>
      </c>
      <c r="AC902" s="145">
        <v>9.4770000000000003</v>
      </c>
      <c r="AD902" s="145">
        <v>0.66</v>
      </c>
      <c r="AE902" s="145">
        <v>5</v>
      </c>
      <c r="AF902" s="145">
        <v>1.1000000000000001</v>
      </c>
      <c r="AG902" s="145">
        <v>0.22</v>
      </c>
      <c r="AH902" s="145">
        <v>3.6999999999999998E-2</v>
      </c>
      <c r="AI902" s="145">
        <v>166</v>
      </c>
      <c r="AJ902" s="145">
        <v>43.3</v>
      </c>
      <c r="AK902" s="145">
        <v>3</v>
      </c>
      <c r="AL902" s="145" t="s">
        <v>400</v>
      </c>
      <c r="AM902" s="145" t="s">
        <v>400</v>
      </c>
    </row>
    <row r="903" spans="1:39">
      <c r="A903" s="143" t="s">
        <v>1963</v>
      </c>
      <c r="B903" s="144">
        <v>100</v>
      </c>
      <c r="C903" s="145">
        <v>289</v>
      </c>
      <c r="D903" s="145">
        <v>25.34</v>
      </c>
      <c r="E903" s="145">
        <v>20.059999999999999</v>
      </c>
      <c r="F903" s="145">
        <v>7.36</v>
      </c>
      <c r="G903" s="145">
        <v>9.02</v>
      </c>
      <c r="H903" s="145">
        <v>1.89</v>
      </c>
      <c r="I903" s="145">
        <v>1.71</v>
      </c>
      <c r="J903" s="145">
        <v>0.06</v>
      </c>
      <c r="K903" s="145">
        <v>92</v>
      </c>
      <c r="L903" s="145" t="s">
        <v>400</v>
      </c>
      <c r="M903" s="145" t="s">
        <v>400</v>
      </c>
      <c r="N903" s="145">
        <v>15</v>
      </c>
      <c r="O903" s="145">
        <v>22</v>
      </c>
      <c r="P903" s="145">
        <v>2.8000000000000001E-2</v>
      </c>
      <c r="Q903" s="145">
        <v>257</v>
      </c>
      <c r="R903" s="145">
        <v>0.98</v>
      </c>
      <c r="S903" s="145">
        <v>59</v>
      </c>
      <c r="T903" s="145">
        <v>338</v>
      </c>
      <c r="U903" s="145">
        <v>9.8000000000000004E-2</v>
      </c>
      <c r="V903" s="145">
        <v>3.06</v>
      </c>
      <c r="W903" s="145">
        <v>3</v>
      </c>
      <c r="X903" s="145">
        <v>0.57799999999999996</v>
      </c>
      <c r="Y903" s="145">
        <v>0.30199999999999999</v>
      </c>
      <c r="Z903" s="146">
        <v>0.40100000000000002</v>
      </c>
      <c r="AA903" s="145">
        <v>4.46</v>
      </c>
      <c r="AB903" s="145">
        <v>0.3</v>
      </c>
      <c r="AC903" s="145">
        <v>9.4770000000000003</v>
      </c>
      <c r="AD903" s="145">
        <v>0.66</v>
      </c>
      <c r="AE903" s="145">
        <v>5</v>
      </c>
      <c r="AF903" s="145">
        <v>1.1000000000000001</v>
      </c>
      <c r="AG903" s="145">
        <v>0.22</v>
      </c>
      <c r="AH903" s="145">
        <v>3.6999999999999998E-2</v>
      </c>
      <c r="AI903" s="145">
        <v>166</v>
      </c>
      <c r="AJ903" s="145">
        <v>43.3</v>
      </c>
      <c r="AK903" s="145">
        <v>3</v>
      </c>
      <c r="AL903" s="145" t="s">
        <v>400</v>
      </c>
      <c r="AM903" s="145" t="s">
        <v>400</v>
      </c>
    </row>
    <row r="904" spans="1:39">
      <c r="A904" s="143" t="s">
        <v>1964</v>
      </c>
      <c r="B904" s="144">
        <v>100</v>
      </c>
      <c r="C904" s="145">
        <v>289</v>
      </c>
      <c r="D904" s="145">
        <v>25.34</v>
      </c>
      <c r="E904" s="145">
        <v>20.059999999999999</v>
      </c>
      <c r="F904" s="145">
        <v>7.36</v>
      </c>
      <c r="G904" s="145">
        <v>9.02</v>
      </c>
      <c r="H904" s="145">
        <v>1.89</v>
      </c>
      <c r="I904" s="145">
        <v>1.71</v>
      </c>
      <c r="J904" s="145">
        <v>0.06</v>
      </c>
      <c r="K904" s="145">
        <v>92</v>
      </c>
      <c r="L904" s="145" t="s">
        <v>400</v>
      </c>
      <c r="M904" s="145" t="s">
        <v>400</v>
      </c>
      <c r="N904" s="145">
        <v>15</v>
      </c>
      <c r="O904" s="145">
        <v>22</v>
      </c>
      <c r="P904" s="145">
        <v>2.8000000000000001E-2</v>
      </c>
      <c r="Q904" s="145">
        <v>257</v>
      </c>
      <c r="R904" s="145">
        <v>0.98</v>
      </c>
      <c r="S904" s="145">
        <v>59</v>
      </c>
      <c r="T904" s="145">
        <v>338</v>
      </c>
      <c r="U904" s="145">
        <v>9.8000000000000004E-2</v>
      </c>
      <c r="V904" s="145">
        <v>3.06</v>
      </c>
      <c r="W904" s="145">
        <v>3</v>
      </c>
      <c r="X904" s="145">
        <v>0.57799999999999996</v>
      </c>
      <c r="Y904" s="145">
        <v>0.30199999999999999</v>
      </c>
      <c r="Z904" s="146">
        <v>0.40100000000000002</v>
      </c>
      <c r="AA904" s="145">
        <v>4.46</v>
      </c>
      <c r="AB904" s="145">
        <v>0.3</v>
      </c>
      <c r="AC904" s="145">
        <v>9.4770000000000003</v>
      </c>
      <c r="AD904" s="145">
        <v>0.66</v>
      </c>
      <c r="AE904" s="145">
        <v>5</v>
      </c>
      <c r="AF904" s="145">
        <v>1.1000000000000001</v>
      </c>
      <c r="AG904" s="145">
        <v>0.22</v>
      </c>
      <c r="AH904" s="145">
        <v>3.6999999999999998E-2</v>
      </c>
      <c r="AI904" s="145">
        <v>166</v>
      </c>
      <c r="AJ904" s="145">
        <v>43.3</v>
      </c>
      <c r="AK904" s="145">
        <v>3</v>
      </c>
      <c r="AL904" s="145" t="s">
        <v>400</v>
      </c>
      <c r="AM904" s="145" t="s">
        <v>400</v>
      </c>
    </row>
    <row r="905" spans="1:39">
      <c r="A905" s="143" t="s">
        <v>1965</v>
      </c>
      <c r="B905" s="144">
        <v>100</v>
      </c>
      <c r="C905" s="145">
        <v>338.56700000000001</v>
      </c>
      <c r="D905" s="145">
        <v>25.34</v>
      </c>
      <c r="E905" s="145">
        <v>25.667000000000002</v>
      </c>
      <c r="F905" s="145">
        <v>8.2379999999999995</v>
      </c>
      <c r="G905" s="145">
        <v>10.297000000000001</v>
      </c>
      <c r="H905" s="145">
        <v>5.1280000000000001</v>
      </c>
      <c r="I905" s="145">
        <v>4.5670000000000002</v>
      </c>
      <c r="J905" s="145">
        <v>0.441</v>
      </c>
      <c r="K905" s="145">
        <v>92</v>
      </c>
      <c r="L905" s="145" t="s">
        <v>400</v>
      </c>
      <c r="M905" s="145" t="s">
        <v>400</v>
      </c>
      <c r="N905" s="145">
        <v>15</v>
      </c>
      <c r="O905" s="145">
        <v>22</v>
      </c>
      <c r="P905" s="145">
        <v>2.8000000000000001E-2</v>
      </c>
      <c r="Q905" s="145">
        <v>257</v>
      </c>
      <c r="R905" s="145">
        <v>0.98299999999999998</v>
      </c>
      <c r="S905" s="145">
        <v>59</v>
      </c>
      <c r="T905" s="145">
        <v>338</v>
      </c>
      <c r="U905" s="145">
        <v>9.8000000000000004E-2</v>
      </c>
      <c r="V905" s="145">
        <v>3.0609999999999999</v>
      </c>
      <c r="W905" s="145">
        <v>3</v>
      </c>
      <c r="X905" s="145">
        <v>0.57799999999999996</v>
      </c>
      <c r="Y905" s="145">
        <v>0.30199999999999999</v>
      </c>
      <c r="Z905" s="146">
        <v>0.40100000000000002</v>
      </c>
      <c r="AA905" s="145">
        <v>4.46</v>
      </c>
      <c r="AB905" s="145">
        <v>0.3</v>
      </c>
      <c r="AC905" s="145">
        <v>9.4770000000000003</v>
      </c>
      <c r="AD905" s="145">
        <v>0.66</v>
      </c>
      <c r="AE905" s="145">
        <v>5</v>
      </c>
      <c r="AF905" s="145">
        <v>1.1000000000000001</v>
      </c>
      <c r="AG905" s="145">
        <v>0.67900000000000005</v>
      </c>
      <c r="AH905" s="145">
        <v>6.7000000000000004E-2</v>
      </c>
      <c r="AI905" s="145">
        <v>166</v>
      </c>
      <c r="AJ905" s="145">
        <v>45.87</v>
      </c>
      <c r="AK905" s="145">
        <v>3</v>
      </c>
      <c r="AL905" s="145" t="s">
        <v>400</v>
      </c>
      <c r="AM905" s="145" t="s">
        <v>400</v>
      </c>
    </row>
    <row r="906" spans="1:39">
      <c r="A906" s="143" t="s">
        <v>1966</v>
      </c>
      <c r="B906" s="144">
        <v>100</v>
      </c>
      <c r="C906" s="145">
        <v>338.56700000000001</v>
      </c>
      <c r="D906" s="145">
        <v>25.34</v>
      </c>
      <c r="E906" s="145">
        <v>25.667000000000002</v>
      </c>
      <c r="F906" s="145">
        <v>8.2379999999999995</v>
      </c>
      <c r="G906" s="145">
        <v>10.297000000000001</v>
      </c>
      <c r="H906" s="145">
        <v>5.1280000000000001</v>
      </c>
      <c r="I906" s="145">
        <v>4.5670000000000002</v>
      </c>
      <c r="J906" s="145">
        <v>0.441</v>
      </c>
      <c r="K906" s="145">
        <v>92</v>
      </c>
      <c r="L906" s="145" t="s">
        <v>400</v>
      </c>
      <c r="M906" s="145" t="s">
        <v>400</v>
      </c>
      <c r="N906" s="145">
        <v>15</v>
      </c>
      <c r="O906" s="145">
        <v>22</v>
      </c>
      <c r="P906" s="145">
        <v>2.8000000000000001E-2</v>
      </c>
      <c r="Q906" s="145">
        <v>257</v>
      </c>
      <c r="R906" s="145">
        <v>0.98299999999999998</v>
      </c>
      <c r="S906" s="145">
        <v>59</v>
      </c>
      <c r="T906" s="145">
        <v>338</v>
      </c>
      <c r="U906" s="145">
        <v>9.8000000000000004E-2</v>
      </c>
      <c r="V906" s="145">
        <v>3.0609999999999999</v>
      </c>
      <c r="W906" s="145">
        <v>3</v>
      </c>
      <c r="X906" s="145">
        <v>0.57799999999999996</v>
      </c>
      <c r="Y906" s="145">
        <v>0.30199999999999999</v>
      </c>
      <c r="Z906" s="146">
        <v>0.40100000000000002</v>
      </c>
      <c r="AA906" s="145">
        <v>4.46</v>
      </c>
      <c r="AB906" s="145">
        <v>0.3</v>
      </c>
      <c r="AC906" s="145">
        <v>9.4770000000000003</v>
      </c>
      <c r="AD906" s="145">
        <v>0.66</v>
      </c>
      <c r="AE906" s="145">
        <v>5</v>
      </c>
      <c r="AF906" s="145">
        <v>1.1000000000000001</v>
      </c>
      <c r="AG906" s="145">
        <v>0.67900000000000005</v>
      </c>
      <c r="AH906" s="145">
        <v>6.7000000000000004E-2</v>
      </c>
      <c r="AI906" s="145">
        <v>166</v>
      </c>
      <c r="AJ906" s="145">
        <v>45.87</v>
      </c>
      <c r="AK906" s="145">
        <v>3</v>
      </c>
      <c r="AL906" s="145" t="s">
        <v>400</v>
      </c>
      <c r="AM906" s="145" t="s">
        <v>400</v>
      </c>
    </row>
    <row r="907" spans="1:39">
      <c r="A907" s="143" t="s">
        <v>1967</v>
      </c>
      <c r="B907" s="144">
        <v>100</v>
      </c>
      <c r="C907" s="145">
        <v>338.56700000000001</v>
      </c>
      <c r="D907" s="145">
        <v>25.34</v>
      </c>
      <c r="E907" s="145">
        <v>25.667000000000002</v>
      </c>
      <c r="F907" s="145">
        <v>8.2379999999999995</v>
      </c>
      <c r="G907" s="145">
        <v>10.297000000000001</v>
      </c>
      <c r="H907" s="145">
        <v>5.1280000000000001</v>
      </c>
      <c r="I907" s="145">
        <v>4.5670000000000002</v>
      </c>
      <c r="J907" s="145">
        <v>0.441</v>
      </c>
      <c r="K907" s="145">
        <v>92</v>
      </c>
      <c r="L907" s="145" t="s">
        <v>400</v>
      </c>
      <c r="M907" s="145" t="s">
        <v>400</v>
      </c>
      <c r="N907" s="145">
        <v>15</v>
      </c>
      <c r="O907" s="145">
        <v>22</v>
      </c>
      <c r="P907" s="145">
        <v>2.8000000000000001E-2</v>
      </c>
      <c r="Q907" s="145">
        <v>257</v>
      </c>
      <c r="R907" s="145">
        <v>0.98299999999999998</v>
      </c>
      <c r="S907" s="145">
        <v>59</v>
      </c>
      <c r="T907" s="145">
        <v>338</v>
      </c>
      <c r="U907" s="145">
        <v>9.8000000000000004E-2</v>
      </c>
      <c r="V907" s="145">
        <v>3.0609999999999999</v>
      </c>
      <c r="W907" s="145">
        <v>3</v>
      </c>
      <c r="X907" s="145">
        <v>0.57799999999999996</v>
      </c>
      <c r="Y907" s="145">
        <v>0.30199999999999999</v>
      </c>
      <c r="Z907" s="146">
        <v>0.40100000000000002</v>
      </c>
      <c r="AA907" s="145">
        <v>4.46</v>
      </c>
      <c r="AB907" s="145">
        <v>0.3</v>
      </c>
      <c r="AC907" s="145">
        <v>9.4770000000000003</v>
      </c>
      <c r="AD907" s="145">
        <v>0.66</v>
      </c>
      <c r="AE907" s="145">
        <v>5</v>
      </c>
      <c r="AF907" s="145">
        <v>1.1000000000000001</v>
      </c>
      <c r="AG907" s="145">
        <v>0.67900000000000005</v>
      </c>
      <c r="AH907" s="145">
        <v>6.7000000000000004E-2</v>
      </c>
      <c r="AI907" s="145">
        <v>166</v>
      </c>
      <c r="AJ907" s="145">
        <v>45.87</v>
      </c>
      <c r="AK907" s="145">
        <v>3</v>
      </c>
      <c r="AL907" s="145" t="s">
        <v>400</v>
      </c>
      <c r="AM907" s="145" t="s">
        <v>400</v>
      </c>
    </row>
    <row r="908" spans="1:39">
      <c r="A908" s="143" t="s">
        <v>1968</v>
      </c>
      <c r="B908" s="144">
        <v>100</v>
      </c>
      <c r="C908" s="145">
        <v>236</v>
      </c>
      <c r="D908" s="145">
        <v>20.536000000000001</v>
      </c>
      <c r="E908" s="145">
        <v>16.084</v>
      </c>
      <c r="F908" s="145">
        <v>5.8929999999999998</v>
      </c>
      <c r="G908" s="145">
        <v>7.2210000000000001</v>
      </c>
      <c r="H908" s="145">
        <v>1.5269999999999999</v>
      </c>
      <c r="I908" s="145">
        <v>1.3819999999999999</v>
      </c>
      <c r="J908" s="145">
        <v>4.9000000000000002E-2</v>
      </c>
      <c r="K908" s="145">
        <v>73.599999999999994</v>
      </c>
      <c r="L908" s="145">
        <v>1.0760000000000001</v>
      </c>
      <c r="M908" s="145">
        <v>0.3</v>
      </c>
      <c r="N908" s="145">
        <v>14.6</v>
      </c>
      <c r="O908" s="145">
        <v>20.8</v>
      </c>
      <c r="P908" s="145">
        <v>4.3999999999999997E-2</v>
      </c>
      <c r="Q908" s="145">
        <v>210.8</v>
      </c>
      <c r="R908" s="145">
        <v>0.98799999999999999</v>
      </c>
      <c r="S908" s="145">
        <v>152</v>
      </c>
      <c r="T908" s="145">
        <v>336.6</v>
      </c>
      <c r="U908" s="145">
        <v>0.10199999999999999</v>
      </c>
      <c r="V908" s="145">
        <v>2.488</v>
      </c>
      <c r="W908" s="145">
        <v>2.4</v>
      </c>
      <c r="X908" s="145">
        <v>0.46700000000000003</v>
      </c>
      <c r="Y908" s="145">
        <v>0.255</v>
      </c>
      <c r="Z908" s="146">
        <v>0.34</v>
      </c>
      <c r="AA908" s="145">
        <v>3.7629999999999999</v>
      </c>
      <c r="AB908" s="145">
        <v>1.64</v>
      </c>
      <c r="AC908" s="145">
        <v>7.81</v>
      </c>
      <c r="AD908" s="145">
        <v>0.52800000000000002</v>
      </c>
      <c r="AE908" s="145">
        <v>6.2</v>
      </c>
      <c r="AF908" s="145">
        <v>0.88</v>
      </c>
      <c r="AG908" s="145">
        <v>0.46</v>
      </c>
      <c r="AH908" s="145">
        <v>0.03</v>
      </c>
      <c r="AI908" s="145">
        <v>166</v>
      </c>
      <c r="AJ908" s="145">
        <v>34.68</v>
      </c>
      <c r="AK908" s="145">
        <v>5.883</v>
      </c>
      <c r="AL908" s="145">
        <v>0.85</v>
      </c>
      <c r="AM908" s="145" t="s">
        <v>400</v>
      </c>
    </row>
    <row r="909" spans="1:39">
      <c r="A909" s="143" t="s">
        <v>1969</v>
      </c>
      <c r="B909" s="144">
        <v>100</v>
      </c>
      <c r="C909" s="145">
        <v>338.56700000000001</v>
      </c>
      <c r="D909" s="145">
        <v>25.34</v>
      </c>
      <c r="E909" s="145">
        <v>25.667000000000002</v>
      </c>
      <c r="F909" s="145">
        <v>8.2379999999999995</v>
      </c>
      <c r="G909" s="145">
        <v>10.297000000000001</v>
      </c>
      <c r="H909" s="145">
        <v>5.1280000000000001</v>
      </c>
      <c r="I909" s="145">
        <v>4.5670000000000002</v>
      </c>
      <c r="J909" s="145">
        <v>0.441</v>
      </c>
      <c r="K909" s="145">
        <v>92</v>
      </c>
      <c r="L909" s="145" t="s">
        <v>400</v>
      </c>
      <c r="M909" s="145" t="s">
        <v>400</v>
      </c>
      <c r="N909" s="145">
        <v>15</v>
      </c>
      <c r="O909" s="145">
        <v>22</v>
      </c>
      <c r="P909" s="145">
        <v>2.8000000000000001E-2</v>
      </c>
      <c r="Q909" s="145">
        <v>257</v>
      </c>
      <c r="R909" s="145">
        <v>0.98299999999999998</v>
      </c>
      <c r="S909" s="145">
        <v>59</v>
      </c>
      <c r="T909" s="145">
        <v>338</v>
      </c>
      <c r="U909" s="145">
        <v>9.8000000000000004E-2</v>
      </c>
      <c r="V909" s="145">
        <v>3.0609999999999999</v>
      </c>
      <c r="W909" s="145">
        <v>3</v>
      </c>
      <c r="X909" s="145">
        <v>0.57799999999999996</v>
      </c>
      <c r="Y909" s="145">
        <v>0.30199999999999999</v>
      </c>
      <c r="Z909" s="146">
        <v>0.40100000000000002</v>
      </c>
      <c r="AA909" s="145">
        <v>4.46</v>
      </c>
      <c r="AB909" s="145">
        <v>0.3</v>
      </c>
      <c r="AC909" s="145">
        <v>9.4770000000000003</v>
      </c>
      <c r="AD909" s="145">
        <v>0.66</v>
      </c>
      <c r="AE909" s="145">
        <v>5</v>
      </c>
      <c r="AF909" s="145">
        <v>1.1000000000000001</v>
      </c>
      <c r="AG909" s="145">
        <v>0.67900000000000005</v>
      </c>
      <c r="AH909" s="145">
        <v>6.7000000000000004E-2</v>
      </c>
      <c r="AI909" s="145">
        <v>166</v>
      </c>
      <c r="AJ909" s="145">
        <v>45.87</v>
      </c>
      <c r="AK909" s="145">
        <v>3</v>
      </c>
      <c r="AL909" s="145" t="s">
        <v>400</v>
      </c>
      <c r="AM909" s="145" t="s">
        <v>400</v>
      </c>
    </row>
    <row r="910" spans="1:39">
      <c r="A910" s="143" t="s">
        <v>1970</v>
      </c>
      <c r="B910" s="144">
        <v>100</v>
      </c>
      <c r="C910" s="145">
        <v>338.56700000000001</v>
      </c>
      <c r="D910" s="145">
        <v>25.34</v>
      </c>
      <c r="E910" s="145">
        <v>25.667000000000002</v>
      </c>
      <c r="F910" s="145">
        <v>8.2379999999999995</v>
      </c>
      <c r="G910" s="145">
        <v>10.297000000000001</v>
      </c>
      <c r="H910" s="145">
        <v>5.1280000000000001</v>
      </c>
      <c r="I910" s="145">
        <v>4.5670000000000002</v>
      </c>
      <c r="J910" s="145">
        <v>0.441</v>
      </c>
      <c r="K910" s="145">
        <v>92</v>
      </c>
      <c r="L910" s="145" t="s">
        <v>400</v>
      </c>
      <c r="M910" s="145" t="s">
        <v>400</v>
      </c>
      <c r="N910" s="145">
        <v>15</v>
      </c>
      <c r="O910" s="145">
        <v>22</v>
      </c>
      <c r="P910" s="145">
        <v>2.8000000000000001E-2</v>
      </c>
      <c r="Q910" s="145">
        <v>257</v>
      </c>
      <c r="R910" s="145">
        <v>0.98299999999999998</v>
      </c>
      <c r="S910" s="145">
        <v>59</v>
      </c>
      <c r="T910" s="145">
        <v>338</v>
      </c>
      <c r="U910" s="145">
        <v>9.8000000000000004E-2</v>
      </c>
      <c r="V910" s="145">
        <v>3.0609999999999999</v>
      </c>
      <c r="W910" s="145">
        <v>3</v>
      </c>
      <c r="X910" s="145">
        <v>0.57799999999999996</v>
      </c>
      <c r="Y910" s="145">
        <v>0.30199999999999999</v>
      </c>
      <c r="Z910" s="146">
        <v>0.40100000000000002</v>
      </c>
      <c r="AA910" s="145">
        <v>4.46</v>
      </c>
      <c r="AB910" s="145">
        <v>0.3</v>
      </c>
      <c r="AC910" s="145">
        <v>9.4770000000000003</v>
      </c>
      <c r="AD910" s="145">
        <v>0.66</v>
      </c>
      <c r="AE910" s="145">
        <v>5</v>
      </c>
      <c r="AF910" s="145">
        <v>1.1000000000000001</v>
      </c>
      <c r="AG910" s="145">
        <v>0.67900000000000005</v>
      </c>
      <c r="AH910" s="145">
        <v>6.7000000000000004E-2</v>
      </c>
      <c r="AI910" s="145">
        <v>166</v>
      </c>
      <c r="AJ910" s="145">
        <v>45.87</v>
      </c>
      <c r="AK910" s="145">
        <v>3</v>
      </c>
      <c r="AL910" s="145" t="s">
        <v>400</v>
      </c>
      <c r="AM910" s="145" t="s">
        <v>400</v>
      </c>
    </row>
    <row r="911" spans="1:39">
      <c r="A911" s="143" t="s">
        <v>1971</v>
      </c>
      <c r="B911" s="144">
        <v>100</v>
      </c>
      <c r="C911" s="145">
        <v>289</v>
      </c>
      <c r="D911" s="145">
        <v>25.34</v>
      </c>
      <c r="E911" s="145">
        <v>20.059999999999999</v>
      </c>
      <c r="F911" s="145">
        <v>7.36</v>
      </c>
      <c r="G911" s="145">
        <v>9.02</v>
      </c>
      <c r="H911" s="145">
        <v>1.89</v>
      </c>
      <c r="I911" s="145">
        <v>1.71</v>
      </c>
      <c r="J911" s="145">
        <v>0.06</v>
      </c>
      <c r="K911" s="145">
        <v>92</v>
      </c>
      <c r="L911" s="145" t="s">
        <v>400</v>
      </c>
      <c r="M911" s="145" t="s">
        <v>400</v>
      </c>
      <c r="N911" s="145">
        <v>15</v>
      </c>
      <c r="O911" s="145">
        <v>22</v>
      </c>
      <c r="P911" s="145">
        <v>2.8000000000000001E-2</v>
      </c>
      <c r="Q911" s="145">
        <v>257</v>
      </c>
      <c r="R911" s="145">
        <v>0.98</v>
      </c>
      <c r="S911" s="145">
        <v>59</v>
      </c>
      <c r="T911" s="145">
        <v>338</v>
      </c>
      <c r="U911" s="145">
        <v>9.8000000000000004E-2</v>
      </c>
      <c r="V911" s="145">
        <v>3.06</v>
      </c>
      <c r="W911" s="145">
        <v>3</v>
      </c>
      <c r="X911" s="145">
        <v>0.57799999999999996</v>
      </c>
      <c r="Y911" s="145">
        <v>0.30199999999999999</v>
      </c>
      <c r="Z911" s="146">
        <v>0.40100000000000002</v>
      </c>
      <c r="AA911" s="145">
        <v>4.46</v>
      </c>
      <c r="AB911" s="145">
        <v>0.3</v>
      </c>
      <c r="AC911" s="145">
        <v>9.4770000000000003</v>
      </c>
      <c r="AD911" s="145">
        <v>0.66</v>
      </c>
      <c r="AE911" s="145">
        <v>5</v>
      </c>
      <c r="AF911" s="145">
        <v>1.1000000000000001</v>
      </c>
      <c r="AG911" s="145">
        <v>0.22</v>
      </c>
      <c r="AH911" s="145">
        <v>3.6999999999999998E-2</v>
      </c>
      <c r="AI911" s="145">
        <v>166</v>
      </c>
      <c r="AJ911" s="145">
        <v>43.3</v>
      </c>
      <c r="AK911" s="145">
        <v>3</v>
      </c>
      <c r="AL911" s="145" t="s">
        <v>400</v>
      </c>
      <c r="AM911" s="145" t="s">
        <v>400</v>
      </c>
    </row>
    <row r="912" spans="1:39">
      <c r="A912" s="143" t="s">
        <v>1972</v>
      </c>
      <c r="B912" s="144">
        <v>100</v>
      </c>
      <c r="C912" s="145">
        <v>214</v>
      </c>
      <c r="D912" s="145">
        <v>26.62</v>
      </c>
      <c r="E912" s="145">
        <v>11.1</v>
      </c>
      <c r="F912" s="145">
        <v>4.3789999999999996</v>
      </c>
      <c r="G912" s="145">
        <v>4.6760000000000002</v>
      </c>
      <c r="H912" s="145">
        <v>0.39800000000000002</v>
      </c>
      <c r="I912" s="145">
        <v>0.29699999999999999</v>
      </c>
      <c r="J912" s="145">
        <v>5.2999999999999999E-2</v>
      </c>
      <c r="K912" s="145">
        <v>86</v>
      </c>
      <c r="L912" s="145" t="s">
        <v>400</v>
      </c>
      <c r="M912" s="145" t="s">
        <v>400</v>
      </c>
      <c r="N912" s="145">
        <v>13</v>
      </c>
      <c r="O912" s="145">
        <v>21</v>
      </c>
      <c r="P912" s="145">
        <v>0.01</v>
      </c>
      <c r="Q912" s="145">
        <v>193</v>
      </c>
      <c r="R912" s="145">
        <v>2.89</v>
      </c>
      <c r="S912" s="145">
        <v>61</v>
      </c>
      <c r="T912" s="145">
        <v>300</v>
      </c>
      <c r="U912" s="145">
        <v>7.8E-2</v>
      </c>
      <c r="V912" s="145">
        <v>6.65</v>
      </c>
      <c r="W912" s="145" t="s">
        <v>400</v>
      </c>
      <c r="X912" s="145">
        <v>3.6999999999999998E-2</v>
      </c>
      <c r="Y912" s="145">
        <v>0.17199999999999999</v>
      </c>
      <c r="Z912" s="146">
        <v>0.34799999999999998</v>
      </c>
      <c r="AA912" s="145">
        <v>5.2279999999999998</v>
      </c>
      <c r="AB912" s="145" t="s">
        <v>400</v>
      </c>
      <c r="AC912" s="145">
        <v>7.6950000000000003</v>
      </c>
      <c r="AD912" s="145">
        <v>2.5</v>
      </c>
      <c r="AE912" s="145">
        <v>6</v>
      </c>
      <c r="AF912" s="145">
        <v>0.45</v>
      </c>
      <c r="AG912" s="145">
        <v>0.41</v>
      </c>
      <c r="AH912" s="145">
        <v>0.69199999999999995</v>
      </c>
      <c r="AI912" s="145">
        <v>499</v>
      </c>
      <c r="AJ912" s="145">
        <v>21.6</v>
      </c>
      <c r="AK912" s="145" t="s">
        <v>400</v>
      </c>
      <c r="AL912" s="145" t="s">
        <v>400</v>
      </c>
      <c r="AM912" s="145" t="s">
        <v>400</v>
      </c>
    </row>
    <row r="913" spans="1:39">
      <c r="A913" s="143" t="s">
        <v>1973</v>
      </c>
      <c r="B913" s="144">
        <v>100</v>
      </c>
      <c r="C913" s="145">
        <v>214</v>
      </c>
      <c r="D913" s="145">
        <v>26.62</v>
      </c>
      <c r="E913" s="145">
        <v>11.1</v>
      </c>
      <c r="F913" s="145">
        <v>4.3789999999999996</v>
      </c>
      <c r="G913" s="145">
        <v>4.6760000000000002</v>
      </c>
      <c r="H913" s="145">
        <v>0.39800000000000002</v>
      </c>
      <c r="I913" s="145">
        <v>0.29699999999999999</v>
      </c>
      <c r="J913" s="145">
        <v>5.2999999999999999E-2</v>
      </c>
      <c r="K913" s="145">
        <v>86</v>
      </c>
      <c r="L913" s="145" t="s">
        <v>400</v>
      </c>
      <c r="M913" s="145" t="s">
        <v>400</v>
      </c>
      <c r="N913" s="145">
        <v>13</v>
      </c>
      <c r="O913" s="145">
        <v>21</v>
      </c>
      <c r="P913" s="145">
        <v>0.01</v>
      </c>
      <c r="Q913" s="145">
        <v>193</v>
      </c>
      <c r="R913" s="145">
        <v>2.89</v>
      </c>
      <c r="S913" s="145">
        <v>61</v>
      </c>
      <c r="T913" s="145">
        <v>300</v>
      </c>
      <c r="U913" s="145">
        <v>7.8E-2</v>
      </c>
      <c r="V913" s="145">
        <v>6.65</v>
      </c>
      <c r="W913" s="145" t="s">
        <v>400</v>
      </c>
      <c r="X913" s="145">
        <v>3.6999999999999998E-2</v>
      </c>
      <c r="Y913" s="145">
        <v>0.17199999999999999</v>
      </c>
      <c r="Z913" s="146">
        <v>0.34799999999999998</v>
      </c>
      <c r="AA913" s="145">
        <v>5.2279999999999998</v>
      </c>
      <c r="AB913" s="145" t="s">
        <v>400</v>
      </c>
      <c r="AC913" s="145">
        <v>7.6950000000000003</v>
      </c>
      <c r="AD913" s="145">
        <v>2.5</v>
      </c>
      <c r="AE913" s="145">
        <v>6</v>
      </c>
      <c r="AF913" s="145">
        <v>0.45</v>
      </c>
      <c r="AG913" s="145">
        <v>0.41</v>
      </c>
      <c r="AH913" s="145">
        <v>0.69199999999999995</v>
      </c>
      <c r="AI913" s="145">
        <v>499</v>
      </c>
      <c r="AJ913" s="145">
        <v>21.6</v>
      </c>
      <c r="AK913" s="145" t="s">
        <v>400</v>
      </c>
      <c r="AL913" s="145" t="s">
        <v>400</v>
      </c>
      <c r="AM913" s="145" t="s">
        <v>400</v>
      </c>
    </row>
    <row r="914" spans="1:39">
      <c r="A914" s="143" t="s">
        <v>1974</v>
      </c>
      <c r="B914" s="144">
        <v>100</v>
      </c>
      <c r="C914" s="145">
        <v>214</v>
      </c>
      <c r="D914" s="145">
        <v>26.62</v>
      </c>
      <c r="E914" s="145">
        <v>11.1</v>
      </c>
      <c r="F914" s="145">
        <v>4.3789999999999996</v>
      </c>
      <c r="G914" s="145">
        <v>4.6760000000000002</v>
      </c>
      <c r="H914" s="145">
        <v>0.39800000000000002</v>
      </c>
      <c r="I914" s="145">
        <v>0.29699999999999999</v>
      </c>
      <c r="J914" s="145">
        <v>5.2999999999999999E-2</v>
      </c>
      <c r="K914" s="145">
        <v>86</v>
      </c>
      <c r="L914" s="145" t="s">
        <v>400</v>
      </c>
      <c r="M914" s="145" t="s">
        <v>400</v>
      </c>
      <c r="N914" s="145">
        <v>13</v>
      </c>
      <c r="O914" s="145">
        <v>21</v>
      </c>
      <c r="P914" s="145">
        <v>0.01</v>
      </c>
      <c r="Q914" s="145">
        <v>193</v>
      </c>
      <c r="R914" s="145">
        <v>2.89</v>
      </c>
      <c r="S914" s="145">
        <v>61</v>
      </c>
      <c r="T914" s="145">
        <v>300</v>
      </c>
      <c r="U914" s="145">
        <v>7.8E-2</v>
      </c>
      <c r="V914" s="145">
        <v>6.65</v>
      </c>
      <c r="W914" s="145" t="s">
        <v>400</v>
      </c>
      <c r="X914" s="145">
        <v>3.6999999999999998E-2</v>
      </c>
      <c r="Y914" s="145">
        <v>0.17199999999999999</v>
      </c>
      <c r="Z914" s="146">
        <v>0.34799999999999998</v>
      </c>
      <c r="AA914" s="145">
        <v>5.2279999999999998</v>
      </c>
      <c r="AB914" s="145" t="s">
        <v>400</v>
      </c>
      <c r="AC914" s="145">
        <v>7.6950000000000003</v>
      </c>
      <c r="AD914" s="145">
        <v>2.5</v>
      </c>
      <c r="AE914" s="145">
        <v>6</v>
      </c>
      <c r="AF914" s="145">
        <v>0.45</v>
      </c>
      <c r="AG914" s="145">
        <v>0.41</v>
      </c>
      <c r="AH914" s="145">
        <v>0.69199999999999995</v>
      </c>
      <c r="AI914" s="145">
        <v>499</v>
      </c>
      <c r="AJ914" s="145">
        <v>21.6</v>
      </c>
      <c r="AK914" s="145" t="s">
        <v>400</v>
      </c>
      <c r="AL914" s="145" t="s">
        <v>400</v>
      </c>
      <c r="AM914" s="145" t="s">
        <v>400</v>
      </c>
    </row>
    <row r="915" spans="1:39">
      <c r="A915" s="143" t="s">
        <v>1975</v>
      </c>
      <c r="B915" s="144">
        <v>100</v>
      </c>
      <c r="C915" s="145">
        <v>236.65899999999999</v>
      </c>
      <c r="D915" s="145">
        <v>26.62</v>
      </c>
      <c r="E915" s="145">
        <v>13.663</v>
      </c>
      <c r="F915" s="145">
        <v>4.78</v>
      </c>
      <c r="G915" s="145">
        <v>5.26</v>
      </c>
      <c r="H915" s="145">
        <v>1.8779999999999999</v>
      </c>
      <c r="I915" s="145">
        <v>1.603</v>
      </c>
      <c r="J915" s="145">
        <v>0.22700000000000001</v>
      </c>
      <c r="K915" s="145">
        <v>86</v>
      </c>
      <c r="L915" s="145" t="s">
        <v>400</v>
      </c>
      <c r="M915" s="145" t="s">
        <v>400</v>
      </c>
      <c r="N915" s="145">
        <v>13</v>
      </c>
      <c r="O915" s="145">
        <v>21</v>
      </c>
      <c r="P915" s="145">
        <v>0.01</v>
      </c>
      <c r="Q915" s="145">
        <v>193</v>
      </c>
      <c r="R915" s="145">
        <v>2.891</v>
      </c>
      <c r="S915" s="145">
        <v>61</v>
      </c>
      <c r="T915" s="145">
        <v>300</v>
      </c>
      <c r="U915" s="145">
        <v>7.8E-2</v>
      </c>
      <c r="V915" s="145">
        <v>6.65</v>
      </c>
      <c r="W915" s="145" t="s">
        <v>400</v>
      </c>
      <c r="X915" s="145">
        <v>3.6999999999999998E-2</v>
      </c>
      <c r="Y915" s="145">
        <v>0.17199999999999999</v>
      </c>
      <c r="Z915" s="146">
        <v>0.34799999999999998</v>
      </c>
      <c r="AA915" s="145">
        <v>5.2279999999999998</v>
      </c>
      <c r="AB915" s="145" t="s">
        <v>400</v>
      </c>
      <c r="AC915" s="145">
        <v>7.6950000000000003</v>
      </c>
      <c r="AD915" s="145">
        <v>2.5</v>
      </c>
      <c r="AE915" s="145">
        <v>6</v>
      </c>
      <c r="AF915" s="145">
        <v>0.45</v>
      </c>
      <c r="AG915" s="145">
        <v>0.62</v>
      </c>
      <c r="AH915" s="145">
        <v>0.70599999999999996</v>
      </c>
      <c r="AI915" s="145">
        <v>499</v>
      </c>
      <c r="AJ915" s="145">
        <v>22.774999999999999</v>
      </c>
      <c r="AK915" s="145" t="s">
        <v>400</v>
      </c>
      <c r="AL915" s="145" t="s">
        <v>400</v>
      </c>
      <c r="AM915" s="145" t="s">
        <v>400</v>
      </c>
    </row>
    <row r="916" spans="1:39">
      <c r="A916" s="143" t="s">
        <v>1976</v>
      </c>
      <c r="B916" s="144">
        <v>100</v>
      </c>
      <c r="C916" s="145">
        <v>236.65899999999999</v>
      </c>
      <c r="D916" s="145">
        <v>26.62</v>
      </c>
      <c r="E916" s="145">
        <v>13.663</v>
      </c>
      <c r="F916" s="145">
        <v>4.78</v>
      </c>
      <c r="G916" s="145">
        <v>5.26</v>
      </c>
      <c r="H916" s="145">
        <v>1.8779999999999999</v>
      </c>
      <c r="I916" s="145">
        <v>1.603</v>
      </c>
      <c r="J916" s="145">
        <v>0.22700000000000001</v>
      </c>
      <c r="K916" s="145">
        <v>86</v>
      </c>
      <c r="L916" s="145" t="s">
        <v>400</v>
      </c>
      <c r="M916" s="145" t="s">
        <v>400</v>
      </c>
      <c r="N916" s="145">
        <v>13</v>
      </c>
      <c r="O916" s="145">
        <v>21</v>
      </c>
      <c r="P916" s="145">
        <v>0.01</v>
      </c>
      <c r="Q916" s="145">
        <v>193</v>
      </c>
      <c r="R916" s="145">
        <v>2.891</v>
      </c>
      <c r="S916" s="145">
        <v>61</v>
      </c>
      <c r="T916" s="145">
        <v>300</v>
      </c>
      <c r="U916" s="145">
        <v>7.8E-2</v>
      </c>
      <c r="V916" s="145">
        <v>6.65</v>
      </c>
      <c r="W916" s="145" t="s">
        <v>400</v>
      </c>
      <c r="X916" s="145">
        <v>3.6999999999999998E-2</v>
      </c>
      <c r="Y916" s="145">
        <v>0.17199999999999999</v>
      </c>
      <c r="Z916" s="146">
        <v>0.34799999999999998</v>
      </c>
      <c r="AA916" s="145">
        <v>5.2279999999999998</v>
      </c>
      <c r="AB916" s="145" t="s">
        <v>400</v>
      </c>
      <c r="AC916" s="145">
        <v>7.6950000000000003</v>
      </c>
      <c r="AD916" s="145">
        <v>2.5</v>
      </c>
      <c r="AE916" s="145">
        <v>6</v>
      </c>
      <c r="AF916" s="145">
        <v>0.45</v>
      </c>
      <c r="AG916" s="145">
        <v>0.62</v>
      </c>
      <c r="AH916" s="145">
        <v>0.70599999999999996</v>
      </c>
      <c r="AI916" s="145">
        <v>499</v>
      </c>
      <c r="AJ916" s="145">
        <v>22.774999999999999</v>
      </c>
      <c r="AK916" s="145" t="s">
        <v>400</v>
      </c>
      <c r="AL916" s="145" t="s">
        <v>400</v>
      </c>
      <c r="AM916" s="145" t="s">
        <v>400</v>
      </c>
    </row>
    <row r="917" spans="1:39">
      <c r="A917" s="143" t="s">
        <v>1977</v>
      </c>
      <c r="B917" s="144">
        <v>100</v>
      </c>
      <c r="C917" s="145">
        <v>236.65899999999999</v>
      </c>
      <c r="D917" s="145">
        <v>26.62</v>
      </c>
      <c r="E917" s="145">
        <v>13.663</v>
      </c>
      <c r="F917" s="145">
        <v>4.78</v>
      </c>
      <c r="G917" s="145">
        <v>5.26</v>
      </c>
      <c r="H917" s="145">
        <v>1.8779999999999999</v>
      </c>
      <c r="I917" s="145">
        <v>1.603</v>
      </c>
      <c r="J917" s="145">
        <v>0.22700000000000001</v>
      </c>
      <c r="K917" s="145">
        <v>86</v>
      </c>
      <c r="L917" s="145" t="s">
        <v>400</v>
      </c>
      <c r="M917" s="145" t="s">
        <v>400</v>
      </c>
      <c r="N917" s="145">
        <v>13</v>
      </c>
      <c r="O917" s="145">
        <v>21</v>
      </c>
      <c r="P917" s="145">
        <v>0.01</v>
      </c>
      <c r="Q917" s="145">
        <v>193</v>
      </c>
      <c r="R917" s="145">
        <v>2.891</v>
      </c>
      <c r="S917" s="145">
        <v>61</v>
      </c>
      <c r="T917" s="145">
        <v>300</v>
      </c>
      <c r="U917" s="145">
        <v>7.8E-2</v>
      </c>
      <c r="V917" s="145">
        <v>6.65</v>
      </c>
      <c r="W917" s="145" t="s">
        <v>400</v>
      </c>
      <c r="X917" s="145">
        <v>3.6999999999999998E-2</v>
      </c>
      <c r="Y917" s="145">
        <v>0.17199999999999999</v>
      </c>
      <c r="Z917" s="146">
        <v>0.34799999999999998</v>
      </c>
      <c r="AA917" s="145">
        <v>5.2279999999999998</v>
      </c>
      <c r="AB917" s="145" t="s">
        <v>400</v>
      </c>
      <c r="AC917" s="145">
        <v>7.6950000000000003</v>
      </c>
      <c r="AD917" s="145">
        <v>2.5</v>
      </c>
      <c r="AE917" s="145">
        <v>6</v>
      </c>
      <c r="AF917" s="145">
        <v>0.45</v>
      </c>
      <c r="AG917" s="145">
        <v>0.62</v>
      </c>
      <c r="AH917" s="145">
        <v>0.70599999999999996</v>
      </c>
      <c r="AI917" s="145">
        <v>499</v>
      </c>
      <c r="AJ917" s="145">
        <v>22.774999999999999</v>
      </c>
      <c r="AK917" s="145" t="s">
        <v>400</v>
      </c>
      <c r="AL917" s="145" t="s">
        <v>400</v>
      </c>
      <c r="AM917" s="145" t="s">
        <v>400</v>
      </c>
    </row>
    <row r="918" spans="1:39">
      <c r="A918" s="143" t="s">
        <v>1978</v>
      </c>
      <c r="B918" s="144">
        <v>100</v>
      </c>
      <c r="C918" s="145">
        <v>176</v>
      </c>
      <c r="D918" s="145">
        <v>21.56</v>
      </c>
      <c r="E918" s="145">
        <v>8.9160000000000004</v>
      </c>
      <c r="F918" s="145">
        <v>3.508</v>
      </c>
      <c r="G918" s="145">
        <v>3.746</v>
      </c>
      <c r="H918" s="145">
        <v>0.33300000000000002</v>
      </c>
      <c r="I918" s="145">
        <v>0.251</v>
      </c>
      <c r="J918" s="145">
        <v>4.2999999999999997E-2</v>
      </c>
      <c r="K918" s="145">
        <v>68.8</v>
      </c>
      <c r="L918" s="145">
        <v>1.0760000000000001</v>
      </c>
      <c r="M918" s="145">
        <v>0.3</v>
      </c>
      <c r="N918" s="145">
        <v>13</v>
      </c>
      <c r="O918" s="145">
        <v>20</v>
      </c>
      <c r="P918" s="145">
        <v>2.9000000000000001E-2</v>
      </c>
      <c r="Q918" s="145">
        <v>159.6</v>
      </c>
      <c r="R918" s="145">
        <v>2.516</v>
      </c>
      <c r="S918" s="145">
        <v>153.6</v>
      </c>
      <c r="T918" s="145">
        <v>306.2</v>
      </c>
      <c r="U918" s="145">
        <v>8.5999999999999993E-2</v>
      </c>
      <c r="V918" s="145">
        <v>5.36</v>
      </c>
      <c r="W918" s="145" t="s">
        <v>400</v>
      </c>
      <c r="X918" s="145">
        <v>3.4000000000000002E-2</v>
      </c>
      <c r="Y918" s="145">
        <v>0.151</v>
      </c>
      <c r="Z918" s="146">
        <v>0.29799999999999999</v>
      </c>
      <c r="AA918" s="145">
        <v>4.3769999999999998</v>
      </c>
      <c r="AB918" s="145">
        <v>1.4</v>
      </c>
      <c r="AC918" s="145">
        <v>6.3840000000000003</v>
      </c>
      <c r="AD918" s="145">
        <v>2</v>
      </c>
      <c r="AE918" s="145">
        <v>7</v>
      </c>
      <c r="AF918" s="145">
        <v>0.36</v>
      </c>
      <c r="AG918" s="145">
        <v>0.61199999999999999</v>
      </c>
      <c r="AH918" s="145">
        <v>0.55400000000000005</v>
      </c>
      <c r="AI918" s="145">
        <v>499</v>
      </c>
      <c r="AJ918" s="145">
        <v>17.32</v>
      </c>
      <c r="AK918" s="145">
        <v>3.4830000000000001</v>
      </c>
      <c r="AL918" s="145">
        <v>0.85</v>
      </c>
      <c r="AM918" s="145" t="s">
        <v>400</v>
      </c>
    </row>
    <row r="919" spans="1:39">
      <c r="A919" s="143" t="s">
        <v>1979</v>
      </c>
      <c r="B919" s="144">
        <v>100</v>
      </c>
      <c r="C919" s="145">
        <v>203.79</v>
      </c>
      <c r="D919" s="145">
        <v>22.074999999999999</v>
      </c>
      <c r="E919" s="145">
        <v>11.369</v>
      </c>
      <c r="F919" s="145">
        <v>5.0350000000000001</v>
      </c>
      <c r="G919" s="145">
        <v>4.3780000000000001</v>
      </c>
      <c r="H919" s="145">
        <v>0.43099999999999999</v>
      </c>
      <c r="I919" s="145">
        <v>0.32800000000000001</v>
      </c>
      <c r="J919" s="145">
        <v>6.4000000000000001E-2</v>
      </c>
      <c r="K919" s="145">
        <v>75.632999999999996</v>
      </c>
      <c r="L919" s="145">
        <v>1.851</v>
      </c>
      <c r="M919" s="145">
        <v>4.2999999999999997E-2</v>
      </c>
      <c r="N919" s="145">
        <v>33.279000000000003</v>
      </c>
      <c r="O919" s="145">
        <v>19.111999999999998</v>
      </c>
      <c r="P919" s="145">
        <v>1.7999999999999999E-2</v>
      </c>
      <c r="Q919" s="145">
        <v>174.09299999999999</v>
      </c>
      <c r="R919" s="145">
        <v>2.3820000000000001</v>
      </c>
      <c r="S919" s="145">
        <v>69.716999999999999</v>
      </c>
      <c r="T919" s="145">
        <v>270.05399999999997</v>
      </c>
      <c r="U919" s="145">
        <v>6.7000000000000004E-2</v>
      </c>
      <c r="V919" s="145">
        <v>5.4089999999999998</v>
      </c>
      <c r="W919" s="145">
        <v>20.696999999999999</v>
      </c>
      <c r="X919" s="145">
        <v>4.8000000000000001E-2</v>
      </c>
      <c r="Y919" s="145">
        <v>0.18</v>
      </c>
      <c r="Z919" s="146">
        <v>0.28599999999999998</v>
      </c>
      <c r="AA919" s="145">
        <v>4.2779999999999996</v>
      </c>
      <c r="AB919" s="145">
        <v>4.0000000000000001E-3</v>
      </c>
      <c r="AC919" s="145">
        <v>6.5270000000000001</v>
      </c>
      <c r="AD919" s="145">
        <v>2.09</v>
      </c>
      <c r="AE919" s="145">
        <v>8.3960000000000008</v>
      </c>
      <c r="AF919" s="145">
        <v>0.58699999999999997</v>
      </c>
      <c r="AG919" s="145">
        <v>0.39300000000000002</v>
      </c>
      <c r="AH919" s="145">
        <v>0.65100000000000002</v>
      </c>
      <c r="AI919" s="145">
        <v>499</v>
      </c>
      <c r="AJ919" s="145">
        <v>18.449000000000002</v>
      </c>
      <c r="AK919" s="145">
        <v>21.081</v>
      </c>
      <c r="AL919" s="145">
        <v>1.0329999999999999</v>
      </c>
      <c r="AM919" s="145" t="s">
        <v>400</v>
      </c>
    </row>
    <row r="920" spans="1:39">
      <c r="A920" s="143" t="s">
        <v>1980</v>
      </c>
      <c r="B920" s="144">
        <v>100</v>
      </c>
      <c r="C920" s="145">
        <v>236.65899999999999</v>
      </c>
      <c r="D920" s="145">
        <v>26.62</v>
      </c>
      <c r="E920" s="145">
        <v>13.663</v>
      </c>
      <c r="F920" s="145">
        <v>4.78</v>
      </c>
      <c r="G920" s="145">
        <v>5.26</v>
      </c>
      <c r="H920" s="145">
        <v>1.8779999999999999</v>
      </c>
      <c r="I920" s="145">
        <v>1.603</v>
      </c>
      <c r="J920" s="145">
        <v>0.22700000000000001</v>
      </c>
      <c r="K920" s="145">
        <v>86</v>
      </c>
      <c r="L920" s="145" t="s">
        <v>400</v>
      </c>
      <c r="M920" s="145" t="s">
        <v>400</v>
      </c>
      <c r="N920" s="145">
        <v>13</v>
      </c>
      <c r="O920" s="145">
        <v>21</v>
      </c>
      <c r="P920" s="145">
        <v>0.01</v>
      </c>
      <c r="Q920" s="145">
        <v>193</v>
      </c>
      <c r="R920" s="145">
        <v>2.891</v>
      </c>
      <c r="S920" s="145">
        <v>61</v>
      </c>
      <c r="T920" s="145">
        <v>300</v>
      </c>
      <c r="U920" s="145">
        <v>7.8E-2</v>
      </c>
      <c r="V920" s="145">
        <v>6.65</v>
      </c>
      <c r="W920" s="145" t="s">
        <v>400</v>
      </c>
      <c r="X920" s="145">
        <v>3.6999999999999998E-2</v>
      </c>
      <c r="Y920" s="145">
        <v>0.17199999999999999</v>
      </c>
      <c r="Z920" s="146">
        <v>0.34799999999999998</v>
      </c>
      <c r="AA920" s="145">
        <v>5.2279999999999998</v>
      </c>
      <c r="AB920" s="145" t="s">
        <v>400</v>
      </c>
      <c r="AC920" s="145">
        <v>7.6950000000000003</v>
      </c>
      <c r="AD920" s="145">
        <v>2.5</v>
      </c>
      <c r="AE920" s="145">
        <v>6</v>
      </c>
      <c r="AF920" s="145">
        <v>0.45</v>
      </c>
      <c r="AG920" s="145">
        <v>0.62</v>
      </c>
      <c r="AH920" s="145">
        <v>0.70599999999999996</v>
      </c>
      <c r="AI920" s="145">
        <v>499</v>
      </c>
      <c r="AJ920" s="145">
        <v>22.774999999999999</v>
      </c>
      <c r="AK920" s="145" t="s">
        <v>400</v>
      </c>
      <c r="AL920" s="145" t="s">
        <v>400</v>
      </c>
      <c r="AM920" s="145" t="s">
        <v>400</v>
      </c>
    </row>
    <row r="921" spans="1:39">
      <c r="A921" s="143" t="s">
        <v>1981</v>
      </c>
      <c r="B921" s="144">
        <v>100</v>
      </c>
      <c r="C921" s="145">
        <v>236.65899999999999</v>
      </c>
      <c r="D921" s="145">
        <v>26.62</v>
      </c>
      <c r="E921" s="145">
        <v>13.663</v>
      </c>
      <c r="F921" s="145">
        <v>4.78</v>
      </c>
      <c r="G921" s="145">
        <v>5.26</v>
      </c>
      <c r="H921" s="145">
        <v>1.8779999999999999</v>
      </c>
      <c r="I921" s="145">
        <v>1.603</v>
      </c>
      <c r="J921" s="145">
        <v>0.22700000000000001</v>
      </c>
      <c r="K921" s="145">
        <v>86</v>
      </c>
      <c r="L921" s="145" t="s">
        <v>400</v>
      </c>
      <c r="M921" s="145" t="s">
        <v>400</v>
      </c>
      <c r="N921" s="145">
        <v>13</v>
      </c>
      <c r="O921" s="145">
        <v>21</v>
      </c>
      <c r="P921" s="145">
        <v>0.01</v>
      </c>
      <c r="Q921" s="145">
        <v>193</v>
      </c>
      <c r="R921" s="145">
        <v>2.891</v>
      </c>
      <c r="S921" s="145">
        <v>61</v>
      </c>
      <c r="T921" s="145">
        <v>300</v>
      </c>
      <c r="U921" s="145">
        <v>7.8E-2</v>
      </c>
      <c r="V921" s="145">
        <v>6.65</v>
      </c>
      <c r="W921" s="145" t="s">
        <v>400</v>
      </c>
      <c r="X921" s="145">
        <v>3.6999999999999998E-2</v>
      </c>
      <c r="Y921" s="145">
        <v>0.17199999999999999</v>
      </c>
      <c r="Z921" s="146">
        <v>0.34799999999999998</v>
      </c>
      <c r="AA921" s="145">
        <v>5.2279999999999998</v>
      </c>
      <c r="AB921" s="145" t="s">
        <v>400</v>
      </c>
      <c r="AC921" s="145">
        <v>7.6950000000000003</v>
      </c>
      <c r="AD921" s="145">
        <v>2.5</v>
      </c>
      <c r="AE921" s="145">
        <v>6</v>
      </c>
      <c r="AF921" s="145">
        <v>0.45</v>
      </c>
      <c r="AG921" s="145">
        <v>0.62</v>
      </c>
      <c r="AH921" s="145">
        <v>0.70599999999999996</v>
      </c>
      <c r="AI921" s="145">
        <v>499</v>
      </c>
      <c r="AJ921" s="145">
        <v>22.774999999999999</v>
      </c>
      <c r="AK921" s="145" t="s">
        <v>400</v>
      </c>
      <c r="AL921" s="145" t="s">
        <v>400</v>
      </c>
      <c r="AM921" s="145" t="s">
        <v>400</v>
      </c>
    </row>
    <row r="922" spans="1:39">
      <c r="A922" s="143" t="s">
        <v>1982</v>
      </c>
      <c r="B922" s="144">
        <v>100</v>
      </c>
      <c r="C922" s="145">
        <v>63.941000000000003</v>
      </c>
      <c r="D922" s="145">
        <v>3.8119999999999998</v>
      </c>
      <c r="E922" s="145">
        <v>1.8069999999999999</v>
      </c>
      <c r="F922" s="145">
        <v>0.67700000000000005</v>
      </c>
      <c r="G922" s="145">
        <v>0.79200000000000004</v>
      </c>
      <c r="H922" s="145">
        <v>9.4E-2</v>
      </c>
      <c r="I922" s="145">
        <v>7.1999999999999995E-2</v>
      </c>
      <c r="J922" s="145">
        <v>1.9E-2</v>
      </c>
      <c r="K922" s="145">
        <v>7.86</v>
      </c>
      <c r="L922" s="145">
        <v>7.7320000000000002</v>
      </c>
      <c r="M922" s="145">
        <v>0.39200000000000002</v>
      </c>
      <c r="N922" s="145">
        <v>6.6289999999999996</v>
      </c>
      <c r="O922" s="145">
        <v>7.0270000000000001</v>
      </c>
      <c r="P922" s="145">
        <v>5.1999999999999998E-2</v>
      </c>
      <c r="Q922" s="145">
        <v>39.854999999999997</v>
      </c>
      <c r="R922" s="145">
        <v>0.65200000000000002</v>
      </c>
      <c r="S922" s="145">
        <v>364.00900000000001</v>
      </c>
      <c r="T922" s="145">
        <v>125.684</v>
      </c>
      <c r="U922" s="145">
        <v>4.9000000000000002E-2</v>
      </c>
      <c r="V922" s="145">
        <v>0.68200000000000005</v>
      </c>
      <c r="W922" s="145" t="s">
        <v>400</v>
      </c>
      <c r="X922" s="145">
        <v>4.7E-2</v>
      </c>
      <c r="Y922" s="145">
        <v>6.3E-2</v>
      </c>
      <c r="Z922" s="146">
        <v>6.9000000000000006E-2</v>
      </c>
      <c r="AA922" s="145">
        <v>1.2769999999999999</v>
      </c>
      <c r="AB922" s="145">
        <v>1.5740000000000001</v>
      </c>
      <c r="AC922" s="145">
        <v>1.962</v>
      </c>
      <c r="AD922" s="145">
        <v>0.33900000000000002</v>
      </c>
      <c r="AE922" s="145">
        <v>10.132999999999999</v>
      </c>
      <c r="AF922" s="145">
        <v>8.8999999999999996E-2</v>
      </c>
      <c r="AG922" s="145">
        <v>3.9E-2</v>
      </c>
      <c r="AH922" s="145">
        <v>7.6999999999999999E-2</v>
      </c>
      <c r="AI922" s="145" t="s">
        <v>400</v>
      </c>
      <c r="AJ922" s="145">
        <v>4.8079999999999998</v>
      </c>
      <c r="AK922" s="145">
        <v>0.745</v>
      </c>
      <c r="AL922" s="145">
        <v>0.24199999999999999</v>
      </c>
      <c r="AM922" s="145" t="s">
        <v>400</v>
      </c>
    </row>
    <row r="923" spans="1:39">
      <c r="A923" s="143" t="s">
        <v>1983</v>
      </c>
      <c r="B923" s="144">
        <v>100</v>
      </c>
      <c r="C923" s="145">
        <v>214</v>
      </c>
      <c r="D923" s="145">
        <v>26.62</v>
      </c>
      <c r="E923" s="145">
        <v>11.1</v>
      </c>
      <c r="F923" s="145">
        <v>4.3789999999999996</v>
      </c>
      <c r="G923" s="145">
        <v>4.6760000000000002</v>
      </c>
      <c r="H923" s="145">
        <v>0.39800000000000002</v>
      </c>
      <c r="I923" s="145">
        <v>0.29699999999999999</v>
      </c>
      <c r="J923" s="145">
        <v>5.2999999999999999E-2</v>
      </c>
      <c r="K923" s="145">
        <v>86</v>
      </c>
      <c r="L923" s="145" t="s">
        <v>400</v>
      </c>
      <c r="M923" s="145" t="s">
        <v>400</v>
      </c>
      <c r="N923" s="145">
        <v>13</v>
      </c>
      <c r="O923" s="145">
        <v>21</v>
      </c>
      <c r="P923" s="145">
        <v>0.01</v>
      </c>
      <c r="Q923" s="145">
        <v>193</v>
      </c>
      <c r="R923" s="145">
        <v>2.89</v>
      </c>
      <c r="S923" s="145">
        <v>61</v>
      </c>
      <c r="T923" s="145">
        <v>300</v>
      </c>
      <c r="U923" s="145">
        <v>7.8E-2</v>
      </c>
      <c r="V923" s="145">
        <v>6.65</v>
      </c>
      <c r="W923" s="145" t="s">
        <v>400</v>
      </c>
      <c r="X923" s="145">
        <v>3.6999999999999998E-2</v>
      </c>
      <c r="Y923" s="145">
        <v>0.17199999999999999</v>
      </c>
      <c r="Z923" s="146">
        <v>0.34799999999999998</v>
      </c>
      <c r="AA923" s="145">
        <v>5.2279999999999998</v>
      </c>
      <c r="AB923" s="145" t="s">
        <v>400</v>
      </c>
      <c r="AC923" s="145">
        <v>7.6950000000000003</v>
      </c>
      <c r="AD923" s="145">
        <v>2.5</v>
      </c>
      <c r="AE923" s="145">
        <v>6</v>
      </c>
      <c r="AF923" s="145">
        <v>0.45</v>
      </c>
      <c r="AG923" s="145">
        <v>0.41</v>
      </c>
      <c r="AH923" s="145">
        <v>0.69199999999999995</v>
      </c>
      <c r="AI923" s="145">
        <v>499</v>
      </c>
      <c r="AJ923" s="145">
        <v>21.6</v>
      </c>
      <c r="AK923" s="145" t="s">
        <v>400</v>
      </c>
      <c r="AL923" s="145" t="s">
        <v>400</v>
      </c>
      <c r="AM923" s="145" t="s">
        <v>400</v>
      </c>
    </row>
    <row r="924" spans="1:39">
      <c r="A924" s="143" t="s">
        <v>1984</v>
      </c>
      <c r="B924" s="144">
        <v>100</v>
      </c>
      <c r="C924" s="145">
        <v>242</v>
      </c>
      <c r="D924" s="145">
        <v>24.22</v>
      </c>
      <c r="E924" s="145">
        <v>15.42</v>
      </c>
      <c r="F924" s="145">
        <v>5.7380000000000004</v>
      </c>
      <c r="G924" s="145">
        <v>7.0019999999999998</v>
      </c>
      <c r="H924" s="145">
        <v>0.61299999999999999</v>
      </c>
      <c r="I924" s="145">
        <v>0.41599999999999998</v>
      </c>
      <c r="J924" s="145">
        <v>0.16400000000000001</v>
      </c>
      <c r="K924" s="145">
        <v>75</v>
      </c>
      <c r="L924" s="145" t="s">
        <v>400</v>
      </c>
      <c r="M924" s="145" t="s">
        <v>400</v>
      </c>
      <c r="N924" s="145">
        <v>8</v>
      </c>
      <c r="O924" s="145">
        <v>20</v>
      </c>
      <c r="P924" s="145">
        <v>1E-3</v>
      </c>
      <c r="Q924" s="145">
        <v>196</v>
      </c>
      <c r="R924" s="145">
        <v>2.81</v>
      </c>
      <c r="S924" s="145">
        <v>67</v>
      </c>
      <c r="T924" s="145">
        <v>337</v>
      </c>
      <c r="U924" s="145">
        <v>9.2999999999999999E-2</v>
      </c>
      <c r="V924" s="145">
        <v>5.71</v>
      </c>
      <c r="W924" s="145" t="s">
        <v>400</v>
      </c>
      <c r="X924" s="145">
        <v>8.1000000000000003E-2</v>
      </c>
      <c r="Y924" s="145">
        <v>0.22600000000000001</v>
      </c>
      <c r="Z924" s="146">
        <v>0.255</v>
      </c>
      <c r="AA924" s="145">
        <v>3.2069999999999999</v>
      </c>
      <c r="AB924" s="145" t="s">
        <v>400</v>
      </c>
      <c r="AC924" s="145">
        <v>7.5739999999999998</v>
      </c>
      <c r="AD924" s="145">
        <v>2.83</v>
      </c>
      <c r="AE924" s="145">
        <v>9</v>
      </c>
      <c r="AF924" s="145">
        <v>0.7</v>
      </c>
      <c r="AG924" s="145">
        <v>0.14000000000000001</v>
      </c>
      <c r="AH924" s="145">
        <v>0.68</v>
      </c>
      <c r="AI924" s="145">
        <v>333</v>
      </c>
      <c r="AJ924" s="145">
        <v>28.3</v>
      </c>
      <c r="AK924" s="145" t="s">
        <v>400</v>
      </c>
      <c r="AL924" s="145" t="s">
        <v>400</v>
      </c>
      <c r="AM924" s="145" t="s">
        <v>400</v>
      </c>
    </row>
    <row r="925" spans="1:39">
      <c r="A925" s="143" t="s">
        <v>1985</v>
      </c>
      <c r="B925" s="144">
        <v>100</v>
      </c>
      <c r="C925" s="145">
        <v>233</v>
      </c>
      <c r="D925" s="145">
        <v>12.49</v>
      </c>
      <c r="E925" s="145">
        <v>20.32</v>
      </c>
      <c r="F925" s="145">
        <v>9.52</v>
      </c>
      <c r="G925" s="145">
        <v>7.0730000000000004</v>
      </c>
      <c r="H925" s="145">
        <v>1.2170000000000001</v>
      </c>
      <c r="I925" s="145">
        <v>0.98</v>
      </c>
      <c r="J925" s="145">
        <v>3.3000000000000002E-2</v>
      </c>
      <c r="K925" s="145">
        <v>277</v>
      </c>
      <c r="L925" s="145" t="s">
        <v>400</v>
      </c>
      <c r="M925" s="145" t="s">
        <v>400</v>
      </c>
      <c r="N925" s="145">
        <v>25</v>
      </c>
      <c r="O925" s="145">
        <v>9</v>
      </c>
      <c r="P925" s="145">
        <v>8.8999999999999996E-2</v>
      </c>
      <c r="Q925" s="145">
        <v>66</v>
      </c>
      <c r="R925" s="145">
        <v>1.47</v>
      </c>
      <c r="S925" s="145">
        <v>18</v>
      </c>
      <c r="T925" s="145">
        <v>14</v>
      </c>
      <c r="U925" s="145">
        <v>4.5999999999999999E-2</v>
      </c>
      <c r="V925" s="145">
        <v>1.85</v>
      </c>
      <c r="W925" s="145" t="s">
        <v>400</v>
      </c>
      <c r="X925" s="145">
        <v>1.4E-2</v>
      </c>
      <c r="Y925" s="145">
        <v>4.5999999999999999E-2</v>
      </c>
      <c r="Z925" s="146" t="s">
        <v>400</v>
      </c>
      <c r="AA925" s="145">
        <v>8.6999999999999994E-2</v>
      </c>
      <c r="AB925" s="145" t="s">
        <v>400</v>
      </c>
      <c r="AC925" s="145">
        <v>2.2200000000000002</v>
      </c>
      <c r="AD925" s="145">
        <v>0.42</v>
      </c>
      <c r="AE925" s="145">
        <v>1</v>
      </c>
      <c r="AF925" s="145" t="s">
        <v>400</v>
      </c>
      <c r="AG925" s="145">
        <v>0.23</v>
      </c>
      <c r="AH925" s="145" t="s">
        <v>400</v>
      </c>
      <c r="AI925" s="145">
        <v>333</v>
      </c>
      <c r="AJ925" s="145">
        <v>27</v>
      </c>
      <c r="AK925" s="145" t="s">
        <v>400</v>
      </c>
      <c r="AL925" s="145" t="s">
        <v>400</v>
      </c>
      <c r="AM925" s="145" t="s">
        <v>400</v>
      </c>
    </row>
    <row r="926" spans="1:39">
      <c r="A926" s="143" t="s">
        <v>1986</v>
      </c>
      <c r="B926" s="144">
        <v>100</v>
      </c>
      <c r="C926" s="145">
        <v>255.65899999999999</v>
      </c>
      <c r="D926" s="145">
        <v>12.49</v>
      </c>
      <c r="E926" s="145">
        <v>22.882999999999999</v>
      </c>
      <c r="F926" s="145">
        <v>9.9209999999999994</v>
      </c>
      <c r="G926" s="145">
        <v>7.657</v>
      </c>
      <c r="H926" s="145">
        <v>2.6970000000000001</v>
      </c>
      <c r="I926" s="145">
        <v>2.286</v>
      </c>
      <c r="J926" s="145">
        <v>0.20699999999999999</v>
      </c>
      <c r="K926" s="145">
        <v>277</v>
      </c>
      <c r="L926" s="145" t="s">
        <v>400</v>
      </c>
      <c r="M926" s="145" t="s">
        <v>400</v>
      </c>
      <c r="N926" s="145">
        <v>25</v>
      </c>
      <c r="O926" s="145">
        <v>9</v>
      </c>
      <c r="P926" s="145">
        <v>8.8999999999999996E-2</v>
      </c>
      <c r="Q926" s="145">
        <v>66</v>
      </c>
      <c r="R926" s="145">
        <v>1.4710000000000001</v>
      </c>
      <c r="S926" s="145">
        <v>18</v>
      </c>
      <c r="T926" s="145">
        <v>14</v>
      </c>
      <c r="U926" s="145">
        <v>4.5999999999999999E-2</v>
      </c>
      <c r="V926" s="145">
        <v>1.85</v>
      </c>
      <c r="W926" s="145" t="s">
        <v>400</v>
      </c>
      <c r="X926" s="145">
        <v>1.4E-2</v>
      </c>
      <c r="Y926" s="145">
        <v>4.5999999999999999E-2</v>
      </c>
      <c r="Z926" s="146" t="s">
        <v>400</v>
      </c>
      <c r="AA926" s="145">
        <v>8.6999999999999994E-2</v>
      </c>
      <c r="AB926" s="145" t="s">
        <v>400</v>
      </c>
      <c r="AC926" s="145">
        <v>2.2200000000000002</v>
      </c>
      <c r="AD926" s="145">
        <v>0.42</v>
      </c>
      <c r="AE926" s="145">
        <v>1</v>
      </c>
      <c r="AF926" s="145" t="s">
        <v>400</v>
      </c>
      <c r="AG926" s="145">
        <v>0.44</v>
      </c>
      <c r="AH926" s="145">
        <v>1.4E-2</v>
      </c>
      <c r="AI926" s="145">
        <v>333</v>
      </c>
      <c r="AJ926" s="145">
        <v>28.175000000000001</v>
      </c>
      <c r="AK926" s="145" t="s">
        <v>400</v>
      </c>
      <c r="AL926" s="145" t="s">
        <v>400</v>
      </c>
      <c r="AM926" s="145" t="s">
        <v>400</v>
      </c>
    </row>
    <row r="927" spans="1:39">
      <c r="A927" s="143" t="s">
        <v>1987</v>
      </c>
      <c r="B927" s="144">
        <v>100</v>
      </c>
      <c r="C927" s="145">
        <v>165</v>
      </c>
      <c r="D927" s="145">
        <v>26.02</v>
      </c>
      <c r="E927" s="145">
        <v>4.4000000000000004</v>
      </c>
      <c r="F927" s="145">
        <v>1.41</v>
      </c>
      <c r="G927" s="145">
        <v>0.63</v>
      </c>
      <c r="H927" s="145">
        <v>1.05</v>
      </c>
      <c r="I927" s="145">
        <v>0.42</v>
      </c>
      <c r="J927" s="145">
        <v>0.04</v>
      </c>
      <c r="K927" s="145">
        <v>355</v>
      </c>
      <c r="L927" s="145">
        <v>3.76</v>
      </c>
      <c r="M927" s="145" t="s">
        <v>400</v>
      </c>
      <c r="N927" s="145">
        <v>10</v>
      </c>
      <c r="O927" s="145">
        <v>14</v>
      </c>
      <c r="P927" s="145">
        <v>0.3</v>
      </c>
      <c r="Q927" s="145">
        <v>241</v>
      </c>
      <c r="R927" s="145">
        <v>17.920000000000002</v>
      </c>
      <c r="S927" s="145">
        <v>49</v>
      </c>
      <c r="T927" s="145">
        <v>150</v>
      </c>
      <c r="U927" s="145">
        <v>0.63400000000000001</v>
      </c>
      <c r="V927" s="145">
        <v>6.72</v>
      </c>
      <c r="W927" s="145">
        <v>5405</v>
      </c>
      <c r="X927" s="145">
        <v>0.25800000000000001</v>
      </c>
      <c r="Y927" s="145">
        <v>2.1960000000000002</v>
      </c>
      <c r="Z927" s="146">
        <v>0.56999999999999995</v>
      </c>
      <c r="AA927" s="145">
        <v>8.4350000000000005</v>
      </c>
      <c r="AB927" s="145">
        <v>23.6</v>
      </c>
      <c r="AC927" s="145">
        <v>14.535</v>
      </c>
      <c r="AD927" s="145">
        <v>18.670000000000002</v>
      </c>
      <c r="AE927" s="145">
        <v>163</v>
      </c>
      <c r="AF927" s="145">
        <v>1.1000000000000001</v>
      </c>
      <c r="AG927" s="145">
        <v>0.55500000000000005</v>
      </c>
      <c r="AH927" s="145" t="s">
        <v>400</v>
      </c>
      <c r="AI927" s="145">
        <v>333</v>
      </c>
      <c r="AJ927" s="145">
        <v>67.5</v>
      </c>
      <c r="AK927" s="145">
        <v>5405</v>
      </c>
      <c r="AL927" s="145" t="s">
        <v>400</v>
      </c>
      <c r="AM927" s="145" t="s">
        <v>400</v>
      </c>
    </row>
    <row r="928" spans="1:39">
      <c r="A928" s="143" t="s">
        <v>1988</v>
      </c>
      <c r="B928" s="144">
        <v>100</v>
      </c>
      <c r="C928" s="145">
        <v>165</v>
      </c>
      <c r="D928" s="145">
        <v>26.02</v>
      </c>
      <c r="E928" s="145">
        <v>4.4000000000000004</v>
      </c>
      <c r="F928" s="145">
        <v>1.41</v>
      </c>
      <c r="G928" s="145">
        <v>0.63</v>
      </c>
      <c r="H928" s="145">
        <v>1.05</v>
      </c>
      <c r="I928" s="145">
        <v>0.42</v>
      </c>
      <c r="J928" s="145">
        <v>0.04</v>
      </c>
      <c r="K928" s="145">
        <v>355</v>
      </c>
      <c r="L928" s="145">
        <v>3.76</v>
      </c>
      <c r="M928" s="145" t="s">
        <v>400</v>
      </c>
      <c r="N928" s="145">
        <v>10</v>
      </c>
      <c r="O928" s="145">
        <v>14</v>
      </c>
      <c r="P928" s="145">
        <v>0.3</v>
      </c>
      <c r="Q928" s="145">
        <v>241</v>
      </c>
      <c r="R928" s="145">
        <v>17.920000000000002</v>
      </c>
      <c r="S928" s="145">
        <v>49</v>
      </c>
      <c r="T928" s="145">
        <v>150</v>
      </c>
      <c r="U928" s="145">
        <v>0.63400000000000001</v>
      </c>
      <c r="V928" s="145">
        <v>6.72</v>
      </c>
      <c r="W928" s="145">
        <v>5405</v>
      </c>
      <c r="X928" s="145">
        <v>0.25800000000000001</v>
      </c>
      <c r="Y928" s="145">
        <v>2.1960000000000002</v>
      </c>
      <c r="Z928" s="146">
        <v>0.56999999999999995</v>
      </c>
      <c r="AA928" s="145">
        <v>8.4350000000000005</v>
      </c>
      <c r="AB928" s="145">
        <v>23.6</v>
      </c>
      <c r="AC928" s="145">
        <v>14.535</v>
      </c>
      <c r="AD928" s="145">
        <v>18.670000000000002</v>
      </c>
      <c r="AE928" s="145">
        <v>163</v>
      </c>
      <c r="AF928" s="145">
        <v>1.1000000000000001</v>
      </c>
      <c r="AG928" s="145">
        <v>0.55500000000000005</v>
      </c>
      <c r="AH928" s="145" t="s">
        <v>400</v>
      </c>
      <c r="AI928" s="145">
        <v>333</v>
      </c>
      <c r="AJ928" s="145">
        <v>67.5</v>
      </c>
      <c r="AK928" s="145">
        <v>5405</v>
      </c>
      <c r="AL928" s="145" t="s">
        <v>400</v>
      </c>
      <c r="AM928" s="145" t="s">
        <v>400</v>
      </c>
    </row>
    <row r="929" spans="1:39">
      <c r="A929" s="143" t="s">
        <v>1989</v>
      </c>
      <c r="B929" s="144">
        <v>100</v>
      </c>
      <c r="C929" s="145">
        <v>187.65899999999999</v>
      </c>
      <c r="D929" s="145">
        <v>26.02</v>
      </c>
      <c r="E929" s="145">
        <v>6.9630000000000001</v>
      </c>
      <c r="F929" s="145">
        <v>1.8109999999999999</v>
      </c>
      <c r="G929" s="145">
        <v>1.214</v>
      </c>
      <c r="H929" s="145">
        <v>2.5299999999999998</v>
      </c>
      <c r="I929" s="145">
        <v>1.726</v>
      </c>
      <c r="J929" s="145">
        <v>0.214</v>
      </c>
      <c r="K929" s="145">
        <v>355</v>
      </c>
      <c r="L929" s="145">
        <v>3.76</v>
      </c>
      <c r="M929" s="145" t="s">
        <v>400</v>
      </c>
      <c r="N929" s="145">
        <v>10</v>
      </c>
      <c r="O929" s="145">
        <v>14</v>
      </c>
      <c r="P929" s="145">
        <v>0.3</v>
      </c>
      <c r="Q929" s="145">
        <v>241</v>
      </c>
      <c r="R929" s="145">
        <v>17.920999999999999</v>
      </c>
      <c r="S929" s="145">
        <v>49</v>
      </c>
      <c r="T929" s="145">
        <v>150</v>
      </c>
      <c r="U929" s="145">
        <v>0.63400000000000001</v>
      </c>
      <c r="V929" s="145">
        <v>6.72</v>
      </c>
      <c r="W929" s="145">
        <v>5405</v>
      </c>
      <c r="X929" s="145">
        <v>0.25800000000000001</v>
      </c>
      <c r="Y929" s="145">
        <v>2.1960000000000002</v>
      </c>
      <c r="Z929" s="146">
        <v>0.56999999999999995</v>
      </c>
      <c r="AA929" s="145">
        <v>8.4350000000000005</v>
      </c>
      <c r="AB929" s="145">
        <v>23.6</v>
      </c>
      <c r="AC929" s="145">
        <v>14.535</v>
      </c>
      <c r="AD929" s="145">
        <v>18.670000000000002</v>
      </c>
      <c r="AE929" s="145">
        <v>163</v>
      </c>
      <c r="AF929" s="145">
        <v>1.1000000000000001</v>
      </c>
      <c r="AG929" s="145">
        <v>0.76500000000000001</v>
      </c>
      <c r="AH929" s="145">
        <v>1.4E-2</v>
      </c>
      <c r="AI929" s="145">
        <v>333</v>
      </c>
      <c r="AJ929" s="145">
        <v>68.674999999999997</v>
      </c>
      <c r="AK929" s="145">
        <v>5405</v>
      </c>
      <c r="AL929" s="145" t="s">
        <v>400</v>
      </c>
      <c r="AM929" s="145" t="s">
        <v>400</v>
      </c>
    </row>
    <row r="930" spans="1:39">
      <c r="A930" s="143" t="s">
        <v>1990</v>
      </c>
      <c r="B930" s="144">
        <v>100</v>
      </c>
      <c r="C930" s="145">
        <v>271</v>
      </c>
      <c r="D930" s="145">
        <v>24.1</v>
      </c>
      <c r="E930" s="145">
        <v>18.600000000000001</v>
      </c>
      <c r="F930" s="145">
        <v>6.4489999999999998</v>
      </c>
      <c r="G930" s="145">
        <v>8.7590000000000003</v>
      </c>
      <c r="H930" s="145">
        <v>1.93</v>
      </c>
      <c r="I930" s="145">
        <v>1.84</v>
      </c>
      <c r="J930" s="145">
        <v>0.09</v>
      </c>
      <c r="K930" s="145">
        <v>146</v>
      </c>
      <c r="L930" s="145" t="s">
        <v>400</v>
      </c>
      <c r="M930" s="145" t="s">
        <v>400</v>
      </c>
      <c r="N930" s="145">
        <v>19</v>
      </c>
      <c r="O930" s="145">
        <v>20</v>
      </c>
      <c r="P930" s="145">
        <v>0.01</v>
      </c>
      <c r="Q930" s="145">
        <v>174</v>
      </c>
      <c r="R930" s="145">
        <v>4.99</v>
      </c>
      <c r="S930" s="145">
        <v>109</v>
      </c>
      <c r="T930" s="145">
        <v>237</v>
      </c>
      <c r="U930" s="145">
        <v>0.11</v>
      </c>
      <c r="V930" s="145">
        <v>4.53</v>
      </c>
      <c r="W930" s="145" t="s">
        <v>400</v>
      </c>
      <c r="X930" s="145">
        <v>0.317</v>
      </c>
      <c r="Y930" s="145">
        <v>0.51</v>
      </c>
      <c r="Z930" s="146">
        <v>0.23</v>
      </c>
      <c r="AA930" s="145">
        <v>5.34</v>
      </c>
      <c r="AB930" s="145">
        <v>1.7</v>
      </c>
      <c r="AC930" s="145">
        <v>9.9730000000000008</v>
      </c>
      <c r="AD930" s="145">
        <v>2.39</v>
      </c>
      <c r="AE930" s="145">
        <v>4</v>
      </c>
      <c r="AF930" s="145" t="s">
        <v>400</v>
      </c>
      <c r="AG930" s="145">
        <v>0.53</v>
      </c>
      <c r="AH930" s="145" t="s">
        <v>400</v>
      </c>
      <c r="AI930" s="145">
        <v>333</v>
      </c>
      <c r="AJ930" s="145">
        <v>15.5</v>
      </c>
      <c r="AK930" s="145" t="s">
        <v>400</v>
      </c>
      <c r="AL930" s="145" t="s">
        <v>400</v>
      </c>
      <c r="AM930" s="145" t="s">
        <v>400</v>
      </c>
    </row>
    <row r="931" spans="1:39">
      <c r="A931" s="143" t="s">
        <v>1991</v>
      </c>
      <c r="B931" s="144">
        <v>100</v>
      </c>
      <c r="C931" s="145">
        <v>271</v>
      </c>
      <c r="D931" s="145">
        <v>24.1</v>
      </c>
      <c r="E931" s="145">
        <v>18.600000000000001</v>
      </c>
      <c r="F931" s="145">
        <v>6.4489999999999998</v>
      </c>
      <c r="G931" s="145">
        <v>8.7590000000000003</v>
      </c>
      <c r="H931" s="145">
        <v>1.93</v>
      </c>
      <c r="I931" s="145">
        <v>1.84</v>
      </c>
      <c r="J931" s="145">
        <v>0.09</v>
      </c>
      <c r="K931" s="145">
        <v>146</v>
      </c>
      <c r="L931" s="145" t="s">
        <v>400</v>
      </c>
      <c r="M931" s="145" t="s">
        <v>400</v>
      </c>
      <c r="N931" s="145">
        <v>19</v>
      </c>
      <c r="O931" s="145">
        <v>20</v>
      </c>
      <c r="P931" s="145">
        <v>0.01</v>
      </c>
      <c r="Q931" s="145">
        <v>174</v>
      </c>
      <c r="R931" s="145">
        <v>4.99</v>
      </c>
      <c r="S931" s="145">
        <v>109</v>
      </c>
      <c r="T931" s="145">
        <v>237</v>
      </c>
      <c r="U931" s="145">
        <v>0.11</v>
      </c>
      <c r="V931" s="145">
        <v>4.53</v>
      </c>
      <c r="W931" s="145" t="s">
        <v>400</v>
      </c>
      <c r="X931" s="145">
        <v>0.317</v>
      </c>
      <c r="Y931" s="145">
        <v>0.51</v>
      </c>
      <c r="Z931" s="146">
        <v>0.23</v>
      </c>
      <c r="AA931" s="145">
        <v>5.34</v>
      </c>
      <c r="AB931" s="145">
        <v>1.7</v>
      </c>
      <c r="AC931" s="145">
        <v>9.9730000000000008</v>
      </c>
      <c r="AD931" s="145">
        <v>2.39</v>
      </c>
      <c r="AE931" s="145">
        <v>4</v>
      </c>
      <c r="AF931" s="145" t="s">
        <v>400</v>
      </c>
      <c r="AG931" s="145">
        <v>0.53</v>
      </c>
      <c r="AH931" s="145" t="s">
        <v>400</v>
      </c>
      <c r="AI931" s="145">
        <v>333</v>
      </c>
      <c r="AJ931" s="145">
        <v>15.5</v>
      </c>
      <c r="AK931" s="145" t="s">
        <v>400</v>
      </c>
      <c r="AL931" s="145" t="s">
        <v>400</v>
      </c>
      <c r="AM931" s="145" t="s">
        <v>400</v>
      </c>
    </row>
    <row r="932" spans="1:39">
      <c r="A932" s="143" t="s">
        <v>1992</v>
      </c>
      <c r="B932" s="144">
        <v>100</v>
      </c>
      <c r="C932" s="145">
        <v>271</v>
      </c>
      <c r="D932" s="145">
        <v>24.1</v>
      </c>
      <c r="E932" s="145">
        <v>18.600000000000001</v>
      </c>
      <c r="F932" s="145">
        <v>6.4489999999999998</v>
      </c>
      <c r="G932" s="145">
        <v>8.7590000000000003</v>
      </c>
      <c r="H932" s="145">
        <v>1.93</v>
      </c>
      <c r="I932" s="145">
        <v>1.84</v>
      </c>
      <c r="J932" s="145">
        <v>0.09</v>
      </c>
      <c r="K932" s="145">
        <v>146</v>
      </c>
      <c r="L932" s="145" t="s">
        <v>400</v>
      </c>
      <c r="M932" s="145" t="s">
        <v>400</v>
      </c>
      <c r="N932" s="145">
        <v>19</v>
      </c>
      <c r="O932" s="145">
        <v>20</v>
      </c>
      <c r="P932" s="145">
        <v>0.01</v>
      </c>
      <c r="Q932" s="145">
        <v>174</v>
      </c>
      <c r="R932" s="145">
        <v>4.99</v>
      </c>
      <c r="S932" s="145">
        <v>109</v>
      </c>
      <c r="T932" s="145">
        <v>237</v>
      </c>
      <c r="U932" s="145">
        <v>0.11</v>
      </c>
      <c r="V932" s="145">
        <v>4.53</v>
      </c>
      <c r="W932" s="145" t="s">
        <v>400</v>
      </c>
      <c r="X932" s="145">
        <v>0.317</v>
      </c>
      <c r="Y932" s="145">
        <v>0.51</v>
      </c>
      <c r="Z932" s="146">
        <v>0.23</v>
      </c>
      <c r="AA932" s="145">
        <v>5.34</v>
      </c>
      <c r="AB932" s="145">
        <v>1.7</v>
      </c>
      <c r="AC932" s="145">
        <v>9.9730000000000008</v>
      </c>
      <c r="AD932" s="145">
        <v>2.39</v>
      </c>
      <c r="AE932" s="145">
        <v>4</v>
      </c>
      <c r="AF932" s="145" t="s">
        <v>400</v>
      </c>
      <c r="AG932" s="145">
        <v>0.53</v>
      </c>
      <c r="AH932" s="145" t="s">
        <v>400</v>
      </c>
      <c r="AI932" s="145">
        <v>333</v>
      </c>
      <c r="AJ932" s="145">
        <v>15.5</v>
      </c>
      <c r="AK932" s="145" t="s">
        <v>400</v>
      </c>
      <c r="AL932" s="145" t="s">
        <v>400</v>
      </c>
      <c r="AM932" s="145" t="s">
        <v>400</v>
      </c>
    </row>
    <row r="933" spans="1:39">
      <c r="A933" s="143" t="s">
        <v>1993</v>
      </c>
      <c r="B933" s="144">
        <v>100</v>
      </c>
      <c r="C933" s="145">
        <v>293.65899999999999</v>
      </c>
      <c r="D933" s="145">
        <v>24.1</v>
      </c>
      <c r="E933" s="145">
        <v>21.163</v>
      </c>
      <c r="F933" s="145">
        <v>6.85</v>
      </c>
      <c r="G933" s="145">
        <v>9.343</v>
      </c>
      <c r="H933" s="145">
        <v>3.41</v>
      </c>
      <c r="I933" s="145">
        <v>3.1459999999999999</v>
      </c>
      <c r="J933" s="145">
        <v>0.26400000000000001</v>
      </c>
      <c r="K933" s="145">
        <v>146</v>
      </c>
      <c r="L933" s="145" t="s">
        <v>400</v>
      </c>
      <c r="M933" s="145" t="s">
        <v>400</v>
      </c>
      <c r="N933" s="145">
        <v>19</v>
      </c>
      <c r="O933" s="145">
        <v>20</v>
      </c>
      <c r="P933" s="145">
        <v>0.01</v>
      </c>
      <c r="Q933" s="145">
        <v>174</v>
      </c>
      <c r="R933" s="145">
        <v>4.9909999999999997</v>
      </c>
      <c r="S933" s="145">
        <v>109</v>
      </c>
      <c r="T933" s="145">
        <v>237</v>
      </c>
      <c r="U933" s="145">
        <v>0.11</v>
      </c>
      <c r="V933" s="145">
        <v>4.53</v>
      </c>
      <c r="W933" s="145" t="s">
        <v>400</v>
      </c>
      <c r="X933" s="145">
        <v>0.317</v>
      </c>
      <c r="Y933" s="145">
        <v>0.51</v>
      </c>
      <c r="Z933" s="146">
        <v>0.23</v>
      </c>
      <c r="AA933" s="145">
        <v>5.34</v>
      </c>
      <c r="AB933" s="145">
        <v>1.7</v>
      </c>
      <c r="AC933" s="145">
        <v>9.9730000000000008</v>
      </c>
      <c r="AD933" s="145">
        <v>2.39</v>
      </c>
      <c r="AE933" s="145">
        <v>4</v>
      </c>
      <c r="AF933" s="145" t="s">
        <v>400</v>
      </c>
      <c r="AG933" s="145">
        <v>0.74</v>
      </c>
      <c r="AH933" s="145">
        <v>1.4E-2</v>
      </c>
      <c r="AI933" s="145">
        <v>333</v>
      </c>
      <c r="AJ933" s="145">
        <v>16.675000000000001</v>
      </c>
      <c r="AK933" s="145" t="s">
        <v>400</v>
      </c>
      <c r="AL933" s="145" t="s">
        <v>400</v>
      </c>
      <c r="AM933" s="145" t="s">
        <v>400</v>
      </c>
    </row>
    <row r="934" spans="1:39">
      <c r="A934" s="143" t="s">
        <v>1994</v>
      </c>
      <c r="B934" s="144">
        <v>100</v>
      </c>
      <c r="C934" s="145">
        <v>293.65899999999999</v>
      </c>
      <c r="D934" s="145">
        <v>24.1</v>
      </c>
      <c r="E934" s="145">
        <v>21.163</v>
      </c>
      <c r="F934" s="145">
        <v>6.85</v>
      </c>
      <c r="G934" s="145">
        <v>9.343</v>
      </c>
      <c r="H934" s="145">
        <v>3.41</v>
      </c>
      <c r="I934" s="145">
        <v>3.1459999999999999</v>
      </c>
      <c r="J934" s="145">
        <v>0.26400000000000001</v>
      </c>
      <c r="K934" s="145">
        <v>146</v>
      </c>
      <c r="L934" s="145" t="s">
        <v>400</v>
      </c>
      <c r="M934" s="145" t="s">
        <v>400</v>
      </c>
      <c r="N934" s="145">
        <v>19</v>
      </c>
      <c r="O934" s="145">
        <v>20</v>
      </c>
      <c r="P934" s="145">
        <v>0.01</v>
      </c>
      <c r="Q934" s="145">
        <v>174</v>
      </c>
      <c r="R934" s="145">
        <v>4.9909999999999997</v>
      </c>
      <c r="S934" s="145">
        <v>109</v>
      </c>
      <c r="T934" s="145">
        <v>237</v>
      </c>
      <c r="U934" s="145">
        <v>0.11</v>
      </c>
      <c r="V934" s="145">
        <v>4.53</v>
      </c>
      <c r="W934" s="145" t="s">
        <v>400</v>
      </c>
      <c r="X934" s="145">
        <v>0.317</v>
      </c>
      <c r="Y934" s="145">
        <v>0.51</v>
      </c>
      <c r="Z934" s="146">
        <v>0.23</v>
      </c>
      <c r="AA934" s="145">
        <v>5.34</v>
      </c>
      <c r="AB934" s="145">
        <v>1.7</v>
      </c>
      <c r="AC934" s="145">
        <v>9.9730000000000008</v>
      </c>
      <c r="AD934" s="145">
        <v>2.39</v>
      </c>
      <c r="AE934" s="145">
        <v>4</v>
      </c>
      <c r="AF934" s="145" t="s">
        <v>400</v>
      </c>
      <c r="AG934" s="145">
        <v>0.74</v>
      </c>
      <c r="AH934" s="145">
        <v>1.4E-2</v>
      </c>
      <c r="AI934" s="145">
        <v>333</v>
      </c>
      <c r="AJ934" s="145">
        <v>16.675000000000001</v>
      </c>
      <c r="AK934" s="145" t="s">
        <v>400</v>
      </c>
      <c r="AL934" s="145" t="s">
        <v>400</v>
      </c>
      <c r="AM934" s="145" t="s">
        <v>400</v>
      </c>
    </row>
    <row r="935" spans="1:39">
      <c r="A935" s="143" t="s">
        <v>1995</v>
      </c>
      <c r="B935" s="144">
        <v>100</v>
      </c>
      <c r="C935" s="145">
        <v>214</v>
      </c>
      <c r="D935" s="145">
        <v>28.81</v>
      </c>
      <c r="E935" s="145">
        <v>10.130000000000001</v>
      </c>
      <c r="F935" s="145">
        <v>3.54</v>
      </c>
      <c r="G935" s="145">
        <v>4.49</v>
      </c>
      <c r="H935" s="145">
        <v>0.85</v>
      </c>
      <c r="I935" s="145">
        <v>0.73</v>
      </c>
      <c r="J935" s="145">
        <v>0.02</v>
      </c>
      <c r="K935" s="145">
        <v>83</v>
      </c>
      <c r="L935" s="145" t="s">
        <v>400</v>
      </c>
      <c r="M935" s="145" t="s">
        <v>400</v>
      </c>
      <c r="N935" s="145">
        <v>6</v>
      </c>
      <c r="O935" s="145">
        <v>24</v>
      </c>
      <c r="P935" s="145">
        <v>1.0999999999999999E-2</v>
      </c>
      <c r="Q935" s="145">
        <v>222</v>
      </c>
      <c r="R935" s="145">
        <v>1</v>
      </c>
      <c r="S935" s="145">
        <v>50</v>
      </c>
      <c r="T935" s="145">
        <v>363</v>
      </c>
      <c r="U935" s="145">
        <v>1.2E-2</v>
      </c>
      <c r="V935" s="145">
        <v>2.83</v>
      </c>
      <c r="W935" s="145">
        <v>2</v>
      </c>
      <c r="X935" s="145">
        <v>0.63900000000000001</v>
      </c>
      <c r="Y935" s="145">
        <v>0.312</v>
      </c>
      <c r="Z935" s="146">
        <v>0.4</v>
      </c>
      <c r="AA935" s="145">
        <v>5.3550000000000004</v>
      </c>
      <c r="AB935" s="145">
        <v>0.4</v>
      </c>
      <c r="AC935" s="145">
        <v>11.455</v>
      </c>
      <c r="AD935" s="145">
        <v>0.55000000000000004</v>
      </c>
      <c r="AE935" s="145">
        <v>9</v>
      </c>
      <c r="AF935" s="145">
        <v>0.8</v>
      </c>
      <c r="AG935" s="145">
        <v>0.32</v>
      </c>
      <c r="AH935" s="145">
        <v>0.03</v>
      </c>
      <c r="AI935" s="145">
        <v>333</v>
      </c>
      <c r="AJ935" s="145">
        <v>43.2</v>
      </c>
      <c r="AK935" s="145">
        <v>2</v>
      </c>
      <c r="AL935" s="145" t="s">
        <v>400</v>
      </c>
      <c r="AM935" s="145" t="s">
        <v>400</v>
      </c>
    </row>
    <row r="936" spans="1:39">
      <c r="A936" s="143" t="s">
        <v>1996</v>
      </c>
      <c r="B936" s="144">
        <v>100</v>
      </c>
      <c r="C936" s="145">
        <v>100.041</v>
      </c>
      <c r="D936" s="145">
        <v>13.983000000000001</v>
      </c>
      <c r="E936" s="145">
        <v>2.9630000000000001</v>
      </c>
      <c r="F936" s="145">
        <v>0.89900000000000002</v>
      </c>
      <c r="G936" s="145">
        <v>0.626</v>
      </c>
      <c r="H936" s="145">
        <v>0.86</v>
      </c>
      <c r="I936" s="145">
        <v>0.34699999999999998</v>
      </c>
      <c r="J936" s="145">
        <v>6.0000000000000001E-3</v>
      </c>
      <c r="K936" s="145">
        <v>265.67700000000002</v>
      </c>
      <c r="L936" s="145">
        <v>4.18</v>
      </c>
      <c r="M936" s="145">
        <v>0.621</v>
      </c>
      <c r="N936" s="145">
        <v>15.865</v>
      </c>
      <c r="O936" s="145">
        <v>15.946999999999999</v>
      </c>
      <c r="P936" s="145">
        <v>0.222</v>
      </c>
      <c r="Q936" s="145">
        <v>195.69399999999999</v>
      </c>
      <c r="R936" s="145">
        <v>5.1870000000000003</v>
      </c>
      <c r="S936" s="145">
        <v>340.83499999999998</v>
      </c>
      <c r="T936" s="145">
        <v>224.90899999999999</v>
      </c>
      <c r="U936" s="145">
        <v>0.254</v>
      </c>
      <c r="V936" s="145">
        <v>2.202</v>
      </c>
      <c r="W936" s="145">
        <v>1539.8710000000001</v>
      </c>
      <c r="X936" s="145">
        <v>0.14199999999999999</v>
      </c>
      <c r="Y936" s="145">
        <v>0.81299999999999994</v>
      </c>
      <c r="Z936" s="146">
        <v>0.39</v>
      </c>
      <c r="AA936" s="145">
        <v>4.9000000000000004</v>
      </c>
      <c r="AB936" s="145">
        <v>34.222999999999999</v>
      </c>
      <c r="AC936" s="145">
        <v>7.3630000000000004</v>
      </c>
      <c r="AD936" s="145">
        <v>6.657</v>
      </c>
      <c r="AE936" s="145">
        <v>232.50899999999999</v>
      </c>
      <c r="AF936" s="145">
        <v>0.10299999999999999</v>
      </c>
      <c r="AG936" s="145">
        <v>0.57599999999999996</v>
      </c>
      <c r="AH936" s="145">
        <v>5.1999999999999998E-2</v>
      </c>
      <c r="AI936" s="145" t="s">
        <v>400</v>
      </c>
      <c r="AJ936" s="145">
        <v>37.481999999999999</v>
      </c>
      <c r="AK936" s="145">
        <v>1553.6020000000001</v>
      </c>
      <c r="AL936" s="145">
        <v>1.952</v>
      </c>
      <c r="AM936" s="145" t="s">
        <v>400</v>
      </c>
    </row>
    <row r="937" spans="1:39">
      <c r="A937" s="143" t="s">
        <v>1997</v>
      </c>
      <c r="B937" s="144">
        <v>100</v>
      </c>
      <c r="C937" s="145">
        <v>214</v>
      </c>
      <c r="D937" s="145">
        <v>28.81</v>
      </c>
      <c r="E937" s="145">
        <v>10.130000000000001</v>
      </c>
      <c r="F937" s="145">
        <v>3.54</v>
      </c>
      <c r="G937" s="145">
        <v>4.49</v>
      </c>
      <c r="H937" s="145">
        <v>0.85</v>
      </c>
      <c r="I937" s="145">
        <v>0.73</v>
      </c>
      <c r="J937" s="145">
        <v>0.02</v>
      </c>
      <c r="K937" s="145">
        <v>83</v>
      </c>
      <c r="L937" s="145" t="s">
        <v>400</v>
      </c>
      <c r="M937" s="145" t="s">
        <v>400</v>
      </c>
      <c r="N937" s="145">
        <v>6</v>
      </c>
      <c r="O937" s="145">
        <v>24</v>
      </c>
      <c r="P937" s="145">
        <v>1.0999999999999999E-2</v>
      </c>
      <c r="Q937" s="145">
        <v>222</v>
      </c>
      <c r="R937" s="145">
        <v>1</v>
      </c>
      <c r="S937" s="145">
        <v>50</v>
      </c>
      <c r="T937" s="145">
        <v>363</v>
      </c>
      <c r="U937" s="145">
        <v>1.2E-2</v>
      </c>
      <c r="V937" s="145">
        <v>2.83</v>
      </c>
      <c r="W937" s="145">
        <v>2</v>
      </c>
      <c r="X937" s="145">
        <v>0.63900000000000001</v>
      </c>
      <c r="Y937" s="145">
        <v>0.312</v>
      </c>
      <c r="Z937" s="146">
        <v>0.4</v>
      </c>
      <c r="AA937" s="145">
        <v>5.3550000000000004</v>
      </c>
      <c r="AB937" s="145">
        <v>0.4</v>
      </c>
      <c r="AC937" s="145">
        <v>11.455</v>
      </c>
      <c r="AD937" s="145">
        <v>0.55000000000000004</v>
      </c>
      <c r="AE937" s="145">
        <v>9</v>
      </c>
      <c r="AF937" s="145">
        <v>0.8</v>
      </c>
      <c r="AG937" s="145">
        <v>0.32</v>
      </c>
      <c r="AH937" s="145">
        <v>0.03</v>
      </c>
      <c r="AI937" s="145">
        <v>333</v>
      </c>
      <c r="AJ937" s="145">
        <v>43.2</v>
      </c>
      <c r="AK937" s="145">
        <v>2</v>
      </c>
      <c r="AL937" s="145" t="s">
        <v>400</v>
      </c>
      <c r="AM937" s="145" t="s">
        <v>400</v>
      </c>
    </row>
    <row r="938" spans="1:39">
      <c r="A938" s="143" t="s">
        <v>1998</v>
      </c>
      <c r="B938" s="144">
        <v>100</v>
      </c>
      <c r="C938" s="145">
        <v>143</v>
      </c>
      <c r="D938" s="145">
        <v>27.1</v>
      </c>
      <c r="E938" s="145">
        <v>3.03</v>
      </c>
      <c r="F938" s="145">
        <v>0.93</v>
      </c>
      <c r="G938" s="145">
        <v>1.36</v>
      </c>
      <c r="H938" s="145">
        <v>0.23</v>
      </c>
      <c r="I938" s="145">
        <v>0.13</v>
      </c>
      <c r="J938" s="145">
        <v>0.02</v>
      </c>
      <c r="K938" s="145">
        <v>75</v>
      </c>
      <c r="L938" s="145" t="s">
        <v>400</v>
      </c>
      <c r="M938" s="145" t="s">
        <v>400</v>
      </c>
      <c r="N938" s="145">
        <v>17</v>
      </c>
      <c r="O938" s="145" t="s">
        <v>400</v>
      </c>
      <c r="P938" s="145">
        <v>4.2000000000000003E-2</v>
      </c>
      <c r="Q938" s="145">
        <v>201</v>
      </c>
      <c r="R938" s="145">
        <v>3.73</v>
      </c>
      <c r="S938" s="145">
        <v>86</v>
      </c>
      <c r="T938" s="145">
        <v>405</v>
      </c>
      <c r="U938" s="145">
        <v>0.30299999999999999</v>
      </c>
      <c r="V938" s="145">
        <v>5.27</v>
      </c>
      <c r="W938" s="145" t="s">
        <v>400</v>
      </c>
      <c r="X938" s="145">
        <v>0.09</v>
      </c>
      <c r="Y938" s="145">
        <v>0.61</v>
      </c>
      <c r="Z938" s="146" t="s">
        <v>400</v>
      </c>
      <c r="AA938" s="145">
        <v>3.95</v>
      </c>
      <c r="AB938" s="145" t="s">
        <v>400</v>
      </c>
      <c r="AC938" s="145">
        <v>10.667</v>
      </c>
      <c r="AD938" s="145">
        <v>1.19</v>
      </c>
      <c r="AE938" s="145">
        <v>5</v>
      </c>
      <c r="AF938" s="145" t="s">
        <v>400</v>
      </c>
      <c r="AG938" s="145">
        <v>0.34</v>
      </c>
      <c r="AH938" s="145">
        <v>0.09</v>
      </c>
      <c r="AI938" s="145">
        <v>333</v>
      </c>
      <c r="AJ938" s="145">
        <v>11.8</v>
      </c>
      <c r="AK938" s="145" t="s">
        <v>400</v>
      </c>
      <c r="AL938" s="145" t="s">
        <v>400</v>
      </c>
      <c r="AM938" s="145" t="s">
        <v>400</v>
      </c>
    </row>
    <row r="939" spans="1:39">
      <c r="A939" s="143" t="s">
        <v>1999</v>
      </c>
      <c r="B939" s="144">
        <v>100</v>
      </c>
      <c r="C939" s="145">
        <v>143</v>
      </c>
      <c r="D939" s="145">
        <v>27.1</v>
      </c>
      <c r="E939" s="145">
        <v>3.03</v>
      </c>
      <c r="F939" s="145">
        <v>0.93</v>
      </c>
      <c r="G939" s="145">
        <v>1.36</v>
      </c>
      <c r="H939" s="145">
        <v>0.23</v>
      </c>
      <c r="I939" s="145">
        <v>0.13</v>
      </c>
      <c r="J939" s="145">
        <v>0.02</v>
      </c>
      <c r="K939" s="145">
        <v>75</v>
      </c>
      <c r="L939" s="145" t="s">
        <v>400</v>
      </c>
      <c r="M939" s="145" t="s">
        <v>400</v>
      </c>
      <c r="N939" s="145">
        <v>17</v>
      </c>
      <c r="O939" s="145" t="s">
        <v>400</v>
      </c>
      <c r="P939" s="145">
        <v>4.2000000000000003E-2</v>
      </c>
      <c r="Q939" s="145">
        <v>201</v>
      </c>
      <c r="R939" s="145">
        <v>3.73</v>
      </c>
      <c r="S939" s="145">
        <v>86</v>
      </c>
      <c r="T939" s="145">
        <v>405</v>
      </c>
      <c r="U939" s="145">
        <v>0.30299999999999999</v>
      </c>
      <c r="V939" s="145">
        <v>5.27</v>
      </c>
      <c r="W939" s="145" t="s">
        <v>400</v>
      </c>
      <c r="X939" s="145">
        <v>0.09</v>
      </c>
      <c r="Y939" s="145">
        <v>0.61</v>
      </c>
      <c r="Z939" s="146" t="s">
        <v>400</v>
      </c>
      <c r="AA939" s="145">
        <v>3.95</v>
      </c>
      <c r="AB939" s="145" t="s">
        <v>400</v>
      </c>
      <c r="AC939" s="145">
        <v>10.667</v>
      </c>
      <c r="AD939" s="145">
        <v>1.19</v>
      </c>
      <c r="AE939" s="145">
        <v>5</v>
      </c>
      <c r="AF939" s="145" t="s">
        <v>400</v>
      </c>
      <c r="AG939" s="145">
        <v>0.34</v>
      </c>
      <c r="AH939" s="145">
        <v>0.09</v>
      </c>
      <c r="AI939" s="145">
        <v>333</v>
      </c>
      <c r="AJ939" s="145">
        <v>11.8</v>
      </c>
      <c r="AK939" s="145" t="s">
        <v>400</v>
      </c>
      <c r="AL939" s="145" t="s">
        <v>400</v>
      </c>
      <c r="AM939" s="145" t="s">
        <v>400</v>
      </c>
    </row>
    <row r="940" spans="1:39">
      <c r="A940" s="143" t="s">
        <v>2000</v>
      </c>
      <c r="B940" s="144">
        <v>100</v>
      </c>
      <c r="C940" s="145">
        <v>143</v>
      </c>
      <c r="D940" s="145">
        <v>27.1</v>
      </c>
      <c r="E940" s="145">
        <v>3.03</v>
      </c>
      <c r="F940" s="145">
        <v>0.93</v>
      </c>
      <c r="G940" s="145">
        <v>1.36</v>
      </c>
      <c r="H940" s="145">
        <v>0.23</v>
      </c>
      <c r="I940" s="145">
        <v>0.13</v>
      </c>
      <c r="J940" s="145">
        <v>0.02</v>
      </c>
      <c r="K940" s="145">
        <v>75</v>
      </c>
      <c r="L940" s="145" t="s">
        <v>400</v>
      </c>
      <c r="M940" s="145" t="s">
        <v>400</v>
      </c>
      <c r="N940" s="145">
        <v>17</v>
      </c>
      <c r="O940" s="145" t="s">
        <v>400</v>
      </c>
      <c r="P940" s="145">
        <v>4.2000000000000003E-2</v>
      </c>
      <c r="Q940" s="145">
        <v>201</v>
      </c>
      <c r="R940" s="145">
        <v>3.73</v>
      </c>
      <c r="S940" s="145">
        <v>86</v>
      </c>
      <c r="T940" s="145">
        <v>405</v>
      </c>
      <c r="U940" s="145">
        <v>0.30299999999999999</v>
      </c>
      <c r="V940" s="145">
        <v>5.27</v>
      </c>
      <c r="W940" s="145" t="s">
        <v>400</v>
      </c>
      <c r="X940" s="145">
        <v>0.09</v>
      </c>
      <c r="Y940" s="145">
        <v>0.61</v>
      </c>
      <c r="Z940" s="146" t="s">
        <v>400</v>
      </c>
      <c r="AA940" s="145">
        <v>3.95</v>
      </c>
      <c r="AB940" s="145" t="s">
        <v>400</v>
      </c>
      <c r="AC940" s="145">
        <v>10.667</v>
      </c>
      <c r="AD940" s="145">
        <v>1.19</v>
      </c>
      <c r="AE940" s="145">
        <v>5</v>
      </c>
      <c r="AF940" s="145" t="s">
        <v>400</v>
      </c>
      <c r="AG940" s="145">
        <v>0.34</v>
      </c>
      <c r="AH940" s="145">
        <v>0.09</v>
      </c>
      <c r="AI940" s="145">
        <v>333</v>
      </c>
      <c r="AJ940" s="145">
        <v>11.8</v>
      </c>
      <c r="AK940" s="145" t="s">
        <v>400</v>
      </c>
      <c r="AL940" s="145" t="s">
        <v>400</v>
      </c>
      <c r="AM940" s="145" t="s">
        <v>400</v>
      </c>
    </row>
    <row r="941" spans="1:39">
      <c r="A941" s="143" t="s">
        <v>2001</v>
      </c>
      <c r="B941" s="144">
        <v>100</v>
      </c>
      <c r="C941" s="145">
        <v>143</v>
      </c>
      <c r="D941" s="145">
        <v>27.1</v>
      </c>
      <c r="E941" s="145">
        <v>3.03</v>
      </c>
      <c r="F941" s="145">
        <v>0.93</v>
      </c>
      <c r="G941" s="145">
        <v>1.36</v>
      </c>
      <c r="H941" s="145">
        <v>0.23</v>
      </c>
      <c r="I941" s="145">
        <v>0.13</v>
      </c>
      <c r="J941" s="145">
        <v>0.02</v>
      </c>
      <c r="K941" s="145">
        <v>75</v>
      </c>
      <c r="L941" s="145" t="s">
        <v>400</v>
      </c>
      <c r="M941" s="145" t="s">
        <v>400</v>
      </c>
      <c r="N941" s="145">
        <v>17</v>
      </c>
      <c r="O941" s="145" t="s">
        <v>400</v>
      </c>
      <c r="P941" s="145">
        <v>4.2000000000000003E-2</v>
      </c>
      <c r="Q941" s="145">
        <v>201</v>
      </c>
      <c r="R941" s="145">
        <v>3.73</v>
      </c>
      <c r="S941" s="145">
        <v>86</v>
      </c>
      <c r="T941" s="145">
        <v>405</v>
      </c>
      <c r="U941" s="145">
        <v>0.30299999999999999</v>
      </c>
      <c r="V941" s="145">
        <v>5.27</v>
      </c>
      <c r="W941" s="145" t="s">
        <v>400</v>
      </c>
      <c r="X941" s="145">
        <v>0.09</v>
      </c>
      <c r="Y941" s="145">
        <v>0.61</v>
      </c>
      <c r="Z941" s="146" t="s">
        <v>400</v>
      </c>
      <c r="AA941" s="145">
        <v>3.95</v>
      </c>
      <c r="AB941" s="145" t="s">
        <v>400</v>
      </c>
      <c r="AC941" s="145">
        <v>10.667</v>
      </c>
      <c r="AD941" s="145">
        <v>1.19</v>
      </c>
      <c r="AE941" s="145">
        <v>5</v>
      </c>
      <c r="AF941" s="145" t="s">
        <v>400</v>
      </c>
      <c r="AG941" s="145">
        <v>0.34</v>
      </c>
      <c r="AH941" s="145">
        <v>0.09</v>
      </c>
      <c r="AI941" s="145">
        <v>333</v>
      </c>
      <c r="AJ941" s="145">
        <v>11.8</v>
      </c>
      <c r="AK941" s="145" t="s">
        <v>400</v>
      </c>
      <c r="AL941" s="145" t="s">
        <v>400</v>
      </c>
      <c r="AM941" s="145" t="s">
        <v>400</v>
      </c>
    </row>
    <row r="942" spans="1:39">
      <c r="A942" s="143" t="s">
        <v>2002</v>
      </c>
      <c r="B942" s="144">
        <v>100</v>
      </c>
      <c r="C942" s="145">
        <v>143</v>
      </c>
      <c r="D942" s="145">
        <v>27.1</v>
      </c>
      <c r="E942" s="145">
        <v>3.03</v>
      </c>
      <c r="F942" s="145">
        <v>0.93</v>
      </c>
      <c r="G942" s="145">
        <v>1.36</v>
      </c>
      <c r="H942" s="145">
        <v>0.23</v>
      </c>
      <c r="I942" s="145">
        <v>0.13</v>
      </c>
      <c r="J942" s="145">
        <v>0.02</v>
      </c>
      <c r="K942" s="145">
        <v>75</v>
      </c>
      <c r="L942" s="145" t="s">
        <v>400</v>
      </c>
      <c r="M942" s="145" t="s">
        <v>400</v>
      </c>
      <c r="N942" s="145">
        <v>17</v>
      </c>
      <c r="O942" s="145" t="s">
        <v>400</v>
      </c>
      <c r="P942" s="145">
        <v>4.2000000000000003E-2</v>
      </c>
      <c r="Q942" s="145">
        <v>201</v>
      </c>
      <c r="R942" s="145">
        <v>3.73</v>
      </c>
      <c r="S942" s="145">
        <v>86</v>
      </c>
      <c r="T942" s="145">
        <v>405</v>
      </c>
      <c r="U942" s="145">
        <v>0.30299999999999999</v>
      </c>
      <c r="V942" s="145">
        <v>5.27</v>
      </c>
      <c r="W942" s="145" t="s">
        <v>400</v>
      </c>
      <c r="X942" s="145">
        <v>0.09</v>
      </c>
      <c r="Y942" s="145">
        <v>0.61</v>
      </c>
      <c r="Z942" s="146" t="s">
        <v>400</v>
      </c>
      <c r="AA942" s="145">
        <v>3.95</v>
      </c>
      <c r="AB942" s="145" t="s">
        <v>400</v>
      </c>
      <c r="AC942" s="145">
        <v>10.667</v>
      </c>
      <c r="AD942" s="145">
        <v>1.19</v>
      </c>
      <c r="AE942" s="145">
        <v>5</v>
      </c>
      <c r="AF942" s="145" t="s">
        <v>400</v>
      </c>
      <c r="AG942" s="145">
        <v>0.34</v>
      </c>
      <c r="AH942" s="145">
        <v>0.09</v>
      </c>
      <c r="AI942" s="145">
        <v>333</v>
      </c>
      <c r="AJ942" s="145">
        <v>11.8</v>
      </c>
      <c r="AK942" s="145" t="s">
        <v>400</v>
      </c>
      <c r="AL942" s="145" t="s">
        <v>400</v>
      </c>
      <c r="AM942" s="145" t="s">
        <v>400</v>
      </c>
    </row>
    <row r="943" spans="1:39">
      <c r="A943" s="143" t="s">
        <v>2003</v>
      </c>
      <c r="B943" s="144">
        <v>100</v>
      </c>
      <c r="C943" s="145">
        <v>143</v>
      </c>
      <c r="D943" s="145">
        <v>27.1</v>
      </c>
      <c r="E943" s="145">
        <v>3.03</v>
      </c>
      <c r="F943" s="145">
        <v>0.93</v>
      </c>
      <c r="G943" s="145">
        <v>1.36</v>
      </c>
      <c r="H943" s="145">
        <v>0.23</v>
      </c>
      <c r="I943" s="145">
        <v>0.13</v>
      </c>
      <c r="J943" s="145">
        <v>0.02</v>
      </c>
      <c r="K943" s="145">
        <v>75</v>
      </c>
      <c r="L943" s="145" t="s">
        <v>400</v>
      </c>
      <c r="M943" s="145" t="s">
        <v>400</v>
      </c>
      <c r="N943" s="145">
        <v>17</v>
      </c>
      <c r="O943" s="145" t="s">
        <v>400</v>
      </c>
      <c r="P943" s="145">
        <v>4.2000000000000003E-2</v>
      </c>
      <c r="Q943" s="145">
        <v>201</v>
      </c>
      <c r="R943" s="145">
        <v>3.73</v>
      </c>
      <c r="S943" s="145">
        <v>86</v>
      </c>
      <c r="T943" s="145">
        <v>405</v>
      </c>
      <c r="U943" s="145">
        <v>0.30299999999999999</v>
      </c>
      <c r="V943" s="145">
        <v>5.27</v>
      </c>
      <c r="W943" s="145" t="s">
        <v>400</v>
      </c>
      <c r="X943" s="145">
        <v>0.09</v>
      </c>
      <c r="Y943" s="145">
        <v>0.61</v>
      </c>
      <c r="Z943" s="146" t="s">
        <v>400</v>
      </c>
      <c r="AA943" s="145">
        <v>3.95</v>
      </c>
      <c r="AB943" s="145" t="s">
        <v>400</v>
      </c>
      <c r="AC943" s="145">
        <v>10.667</v>
      </c>
      <c r="AD943" s="145">
        <v>1.19</v>
      </c>
      <c r="AE943" s="145">
        <v>5</v>
      </c>
      <c r="AF943" s="145" t="s">
        <v>400</v>
      </c>
      <c r="AG943" s="145">
        <v>0.34</v>
      </c>
      <c r="AH943" s="145">
        <v>0.09</v>
      </c>
      <c r="AI943" s="145">
        <v>333</v>
      </c>
      <c r="AJ943" s="145">
        <v>11.8</v>
      </c>
      <c r="AK943" s="145" t="s">
        <v>400</v>
      </c>
      <c r="AL943" s="145" t="s">
        <v>400</v>
      </c>
      <c r="AM943" s="145" t="s">
        <v>400</v>
      </c>
    </row>
    <row r="944" spans="1:39">
      <c r="A944" s="143" t="s">
        <v>2004</v>
      </c>
      <c r="B944" s="144">
        <v>100</v>
      </c>
      <c r="C944" s="145">
        <v>165.65899999999999</v>
      </c>
      <c r="D944" s="145">
        <v>27.1</v>
      </c>
      <c r="E944" s="145">
        <v>5.593</v>
      </c>
      <c r="F944" s="145">
        <v>1.331</v>
      </c>
      <c r="G944" s="145">
        <v>1.944</v>
      </c>
      <c r="H944" s="145">
        <v>1.71</v>
      </c>
      <c r="I944" s="145">
        <v>1.4359999999999999</v>
      </c>
      <c r="J944" s="145">
        <v>0.19400000000000001</v>
      </c>
      <c r="K944" s="145">
        <v>75</v>
      </c>
      <c r="L944" s="145" t="s">
        <v>400</v>
      </c>
      <c r="M944" s="145" t="s">
        <v>400</v>
      </c>
      <c r="N944" s="145">
        <v>17</v>
      </c>
      <c r="O944" s="145" t="s">
        <v>400</v>
      </c>
      <c r="P944" s="145">
        <v>4.2000000000000003E-2</v>
      </c>
      <c r="Q944" s="145">
        <v>201</v>
      </c>
      <c r="R944" s="145">
        <v>3.7309999999999999</v>
      </c>
      <c r="S944" s="145">
        <v>86</v>
      </c>
      <c r="T944" s="145">
        <v>405</v>
      </c>
      <c r="U944" s="145">
        <v>0.30299999999999999</v>
      </c>
      <c r="V944" s="145">
        <v>5.27</v>
      </c>
      <c r="W944" s="145" t="s">
        <v>400</v>
      </c>
      <c r="X944" s="145">
        <v>0.09</v>
      </c>
      <c r="Y944" s="145">
        <v>0.61</v>
      </c>
      <c r="Z944" s="146" t="s">
        <v>400</v>
      </c>
      <c r="AA944" s="145">
        <v>3.95</v>
      </c>
      <c r="AB944" s="145" t="s">
        <v>400</v>
      </c>
      <c r="AC944" s="145">
        <v>10.667</v>
      </c>
      <c r="AD944" s="145">
        <v>1.19</v>
      </c>
      <c r="AE944" s="145">
        <v>5</v>
      </c>
      <c r="AF944" s="145" t="s">
        <v>400</v>
      </c>
      <c r="AG944" s="145">
        <v>0.55000000000000004</v>
      </c>
      <c r="AH944" s="145">
        <v>0.104</v>
      </c>
      <c r="AI944" s="145">
        <v>333</v>
      </c>
      <c r="AJ944" s="145">
        <v>12.975</v>
      </c>
      <c r="AK944" s="145" t="s">
        <v>400</v>
      </c>
      <c r="AL944" s="145" t="s">
        <v>400</v>
      </c>
      <c r="AM944" s="145" t="s">
        <v>400</v>
      </c>
    </row>
    <row r="945" spans="1:39">
      <c r="A945" s="143" t="s">
        <v>2005</v>
      </c>
      <c r="B945" s="144">
        <v>100</v>
      </c>
      <c r="C945" s="145">
        <v>143</v>
      </c>
      <c r="D945" s="145">
        <v>27.1</v>
      </c>
      <c r="E945" s="145">
        <v>3.03</v>
      </c>
      <c r="F945" s="145">
        <v>0.93</v>
      </c>
      <c r="G945" s="145">
        <v>1.36</v>
      </c>
      <c r="H945" s="145">
        <v>0.23</v>
      </c>
      <c r="I945" s="145">
        <v>0.13</v>
      </c>
      <c r="J945" s="145">
        <v>0.02</v>
      </c>
      <c r="K945" s="145">
        <v>75</v>
      </c>
      <c r="L945" s="145" t="s">
        <v>400</v>
      </c>
      <c r="M945" s="145" t="s">
        <v>400</v>
      </c>
      <c r="N945" s="145">
        <v>17</v>
      </c>
      <c r="O945" s="145" t="s">
        <v>400</v>
      </c>
      <c r="P945" s="145">
        <v>4.2000000000000003E-2</v>
      </c>
      <c r="Q945" s="145">
        <v>201</v>
      </c>
      <c r="R945" s="145">
        <v>3.73</v>
      </c>
      <c r="S945" s="145">
        <v>86</v>
      </c>
      <c r="T945" s="145">
        <v>405</v>
      </c>
      <c r="U945" s="145">
        <v>0.30299999999999999</v>
      </c>
      <c r="V945" s="145">
        <v>5.27</v>
      </c>
      <c r="W945" s="145" t="s">
        <v>400</v>
      </c>
      <c r="X945" s="145">
        <v>0.09</v>
      </c>
      <c r="Y945" s="145">
        <v>0.61</v>
      </c>
      <c r="Z945" s="146" t="s">
        <v>400</v>
      </c>
      <c r="AA945" s="145">
        <v>3.95</v>
      </c>
      <c r="AB945" s="145" t="s">
        <v>400</v>
      </c>
      <c r="AC945" s="145">
        <v>10.667</v>
      </c>
      <c r="AD945" s="145">
        <v>1.19</v>
      </c>
      <c r="AE945" s="145">
        <v>5</v>
      </c>
      <c r="AF945" s="145" t="s">
        <v>400</v>
      </c>
      <c r="AG945" s="145">
        <v>0.34</v>
      </c>
      <c r="AH945" s="145">
        <v>0.09</v>
      </c>
      <c r="AI945" s="145">
        <v>333</v>
      </c>
      <c r="AJ945" s="145">
        <v>11.8</v>
      </c>
      <c r="AK945" s="145" t="s">
        <v>400</v>
      </c>
      <c r="AL945" s="145" t="s">
        <v>400</v>
      </c>
      <c r="AM945" s="145" t="s">
        <v>400</v>
      </c>
    </row>
    <row r="946" spans="1:39">
      <c r="A946" s="143" t="s">
        <v>2006</v>
      </c>
      <c r="B946" s="144">
        <v>100</v>
      </c>
      <c r="C946" s="145">
        <v>143</v>
      </c>
      <c r="D946" s="145">
        <v>27.1</v>
      </c>
      <c r="E946" s="145">
        <v>3.03</v>
      </c>
      <c r="F946" s="145">
        <v>0.93</v>
      </c>
      <c r="G946" s="145">
        <v>1.36</v>
      </c>
      <c r="H946" s="145">
        <v>0.23</v>
      </c>
      <c r="I946" s="145">
        <v>0.13</v>
      </c>
      <c r="J946" s="145">
        <v>0.02</v>
      </c>
      <c r="K946" s="145">
        <v>75</v>
      </c>
      <c r="L946" s="145" t="s">
        <v>400</v>
      </c>
      <c r="M946" s="145" t="s">
        <v>400</v>
      </c>
      <c r="N946" s="145">
        <v>17</v>
      </c>
      <c r="O946" s="145" t="s">
        <v>400</v>
      </c>
      <c r="P946" s="145">
        <v>4.2000000000000003E-2</v>
      </c>
      <c r="Q946" s="145">
        <v>201</v>
      </c>
      <c r="R946" s="145">
        <v>3.73</v>
      </c>
      <c r="S946" s="145">
        <v>86</v>
      </c>
      <c r="T946" s="145">
        <v>405</v>
      </c>
      <c r="U946" s="145">
        <v>0.30299999999999999</v>
      </c>
      <c r="V946" s="145">
        <v>5.27</v>
      </c>
      <c r="W946" s="145" t="s">
        <v>400</v>
      </c>
      <c r="X946" s="145">
        <v>0.09</v>
      </c>
      <c r="Y946" s="145">
        <v>0.61</v>
      </c>
      <c r="Z946" s="146" t="s">
        <v>400</v>
      </c>
      <c r="AA946" s="145">
        <v>3.95</v>
      </c>
      <c r="AB946" s="145" t="s">
        <v>400</v>
      </c>
      <c r="AC946" s="145">
        <v>10.667</v>
      </c>
      <c r="AD946" s="145">
        <v>1.19</v>
      </c>
      <c r="AE946" s="145">
        <v>5</v>
      </c>
      <c r="AF946" s="145" t="s">
        <v>400</v>
      </c>
      <c r="AG946" s="145">
        <v>0.34</v>
      </c>
      <c r="AH946" s="145">
        <v>0.09</v>
      </c>
      <c r="AI946" s="145">
        <v>333</v>
      </c>
      <c r="AJ946" s="145">
        <v>11.8</v>
      </c>
      <c r="AK946" s="145" t="s">
        <v>400</v>
      </c>
      <c r="AL946" s="145" t="s">
        <v>400</v>
      </c>
      <c r="AM946" s="145" t="s">
        <v>400</v>
      </c>
    </row>
    <row r="947" spans="1:39">
      <c r="A947" s="143" t="s">
        <v>2007</v>
      </c>
      <c r="B947" s="144">
        <v>100</v>
      </c>
      <c r="C947" s="145">
        <v>165.65899999999999</v>
      </c>
      <c r="D947" s="145">
        <v>27.1</v>
      </c>
      <c r="E947" s="145">
        <v>5.593</v>
      </c>
      <c r="F947" s="145">
        <v>1.331</v>
      </c>
      <c r="G947" s="145">
        <v>1.944</v>
      </c>
      <c r="H947" s="145">
        <v>1.71</v>
      </c>
      <c r="I947" s="145">
        <v>1.4359999999999999</v>
      </c>
      <c r="J947" s="145">
        <v>0.19400000000000001</v>
      </c>
      <c r="K947" s="145">
        <v>75</v>
      </c>
      <c r="L947" s="145" t="s">
        <v>400</v>
      </c>
      <c r="M947" s="145" t="s">
        <v>400</v>
      </c>
      <c r="N947" s="145">
        <v>17</v>
      </c>
      <c r="O947" s="145" t="s">
        <v>400</v>
      </c>
      <c r="P947" s="145">
        <v>4.2000000000000003E-2</v>
      </c>
      <c r="Q947" s="145">
        <v>201</v>
      </c>
      <c r="R947" s="145">
        <v>3.7309999999999999</v>
      </c>
      <c r="S947" s="145">
        <v>86</v>
      </c>
      <c r="T947" s="145">
        <v>405</v>
      </c>
      <c r="U947" s="145">
        <v>0.30299999999999999</v>
      </c>
      <c r="V947" s="145">
        <v>5.27</v>
      </c>
      <c r="W947" s="145" t="s">
        <v>400</v>
      </c>
      <c r="X947" s="145">
        <v>0.09</v>
      </c>
      <c r="Y947" s="145">
        <v>0.61</v>
      </c>
      <c r="Z947" s="146" t="s">
        <v>400</v>
      </c>
      <c r="AA947" s="145">
        <v>3.95</v>
      </c>
      <c r="AB947" s="145" t="s">
        <v>400</v>
      </c>
      <c r="AC947" s="145">
        <v>10.667</v>
      </c>
      <c r="AD947" s="145">
        <v>1.19</v>
      </c>
      <c r="AE947" s="145">
        <v>5</v>
      </c>
      <c r="AF947" s="145" t="s">
        <v>400</v>
      </c>
      <c r="AG947" s="145">
        <v>0.55000000000000004</v>
      </c>
      <c r="AH947" s="145">
        <v>0.104</v>
      </c>
      <c r="AI947" s="145">
        <v>333</v>
      </c>
      <c r="AJ947" s="145">
        <v>12.975</v>
      </c>
      <c r="AK947" s="145" t="s">
        <v>400</v>
      </c>
      <c r="AL947" s="145" t="s">
        <v>400</v>
      </c>
      <c r="AM947" s="145" t="s">
        <v>400</v>
      </c>
    </row>
    <row r="948" spans="1:39">
      <c r="A948" s="143" t="s">
        <v>2008</v>
      </c>
      <c r="B948" s="144">
        <v>100</v>
      </c>
      <c r="C948" s="145">
        <v>165.65899999999999</v>
      </c>
      <c r="D948" s="145">
        <v>27.1</v>
      </c>
      <c r="E948" s="145">
        <v>5.593</v>
      </c>
      <c r="F948" s="145">
        <v>1.331</v>
      </c>
      <c r="G948" s="145">
        <v>1.944</v>
      </c>
      <c r="H948" s="145">
        <v>1.71</v>
      </c>
      <c r="I948" s="145">
        <v>1.4359999999999999</v>
      </c>
      <c r="J948" s="145">
        <v>0.19400000000000001</v>
      </c>
      <c r="K948" s="145">
        <v>75</v>
      </c>
      <c r="L948" s="145" t="s">
        <v>400</v>
      </c>
      <c r="M948" s="145" t="s">
        <v>400</v>
      </c>
      <c r="N948" s="145">
        <v>17</v>
      </c>
      <c r="O948" s="145" t="s">
        <v>400</v>
      </c>
      <c r="P948" s="145">
        <v>4.2000000000000003E-2</v>
      </c>
      <c r="Q948" s="145">
        <v>201</v>
      </c>
      <c r="R948" s="145">
        <v>3.7309999999999999</v>
      </c>
      <c r="S948" s="145">
        <v>86</v>
      </c>
      <c r="T948" s="145">
        <v>405</v>
      </c>
      <c r="U948" s="145">
        <v>0.30299999999999999</v>
      </c>
      <c r="V948" s="145">
        <v>5.27</v>
      </c>
      <c r="W948" s="145" t="s">
        <v>400</v>
      </c>
      <c r="X948" s="145">
        <v>0.09</v>
      </c>
      <c r="Y948" s="145">
        <v>0.61</v>
      </c>
      <c r="Z948" s="146" t="s">
        <v>400</v>
      </c>
      <c r="AA948" s="145">
        <v>3.95</v>
      </c>
      <c r="AB948" s="145" t="s">
        <v>400</v>
      </c>
      <c r="AC948" s="145">
        <v>10.667</v>
      </c>
      <c r="AD948" s="145">
        <v>1.19</v>
      </c>
      <c r="AE948" s="145">
        <v>5</v>
      </c>
      <c r="AF948" s="145" t="s">
        <v>400</v>
      </c>
      <c r="AG948" s="145">
        <v>0.55000000000000004</v>
      </c>
      <c r="AH948" s="145">
        <v>0.104</v>
      </c>
      <c r="AI948" s="145">
        <v>333</v>
      </c>
      <c r="AJ948" s="145">
        <v>12.975</v>
      </c>
      <c r="AK948" s="145" t="s">
        <v>400</v>
      </c>
      <c r="AL948" s="145" t="s">
        <v>400</v>
      </c>
      <c r="AM948" s="145" t="s">
        <v>400</v>
      </c>
    </row>
    <row r="949" spans="1:39">
      <c r="A949" s="143" t="s">
        <v>2009</v>
      </c>
      <c r="B949" s="144">
        <v>100</v>
      </c>
      <c r="C949" s="145">
        <v>143</v>
      </c>
      <c r="D949" s="145">
        <v>27.1</v>
      </c>
      <c r="E949" s="145">
        <v>3.03</v>
      </c>
      <c r="F949" s="145">
        <v>0.93</v>
      </c>
      <c r="G949" s="145">
        <v>1.36</v>
      </c>
      <c r="H949" s="145">
        <v>0.23</v>
      </c>
      <c r="I949" s="145">
        <v>0.13</v>
      </c>
      <c r="J949" s="145">
        <v>0.02</v>
      </c>
      <c r="K949" s="145">
        <v>75</v>
      </c>
      <c r="L949" s="145" t="s">
        <v>400</v>
      </c>
      <c r="M949" s="145" t="s">
        <v>400</v>
      </c>
      <c r="N949" s="145">
        <v>17</v>
      </c>
      <c r="O949" s="145" t="s">
        <v>400</v>
      </c>
      <c r="P949" s="145">
        <v>4.2000000000000003E-2</v>
      </c>
      <c r="Q949" s="145">
        <v>201</v>
      </c>
      <c r="R949" s="145">
        <v>3.73</v>
      </c>
      <c r="S949" s="145">
        <v>86</v>
      </c>
      <c r="T949" s="145">
        <v>405</v>
      </c>
      <c r="U949" s="145">
        <v>0.30299999999999999</v>
      </c>
      <c r="V949" s="145">
        <v>5.27</v>
      </c>
      <c r="W949" s="145" t="s">
        <v>400</v>
      </c>
      <c r="X949" s="145">
        <v>0.09</v>
      </c>
      <c r="Y949" s="145">
        <v>0.61</v>
      </c>
      <c r="Z949" s="146" t="s">
        <v>400</v>
      </c>
      <c r="AA949" s="145">
        <v>3.95</v>
      </c>
      <c r="AB949" s="145" t="s">
        <v>400</v>
      </c>
      <c r="AC949" s="145">
        <v>10.667</v>
      </c>
      <c r="AD949" s="145">
        <v>1.19</v>
      </c>
      <c r="AE949" s="145">
        <v>5</v>
      </c>
      <c r="AF949" s="145" t="s">
        <v>400</v>
      </c>
      <c r="AG949" s="145">
        <v>0.34</v>
      </c>
      <c r="AH949" s="145">
        <v>0.09</v>
      </c>
      <c r="AI949" s="145">
        <v>333</v>
      </c>
      <c r="AJ949" s="145">
        <v>11.8</v>
      </c>
      <c r="AK949" s="145" t="s">
        <v>400</v>
      </c>
      <c r="AL949" s="145" t="s">
        <v>400</v>
      </c>
      <c r="AM949" s="145" t="s">
        <v>400</v>
      </c>
    </row>
    <row r="950" spans="1:39">
      <c r="A950" s="143" t="s">
        <v>2010</v>
      </c>
      <c r="B950" s="144">
        <v>100</v>
      </c>
      <c r="C950" s="145">
        <v>143</v>
      </c>
      <c r="D950" s="145">
        <v>27.1</v>
      </c>
      <c r="E950" s="145">
        <v>3.03</v>
      </c>
      <c r="F950" s="145">
        <v>0.93</v>
      </c>
      <c r="G950" s="145">
        <v>1.36</v>
      </c>
      <c r="H950" s="145">
        <v>0.23</v>
      </c>
      <c r="I950" s="145">
        <v>0.13</v>
      </c>
      <c r="J950" s="145">
        <v>0.02</v>
      </c>
      <c r="K950" s="145">
        <v>75</v>
      </c>
      <c r="L950" s="145" t="s">
        <v>400</v>
      </c>
      <c r="M950" s="145" t="s">
        <v>400</v>
      </c>
      <c r="N950" s="145">
        <v>17</v>
      </c>
      <c r="O950" s="145" t="s">
        <v>400</v>
      </c>
      <c r="P950" s="145">
        <v>4.2000000000000003E-2</v>
      </c>
      <c r="Q950" s="145">
        <v>201</v>
      </c>
      <c r="R950" s="145">
        <v>3.73</v>
      </c>
      <c r="S950" s="145">
        <v>86</v>
      </c>
      <c r="T950" s="145">
        <v>405</v>
      </c>
      <c r="U950" s="145">
        <v>0.30299999999999999</v>
      </c>
      <c r="V950" s="145">
        <v>5.27</v>
      </c>
      <c r="W950" s="145" t="s">
        <v>400</v>
      </c>
      <c r="X950" s="145">
        <v>0.09</v>
      </c>
      <c r="Y950" s="145">
        <v>0.61</v>
      </c>
      <c r="Z950" s="146" t="s">
        <v>400</v>
      </c>
      <c r="AA950" s="145">
        <v>3.95</v>
      </c>
      <c r="AB950" s="145" t="s">
        <v>400</v>
      </c>
      <c r="AC950" s="145">
        <v>10.667</v>
      </c>
      <c r="AD950" s="145">
        <v>1.19</v>
      </c>
      <c r="AE950" s="145">
        <v>5</v>
      </c>
      <c r="AF950" s="145" t="s">
        <v>400</v>
      </c>
      <c r="AG950" s="145">
        <v>0.34</v>
      </c>
      <c r="AH950" s="145">
        <v>0.09</v>
      </c>
      <c r="AI950" s="145">
        <v>333</v>
      </c>
      <c r="AJ950" s="145">
        <v>11.8</v>
      </c>
      <c r="AK950" s="145" t="s">
        <v>400</v>
      </c>
      <c r="AL950" s="145" t="s">
        <v>400</v>
      </c>
      <c r="AM950" s="145" t="s">
        <v>400</v>
      </c>
    </row>
    <row r="951" spans="1:39">
      <c r="A951" s="143" t="s">
        <v>2011</v>
      </c>
      <c r="B951" s="144">
        <v>100</v>
      </c>
      <c r="C951" s="145">
        <v>165.65899999999999</v>
      </c>
      <c r="D951" s="145">
        <v>27.1</v>
      </c>
      <c r="E951" s="145">
        <v>5.593</v>
      </c>
      <c r="F951" s="145">
        <v>1.331</v>
      </c>
      <c r="G951" s="145">
        <v>1.944</v>
      </c>
      <c r="H951" s="145">
        <v>1.71</v>
      </c>
      <c r="I951" s="145">
        <v>1.4359999999999999</v>
      </c>
      <c r="J951" s="145">
        <v>0.19400000000000001</v>
      </c>
      <c r="K951" s="145">
        <v>75</v>
      </c>
      <c r="L951" s="145" t="s">
        <v>400</v>
      </c>
      <c r="M951" s="145" t="s">
        <v>400</v>
      </c>
      <c r="N951" s="145">
        <v>17</v>
      </c>
      <c r="O951" s="145" t="s">
        <v>400</v>
      </c>
      <c r="P951" s="145">
        <v>4.2000000000000003E-2</v>
      </c>
      <c r="Q951" s="145">
        <v>201</v>
      </c>
      <c r="R951" s="145">
        <v>3.7309999999999999</v>
      </c>
      <c r="S951" s="145">
        <v>86</v>
      </c>
      <c r="T951" s="145">
        <v>405</v>
      </c>
      <c r="U951" s="145">
        <v>0.30299999999999999</v>
      </c>
      <c r="V951" s="145">
        <v>5.27</v>
      </c>
      <c r="W951" s="145" t="s">
        <v>400</v>
      </c>
      <c r="X951" s="145">
        <v>0.09</v>
      </c>
      <c r="Y951" s="145">
        <v>0.61</v>
      </c>
      <c r="Z951" s="146" t="s">
        <v>400</v>
      </c>
      <c r="AA951" s="145">
        <v>3.95</v>
      </c>
      <c r="AB951" s="145" t="s">
        <v>400</v>
      </c>
      <c r="AC951" s="145">
        <v>10.667</v>
      </c>
      <c r="AD951" s="145">
        <v>1.19</v>
      </c>
      <c r="AE951" s="145">
        <v>5</v>
      </c>
      <c r="AF951" s="145" t="s">
        <v>400</v>
      </c>
      <c r="AG951" s="145">
        <v>0.55000000000000004</v>
      </c>
      <c r="AH951" s="145">
        <v>0.104</v>
      </c>
      <c r="AI951" s="145">
        <v>333</v>
      </c>
      <c r="AJ951" s="145">
        <v>12.975</v>
      </c>
      <c r="AK951" s="145" t="s">
        <v>400</v>
      </c>
      <c r="AL951" s="145" t="s">
        <v>400</v>
      </c>
      <c r="AM951" s="145" t="s">
        <v>400</v>
      </c>
    </row>
    <row r="952" spans="1:39">
      <c r="A952" s="143" t="s">
        <v>2012</v>
      </c>
      <c r="B952" s="144">
        <v>100</v>
      </c>
      <c r="C952" s="145">
        <v>204</v>
      </c>
      <c r="D952" s="145">
        <v>28.35</v>
      </c>
      <c r="E952" s="145">
        <v>9.17</v>
      </c>
      <c r="F952" s="145">
        <v>3.28</v>
      </c>
      <c r="G952" s="145">
        <v>4.0199999999999996</v>
      </c>
      <c r="H952" s="145">
        <v>0.6</v>
      </c>
      <c r="I952" s="145">
        <v>0.49</v>
      </c>
      <c r="J952" s="145">
        <v>0.05</v>
      </c>
      <c r="K952" s="145">
        <v>92</v>
      </c>
      <c r="L952" s="145" t="s">
        <v>400</v>
      </c>
      <c r="M952" s="145" t="s">
        <v>400</v>
      </c>
      <c r="N952" s="145">
        <v>8</v>
      </c>
      <c r="O952" s="145">
        <v>25</v>
      </c>
      <c r="P952" s="145">
        <v>2.8000000000000001E-2</v>
      </c>
      <c r="Q952" s="145">
        <v>203</v>
      </c>
      <c r="R952" s="145">
        <v>2.2000000000000002</v>
      </c>
      <c r="S952" s="145">
        <v>71</v>
      </c>
      <c r="T952" s="145">
        <v>333</v>
      </c>
      <c r="U952" s="145">
        <v>0.11899999999999999</v>
      </c>
      <c r="V952" s="145">
        <v>4.8499999999999996</v>
      </c>
      <c r="W952" s="145" t="s">
        <v>400</v>
      </c>
      <c r="X952" s="145">
        <v>0.12</v>
      </c>
      <c r="Y952" s="145">
        <v>0.31</v>
      </c>
      <c r="Z952" s="146">
        <v>0.17</v>
      </c>
      <c r="AA952" s="145">
        <v>6.27</v>
      </c>
      <c r="AB952" s="145" t="s">
        <v>400</v>
      </c>
      <c r="AC952" s="145">
        <v>11.787000000000001</v>
      </c>
      <c r="AD952" s="145">
        <v>2.58</v>
      </c>
      <c r="AE952" s="145">
        <v>21</v>
      </c>
      <c r="AF952" s="145">
        <v>0.6</v>
      </c>
      <c r="AG952" s="145">
        <v>0.17</v>
      </c>
      <c r="AH952" s="145">
        <v>0.4</v>
      </c>
      <c r="AI952" s="145">
        <v>333</v>
      </c>
      <c r="AJ952" s="145">
        <v>30.8</v>
      </c>
      <c r="AK952" s="145" t="s">
        <v>400</v>
      </c>
      <c r="AL952" s="145" t="s">
        <v>400</v>
      </c>
      <c r="AM952" s="145" t="s">
        <v>400</v>
      </c>
    </row>
    <row r="953" spans="1:39">
      <c r="A953" s="143" t="s">
        <v>2013</v>
      </c>
      <c r="B953" s="144">
        <v>100</v>
      </c>
      <c r="C953" s="145">
        <v>204</v>
      </c>
      <c r="D953" s="145">
        <v>28.35</v>
      </c>
      <c r="E953" s="145">
        <v>9.17</v>
      </c>
      <c r="F953" s="145">
        <v>3.28</v>
      </c>
      <c r="G953" s="145">
        <v>4.0199999999999996</v>
      </c>
      <c r="H953" s="145">
        <v>0.6</v>
      </c>
      <c r="I953" s="145">
        <v>0.49</v>
      </c>
      <c r="J953" s="145">
        <v>0.05</v>
      </c>
      <c r="K953" s="145">
        <v>92</v>
      </c>
      <c r="L953" s="145" t="s">
        <v>400</v>
      </c>
      <c r="M953" s="145" t="s">
        <v>400</v>
      </c>
      <c r="N953" s="145">
        <v>8</v>
      </c>
      <c r="O953" s="145">
        <v>25</v>
      </c>
      <c r="P953" s="145">
        <v>2.8000000000000001E-2</v>
      </c>
      <c r="Q953" s="145">
        <v>203</v>
      </c>
      <c r="R953" s="145">
        <v>2.2000000000000002</v>
      </c>
      <c r="S953" s="145">
        <v>71</v>
      </c>
      <c r="T953" s="145">
        <v>333</v>
      </c>
      <c r="U953" s="145">
        <v>0.11899999999999999</v>
      </c>
      <c r="V953" s="145">
        <v>4.8499999999999996</v>
      </c>
      <c r="W953" s="145" t="s">
        <v>400</v>
      </c>
      <c r="X953" s="145">
        <v>0.12</v>
      </c>
      <c r="Y953" s="145">
        <v>0.31</v>
      </c>
      <c r="Z953" s="146">
        <v>0.17</v>
      </c>
      <c r="AA953" s="145">
        <v>6.27</v>
      </c>
      <c r="AB953" s="145" t="s">
        <v>400</v>
      </c>
      <c r="AC953" s="145">
        <v>11.787000000000001</v>
      </c>
      <c r="AD953" s="145">
        <v>2.58</v>
      </c>
      <c r="AE953" s="145">
        <v>21</v>
      </c>
      <c r="AF953" s="145">
        <v>0.6</v>
      </c>
      <c r="AG953" s="145">
        <v>0.17</v>
      </c>
      <c r="AH953" s="145">
        <v>0.4</v>
      </c>
      <c r="AI953" s="145">
        <v>333</v>
      </c>
      <c r="AJ953" s="145">
        <v>30.8</v>
      </c>
      <c r="AK953" s="145" t="s">
        <v>400</v>
      </c>
      <c r="AL953" s="145" t="s">
        <v>400</v>
      </c>
      <c r="AM953" s="145" t="s">
        <v>400</v>
      </c>
    </row>
    <row r="954" spans="1:39">
      <c r="A954" s="143" t="s">
        <v>2014</v>
      </c>
      <c r="B954" s="144">
        <v>100</v>
      </c>
      <c r="C954" s="145">
        <v>204</v>
      </c>
      <c r="D954" s="145">
        <v>28.35</v>
      </c>
      <c r="E954" s="145">
        <v>9.17</v>
      </c>
      <c r="F954" s="145">
        <v>3.28</v>
      </c>
      <c r="G954" s="145">
        <v>4.0199999999999996</v>
      </c>
      <c r="H954" s="145">
        <v>0.6</v>
      </c>
      <c r="I954" s="145">
        <v>0.49</v>
      </c>
      <c r="J954" s="145">
        <v>0.05</v>
      </c>
      <c r="K954" s="145">
        <v>92</v>
      </c>
      <c r="L954" s="145" t="s">
        <v>400</v>
      </c>
      <c r="M954" s="145" t="s">
        <v>400</v>
      </c>
      <c r="N954" s="145">
        <v>8</v>
      </c>
      <c r="O954" s="145">
        <v>25</v>
      </c>
      <c r="P954" s="145">
        <v>2.8000000000000001E-2</v>
      </c>
      <c r="Q954" s="145">
        <v>203</v>
      </c>
      <c r="R954" s="145">
        <v>2.2000000000000002</v>
      </c>
      <c r="S954" s="145">
        <v>71</v>
      </c>
      <c r="T954" s="145">
        <v>333</v>
      </c>
      <c r="U954" s="145">
        <v>0.11899999999999999</v>
      </c>
      <c r="V954" s="145">
        <v>4.8499999999999996</v>
      </c>
      <c r="W954" s="145" t="s">
        <v>400</v>
      </c>
      <c r="X954" s="145">
        <v>0.12</v>
      </c>
      <c r="Y954" s="145">
        <v>0.31</v>
      </c>
      <c r="Z954" s="146">
        <v>0.17</v>
      </c>
      <c r="AA954" s="145">
        <v>6.27</v>
      </c>
      <c r="AB954" s="145" t="s">
        <v>400</v>
      </c>
      <c r="AC954" s="145">
        <v>11.787000000000001</v>
      </c>
      <c r="AD954" s="145">
        <v>2.58</v>
      </c>
      <c r="AE954" s="145">
        <v>21</v>
      </c>
      <c r="AF954" s="145">
        <v>0.6</v>
      </c>
      <c r="AG954" s="145">
        <v>0.17</v>
      </c>
      <c r="AH954" s="145">
        <v>0.4</v>
      </c>
      <c r="AI954" s="145">
        <v>333</v>
      </c>
      <c r="AJ954" s="145">
        <v>30.8</v>
      </c>
      <c r="AK954" s="145" t="s">
        <v>400</v>
      </c>
      <c r="AL954" s="145" t="s">
        <v>400</v>
      </c>
      <c r="AM954" s="145" t="s">
        <v>400</v>
      </c>
    </row>
    <row r="955" spans="1:39">
      <c r="A955" s="143" t="s">
        <v>2015</v>
      </c>
      <c r="B955" s="144">
        <v>100</v>
      </c>
      <c r="C955" s="145">
        <v>253.56700000000001</v>
      </c>
      <c r="D955" s="145">
        <v>28.35</v>
      </c>
      <c r="E955" s="145">
        <v>14.776999999999999</v>
      </c>
      <c r="F955" s="145">
        <v>4.1580000000000004</v>
      </c>
      <c r="G955" s="145">
        <v>5.2969999999999997</v>
      </c>
      <c r="H955" s="145">
        <v>3.8380000000000001</v>
      </c>
      <c r="I955" s="145">
        <v>3.347</v>
      </c>
      <c r="J955" s="145">
        <v>0.43099999999999999</v>
      </c>
      <c r="K955" s="145">
        <v>92</v>
      </c>
      <c r="L955" s="145" t="s">
        <v>400</v>
      </c>
      <c r="M955" s="145" t="s">
        <v>400</v>
      </c>
      <c r="N955" s="145">
        <v>8</v>
      </c>
      <c r="O955" s="145">
        <v>25</v>
      </c>
      <c r="P955" s="145">
        <v>2.8000000000000001E-2</v>
      </c>
      <c r="Q955" s="145">
        <v>203</v>
      </c>
      <c r="R955" s="145">
        <v>2.2029999999999998</v>
      </c>
      <c r="S955" s="145">
        <v>71</v>
      </c>
      <c r="T955" s="145">
        <v>333</v>
      </c>
      <c r="U955" s="145">
        <v>0.11899999999999999</v>
      </c>
      <c r="V955" s="145">
        <v>4.851</v>
      </c>
      <c r="W955" s="145" t="s">
        <v>400</v>
      </c>
      <c r="X955" s="145">
        <v>0.12</v>
      </c>
      <c r="Y955" s="145">
        <v>0.31</v>
      </c>
      <c r="Z955" s="146">
        <v>0.17</v>
      </c>
      <c r="AA955" s="145">
        <v>6.27</v>
      </c>
      <c r="AB955" s="145" t="s">
        <v>400</v>
      </c>
      <c r="AC955" s="145">
        <v>11.787000000000001</v>
      </c>
      <c r="AD955" s="145">
        <v>2.58</v>
      </c>
      <c r="AE955" s="145">
        <v>21</v>
      </c>
      <c r="AF955" s="145">
        <v>0.6</v>
      </c>
      <c r="AG955" s="145">
        <v>0.629</v>
      </c>
      <c r="AH955" s="145">
        <v>0.43</v>
      </c>
      <c r="AI955" s="145">
        <v>333</v>
      </c>
      <c r="AJ955" s="145">
        <v>33.369999999999997</v>
      </c>
      <c r="AK955" s="145" t="s">
        <v>400</v>
      </c>
      <c r="AL955" s="145" t="s">
        <v>400</v>
      </c>
      <c r="AM955" s="145" t="s">
        <v>400</v>
      </c>
    </row>
    <row r="956" spans="1:39">
      <c r="A956" s="143" t="s">
        <v>2016</v>
      </c>
      <c r="B956" s="144">
        <v>100</v>
      </c>
      <c r="C956" s="145">
        <v>253.56700000000001</v>
      </c>
      <c r="D956" s="145">
        <v>28.35</v>
      </c>
      <c r="E956" s="145">
        <v>14.776999999999999</v>
      </c>
      <c r="F956" s="145">
        <v>4.1580000000000004</v>
      </c>
      <c r="G956" s="145">
        <v>5.2969999999999997</v>
      </c>
      <c r="H956" s="145">
        <v>3.8380000000000001</v>
      </c>
      <c r="I956" s="145">
        <v>3.347</v>
      </c>
      <c r="J956" s="145">
        <v>0.43099999999999999</v>
      </c>
      <c r="K956" s="145">
        <v>92</v>
      </c>
      <c r="L956" s="145" t="s">
        <v>400</v>
      </c>
      <c r="M956" s="145" t="s">
        <v>400</v>
      </c>
      <c r="N956" s="145">
        <v>8</v>
      </c>
      <c r="O956" s="145">
        <v>25</v>
      </c>
      <c r="P956" s="145">
        <v>2.8000000000000001E-2</v>
      </c>
      <c r="Q956" s="145">
        <v>203</v>
      </c>
      <c r="R956" s="145">
        <v>2.2029999999999998</v>
      </c>
      <c r="S956" s="145">
        <v>71</v>
      </c>
      <c r="T956" s="145">
        <v>333</v>
      </c>
      <c r="U956" s="145">
        <v>0.11899999999999999</v>
      </c>
      <c r="V956" s="145">
        <v>4.851</v>
      </c>
      <c r="W956" s="145" t="s">
        <v>400</v>
      </c>
      <c r="X956" s="145">
        <v>0.12</v>
      </c>
      <c r="Y956" s="145">
        <v>0.31</v>
      </c>
      <c r="Z956" s="146">
        <v>0.17</v>
      </c>
      <c r="AA956" s="145">
        <v>6.27</v>
      </c>
      <c r="AB956" s="145" t="s">
        <v>400</v>
      </c>
      <c r="AC956" s="145">
        <v>11.787000000000001</v>
      </c>
      <c r="AD956" s="145">
        <v>2.58</v>
      </c>
      <c r="AE956" s="145">
        <v>21</v>
      </c>
      <c r="AF956" s="145">
        <v>0.6</v>
      </c>
      <c r="AG956" s="145">
        <v>0.629</v>
      </c>
      <c r="AH956" s="145">
        <v>0.43</v>
      </c>
      <c r="AI956" s="145">
        <v>333</v>
      </c>
      <c r="AJ956" s="145">
        <v>33.369999999999997</v>
      </c>
      <c r="AK956" s="145" t="s">
        <v>400</v>
      </c>
      <c r="AL956" s="145" t="s">
        <v>400</v>
      </c>
      <c r="AM956" s="145" t="s">
        <v>400</v>
      </c>
    </row>
    <row r="957" spans="1:39">
      <c r="A957" s="143" t="s">
        <v>2017</v>
      </c>
      <c r="B957" s="144">
        <v>100</v>
      </c>
      <c r="C957" s="145">
        <v>204</v>
      </c>
      <c r="D957" s="145">
        <v>28.35</v>
      </c>
      <c r="E957" s="145">
        <v>9.17</v>
      </c>
      <c r="F957" s="145">
        <v>3.28</v>
      </c>
      <c r="G957" s="145">
        <v>4.0199999999999996</v>
      </c>
      <c r="H957" s="145">
        <v>0.6</v>
      </c>
      <c r="I957" s="145">
        <v>0.49</v>
      </c>
      <c r="J957" s="145">
        <v>0.05</v>
      </c>
      <c r="K957" s="145">
        <v>92</v>
      </c>
      <c r="L957" s="145" t="s">
        <v>400</v>
      </c>
      <c r="M957" s="145" t="s">
        <v>400</v>
      </c>
      <c r="N957" s="145">
        <v>8</v>
      </c>
      <c r="O957" s="145">
        <v>25</v>
      </c>
      <c r="P957" s="145">
        <v>2.8000000000000001E-2</v>
      </c>
      <c r="Q957" s="145">
        <v>203</v>
      </c>
      <c r="R957" s="145">
        <v>2.2000000000000002</v>
      </c>
      <c r="S957" s="145">
        <v>71</v>
      </c>
      <c r="T957" s="145">
        <v>333</v>
      </c>
      <c r="U957" s="145">
        <v>0.11899999999999999</v>
      </c>
      <c r="V957" s="145">
        <v>4.8499999999999996</v>
      </c>
      <c r="W957" s="145" t="s">
        <v>400</v>
      </c>
      <c r="X957" s="145">
        <v>0.12</v>
      </c>
      <c r="Y957" s="145">
        <v>0.31</v>
      </c>
      <c r="Z957" s="146">
        <v>0.17</v>
      </c>
      <c r="AA957" s="145">
        <v>6.27</v>
      </c>
      <c r="AB957" s="145" t="s">
        <v>400</v>
      </c>
      <c r="AC957" s="145">
        <v>11.787000000000001</v>
      </c>
      <c r="AD957" s="145">
        <v>2.58</v>
      </c>
      <c r="AE957" s="145">
        <v>21</v>
      </c>
      <c r="AF957" s="145">
        <v>0.6</v>
      </c>
      <c r="AG957" s="145">
        <v>0.17</v>
      </c>
      <c r="AH957" s="145">
        <v>0.4</v>
      </c>
      <c r="AI957" s="145">
        <v>333</v>
      </c>
      <c r="AJ957" s="145">
        <v>30.8</v>
      </c>
      <c r="AK957" s="145" t="s">
        <v>400</v>
      </c>
      <c r="AL957" s="145" t="s">
        <v>400</v>
      </c>
      <c r="AM957" s="145" t="s">
        <v>400</v>
      </c>
    </row>
    <row r="958" spans="1:39">
      <c r="A958" s="143" t="s">
        <v>2018</v>
      </c>
      <c r="B958" s="144">
        <v>100</v>
      </c>
      <c r="C958" s="145">
        <v>204</v>
      </c>
      <c r="D958" s="145">
        <v>28.35</v>
      </c>
      <c r="E958" s="145">
        <v>9.17</v>
      </c>
      <c r="F958" s="145">
        <v>3.28</v>
      </c>
      <c r="G958" s="145">
        <v>4.0199999999999996</v>
      </c>
      <c r="H958" s="145">
        <v>0.6</v>
      </c>
      <c r="I958" s="145">
        <v>0.49</v>
      </c>
      <c r="J958" s="145">
        <v>0.05</v>
      </c>
      <c r="K958" s="145">
        <v>92</v>
      </c>
      <c r="L958" s="145" t="s">
        <v>400</v>
      </c>
      <c r="M958" s="145" t="s">
        <v>400</v>
      </c>
      <c r="N958" s="145">
        <v>8</v>
      </c>
      <c r="O958" s="145">
        <v>25</v>
      </c>
      <c r="P958" s="145">
        <v>2.8000000000000001E-2</v>
      </c>
      <c r="Q958" s="145">
        <v>203</v>
      </c>
      <c r="R958" s="145">
        <v>2.2000000000000002</v>
      </c>
      <c r="S958" s="145">
        <v>71</v>
      </c>
      <c r="T958" s="145">
        <v>333</v>
      </c>
      <c r="U958" s="145">
        <v>0.11899999999999999</v>
      </c>
      <c r="V958" s="145">
        <v>4.8499999999999996</v>
      </c>
      <c r="W958" s="145" t="s">
        <v>400</v>
      </c>
      <c r="X958" s="145">
        <v>0.12</v>
      </c>
      <c r="Y958" s="145">
        <v>0.31</v>
      </c>
      <c r="Z958" s="146">
        <v>0.17</v>
      </c>
      <c r="AA958" s="145">
        <v>6.27</v>
      </c>
      <c r="AB958" s="145" t="s">
        <v>400</v>
      </c>
      <c r="AC958" s="145">
        <v>11.787000000000001</v>
      </c>
      <c r="AD958" s="145">
        <v>2.58</v>
      </c>
      <c r="AE958" s="145">
        <v>21</v>
      </c>
      <c r="AF958" s="145">
        <v>0.6</v>
      </c>
      <c r="AG958" s="145">
        <v>0.17</v>
      </c>
      <c r="AH958" s="145">
        <v>0.4</v>
      </c>
      <c r="AI958" s="145">
        <v>333</v>
      </c>
      <c r="AJ958" s="145">
        <v>30.8</v>
      </c>
      <c r="AK958" s="145" t="s">
        <v>400</v>
      </c>
      <c r="AL958" s="145" t="s">
        <v>400</v>
      </c>
      <c r="AM958" s="145" t="s">
        <v>400</v>
      </c>
    </row>
    <row r="959" spans="1:39">
      <c r="A959" s="143" t="s">
        <v>2019</v>
      </c>
      <c r="B959" s="144">
        <v>100</v>
      </c>
      <c r="C959" s="145">
        <v>204</v>
      </c>
      <c r="D959" s="145">
        <v>28.35</v>
      </c>
      <c r="E959" s="145">
        <v>9.17</v>
      </c>
      <c r="F959" s="145">
        <v>3.28</v>
      </c>
      <c r="G959" s="145">
        <v>4.0199999999999996</v>
      </c>
      <c r="H959" s="145">
        <v>0.6</v>
      </c>
      <c r="I959" s="145">
        <v>0.49</v>
      </c>
      <c r="J959" s="145">
        <v>0.05</v>
      </c>
      <c r="K959" s="145">
        <v>92</v>
      </c>
      <c r="L959" s="145" t="s">
        <v>400</v>
      </c>
      <c r="M959" s="145" t="s">
        <v>400</v>
      </c>
      <c r="N959" s="145">
        <v>8</v>
      </c>
      <c r="O959" s="145">
        <v>25</v>
      </c>
      <c r="P959" s="145">
        <v>2.8000000000000001E-2</v>
      </c>
      <c r="Q959" s="145">
        <v>203</v>
      </c>
      <c r="R959" s="145">
        <v>2.2000000000000002</v>
      </c>
      <c r="S959" s="145">
        <v>71</v>
      </c>
      <c r="T959" s="145">
        <v>333</v>
      </c>
      <c r="U959" s="145">
        <v>0.11899999999999999</v>
      </c>
      <c r="V959" s="145">
        <v>4.8499999999999996</v>
      </c>
      <c r="W959" s="145" t="s">
        <v>400</v>
      </c>
      <c r="X959" s="145">
        <v>0.12</v>
      </c>
      <c r="Y959" s="145">
        <v>0.31</v>
      </c>
      <c r="Z959" s="146">
        <v>0.17</v>
      </c>
      <c r="AA959" s="145">
        <v>6.27</v>
      </c>
      <c r="AB959" s="145" t="s">
        <v>400</v>
      </c>
      <c r="AC959" s="145">
        <v>11.787000000000001</v>
      </c>
      <c r="AD959" s="145">
        <v>2.58</v>
      </c>
      <c r="AE959" s="145">
        <v>21</v>
      </c>
      <c r="AF959" s="145">
        <v>0.6</v>
      </c>
      <c r="AG959" s="145">
        <v>0.17</v>
      </c>
      <c r="AH959" s="145">
        <v>0.4</v>
      </c>
      <c r="AI959" s="145">
        <v>333</v>
      </c>
      <c r="AJ959" s="145">
        <v>30.8</v>
      </c>
      <c r="AK959" s="145" t="s">
        <v>400</v>
      </c>
      <c r="AL959" s="145" t="s">
        <v>400</v>
      </c>
      <c r="AM959" s="145" t="s">
        <v>400</v>
      </c>
    </row>
    <row r="960" spans="1:39">
      <c r="A960" s="143" t="s">
        <v>2020</v>
      </c>
      <c r="B960" s="144">
        <v>100</v>
      </c>
      <c r="C960" s="145">
        <v>253.56700000000001</v>
      </c>
      <c r="D960" s="145">
        <v>28.35</v>
      </c>
      <c r="E960" s="145">
        <v>14.776999999999999</v>
      </c>
      <c r="F960" s="145">
        <v>4.1580000000000004</v>
      </c>
      <c r="G960" s="145">
        <v>5.2969999999999997</v>
      </c>
      <c r="H960" s="145">
        <v>3.8380000000000001</v>
      </c>
      <c r="I960" s="145">
        <v>3.347</v>
      </c>
      <c r="J960" s="145">
        <v>0.43099999999999999</v>
      </c>
      <c r="K960" s="145">
        <v>92</v>
      </c>
      <c r="L960" s="145" t="s">
        <v>400</v>
      </c>
      <c r="M960" s="145" t="s">
        <v>400</v>
      </c>
      <c r="N960" s="145">
        <v>8</v>
      </c>
      <c r="O960" s="145">
        <v>25</v>
      </c>
      <c r="P960" s="145">
        <v>2.8000000000000001E-2</v>
      </c>
      <c r="Q960" s="145">
        <v>203</v>
      </c>
      <c r="R960" s="145">
        <v>2.2029999999999998</v>
      </c>
      <c r="S960" s="145">
        <v>71</v>
      </c>
      <c r="T960" s="145">
        <v>333</v>
      </c>
      <c r="U960" s="145">
        <v>0.11899999999999999</v>
      </c>
      <c r="V960" s="145">
        <v>4.851</v>
      </c>
      <c r="W960" s="145" t="s">
        <v>400</v>
      </c>
      <c r="X960" s="145">
        <v>0.12</v>
      </c>
      <c r="Y960" s="145">
        <v>0.31</v>
      </c>
      <c r="Z960" s="146">
        <v>0.17</v>
      </c>
      <c r="AA960" s="145">
        <v>6.27</v>
      </c>
      <c r="AB960" s="145" t="s">
        <v>400</v>
      </c>
      <c r="AC960" s="145">
        <v>11.787000000000001</v>
      </c>
      <c r="AD960" s="145">
        <v>2.58</v>
      </c>
      <c r="AE960" s="145">
        <v>21</v>
      </c>
      <c r="AF960" s="145">
        <v>0.6</v>
      </c>
      <c r="AG960" s="145">
        <v>0.629</v>
      </c>
      <c r="AH960" s="145">
        <v>0.43</v>
      </c>
      <c r="AI960" s="145">
        <v>333</v>
      </c>
      <c r="AJ960" s="145">
        <v>33.369999999999997</v>
      </c>
      <c r="AK960" s="145" t="s">
        <v>400</v>
      </c>
      <c r="AL960" s="145" t="s">
        <v>400</v>
      </c>
      <c r="AM960" s="145" t="s">
        <v>400</v>
      </c>
    </row>
    <row r="961" spans="1:39">
      <c r="A961" s="143" t="s">
        <v>2021</v>
      </c>
      <c r="B961" s="144">
        <v>100</v>
      </c>
      <c r="C961" s="145">
        <v>214</v>
      </c>
      <c r="D961" s="145">
        <v>28.81</v>
      </c>
      <c r="E961" s="145">
        <v>10.130000000000001</v>
      </c>
      <c r="F961" s="145">
        <v>3.54</v>
      </c>
      <c r="G961" s="145">
        <v>4.49</v>
      </c>
      <c r="H961" s="145">
        <v>0.85</v>
      </c>
      <c r="I961" s="145">
        <v>0.73</v>
      </c>
      <c r="J961" s="145">
        <v>0.02</v>
      </c>
      <c r="K961" s="145">
        <v>83</v>
      </c>
      <c r="L961" s="145" t="s">
        <v>400</v>
      </c>
      <c r="M961" s="145" t="s">
        <v>400</v>
      </c>
      <c r="N961" s="145">
        <v>6</v>
      </c>
      <c r="O961" s="145">
        <v>24</v>
      </c>
      <c r="P961" s="145">
        <v>1.0999999999999999E-2</v>
      </c>
      <c r="Q961" s="145">
        <v>222</v>
      </c>
      <c r="R961" s="145">
        <v>1</v>
      </c>
      <c r="S961" s="145">
        <v>50</v>
      </c>
      <c r="T961" s="145">
        <v>363</v>
      </c>
      <c r="U961" s="145">
        <v>1.2E-2</v>
      </c>
      <c r="V961" s="145">
        <v>2.83</v>
      </c>
      <c r="W961" s="145">
        <v>2</v>
      </c>
      <c r="X961" s="145">
        <v>0.63900000000000001</v>
      </c>
      <c r="Y961" s="145">
        <v>0.312</v>
      </c>
      <c r="Z961" s="146">
        <v>0.4</v>
      </c>
      <c r="AA961" s="145">
        <v>5.3550000000000004</v>
      </c>
      <c r="AB961" s="145">
        <v>0.4</v>
      </c>
      <c r="AC961" s="145">
        <v>11.455</v>
      </c>
      <c r="AD961" s="145">
        <v>0.55000000000000004</v>
      </c>
      <c r="AE961" s="145">
        <v>9</v>
      </c>
      <c r="AF961" s="145">
        <v>0.8</v>
      </c>
      <c r="AG961" s="145">
        <v>0.32</v>
      </c>
      <c r="AH961" s="145">
        <v>0.03</v>
      </c>
      <c r="AI961" s="145">
        <v>333</v>
      </c>
      <c r="AJ961" s="145">
        <v>43.2</v>
      </c>
      <c r="AK961" s="145">
        <v>2</v>
      </c>
      <c r="AL961" s="145" t="s">
        <v>400</v>
      </c>
      <c r="AM961" s="145" t="s">
        <v>400</v>
      </c>
    </row>
    <row r="962" spans="1:39">
      <c r="A962" s="143" t="s">
        <v>2022</v>
      </c>
      <c r="B962" s="144">
        <v>100</v>
      </c>
      <c r="C962" s="145">
        <v>289</v>
      </c>
      <c r="D962" s="145">
        <v>25.34</v>
      </c>
      <c r="E962" s="145">
        <v>20.059999999999999</v>
      </c>
      <c r="F962" s="145">
        <v>7.36</v>
      </c>
      <c r="G962" s="145">
        <v>9.02</v>
      </c>
      <c r="H962" s="145">
        <v>1.89</v>
      </c>
      <c r="I962" s="145">
        <v>1.71</v>
      </c>
      <c r="J962" s="145">
        <v>0.06</v>
      </c>
      <c r="K962" s="145">
        <v>92</v>
      </c>
      <c r="L962" s="145" t="s">
        <v>400</v>
      </c>
      <c r="M962" s="145" t="s">
        <v>400</v>
      </c>
      <c r="N962" s="145">
        <v>15</v>
      </c>
      <c r="O962" s="145">
        <v>22</v>
      </c>
      <c r="P962" s="145">
        <v>2.8000000000000001E-2</v>
      </c>
      <c r="Q962" s="145">
        <v>257</v>
      </c>
      <c r="R962" s="145">
        <v>0.98</v>
      </c>
      <c r="S962" s="145">
        <v>59</v>
      </c>
      <c r="T962" s="145">
        <v>338</v>
      </c>
      <c r="U962" s="145">
        <v>9.8000000000000004E-2</v>
      </c>
      <c r="V962" s="145">
        <v>3.06</v>
      </c>
      <c r="W962" s="145">
        <v>3</v>
      </c>
      <c r="X962" s="145">
        <v>0.57799999999999996</v>
      </c>
      <c r="Y962" s="145">
        <v>0.30199999999999999</v>
      </c>
      <c r="Z962" s="146">
        <v>0.40100000000000002</v>
      </c>
      <c r="AA962" s="145">
        <v>4.46</v>
      </c>
      <c r="AB962" s="145">
        <v>0.3</v>
      </c>
      <c r="AC962" s="145">
        <v>9.4770000000000003</v>
      </c>
      <c r="AD962" s="145">
        <v>0.66</v>
      </c>
      <c r="AE962" s="145">
        <v>5</v>
      </c>
      <c r="AF962" s="145">
        <v>1.1000000000000001</v>
      </c>
      <c r="AG962" s="145">
        <v>0.22</v>
      </c>
      <c r="AH962" s="145">
        <v>3.6999999999999998E-2</v>
      </c>
      <c r="AI962" s="145">
        <v>166</v>
      </c>
      <c r="AJ962" s="145">
        <v>43.3</v>
      </c>
      <c r="AK962" s="145">
        <v>3</v>
      </c>
      <c r="AL962" s="145" t="s">
        <v>400</v>
      </c>
      <c r="AM962" s="145" t="s">
        <v>400</v>
      </c>
    </row>
    <row r="963" spans="1:39">
      <c r="A963" s="143" t="s">
        <v>2023</v>
      </c>
      <c r="B963" s="144">
        <v>100</v>
      </c>
      <c r="C963" s="145">
        <v>289</v>
      </c>
      <c r="D963" s="145">
        <v>25.34</v>
      </c>
      <c r="E963" s="145">
        <v>20.059999999999999</v>
      </c>
      <c r="F963" s="145">
        <v>7.36</v>
      </c>
      <c r="G963" s="145">
        <v>9.02</v>
      </c>
      <c r="H963" s="145">
        <v>1.89</v>
      </c>
      <c r="I963" s="145">
        <v>1.71</v>
      </c>
      <c r="J963" s="145">
        <v>0.06</v>
      </c>
      <c r="K963" s="145">
        <v>92</v>
      </c>
      <c r="L963" s="145" t="s">
        <v>400</v>
      </c>
      <c r="M963" s="145" t="s">
        <v>400</v>
      </c>
      <c r="N963" s="145">
        <v>15</v>
      </c>
      <c r="O963" s="145">
        <v>22</v>
      </c>
      <c r="P963" s="145">
        <v>2.8000000000000001E-2</v>
      </c>
      <c r="Q963" s="145">
        <v>257</v>
      </c>
      <c r="R963" s="145">
        <v>0.98</v>
      </c>
      <c r="S963" s="145">
        <v>59</v>
      </c>
      <c r="T963" s="145">
        <v>338</v>
      </c>
      <c r="U963" s="145">
        <v>9.8000000000000004E-2</v>
      </c>
      <c r="V963" s="145">
        <v>3.06</v>
      </c>
      <c r="W963" s="145">
        <v>3</v>
      </c>
      <c r="X963" s="145">
        <v>0.57799999999999996</v>
      </c>
      <c r="Y963" s="145">
        <v>0.30199999999999999</v>
      </c>
      <c r="Z963" s="146">
        <v>0.40100000000000002</v>
      </c>
      <c r="AA963" s="145">
        <v>4.46</v>
      </c>
      <c r="AB963" s="145">
        <v>0.3</v>
      </c>
      <c r="AC963" s="145">
        <v>9.4770000000000003</v>
      </c>
      <c r="AD963" s="145">
        <v>0.66</v>
      </c>
      <c r="AE963" s="145">
        <v>5</v>
      </c>
      <c r="AF963" s="145">
        <v>1.1000000000000001</v>
      </c>
      <c r="AG963" s="145">
        <v>0.22</v>
      </c>
      <c r="AH963" s="145">
        <v>3.6999999999999998E-2</v>
      </c>
      <c r="AI963" s="145">
        <v>166</v>
      </c>
      <c r="AJ963" s="145">
        <v>43.3</v>
      </c>
      <c r="AK963" s="145">
        <v>3</v>
      </c>
      <c r="AL963" s="145" t="s">
        <v>400</v>
      </c>
      <c r="AM963" s="145" t="s">
        <v>400</v>
      </c>
    </row>
    <row r="964" spans="1:39">
      <c r="A964" s="143" t="s">
        <v>2024</v>
      </c>
      <c r="B964" s="144">
        <v>100</v>
      </c>
      <c r="C964" s="145">
        <v>289</v>
      </c>
      <c r="D964" s="145">
        <v>25.34</v>
      </c>
      <c r="E964" s="145">
        <v>20.059999999999999</v>
      </c>
      <c r="F964" s="145">
        <v>7.36</v>
      </c>
      <c r="G964" s="145">
        <v>9.02</v>
      </c>
      <c r="H964" s="145">
        <v>1.89</v>
      </c>
      <c r="I964" s="145">
        <v>1.71</v>
      </c>
      <c r="J964" s="145">
        <v>0.06</v>
      </c>
      <c r="K964" s="145">
        <v>92</v>
      </c>
      <c r="L964" s="145" t="s">
        <v>400</v>
      </c>
      <c r="M964" s="145" t="s">
        <v>400</v>
      </c>
      <c r="N964" s="145">
        <v>15</v>
      </c>
      <c r="O964" s="145">
        <v>22</v>
      </c>
      <c r="P964" s="145">
        <v>2.8000000000000001E-2</v>
      </c>
      <c r="Q964" s="145">
        <v>257</v>
      </c>
      <c r="R964" s="145">
        <v>0.98</v>
      </c>
      <c r="S964" s="145">
        <v>59</v>
      </c>
      <c r="T964" s="145">
        <v>338</v>
      </c>
      <c r="U964" s="145">
        <v>9.8000000000000004E-2</v>
      </c>
      <c r="V964" s="145">
        <v>3.06</v>
      </c>
      <c r="W964" s="145">
        <v>3</v>
      </c>
      <c r="X964" s="145">
        <v>0.57799999999999996</v>
      </c>
      <c r="Y964" s="145">
        <v>0.30199999999999999</v>
      </c>
      <c r="Z964" s="146">
        <v>0.40100000000000002</v>
      </c>
      <c r="AA964" s="145">
        <v>4.46</v>
      </c>
      <c r="AB964" s="145">
        <v>0.3</v>
      </c>
      <c r="AC964" s="145">
        <v>9.4770000000000003</v>
      </c>
      <c r="AD964" s="145">
        <v>0.66</v>
      </c>
      <c r="AE964" s="145">
        <v>5</v>
      </c>
      <c r="AF964" s="145">
        <v>1.1000000000000001</v>
      </c>
      <c r="AG964" s="145">
        <v>0.22</v>
      </c>
      <c r="AH964" s="145">
        <v>3.6999999999999998E-2</v>
      </c>
      <c r="AI964" s="145">
        <v>166</v>
      </c>
      <c r="AJ964" s="145">
        <v>43.3</v>
      </c>
      <c r="AK964" s="145">
        <v>3</v>
      </c>
      <c r="AL964" s="145" t="s">
        <v>400</v>
      </c>
      <c r="AM964" s="145" t="s">
        <v>400</v>
      </c>
    </row>
    <row r="965" spans="1:39">
      <c r="A965" s="143" t="s">
        <v>2025</v>
      </c>
      <c r="B965" s="144">
        <v>100</v>
      </c>
      <c r="C965" s="145">
        <v>338.56700000000001</v>
      </c>
      <c r="D965" s="145">
        <v>25.34</v>
      </c>
      <c r="E965" s="145">
        <v>25.667000000000002</v>
      </c>
      <c r="F965" s="145">
        <v>8.2379999999999995</v>
      </c>
      <c r="G965" s="145">
        <v>10.297000000000001</v>
      </c>
      <c r="H965" s="145">
        <v>5.1280000000000001</v>
      </c>
      <c r="I965" s="145">
        <v>4.5670000000000002</v>
      </c>
      <c r="J965" s="145">
        <v>0.441</v>
      </c>
      <c r="K965" s="145">
        <v>92</v>
      </c>
      <c r="L965" s="145" t="s">
        <v>400</v>
      </c>
      <c r="M965" s="145" t="s">
        <v>400</v>
      </c>
      <c r="N965" s="145">
        <v>15</v>
      </c>
      <c r="O965" s="145">
        <v>22</v>
      </c>
      <c r="P965" s="145">
        <v>2.8000000000000001E-2</v>
      </c>
      <c r="Q965" s="145">
        <v>257</v>
      </c>
      <c r="R965" s="145">
        <v>0.98299999999999998</v>
      </c>
      <c r="S965" s="145">
        <v>59</v>
      </c>
      <c r="T965" s="145">
        <v>338</v>
      </c>
      <c r="U965" s="145">
        <v>9.8000000000000004E-2</v>
      </c>
      <c r="V965" s="145">
        <v>3.0609999999999999</v>
      </c>
      <c r="W965" s="145">
        <v>3</v>
      </c>
      <c r="X965" s="145">
        <v>0.57799999999999996</v>
      </c>
      <c r="Y965" s="145">
        <v>0.30199999999999999</v>
      </c>
      <c r="Z965" s="146">
        <v>0.40100000000000002</v>
      </c>
      <c r="AA965" s="145">
        <v>4.46</v>
      </c>
      <c r="AB965" s="145">
        <v>0.3</v>
      </c>
      <c r="AC965" s="145">
        <v>9.4770000000000003</v>
      </c>
      <c r="AD965" s="145">
        <v>0.66</v>
      </c>
      <c r="AE965" s="145">
        <v>5</v>
      </c>
      <c r="AF965" s="145">
        <v>1.1000000000000001</v>
      </c>
      <c r="AG965" s="145">
        <v>0.67900000000000005</v>
      </c>
      <c r="AH965" s="145">
        <v>6.7000000000000004E-2</v>
      </c>
      <c r="AI965" s="145">
        <v>166</v>
      </c>
      <c r="AJ965" s="145">
        <v>45.87</v>
      </c>
      <c r="AK965" s="145">
        <v>3</v>
      </c>
      <c r="AL965" s="145" t="s">
        <v>400</v>
      </c>
      <c r="AM965" s="145" t="s">
        <v>400</v>
      </c>
    </row>
    <row r="966" spans="1:39">
      <c r="A966" s="143" t="s">
        <v>2026</v>
      </c>
      <c r="B966" s="144">
        <v>100</v>
      </c>
      <c r="C966" s="145">
        <v>199</v>
      </c>
      <c r="D966" s="145">
        <v>36.119999999999997</v>
      </c>
      <c r="E966" s="145">
        <v>5</v>
      </c>
      <c r="F966" s="145">
        <v>1.72</v>
      </c>
      <c r="G966" s="145">
        <v>2</v>
      </c>
      <c r="H966" s="145">
        <v>0.22</v>
      </c>
      <c r="I966" s="145">
        <v>0.17</v>
      </c>
      <c r="J966" s="145">
        <v>0.02</v>
      </c>
      <c r="K966" s="145">
        <v>90</v>
      </c>
      <c r="L966" s="145" t="s">
        <v>400</v>
      </c>
      <c r="M966" s="145" t="s">
        <v>400</v>
      </c>
      <c r="N966" s="145">
        <v>4</v>
      </c>
      <c r="O966" s="145">
        <v>26</v>
      </c>
      <c r="P966" s="145">
        <v>1.7999999999999999E-2</v>
      </c>
      <c r="Q966" s="145">
        <v>226</v>
      </c>
      <c r="R966" s="145">
        <v>3.32</v>
      </c>
      <c r="S966" s="145">
        <v>45</v>
      </c>
      <c r="T966" s="145">
        <v>334</v>
      </c>
      <c r="U966" s="145">
        <v>0.124</v>
      </c>
      <c r="V966" s="145">
        <v>4.5599999999999996</v>
      </c>
      <c r="W966" s="145" t="s">
        <v>400</v>
      </c>
      <c r="X966" s="145">
        <v>7.0000000000000007E-2</v>
      </c>
      <c r="Y966" s="145">
        <v>0.25</v>
      </c>
      <c r="Z966" s="146">
        <v>0.28000000000000003</v>
      </c>
      <c r="AA966" s="145">
        <v>3.81</v>
      </c>
      <c r="AB966" s="145" t="s">
        <v>400</v>
      </c>
      <c r="AC966" s="145">
        <v>7.76</v>
      </c>
      <c r="AD966" s="145">
        <v>2.7</v>
      </c>
      <c r="AE966" s="145">
        <v>9</v>
      </c>
      <c r="AF966" s="145">
        <v>0.7</v>
      </c>
      <c r="AG966" s="145">
        <v>0.14000000000000001</v>
      </c>
      <c r="AH966" s="145">
        <v>0.22700000000000001</v>
      </c>
      <c r="AI966" s="145">
        <v>333</v>
      </c>
      <c r="AJ966" s="145">
        <v>33</v>
      </c>
      <c r="AK966" s="145" t="s">
        <v>400</v>
      </c>
      <c r="AL966" s="145" t="s">
        <v>400</v>
      </c>
      <c r="AM966" s="145" t="s">
        <v>400</v>
      </c>
    </row>
    <row r="967" spans="1:39">
      <c r="A967" s="143" t="s">
        <v>2027</v>
      </c>
      <c r="B967" s="144">
        <v>100</v>
      </c>
      <c r="C967" s="145">
        <v>199</v>
      </c>
      <c r="D967" s="145">
        <v>36.119999999999997</v>
      </c>
      <c r="E967" s="145">
        <v>5</v>
      </c>
      <c r="F967" s="145">
        <v>1.72</v>
      </c>
      <c r="G967" s="145">
        <v>2</v>
      </c>
      <c r="H967" s="145">
        <v>0.22</v>
      </c>
      <c r="I967" s="145">
        <v>0.17</v>
      </c>
      <c r="J967" s="145">
        <v>0.02</v>
      </c>
      <c r="K967" s="145">
        <v>90</v>
      </c>
      <c r="L967" s="145" t="s">
        <v>400</v>
      </c>
      <c r="M967" s="145" t="s">
        <v>400</v>
      </c>
      <c r="N967" s="145">
        <v>4</v>
      </c>
      <c r="O967" s="145">
        <v>26</v>
      </c>
      <c r="P967" s="145">
        <v>1.7999999999999999E-2</v>
      </c>
      <c r="Q967" s="145">
        <v>226</v>
      </c>
      <c r="R967" s="145">
        <v>3.32</v>
      </c>
      <c r="S967" s="145">
        <v>45</v>
      </c>
      <c r="T967" s="145">
        <v>334</v>
      </c>
      <c r="U967" s="145">
        <v>0.124</v>
      </c>
      <c r="V967" s="145">
        <v>4.5599999999999996</v>
      </c>
      <c r="W967" s="145" t="s">
        <v>400</v>
      </c>
      <c r="X967" s="145">
        <v>7.0000000000000007E-2</v>
      </c>
      <c r="Y967" s="145">
        <v>0.25</v>
      </c>
      <c r="Z967" s="146">
        <v>0.28000000000000003</v>
      </c>
      <c r="AA967" s="145">
        <v>3.81</v>
      </c>
      <c r="AB967" s="145" t="s">
        <v>400</v>
      </c>
      <c r="AC967" s="145">
        <v>7.76</v>
      </c>
      <c r="AD967" s="145">
        <v>2.7</v>
      </c>
      <c r="AE967" s="145">
        <v>9</v>
      </c>
      <c r="AF967" s="145">
        <v>0.7</v>
      </c>
      <c r="AG967" s="145">
        <v>0.14000000000000001</v>
      </c>
      <c r="AH967" s="145">
        <v>0.22700000000000001</v>
      </c>
      <c r="AI967" s="145">
        <v>333</v>
      </c>
      <c r="AJ967" s="145">
        <v>33</v>
      </c>
      <c r="AK967" s="145" t="s">
        <v>400</v>
      </c>
      <c r="AL967" s="145" t="s">
        <v>400</v>
      </c>
      <c r="AM967" s="145" t="s">
        <v>400</v>
      </c>
    </row>
    <row r="968" spans="1:39">
      <c r="A968" s="143" t="s">
        <v>2028</v>
      </c>
      <c r="B968" s="144">
        <v>100</v>
      </c>
      <c r="C968" s="145">
        <v>248.56700000000001</v>
      </c>
      <c r="D968" s="145">
        <v>36.119999999999997</v>
      </c>
      <c r="E968" s="145">
        <v>10.606999999999999</v>
      </c>
      <c r="F968" s="145">
        <v>2.5979999999999999</v>
      </c>
      <c r="G968" s="145">
        <v>3.2770000000000001</v>
      </c>
      <c r="H968" s="145">
        <v>3.4580000000000002</v>
      </c>
      <c r="I968" s="145">
        <v>3.0270000000000001</v>
      </c>
      <c r="J968" s="145">
        <v>0.40100000000000002</v>
      </c>
      <c r="K968" s="145">
        <v>90</v>
      </c>
      <c r="L968" s="145" t="s">
        <v>400</v>
      </c>
      <c r="M968" s="145" t="s">
        <v>400</v>
      </c>
      <c r="N968" s="145">
        <v>4</v>
      </c>
      <c r="O968" s="145">
        <v>26</v>
      </c>
      <c r="P968" s="145">
        <v>1.7999999999999999E-2</v>
      </c>
      <c r="Q968" s="145">
        <v>226</v>
      </c>
      <c r="R968" s="145">
        <v>3.323</v>
      </c>
      <c r="S968" s="145">
        <v>45</v>
      </c>
      <c r="T968" s="145">
        <v>334</v>
      </c>
      <c r="U968" s="145">
        <v>0.124</v>
      </c>
      <c r="V968" s="145">
        <v>4.5609999999999999</v>
      </c>
      <c r="W968" s="145" t="s">
        <v>400</v>
      </c>
      <c r="X968" s="145">
        <v>7.0000000000000007E-2</v>
      </c>
      <c r="Y968" s="145">
        <v>0.25</v>
      </c>
      <c r="Z968" s="146">
        <v>0.28000000000000003</v>
      </c>
      <c r="AA968" s="145">
        <v>3.81</v>
      </c>
      <c r="AB968" s="145" t="s">
        <v>400</v>
      </c>
      <c r="AC968" s="145">
        <v>7.76</v>
      </c>
      <c r="AD968" s="145">
        <v>2.7</v>
      </c>
      <c r="AE968" s="145">
        <v>9</v>
      </c>
      <c r="AF968" s="145">
        <v>0.7</v>
      </c>
      <c r="AG968" s="145">
        <v>0.59899999999999998</v>
      </c>
      <c r="AH968" s="145">
        <v>0.25700000000000001</v>
      </c>
      <c r="AI968" s="145">
        <v>333</v>
      </c>
      <c r="AJ968" s="145">
        <v>35.57</v>
      </c>
      <c r="AK968" s="145" t="s">
        <v>400</v>
      </c>
      <c r="AL968" s="145" t="s">
        <v>400</v>
      </c>
      <c r="AM968" s="145" t="s">
        <v>400</v>
      </c>
    </row>
    <row r="969" spans="1:39">
      <c r="A969" s="143" t="s">
        <v>2029</v>
      </c>
      <c r="B969" s="144">
        <v>100</v>
      </c>
      <c r="C969" s="145">
        <v>248.56700000000001</v>
      </c>
      <c r="D969" s="145">
        <v>36.119999999999997</v>
      </c>
      <c r="E969" s="145">
        <v>10.606999999999999</v>
      </c>
      <c r="F969" s="145">
        <v>2.5979999999999999</v>
      </c>
      <c r="G969" s="145">
        <v>3.2770000000000001</v>
      </c>
      <c r="H969" s="145">
        <v>3.4580000000000002</v>
      </c>
      <c r="I969" s="145">
        <v>3.0270000000000001</v>
      </c>
      <c r="J969" s="145">
        <v>0.40100000000000002</v>
      </c>
      <c r="K969" s="145">
        <v>90</v>
      </c>
      <c r="L969" s="145" t="s">
        <v>400</v>
      </c>
      <c r="M969" s="145" t="s">
        <v>400</v>
      </c>
      <c r="N969" s="145">
        <v>4</v>
      </c>
      <c r="O969" s="145">
        <v>26</v>
      </c>
      <c r="P969" s="145">
        <v>1.7999999999999999E-2</v>
      </c>
      <c r="Q969" s="145">
        <v>226</v>
      </c>
      <c r="R969" s="145">
        <v>3.323</v>
      </c>
      <c r="S969" s="145">
        <v>45</v>
      </c>
      <c r="T969" s="145">
        <v>334</v>
      </c>
      <c r="U969" s="145">
        <v>0.124</v>
      </c>
      <c r="V969" s="145">
        <v>4.5609999999999999</v>
      </c>
      <c r="W969" s="145" t="s">
        <v>400</v>
      </c>
      <c r="X969" s="145">
        <v>7.0000000000000007E-2</v>
      </c>
      <c r="Y969" s="145">
        <v>0.25</v>
      </c>
      <c r="Z969" s="146">
        <v>0.28000000000000003</v>
      </c>
      <c r="AA969" s="145">
        <v>3.81</v>
      </c>
      <c r="AB969" s="145" t="s">
        <v>400</v>
      </c>
      <c r="AC969" s="145">
        <v>7.76</v>
      </c>
      <c r="AD969" s="145">
        <v>2.7</v>
      </c>
      <c r="AE969" s="145">
        <v>9</v>
      </c>
      <c r="AF969" s="145">
        <v>0.7</v>
      </c>
      <c r="AG969" s="145">
        <v>0.59899999999999998</v>
      </c>
      <c r="AH969" s="145">
        <v>0.25700000000000001</v>
      </c>
      <c r="AI969" s="145">
        <v>333</v>
      </c>
      <c r="AJ969" s="145">
        <v>35.57</v>
      </c>
      <c r="AK969" s="145" t="s">
        <v>400</v>
      </c>
      <c r="AL969" s="145" t="s">
        <v>400</v>
      </c>
      <c r="AM969" s="145" t="s">
        <v>400</v>
      </c>
    </row>
    <row r="970" spans="1:39">
      <c r="A970" s="143" t="s">
        <v>2030</v>
      </c>
      <c r="B970" s="144">
        <v>100</v>
      </c>
      <c r="C970" s="145">
        <v>164</v>
      </c>
      <c r="D970" s="145">
        <v>29.16</v>
      </c>
      <c r="E970" s="145">
        <v>4.0359999999999996</v>
      </c>
      <c r="F970" s="145">
        <v>1.381</v>
      </c>
      <c r="G970" s="145">
        <v>1.605</v>
      </c>
      <c r="H970" s="145">
        <v>0.191</v>
      </c>
      <c r="I970" s="145">
        <v>0.15</v>
      </c>
      <c r="J970" s="145">
        <v>1.7000000000000001E-2</v>
      </c>
      <c r="K970" s="145">
        <v>72</v>
      </c>
      <c r="L970" s="145">
        <v>1.0760000000000001</v>
      </c>
      <c r="M970" s="145">
        <v>0.3</v>
      </c>
      <c r="N970" s="145">
        <v>5.8</v>
      </c>
      <c r="O970" s="145">
        <v>24</v>
      </c>
      <c r="P970" s="145">
        <v>3.5999999999999997E-2</v>
      </c>
      <c r="Q970" s="145">
        <v>186</v>
      </c>
      <c r="R970" s="145">
        <v>2.86</v>
      </c>
      <c r="S970" s="145">
        <v>140.80000000000001</v>
      </c>
      <c r="T970" s="145">
        <v>333.4</v>
      </c>
      <c r="U970" s="145">
        <v>0.123</v>
      </c>
      <c r="V970" s="145">
        <v>3.6880000000000002</v>
      </c>
      <c r="W970" s="145" t="s">
        <v>400</v>
      </c>
      <c r="X970" s="145">
        <v>6.0999999999999999E-2</v>
      </c>
      <c r="Y970" s="145">
        <v>0.21299999999999999</v>
      </c>
      <c r="Z970" s="146">
        <v>0.24299999999999999</v>
      </c>
      <c r="AA970" s="145">
        <v>3.2429999999999999</v>
      </c>
      <c r="AB970" s="145">
        <v>1.4</v>
      </c>
      <c r="AC970" s="145">
        <v>6.4359999999999999</v>
      </c>
      <c r="AD970" s="145">
        <v>2.16</v>
      </c>
      <c r="AE970" s="145">
        <v>9.4</v>
      </c>
      <c r="AF970" s="145">
        <v>0.56000000000000005</v>
      </c>
      <c r="AG970" s="145">
        <v>0.39600000000000002</v>
      </c>
      <c r="AH970" s="145">
        <v>0.182</v>
      </c>
      <c r="AI970" s="145">
        <v>333</v>
      </c>
      <c r="AJ970" s="145">
        <v>26.44</v>
      </c>
      <c r="AK970" s="145">
        <v>3.4830000000000001</v>
      </c>
      <c r="AL970" s="145">
        <v>0.85</v>
      </c>
      <c r="AM970" s="145" t="s">
        <v>400</v>
      </c>
    </row>
    <row r="971" spans="1:39">
      <c r="A971" s="143" t="s">
        <v>2031</v>
      </c>
      <c r="B971" s="144">
        <v>100</v>
      </c>
      <c r="C971" s="145">
        <v>289</v>
      </c>
      <c r="D971" s="145">
        <v>25.34</v>
      </c>
      <c r="E971" s="145">
        <v>20.059999999999999</v>
      </c>
      <c r="F971" s="145">
        <v>7.36</v>
      </c>
      <c r="G971" s="145">
        <v>9.02</v>
      </c>
      <c r="H971" s="145">
        <v>1.89</v>
      </c>
      <c r="I971" s="145">
        <v>1.71</v>
      </c>
      <c r="J971" s="145">
        <v>0.06</v>
      </c>
      <c r="K971" s="145">
        <v>92</v>
      </c>
      <c r="L971" s="145" t="s">
        <v>400</v>
      </c>
      <c r="M971" s="145" t="s">
        <v>400</v>
      </c>
      <c r="N971" s="145">
        <v>15</v>
      </c>
      <c r="O971" s="145">
        <v>22</v>
      </c>
      <c r="P971" s="145">
        <v>2.8000000000000001E-2</v>
      </c>
      <c r="Q971" s="145">
        <v>257</v>
      </c>
      <c r="R971" s="145">
        <v>0.98</v>
      </c>
      <c r="S971" s="145">
        <v>59</v>
      </c>
      <c r="T971" s="145">
        <v>338</v>
      </c>
      <c r="U971" s="145">
        <v>9.8000000000000004E-2</v>
      </c>
      <c r="V971" s="145">
        <v>3.06</v>
      </c>
      <c r="W971" s="145">
        <v>3</v>
      </c>
      <c r="X971" s="145">
        <v>0.57799999999999996</v>
      </c>
      <c r="Y971" s="145">
        <v>0.30199999999999999</v>
      </c>
      <c r="Z971" s="146">
        <v>0.40100000000000002</v>
      </c>
      <c r="AA971" s="145">
        <v>4.46</v>
      </c>
      <c r="AB971" s="145">
        <v>0.3</v>
      </c>
      <c r="AC971" s="145">
        <v>9.4770000000000003</v>
      </c>
      <c r="AD971" s="145">
        <v>0.66</v>
      </c>
      <c r="AE971" s="145">
        <v>5</v>
      </c>
      <c r="AF971" s="145">
        <v>1.1000000000000001</v>
      </c>
      <c r="AG971" s="145">
        <v>0.22</v>
      </c>
      <c r="AH971" s="145">
        <v>3.6999999999999998E-2</v>
      </c>
      <c r="AI971" s="145">
        <v>166</v>
      </c>
      <c r="AJ971" s="145">
        <v>43.3</v>
      </c>
      <c r="AK971" s="145">
        <v>3</v>
      </c>
      <c r="AL971" s="145" t="s">
        <v>400</v>
      </c>
      <c r="AM971" s="145" t="s">
        <v>400</v>
      </c>
    </row>
    <row r="972" spans="1:39">
      <c r="A972" s="143" t="s">
        <v>2032</v>
      </c>
      <c r="B972" s="144">
        <v>100</v>
      </c>
      <c r="C972" s="145">
        <v>289</v>
      </c>
      <c r="D972" s="145">
        <v>25.34</v>
      </c>
      <c r="E972" s="145">
        <v>20.059999999999999</v>
      </c>
      <c r="F972" s="145">
        <v>7.36</v>
      </c>
      <c r="G972" s="145">
        <v>9.02</v>
      </c>
      <c r="H972" s="145">
        <v>1.89</v>
      </c>
      <c r="I972" s="145">
        <v>1.71</v>
      </c>
      <c r="J972" s="145">
        <v>0.06</v>
      </c>
      <c r="K972" s="145">
        <v>92</v>
      </c>
      <c r="L972" s="145" t="s">
        <v>400</v>
      </c>
      <c r="M972" s="145" t="s">
        <v>400</v>
      </c>
      <c r="N972" s="145">
        <v>15</v>
      </c>
      <c r="O972" s="145">
        <v>22</v>
      </c>
      <c r="P972" s="145">
        <v>2.8000000000000001E-2</v>
      </c>
      <c r="Q972" s="145">
        <v>257</v>
      </c>
      <c r="R972" s="145">
        <v>0.98</v>
      </c>
      <c r="S972" s="145">
        <v>59</v>
      </c>
      <c r="T972" s="145">
        <v>338</v>
      </c>
      <c r="U972" s="145">
        <v>9.8000000000000004E-2</v>
      </c>
      <c r="V972" s="145">
        <v>3.06</v>
      </c>
      <c r="W972" s="145">
        <v>3</v>
      </c>
      <c r="X972" s="145">
        <v>0.57799999999999996</v>
      </c>
      <c r="Y972" s="145">
        <v>0.30199999999999999</v>
      </c>
      <c r="Z972" s="146">
        <v>0.40100000000000002</v>
      </c>
      <c r="AA972" s="145">
        <v>4.46</v>
      </c>
      <c r="AB972" s="145">
        <v>0.3</v>
      </c>
      <c r="AC972" s="145">
        <v>9.4770000000000003</v>
      </c>
      <c r="AD972" s="145">
        <v>0.66</v>
      </c>
      <c r="AE972" s="145">
        <v>5</v>
      </c>
      <c r="AF972" s="145">
        <v>1.1000000000000001</v>
      </c>
      <c r="AG972" s="145">
        <v>0.22</v>
      </c>
      <c r="AH972" s="145">
        <v>3.6999999999999998E-2</v>
      </c>
      <c r="AI972" s="145">
        <v>166</v>
      </c>
      <c r="AJ972" s="145">
        <v>43.3</v>
      </c>
      <c r="AK972" s="145">
        <v>3</v>
      </c>
      <c r="AL972" s="145" t="s">
        <v>400</v>
      </c>
      <c r="AM972" s="145" t="s">
        <v>400</v>
      </c>
    </row>
    <row r="973" spans="1:39">
      <c r="A973" s="143" t="s">
        <v>2033</v>
      </c>
      <c r="B973" s="144">
        <v>100</v>
      </c>
      <c r="C973" s="145">
        <v>338.56700000000001</v>
      </c>
      <c r="D973" s="145">
        <v>25.34</v>
      </c>
      <c r="E973" s="145">
        <v>25.667000000000002</v>
      </c>
      <c r="F973" s="145">
        <v>8.2379999999999995</v>
      </c>
      <c r="G973" s="145">
        <v>10.297000000000001</v>
      </c>
      <c r="H973" s="145">
        <v>5.1280000000000001</v>
      </c>
      <c r="I973" s="145">
        <v>4.5670000000000002</v>
      </c>
      <c r="J973" s="145">
        <v>0.441</v>
      </c>
      <c r="K973" s="145">
        <v>92</v>
      </c>
      <c r="L973" s="145" t="s">
        <v>400</v>
      </c>
      <c r="M973" s="145" t="s">
        <v>400</v>
      </c>
      <c r="N973" s="145">
        <v>15</v>
      </c>
      <c r="O973" s="145">
        <v>22</v>
      </c>
      <c r="P973" s="145">
        <v>2.8000000000000001E-2</v>
      </c>
      <c r="Q973" s="145">
        <v>257</v>
      </c>
      <c r="R973" s="145">
        <v>0.98299999999999998</v>
      </c>
      <c r="S973" s="145">
        <v>59</v>
      </c>
      <c r="T973" s="145">
        <v>338</v>
      </c>
      <c r="U973" s="145">
        <v>9.8000000000000004E-2</v>
      </c>
      <c r="V973" s="145">
        <v>3.0609999999999999</v>
      </c>
      <c r="W973" s="145">
        <v>3</v>
      </c>
      <c r="X973" s="145">
        <v>0.57799999999999996</v>
      </c>
      <c r="Y973" s="145">
        <v>0.30199999999999999</v>
      </c>
      <c r="Z973" s="146">
        <v>0.40100000000000002</v>
      </c>
      <c r="AA973" s="145">
        <v>4.46</v>
      </c>
      <c r="AB973" s="145">
        <v>0.3</v>
      </c>
      <c r="AC973" s="145">
        <v>9.4770000000000003</v>
      </c>
      <c r="AD973" s="145">
        <v>0.66</v>
      </c>
      <c r="AE973" s="145">
        <v>5</v>
      </c>
      <c r="AF973" s="145">
        <v>1.1000000000000001</v>
      </c>
      <c r="AG973" s="145">
        <v>0.67900000000000005</v>
      </c>
      <c r="AH973" s="145">
        <v>6.7000000000000004E-2</v>
      </c>
      <c r="AI973" s="145">
        <v>166</v>
      </c>
      <c r="AJ973" s="145">
        <v>45.87</v>
      </c>
      <c r="AK973" s="145">
        <v>3</v>
      </c>
      <c r="AL973" s="145" t="s">
        <v>400</v>
      </c>
      <c r="AM973" s="145" t="s">
        <v>400</v>
      </c>
    </row>
    <row r="974" spans="1:39">
      <c r="A974" s="143" t="s">
        <v>2034</v>
      </c>
      <c r="B974" s="144">
        <v>100</v>
      </c>
      <c r="C974" s="145">
        <v>204</v>
      </c>
      <c r="D974" s="145">
        <v>30.67</v>
      </c>
      <c r="E974" s="145">
        <v>9</v>
      </c>
      <c r="F974" s="145">
        <v>3.415</v>
      </c>
      <c r="G974" s="145">
        <v>3.9180000000000001</v>
      </c>
      <c r="H974" s="145">
        <v>0.34699999999999998</v>
      </c>
      <c r="I974" s="145">
        <v>0.23799999999999999</v>
      </c>
      <c r="J974" s="145">
        <v>8.6999999999999994E-2</v>
      </c>
      <c r="K974" s="145">
        <v>58</v>
      </c>
      <c r="L974" s="145" t="s">
        <v>400</v>
      </c>
      <c r="M974" s="145" t="s">
        <v>400</v>
      </c>
      <c r="N974" s="145">
        <v>7</v>
      </c>
      <c r="O974" s="145">
        <v>20</v>
      </c>
      <c r="P974" s="145">
        <v>1.0999999999999999E-2</v>
      </c>
      <c r="Q974" s="145">
        <v>193</v>
      </c>
      <c r="R974" s="145">
        <v>2.5299999999999998</v>
      </c>
      <c r="S974" s="145">
        <v>41</v>
      </c>
      <c r="T974" s="145">
        <v>252</v>
      </c>
      <c r="U974" s="145">
        <v>7.3999999999999996E-2</v>
      </c>
      <c r="V974" s="145">
        <v>5.2</v>
      </c>
      <c r="W974" s="145" t="s">
        <v>400</v>
      </c>
      <c r="X974" s="145">
        <v>7.0000000000000007E-2</v>
      </c>
      <c r="Y974" s="145">
        <v>0.16300000000000001</v>
      </c>
      <c r="Z974" s="146">
        <v>0.40300000000000002</v>
      </c>
      <c r="AA974" s="145">
        <v>5.36</v>
      </c>
      <c r="AB974" s="145" t="s">
        <v>400</v>
      </c>
      <c r="AC974" s="145">
        <v>8.7270000000000003</v>
      </c>
      <c r="AD974" s="145">
        <v>1.71</v>
      </c>
      <c r="AE974" s="145">
        <v>10</v>
      </c>
      <c r="AF974" s="145">
        <v>0.6</v>
      </c>
      <c r="AG974" s="145">
        <v>0.43</v>
      </c>
      <c r="AH974" s="145">
        <v>0.40899999999999997</v>
      </c>
      <c r="AI974" s="145">
        <v>333</v>
      </c>
      <c r="AJ974" s="145">
        <v>31.7</v>
      </c>
      <c r="AK974" s="145" t="s">
        <v>400</v>
      </c>
      <c r="AL974" s="145" t="s">
        <v>400</v>
      </c>
      <c r="AM974" s="145" t="s">
        <v>400</v>
      </c>
    </row>
    <row r="975" spans="1:39">
      <c r="A975" s="143" t="s">
        <v>2035</v>
      </c>
      <c r="B975" s="144">
        <v>100</v>
      </c>
      <c r="C975" s="145">
        <v>204</v>
      </c>
      <c r="D975" s="145">
        <v>30.67</v>
      </c>
      <c r="E975" s="145">
        <v>9</v>
      </c>
      <c r="F975" s="145">
        <v>3.415</v>
      </c>
      <c r="G975" s="145">
        <v>3.9180000000000001</v>
      </c>
      <c r="H975" s="145">
        <v>0.34699999999999998</v>
      </c>
      <c r="I975" s="145">
        <v>0.23799999999999999</v>
      </c>
      <c r="J975" s="145">
        <v>8.6999999999999994E-2</v>
      </c>
      <c r="K975" s="145">
        <v>58</v>
      </c>
      <c r="L975" s="145" t="s">
        <v>400</v>
      </c>
      <c r="M975" s="145" t="s">
        <v>400</v>
      </c>
      <c r="N975" s="145">
        <v>7</v>
      </c>
      <c r="O975" s="145">
        <v>20</v>
      </c>
      <c r="P975" s="145">
        <v>1.0999999999999999E-2</v>
      </c>
      <c r="Q975" s="145">
        <v>193</v>
      </c>
      <c r="R975" s="145">
        <v>2.5299999999999998</v>
      </c>
      <c r="S975" s="145">
        <v>41</v>
      </c>
      <c r="T975" s="145">
        <v>252</v>
      </c>
      <c r="U975" s="145">
        <v>7.3999999999999996E-2</v>
      </c>
      <c r="V975" s="145">
        <v>5.2</v>
      </c>
      <c r="W975" s="145" t="s">
        <v>400</v>
      </c>
      <c r="X975" s="145">
        <v>7.0000000000000007E-2</v>
      </c>
      <c r="Y975" s="145">
        <v>0.16300000000000001</v>
      </c>
      <c r="Z975" s="146">
        <v>0.40300000000000002</v>
      </c>
      <c r="AA975" s="145">
        <v>5.36</v>
      </c>
      <c r="AB975" s="145" t="s">
        <v>400</v>
      </c>
      <c r="AC975" s="145">
        <v>8.7270000000000003</v>
      </c>
      <c r="AD975" s="145">
        <v>1.71</v>
      </c>
      <c r="AE975" s="145">
        <v>10</v>
      </c>
      <c r="AF975" s="145">
        <v>0.6</v>
      </c>
      <c r="AG975" s="145">
        <v>0.43</v>
      </c>
      <c r="AH975" s="145">
        <v>0.40899999999999997</v>
      </c>
      <c r="AI975" s="145">
        <v>333</v>
      </c>
      <c r="AJ975" s="145">
        <v>31.7</v>
      </c>
      <c r="AK975" s="145" t="s">
        <v>400</v>
      </c>
      <c r="AL975" s="145" t="s">
        <v>400</v>
      </c>
      <c r="AM975" s="145" t="s">
        <v>400</v>
      </c>
    </row>
    <row r="976" spans="1:39">
      <c r="A976" s="143" t="s">
        <v>2036</v>
      </c>
      <c r="B976" s="144">
        <v>100</v>
      </c>
      <c r="C976" s="145">
        <v>125</v>
      </c>
      <c r="D976" s="145">
        <v>19.8</v>
      </c>
      <c r="E976" s="145">
        <v>4.4000000000000004</v>
      </c>
      <c r="F976" s="145">
        <v>2.5</v>
      </c>
      <c r="G976" s="145">
        <v>1.2</v>
      </c>
      <c r="H976" s="145">
        <v>0.1</v>
      </c>
      <c r="I976" s="145">
        <v>7.0000000000000007E-2</v>
      </c>
      <c r="J976" s="145">
        <v>0.01</v>
      </c>
      <c r="K976" s="145">
        <v>144</v>
      </c>
      <c r="L976" s="145" t="s">
        <v>400</v>
      </c>
      <c r="M976" s="145">
        <v>3.9</v>
      </c>
      <c r="N976" s="145">
        <v>11</v>
      </c>
      <c r="O976" s="145">
        <v>8</v>
      </c>
      <c r="P976" s="145">
        <v>0.11</v>
      </c>
      <c r="Q976" s="145">
        <v>57</v>
      </c>
      <c r="R976" s="145">
        <v>1</v>
      </c>
      <c r="S976" s="145">
        <v>29</v>
      </c>
      <c r="T976" s="145">
        <v>58</v>
      </c>
      <c r="U976" s="145">
        <v>0.06</v>
      </c>
      <c r="V976" s="145">
        <v>2.7</v>
      </c>
      <c r="W976" s="145" t="s">
        <v>400</v>
      </c>
      <c r="X976" s="145" t="s">
        <v>400</v>
      </c>
      <c r="Y976" s="145" t="s">
        <v>400</v>
      </c>
      <c r="Z976" s="146" t="s">
        <v>400</v>
      </c>
      <c r="AA976" s="145">
        <v>4.2699999999999996</v>
      </c>
      <c r="AB976" s="145" t="s">
        <v>400</v>
      </c>
      <c r="AC976" s="145" t="s">
        <v>400</v>
      </c>
      <c r="AD976" s="145" t="s">
        <v>400</v>
      </c>
      <c r="AE976" s="145" t="s">
        <v>400</v>
      </c>
      <c r="AF976" s="145" t="s">
        <v>400</v>
      </c>
      <c r="AG976" s="145" t="s">
        <v>400</v>
      </c>
      <c r="AH976" s="145" t="s">
        <v>400</v>
      </c>
      <c r="AI976" s="145">
        <v>333</v>
      </c>
      <c r="AJ976" s="145" t="s">
        <v>400</v>
      </c>
      <c r="AK976" s="145" t="s">
        <v>400</v>
      </c>
      <c r="AL976" s="145" t="s">
        <v>400</v>
      </c>
      <c r="AM976" s="145" t="s">
        <v>400</v>
      </c>
    </row>
    <row r="977" spans="1:39">
      <c r="A977" s="143" t="s">
        <v>2037</v>
      </c>
      <c r="B977" s="144">
        <v>100</v>
      </c>
      <c r="C977" s="145">
        <v>397</v>
      </c>
      <c r="D977" s="145">
        <v>29.06</v>
      </c>
      <c r="E977" s="145">
        <v>30.3</v>
      </c>
      <c r="F977" s="145">
        <v>11.12</v>
      </c>
      <c r="G977" s="145">
        <v>13.48</v>
      </c>
      <c r="H977" s="145">
        <v>2.73</v>
      </c>
      <c r="I977" s="145">
        <v>2.5099999999999998</v>
      </c>
      <c r="J977" s="145">
        <v>0.11</v>
      </c>
      <c r="K977" s="145">
        <v>121</v>
      </c>
      <c r="L977" s="145" t="s">
        <v>400</v>
      </c>
      <c r="M977" s="145" t="s">
        <v>400</v>
      </c>
      <c r="N977" s="145">
        <v>47</v>
      </c>
      <c r="O977" s="145">
        <v>24</v>
      </c>
      <c r="P977" s="145">
        <v>1.4E-2</v>
      </c>
      <c r="Q977" s="145">
        <v>261</v>
      </c>
      <c r="R977" s="145">
        <v>1.85</v>
      </c>
      <c r="S977" s="145">
        <v>93</v>
      </c>
      <c r="T977" s="145">
        <v>320</v>
      </c>
      <c r="U977" s="145">
        <v>0.14199999999999999</v>
      </c>
      <c r="V977" s="145">
        <v>4.5999999999999996</v>
      </c>
      <c r="W977" s="145">
        <v>3</v>
      </c>
      <c r="X977" s="145">
        <v>0.40799999999999997</v>
      </c>
      <c r="Y977" s="145">
        <v>0.38200000000000001</v>
      </c>
      <c r="Z977" s="146">
        <v>0.35</v>
      </c>
      <c r="AA977" s="145">
        <v>5.4749999999999996</v>
      </c>
      <c r="AB977" s="145" t="s">
        <v>400</v>
      </c>
      <c r="AC977" s="145">
        <v>11.625</v>
      </c>
      <c r="AD977" s="145">
        <v>1.08</v>
      </c>
      <c r="AE977" s="145">
        <v>4</v>
      </c>
      <c r="AF977" s="145">
        <v>1.1000000000000001</v>
      </c>
      <c r="AG977" s="145">
        <v>0.34</v>
      </c>
      <c r="AH977" s="145">
        <v>8.2000000000000003E-2</v>
      </c>
      <c r="AI977" s="145">
        <v>333</v>
      </c>
      <c r="AJ977" s="145">
        <v>37.4</v>
      </c>
      <c r="AK977" s="145">
        <v>3</v>
      </c>
      <c r="AL977" s="145" t="s">
        <v>400</v>
      </c>
      <c r="AM977" s="145" t="s">
        <v>400</v>
      </c>
    </row>
    <row r="978" spans="1:39">
      <c r="A978" s="143" t="s">
        <v>2038</v>
      </c>
      <c r="B978" s="144">
        <v>100</v>
      </c>
      <c r="C978" s="145">
        <v>397</v>
      </c>
      <c r="D978" s="145">
        <v>29.06</v>
      </c>
      <c r="E978" s="145">
        <v>30.3</v>
      </c>
      <c r="F978" s="145">
        <v>11.12</v>
      </c>
      <c r="G978" s="145">
        <v>13.48</v>
      </c>
      <c r="H978" s="145">
        <v>2.73</v>
      </c>
      <c r="I978" s="145">
        <v>2.5099999999999998</v>
      </c>
      <c r="J978" s="145">
        <v>0.11</v>
      </c>
      <c r="K978" s="145">
        <v>121</v>
      </c>
      <c r="L978" s="145" t="s">
        <v>400</v>
      </c>
      <c r="M978" s="145" t="s">
        <v>400</v>
      </c>
      <c r="N978" s="145">
        <v>47</v>
      </c>
      <c r="O978" s="145">
        <v>24</v>
      </c>
      <c r="P978" s="145">
        <v>1.4E-2</v>
      </c>
      <c r="Q978" s="145">
        <v>261</v>
      </c>
      <c r="R978" s="145">
        <v>1.85</v>
      </c>
      <c r="S978" s="145">
        <v>93</v>
      </c>
      <c r="T978" s="145">
        <v>320</v>
      </c>
      <c r="U978" s="145">
        <v>0.14199999999999999</v>
      </c>
      <c r="V978" s="145">
        <v>4.5999999999999996</v>
      </c>
      <c r="W978" s="145">
        <v>3</v>
      </c>
      <c r="X978" s="145">
        <v>0.40799999999999997</v>
      </c>
      <c r="Y978" s="145">
        <v>0.38200000000000001</v>
      </c>
      <c r="Z978" s="146">
        <v>0.35</v>
      </c>
      <c r="AA978" s="145">
        <v>5.4749999999999996</v>
      </c>
      <c r="AB978" s="145" t="s">
        <v>400</v>
      </c>
      <c r="AC978" s="145">
        <v>11.625</v>
      </c>
      <c r="AD978" s="145">
        <v>1.08</v>
      </c>
      <c r="AE978" s="145">
        <v>4</v>
      </c>
      <c r="AF978" s="145">
        <v>1.1000000000000001</v>
      </c>
      <c r="AG978" s="145">
        <v>0.34</v>
      </c>
      <c r="AH978" s="145">
        <v>8.2000000000000003E-2</v>
      </c>
      <c r="AI978" s="145">
        <v>333</v>
      </c>
      <c r="AJ978" s="145">
        <v>37.4</v>
      </c>
      <c r="AK978" s="145">
        <v>3</v>
      </c>
      <c r="AL978" s="145" t="s">
        <v>400</v>
      </c>
      <c r="AM978" s="145" t="s">
        <v>400</v>
      </c>
    </row>
    <row r="979" spans="1:39">
      <c r="A979" s="143" t="s">
        <v>2039</v>
      </c>
      <c r="B979" s="144">
        <v>100</v>
      </c>
      <c r="C979" s="145">
        <v>242</v>
      </c>
      <c r="D979" s="145">
        <v>24.22</v>
      </c>
      <c r="E979" s="145">
        <v>15.42</v>
      </c>
      <c r="F979" s="145">
        <v>5.7380000000000004</v>
      </c>
      <c r="G979" s="145">
        <v>7.0019999999999998</v>
      </c>
      <c r="H979" s="145">
        <v>0.61299999999999999</v>
      </c>
      <c r="I979" s="145">
        <v>0.41599999999999998</v>
      </c>
      <c r="J979" s="145">
        <v>0.16400000000000001</v>
      </c>
      <c r="K979" s="145">
        <v>75</v>
      </c>
      <c r="L979" s="145" t="s">
        <v>400</v>
      </c>
      <c r="M979" s="145" t="s">
        <v>400</v>
      </c>
      <c r="N979" s="145">
        <v>8</v>
      </c>
      <c r="O979" s="145">
        <v>20</v>
      </c>
      <c r="P979" s="145">
        <v>1E-3</v>
      </c>
      <c r="Q979" s="145">
        <v>196</v>
      </c>
      <c r="R979" s="145">
        <v>2.81</v>
      </c>
      <c r="S979" s="145">
        <v>67</v>
      </c>
      <c r="T979" s="145">
        <v>337</v>
      </c>
      <c r="U979" s="145">
        <v>9.2999999999999999E-2</v>
      </c>
      <c r="V979" s="145">
        <v>5.71</v>
      </c>
      <c r="W979" s="145" t="s">
        <v>400</v>
      </c>
      <c r="X979" s="145">
        <v>8.1000000000000003E-2</v>
      </c>
      <c r="Y979" s="145">
        <v>0.22600000000000001</v>
      </c>
      <c r="Z979" s="146">
        <v>0.255</v>
      </c>
      <c r="AA979" s="145">
        <v>3.2069999999999999</v>
      </c>
      <c r="AB979" s="145" t="s">
        <v>400</v>
      </c>
      <c r="AC979" s="145">
        <v>7.5739999999999998</v>
      </c>
      <c r="AD979" s="145">
        <v>2.83</v>
      </c>
      <c r="AE979" s="145">
        <v>9</v>
      </c>
      <c r="AF979" s="145">
        <v>0.7</v>
      </c>
      <c r="AG979" s="145">
        <v>0.14000000000000001</v>
      </c>
      <c r="AH979" s="145">
        <v>0.68</v>
      </c>
      <c r="AI979" s="145">
        <v>333</v>
      </c>
      <c r="AJ979" s="145">
        <v>28.3</v>
      </c>
      <c r="AK979" s="145" t="s">
        <v>400</v>
      </c>
      <c r="AL979" s="145" t="s">
        <v>400</v>
      </c>
      <c r="AM979" s="145" t="s">
        <v>400</v>
      </c>
    </row>
    <row r="980" spans="1:39">
      <c r="A980" s="143" t="s">
        <v>2040</v>
      </c>
      <c r="B980" s="144">
        <v>100</v>
      </c>
      <c r="C980" s="145">
        <v>242</v>
      </c>
      <c r="D980" s="145">
        <v>24.22</v>
      </c>
      <c r="E980" s="145">
        <v>15.42</v>
      </c>
      <c r="F980" s="145">
        <v>5.7380000000000004</v>
      </c>
      <c r="G980" s="145">
        <v>7.0019999999999998</v>
      </c>
      <c r="H980" s="145">
        <v>0.61299999999999999</v>
      </c>
      <c r="I980" s="145">
        <v>0.41599999999999998</v>
      </c>
      <c r="J980" s="145">
        <v>0.16400000000000001</v>
      </c>
      <c r="K980" s="145">
        <v>75</v>
      </c>
      <c r="L980" s="145" t="s">
        <v>400</v>
      </c>
      <c r="M980" s="145" t="s">
        <v>400</v>
      </c>
      <c r="N980" s="145">
        <v>8</v>
      </c>
      <c r="O980" s="145">
        <v>20</v>
      </c>
      <c r="P980" s="145">
        <v>1E-3</v>
      </c>
      <c r="Q980" s="145">
        <v>196</v>
      </c>
      <c r="R980" s="145">
        <v>2.81</v>
      </c>
      <c r="S980" s="145">
        <v>67</v>
      </c>
      <c r="T980" s="145">
        <v>337</v>
      </c>
      <c r="U980" s="145">
        <v>9.2999999999999999E-2</v>
      </c>
      <c r="V980" s="145">
        <v>5.71</v>
      </c>
      <c r="W980" s="145" t="s">
        <v>400</v>
      </c>
      <c r="X980" s="145">
        <v>8.1000000000000003E-2</v>
      </c>
      <c r="Y980" s="145">
        <v>0.22600000000000001</v>
      </c>
      <c r="Z980" s="146">
        <v>0.255</v>
      </c>
      <c r="AA980" s="145">
        <v>3.2069999999999999</v>
      </c>
      <c r="AB980" s="145" t="s">
        <v>400</v>
      </c>
      <c r="AC980" s="145">
        <v>7.5739999999999998</v>
      </c>
      <c r="AD980" s="145">
        <v>2.83</v>
      </c>
      <c r="AE980" s="145">
        <v>9</v>
      </c>
      <c r="AF980" s="145">
        <v>0.7</v>
      </c>
      <c r="AG980" s="145">
        <v>0.14000000000000001</v>
      </c>
      <c r="AH980" s="145">
        <v>0.68</v>
      </c>
      <c r="AI980" s="145">
        <v>333</v>
      </c>
      <c r="AJ980" s="145">
        <v>28.3</v>
      </c>
      <c r="AK980" s="145" t="s">
        <v>400</v>
      </c>
      <c r="AL980" s="145" t="s">
        <v>400</v>
      </c>
      <c r="AM980" s="145" t="s">
        <v>400</v>
      </c>
    </row>
    <row r="981" spans="1:39">
      <c r="A981" s="143" t="s">
        <v>2041</v>
      </c>
      <c r="B981" s="144">
        <v>100</v>
      </c>
      <c r="C981" s="145">
        <v>242</v>
      </c>
      <c r="D981" s="145">
        <v>24.22</v>
      </c>
      <c r="E981" s="145">
        <v>15.42</v>
      </c>
      <c r="F981" s="145">
        <v>5.7380000000000004</v>
      </c>
      <c r="G981" s="145">
        <v>7.0019999999999998</v>
      </c>
      <c r="H981" s="145">
        <v>0.61299999999999999</v>
      </c>
      <c r="I981" s="145">
        <v>0.41599999999999998</v>
      </c>
      <c r="J981" s="145">
        <v>0.16400000000000001</v>
      </c>
      <c r="K981" s="145">
        <v>75</v>
      </c>
      <c r="L981" s="145" t="s">
        <v>400</v>
      </c>
      <c r="M981" s="145" t="s">
        <v>400</v>
      </c>
      <c r="N981" s="145">
        <v>8</v>
      </c>
      <c r="O981" s="145">
        <v>20</v>
      </c>
      <c r="P981" s="145">
        <v>1E-3</v>
      </c>
      <c r="Q981" s="145">
        <v>196</v>
      </c>
      <c r="R981" s="145">
        <v>2.81</v>
      </c>
      <c r="S981" s="145">
        <v>67</v>
      </c>
      <c r="T981" s="145">
        <v>337</v>
      </c>
      <c r="U981" s="145">
        <v>9.2999999999999999E-2</v>
      </c>
      <c r="V981" s="145">
        <v>5.71</v>
      </c>
      <c r="W981" s="145" t="s">
        <v>400</v>
      </c>
      <c r="X981" s="145">
        <v>8.1000000000000003E-2</v>
      </c>
      <c r="Y981" s="145">
        <v>0.22600000000000001</v>
      </c>
      <c r="Z981" s="146">
        <v>0.255</v>
      </c>
      <c r="AA981" s="145">
        <v>3.2069999999999999</v>
      </c>
      <c r="AB981" s="145" t="s">
        <v>400</v>
      </c>
      <c r="AC981" s="145">
        <v>7.5739999999999998</v>
      </c>
      <c r="AD981" s="145">
        <v>2.83</v>
      </c>
      <c r="AE981" s="145">
        <v>9</v>
      </c>
      <c r="AF981" s="145">
        <v>0.7</v>
      </c>
      <c r="AG981" s="145">
        <v>0.14000000000000001</v>
      </c>
      <c r="AH981" s="145">
        <v>0.68</v>
      </c>
      <c r="AI981" s="145">
        <v>333</v>
      </c>
      <c r="AJ981" s="145">
        <v>28.3</v>
      </c>
      <c r="AK981" s="145" t="s">
        <v>400</v>
      </c>
      <c r="AL981" s="145" t="s">
        <v>400</v>
      </c>
      <c r="AM981" s="145" t="s">
        <v>400</v>
      </c>
    </row>
    <row r="982" spans="1:39">
      <c r="A982" s="143" t="s">
        <v>2042</v>
      </c>
      <c r="B982" s="144">
        <v>100</v>
      </c>
      <c r="C982" s="145">
        <v>242</v>
      </c>
      <c r="D982" s="145">
        <v>24.22</v>
      </c>
      <c r="E982" s="145">
        <v>15.42</v>
      </c>
      <c r="F982" s="145">
        <v>5.7380000000000004</v>
      </c>
      <c r="G982" s="145">
        <v>7.0019999999999998</v>
      </c>
      <c r="H982" s="145">
        <v>0.61299999999999999</v>
      </c>
      <c r="I982" s="145">
        <v>0.41599999999999998</v>
      </c>
      <c r="J982" s="145">
        <v>0.16400000000000001</v>
      </c>
      <c r="K982" s="145">
        <v>75</v>
      </c>
      <c r="L982" s="145" t="s">
        <v>400</v>
      </c>
      <c r="M982" s="145" t="s">
        <v>400</v>
      </c>
      <c r="N982" s="145">
        <v>8</v>
      </c>
      <c r="O982" s="145">
        <v>20</v>
      </c>
      <c r="P982" s="145">
        <v>1E-3</v>
      </c>
      <c r="Q982" s="145">
        <v>196</v>
      </c>
      <c r="R982" s="145">
        <v>2.81</v>
      </c>
      <c r="S982" s="145">
        <v>67</v>
      </c>
      <c r="T982" s="145">
        <v>337</v>
      </c>
      <c r="U982" s="145">
        <v>9.2999999999999999E-2</v>
      </c>
      <c r="V982" s="145">
        <v>5.71</v>
      </c>
      <c r="W982" s="145" t="s">
        <v>400</v>
      </c>
      <c r="X982" s="145">
        <v>8.1000000000000003E-2</v>
      </c>
      <c r="Y982" s="145">
        <v>0.22600000000000001</v>
      </c>
      <c r="Z982" s="146">
        <v>0.255</v>
      </c>
      <c r="AA982" s="145">
        <v>3.2069999999999999</v>
      </c>
      <c r="AB982" s="145" t="s">
        <v>400</v>
      </c>
      <c r="AC982" s="145">
        <v>7.5739999999999998</v>
      </c>
      <c r="AD982" s="145">
        <v>2.83</v>
      </c>
      <c r="AE982" s="145">
        <v>9</v>
      </c>
      <c r="AF982" s="145">
        <v>0.7</v>
      </c>
      <c r="AG982" s="145">
        <v>0.14000000000000001</v>
      </c>
      <c r="AH982" s="145">
        <v>0.68</v>
      </c>
      <c r="AI982" s="145">
        <v>333</v>
      </c>
      <c r="AJ982" s="145">
        <v>28.3</v>
      </c>
      <c r="AK982" s="145" t="s">
        <v>400</v>
      </c>
      <c r="AL982" s="145" t="s">
        <v>400</v>
      </c>
      <c r="AM982" s="145" t="s">
        <v>400</v>
      </c>
    </row>
    <row r="983" spans="1:39">
      <c r="A983" s="143" t="s">
        <v>2043</v>
      </c>
      <c r="B983" s="144">
        <v>100</v>
      </c>
      <c r="C983" s="145">
        <v>264.65899999999999</v>
      </c>
      <c r="D983" s="145">
        <v>24.22</v>
      </c>
      <c r="E983" s="145">
        <v>17.983000000000001</v>
      </c>
      <c r="F983" s="145">
        <v>6.1390000000000002</v>
      </c>
      <c r="G983" s="145">
        <v>7.5860000000000003</v>
      </c>
      <c r="H983" s="145">
        <v>2.093</v>
      </c>
      <c r="I983" s="145">
        <v>1.722</v>
      </c>
      <c r="J983" s="145">
        <v>0.33800000000000002</v>
      </c>
      <c r="K983" s="145">
        <v>75</v>
      </c>
      <c r="L983" s="145" t="s">
        <v>400</v>
      </c>
      <c r="M983" s="145" t="s">
        <v>400</v>
      </c>
      <c r="N983" s="145">
        <v>8</v>
      </c>
      <c r="O983" s="145">
        <v>20</v>
      </c>
      <c r="P983" s="145">
        <v>1E-3</v>
      </c>
      <c r="Q983" s="145">
        <v>196</v>
      </c>
      <c r="R983" s="145">
        <v>2.8109999999999999</v>
      </c>
      <c r="S983" s="145">
        <v>67</v>
      </c>
      <c r="T983" s="145">
        <v>337</v>
      </c>
      <c r="U983" s="145">
        <v>9.2999999999999999E-2</v>
      </c>
      <c r="V983" s="145">
        <v>5.71</v>
      </c>
      <c r="W983" s="145" t="s">
        <v>400</v>
      </c>
      <c r="X983" s="145">
        <v>8.1000000000000003E-2</v>
      </c>
      <c r="Y983" s="145">
        <v>0.22600000000000001</v>
      </c>
      <c r="Z983" s="146">
        <v>0.255</v>
      </c>
      <c r="AA983" s="145">
        <v>3.2069999999999999</v>
      </c>
      <c r="AB983" s="145" t="s">
        <v>400</v>
      </c>
      <c r="AC983" s="145">
        <v>7.5739999999999998</v>
      </c>
      <c r="AD983" s="145">
        <v>2.83</v>
      </c>
      <c r="AE983" s="145">
        <v>9</v>
      </c>
      <c r="AF983" s="145">
        <v>0.7</v>
      </c>
      <c r="AG983" s="145">
        <v>0.35</v>
      </c>
      <c r="AH983" s="145">
        <v>0.69399999999999995</v>
      </c>
      <c r="AI983" s="145">
        <v>333</v>
      </c>
      <c r="AJ983" s="145">
        <v>29.475000000000001</v>
      </c>
      <c r="AK983" s="145" t="s">
        <v>400</v>
      </c>
      <c r="AL983" s="145" t="s">
        <v>400</v>
      </c>
      <c r="AM983" s="145" t="s">
        <v>400</v>
      </c>
    </row>
    <row r="984" spans="1:39">
      <c r="A984" s="143" t="s">
        <v>2044</v>
      </c>
      <c r="B984" s="144">
        <v>100</v>
      </c>
      <c r="C984" s="145">
        <v>264.65899999999999</v>
      </c>
      <c r="D984" s="145">
        <v>24.22</v>
      </c>
      <c r="E984" s="145">
        <v>17.983000000000001</v>
      </c>
      <c r="F984" s="145">
        <v>6.1390000000000002</v>
      </c>
      <c r="G984" s="145">
        <v>7.5860000000000003</v>
      </c>
      <c r="H984" s="145">
        <v>2.093</v>
      </c>
      <c r="I984" s="145">
        <v>1.722</v>
      </c>
      <c r="J984" s="145">
        <v>0.33800000000000002</v>
      </c>
      <c r="K984" s="145">
        <v>75</v>
      </c>
      <c r="L984" s="145" t="s">
        <v>400</v>
      </c>
      <c r="M984" s="145" t="s">
        <v>400</v>
      </c>
      <c r="N984" s="145">
        <v>8</v>
      </c>
      <c r="O984" s="145">
        <v>20</v>
      </c>
      <c r="P984" s="145">
        <v>1E-3</v>
      </c>
      <c r="Q984" s="145">
        <v>196</v>
      </c>
      <c r="R984" s="145">
        <v>2.8109999999999999</v>
      </c>
      <c r="S984" s="145">
        <v>67</v>
      </c>
      <c r="T984" s="145">
        <v>337</v>
      </c>
      <c r="U984" s="145">
        <v>9.2999999999999999E-2</v>
      </c>
      <c r="V984" s="145">
        <v>5.71</v>
      </c>
      <c r="W984" s="145" t="s">
        <v>400</v>
      </c>
      <c r="X984" s="145">
        <v>8.1000000000000003E-2</v>
      </c>
      <c r="Y984" s="145">
        <v>0.22600000000000001</v>
      </c>
      <c r="Z984" s="146">
        <v>0.255</v>
      </c>
      <c r="AA984" s="145">
        <v>3.2069999999999999</v>
      </c>
      <c r="AB984" s="145" t="s">
        <v>400</v>
      </c>
      <c r="AC984" s="145">
        <v>7.5739999999999998</v>
      </c>
      <c r="AD984" s="145">
        <v>2.83</v>
      </c>
      <c r="AE984" s="145">
        <v>9</v>
      </c>
      <c r="AF984" s="145">
        <v>0.7</v>
      </c>
      <c r="AG984" s="145">
        <v>0.35</v>
      </c>
      <c r="AH984" s="145">
        <v>0.69399999999999995</v>
      </c>
      <c r="AI984" s="145">
        <v>333</v>
      </c>
      <c r="AJ984" s="145">
        <v>29.475000000000001</v>
      </c>
      <c r="AK984" s="145" t="s">
        <v>400</v>
      </c>
      <c r="AL984" s="145" t="s">
        <v>400</v>
      </c>
      <c r="AM984" s="145" t="s">
        <v>400</v>
      </c>
    </row>
    <row r="985" spans="1:39">
      <c r="A985" s="143" t="s">
        <v>2045</v>
      </c>
      <c r="B985" s="144">
        <v>100</v>
      </c>
      <c r="C985" s="145">
        <v>198.4</v>
      </c>
      <c r="D985" s="145">
        <v>19.64</v>
      </c>
      <c r="E985" s="145">
        <v>12.372</v>
      </c>
      <c r="F985" s="145">
        <v>4.5949999999999998</v>
      </c>
      <c r="G985" s="145">
        <v>5.6070000000000002</v>
      </c>
      <c r="H985" s="145">
        <v>0.505</v>
      </c>
      <c r="I985" s="145">
        <v>0.34699999999999998</v>
      </c>
      <c r="J985" s="145">
        <v>0.13200000000000001</v>
      </c>
      <c r="K985" s="145">
        <v>60</v>
      </c>
      <c r="L985" s="145">
        <v>1.0760000000000001</v>
      </c>
      <c r="M985" s="145">
        <v>0.3</v>
      </c>
      <c r="N985" s="145">
        <v>9</v>
      </c>
      <c r="O985" s="145">
        <v>19.2</v>
      </c>
      <c r="P985" s="145">
        <v>2.1999999999999999E-2</v>
      </c>
      <c r="Q985" s="145">
        <v>162</v>
      </c>
      <c r="R985" s="145">
        <v>2.452</v>
      </c>
      <c r="S985" s="145">
        <v>158.4</v>
      </c>
      <c r="T985" s="145">
        <v>335.8</v>
      </c>
      <c r="U985" s="145">
        <v>9.8000000000000004E-2</v>
      </c>
      <c r="V985" s="145">
        <v>4.6079999999999997</v>
      </c>
      <c r="W985" s="145" t="s">
        <v>400</v>
      </c>
      <c r="X985" s="145">
        <v>7.0000000000000007E-2</v>
      </c>
      <c r="Y985" s="145">
        <v>0.19400000000000001</v>
      </c>
      <c r="Z985" s="146">
        <v>0.223</v>
      </c>
      <c r="AA985" s="145">
        <v>2.7610000000000001</v>
      </c>
      <c r="AB985" s="145">
        <v>1.4</v>
      </c>
      <c r="AC985" s="145">
        <v>6.2869999999999999</v>
      </c>
      <c r="AD985" s="145">
        <v>2.2639999999999998</v>
      </c>
      <c r="AE985" s="145">
        <v>9.4</v>
      </c>
      <c r="AF985" s="145">
        <v>0.56000000000000005</v>
      </c>
      <c r="AG985" s="145">
        <v>0.39600000000000002</v>
      </c>
      <c r="AH985" s="145">
        <v>0.54400000000000004</v>
      </c>
      <c r="AI985" s="145">
        <v>333</v>
      </c>
      <c r="AJ985" s="145">
        <v>22.68</v>
      </c>
      <c r="AK985" s="145">
        <v>3.4830000000000001</v>
      </c>
      <c r="AL985" s="145">
        <v>0.85</v>
      </c>
      <c r="AM985" s="145" t="s">
        <v>400</v>
      </c>
    </row>
    <row r="986" spans="1:39">
      <c r="A986" s="143" t="s">
        <v>2046</v>
      </c>
      <c r="B986" s="144">
        <v>100</v>
      </c>
      <c r="C986" s="145">
        <v>264.65899999999999</v>
      </c>
      <c r="D986" s="145">
        <v>24.22</v>
      </c>
      <c r="E986" s="145">
        <v>17.983000000000001</v>
      </c>
      <c r="F986" s="145">
        <v>6.1390000000000002</v>
      </c>
      <c r="G986" s="145">
        <v>7.5860000000000003</v>
      </c>
      <c r="H986" s="145">
        <v>2.093</v>
      </c>
      <c r="I986" s="145">
        <v>1.722</v>
      </c>
      <c r="J986" s="145">
        <v>0.33800000000000002</v>
      </c>
      <c r="K986" s="145">
        <v>75</v>
      </c>
      <c r="L986" s="145" t="s">
        <v>400</v>
      </c>
      <c r="M986" s="145" t="s">
        <v>400</v>
      </c>
      <c r="N986" s="145">
        <v>8</v>
      </c>
      <c r="O986" s="145">
        <v>20</v>
      </c>
      <c r="P986" s="145">
        <v>1E-3</v>
      </c>
      <c r="Q986" s="145">
        <v>196</v>
      </c>
      <c r="R986" s="145">
        <v>2.8109999999999999</v>
      </c>
      <c r="S986" s="145">
        <v>67</v>
      </c>
      <c r="T986" s="145">
        <v>337</v>
      </c>
      <c r="U986" s="145">
        <v>9.2999999999999999E-2</v>
      </c>
      <c r="V986" s="145">
        <v>5.71</v>
      </c>
      <c r="W986" s="145" t="s">
        <v>400</v>
      </c>
      <c r="X986" s="145">
        <v>8.1000000000000003E-2</v>
      </c>
      <c r="Y986" s="145">
        <v>0.22600000000000001</v>
      </c>
      <c r="Z986" s="146">
        <v>0.255</v>
      </c>
      <c r="AA986" s="145">
        <v>3.2069999999999999</v>
      </c>
      <c r="AB986" s="145" t="s">
        <v>400</v>
      </c>
      <c r="AC986" s="145">
        <v>7.5739999999999998</v>
      </c>
      <c r="AD986" s="145">
        <v>2.83</v>
      </c>
      <c r="AE986" s="145">
        <v>9</v>
      </c>
      <c r="AF986" s="145">
        <v>0.7</v>
      </c>
      <c r="AG986" s="145">
        <v>0.35</v>
      </c>
      <c r="AH986" s="145">
        <v>0.69399999999999995</v>
      </c>
      <c r="AI986" s="145">
        <v>333</v>
      </c>
      <c r="AJ986" s="145">
        <v>29.475000000000001</v>
      </c>
      <c r="AK986" s="145" t="s">
        <v>400</v>
      </c>
      <c r="AL986" s="145" t="s">
        <v>400</v>
      </c>
      <c r="AM986" s="145" t="s">
        <v>400</v>
      </c>
    </row>
    <row r="987" spans="1:39">
      <c r="A987" s="143" t="s">
        <v>2047</v>
      </c>
      <c r="B987" s="144">
        <v>100</v>
      </c>
      <c r="C987" s="145">
        <v>242</v>
      </c>
      <c r="D987" s="145">
        <v>24.22</v>
      </c>
      <c r="E987" s="145">
        <v>15.42</v>
      </c>
      <c r="F987" s="145">
        <v>5.7380000000000004</v>
      </c>
      <c r="G987" s="145">
        <v>7.0019999999999998</v>
      </c>
      <c r="H987" s="145">
        <v>0.61299999999999999</v>
      </c>
      <c r="I987" s="145">
        <v>0.41599999999999998</v>
      </c>
      <c r="J987" s="145">
        <v>0.16400000000000001</v>
      </c>
      <c r="K987" s="145">
        <v>75</v>
      </c>
      <c r="L987" s="145" t="s">
        <v>400</v>
      </c>
      <c r="M987" s="145" t="s">
        <v>400</v>
      </c>
      <c r="N987" s="145">
        <v>8</v>
      </c>
      <c r="O987" s="145">
        <v>20</v>
      </c>
      <c r="P987" s="145">
        <v>1E-3</v>
      </c>
      <c r="Q987" s="145">
        <v>196</v>
      </c>
      <c r="R987" s="145">
        <v>2.81</v>
      </c>
      <c r="S987" s="145">
        <v>67</v>
      </c>
      <c r="T987" s="145">
        <v>337</v>
      </c>
      <c r="U987" s="145">
        <v>9.2999999999999999E-2</v>
      </c>
      <c r="V987" s="145">
        <v>5.71</v>
      </c>
      <c r="W987" s="145" t="s">
        <v>400</v>
      </c>
      <c r="X987" s="145">
        <v>8.1000000000000003E-2</v>
      </c>
      <c r="Y987" s="145">
        <v>0.22600000000000001</v>
      </c>
      <c r="Z987" s="146">
        <v>0.255</v>
      </c>
      <c r="AA987" s="145">
        <v>3.2069999999999999</v>
      </c>
      <c r="AB987" s="145" t="s">
        <v>400</v>
      </c>
      <c r="AC987" s="145">
        <v>7.5739999999999998</v>
      </c>
      <c r="AD987" s="145">
        <v>2.83</v>
      </c>
      <c r="AE987" s="145">
        <v>9</v>
      </c>
      <c r="AF987" s="145">
        <v>0.7</v>
      </c>
      <c r="AG987" s="145">
        <v>0.14000000000000001</v>
      </c>
      <c r="AH987" s="145">
        <v>0.68</v>
      </c>
      <c r="AI987" s="145">
        <v>333</v>
      </c>
      <c r="AJ987" s="145">
        <v>28.3</v>
      </c>
      <c r="AK987" s="145" t="s">
        <v>400</v>
      </c>
      <c r="AL987" s="145" t="s">
        <v>400</v>
      </c>
      <c r="AM987" s="145" t="s">
        <v>400</v>
      </c>
    </row>
    <row r="988" spans="1:39">
      <c r="A988" s="143" t="s">
        <v>2048</v>
      </c>
      <c r="B988" s="144">
        <v>100</v>
      </c>
      <c r="C988" s="145">
        <v>212</v>
      </c>
      <c r="D988" s="145">
        <v>34.85</v>
      </c>
      <c r="E988" s="145">
        <v>6.96</v>
      </c>
      <c r="F988" s="145">
        <v>2.0699999999999998</v>
      </c>
      <c r="G988" s="145">
        <v>1.89</v>
      </c>
      <c r="H988" s="145">
        <v>1.35</v>
      </c>
      <c r="I988" s="145">
        <v>1.07</v>
      </c>
      <c r="J988" s="145">
        <v>0.28000000000000003</v>
      </c>
      <c r="K988" s="145">
        <v>117</v>
      </c>
      <c r="L988" s="145" t="s">
        <v>400</v>
      </c>
      <c r="M988" s="145" t="s">
        <v>400</v>
      </c>
      <c r="N988" s="145">
        <v>22</v>
      </c>
      <c r="O988" s="145">
        <v>29</v>
      </c>
      <c r="P988" s="145">
        <v>3.2000000000000001E-2</v>
      </c>
      <c r="Q988" s="145">
        <v>292</v>
      </c>
      <c r="R988" s="145">
        <v>10</v>
      </c>
      <c r="S988" s="145">
        <v>59</v>
      </c>
      <c r="T988" s="145">
        <v>403</v>
      </c>
      <c r="U988" s="145">
        <v>0.189</v>
      </c>
      <c r="V988" s="145">
        <v>2.27</v>
      </c>
      <c r="W988" s="145" t="s">
        <v>400</v>
      </c>
      <c r="X988" s="145">
        <v>0.05</v>
      </c>
      <c r="Y988" s="145">
        <v>0.31</v>
      </c>
      <c r="Z988" s="145">
        <v>0.47</v>
      </c>
      <c r="AA988" s="145">
        <v>2.2000000000000002</v>
      </c>
      <c r="AB988" s="145">
        <v>3</v>
      </c>
      <c r="AC988" s="145">
        <v>2.2000000000000002</v>
      </c>
      <c r="AD988" s="145">
        <v>8.3000000000000007</v>
      </c>
      <c r="AE988" s="145">
        <v>11</v>
      </c>
      <c r="AF988" s="145" t="s">
        <v>400</v>
      </c>
      <c r="AG988" s="145">
        <v>0.45</v>
      </c>
      <c r="AH988" s="145" t="s">
        <v>400</v>
      </c>
      <c r="AI988" s="145">
        <v>333</v>
      </c>
      <c r="AJ988" s="145">
        <v>43.1</v>
      </c>
      <c r="AK988" s="145" t="s">
        <v>400</v>
      </c>
      <c r="AL988" s="145" t="s">
        <v>400</v>
      </c>
      <c r="AM988" s="145" t="s">
        <v>400</v>
      </c>
    </row>
    <row r="989" spans="1:39">
      <c r="A989" s="143" t="s">
        <v>2049</v>
      </c>
      <c r="B989" s="144">
        <v>100</v>
      </c>
      <c r="C989" s="145">
        <v>212</v>
      </c>
      <c r="D989" s="145">
        <v>34.85</v>
      </c>
      <c r="E989" s="145">
        <v>6.96</v>
      </c>
      <c r="F989" s="145">
        <v>2.0699999999999998</v>
      </c>
      <c r="G989" s="145">
        <v>1.89</v>
      </c>
      <c r="H989" s="145">
        <v>1.35</v>
      </c>
      <c r="I989" s="145">
        <v>1.07</v>
      </c>
      <c r="J989" s="145">
        <v>0.28000000000000003</v>
      </c>
      <c r="K989" s="145">
        <v>117</v>
      </c>
      <c r="L989" s="145" t="s">
        <v>400</v>
      </c>
      <c r="M989" s="145" t="s">
        <v>400</v>
      </c>
      <c r="N989" s="145">
        <v>22</v>
      </c>
      <c r="O989" s="145">
        <v>29</v>
      </c>
      <c r="P989" s="145">
        <v>3.2000000000000001E-2</v>
      </c>
      <c r="Q989" s="145">
        <v>292</v>
      </c>
      <c r="R989" s="145">
        <v>10</v>
      </c>
      <c r="S989" s="145">
        <v>59</v>
      </c>
      <c r="T989" s="145">
        <v>403</v>
      </c>
      <c r="U989" s="145">
        <v>0.189</v>
      </c>
      <c r="V989" s="145">
        <v>2.27</v>
      </c>
      <c r="W989" s="145" t="s">
        <v>400</v>
      </c>
      <c r="X989" s="145">
        <v>0.05</v>
      </c>
      <c r="Y989" s="145">
        <v>0.31</v>
      </c>
      <c r="Z989" s="145">
        <v>0.47</v>
      </c>
      <c r="AA989" s="145">
        <v>2.2000000000000002</v>
      </c>
      <c r="AB989" s="145">
        <v>3</v>
      </c>
      <c r="AC989" s="145">
        <v>2.2000000000000002</v>
      </c>
      <c r="AD989" s="145">
        <v>8.3000000000000007</v>
      </c>
      <c r="AE989" s="145">
        <v>11</v>
      </c>
      <c r="AF989" s="145" t="s">
        <v>400</v>
      </c>
      <c r="AG989" s="145">
        <v>0.45</v>
      </c>
      <c r="AH989" s="145" t="s">
        <v>400</v>
      </c>
      <c r="AI989" s="145">
        <v>333</v>
      </c>
      <c r="AJ989" s="145">
        <v>43.1</v>
      </c>
      <c r="AK989" s="145" t="s">
        <v>400</v>
      </c>
      <c r="AL989" s="145" t="s">
        <v>400</v>
      </c>
      <c r="AM989" s="145" t="s">
        <v>400</v>
      </c>
    </row>
    <row r="990" spans="1:39">
      <c r="A990" s="143" t="s">
        <v>2050</v>
      </c>
      <c r="B990" s="144">
        <v>100</v>
      </c>
      <c r="C990" s="145">
        <v>234.65899999999999</v>
      </c>
      <c r="D990" s="145">
        <v>34.85</v>
      </c>
      <c r="E990" s="145">
        <v>9.5229999999999997</v>
      </c>
      <c r="F990" s="145">
        <v>2.4710000000000001</v>
      </c>
      <c r="G990" s="145">
        <v>2.4740000000000002</v>
      </c>
      <c r="H990" s="145">
        <v>2.83</v>
      </c>
      <c r="I990" s="145">
        <v>2.3759999999999999</v>
      </c>
      <c r="J990" s="145">
        <v>0.45400000000000001</v>
      </c>
      <c r="K990" s="145">
        <v>117</v>
      </c>
      <c r="L990" s="145" t="s">
        <v>400</v>
      </c>
      <c r="M990" s="145" t="s">
        <v>400</v>
      </c>
      <c r="N990" s="145">
        <v>22</v>
      </c>
      <c r="O990" s="145">
        <v>29</v>
      </c>
      <c r="P990" s="145">
        <v>3.2000000000000001E-2</v>
      </c>
      <c r="Q990" s="145">
        <v>292</v>
      </c>
      <c r="R990" s="145">
        <v>10.000999999999999</v>
      </c>
      <c r="S990" s="145">
        <v>59</v>
      </c>
      <c r="T990" s="145">
        <v>403</v>
      </c>
      <c r="U990" s="145">
        <v>0.189</v>
      </c>
      <c r="V990" s="145">
        <v>2.27</v>
      </c>
      <c r="W990" s="145" t="s">
        <v>400</v>
      </c>
      <c r="X990" s="145">
        <v>0.05</v>
      </c>
      <c r="Y990" s="145">
        <v>0.31</v>
      </c>
      <c r="Z990" s="145">
        <v>0.47</v>
      </c>
      <c r="AA990" s="145">
        <v>2.2000000000000002</v>
      </c>
      <c r="AB990" s="145">
        <v>3</v>
      </c>
      <c r="AC990" s="145">
        <v>2.2000000000000002</v>
      </c>
      <c r="AD990" s="145">
        <v>8.3000000000000007</v>
      </c>
      <c r="AE990" s="145">
        <v>11</v>
      </c>
      <c r="AF990" s="145" t="s">
        <v>400</v>
      </c>
      <c r="AG990" s="145">
        <v>0.66</v>
      </c>
      <c r="AH990" s="145">
        <v>1.4E-2</v>
      </c>
      <c r="AI990" s="145">
        <v>333</v>
      </c>
      <c r="AJ990" s="145">
        <v>44.274999999999999</v>
      </c>
      <c r="AK990" s="145" t="s">
        <v>400</v>
      </c>
      <c r="AL990" s="145" t="s">
        <v>400</v>
      </c>
      <c r="AM990" s="145" t="s">
        <v>400</v>
      </c>
    </row>
    <row r="991" spans="1:39">
      <c r="A991" s="143" t="s">
        <v>2051</v>
      </c>
      <c r="B991" s="144">
        <v>100</v>
      </c>
      <c r="C991" s="145">
        <v>92</v>
      </c>
      <c r="D991" s="145">
        <v>19.399999999999999</v>
      </c>
      <c r="E991" s="145">
        <v>1.6</v>
      </c>
      <c r="F991" s="145">
        <v>0.39</v>
      </c>
      <c r="G991" s="145">
        <v>0.48</v>
      </c>
      <c r="H991" s="145">
        <v>0.36</v>
      </c>
      <c r="I991" s="145">
        <v>0.19</v>
      </c>
      <c r="J991" s="145">
        <v>0.06</v>
      </c>
      <c r="K991" s="145">
        <v>91.1</v>
      </c>
      <c r="L991" s="145" t="s">
        <v>400</v>
      </c>
      <c r="M991" s="145" t="s">
        <v>400</v>
      </c>
      <c r="N991" s="145">
        <v>11</v>
      </c>
      <c r="O991" s="145">
        <v>23</v>
      </c>
      <c r="P991" s="145">
        <v>1.7000000000000001E-2</v>
      </c>
      <c r="Q991" s="145">
        <v>182</v>
      </c>
      <c r="R991" s="145">
        <v>1.1000000000000001</v>
      </c>
      <c r="S991" s="145">
        <v>77</v>
      </c>
      <c r="T991" s="145">
        <v>233</v>
      </c>
      <c r="U991" s="145">
        <v>0.3</v>
      </c>
      <c r="V991" s="145">
        <v>1.27</v>
      </c>
      <c r="W991" s="145">
        <v>18</v>
      </c>
      <c r="X991" s="145">
        <v>0.11</v>
      </c>
      <c r="Y991" s="145">
        <v>0.18</v>
      </c>
      <c r="Z991" s="145">
        <v>0.12</v>
      </c>
      <c r="AA991" s="145">
        <v>3</v>
      </c>
      <c r="AB991" s="145" t="s">
        <v>400</v>
      </c>
      <c r="AC991" s="145">
        <v>6.6669999999999998</v>
      </c>
      <c r="AD991" s="145">
        <v>1.01</v>
      </c>
      <c r="AE991" s="145">
        <v>15</v>
      </c>
      <c r="AF991" s="145" t="s">
        <v>400</v>
      </c>
      <c r="AG991" s="145">
        <v>0.63</v>
      </c>
      <c r="AH991" s="145">
        <v>0.01</v>
      </c>
      <c r="AI991" s="145">
        <v>333</v>
      </c>
      <c r="AJ991" s="145">
        <v>25.5</v>
      </c>
      <c r="AK991" s="145">
        <v>18</v>
      </c>
      <c r="AL991" s="145" t="s">
        <v>400</v>
      </c>
      <c r="AM991" s="145" t="s">
        <v>400</v>
      </c>
    </row>
    <row r="992" spans="1:39">
      <c r="A992" s="143" t="s">
        <v>2052</v>
      </c>
      <c r="B992" s="144">
        <v>100</v>
      </c>
      <c r="C992" s="145">
        <v>114.65900000000001</v>
      </c>
      <c r="D992" s="145">
        <v>19.399999999999999</v>
      </c>
      <c r="E992" s="145">
        <v>4.1630000000000003</v>
      </c>
      <c r="F992" s="145">
        <v>0.79100000000000004</v>
      </c>
      <c r="G992" s="145">
        <v>1.0640000000000001</v>
      </c>
      <c r="H992" s="145">
        <v>1.84</v>
      </c>
      <c r="I992" s="145">
        <v>1.496</v>
      </c>
      <c r="J992" s="145">
        <v>0.23400000000000001</v>
      </c>
      <c r="K992" s="145">
        <v>91.1</v>
      </c>
      <c r="L992" s="145" t="s">
        <v>400</v>
      </c>
      <c r="M992" s="145" t="s">
        <v>400</v>
      </c>
      <c r="N992" s="145">
        <v>11</v>
      </c>
      <c r="O992" s="145">
        <v>23</v>
      </c>
      <c r="P992" s="145">
        <v>1.7000000000000001E-2</v>
      </c>
      <c r="Q992" s="145">
        <v>182</v>
      </c>
      <c r="R992" s="145">
        <v>1.101</v>
      </c>
      <c r="S992" s="145">
        <v>77</v>
      </c>
      <c r="T992" s="145">
        <v>233</v>
      </c>
      <c r="U992" s="145">
        <v>0.3</v>
      </c>
      <c r="V992" s="145">
        <v>1.27</v>
      </c>
      <c r="W992" s="145">
        <v>18</v>
      </c>
      <c r="X992" s="145">
        <v>0.11</v>
      </c>
      <c r="Y992" s="145">
        <v>0.18</v>
      </c>
      <c r="Z992" s="145">
        <v>0.12</v>
      </c>
      <c r="AA992" s="145">
        <v>3</v>
      </c>
      <c r="AB992" s="145" t="s">
        <v>400</v>
      </c>
      <c r="AC992" s="145">
        <v>6.6669999999999998</v>
      </c>
      <c r="AD992" s="145">
        <v>1.01</v>
      </c>
      <c r="AE992" s="145">
        <v>15</v>
      </c>
      <c r="AF992" s="145" t="s">
        <v>400</v>
      </c>
      <c r="AG992" s="145">
        <v>0.84</v>
      </c>
      <c r="AH992" s="145">
        <v>2.4E-2</v>
      </c>
      <c r="AI992" s="145">
        <v>333</v>
      </c>
      <c r="AJ992" s="145">
        <v>26.675000000000001</v>
      </c>
      <c r="AK992" s="145">
        <v>18</v>
      </c>
      <c r="AL992" s="145" t="s">
        <v>400</v>
      </c>
      <c r="AM992" s="145" t="s">
        <v>400</v>
      </c>
    </row>
    <row r="993" spans="1:39">
      <c r="A993" s="143" t="s">
        <v>2053</v>
      </c>
      <c r="B993" s="144">
        <v>100</v>
      </c>
      <c r="C993" s="145">
        <v>212</v>
      </c>
      <c r="D993" s="145">
        <v>34.85</v>
      </c>
      <c r="E993" s="145">
        <v>6.96</v>
      </c>
      <c r="F993" s="145">
        <v>2.0699999999999998</v>
      </c>
      <c r="G993" s="145">
        <v>1.89</v>
      </c>
      <c r="H993" s="145">
        <v>1.35</v>
      </c>
      <c r="I993" s="145">
        <v>1.07</v>
      </c>
      <c r="J993" s="145">
        <v>0.28000000000000003</v>
      </c>
      <c r="K993" s="145">
        <v>117</v>
      </c>
      <c r="L993" s="145" t="s">
        <v>400</v>
      </c>
      <c r="M993" s="145" t="s">
        <v>400</v>
      </c>
      <c r="N993" s="145">
        <v>22</v>
      </c>
      <c r="O993" s="145">
        <v>29</v>
      </c>
      <c r="P993" s="145">
        <v>3.2000000000000001E-2</v>
      </c>
      <c r="Q993" s="145">
        <v>292</v>
      </c>
      <c r="R993" s="145">
        <v>10</v>
      </c>
      <c r="S993" s="145">
        <v>59</v>
      </c>
      <c r="T993" s="145">
        <v>403</v>
      </c>
      <c r="U993" s="145">
        <v>0.189</v>
      </c>
      <c r="V993" s="145">
        <v>2.27</v>
      </c>
      <c r="W993" s="145" t="s">
        <v>400</v>
      </c>
      <c r="X993" s="145">
        <v>0.05</v>
      </c>
      <c r="Y993" s="145">
        <v>0.31</v>
      </c>
      <c r="Z993" s="145">
        <v>0.47</v>
      </c>
      <c r="AA993" s="145">
        <v>2.2000000000000002</v>
      </c>
      <c r="AB993" s="145">
        <v>3</v>
      </c>
      <c r="AC993" s="145">
        <v>2.2000000000000002</v>
      </c>
      <c r="AD993" s="145">
        <v>8.3000000000000007</v>
      </c>
      <c r="AE993" s="145">
        <v>11</v>
      </c>
      <c r="AF993" s="145" t="s">
        <v>400</v>
      </c>
      <c r="AG993" s="145">
        <v>0.45</v>
      </c>
      <c r="AH993" s="145" t="s">
        <v>400</v>
      </c>
      <c r="AI993" s="145">
        <v>333</v>
      </c>
      <c r="AJ993" s="145">
        <v>43.1</v>
      </c>
      <c r="AK993" s="145" t="s">
        <v>400</v>
      </c>
      <c r="AL993" s="145" t="s">
        <v>400</v>
      </c>
      <c r="AM993" s="145" t="s">
        <v>400</v>
      </c>
    </row>
    <row r="994" spans="1:39">
      <c r="A994" s="143" t="s">
        <v>2054</v>
      </c>
      <c r="B994" s="144">
        <v>100</v>
      </c>
      <c r="C994" s="145">
        <v>212</v>
      </c>
      <c r="D994" s="145">
        <v>34.85</v>
      </c>
      <c r="E994" s="145">
        <v>6.96</v>
      </c>
      <c r="F994" s="145">
        <v>2.0699999999999998</v>
      </c>
      <c r="G994" s="145">
        <v>1.89</v>
      </c>
      <c r="H994" s="145">
        <v>1.35</v>
      </c>
      <c r="I994" s="145">
        <v>1.07</v>
      </c>
      <c r="J994" s="145">
        <v>0.28000000000000003</v>
      </c>
      <c r="K994" s="145">
        <v>117</v>
      </c>
      <c r="L994" s="145" t="s">
        <v>400</v>
      </c>
      <c r="M994" s="145" t="s">
        <v>400</v>
      </c>
      <c r="N994" s="145">
        <v>22</v>
      </c>
      <c r="O994" s="145">
        <v>29</v>
      </c>
      <c r="P994" s="145">
        <v>3.2000000000000001E-2</v>
      </c>
      <c r="Q994" s="145">
        <v>292</v>
      </c>
      <c r="R994" s="145">
        <v>10</v>
      </c>
      <c r="S994" s="145">
        <v>59</v>
      </c>
      <c r="T994" s="145">
        <v>403</v>
      </c>
      <c r="U994" s="145">
        <v>0.189</v>
      </c>
      <c r="V994" s="145">
        <v>2.27</v>
      </c>
      <c r="W994" s="145" t="s">
        <v>400</v>
      </c>
      <c r="X994" s="145">
        <v>0.05</v>
      </c>
      <c r="Y994" s="145">
        <v>0.31</v>
      </c>
      <c r="Z994" s="145">
        <v>0.47</v>
      </c>
      <c r="AA994" s="145">
        <v>2.2000000000000002</v>
      </c>
      <c r="AB994" s="145">
        <v>3</v>
      </c>
      <c r="AC994" s="145">
        <v>2.2000000000000002</v>
      </c>
      <c r="AD994" s="145">
        <v>8.3000000000000007</v>
      </c>
      <c r="AE994" s="145">
        <v>11</v>
      </c>
      <c r="AF994" s="145" t="s">
        <v>400</v>
      </c>
      <c r="AG994" s="145">
        <v>0.45</v>
      </c>
      <c r="AH994" s="145" t="s">
        <v>400</v>
      </c>
      <c r="AI994" s="145">
        <v>333</v>
      </c>
      <c r="AJ994" s="145">
        <v>43.1</v>
      </c>
      <c r="AK994" s="145" t="s">
        <v>400</v>
      </c>
      <c r="AL994" s="145" t="s">
        <v>400</v>
      </c>
      <c r="AM994" s="145" t="s">
        <v>400</v>
      </c>
    </row>
    <row r="995" spans="1:39">
      <c r="A995" s="143" t="s">
        <v>2055</v>
      </c>
      <c r="B995" s="144">
        <v>100</v>
      </c>
      <c r="C995" s="145">
        <v>234.65899999999999</v>
      </c>
      <c r="D995" s="145">
        <v>34.85</v>
      </c>
      <c r="E995" s="145">
        <v>9.5229999999999997</v>
      </c>
      <c r="F995" s="145">
        <v>2.4710000000000001</v>
      </c>
      <c r="G995" s="145">
        <v>2.4740000000000002</v>
      </c>
      <c r="H995" s="145">
        <v>2.83</v>
      </c>
      <c r="I995" s="145">
        <v>2.3759999999999999</v>
      </c>
      <c r="J995" s="145">
        <v>0.45400000000000001</v>
      </c>
      <c r="K995" s="145">
        <v>117</v>
      </c>
      <c r="L995" s="145" t="s">
        <v>400</v>
      </c>
      <c r="M995" s="145" t="s">
        <v>400</v>
      </c>
      <c r="N995" s="145">
        <v>22</v>
      </c>
      <c r="O995" s="145">
        <v>29</v>
      </c>
      <c r="P995" s="145">
        <v>3.2000000000000001E-2</v>
      </c>
      <c r="Q995" s="145">
        <v>292</v>
      </c>
      <c r="R995" s="145">
        <v>10.000999999999999</v>
      </c>
      <c r="S995" s="145">
        <v>59</v>
      </c>
      <c r="T995" s="145">
        <v>403</v>
      </c>
      <c r="U995" s="145">
        <v>0.189</v>
      </c>
      <c r="V995" s="145">
        <v>2.27</v>
      </c>
      <c r="W995" s="145" t="s">
        <v>400</v>
      </c>
      <c r="X995" s="145">
        <v>0.05</v>
      </c>
      <c r="Y995" s="145">
        <v>0.31</v>
      </c>
      <c r="Z995" s="145">
        <v>0.47</v>
      </c>
      <c r="AA995" s="145">
        <v>2.2000000000000002</v>
      </c>
      <c r="AB995" s="145">
        <v>3</v>
      </c>
      <c r="AC995" s="145">
        <v>2.2000000000000002</v>
      </c>
      <c r="AD995" s="145">
        <v>8.3000000000000007</v>
      </c>
      <c r="AE995" s="145">
        <v>11</v>
      </c>
      <c r="AF995" s="145" t="s">
        <v>400</v>
      </c>
      <c r="AG995" s="145">
        <v>0.66</v>
      </c>
      <c r="AH995" s="145">
        <v>1.4E-2</v>
      </c>
      <c r="AI995" s="145">
        <v>333</v>
      </c>
      <c r="AJ995" s="145">
        <v>44.274999999999999</v>
      </c>
      <c r="AK995" s="145" t="s">
        <v>400</v>
      </c>
      <c r="AL995" s="145" t="s">
        <v>400</v>
      </c>
      <c r="AM995" s="145" t="s">
        <v>400</v>
      </c>
    </row>
    <row r="996" spans="1:39">
      <c r="A996" s="143" t="s">
        <v>2056</v>
      </c>
      <c r="B996" s="144">
        <v>100</v>
      </c>
      <c r="C996" s="145">
        <v>212</v>
      </c>
      <c r="D996" s="145">
        <v>34.85</v>
      </c>
      <c r="E996" s="145">
        <v>6.96</v>
      </c>
      <c r="F996" s="145">
        <v>2.0699999999999998</v>
      </c>
      <c r="G996" s="145">
        <v>1.89</v>
      </c>
      <c r="H996" s="145">
        <v>1.35</v>
      </c>
      <c r="I996" s="145">
        <v>1.07</v>
      </c>
      <c r="J996" s="145">
        <v>0.28000000000000003</v>
      </c>
      <c r="K996" s="145">
        <v>117</v>
      </c>
      <c r="L996" s="145" t="s">
        <v>400</v>
      </c>
      <c r="M996" s="145" t="s">
        <v>400</v>
      </c>
      <c r="N996" s="145">
        <v>22</v>
      </c>
      <c r="O996" s="145">
        <v>29</v>
      </c>
      <c r="P996" s="145">
        <v>3.2000000000000001E-2</v>
      </c>
      <c r="Q996" s="145">
        <v>292</v>
      </c>
      <c r="R996" s="145">
        <v>10</v>
      </c>
      <c r="S996" s="145">
        <v>59</v>
      </c>
      <c r="T996" s="145">
        <v>403</v>
      </c>
      <c r="U996" s="145">
        <v>0.189</v>
      </c>
      <c r="V996" s="145">
        <v>2.27</v>
      </c>
      <c r="W996" s="145" t="s">
        <v>400</v>
      </c>
      <c r="X996" s="145">
        <v>0.05</v>
      </c>
      <c r="Y996" s="145">
        <v>0.31</v>
      </c>
      <c r="Z996" s="145">
        <v>0.47</v>
      </c>
      <c r="AA996" s="145">
        <v>2.2000000000000002</v>
      </c>
      <c r="AB996" s="145">
        <v>3</v>
      </c>
      <c r="AC996" s="145">
        <v>2.2000000000000002</v>
      </c>
      <c r="AD996" s="145">
        <v>8.3000000000000007</v>
      </c>
      <c r="AE996" s="145">
        <v>11</v>
      </c>
      <c r="AF996" s="145" t="s">
        <v>400</v>
      </c>
      <c r="AG996" s="145">
        <v>0.45</v>
      </c>
      <c r="AH996" s="145" t="s">
        <v>400</v>
      </c>
      <c r="AI996" s="145">
        <v>333</v>
      </c>
      <c r="AJ996" s="145">
        <v>43.1</v>
      </c>
      <c r="AK996" s="145" t="s">
        <v>400</v>
      </c>
      <c r="AL996" s="145" t="s">
        <v>400</v>
      </c>
      <c r="AM996" s="145" t="s">
        <v>400</v>
      </c>
    </row>
    <row r="997" spans="1:39">
      <c r="A997" s="143" t="s">
        <v>2057</v>
      </c>
      <c r="B997" s="144">
        <v>100</v>
      </c>
      <c r="C997" s="145">
        <v>212</v>
      </c>
      <c r="D997" s="145">
        <v>34.85</v>
      </c>
      <c r="E997" s="145">
        <v>6.96</v>
      </c>
      <c r="F997" s="145">
        <v>2.0699999999999998</v>
      </c>
      <c r="G997" s="145">
        <v>1.89</v>
      </c>
      <c r="H997" s="145">
        <v>1.35</v>
      </c>
      <c r="I997" s="145">
        <v>1.07</v>
      </c>
      <c r="J997" s="145">
        <v>0.28000000000000003</v>
      </c>
      <c r="K997" s="145">
        <v>117</v>
      </c>
      <c r="L997" s="145" t="s">
        <v>400</v>
      </c>
      <c r="M997" s="145" t="s">
        <v>400</v>
      </c>
      <c r="N997" s="145">
        <v>22</v>
      </c>
      <c r="O997" s="145">
        <v>29</v>
      </c>
      <c r="P997" s="145">
        <v>3.2000000000000001E-2</v>
      </c>
      <c r="Q997" s="145">
        <v>292</v>
      </c>
      <c r="R997" s="145">
        <v>10</v>
      </c>
      <c r="S997" s="145">
        <v>59</v>
      </c>
      <c r="T997" s="145">
        <v>403</v>
      </c>
      <c r="U997" s="145">
        <v>0.189</v>
      </c>
      <c r="V997" s="145">
        <v>2.27</v>
      </c>
      <c r="W997" s="145" t="s">
        <v>400</v>
      </c>
      <c r="X997" s="145">
        <v>0.05</v>
      </c>
      <c r="Y997" s="145">
        <v>0.31</v>
      </c>
      <c r="Z997" s="145">
        <v>0.47</v>
      </c>
      <c r="AA997" s="145">
        <v>2.2000000000000002</v>
      </c>
      <c r="AB997" s="145">
        <v>3</v>
      </c>
      <c r="AC997" s="145">
        <v>2.2000000000000002</v>
      </c>
      <c r="AD997" s="145">
        <v>8.3000000000000007</v>
      </c>
      <c r="AE997" s="145">
        <v>11</v>
      </c>
      <c r="AF997" s="145" t="s">
        <v>400</v>
      </c>
      <c r="AG997" s="145">
        <v>0.45</v>
      </c>
      <c r="AH997" s="145" t="s">
        <v>400</v>
      </c>
      <c r="AI997" s="145">
        <v>333</v>
      </c>
      <c r="AJ997" s="145">
        <v>43.1</v>
      </c>
      <c r="AK997" s="145" t="s">
        <v>400</v>
      </c>
      <c r="AL997" s="145" t="s">
        <v>400</v>
      </c>
      <c r="AM997" s="145" t="s">
        <v>400</v>
      </c>
    </row>
    <row r="998" spans="1:39">
      <c r="A998" s="143" t="s">
        <v>2058</v>
      </c>
      <c r="B998" s="144">
        <v>100</v>
      </c>
      <c r="C998" s="145">
        <v>117</v>
      </c>
      <c r="D998" s="145">
        <v>24.16</v>
      </c>
      <c r="E998" s="145">
        <v>1.53</v>
      </c>
      <c r="F998" s="145">
        <v>0.36299999999999999</v>
      </c>
      <c r="G998" s="145">
        <v>0.27600000000000002</v>
      </c>
      <c r="H998" s="145">
        <v>0.64600000000000002</v>
      </c>
      <c r="I998" s="145">
        <v>1.4E-2</v>
      </c>
      <c r="J998" s="145">
        <v>1.6E-2</v>
      </c>
      <c r="K998" s="145">
        <v>68</v>
      </c>
      <c r="L998" s="145" t="s">
        <v>400</v>
      </c>
      <c r="M998" s="145" t="s">
        <v>400</v>
      </c>
      <c r="N998" s="145">
        <v>18</v>
      </c>
      <c r="O998" s="145">
        <v>58</v>
      </c>
      <c r="P998" s="145">
        <v>0.02</v>
      </c>
      <c r="Q998" s="145">
        <v>289</v>
      </c>
      <c r="R998" s="145">
        <v>0.34</v>
      </c>
      <c r="S998" s="145">
        <v>105</v>
      </c>
      <c r="T998" s="145">
        <v>344</v>
      </c>
      <c r="U998" s="145">
        <v>2.5999999999999999E-2</v>
      </c>
      <c r="V998" s="145">
        <v>0.63</v>
      </c>
      <c r="W998" s="145">
        <v>13</v>
      </c>
      <c r="X998" s="145">
        <v>0.08</v>
      </c>
      <c r="Y998" s="145">
        <v>0.114</v>
      </c>
      <c r="Z998" s="145">
        <v>0.24</v>
      </c>
      <c r="AA998" s="145">
        <v>2.1789999999999998</v>
      </c>
      <c r="AB998" s="145" t="s">
        <v>400</v>
      </c>
      <c r="AC998" s="145">
        <v>6.6959999999999997</v>
      </c>
      <c r="AD998" s="145">
        <v>2.5099999999999998</v>
      </c>
      <c r="AE998" s="145">
        <v>9</v>
      </c>
      <c r="AF998" s="145">
        <v>1.92</v>
      </c>
      <c r="AG998" s="145">
        <v>0.66</v>
      </c>
      <c r="AH998" s="145" t="s">
        <v>400</v>
      </c>
      <c r="AI998" s="145">
        <v>333</v>
      </c>
      <c r="AJ998" s="145">
        <v>58.2</v>
      </c>
      <c r="AK998" s="145">
        <v>13</v>
      </c>
      <c r="AL998" s="145" t="s">
        <v>400</v>
      </c>
      <c r="AM998" s="145" t="s">
        <v>400</v>
      </c>
    </row>
    <row r="999" spans="1:39">
      <c r="A999" s="143" t="s">
        <v>2059</v>
      </c>
      <c r="B999" s="144">
        <v>100</v>
      </c>
      <c r="C999" s="145">
        <v>204</v>
      </c>
      <c r="D999" s="145">
        <v>30.67</v>
      </c>
      <c r="E999" s="145">
        <v>9</v>
      </c>
      <c r="F999" s="145">
        <v>3.415</v>
      </c>
      <c r="G999" s="145">
        <v>3.9180000000000001</v>
      </c>
      <c r="H999" s="145">
        <v>0.34699999999999998</v>
      </c>
      <c r="I999" s="145">
        <v>0.23799999999999999</v>
      </c>
      <c r="J999" s="145">
        <v>8.6999999999999994E-2</v>
      </c>
      <c r="K999" s="145">
        <v>58</v>
      </c>
      <c r="L999" s="145" t="s">
        <v>400</v>
      </c>
      <c r="M999" s="145" t="s">
        <v>400</v>
      </c>
      <c r="N999" s="145">
        <v>7</v>
      </c>
      <c r="O999" s="145">
        <v>20</v>
      </c>
      <c r="P999" s="145">
        <v>1.0999999999999999E-2</v>
      </c>
      <c r="Q999" s="145">
        <v>193</v>
      </c>
      <c r="R999" s="145">
        <v>2.5299999999999998</v>
      </c>
      <c r="S999" s="145">
        <v>41</v>
      </c>
      <c r="T999" s="145">
        <v>252</v>
      </c>
      <c r="U999" s="145">
        <v>7.3999999999999996E-2</v>
      </c>
      <c r="V999" s="145">
        <v>5.2</v>
      </c>
      <c r="W999" s="145" t="s">
        <v>400</v>
      </c>
      <c r="X999" s="145">
        <v>7.0000000000000007E-2</v>
      </c>
      <c r="Y999" s="145">
        <v>0.16300000000000001</v>
      </c>
      <c r="Z999" s="146">
        <v>0.40300000000000002</v>
      </c>
      <c r="AA999" s="145">
        <v>5.36</v>
      </c>
      <c r="AB999" s="145" t="s">
        <v>400</v>
      </c>
      <c r="AC999" s="145">
        <v>8.7270000000000003</v>
      </c>
      <c r="AD999" s="145">
        <v>1.71</v>
      </c>
      <c r="AE999" s="145">
        <v>10</v>
      </c>
      <c r="AF999" s="145">
        <v>0.6</v>
      </c>
      <c r="AG999" s="145">
        <v>0.43</v>
      </c>
      <c r="AH999" s="145">
        <v>0.40899999999999997</v>
      </c>
      <c r="AI999" s="145">
        <v>333</v>
      </c>
      <c r="AJ999" s="145">
        <v>31.7</v>
      </c>
      <c r="AK999" s="145" t="s">
        <v>400</v>
      </c>
      <c r="AL999" s="145" t="s">
        <v>400</v>
      </c>
      <c r="AM999" s="145" t="s">
        <v>400</v>
      </c>
    </row>
    <row r="1000" spans="1:39">
      <c r="A1000" s="143" t="s">
        <v>2060</v>
      </c>
      <c r="B1000" s="144">
        <v>100</v>
      </c>
      <c r="C1000" s="145">
        <v>204</v>
      </c>
      <c r="D1000" s="145">
        <v>30.67</v>
      </c>
      <c r="E1000" s="145">
        <v>9</v>
      </c>
      <c r="F1000" s="145">
        <v>3.415</v>
      </c>
      <c r="G1000" s="145">
        <v>3.9180000000000001</v>
      </c>
      <c r="H1000" s="145">
        <v>0.34699999999999998</v>
      </c>
      <c r="I1000" s="145">
        <v>0.23799999999999999</v>
      </c>
      <c r="J1000" s="145">
        <v>8.6999999999999994E-2</v>
      </c>
      <c r="K1000" s="145">
        <v>58</v>
      </c>
      <c r="L1000" s="145" t="s">
        <v>400</v>
      </c>
      <c r="M1000" s="145" t="s">
        <v>400</v>
      </c>
      <c r="N1000" s="145">
        <v>7</v>
      </c>
      <c r="O1000" s="145">
        <v>20</v>
      </c>
      <c r="P1000" s="145">
        <v>1.0999999999999999E-2</v>
      </c>
      <c r="Q1000" s="145">
        <v>193</v>
      </c>
      <c r="R1000" s="145">
        <v>2.5299999999999998</v>
      </c>
      <c r="S1000" s="145">
        <v>41</v>
      </c>
      <c r="T1000" s="145">
        <v>252</v>
      </c>
      <c r="U1000" s="145">
        <v>7.3999999999999996E-2</v>
      </c>
      <c r="V1000" s="145">
        <v>5.2</v>
      </c>
      <c r="W1000" s="145" t="s">
        <v>400</v>
      </c>
      <c r="X1000" s="145">
        <v>7.0000000000000007E-2</v>
      </c>
      <c r="Y1000" s="145">
        <v>0.16300000000000001</v>
      </c>
      <c r="Z1000" s="146">
        <v>0.40300000000000002</v>
      </c>
      <c r="AA1000" s="145">
        <v>5.36</v>
      </c>
      <c r="AB1000" s="145" t="s">
        <v>400</v>
      </c>
      <c r="AC1000" s="145">
        <v>8.7270000000000003</v>
      </c>
      <c r="AD1000" s="145">
        <v>1.71</v>
      </c>
      <c r="AE1000" s="145">
        <v>10</v>
      </c>
      <c r="AF1000" s="145">
        <v>0.6</v>
      </c>
      <c r="AG1000" s="145">
        <v>0.43</v>
      </c>
      <c r="AH1000" s="145">
        <v>0.40899999999999997</v>
      </c>
      <c r="AI1000" s="145">
        <v>333</v>
      </c>
      <c r="AJ1000" s="145">
        <v>31.7</v>
      </c>
      <c r="AK1000" s="145" t="s">
        <v>400</v>
      </c>
      <c r="AL1000" s="145" t="s">
        <v>400</v>
      </c>
      <c r="AM1000" s="145" t="s">
        <v>400</v>
      </c>
    </row>
    <row r="1001" spans="1:39">
      <c r="A1001" s="143" t="s">
        <v>2061</v>
      </c>
      <c r="B1001" s="144">
        <v>100</v>
      </c>
      <c r="C1001" s="145">
        <v>204</v>
      </c>
      <c r="D1001" s="145">
        <v>30.67</v>
      </c>
      <c r="E1001" s="145">
        <v>9</v>
      </c>
      <c r="F1001" s="145">
        <v>3.415</v>
      </c>
      <c r="G1001" s="145">
        <v>3.9180000000000001</v>
      </c>
      <c r="H1001" s="145">
        <v>0.34699999999999998</v>
      </c>
      <c r="I1001" s="145">
        <v>0.23799999999999999</v>
      </c>
      <c r="J1001" s="145">
        <v>8.6999999999999994E-2</v>
      </c>
      <c r="K1001" s="145">
        <v>58</v>
      </c>
      <c r="L1001" s="145" t="s">
        <v>400</v>
      </c>
      <c r="M1001" s="145" t="s">
        <v>400</v>
      </c>
      <c r="N1001" s="145">
        <v>7</v>
      </c>
      <c r="O1001" s="145">
        <v>20</v>
      </c>
      <c r="P1001" s="145">
        <v>1.0999999999999999E-2</v>
      </c>
      <c r="Q1001" s="145">
        <v>193</v>
      </c>
      <c r="R1001" s="145">
        <v>2.5299999999999998</v>
      </c>
      <c r="S1001" s="145">
        <v>41</v>
      </c>
      <c r="T1001" s="145">
        <v>252</v>
      </c>
      <c r="U1001" s="145">
        <v>7.3999999999999996E-2</v>
      </c>
      <c r="V1001" s="145">
        <v>5.2</v>
      </c>
      <c r="W1001" s="145" t="s">
        <v>400</v>
      </c>
      <c r="X1001" s="145">
        <v>7.0000000000000007E-2</v>
      </c>
      <c r="Y1001" s="145">
        <v>0.16300000000000001</v>
      </c>
      <c r="Z1001" s="146">
        <v>0.40300000000000002</v>
      </c>
      <c r="AA1001" s="145">
        <v>5.36</v>
      </c>
      <c r="AB1001" s="145" t="s">
        <v>400</v>
      </c>
      <c r="AC1001" s="145">
        <v>8.7270000000000003</v>
      </c>
      <c r="AD1001" s="145">
        <v>1.71</v>
      </c>
      <c r="AE1001" s="145">
        <v>10</v>
      </c>
      <c r="AF1001" s="145">
        <v>0.6</v>
      </c>
      <c r="AG1001" s="145">
        <v>0.43</v>
      </c>
      <c r="AH1001" s="145">
        <v>0.40899999999999997</v>
      </c>
      <c r="AI1001" s="145">
        <v>333</v>
      </c>
      <c r="AJ1001" s="145">
        <v>31.7</v>
      </c>
      <c r="AK1001" s="145" t="s">
        <v>400</v>
      </c>
      <c r="AL1001" s="145" t="s">
        <v>400</v>
      </c>
      <c r="AM1001" s="145" t="s">
        <v>400</v>
      </c>
    </row>
    <row r="1002" spans="1:39">
      <c r="A1002" s="143" t="s">
        <v>2062</v>
      </c>
      <c r="B1002" s="144">
        <v>100</v>
      </c>
      <c r="C1002" s="145">
        <v>226.65899999999999</v>
      </c>
      <c r="D1002" s="145">
        <v>30.67</v>
      </c>
      <c r="E1002" s="145">
        <v>11.563000000000001</v>
      </c>
      <c r="F1002" s="145">
        <v>3.8159999999999998</v>
      </c>
      <c r="G1002" s="145">
        <v>4.5019999999999998</v>
      </c>
      <c r="H1002" s="145">
        <v>1.827</v>
      </c>
      <c r="I1002" s="145">
        <v>1.544</v>
      </c>
      <c r="J1002" s="145">
        <v>0.26100000000000001</v>
      </c>
      <c r="K1002" s="145">
        <v>58</v>
      </c>
      <c r="L1002" s="145" t="s">
        <v>400</v>
      </c>
      <c r="M1002" s="145" t="s">
        <v>400</v>
      </c>
      <c r="N1002" s="145">
        <v>7</v>
      </c>
      <c r="O1002" s="145">
        <v>20</v>
      </c>
      <c r="P1002" s="145">
        <v>1.0999999999999999E-2</v>
      </c>
      <c r="Q1002" s="145">
        <v>193</v>
      </c>
      <c r="R1002" s="145">
        <v>2.5310000000000001</v>
      </c>
      <c r="S1002" s="145">
        <v>41</v>
      </c>
      <c r="T1002" s="145">
        <v>252</v>
      </c>
      <c r="U1002" s="145">
        <v>7.3999999999999996E-2</v>
      </c>
      <c r="V1002" s="145">
        <v>5.2</v>
      </c>
      <c r="W1002" s="145" t="s">
        <v>400</v>
      </c>
      <c r="X1002" s="145">
        <v>7.0000000000000007E-2</v>
      </c>
      <c r="Y1002" s="145">
        <v>0.16300000000000001</v>
      </c>
      <c r="Z1002" s="146">
        <v>0.40300000000000002</v>
      </c>
      <c r="AA1002" s="145">
        <v>5.36</v>
      </c>
      <c r="AB1002" s="145" t="s">
        <v>400</v>
      </c>
      <c r="AC1002" s="145">
        <v>8.7270000000000003</v>
      </c>
      <c r="AD1002" s="145">
        <v>1.71</v>
      </c>
      <c r="AE1002" s="145">
        <v>10</v>
      </c>
      <c r="AF1002" s="145">
        <v>0.6</v>
      </c>
      <c r="AG1002" s="145">
        <v>0.64</v>
      </c>
      <c r="AH1002" s="145">
        <v>0.42299999999999999</v>
      </c>
      <c r="AI1002" s="145">
        <v>333</v>
      </c>
      <c r="AJ1002" s="145">
        <v>32.875</v>
      </c>
      <c r="AK1002" s="145" t="s">
        <v>400</v>
      </c>
      <c r="AL1002" s="145" t="s">
        <v>400</v>
      </c>
      <c r="AM1002" s="145" t="s">
        <v>400</v>
      </c>
    </row>
    <row r="1003" spans="1:39">
      <c r="A1003" s="143" t="s">
        <v>2063</v>
      </c>
      <c r="B1003" s="144">
        <v>100</v>
      </c>
      <c r="C1003" s="145">
        <v>242.83699999999999</v>
      </c>
      <c r="D1003" s="145">
        <v>31.129000000000001</v>
      </c>
      <c r="E1003" s="145">
        <v>11.606999999999999</v>
      </c>
      <c r="F1003" s="145">
        <v>3.823</v>
      </c>
      <c r="G1003" s="145">
        <v>4.5060000000000002</v>
      </c>
      <c r="H1003" s="145">
        <v>1.845</v>
      </c>
      <c r="I1003" s="145">
        <v>1.5609999999999999</v>
      </c>
      <c r="J1003" s="145">
        <v>0.26200000000000001</v>
      </c>
      <c r="K1003" s="145">
        <v>58</v>
      </c>
      <c r="L1003" s="145">
        <v>3.3919999999999999</v>
      </c>
      <c r="M1003" s="145">
        <v>0.13500000000000001</v>
      </c>
      <c r="N1003" s="145">
        <v>7.6669999999999998</v>
      </c>
      <c r="O1003" s="145">
        <v>20.978000000000002</v>
      </c>
      <c r="P1003" s="145">
        <v>4.1000000000000002E-2</v>
      </c>
      <c r="Q1003" s="145">
        <v>197.8</v>
      </c>
      <c r="R1003" s="145">
        <v>2.738</v>
      </c>
      <c r="S1003" s="145">
        <v>41.088999999999999</v>
      </c>
      <c r="T1003" s="145">
        <v>256.75599999999997</v>
      </c>
      <c r="U1003" s="145">
        <v>0.08</v>
      </c>
      <c r="V1003" s="145">
        <v>5.2309999999999999</v>
      </c>
      <c r="W1003" s="145" t="s">
        <v>400</v>
      </c>
      <c r="X1003" s="145">
        <v>0.105</v>
      </c>
      <c r="Y1003" s="145">
        <v>0.185</v>
      </c>
      <c r="Z1003" s="146">
        <v>0.40500000000000003</v>
      </c>
      <c r="AA1003" s="145">
        <v>5.6219999999999999</v>
      </c>
      <c r="AB1003" s="145" t="s">
        <v>400</v>
      </c>
      <c r="AC1003" s="145">
        <v>9.0830000000000002</v>
      </c>
      <c r="AD1003" s="145">
        <v>1.71</v>
      </c>
      <c r="AE1003" s="145">
        <v>19.067</v>
      </c>
      <c r="AF1003" s="145">
        <v>0.6</v>
      </c>
      <c r="AG1003" s="145">
        <v>0.64200000000000002</v>
      </c>
      <c r="AH1003" s="145">
        <v>0.42299999999999999</v>
      </c>
      <c r="AI1003" s="145">
        <v>333</v>
      </c>
      <c r="AJ1003" s="145">
        <v>34.381</v>
      </c>
      <c r="AK1003" s="145" t="s">
        <v>400</v>
      </c>
      <c r="AL1003" s="145">
        <v>1.4E-2</v>
      </c>
      <c r="AM1003" s="145" t="s">
        <v>400</v>
      </c>
    </row>
    <row r="1004" spans="1:39">
      <c r="A1004" s="143" t="s">
        <v>2064</v>
      </c>
      <c r="B1004" s="144">
        <v>100</v>
      </c>
      <c r="C1004" s="145">
        <v>226.65899999999999</v>
      </c>
      <c r="D1004" s="145">
        <v>30.67</v>
      </c>
      <c r="E1004" s="145">
        <v>11.563000000000001</v>
      </c>
      <c r="F1004" s="145">
        <v>3.8159999999999998</v>
      </c>
      <c r="G1004" s="145">
        <v>4.5019999999999998</v>
      </c>
      <c r="H1004" s="145">
        <v>1.827</v>
      </c>
      <c r="I1004" s="145">
        <v>1.544</v>
      </c>
      <c r="J1004" s="145">
        <v>0.26100000000000001</v>
      </c>
      <c r="K1004" s="145">
        <v>58</v>
      </c>
      <c r="L1004" s="145" t="s">
        <v>400</v>
      </c>
      <c r="M1004" s="145" t="s">
        <v>400</v>
      </c>
      <c r="N1004" s="145">
        <v>7</v>
      </c>
      <c r="O1004" s="145">
        <v>20</v>
      </c>
      <c r="P1004" s="145">
        <v>1.0999999999999999E-2</v>
      </c>
      <c r="Q1004" s="145">
        <v>193</v>
      </c>
      <c r="R1004" s="145">
        <v>2.5310000000000001</v>
      </c>
      <c r="S1004" s="145">
        <v>41</v>
      </c>
      <c r="T1004" s="145">
        <v>252</v>
      </c>
      <c r="U1004" s="145">
        <v>7.3999999999999996E-2</v>
      </c>
      <c r="V1004" s="145">
        <v>5.2</v>
      </c>
      <c r="W1004" s="145" t="s">
        <v>400</v>
      </c>
      <c r="X1004" s="145">
        <v>7.0000000000000007E-2</v>
      </c>
      <c r="Y1004" s="145">
        <v>0.16300000000000001</v>
      </c>
      <c r="Z1004" s="146">
        <v>0.40300000000000002</v>
      </c>
      <c r="AA1004" s="145">
        <v>5.36</v>
      </c>
      <c r="AB1004" s="145" t="s">
        <v>400</v>
      </c>
      <c r="AC1004" s="145">
        <v>8.7270000000000003</v>
      </c>
      <c r="AD1004" s="145">
        <v>1.71</v>
      </c>
      <c r="AE1004" s="145">
        <v>10</v>
      </c>
      <c r="AF1004" s="145">
        <v>0.6</v>
      </c>
      <c r="AG1004" s="145">
        <v>0.64</v>
      </c>
      <c r="AH1004" s="145">
        <v>0.42299999999999999</v>
      </c>
      <c r="AI1004" s="145">
        <v>333</v>
      </c>
      <c r="AJ1004" s="145">
        <v>32.875</v>
      </c>
      <c r="AK1004" s="145" t="s">
        <v>400</v>
      </c>
      <c r="AL1004" s="145" t="s">
        <v>400</v>
      </c>
      <c r="AM1004" s="145" t="s">
        <v>400</v>
      </c>
    </row>
    <row r="1005" spans="1:39">
      <c r="A1005" s="143" t="s">
        <v>2065</v>
      </c>
      <c r="B1005" s="144">
        <v>100</v>
      </c>
      <c r="C1005" s="145">
        <v>168</v>
      </c>
      <c r="D1005" s="145">
        <v>24.8</v>
      </c>
      <c r="E1005" s="145">
        <v>7.2359999999999998</v>
      </c>
      <c r="F1005" s="145">
        <v>2.7370000000000001</v>
      </c>
      <c r="G1005" s="145">
        <v>3.14</v>
      </c>
      <c r="H1005" s="145">
        <v>0.29199999999999998</v>
      </c>
      <c r="I1005" s="145">
        <v>0.20399999999999999</v>
      </c>
      <c r="J1005" s="145">
        <v>7.0000000000000007E-2</v>
      </c>
      <c r="K1005" s="145">
        <v>46.4</v>
      </c>
      <c r="L1005" s="145">
        <v>1.0760000000000001</v>
      </c>
      <c r="M1005" s="145">
        <v>0.3</v>
      </c>
      <c r="N1005" s="145">
        <v>8.1999999999999993</v>
      </c>
      <c r="O1005" s="145">
        <v>19.2</v>
      </c>
      <c r="P1005" s="145">
        <v>0.03</v>
      </c>
      <c r="Q1005" s="145">
        <v>159.6</v>
      </c>
      <c r="R1005" s="145">
        <v>2.2280000000000002</v>
      </c>
      <c r="S1005" s="145">
        <v>137.6</v>
      </c>
      <c r="T1005" s="145">
        <v>267.8</v>
      </c>
      <c r="U1005" s="145">
        <v>8.3000000000000004E-2</v>
      </c>
      <c r="V1005" s="145">
        <v>4.2</v>
      </c>
      <c r="W1005" s="145" t="s">
        <v>400</v>
      </c>
      <c r="X1005" s="145">
        <v>6.0999999999999999E-2</v>
      </c>
      <c r="Y1005" s="145">
        <v>0.14399999999999999</v>
      </c>
      <c r="Z1005" s="146">
        <v>0.34200000000000003</v>
      </c>
      <c r="AA1005" s="145">
        <v>4.4829999999999997</v>
      </c>
      <c r="AB1005" s="145">
        <v>1.4</v>
      </c>
      <c r="AC1005" s="145">
        <v>7.21</v>
      </c>
      <c r="AD1005" s="145">
        <v>1.3680000000000001</v>
      </c>
      <c r="AE1005" s="145">
        <v>10.199999999999999</v>
      </c>
      <c r="AF1005" s="145">
        <v>0.48</v>
      </c>
      <c r="AG1005" s="145">
        <v>0.628</v>
      </c>
      <c r="AH1005" s="145">
        <v>0.32700000000000001</v>
      </c>
      <c r="AI1005" s="145">
        <v>333</v>
      </c>
      <c r="AJ1005" s="145">
        <v>25.4</v>
      </c>
      <c r="AK1005" s="145">
        <v>3.4830000000000001</v>
      </c>
      <c r="AL1005" s="145">
        <v>0.85</v>
      </c>
      <c r="AM1005" s="145" t="s">
        <v>400</v>
      </c>
    </row>
    <row r="1006" spans="1:39">
      <c r="A1006" s="143" t="s">
        <v>2066</v>
      </c>
      <c r="B1006" s="144">
        <v>100</v>
      </c>
      <c r="C1006" s="145">
        <v>195.79</v>
      </c>
      <c r="D1006" s="145">
        <v>25.315000000000001</v>
      </c>
      <c r="E1006" s="145">
        <v>9.6890000000000001</v>
      </c>
      <c r="F1006" s="145">
        <v>4.2640000000000002</v>
      </c>
      <c r="G1006" s="145">
        <v>3.7709999999999999</v>
      </c>
      <c r="H1006" s="145">
        <v>0.39</v>
      </c>
      <c r="I1006" s="145">
        <v>0.28100000000000003</v>
      </c>
      <c r="J1006" s="145">
        <v>9.1999999999999998E-2</v>
      </c>
      <c r="K1006" s="145">
        <v>53.232999999999997</v>
      </c>
      <c r="L1006" s="145">
        <v>1.851</v>
      </c>
      <c r="M1006" s="145">
        <v>4.2999999999999997E-2</v>
      </c>
      <c r="N1006" s="145">
        <v>28.478999999999999</v>
      </c>
      <c r="O1006" s="145">
        <v>18.312000000000001</v>
      </c>
      <c r="P1006" s="145">
        <v>1.9E-2</v>
      </c>
      <c r="Q1006" s="145">
        <v>174.09299999999999</v>
      </c>
      <c r="R1006" s="145">
        <v>2.0939999999999999</v>
      </c>
      <c r="S1006" s="145">
        <v>53.716999999999999</v>
      </c>
      <c r="T1006" s="145">
        <v>231.654</v>
      </c>
      <c r="U1006" s="145">
        <v>6.3E-2</v>
      </c>
      <c r="V1006" s="145">
        <v>4.2489999999999997</v>
      </c>
      <c r="W1006" s="145">
        <v>20.696999999999999</v>
      </c>
      <c r="X1006" s="145">
        <v>7.4999999999999997E-2</v>
      </c>
      <c r="Y1006" s="145">
        <v>0.17299999999999999</v>
      </c>
      <c r="Z1006" s="146">
        <v>0.33</v>
      </c>
      <c r="AA1006" s="145">
        <v>4.3840000000000003</v>
      </c>
      <c r="AB1006" s="145">
        <v>4.0000000000000001E-3</v>
      </c>
      <c r="AC1006" s="145">
        <v>7.3520000000000003</v>
      </c>
      <c r="AD1006" s="145">
        <v>1.458</v>
      </c>
      <c r="AE1006" s="145">
        <v>11.596</v>
      </c>
      <c r="AF1006" s="145">
        <v>0.70699999999999996</v>
      </c>
      <c r="AG1006" s="145">
        <v>0.40899999999999997</v>
      </c>
      <c r="AH1006" s="145">
        <v>0.42399999999999999</v>
      </c>
      <c r="AI1006" s="145">
        <v>333</v>
      </c>
      <c r="AJ1006" s="145">
        <v>26.529</v>
      </c>
      <c r="AK1006" s="145">
        <v>21.081</v>
      </c>
      <c r="AL1006" s="145">
        <v>1.0329999999999999</v>
      </c>
      <c r="AM1006" s="145" t="s">
        <v>400</v>
      </c>
    </row>
    <row r="1007" spans="1:39">
      <c r="A1007" s="143" t="s">
        <v>2067</v>
      </c>
      <c r="B1007" s="144">
        <v>100</v>
      </c>
      <c r="C1007" s="145">
        <v>223.137</v>
      </c>
      <c r="D1007" s="145">
        <v>30.693000000000001</v>
      </c>
      <c r="E1007" s="145">
        <v>11.164999999999999</v>
      </c>
      <c r="F1007" s="145">
        <v>4.7859999999999996</v>
      </c>
      <c r="G1007" s="145">
        <v>4.4790000000000001</v>
      </c>
      <c r="H1007" s="145">
        <v>0.42799999999999999</v>
      </c>
      <c r="I1007" s="145">
        <v>0.311</v>
      </c>
      <c r="J1007" s="145">
        <v>9.5000000000000001E-2</v>
      </c>
      <c r="K1007" s="145">
        <v>63.738</v>
      </c>
      <c r="L1007" s="145">
        <v>2E-3</v>
      </c>
      <c r="M1007" s="145" t="s">
        <v>400</v>
      </c>
      <c r="N1007" s="145">
        <v>7.641</v>
      </c>
      <c r="O1007" s="145">
        <v>20.053000000000001</v>
      </c>
      <c r="P1007" s="145">
        <v>1.0999999999999999E-2</v>
      </c>
      <c r="Q1007" s="145">
        <v>193.64099999999999</v>
      </c>
      <c r="R1007" s="145">
        <v>2.5310000000000001</v>
      </c>
      <c r="S1007" s="145">
        <v>56.374000000000002</v>
      </c>
      <c r="T1007" s="145">
        <v>252.64099999999999</v>
      </c>
      <c r="U1007" s="145">
        <v>7.3999999999999996E-2</v>
      </c>
      <c r="V1007" s="145">
        <v>5.202</v>
      </c>
      <c r="W1007" s="145">
        <v>17.908999999999999</v>
      </c>
      <c r="X1007" s="145">
        <v>7.0000000000000007E-2</v>
      </c>
      <c r="Y1007" s="145">
        <v>0.16400000000000001</v>
      </c>
      <c r="Z1007" s="146">
        <v>0.40300000000000002</v>
      </c>
      <c r="AA1007" s="145">
        <v>5.3609999999999998</v>
      </c>
      <c r="AB1007" s="145" t="s">
        <v>400</v>
      </c>
      <c r="AC1007" s="145">
        <v>8.7330000000000005</v>
      </c>
      <c r="AD1007" s="145">
        <v>1.7150000000000001</v>
      </c>
      <c r="AE1007" s="145">
        <v>10.08</v>
      </c>
      <c r="AF1007" s="145">
        <v>0.63700000000000001</v>
      </c>
      <c r="AG1007" s="145">
        <v>0.49199999999999999</v>
      </c>
      <c r="AH1007" s="145">
        <v>0.496</v>
      </c>
      <c r="AI1007" s="145">
        <v>333</v>
      </c>
      <c r="AJ1007" s="145">
        <v>31.727</v>
      </c>
      <c r="AK1007" s="145">
        <v>18.260999999999999</v>
      </c>
      <c r="AL1007" s="145">
        <v>3.0000000000000001E-3</v>
      </c>
      <c r="AM1007" s="145" t="s">
        <v>400</v>
      </c>
    </row>
    <row r="1008" spans="1:39">
      <c r="A1008" s="143" t="s">
        <v>2068</v>
      </c>
      <c r="B1008" s="144">
        <v>100</v>
      </c>
      <c r="C1008" s="145">
        <v>204</v>
      </c>
      <c r="D1008" s="145">
        <v>30.67</v>
      </c>
      <c r="E1008" s="145">
        <v>9</v>
      </c>
      <c r="F1008" s="145">
        <v>3.415</v>
      </c>
      <c r="G1008" s="145">
        <v>3.9180000000000001</v>
      </c>
      <c r="H1008" s="145">
        <v>0.34699999999999998</v>
      </c>
      <c r="I1008" s="145">
        <v>0.23799999999999999</v>
      </c>
      <c r="J1008" s="145">
        <v>8.6999999999999994E-2</v>
      </c>
      <c r="K1008" s="145">
        <v>58</v>
      </c>
      <c r="L1008" s="145" t="s">
        <v>400</v>
      </c>
      <c r="M1008" s="145" t="s">
        <v>400</v>
      </c>
      <c r="N1008" s="145">
        <v>7</v>
      </c>
      <c r="O1008" s="145">
        <v>20</v>
      </c>
      <c r="P1008" s="145">
        <v>1.0999999999999999E-2</v>
      </c>
      <c r="Q1008" s="145">
        <v>193</v>
      </c>
      <c r="R1008" s="145">
        <v>2.5299999999999998</v>
      </c>
      <c r="S1008" s="145">
        <v>41</v>
      </c>
      <c r="T1008" s="145">
        <v>252</v>
      </c>
      <c r="U1008" s="145">
        <v>7.3999999999999996E-2</v>
      </c>
      <c r="V1008" s="145">
        <v>5.2</v>
      </c>
      <c r="W1008" s="145" t="s">
        <v>400</v>
      </c>
      <c r="X1008" s="145">
        <v>7.0000000000000007E-2</v>
      </c>
      <c r="Y1008" s="145">
        <v>0.16300000000000001</v>
      </c>
      <c r="Z1008" s="146">
        <v>0.40300000000000002</v>
      </c>
      <c r="AA1008" s="145">
        <v>5.36</v>
      </c>
      <c r="AB1008" s="145" t="s">
        <v>400</v>
      </c>
      <c r="AC1008" s="145">
        <v>8.7270000000000003</v>
      </c>
      <c r="AD1008" s="145">
        <v>1.71</v>
      </c>
      <c r="AE1008" s="145">
        <v>10</v>
      </c>
      <c r="AF1008" s="145">
        <v>0.6</v>
      </c>
      <c r="AG1008" s="145">
        <v>0.43</v>
      </c>
      <c r="AH1008" s="145">
        <v>0.40899999999999997</v>
      </c>
      <c r="AI1008" s="145">
        <v>333</v>
      </c>
      <c r="AJ1008" s="145">
        <v>31.7</v>
      </c>
      <c r="AK1008" s="145" t="s">
        <v>400</v>
      </c>
      <c r="AL1008" s="145" t="s">
        <v>400</v>
      </c>
      <c r="AM1008" s="145" t="s">
        <v>400</v>
      </c>
    </row>
    <row r="1009" spans="1:39">
      <c r="A1009" s="143" t="s">
        <v>2069</v>
      </c>
      <c r="B1009" s="144">
        <v>100</v>
      </c>
      <c r="C1009" s="145">
        <v>204</v>
      </c>
      <c r="D1009" s="145">
        <v>30.67</v>
      </c>
      <c r="E1009" s="145">
        <v>9</v>
      </c>
      <c r="F1009" s="145">
        <v>3.415</v>
      </c>
      <c r="G1009" s="145">
        <v>3.9180000000000001</v>
      </c>
      <c r="H1009" s="145">
        <v>0.34699999999999998</v>
      </c>
      <c r="I1009" s="145">
        <v>0.23799999999999999</v>
      </c>
      <c r="J1009" s="145">
        <v>8.6999999999999994E-2</v>
      </c>
      <c r="K1009" s="145">
        <v>58</v>
      </c>
      <c r="L1009" s="145" t="s">
        <v>400</v>
      </c>
      <c r="M1009" s="145" t="s">
        <v>400</v>
      </c>
      <c r="N1009" s="145">
        <v>7</v>
      </c>
      <c r="O1009" s="145">
        <v>20</v>
      </c>
      <c r="P1009" s="145">
        <v>1.0999999999999999E-2</v>
      </c>
      <c r="Q1009" s="145">
        <v>193</v>
      </c>
      <c r="R1009" s="145">
        <v>2.5299999999999998</v>
      </c>
      <c r="S1009" s="145">
        <v>41</v>
      </c>
      <c r="T1009" s="145">
        <v>252</v>
      </c>
      <c r="U1009" s="145">
        <v>7.3999999999999996E-2</v>
      </c>
      <c r="V1009" s="145">
        <v>5.2</v>
      </c>
      <c r="W1009" s="145" t="s">
        <v>400</v>
      </c>
      <c r="X1009" s="145">
        <v>7.0000000000000007E-2</v>
      </c>
      <c r="Y1009" s="145">
        <v>0.16300000000000001</v>
      </c>
      <c r="Z1009" s="146">
        <v>0.40300000000000002</v>
      </c>
      <c r="AA1009" s="145">
        <v>5.36</v>
      </c>
      <c r="AB1009" s="145" t="s">
        <v>400</v>
      </c>
      <c r="AC1009" s="145">
        <v>8.7270000000000003</v>
      </c>
      <c r="AD1009" s="145">
        <v>1.71</v>
      </c>
      <c r="AE1009" s="145">
        <v>10</v>
      </c>
      <c r="AF1009" s="145">
        <v>0.6</v>
      </c>
      <c r="AG1009" s="145">
        <v>0.43</v>
      </c>
      <c r="AH1009" s="145">
        <v>0.40899999999999997</v>
      </c>
      <c r="AI1009" s="145">
        <v>333</v>
      </c>
      <c r="AJ1009" s="145">
        <v>31.7</v>
      </c>
      <c r="AK1009" s="145" t="s">
        <v>400</v>
      </c>
      <c r="AL1009" s="145" t="s">
        <v>400</v>
      </c>
      <c r="AM1009" s="145" t="s">
        <v>400</v>
      </c>
    </row>
    <row r="1010" spans="1:39">
      <c r="A1010" s="143" t="s">
        <v>2070</v>
      </c>
      <c r="B1010" s="144">
        <v>100</v>
      </c>
      <c r="C1010" s="145">
        <v>204</v>
      </c>
      <c r="D1010" s="145">
        <v>30.67</v>
      </c>
      <c r="E1010" s="145">
        <v>9</v>
      </c>
      <c r="F1010" s="145">
        <v>3.415</v>
      </c>
      <c r="G1010" s="145">
        <v>3.9180000000000001</v>
      </c>
      <c r="H1010" s="145">
        <v>0.34699999999999998</v>
      </c>
      <c r="I1010" s="145">
        <v>0.23799999999999999</v>
      </c>
      <c r="J1010" s="145">
        <v>8.6999999999999994E-2</v>
      </c>
      <c r="K1010" s="145">
        <v>58</v>
      </c>
      <c r="L1010" s="145" t="s">
        <v>400</v>
      </c>
      <c r="M1010" s="145" t="s">
        <v>400</v>
      </c>
      <c r="N1010" s="145">
        <v>7</v>
      </c>
      <c r="O1010" s="145">
        <v>20</v>
      </c>
      <c r="P1010" s="145">
        <v>1.0999999999999999E-2</v>
      </c>
      <c r="Q1010" s="145">
        <v>193</v>
      </c>
      <c r="R1010" s="145">
        <v>2.5299999999999998</v>
      </c>
      <c r="S1010" s="145">
        <v>41</v>
      </c>
      <c r="T1010" s="145">
        <v>252</v>
      </c>
      <c r="U1010" s="145">
        <v>7.3999999999999996E-2</v>
      </c>
      <c r="V1010" s="145">
        <v>5.2</v>
      </c>
      <c r="W1010" s="145" t="s">
        <v>400</v>
      </c>
      <c r="X1010" s="145">
        <v>7.0000000000000007E-2</v>
      </c>
      <c r="Y1010" s="145">
        <v>0.16300000000000001</v>
      </c>
      <c r="Z1010" s="146">
        <v>0.40300000000000002</v>
      </c>
      <c r="AA1010" s="145">
        <v>5.36</v>
      </c>
      <c r="AB1010" s="145" t="s">
        <v>400</v>
      </c>
      <c r="AC1010" s="145">
        <v>8.7270000000000003</v>
      </c>
      <c r="AD1010" s="145">
        <v>1.71</v>
      </c>
      <c r="AE1010" s="145">
        <v>10</v>
      </c>
      <c r="AF1010" s="145">
        <v>0.6</v>
      </c>
      <c r="AG1010" s="145">
        <v>0.43</v>
      </c>
      <c r="AH1010" s="145">
        <v>0.40899999999999997</v>
      </c>
      <c r="AI1010" s="145">
        <v>333</v>
      </c>
      <c r="AJ1010" s="145">
        <v>31.7</v>
      </c>
      <c r="AK1010" s="145" t="s">
        <v>400</v>
      </c>
      <c r="AL1010" s="145" t="s">
        <v>400</v>
      </c>
      <c r="AM1010" s="145" t="s">
        <v>400</v>
      </c>
    </row>
    <row r="1011" spans="1:39">
      <c r="A1011" s="143" t="s">
        <v>2071</v>
      </c>
      <c r="B1011" s="144">
        <v>100</v>
      </c>
      <c r="C1011" s="145">
        <v>226.65899999999999</v>
      </c>
      <c r="D1011" s="145">
        <v>30.67</v>
      </c>
      <c r="E1011" s="145">
        <v>11.563000000000001</v>
      </c>
      <c r="F1011" s="145">
        <v>3.8159999999999998</v>
      </c>
      <c r="G1011" s="145">
        <v>4.5019999999999998</v>
      </c>
      <c r="H1011" s="145">
        <v>1.827</v>
      </c>
      <c r="I1011" s="145">
        <v>1.544</v>
      </c>
      <c r="J1011" s="145">
        <v>0.26100000000000001</v>
      </c>
      <c r="K1011" s="145">
        <v>58</v>
      </c>
      <c r="L1011" s="145" t="s">
        <v>400</v>
      </c>
      <c r="M1011" s="145" t="s">
        <v>400</v>
      </c>
      <c r="N1011" s="145">
        <v>7</v>
      </c>
      <c r="O1011" s="145">
        <v>20</v>
      </c>
      <c r="P1011" s="145">
        <v>1.0999999999999999E-2</v>
      </c>
      <c r="Q1011" s="145">
        <v>193</v>
      </c>
      <c r="R1011" s="145">
        <v>2.5310000000000001</v>
      </c>
      <c r="S1011" s="145">
        <v>41</v>
      </c>
      <c r="T1011" s="145">
        <v>252</v>
      </c>
      <c r="U1011" s="145">
        <v>7.3999999999999996E-2</v>
      </c>
      <c r="V1011" s="145">
        <v>5.2</v>
      </c>
      <c r="W1011" s="145" t="s">
        <v>400</v>
      </c>
      <c r="X1011" s="145">
        <v>7.0000000000000007E-2</v>
      </c>
      <c r="Y1011" s="145">
        <v>0.16300000000000001</v>
      </c>
      <c r="Z1011" s="146">
        <v>0.40300000000000002</v>
      </c>
      <c r="AA1011" s="145">
        <v>5.36</v>
      </c>
      <c r="AB1011" s="145" t="s">
        <v>400</v>
      </c>
      <c r="AC1011" s="145">
        <v>8.7270000000000003</v>
      </c>
      <c r="AD1011" s="145">
        <v>1.71</v>
      </c>
      <c r="AE1011" s="145">
        <v>10</v>
      </c>
      <c r="AF1011" s="145">
        <v>0.6</v>
      </c>
      <c r="AG1011" s="145">
        <v>0.64</v>
      </c>
      <c r="AH1011" s="145">
        <v>0.42299999999999999</v>
      </c>
      <c r="AI1011" s="145">
        <v>333</v>
      </c>
      <c r="AJ1011" s="145">
        <v>32.875</v>
      </c>
      <c r="AK1011" s="145" t="s">
        <v>400</v>
      </c>
      <c r="AL1011" s="145" t="s">
        <v>400</v>
      </c>
      <c r="AM1011" s="145" t="s">
        <v>400</v>
      </c>
    </row>
    <row r="1012" spans="1:39">
      <c r="A1012" s="143" t="s">
        <v>2072</v>
      </c>
      <c r="B1012" s="144">
        <v>100</v>
      </c>
      <c r="C1012" s="145">
        <v>204</v>
      </c>
      <c r="D1012" s="145">
        <v>30.67</v>
      </c>
      <c r="E1012" s="145">
        <v>9</v>
      </c>
      <c r="F1012" s="145">
        <v>3.415</v>
      </c>
      <c r="G1012" s="145">
        <v>3.9180000000000001</v>
      </c>
      <c r="H1012" s="145">
        <v>0.34699999999999998</v>
      </c>
      <c r="I1012" s="145">
        <v>0.23799999999999999</v>
      </c>
      <c r="J1012" s="145">
        <v>8.6999999999999994E-2</v>
      </c>
      <c r="K1012" s="145">
        <v>58</v>
      </c>
      <c r="L1012" s="145" t="s">
        <v>400</v>
      </c>
      <c r="M1012" s="145" t="s">
        <v>400</v>
      </c>
      <c r="N1012" s="145">
        <v>7</v>
      </c>
      <c r="O1012" s="145">
        <v>20</v>
      </c>
      <c r="P1012" s="145">
        <v>1.0999999999999999E-2</v>
      </c>
      <c r="Q1012" s="145">
        <v>193</v>
      </c>
      <c r="R1012" s="145">
        <v>2.5299999999999998</v>
      </c>
      <c r="S1012" s="145">
        <v>41</v>
      </c>
      <c r="T1012" s="145">
        <v>252</v>
      </c>
      <c r="U1012" s="145">
        <v>7.3999999999999996E-2</v>
      </c>
      <c r="V1012" s="145">
        <v>5.2</v>
      </c>
      <c r="W1012" s="145" t="s">
        <v>400</v>
      </c>
      <c r="X1012" s="145">
        <v>7.0000000000000007E-2</v>
      </c>
      <c r="Y1012" s="145">
        <v>0.16300000000000001</v>
      </c>
      <c r="Z1012" s="146">
        <v>0.40300000000000002</v>
      </c>
      <c r="AA1012" s="145">
        <v>5.36</v>
      </c>
      <c r="AB1012" s="145" t="s">
        <v>400</v>
      </c>
      <c r="AC1012" s="145">
        <v>8.7270000000000003</v>
      </c>
      <c r="AD1012" s="145">
        <v>1.71</v>
      </c>
      <c r="AE1012" s="145">
        <v>10</v>
      </c>
      <c r="AF1012" s="145">
        <v>0.6</v>
      </c>
      <c r="AG1012" s="145">
        <v>0.43</v>
      </c>
      <c r="AH1012" s="145">
        <v>0.40899999999999997</v>
      </c>
      <c r="AI1012" s="145" t="s">
        <v>400</v>
      </c>
      <c r="AJ1012" s="145">
        <v>31.7</v>
      </c>
      <c r="AK1012" s="145" t="s">
        <v>400</v>
      </c>
      <c r="AL1012" s="145" t="s">
        <v>400</v>
      </c>
      <c r="AM1012" s="145" t="s">
        <v>400</v>
      </c>
    </row>
    <row r="1013" spans="1:39">
      <c r="A1013" s="143" t="s">
        <v>2073</v>
      </c>
      <c r="B1013" s="144">
        <v>100</v>
      </c>
      <c r="C1013" s="145">
        <v>204</v>
      </c>
      <c r="D1013" s="145">
        <v>30.67</v>
      </c>
      <c r="E1013" s="145">
        <v>9</v>
      </c>
      <c r="F1013" s="145">
        <v>3.415</v>
      </c>
      <c r="G1013" s="145">
        <v>3.9180000000000001</v>
      </c>
      <c r="H1013" s="145">
        <v>0.34699999999999998</v>
      </c>
      <c r="I1013" s="145">
        <v>0.23799999999999999</v>
      </c>
      <c r="J1013" s="145">
        <v>8.6999999999999994E-2</v>
      </c>
      <c r="K1013" s="145">
        <v>58</v>
      </c>
      <c r="L1013" s="145" t="s">
        <v>400</v>
      </c>
      <c r="M1013" s="145" t="s">
        <v>400</v>
      </c>
      <c r="N1013" s="145">
        <v>7</v>
      </c>
      <c r="O1013" s="145">
        <v>20</v>
      </c>
      <c r="P1013" s="145">
        <v>1.0999999999999999E-2</v>
      </c>
      <c r="Q1013" s="145">
        <v>193</v>
      </c>
      <c r="R1013" s="145">
        <v>2.5299999999999998</v>
      </c>
      <c r="S1013" s="145">
        <v>41</v>
      </c>
      <c r="T1013" s="145">
        <v>252</v>
      </c>
      <c r="U1013" s="145">
        <v>7.3999999999999996E-2</v>
      </c>
      <c r="V1013" s="145">
        <v>5.2</v>
      </c>
      <c r="W1013" s="145" t="s">
        <v>400</v>
      </c>
      <c r="X1013" s="145">
        <v>7.0000000000000007E-2</v>
      </c>
      <c r="Y1013" s="145">
        <v>0.16300000000000001</v>
      </c>
      <c r="Z1013" s="146">
        <v>0.40300000000000002</v>
      </c>
      <c r="AA1013" s="145">
        <v>5.36</v>
      </c>
      <c r="AB1013" s="145" t="s">
        <v>400</v>
      </c>
      <c r="AC1013" s="145">
        <v>8.7270000000000003</v>
      </c>
      <c r="AD1013" s="145">
        <v>1.71</v>
      </c>
      <c r="AE1013" s="145">
        <v>10</v>
      </c>
      <c r="AF1013" s="145">
        <v>0.6</v>
      </c>
      <c r="AG1013" s="145">
        <v>0.43</v>
      </c>
      <c r="AH1013" s="145">
        <v>0.40899999999999997</v>
      </c>
      <c r="AI1013" s="145">
        <v>333</v>
      </c>
      <c r="AJ1013" s="145">
        <v>31.7</v>
      </c>
      <c r="AK1013" s="145" t="s">
        <v>400</v>
      </c>
      <c r="AL1013" s="145" t="s">
        <v>400</v>
      </c>
      <c r="AM1013" s="145" t="s">
        <v>400</v>
      </c>
    </row>
    <row r="1014" spans="1:39">
      <c r="A1014" s="143" t="s">
        <v>2074</v>
      </c>
      <c r="B1014" s="144">
        <v>100</v>
      </c>
      <c r="C1014" s="145">
        <v>204</v>
      </c>
      <c r="D1014" s="145">
        <v>30.67</v>
      </c>
      <c r="E1014" s="145">
        <v>9</v>
      </c>
      <c r="F1014" s="145">
        <v>3.415</v>
      </c>
      <c r="G1014" s="145">
        <v>3.9180000000000001</v>
      </c>
      <c r="H1014" s="145">
        <v>0.34699999999999998</v>
      </c>
      <c r="I1014" s="145">
        <v>0.23799999999999999</v>
      </c>
      <c r="J1014" s="145">
        <v>8.6999999999999994E-2</v>
      </c>
      <c r="K1014" s="145">
        <v>58</v>
      </c>
      <c r="L1014" s="145" t="s">
        <v>400</v>
      </c>
      <c r="M1014" s="145" t="s">
        <v>400</v>
      </c>
      <c r="N1014" s="145">
        <v>7</v>
      </c>
      <c r="O1014" s="145">
        <v>20</v>
      </c>
      <c r="P1014" s="145">
        <v>1.0999999999999999E-2</v>
      </c>
      <c r="Q1014" s="145">
        <v>193</v>
      </c>
      <c r="R1014" s="145">
        <v>2.5299999999999998</v>
      </c>
      <c r="S1014" s="145">
        <v>41</v>
      </c>
      <c r="T1014" s="145">
        <v>252</v>
      </c>
      <c r="U1014" s="145">
        <v>7.3999999999999996E-2</v>
      </c>
      <c r="V1014" s="145">
        <v>5.2</v>
      </c>
      <c r="W1014" s="145" t="s">
        <v>400</v>
      </c>
      <c r="X1014" s="145">
        <v>7.0000000000000007E-2</v>
      </c>
      <c r="Y1014" s="145">
        <v>0.16300000000000001</v>
      </c>
      <c r="Z1014" s="146">
        <v>0.40300000000000002</v>
      </c>
      <c r="AA1014" s="145">
        <v>5.36</v>
      </c>
      <c r="AB1014" s="145" t="s">
        <v>400</v>
      </c>
      <c r="AC1014" s="145">
        <v>8.7270000000000003</v>
      </c>
      <c r="AD1014" s="145">
        <v>1.71</v>
      </c>
      <c r="AE1014" s="145">
        <v>10</v>
      </c>
      <c r="AF1014" s="145">
        <v>0.6</v>
      </c>
      <c r="AG1014" s="145">
        <v>0.43</v>
      </c>
      <c r="AH1014" s="145">
        <v>0.40899999999999997</v>
      </c>
      <c r="AI1014" s="145">
        <v>333</v>
      </c>
      <c r="AJ1014" s="145">
        <v>31.7</v>
      </c>
      <c r="AK1014" s="145" t="s">
        <v>400</v>
      </c>
      <c r="AL1014" s="145" t="s">
        <v>400</v>
      </c>
      <c r="AM1014" s="145" t="s">
        <v>400</v>
      </c>
    </row>
    <row r="1015" spans="1:39">
      <c r="A1015" s="143" t="s">
        <v>2075</v>
      </c>
      <c r="B1015" s="144">
        <v>100</v>
      </c>
      <c r="C1015" s="145">
        <v>204</v>
      </c>
      <c r="D1015" s="145">
        <v>30.67</v>
      </c>
      <c r="E1015" s="145">
        <v>9</v>
      </c>
      <c r="F1015" s="145">
        <v>3.415</v>
      </c>
      <c r="G1015" s="145">
        <v>3.9180000000000001</v>
      </c>
      <c r="H1015" s="145">
        <v>0.34699999999999998</v>
      </c>
      <c r="I1015" s="145">
        <v>0.23799999999999999</v>
      </c>
      <c r="J1015" s="145">
        <v>8.6999999999999994E-2</v>
      </c>
      <c r="K1015" s="145">
        <v>58</v>
      </c>
      <c r="L1015" s="145" t="s">
        <v>400</v>
      </c>
      <c r="M1015" s="145" t="s">
        <v>400</v>
      </c>
      <c r="N1015" s="145">
        <v>7</v>
      </c>
      <c r="O1015" s="145">
        <v>20</v>
      </c>
      <c r="P1015" s="145">
        <v>1.0999999999999999E-2</v>
      </c>
      <c r="Q1015" s="145">
        <v>193</v>
      </c>
      <c r="R1015" s="145">
        <v>2.5299999999999998</v>
      </c>
      <c r="S1015" s="145">
        <v>41</v>
      </c>
      <c r="T1015" s="145">
        <v>252</v>
      </c>
      <c r="U1015" s="145">
        <v>7.3999999999999996E-2</v>
      </c>
      <c r="V1015" s="145">
        <v>5.2</v>
      </c>
      <c r="W1015" s="145" t="s">
        <v>400</v>
      </c>
      <c r="X1015" s="145">
        <v>7.0000000000000007E-2</v>
      </c>
      <c r="Y1015" s="145">
        <v>0.16300000000000001</v>
      </c>
      <c r="Z1015" s="146">
        <v>0.40300000000000002</v>
      </c>
      <c r="AA1015" s="145">
        <v>5.36</v>
      </c>
      <c r="AB1015" s="145" t="s">
        <v>400</v>
      </c>
      <c r="AC1015" s="145">
        <v>8.7270000000000003</v>
      </c>
      <c r="AD1015" s="145">
        <v>1.71</v>
      </c>
      <c r="AE1015" s="145">
        <v>10</v>
      </c>
      <c r="AF1015" s="145">
        <v>0.6</v>
      </c>
      <c r="AG1015" s="145">
        <v>0.43</v>
      </c>
      <c r="AH1015" s="145">
        <v>0.40899999999999997</v>
      </c>
      <c r="AI1015" s="145">
        <v>333</v>
      </c>
      <c r="AJ1015" s="145">
        <v>31.7</v>
      </c>
      <c r="AK1015" s="145" t="s">
        <v>400</v>
      </c>
      <c r="AL1015" s="145" t="s">
        <v>400</v>
      </c>
      <c r="AM1015" s="145" t="s">
        <v>400</v>
      </c>
    </row>
    <row r="1016" spans="1:39">
      <c r="A1016" s="143" t="s">
        <v>2076</v>
      </c>
      <c r="B1016" s="144">
        <v>100</v>
      </c>
      <c r="C1016" s="145">
        <v>226.65899999999999</v>
      </c>
      <c r="D1016" s="145">
        <v>30.67</v>
      </c>
      <c r="E1016" s="145">
        <v>11.563000000000001</v>
      </c>
      <c r="F1016" s="145">
        <v>3.8159999999999998</v>
      </c>
      <c r="G1016" s="145">
        <v>4.5019999999999998</v>
      </c>
      <c r="H1016" s="145">
        <v>1.827</v>
      </c>
      <c r="I1016" s="145">
        <v>1.544</v>
      </c>
      <c r="J1016" s="145">
        <v>0.26100000000000001</v>
      </c>
      <c r="K1016" s="145">
        <v>58</v>
      </c>
      <c r="L1016" s="145" t="s">
        <v>400</v>
      </c>
      <c r="M1016" s="145" t="s">
        <v>400</v>
      </c>
      <c r="N1016" s="145">
        <v>7</v>
      </c>
      <c r="O1016" s="145">
        <v>20</v>
      </c>
      <c r="P1016" s="145">
        <v>1.0999999999999999E-2</v>
      </c>
      <c r="Q1016" s="145">
        <v>193</v>
      </c>
      <c r="R1016" s="145">
        <v>2.5310000000000001</v>
      </c>
      <c r="S1016" s="145">
        <v>41</v>
      </c>
      <c r="T1016" s="145">
        <v>252</v>
      </c>
      <c r="U1016" s="145">
        <v>7.3999999999999996E-2</v>
      </c>
      <c r="V1016" s="145">
        <v>5.2</v>
      </c>
      <c r="W1016" s="145" t="s">
        <v>400</v>
      </c>
      <c r="X1016" s="145">
        <v>7.0000000000000007E-2</v>
      </c>
      <c r="Y1016" s="145">
        <v>0.16300000000000001</v>
      </c>
      <c r="Z1016" s="146">
        <v>0.40300000000000002</v>
      </c>
      <c r="AA1016" s="145">
        <v>5.36</v>
      </c>
      <c r="AB1016" s="145" t="s">
        <v>400</v>
      </c>
      <c r="AC1016" s="145">
        <v>8.7270000000000003</v>
      </c>
      <c r="AD1016" s="145">
        <v>1.71</v>
      </c>
      <c r="AE1016" s="145">
        <v>10</v>
      </c>
      <c r="AF1016" s="145">
        <v>0.6</v>
      </c>
      <c r="AG1016" s="145">
        <v>0.64</v>
      </c>
      <c r="AH1016" s="145">
        <v>0.42299999999999999</v>
      </c>
      <c r="AI1016" s="145">
        <v>333</v>
      </c>
      <c r="AJ1016" s="145">
        <v>32.875</v>
      </c>
      <c r="AK1016" s="145" t="s">
        <v>400</v>
      </c>
      <c r="AL1016" s="145" t="s">
        <v>400</v>
      </c>
      <c r="AM1016" s="145" t="s">
        <v>400</v>
      </c>
    </row>
    <row r="1017" spans="1:39">
      <c r="A1017" s="143" t="s">
        <v>2077</v>
      </c>
      <c r="B1017" s="144">
        <v>100</v>
      </c>
      <c r="C1017" s="145">
        <v>242.83699999999999</v>
      </c>
      <c r="D1017" s="145">
        <v>31.129000000000001</v>
      </c>
      <c r="E1017" s="145">
        <v>11.606999999999999</v>
      </c>
      <c r="F1017" s="145">
        <v>3.823</v>
      </c>
      <c r="G1017" s="145">
        <v>4.5060000000000002</v>
      </c>
      <c r="H1017" s="145">
        <v>1.845</v>
      </c>
      <c r="I1017" s="145">
        <v>1.5609999999999999</v>
      </c>
      <c r="J1017" s="145">
        <v>0.26200000000000001</v>
      </c>
      <c r="K1017" s="145">
        <v>58</v>
      </c>
      <c r="L1017" s="145">
        <v>3.3919999999999999</v>
      </c>
      <c r="M1017" s="145">
        <v>0.13500000000000001</v>
      </c>
      <c r="N1017" s="145">
        <v>7.6669999999999998</v>
      </c>
      <c r="O1017" s="145">
        <v>20.978000000000002</v>
      </c>
      <c r="P1017" s="145">
        <v>4.1000000000000002E-2</v>
      </c>
      <c r="Q1017" s="145">
        <v>197.8</v>
      </c>
      <c r="R1017" s="145">
        <v>2.738</v>
      </c>
      <c r="S1017" s="145">
        <v>41.088999999999999</v>
      </c>
      <c r="T1017" s="145">
        <v>256.75599999999997</v>
      </c>
      <c r="U1017" s="145">
        <v>0.08</v>
      </c>
      <c r="V1017" s="145">
        <v>5.2309999999999999</v>
      </c>
      <c r="W1017" s="145" t="s">
        <v>400</v>
      </c>
      <c r="X1017" s="145">
        <v>0.105</v>
      </c>
      <c r="Y1017" s="145">
        <v>0.185</v>
      </c>
      <c r="Z1017" s="146">
        <v>0.40500000000000003</v>
      </c>
      <c r="AA1017" s="145">
        <v>5.6219999999999999</v>
      </c>
      <c r="AB1017" s="145" t="s">
        <v>400</v>
      </c>
      <c r="AC1017" s="145">
        <v>9.0830000000000002</v>
      </c>
      <c r="AD1017" s="145">
        <v>1.71</v>
      </c>
      <c r="AE1017" s="145">
        <v>19.067</v>
      </c>
      <c r="AF1017" s="145">
        <v>0.6</v>
      </c>
      <c r="AG1017" s="145">
        <v>0.64200000000000002</v>
      </c>
      <c r="AH1017" s="145">
        <v>0.42299999999999999</v>
      </c>
      <c r="AI1017" s="145">
        <v>333</v>
      </c>
      <c r="AJ1017" s="145">
        <v>34.381</v>
      </c>
      <c r="AK1017" s="145" t="s">
        <v>400</v>
      </c>
      <c r="AL1017" s="145">
        <v>1.4E-2</v>
      </c>
      <c r="AM1017" s="145" t="s">
        <v>400</v>
      </c>
    </row>
    <row r="1018" spans="1:39">
      <c r="A1018" s="143" t="s">
        <v>2078</v>
      </c>
      <c r="B1018" s="144">
        <v>100</v>
      </c>
      <c r="C1018" s="145">
        <v>226.65899999999999</v>
      </c>
      <c r="D1018" s="145">
        <v>30.67</v>
      </c>
      <c r="E1018" s="145">
        <v>11.563000000000001</v>
      </c>
      <c r="F1018" s="145">
        <v>3.8159999999999998</v>
      </c>
      <c r="G1018" s="145">
        <v>4.5019999999999998</v>
      </c>
      <c r="H1018" s="145">
        <v>1.827</v>
      </c>
      <c r="I1018" s="145">
        <v>1.544</v>
      </c>
      <c r="J1018" s="145">
        <v>0.26100000000000001</v>
      </c>
      <c r="K1018" s="145">
        <v>58</v>
      </c>
      <c r="L1018" s="145" t="s">
        <v>400</v>
      </c>
      <c r="M1018" s="145" t="s">
        <v>400</v>
      </c>
      <c r="N1018" s="145">
        <v>7</v>
      </c>
      <c r="O1018" s="145">
        <v>20</v>
      </c>
      <c r="P1018" s="145">
        <v>1.0999999999999999E-2</v>
      </c>
      <c r="Q1018" s="145">
        <v>193</v>
      </c>
      <c r="R1018" s="145">
        <v>2.5310000000000001</v>
      </c>
      <c r="S1018" s="145">
        <v>41</v>
      </c>
      <c r="T1018" s="145">
        <v>252</v>
      </c>
      <c r="U1018" s="145">
        <v>7.3999999999999996E-2</v>
      </c>
      <c r="V1018" s="145">
        <v>5.2</v>
      </c>
      <c r="W1018" s="145" t="s">
        <v>400</v>
      </c>
      <c r="X1018" s="145">
        <v>7.0000000000000007E-2</v>
      </c>
      <c r="Y1018" s="145">
        <v>0.16300000000000001</v>
      </c>
      <c r="Z1018" s="146">
        <v>0.40300000000000002</v>
      </c>
      <c r="AA1018" s="145">
        <v>5.36</v>
      </c>
      <c r="AB1018" s="145" t="s">
        <v>400</v>
      </c>
      <c r="AC1018" s="145">
        <v>8.7270000000000003</v>
      </c>
      <c r="AD1018" s="145">
        <v>1.71</v>
      </c>
      <c r="AE1018" s="145">
        <v>10</v>
      </c>
      <c r="AF1018" s="145">
        <v>0.6</v>
      </c>
      <c r="AG1018" s="145">
        <v>0.64</v>
      </c>
      <c r="AH1018" s="145">
        <v>0.42299999999999999</v>
      </c>
      <c r="AI1018" s="145">
        <v>333</v>
      </c>
      <c r="AJ1018" s="145">
        <v>32.875</v>
      </c>
      <c r="AK1018" s="145" t="s">
        <v>400</v>
      </c>
      <c r="AL1018" s="145" t="s">
        <v>400</v>
      </c>
      <c r="AM1018" s="145" t="s">
        <v>400</v>
      </c>
    </row>
    <row r="1019" spans="1:39">
      <c r="A1019" s="143" t="s">
        <v>2079</v>
      </c>
      <c r="B1019" s="144">
        <v>100</v>
      </c>
      <c r="C1019" s="145">
        <v>168</v>
      </c>
      <c r="D1019" s="145">
        <v>24.8</v>
      </c>
      <c r="E1019" s="145">
        <v>7.2359999999999998</v>
      </c>
      <c r="F1019" s="145">
        <v>2.7370000000000001</v>
      </c>
      <c r="G1019" s="145">
        <v>3.14</v>
      </c>
      <c r="H1019" s="145">
        <v>0.29199999999999998</v>
      </c>
      <c r="I1019" s="145">
        <v>0.20399999999999999</v>
      </c>
      <c r="J1019" s="145">
        <v>7.0000000000000007E-2</v>
      </c>
      <c r="K1019" s="145">
        <v>46.4</v>
      </c>
      <c r="L1019" s="145">
        <v>1.0760000000000001</v>
      </c>
      <c r="M1019" s="145">
        <v>0.3</v>
      </c>
      <c r="N1019" s="145">
        <v>8.1999999999999993</v>
      </c>
      <c r="O1019" s="145">
        <v>19.2</v>
      </c>
      <c r="P1019" s="145">
        <v>0.03</v>
      </c>
      <c r="Q1019" s="145">
        <v>159.6</v>
      </c>
      <c r="R1019" s="145">
        <v>2.2280000000000002</v>
      </c>
      <c r="S1019" s="145">
        <v>137.6</v>
      </c>
      <c r="T1019" s="145">
        <v>267.8</v>
      </c>
      <c r="U1019" s="145">
        <v>8.3000000000000004E-2</v>
      </c>
      <c r="V1019" s="145">
        <v>4.2</v>
      </c>
      <c r="W1019" s="145" t="s">
        <v>400</v>
      </c>
      <c r="X1019" s="145">
        <v>6.0999999999999999E-2</v>
      </c>
      <c r="Y1019" s="145">
        <v>0.14399999999999999</v>
      </c>
      <c r="Z1019" s="146">
        <v>0.34200000000000003</v>
      </c>
      <c r="AA1019" s="145">
        <v>4.4829999999999997</v>
      </c>
      <c r="AB1019" s="145">
        <v>1.4</v>
      </c>
      <c r="AC1019" s="145">
        <v>7.21</v>
      </c>
      <c r="AD1019" s="145">
        <v>1.3680000000000001</v>
      </c>
      <c r="AE1019" s="145">
        <v>10.199999999999999</v>
      </c>
      <c r="AF1019" s="145">
        <v>0.48</v>
      </c>
      <c r="AG1019" s="145">
        <v>0.628</v>
      </c>
      <c r="AH1019" s="145">
        <v>0.32700000000000001</v>
      </c>
      <c r="AI1019" s="145">
        <v>333</v>
      </c>
      <c r="AJ1019" s="145">
        <v>25.4</v>
      </c>
      <c r="AK1019" s="145">
        <v>3.4830000000000001</v>
      </c>
      <c r="AL1019" s="145">
        <v>0.85</v>
      </c>
      <c r="AM1019" s="145" t="s">
        <v>400</v>
      </c>
    </row>
    <row r="1020" spans="1:39">
      <c r="A1020" s="143" t="s">
        <v>2080</v>
      </c>
      <c r="B1020" s="144">
        <v>100</v>
      </c>
      <c r="C1020" s="145">
        <v>223.137</v>
      </c>
      <c r="D1020" s="145">
        <v>30.693000000000001</v>
      </c>
      <c r="E1020" s="145">
        <v>11.164999999999999</v>
      </c>
      <c r="F1020" s="145">
        <v>4.7859999999999996</v>
      </c>
      <c r="G1020" s="145">
        <v>4.4790000000000001</v>
      </c>
      <c r="H1020" s="145">
        <v>0.42799999999999999</v>
      </c>
      <c r="I1020" s="145">
        <v>0.311</v>
      </c>
      <c r="J1020" s="145">
        <v>9.5000000000000001E-2</v>
      </c>
      <c r="K1020" s="145">
        <v>63.738</v>
      </c>
      <c r="L1020" s="145">
        <v>2E-3</v>
      </c>
      <c r="M1020" s="145" t="s">
        <v>400</v>
      </c>
      <c r="N1020" s="145">
        <v>7.641</v>
      </c>
      <c r="O1020" s="145">
        <v>20.053000000000001</v>
      </c>
      <c r="P1020" s="145">
        <v>1.0999999999999999E-2</v>
      </c>
      <c r="Q1020" s="145">
        <v>193.64099999999999</v>
      </c>
      <c r="R1020" s="145">
        <v>2.5310000000000001</v>
      </c>
      <c r="S1020" s="145">
        <v>56.374000000000002</v>
      </c>
      <c r="T1020" s="145">
        <v>252.64099999999999</v>
      </c>
      <c r="U1020" s="145">
        <v>7.3999999999999996E-2</v>
      </c>
      <c r="V1020" s="145">
        <v>5.202</v>
      </c>
      <c r="W1020" s="145">
        <v>17.908999999999999</v>
      </c>
      <c r="X1020" s="145">
        <v>7.0000000000000007E-2</v>
      </c>
      <c r="Y1020" s="145">
        <v>0.16400000000000001</v>
      </c>
      <c r="Z1020" s="146">
        <v>0.40300000000000002</v>
      </c>
      <c r="AA1020" s="145">
        <v>5.3609999999999998</v>
      </c>
      <c r="AB1020" s="145" t="s">
        <v>400</v>
      </c>
      <c r="AC1020" s="145">
        <v>8.7330000000000005</v>
      </c>
      <c r="AD1020" s="145">
        <v>1.7150000000000001</v>
      </c>
      <c r="AE1020" s="145">
        <v>10.08</v>
      </c>
      <c r="AF1020" s="145">
        <v>0.63700000000000001</v>
      </c>
      <c r="AG1020" s="145">
        <v>0.49199999999999999</v>
      </c>
      <c r="AH1020" s="145">
        <v>0.496</v>
      </c>
      <c r="AI1020" s="145">
        <v>333</v>
      </c>
      <c r="AJ1020" s="145">
        <v>31.727</v>
      </c>
      <c r="AK1020" s="145">
        <v>18.260999999999999</v>
      </c>
      <c r="AL1020" s="145">
        <v>3.0000000000000001E-3</v>
      </c>
      <c r="AM1020" s="145" t="s">
        <v>400</v>
      </c>
    </row>
    <row r="1021" spans="1:39">
      <c r="A1021" s="143" t="s">
        <v>2081</v>
      </c>
      <c r="B1021" s="144">
        <v>100</v>
      </c>
      <c r="C1021" s="145">
        <v>226.65899999999999</v>
      </c>
      <c r="D1021" s="145">
        <v>30.67</v>
      </c>
      <c r="E1021" s="145">
        <v>11.563000000000001</v>
      </c>
      <c r="F1021" s="145">
        <v>3.8159999999999998</v>
      </c>
      <c r="G1021" s="145">
        <v>4.5019999999999998</v>
      </c>
      <c r="H1021" s="145">
        <v>1.827</v>
      </c>
      <c r="I1021" s="145">
        <v>1.544</v>
      </c>
      <c r="J1021" s="145">
        <v>0.26100000000000001</v>
      </c>
      <c r="K1021" s="145">
        <v>58</v>
      </c>
      <c r="L1021" s="145" t="s">
        <v>400</v>
      </c>
      <c r="M1021" s="145" t="s">
        <v>400</v>
      </c>
      <c r="N1021" s="145">
        <v>7</v>
      </c>
      <c r="O1021" s="145">
        <v>20</v>
      </c>
      <c r="P1021" s="145">
        <v>1.0999999999999999E-2</v>
      </c>
      <c r="Q1021" s="145">
        <v>193</v>
      </c>
      <c r="R1021" s="145">
        <v>2.5310000000000001</v>
      </c>
      <c r="S1021" s="145">
        <v>41</v>
      </c>
      <c r="T1021" s="145">
        <v>252</v>
      </c>
      <c r="U1021" s="145">
        <v>7.3999999999999996E-2</v>
      </c>
      <c r="V1021" s="145">
        <v>5.2</v>
      </c>
      <c r="W1021" s="145" t="s">
        <v>400</v>
      </c>
      <c r="X1021" s="145">
        <v>7.0000000000000007E-2</v>
      </c>
      <c r="Y1021" s="145">
        <v>0.16300000000000001</v>
      </c>
      <c r="Z1021" s="146">
        <v>0.40300000000000002</v>
      </c>
      <c r="AA1021" s="145">
        <v>5.36</v>
      </c>
      <c r="AB1021" s="145" t="s">
        <v>400</v>
      </c>
      <c r="AC1021" s="145">
        <v>8.7270000000000003</v>
      </c>
      <c r="AD1021" s="145">
        <v>1.71</v>
      </c>
      <c r="AE1021" s="145">
        <v>10</v>
      </c>
      <c r="AF1021" s="145">
        <v>0.6</v>
      </c>
      <c r="AG1021" s="145">
        <v>0.64</v>
      </c>
      <c r="AH1021" s="145">
        <v>0.42299999999999999</v>
      </c>
      <c r="AI1021" s="145">
        <v>333</v>
      </c>
      <c r="AJ1021" s="145">
        <v>32.875</v>
      </c>
      <c r="AK1021" s="145" t="s">
        <v>400</v>
      </c>
      <c r="AL1021" s="145" t="s">
        <v>400</v>
      </c>
      <c r="AM1021" s="145" t="s">
        <v>400</v>
      </c>
    </row>
    <row r="1022" spans="1:39">
      <c r="A1022" s="143" t="s">
        <v>2082</v>
      </c>
      <c r="B1022" s="144">
        <v>100</v>
      </c>
      <c r="C1022" s="145">
        <v>204</v>
      </c>
      <c r="D1022" s="145">
        <v>30.67</v>
      </c>
      <c r="E1022" s="145">
        <v>9</v>
      </c>
      <c r="F1022" s="145">
        <v>3.415</v>
      </c>
      <c r="G1022" s="145">
        <v>3.9180000000000001</v>
      </c>
      <c r="H1022" s="145">
        <v>0.34699999999999998</v>
      </c>
      <c r="I1022" s="145">
        <v>0.23799999999999999</v>
      </c>
      <c r="J1022" s="145">
        <v>8.6999999999999994E-2</v>
      </c>
      <c r="K1022" s="145">
        <v>58</v>
      </c>
      <c r="L1022" s="145" t="s">
        <v>400</v>
      </c>
      <c r="M1022" s="145" t="s">
        <v>400</v>
      </c>
      <c r="N1022" s="145">
        <v>7</v>
      </c>
      <c r="O1022" s="145">
        <v>20</v>
      </c>
      <c r="P1022" s="145">
        <v>1.0999999999999999E-2</v>
      </c>
      <c r="Q1022" s="145">
        <v>193</v>
      </c>
      <c r="R1022" s="145">
        <v>2.5299999999999998</v>
      </c>
      <c r="S1022" s="145">
        <v>41</v>
      </c>
      <c r="T1022" s="145">
        <v>252</v>
      </c>
      <c r="U1022" s="145">
        <v>7.3999999999999996E-2</v>
      </c>
      <c r="V1022" s="145">
        <v>5.2</v>
      </c>
      <c r="W1022" s="145" t="s">
        <v>400</v>
      </c>
      <c r="X1022" s="145">
        <v>7.0000000000000007E-2</v>
      </c>
      <c r="Y1022" s="145">
        <v>0.16300000000000001</v>
      </c>
      <c r="Z1022" s="146">
        <v>0.40300000000000002</v>
      </c>
      <c r="AA1022" s="145">
        <v>5.36</v>
      </c>
      <c r="AB1022" s="145" t="s">
        <v>400</v>
      </c>
      <c r="AC1022" s="145">
        <v>8.7270000000000003</v>
      </c>
      <c r="AD1022" s="145">
        <v>1.71</v>
      </c>
      <c r="AE1022" s="145">
        <v>10</v>
      </c>
      <c r="AF1022" s="145">
        <v>0.6</v>
      </c>
      <c r="AG1022" s="145">
        <v>0.43</v>
      </c>
      <c r="AH1022" s="145">
        <v>0.40899999999999997</v>
      </c>
      <c r="AI1022" s="145">
        <v>333</v>
      </c>
      <c r="AJ1022" s="145">
        <v>31.7</v>
      </c>
      <c r="AK1022" s="145" t="s">
        <v>400</v>
      </c>
      <c r="AL1022" s="145" t="s">
        <v>400</v>
      </c>
      <c r="AM1022" s="145" t="s">
        <v>400</v>
      </c>
    </row>
    <row r="1023" spans="1:39">
      <c r="A1023" s="143" t="s">
        <v>2083</v>
      </c>
      <c r="B1023" s="144">
        <v>100</v>
      </c>
      <c r="C1023" s="145">
        <v>191</v>
      </c>
      <c r="D1023" s="145">
        <v>29.08</v>
      </c>
      <c r="E1023" s="145">
        <v>5.26</v>
      </c>
      <c r="F1023" s="145">
        <v>1.696</v>
      </c>
      <c r="G1023" s="145">
        <v>0.64700000000000002</v>
      </c>
      <c r="H1023" s="145">
        <v>0.63900000000000001</v>
      </c>
      <c r="I1023" s="145" t="s">
        <v>400</v>
      </c>
      <c r="J1023" s="145" t="s">
        <v>400</v>
      </c>
      <c r="K1023" s="145">
        <v>396</v>
      </c>
      <c r="L1023" s="145">
        <v>5.13</v>
      </c>
      <c r="M1023" s="145" t="s">
        <v>400</v>
      </c>
      <c r="N1023" s="145">
        <v>6</v>
      </c>
      <c r="O1023" s="145">
        <v>21</v>
      </c>
      <c r="P1023" s="145">
        <v>0.35599999999999998</v>
      </c>
      <c r="Q1023" s="145">
        <v>497</v>
      </c>
      <c r="R1023" s="145">
        <v>6.54</v>
      </c>
      <c r="S1023" s="145">
        <v>79</v>
      </c>
      <c r="T1023" s="145">
        <v>352</v>
      </c>
      <c r="U1023" s="145">
        <v>14.282999999999999</v>
      </c>
      <c r="V1023" s="145">
        <v>5.3</v>
      </c>
      <c r="W1023" s="145">
        <v>9428</v>
      </c>
      <c r="X1023" s="145">
        <v>0.19400000000000001</v>
      </c>
      <c r="Y1023" s="145">
        <v>3.4249999999999998</v>
      </c>
      <c r="Z1023" s="146">
        <v>1.0169999999999999</v>
      </c>
      <c r="AA1023" s="145">
        <v>17.524999999999999</v>
      </c>
      <c r="AB1023" s="145">
        <v>1.9</v>
      </c>
      <c r="AC1023" s="145">
        <v>23.658000000000001</v>
      </c>
      <c r="AD1023" s="145">
        <v>70.58</v>
      </c>
      <c r="AE1023" s="145">
        <v>253</v>
      </c>
      <c r="AF1023" s="145">
        <v>0.4</v>
      </c>
      <c r="AG1023" s="145">
        <v>0.51</v>
      </c>
      <c r="AH1023" s="145">
        <v>0.21</v>
      </c>
      <c r="AI1023" s="145">
        <v>333</v>
      </c>
      <c r="AJ1023" s="145">
        <v>36.1</v>
      </c>
      <c r="AK1023" s="145">
        <v>9442.4169999999995</v>
      </c>
      <c r="AL1023" s="145" t="s">
        <v>400</v>
      </c>
      <c r="AM1023" s="145" t="s">
        <v>400</v>
      </c>
    </row>
    <row r="1024" spans="1:39">
      <c r="A1024" s="143" t="s">
        <v>2084</v>
      </c>
      <c r="B1024" s="144">
        <v>100</v>
      </c>
      <c r="C1024" s="145">
        <v>214</v>
      </c>
      <c r="D1024" s="145">
        <v>28.81</v>
      </c>
      <c r="E1024" s="145">
        <v>10.130000000000001</v>
      </c>
      <c r="F1024" s="145">
        <v>3.54</v>
      </c>
      <c r="G1024" s="145">
        <v>4.49</v>
      </c>
      <c r="H1024" s="145">
        <v>0.85</v>
      </c>
      <c r="I1024" s="145">
        <v>0.73</v>
      </c>
      <c r="J1024" s="145">
        <v>0.02</v>
      </c>
      <c r="K1024" s="145">
        <v>83</v>
      </c>
      <c r="L1024" s="145" t="s">
        <v>400</v>
      </c>
      <c r="M1024" s="145" t="s">
        <v>400</v>
      </c>
      <c r="N1024" s="145">
        <v>6</v>
      </c>
      <c r="O1024" s="145">
        <v>24</v>
      </c>
      <c r="P1024" s="145">
        <v>1.0999999999999999E-2</v>
      </c>
      <c r="Q1024" s="145">
        <v>222</v>
      </c>
      <c r="R1024" s="145">
        <v>1</v>
      </c>
      <c r="S1024" s="145">
        <v>50</v>
      </c>
      <c r="T1024" s="145">
        <v>363</v>
      </c>
      <c r="U1024" s="145">
        <v>1.2E-2</v>
      </c>
      <c r="V1024" s="145">
        <v>2.83</v>
      </c>
      <c r="W1024" s="145">
        <v>2</v>
      </c>
      <c r="X1024" s="145">
        <v>0.63900000000000001</v>
      </c>
      <c r="Y1024" s="145">
        <v>0.312</v>
      </c>
      <c r="Z1024" s="146">
        <v>0.4</v>
      </c>
      <c r="AA1024" s="145">
        <v>5.3550000000000004</v>
      </c>
      <c r="AB1024" s="145">
        <v>0.4</v>
      </c>
      <c r="AC1024" s="145">
        <v>11.455</v>
      </c>
      <c r="AD1024" s="145">
        <v>0.55000000000000004</v>
      </c>
      <c r="AE1024" s="145">
        <v>9</v>
      </c>
      <c r="AF1024" s="145">
        <v>0.8</v>
      </c>
      <c r="AG1024" s="145">
        <v>0.32</v>
      </c>
      <c r="AH1024" s="145">
        <v>0.03</v>
      </c>
      <c r="AI1024" s="145">
        <v>333</v>
      </c>
      <c r="AJ1024" s="145">
        <v>43.2</v>
      </c>
      <c r="AK1024" s="145">
        <v>2</v>
      </c>
      <c r="AL1024" s="145" t="s">
        <v>400</v>
      </c>
      <c r="AM1024" s="145" t="s">
        <v>400</v>
      </c>
    </row>
    <row r="1025" spans="1:39">
      <c r="A1025" s="143" t="s">
        <v>2085</v>
      </c>
      <c r="B1025" s="144">
        <v>100</v>
      </c>
      <c r="C1025" s="145">
        <v>214</v>
      </c>
      <c r="D1025" s="145">
        <v>28.81</v>
      </c>
      <c r="E1025" s="145">
        <v>10.130000000000001</v>
      </c>
      <c r="F1025" s="145">
        <v>3.54</v>
      </c>
      <c r="G1025" s="145">
        <v>4.49</v>
      </c>
      <c r="H1025" s="145">
        <v>0.85</v>
      </c>
      <c r="I1025" s="145">
        <v>0.73</v>
      </c>
      <c r="J1025" s="145">
        <v>0.02</v>
      </c>
      <c r="K1025" s="145">
        <v>83</v>
      </c>
      <c r="L1025" s="145" t="s">
        <v>400</v>
      </c>
      <c r="M1025" s="145" t="s">
        <v>400</v>
      </c>
      <c r="N1025" s="145">
        <v>6</v>
      </c>
      <c r="O1025" s="145">
        <v>24</v>
      </c>
      <c r="P1025" s="145">
        <v>1.0999999999999999E-2</v>
      </c>
      <c r="Q1025" s="145">
        <v>222</v>
      </c>
      <c r="R1025" s="145">
        <v>1</v>
      </c>
      <c r="S1025" s="145">
        <v>50</v>
      </c>
      <c r="T1025" s="145">
        <v>363</v>
      </c>
      <c r="U1025" s="145">
        <v>1.2E-2</v>
      </c>
      <c r="V1025" s="145">
        <v>2.83</v>
      </c>
      <c r="W1025" s="145">
        <v>2</v>
      </c>
      <c r="X1025" s="145">
        <v>0.63900000000000001</v>
      </c>
      <c r="Y1025" s="145">
        <v>0.312</v>
      </c>
      <c r="Z1025" s="146">
        <v>0.4</v>
      </c>
      <c r="AA1025" s="145">
        <v>5.3550000000000004</v>
      </c>
      <c r="AB1025" s="145">
        <v>0.4</v>
      </c>
      <c r="AC1025" s="145">
        <v>11.455</v>
      </c>
      <c r="AD1025" s="145">
        <v>0.55000000000000004</v>
      </c>
      <c r="AE1025" s="145">
        <v>9</v>
      </c>
      <c r="AF1025" s="145">
        <v>0.8</v>
      </c>
      <c r="AG1025" s="145">
        <v>0.32</v>
      </c>
      <c r="AH1025" s="145">
        <v>0.03</v>
      </c>
      <c r="AI1025" s="145">
        <v>333</v>
      </c>
      <c r="AJ1025" s="145">
        <v>43.2</v>
      </c>
      <c r="AK1025" s="145">
        <v>2</v>
      </c>
      <c r="AL1025" s="145" t="s">
        <v>400</v>
      </c>
      <c r="AM1025" s="145" t="s">
        <v>400</v>
      </c>
    </row>
    <row r="1026" spans="1:39">
      <c r="A1026" s="143" t="s">
        <v>2086</v>
      </c>
      <c r="B1026" s="144">
        <v>100</v>
      </c>
      <c r="C1026" s="145">
        <v>236.65899999999999</v>
      </c>
      <c r="D1026" s="145">
        <v>28.81</v>
      </c>
      <c r="E1026" s="145">
        <v>12.693</v>
      </c>
      <c r="F1026" s="145">
        <v>3.9409999999999998</v>
      </c>
      <c r="G1026" s="145">
        <v>5.0739999999999998</v>
      </c>
      <c r="H1026" s="145">
        <v>2.33</v>
      </c>
      <c r="I1026" s="145">
        <v>2.036</v>
      </c>
      <c r="J1026" s="145">
        <v>0.19400000000000001</v>
      </c>
      <c r="K1026" s="145">
        <v>83</v>
      </c>
      <c r="L1026" s="145" t="s">
        <v>400</v>
      </c>
      <c r="M1026" s="145" t="s">
        <v>400</v>
      </c>
      <c r="N1026" s="145">
        <v>6</v>
      </c>
      <c r="O1026" s="145">
        <v>24</v>
      </c>
      <c r="P1026" s="145">
        <v>1.0999999999999999E-2</v>
      </c>
      <c r="Q1026" s="145">
        <v>222</v>
      </c>
      <c r="R1026" s="145">
        <v>1.0009999999999999</v>
      </c>
      <c r="S1026" s="145">
        <v>50</v>
      </c>
      <c r="T1026" s="145">
        <v>363</v>
      </c>
      <c r="U1026" s="145">
        <v>1.2E-2</v>
      </c>
      <c r="V1026" s="145">
        <v>2.83</v>
      </c>
      <c r="W1026" s="145">
        <v>2</v>
      </c>
      <c r="X1026" s="145">
        <v>0.63900000000000001</v>
      </c>
      <c r="Y1026" s="145">
        <v>0.312</v>
      </c>
      <c r="Z1026" s="146">
        <v>0.4</v>
      </c>
      <c r="AA1026" s="145">
        <v>5.3550000000000004</v>
      </c>
      <c r="AB1026" s="145">
        <v>0.4</v>
      </c>
      <c r="AC1026" s="145">
        <v>11.455</v>
      </c>
      <c r="AD1026" s="145">
        <v>0.55000000000000004</v>
      </c>
      <c r="AE1026" s="145">
        <v>9</v>
      </c>
      <c r="AF1026" s="145">
        <v>0.8</v>
      </c>
      <c r="AG1026" s="145">
        <v>0.53</v>
      </c>
      <c r="AH1026" s="145">
        <v>4.3999999999999997E-2</v>
      </c>
      <c r="AI1026" s="145">
        <v>333</v>
      </c>
      <c r="AJ1026" s="145">
        <v>44.375</v>
      </c>
      <c r="AK1026" s="145">
        <v>2</v>
      </c>
      <c r="AL1026" s="145" t="s">
        <v>400</v>
      </c>
      <c r="AM1026" s="145" t="s">
        <v>400</v>
      </c>
    </row>
    <row r="1027" spans="1:39">
      <c r="A1027" s="143" t="s">
        <v>2087</v>
      </c>
      <c r="B1027" s="144">
        <v>100</v>
      </c>
      <c r="C1027" s="145">
        <v>242</v>
      </c>
      <c r="D1027" s="145">
        <v>24.22</v>
      </c>
      <c r="E1027" s="145">
        <v>15.42</v>
      </c>
      <c r="F1027" s="145">
        <v>5.7380000000000004</v>
      </c>
      <c r="G1027" s="145">
        <v>7.0019999999999998</v>
      </c>
      <c r="H1027" s="145">
        <v>0.61299999999999999</v>
      </c>
      <c r="I1027" s="145">
        <v>0.41599999999999998</v>
      </c>
      <c r="J1027" s="145">
        <v>0.16400000000000001</v>
      </c>
      <c r="K1027" s="145">
        <v>75</v>
      </c>
      <c r="L1027" s="145" t="s">
        <v>400</v>
      </c>
      <c r="M1027" s="145" t="s">
        <v>400</v>
      </c>
      <c r="N1027" s="145">
        <v>8</v>
      </c>
      <c r="O1027" s="145">
        <v>20</v>
      </c>
      <c r="P1027" s="145">
        <v>1E-3</v>
      </c>
      <c r="Q1027" s="145">
        <v>196</v>
      </c>
      <c r="R1027" s="145">
        <v>2.81</v>
      </c>
      <c r="S1027" s="145">
        <v>67</v>
      </c>
      <c r="T1027" s="145">
        <v>337</v>
      </c>
      <c r="U1027" s="145">
        <v>9.2999999999999999E-2</v>
      </c>
      <c r="V1027" s="145">
        <v>5.71</v>
      </c>
      <c r="W1027" s="145" t="s">
        <v>400</v>
      </c>
      <c r="X1027" s="145">
        <v>8.1000000000000003E-2</v>
      </c>
      <c r="Y1027" s="145">
        <v>0.22600000000000001</v>
      </c>
      <c r="Z1027" s="146">
        <v>0.255</v>
      </c>
      <c r="AA1027" s="145">
        <v>3.2069999999999999</v>
      </c>
      <c r="AB1027" s="145" t="s">
        <v>400</v>
      </c>
      <c r="AC1027" s="145">
        <v>7.5739999999999998</v>
      </c>
      <c r="AD1027" s="145">
        <v>2.83</v>
      </c>
      <c r="AE1027" s="145">
        <v>9</v>
      </c>
      <c r="AF1027" s="145">
        <v>0.7</v>
      </c>
      <c r="AG1027" s="145">
        <v>0.14000000000000001</v>
      </c>
      <c r="AH1027" s="145">
        <v>0.68</v>
      </c>
      <c r="AI1027" s="145">
        <v>333</v>
      </c>
      <c r="AJ1027" s="145">
        <v>28.3</v>
      </c>
      <c r="AK1027" s="145" t="s">
        <v>400</v>
      </c>
      <c r="AL1027" s="145" t="s">
        <v>400</v>
      </c>
      <c r="AM1027" s="145" t="s">
        <v>400</v>
      </c>
    </row>
    <row r="1028" spans="1:39">
      <c r="A1028" s="143" t="s">
        <v>2088</v>
      </c>
      <c r="B1028" s="144">
        <v>100</v>
      </c>
      <c r="C1028" s="145">
        <v>242</v>
      </c>
      <c r="D1028" s="145">
        <v>24.22</v>
      </c>
      <c r="E1028" s="145">
        <v>15.42</v>
      </c>
      <c r="F1028" s="145">
        <v>5.7380000000000004</v>
      </c>
      <c r="G1028" s="145">
        <v>7.0019999999999998</v>
      </c>
      <c r="H1028" s="145">
        <v>0.61299999999999999</v>
      </c>
      <c r="I1028" s="145">
        <v>0.41599999999999998</v>
      </c>
      <c r="J1028" s="145">
        <v>0.16400000000000001</v>
      </c>
      <c r="K1028" s="145">
        <v>75</v>
      </c>
      <c r="L1028" s="145" t="s">
        <v>400</v>
      </c>
      <c r="M1028" s="145" t="s">
        <v>400</v>
      </c>
      <c r="N1028" s="145">
        <v>8</v>
      </c>
      <c r="O1028" s="145">
        <v>20</v>
      </c>
      <c r="P1028" s="145">
        <v>1E-3</v>
      </c>
      <c r="Q1028" s="145">
        <v>196</v>
      </c>
      <c r="R1028" s="145">
        <v>2.81</v>
      </c>
      <c r="S1028" s="145">
        <v>67</v>
      </c>
      <c r="T1028" s="145">
        <v>337</v>
      </c>
      <c r="U1028" s="145">
        <v>9.2999999999999999E-2</v>
      </c>
      <c r="V1028" s="145">
        <v>5.71</v>
      </c>
      <c r="W1028" s="145" t="s">
        <v>400</v>
      </c>
      <c r="X1028" s="145">
        <v>8.1000000000000003E-2</v>
      </c>
      <c r="Y1028" s="145">
        <v>0.22600000000000001</v>
      </c>
      <c r="Z1028" s="146">
        <v>0.255</v>
      </c>
      <c r="AA1028" s="145">
        <v>3.2069999999999999</v>
      </c>
      <c r="AB1028" s="145" t="s">
        <v>400</v>
      </c>
      <c r="AC1028" s="145">
        <v>7.5739999999999998</v>
      </c>
      <c r="AD1028" s="145">
        <v>2.83</v>
      </c>
      <c r="AE1028" s="145">
        <v>9</v>
      </c>
      <c r="AF1028" s="145">
        <v>0.7</v>
      </c>
      <c r="AG1028" s="145">
        <v>0.14000000000000001</v>
      </c>
      <c r="AH1028" s="145">
        <v>0.68</v>
      </c>
      <c r="AI1028" s="145">
        <v>333</v>
      </c>
      <c r="AJ1028" s="145">
        <v>28.3</v>
      </c>
      <c r="AK1028" s="145" t="s">
        <v>400</v>
      </c>
      <c r="AL1028" s="145" t="s">
        <v>400</v>
      </c>
      <c r="AM1028" s="145" t="s">
        <v>400</v>
      </c>
    </row>
    <row r="1029" spans="1:39">
      <c r="A1029" s="143" t="s">
        <v>2089</v>
      </c>
      <c r="B1029" s="144">
        <v>100</v>
      </c>
      <c r="C1029" s="145">
        <v>242</v>
      </c>
      <c r="D1029" s="145">
        <v>24.22</v>
      </c>
      <c r="E1029" s="145">
        <v>15.42</v>
      </c>
      <c r="F1029" s="145">
        <v>5.7380000000000004</v>
      </c>
      <c r="G1029" s="145">
        <v>7.0019999999999998</v>
      </c>
      <c r="H1029" s="145">
        <v>0.61299999999999999</v>
      </c>
      <c r="I1029" s="145">
        <v>0.41599999999999998</v>
      </c>
      <c r="J1029" s="145">
        <v>0.16400000000000001</v>
      </c>
      <c r="K1029" s="145">
        <v>75</v>
      </c>
      <c r="L1029" s="145" t="s">
        <v>400</v>
      </c>
      <c r="M1029" s="145" t="s">
        <v>400</v>
      </c>
      <c r="N1029" s="145">
        <v>8</v>
      </c>
      <c r="O1029" s="145">
        <v>20</v>
      </c>
      <c r="P1029" s="145">
        <v>1E-3</v>
      </c>
      <c r="Q1029" s="145">
        <v>196</v>
      </c>
      <c r="R1029" s="145">
        <v>2.81</v>
      </c>
      <c r="S1029" s="145">
        <v>67</v>
      </c>
      <c r="T1029" s="145">
        <v>337</v>
      </c>
      <c r="U1029" s="145">
        <v>9.2999999999999999E-2</v>
      </c>
      <c r="V1029" s="145">
        <v>5.71</v>
      </c>
      <c r="W1029" s="145" t="s">
        <v>400</v>
      </c>
      <c r="X1029" s="145">
        <v>8.1000000000000003E-2</v>
      </c>
      <c r="Y1029" s="145">
        <v>0.22600000000000001</v>
      </c>
      <c r="Z1029" s="146">
        <v>0.255</v>
      </c>
      <c r="AA1029" s="145">
        <v>3.2069999999999999</v>
      </c>
      <c r="AB1029" s="145" t="s">
        <v>400</v>
      </c>
      <c r="AC1029" s="145">
        <v>7.5739999999999998</v>
      </c>
      <c r="AD1029" s="145">
        <v>2.83</v>
      </c>
      <c r="AE1029" s="145">
        <v>9</v>
      </c>
      <c r="AF1029" s="145">
        <v>0.7</v>
      </c>
      <c r="AG1029" s="145">
        <v>0.14000000000000001</v>
      </c>
      <c r="AH1029" s="145">
        <v>0.68</v>
      </c>
      <c r="AI1029" s="145">
        <v>333</v>
      </c>
      <c r="AJ1029" s="145">
        <v>28.3</v>
      </c>
      <c r="AK1029" s="145" t="s">
        <v>400</v>
      </c>
      <c r="AL1029" s="145" t="s">
        <v>400</v>
      </c>
      <c r="AM1029" s="145" t="s">
        <v>400</v>
      </c>
    </row>
    <row r="1030" spans="1:39">
      <c r="A1030" s="143" t="s">
        <v>2090</v>
      </c>
      <c r="B1030" s="144">
        <v>100</v>
      </c>
      <c r="C1030" s="145">
        <v>242</v>
      </c>
      <c r="D1030" s="145">
        <v>24.22</v>
      </c>
      <c r="E1030" s="145">
        <v>15.42</v>
      </c>
      <c r="F1030" s="145">
        <v>5.7380000000000004</v>
      </c>
      <c r="G1030" s="145">
        <v>7.0019999999999998</v>
      </c>
      <c r="H1030" s="145">
        <v>0.61299999999999999</v>
      </c>
      <c r="I1030" s="145">
        <v>0.41599999999999998</v>
      </c>
      <c r="J1030" s="145">
        <v>0.16400000000000001</v>
      </c>
      <c r="K1030" s="145">
        <v>75</v>
      </c>
      <c r="L1030" s="145" t="s">
        <v>400</v>
      </c>
      <c r="M1030" s="145" t="s">
        <v>400</v>
      </c>
      <c r="N1030" s="145">
        <v>8</v>
      </c>
      <c r="O1030" s="145">
        <v>20</v>
      </c>
      <c r="P1030" s="145">
        <v>1E-3</v>
      </c>
      <c r="Q1030" s="145">
        <v>196</v>
      </c>
      <c r="R1030" s="145">
        <v>2.81</v>
      </c>
      <c r="S1030" s="145">
        <v>67</v>
      </c>
      <c r="T1030" s="145">
        <v>337</v>
      </c>
      <c r="U1030" s="145">
        <v>9.2999999999999999E-2</v>
      </c>
      <c r="V1030" s="145">
        <v>5.71</v>
      </c>
      <c r="W1030" s="145" t="s">
        <v>400</v>
      </c>
      <c r="X1030" s="145">
        <v>8.1000000000000003E-2</v>
      </c>
      <c r="Y1030" s="145">
        <v>0.22600000000000001</v>
      </c>
      <c r="Z1030" s="146">
        <v>0.255</v>
      </c>
      <c r="AA1030" s="145">
        <v>3.2069999999999999</v>
      </c>
      <c r="AB1030" s="145" t="s">
        <v>400</v>
      </c>
      <c r="AC1030" s="145">
        <v>7.5739999999999998</v>
      </c>
      <c r="AD1030" s="145">
        <v>2.83</v>
      </c>
      <c r="AE1030" s="145">
        <v>9</v>
      </c>
      <c r="AF1030" s="145">
        <v>0.7</v>
      </c>
      <c r="AG1030" s="145">
        <v>0.14000000000000001</v>
      </c>
      <c r="AH1030" s="145">
        <v>0.68</v>
      </c>
      <c r="AI1030" s="145">
        <v>333</v>
      </c>
      <c r="AJ1030" s="145">
        <v>28.3</v>
      </c>
      <c r="AK1030" s="145" t="s">
        <v>400</v>
      </c>
      <c r="AL1030" s="145" t="s">
        <v>400</v>
      </c>
      <c r="AM1030" s="145" t="s">
        <v>400</v>
      </c>
    </row>
    <row r="1031" spans="1:39">
      <c r="A1031" s="143" t="s">
        <v>2091</v>
      </c>
      <c r="B1031" s="144">
        <v>100</v>
      </c>
      <c r="C1031" s="145">
        <v>264.65899999999999</v>
      </c>
      <c r="D1031" s="145">
        <v>24.22</v>
      </c>
      <c r="E1031" s="145">
        <v>17.983000000000001</v>
      </c>
      <c r="F1031" s="145">
        <v>6.1390000000000002</v>
      </c>
      <c r="G1031" s="145">
        <v>7.5860000000000003</v>
      </c>
      <c r="H1031" s="145">
        <v>2.093</v>
      </c>
      <c r="I1031" s="145">
        <v>1.722</v>
      </c>
      <c r="J1031" s="145">
        <v>0.33800000000000002</v>
      </c>
      <c r="K1031" s="145">
        <v>75</v>
      </c>
      <c r="L1031" s="145" t="s">
        <v>400</v>
      </c>
      <c r="M1031" s="145" t="s">
        <v>400</v>
      </c>
      <c r="N1031" s="145">
        <v>8</v>
      </c>
      <c r="O1031" s="145">
        <v>20</v>
      </c>
      <c r="P1031" s="145">
        <v>1E-3</v>
      </c>
      <c r="Q1031" s="145">
        <v>196</v>
      </c>
      <c r="R1031" s="145">
        <v>2.8109999999999999</v>
      </c>
      <c r="S1031" s="145">
        <v>67</v>
      </c>
      <c r="T1031" s="145">
        <v>337</v>
      </c>
      <c r="U1031" s="145">
        <v>9.2999999999999999E-2</v>
      </c>
      <c r="V1031" s="145">
        <v>5.71</v>
      </c>
      <c r="W1031" s="145" t="s">
        <v>400</v>
      </c>
      <c r="X1031" s="145">
        <v>8.1000000000000003E-2</v>
      </c>
      <c r="Y1031" s="145">
        <v>0.22600000000000001</v>
      </c>
      <c r="Z1031" s="146">
        <v>0.255</v>
      </c>
      <c r="AA1031" s="145">
        <v>3.2069999999999999</v>
      </c>
      <c r="AB1031" s="145" t="s">
        <v>400</v>
      </c>
      <c r="AC1031" s="145">
        <v>7.5739999999999998</v>
      </c>
      <c r="AD1031" s="145">
        <v>2.83</v>
      </c>
      <c r="AE1031" s="145">
        <v>9</v>
      </c>
      <c r="AF1031" s="145">
        <v>0.7</v>
      </c>
      <c r="AG1031" s="145">
        <v>0.35</v>
      </c>
      <c r="AH1031" s="145">
        <v>0.69399999999999995</v>
      </c>
      <c r="AI1031" s="145">
        <v>333</v>
      </c>
      <c r="AJ1031" s="145">
        <v>29.475000000000001</v>
      </c>
      <c r="AK1031" s="145" t="s">
        <v>400</v>
      </c>
      <c r="AL1031" s="145" t="s">
        <v>400</v>
      </c>
      <c r="AM1031" s="145" t="s">
        <v>400</v>
      </c>
    </row>
    <row r="1032" spans="1:39">
      <c r="A1032" s="143" t="s">
        <v>2092</v>
      </c>
      <c r="B1032" s="144">
        <v>100</v>
      </c>
      <c r="C1032" s="145">
        <v>280.83699999999999</v>
      </c>
      <c r="D1032" s="145">
        <v>24.678999999999998</v>
      </c>
      <c r="E1032" s="145">
        <v>18.027000000000001</v>
      </c>
      <c r="F1032" s="145">
        <v>6.1459999999999999</v>
      </c>
      <c r="G1032" s="145">
        <v>7.59</v>
      </c>
      <c r="H1032" s="145">
        <v>2.1110000000000002</v>
      </c>
      <c r="I1032" s="145">
        <v>1.7390000000000001</v>
      </c>
      <c r="J1032" s="145">
        <v>0.33900000000000002</v>
      </c>
      <c r="K1032" s="145">
        <v>75</v>
      </c>
      <c r="L1032" s="145">
        <v>3.3919999999999999</v>
      </c>
      <c r="M1032" s="145">
        <v>0.13500000000000001</v>
      </c>
      <c r="N1032" s="145">
        <v>8.6669999999999998</v>
      </c>
      <c r="O1032" s="145">
        <v>20.978000000000002</v>
      </c>
      <c r="P1032" s="145">
        <v>3.1E-2</v>
      </c>
      <c r="Q1032" s="145">
        <v>200.8</v>
      </c>
      <c r="R1032" s="145">
        <v>3.0179999999999998</v>
      </c>
      <c r="S1032" s="145">
        <v>67.088999999999999</v>
      </c>
      <c r="T1032" s="145">
        <v>341.75599999999997</v>
      </c>
      <c r="U1032" s="145">
        <v>9.9000000000000005E-2</v>
      </c>
      <c r="V1032" s="145">
        <v>5.7409999999999997</v>
      </c>
      <c r="W1032" s="145" t="s">
        <v>400</v>
      </c>
      <c r="X1032" s="145">
        <v>0.11600000000000001</v>
      </c>
      <c r="Y1032" s="145">
        <v>0.248</v>
      </c>
      <c r="Z1032" s="146">
        <v>0.25700000000000001</v>
      </c>
      <c r="AA1032" s="145">
        <v>3.4689999999999999</v>
      </c>
      <c r="AB1032" s="145" t="s">
        <v>400</v>
      </c>
      <c r="AC1032" s="145">
        <v>7.93</v>
      </c>
      <c r="AD1032" s="145">
        <v>2.83</v>
      </c>
      <c r="AE1032" s="145">
        <v>18.067</v>
      </c>
      <c r="AF1032" s="145">
        <v>0.7</v>
      </c>
      <c r="AG1032" s="145">
        <v>0.35199999999999998</v>
      </c>
      <c r="AH1032" s="145">
        <v>0.69399999999999995</v>
      </c>
      <c r="AI1032" s="145">
        <v>333</v>
      </c>
      <c r="AJ1032" s="145">
        <v>30.981000000000002</v>
      </c>
      <c r="AK1032" s="145" t="s">
        <v>400</v>
      </c>
      <c r="AL1032" s="145">
        <v>1.4E-2</v>
      </c>
      <c r="AM1032" s="145" t="s">
        <v>400</v>
      </c>
    </row>
    <row r="1033" spans="1:39">
      <c r="A1033" s="143" t="s">
        <v>2093</v>
      </c>
      <c r="B1033" s="144">
        <v>100</v>
      </c>
      <c r="C1033" s="145">
        <v>264.65899999999999</v>
      </c>
      <c r="D1033" s="145">
        <v>24.22</v>
      </c>
      <c r="E1033" s="145">
        <v>17.983000000000001</v>
      </c>
      <c r="F1033" s="145">
        <v>6.1390000000000002</v>
      </c>
      <c r="G1033" s="145">
        <v>7.5860000000000003</v>
      </c>
      <c r="H1033" s="145">
        <v>2.093</v>
      </c>
      <c r="I1033" s="145">
        <v>1.722</v>
      </c>
      <c r="J1033" s="145">
        <v>0.33800000000000002</v>
      </c>
      <c r="K1033" s="145">
        <v>75</v>
      </c>
      <c r="L1033" s="145" t="s">
        <v>400</v>
      </c>
      <c r="M1033" s="145" t="s">
        <v>400</v>
      </c>
      <c r="N1033" s="145">
        <v>8</v>
      </c>
      <c r="O1033" s="145">
        <v>20</v>
      </c>
      <c r="P1033" s="145">
        <v>1E-3</v>
      </c>
      <c r="Q1033" s="145">
        <v>196</v>
      </c>
      <c r="R1033" s="145">
        <v>2.8109999999999999</v>
      </c>
      <c r="S1033" s="145">
        <v>67</v>
      </c>
      <c r="T1033" s="145">
        <v>337</v>
      </c>
      <c r="U1033" s="145">
        <v>9.2999999999999999E-2</v>
      </c>
      <c r="V1033" s="145">
        <v>5.71</v>
      </c>
      <c r="W1033" s="145" t="s">
        <v>400</v>
      </c>
      <c r="X1033" s="145">
        <v>8.1000000000000003E-2</v>
      </c>
      <c r="Y1033" s="145">
        <v>0.22600000000000001</v>
      </c>
      <c r="Z1033" s="146">
        <v>0.255</v>
      </c>
      <c r="AA1033" s="145">
        <v>3.2069999999999999</v>
      </c>
      <c r="AB1033" s="145" t="s">
        <v>400</v>
      </c>
      <c r="AC1033" s="145">
        <v>7.5739999999999998</v>
      </c>
      <c r="AD1033" s="145">
        <v>2.83</v>
      </c>
      <c r="AE1033" s="145">
        <v>9</v>
      </c>
      <c r="AF1033" s="145">
        <v>0.7</v>
      </c>
      <c r="AG1033" s="145">
        <v>0.35</v>
      </c>
      <c r="AH1033" s="145">
        <v>0.69399999999999995</v>
      </c>
      <c r="AI1033" s="145">
        <v>333</v>
      </c>
      <c r="AJ1033" s="145">
        <v>29.475000000000001</v>
      </c>
      <c r="AK1033" s="145" t="s">
        <v>400</v>
      </c>
      <c r="AL1033" s="145" t="s">
        <v>400</v>
      </c>
      <c r="AM1033" s="145" t="s">
        <v>400</v>
      </c>
    </row>
    <row r="1034" spans="1:39">
      <c r="A1034" s="143" t="s">
        <v>2094</v>
      </c>
      <c r="B1034" s="144">
        <v>100</v>
      </c>
      <c r="C1034" s="145">
        <v>198.4</v>
      </c>
      <c r="D1034" s="145">
        <v>19.64</v>
      </c>
      <c r="E1034" s="145">
        <v>12.372</v>
      </c>
      <c r="F1034" s="145">
        <v>4.5949999999999998</v>
      </c>
      <c r="G1034" s="145">
        <v>5.6070000000000002</v>
      </c>
      <c r="H1034" s="145">
        <v>0.505</v>
      </c>
      <c r="I1034" s="145">
        <v>0.34699999999999998</v>
      </c>
      <c r="J1034" s="145">
        <v>0.13200000000000001</v>
      </c>
      <c r="K1034" s="145">
        <v>60</v>
      </c>
      <c r="L1034" s="145">
        <v>1.0760000000000001</v>
      </c>
      <c r="M1034" s="145">
        <v>0.3</v>
      </c>
      <c r="N1034" s="145">
        <v>9</v>
      </c>
      <c r="O1034" s="145">
        <v>19.2</v>
      </c>
      <c r="P1034" s="145">
        <v>2.1999999999999999E-2</v>
      </c>
      <c r="Q1034" s="145">
        <v>162</v>
      </c>
      <c r="R1034" s="145">
        <v>2.452</v>
      </c>
      <c r="S1034" s="145">
        <v>158.4</v>
      </c>
      <c r="T1034" s="145">
        <v>335.8</v>
      </c>
      <c r="U1034" s="145">
        <v>9.8000000000000004E-2</v>
      </c>
      <c r="V1034" s="145">
        <v>4.6079999999999997</v>
      </c>
      <c r="W1034" s="145" t="s">
        <v>400</v>
      </c>
      <c r="X1034" s="145">
        <v>7.0000000000000007E-2</v>
      </c>
      <c r="Y1034" s="145">
        <v>0.19400000000000001</v>
      </c>
      <c r="Z1034" s="146">
        <v>0.223</v>
      </c>
      <c r="AA1034" s="145">
        <v>2.7610000000000001</v>
      </c>
      <c r="AB1034" s="145">
        <v>1.4</v>
      </c>
      <c r="AC1034" s="145">
        <v>6.2869999999999999</v>
      </c>
      <c r="AD1034" s="145">
        <v>2.2639999999999998</v>
      </c>
      <c r="AE1034" s="145">
        <v>9.4</v>
      </c>
      <c r="AF1034" s="145">
        <v>0.56000000000000005</v>
      </c>
      <c r="AG1034" s="145">
        <v>0.39600000000000002</v>
      </c>
      <c r="AH1034" s="145">
        <v>0.54400000000000004</v>
      </c>
      <c r="AI1034" s="145">
        <v>333</v>
      </c>
      <c r="AJ1034" s="145">
        <v>22.68</v>
      </c>
      <c r="AK1034" s="145">
        <v>3.4830000000000001</v>
      </c>
      <c r="AL1034" s="145">
        <v>0.85</v>
      </c>
      <c r="AM1034" s="145" t="s">
        <v>400</v>
      </c>
    </row>
    <row r="1035" spans="1:39">
      <c r="A1035" s="143" t="s">
        <v>2095</v>
      </c>
      <c r="B1035" s="144">
        <v>100</v>
      </c>
      <c r="C1035" s="145">
        <v>226.19</v>
      </c>
      <c r="D1035" s="145">
        <v>20.155000000000001</v>
      </c>
      <c r="E1035" s="145">
        <v>14.824999999999999</v>
      </c>
      <c r="F1035" s="145">
        <v>6.1230000000000002</v>
      </c>
      <c r="G1035" s="145">
        <v>6.2389999999999999</v>
      </c>
      <c r="H1035" s="145">
        <v>0.60299999999999998</v>
      </c>
      <c r="I1035" s="145">
        <v>0.42299999999999999</v>
      </c>
      <c r="J1035" s="145">
        <v>0.153</v>
      </c>
      <c r="K1035" s="145">
        <v>66.832999999999998</v>
      </c>
      <c r="L1035" s="145">
        <v>1.851</v>
      </c>
      <c r="M1035" s="145">
        <v>4.2999999999999997E-2</v>
      </c>
      <c r="N1035" s="145">
        <v>29.279</v>
      </c>
      <c r="O1035" s="145">
        <v>18.312000000000001</v>
      </c>
      <c r="P1035" s="145">
        <v>1.0999999999999999E-2</v>
      </c>
      <c r="Q1035" s="145">
        <v>176.49299999999999</v>
      </c>
      <c r="R1035" s="145">
        <v>2.3180000000000001</v>
      </c>
      <c r="S1035" s="145">
        <v>74.516999999999996</v>
      </c>
      <c r="T1035" s="145">
        <v>299.654</v>
      </c>
      <c r="U1035" s="145">
        <v>7.9000000000000001E-2</v>
      </c>
      <c r="V1035" s="145">
        <v>4.657</v>
      </c>
      <c r="W1035" s="145">
        <v>20.696999999999999</v>
      </c>
      <c r="X1035" s="145">
        <v>8.3000000000000004E-2</v>
      </c>
      <c r="Y1035" s="145">
        <v>0.224</v>
      </c>
      <c r="Z1035" s="146">
        <v>0.21199999999999999</v>
      </c>
      <c r="AA1035" s="145">
        <v>2.661</v>
      </c>
      <c r="AB1035" s="145">
        <v>4.0000000000000001E-3</v>
      </c>
      <c r="AC1035" s="145">
        <v>6.43</v>
      </c>
      <c r="AD1035" s="145">
        <v>2.3540000000000001</v>
      </c>
      <c r="AE1035" s="145">
        <v>10.795999999999999</v>
      </c>
      <c r="AF1035" s="145">
        <v>0.78700000000000003</v>
      </c>
      <c r="AG1035" s="145">
        <v>0.17699999999999999</v>
      </c>
      <c r="AH1035" s="145">
        <v>0.64100000000000001</v>
      </c>
      <c r="AI1035" s="145">
        <v>333</v>
      </c>
      <c r="AJ1035" s="145">
        <v>23.809000000000001</v>
      </c>
      <c r="AK1035" s="145">
        <v>21.081</v>
      </c>
      <c r="AL1035" s="145">
        <v>1.0329999999999999</v>
      </c>
      <c r="AM1035" s="145" t="s">
        <v>400</v>
      </c>
    </row>
    <row r="1036" spans="1:39">
      <c r="A1036" s="143" t="s">
        <v>2096</v>
      </c>
      <c r="B1036" s="144">
        <v>100</v>
      </c>
      <c r="C1036" s="145">
        <v>261.137</v>
      </c>
      <c r="D1036" s="145">
        <v>24.242999999999999</v>
      </c>
      <c r="E1036" s="145">
        <v>17.585000000000001</v>
      </c>
      <c r="F1036" s="145">
        <v>7.109</v>
      </c>
      <c r="G1036" s="145">
        <v>7.5629999999999997</v>
      </c>
      <c r="H1036" s="145">
        <v>0.69399999999999995</v>
      </c>
      <c r="I1036" s="145">
        <v>0.48899999999999999</v>
      </c>
      <c r="J1036" s="145">
        <v>0.17199999999999999</v>
      </c>
      <c r="K1036" s="145">
        <v>80.738</v>
      </c>
      <c r="L1036" s="145">
        <v>2E-3</v>
      </c>
      <c r="M1036" s="145" t="s">
        <v>400</v>
      </c>
      <c r="N1036" s="145">
        <v>8.641</v>
      </c>
      <c r="O1036" s="145">
        <v>20.053000000000001</v>
      </c>
      <c r="P1036" s="145">
        <v>1E-3</v>
      </c>
      <c r="Q1036" s="145">
        <v>196.64099999999999</v>
      </c>
      <c r="R1036" s="145">
        <v>2.8109999999999999</v>
      </c>
      <c r="S1036" s="145">
        <v>82.373999999999995</v>
      </c>
      <c r="T1036" s="145">
        <v>337.64100000000002</v>
      </c>
      <c r="U1036" s="145">
        <v>9.2999999999999999E-2</v>
      </c>
      <c r="V1036" s="145">
        <v>5.7119999999999997</v>
      </c>
      <c r="W1036" s="145">
        <v>17.908999999999999</v>
      </c>
      <c r="X1036" s="145">
        <v>8.1000000000000003E-2</v>
      </c>
      <c r="Y1036" s="145">
        <v>0.22700000000000001</v>
      </c>
      <c r="Z1036" s="145">
        <v>0.255</v>
      </c>
      <c r="AA1036" s="145">
        <v>3.2080000000000002</v>
      </c>
      <c r="AB1036" s="145" t="s">
        <v>400</v>
      </c>
      <c r="AC1036" s="145">
        <v>7.58</v>
      </c>
      <c r="AD1036" s="145">
        <v>2.835</v>
      </c>
      <c r="AE1036" s="145">
        <v>9.08</v>
      </c>
      <c r="AF1036" s="145">
        <v>0.73699999999999999</v>
      </c>
      <c r="AG1036" s="145">
        <v>0.20200000000000001</v>
      </c>
      <c r="AH1036" s="145">
        <v>0.76700000000000002</v>
      </c>
      <c r="AI1036" s="145">
        <v>333</v>
      </c>
      <c r="AJ1036" s="145">
        <v>28.327000000000002</v>
      </c>
      <c r="AK1036" s="145">
        <v>18.260999999999999</v>
      </c>
      <c r="AL1036" s="145">
        <v>3.0000000000000001E-3</v>
      </c>
      <c r="AM1036" s="145" t="s">
        <v>400</v>
      </c>
    </row>
    <row r="1037" spans="1:39">
      <c r="A1037" s="143" t="s">
        <v>2097</v>
      </c>
      <c r="B1037" s="144">
        <v>100</v>
      </c>
      <c r="C1037" s="145">
        <v>261.137</v>
      </c>
      <c r="D1037" s="145">
        <v>24.242999999999999</v>
      </c>
      <c r="E1037" s="145">
        <v>17.585000000000001</v>
      </c>
      <c r="F1037" s="145">
        <v>7.109</v>
      </c>
      <c r="G1037" s="145">
        <v>7.5629999999999997</v>
      </c>
      <c r="H1037" s="145">
        <v>0.69399999999999995</v>
      </c>
      <c r="I1037" s="145">
        <v>0.48899999999999999</v>
      </c>
      <c r="J1037" s="145">
        <v>0.17199999999999999</v>
      </c>
      <c r="K1037" s="145">
        <v>80.738</v>
      </c>
      <c r="L1037" s="145">
        <v>2E-3</v>
      </c>
      <c r="M1037" s="145" t="s">
        <v>400</v>
      </c>
      <c r="N1037" s="145">
        <v>8.641</v>
      </c>
      <c r="O1037" s="145">
        <v>20.053000000000001</v>
      </c>
      <c r="P1037" s="145">
        <v>1E-3</v>
      </c>
      <c r="Q1037" s="145">
        <v>196.64099999999999</v>
      </c>
      <c r="R1037" s="145">
        <v>2.8109999999999999</v>
      </c>
      <c r="S1037" s="145">
        <v>82.373999999999995</v>
      </c>
      <c r="T1037" s="145">
        <v>337.64100000000002</v>
      </c>
      <c r="U1037" s="145">
        <v>9.2999999999999999E-2</v>
      </c>
      <c r="V1037" s="145">
        <v>5.7119999999999997</v>
      </c>
      <c r="W1037" s="145">
        <v>17.908999999999999</v>
      </c>
      <c r="X1037" s="145">
        <v>8.1000000000000003E-2</v>
      </c>
      <c r="Y1037" s="145">
        <v>0.22700000000000001</v>
      </c>
      <c r="Z1037" s="146">
        <v>0.255</v>
      </c>
      <c r="AA1037" s="145">
        <v>3.2080000000000002</v>
      </c>
      <c r="AB1037" s="145" t="s">
        <v>400</v>
      </c>
      <c r="AC1037" s="145">
        <v>7.58</v>
      </c>
      <c r="AD1037" s="145">
        <v>2.835</v>
      </c>
      <c r="AE1037" s="145">
        <v>9.08</v>
      </c>
      <c r="AF1037" s="145">
        <v>0.73699999999999999</v>
      </c>
      <c r="AG1037" s="145">
        <v>0.20200000000000001</v>
      </c>
      <c r="AH1037" s="145">
        <v>0.76700000000000002</v>
      </c>
      <c r="AI1037" s="145">
        <v>333</v>
      </c>
      <c r="AJ1037" s="145">
        <v>28.327000000000002</v>
      </c>
      <c r="AK1037" s="145">
        <v>18.260999999999999</v>
      </c>
      <c r="AL1037" s="145">
        <v>3.0000000000000001E-3</v>
      </c>
      <c r="AM1037" s="145" t="s">
        <v>400</v>
      </c>
    </row>
    <row r="1038" spans="1:39">
      <c r="A1038" s="143" t="s">
        <v>2098</v>
      </c>
      <c r="B1038" s="144">
        <v>100</v>
      </c>
      <c r="C1038" s="145">
        <v>242</v>
      </c>
      <c r="D1038" s="145">
        <v>24.22</v>
      </c>
      <c r="E1038" s="145">
        <v>15.42</v>
      </c>
      <c r="F1038" s="145">
        <v>5.7380000000000004</v>
      </c>
      <c r="G1038" s="145">
        <v>7.0019999999999998</v>
      </c>
      <c r="H1038" s="145">
        <v>0.61299999999999999</v>
      </c>
      <c r="I1038" s="145">
        <v>0.41599999999999998</v>
      </c>
      <c r="J1038" s="145">
        <v>0.16400000000000001</v>
      </c>
      <c r="K1038" s="145">
        <v>75</v>
      </c>
      <c r="L1038" s="145" t="s">
        <v>400</v>
      </c>
      <c r="M1038" s="145" t="s">
        <v>400</v>
      </c>
      <c r="N1038" s="145">
        <v>8</v>
      </c>
      <c r="O1038" s="145">
        <v>20</v>
      </c>
      <c r="P1038" s="145">
        <v>1E-3</v>
      </c>
      <c r="Q1038" s="145">
        <v>196</v>
      </c>
      <c r="R1038" s="145">
        <v>2.81</v>
      </c>
      <c r="S1038" s="145">
        <v>67</v>
      </c>
      <c r="T1038" s="145">
        <v>337</v>
      </c>
      <c r="U1038" s="145">
        <v>9.2999999999999999E-2</v>
      </c>
      <c r="V1038" s="145">
        <v>5.71</v>
      </c>
      <c r="W1038" s="145" t="s">
        <v>400</v>
      </c>
      <c r="X1038" s="145">
        <v>8.1000000000000003E-2</v>
      </c>
      <c r="Y1038" s="145">
        <v>0.22600000000000001</v>
      </c>
      <c r="Z1038" s="146">
        <v>0.255</v>
      </c>
      <c r="AA1038" s="145">
        <v>3.2069999999999999</v>
      </c>
      <c r="AB1038" s="145" t="s">
        <v>400</v>
      </c>
      <c r="AC1038" s="145">
        <v>7.5739999999999998</v>
      </c>
      <c r="AD1038" s="145">
        <v>2.83</v>
      </c>
      <c r="AE1038" s="145">
        <v>9</v>
      </c>
      <c r="AF1038" s="145">
        <v>0.7</v>
      </c>
      <c r="AG1038" s="145">
        <v>0.14000000000000001</v>
      </c>
      <c r="AH1038" s="145">
        <v>0.68</v>
      </c>
      <c r="AI1038" s="145">
        <v>333</v>
      </c>
      <c r="AJ1038" s="145">
        <v>28.3</v>
      </c>
      <c r="AK1038" s="145" t="s">
        <v>400</v>
      </c>
      <c r="AL1038" s="145" t="s">
        <v>400</v>
      </c>
      <c r="AM1038" s="145" t="s">
        <v>400</v>
      </c>
    </row>
    <row r="1039" spans="1:39">
      <c r="A1039" s="143" t="s">
        <v>2099</v>
      </c>
      <c r="B1039" s="144">
        <v>100</v>
      </c>
      <c r="C1039" s="145">
        <v>264.65899999999999</v>
      </c>
      <c r="D1039" s="145">
        <v>24.22</v>
      </c>
      <c r="E1039" s="145">
        <v>17.983000000000001</v>
      </c>
      <c r="F1039" s="145">
        <v>6.1390000000000002</v>
      </c>
      <c r="G1039" s="145">
        <v>7.5860000000000003</v>
      </c>
      <c r="H1039" s="145">
        <v>2.093</v>
      </c>
      <c r="I1039" s="145">
        <v>1.722</v>
      </c>
      <c r="J1039" s="145">
        <v>0.33800000000000002</v>
      </c>
      <c r="K1039" s="145">
        <v>75</v>
      </c>
      <c r="L1039" s="145" t="s">
        <v>400</v>
      </c>
      <c r="M1039" s="145" t="s">
        <v>400</v>
      </c>
      <c r="N1039" s="145">
        <v>8</v>
      </c>
      <c r="O1039" s="145">
        <v>20</v>
      </c>
      <c r="P1039" s="145">
        <v>1E-3</v>
      </c>
      <c r="Q1039" s="145">
        <v>196</v>
      </c>
      <c r="R1039" s="145">
        <v>2.8109999999999999</v>
      </c>
      <c r="S1039" s="145">
        <v>67</v>
      </c>
      <c r="T1039" s="145">
        <v>337</v>
      </c>
      <c r="U1039" s="145">
        <v>9.2999999999999999E-2</v>
      </c>
      <c r="V1039" s="145">
        <v>5.71</v>
      </c>
      <c r="W1039" s="145" t="s">
        <v>400</v>
      </c>
      <c r="X1039" s="145">
        <v>8.1000000000000003E-2</v>
      </c>
      <c r="Y1039" s="145">
        <v>0.22600000000000001</v>
      </c>
      <c r="Z1039" s="146">
        <v>0.255</v>
      </c>
      <c r="AA1039" s="145">
        <v>3.2069999999999999</v>
      </c>
      <c r="AB1039" s="145" t="s">
        <v>400</v>
      </c>
      <c r="AC1039" s="145">
        <v>7.5739999999999998</v>
      </c>
      <c r="AD1039" s="145">
        <v>2.83</v>
      </c>
      <c r="AE1039" s="145">
        <v>9</v>
      </c>
      <c r="AF1039" s="145">
        <v>0.7</v>
      </c>
      <c r="AG1039" s="145">
        <v>0.35</v>
      </c>
      <c r="AH1039" s="145">
        <v>0.69399999999999995</v>
      </c>
      <c r="AI1039" s="145">
        <v>333</v>
      </c>
      <c r="AJ1039" s="145">
        <v>29.475000000000001</v>
      </c>
      <c r="AK1039" s="145" t="s">
        <v>400</v>
      </c>
      <c r="AL1039" s="145" t="s">
        <v>400</v>
      </c>
      <c r="AM1039" s="145" t="s">
        <v>400</v>
      </c>
    </row>
    <row r="1040" spans="1:39">
      <c r="A1040" s="143" t="s">
        <v>2100</v>
      </c>
      <c r="B1040" s="144">
        <v>100</v>
      </c>
      <c r="C1040" s="145">
        <v>63.941000000000003</v>
      </c>
      <c r="D1040" s="145">
        <v>3.8119999999999998</v>
      </c>
      <c r="E1040" s="145">
        <v>1.8069999999999999</v>
      </c>
      <c r="F1040" s="145">
        <v>0.67700000000000005</v>
      </c>
      <c r="G1040" s="145">
        <v>0.79200000000000004</v>
      </c>
      <c r="H1040" s="145">
        <v>9.4E-2</v>
      </c>
      <c r="I1040" s="145">
        <v>7.1999999999999995E-2</v>
      </c>
      <c r="J1040" s="145">
        <v>1.9E-2</v>
      </c>
      <c r="K1040" s="145">
        <v>7.86</v>
      </c>
      <c r="L1040" s="145">
        <v>7.7320000000000002</v>
      </c>
      <c r="M1040" s="145">
        <v>0.39200000000000002</v>
      </c>
      <c r="N1040" s="145">
        <v>6.6289999999999996</v>
      </c>
      <c r="O1040" s="145">
        <v>7.0270000000000001</v>
      </c>
      <c r="P1040" s="145">
        <v>5.1999999999999998E-2</v>
      </c>
      <c r="Q1040" s="145">
        <v>39.854999999999997</v>
      </c>
      <c r="R1040" s="145">
        <v>0.65200000000000002</v>
      </c>
      <c r="S1040" s="145">
        <v>364.00900000000001</v>
      </c>
      <c r="T1040" s="145">
        <v>125.684</v>
      </c>
      <c r="U1040" s="145">
        <v>4.9000000000000002E-2</v>
      </c>
      <c r="V1040" s="145">
        <v>0.68200000000000005</v>
      </c>
      <c r="W1040" s="145" t="s">
        <v>400</v>
      </c>
      <c r="X1040" s="145">
        <v>4.7E-2</v>
      </c>
      <c r="Y1040" s="145">
        <v>6.3E-2</v>
      </c>
      <c r="Z1040" s="146">
        <v>6.9000000000000006E-2</v>
      </c>
      <c r="AA1040" s="145">
        <v>1.2769999999999999</v>
      </c>
      <c r="AB1040" s="145">
        <v>1.5740000000000001</v>
      </c>
      <c r="AC1040" s="145">
        <v>1.962</v>
      </c>
      <c r="AD1040" s="145">
        <v>0.33900000000000002</v>
      </c>
      <c r="AE1040" s="145">
        <v>10.132999999999999</v>
      </c>
      <c r="AF1040" s="145">
        <v>8.8999999999999996E-2</v>
      </c>
      <c r="AG1040" s="145">
        <v>3.9E-2</v>
      </c>
      <c r="AH1040" s="145">
        <v>7.6999999999999999E-2</v>
      </c>
      <c r="AI1040" s="145" t="s">
        <v>400</v>
      </c>
      <c r="AJ1040" s="145">
        <v>4.8079999999999998</v>
      </c>
      <c r="AK1040" s="145">
        <v>0.745</v>
      </c>
      <c r="AL1040" s="145">
        <v>0.24199999999999999</v>
      </c>
      <c r="AM1040" s="145" t="s">
        <v>400</v>
      </c>
    </row>
    <row r="1041" spans="1:39">
      <c r="A1041" s="143" t="s">
        <v>2101</v>
      </c>
      <c r="B1041" s="144">
        <v>100</v>
      </c>
      <c r="C1041" s="145">
        <v>242</v>
      </c>
      <c r="D1041" s="145">
        <v>24.22</v>
      </c>
      <c r="E1041" s="145">
        <v>15.42</v>
      </c>
      <c r="F1041" s="145">
        <v>5.7380000000000004</v>
      </c>
      <c r="G1041" s="145">
        <v>7.0019999999999998</v>
      </c>
      <c r="H1041" s="145">
        <v>0.61299999999999999</v>
      </c>
      <c r="I1041" s="145">
        <v>0.41599999999999998</v>
      </c>
      <c r="J1041" s="145">
        <v>0.16400000000000001</v>
      </c>
      <c r="K1041" s="145">
        <v>75</v>
      </c>
      <c r="L1041" s="145" t="s">
        <v>400</v>
      </c>
      <c r="M1041" s="145" t="s">
        <v>400</v>
      </c>
      <c r="N1041" s="145">
        <v>8</v>
      </c>
      <c r="O1041" s="145">
        <v>20</v>
      </c>
      <c r="P1041" s="145">
        <v>1E-3</v>
      </c>
      <c r="Q1041" s="145">
        <v>196</v>
      </c>
      <c r="R1041" s="145">
        <v>2.81</v>
      </c>
      <c r="S1041" s="145">
        <v>67</v>
      </c>
      <c r="T1041" s="145">
        <v>337</v>
      </c>
      <c r="U1041" s="145">
        <v>9.2999999999999999E-2</v>
      </c>
      <c r="V1041" s="145">
        <v>5.71</v>
      </c>
      <c r="W1041" s="145" t="s">
        <v>400</v>
      </c>
      <c r="X1041" s="145">
        <v>8.1000000000000003E-2</v>
      </c>
      <c r="Y1041" s="145">
        <v>0.22600000000000001</v>
      </c>
      <c r="Z1041" s="146">
        <v>0.255</v>
      </c>
      <c r="AA1041" s="145">
        <v>3.2069999999999999</v>
      </c>
      <c r="AB1041" s="145" t="s">
        <v>400</v>
      </c>
      <c r="AC1041" s="145">
        <v>7.5739999999999998</v>
      </c>
      <c r="AD1041" s="145">
        <v>2.83</v>
      </c>
      <c r="AE1041" s="145">
        <v>9</v>
      </c>
      <c r="AF1041" s="145">
        <v>0.7</v>
      </c>
      <c r="AG1041" s="145">
        <v>0.14000000000000001</v>
      </c>
      <c r="AH1041" s="145">
        <v>0.68</v>
      </c>
      <c r="AI1041" s="145">
        <v>333</v>
      </c>
      <c r="AJ1041" s="145">
        <v>28.3</v>
      </c>
      <c r="AK1041" s="145" t="s">
        <v>400</v>
      </c>
      <c r="AL1041" s="145" t="s">
        <v>400</v>
      </c>
      <c r="AM1041" s="145" t="s">
        <v>400</v>
      </c>
    </row>
    <row r="1042" spans="1:39">
      <c r="A1042" s="143" t="s">
        <v>2102</v>
      </c>
      <c r="B1042" s="144">
        <v>100</v>
      </c>
      <c r="C1042" s="145">
        <v>289</v>
      </c>
      <c r="D1042" s="145">
        <v>25.34</v>
      </c>
      <c r="E1042" s="145">
        <v>20.059999999999999</v>
      </c>
      <c r="F1042" s="145">
        <v>7.36</v>
      </c>
      <c r="G1042" s="145">
        <v>9.02</v>
      </c>
      <c r="H1042" s="145">
        <v>1.89</v>
      </c>
      <c r="I1042" s="145">
        <v>1.71</v>
      </c>
      <c r="J1042" s="145">
        <v>0.06</v>
      </c>
      <c r="K1042" s="145">
        <v>92</v>
      </c>
      <c r="L1042" s="145" t="s">
        <v>400</v>
      </c>
      <c r="M1042" s="145" t="s">
        <v>400</v>
      </c>
      <c r="N1042" s="145">
        <v>15</v>
      </c>
      <c r="O1042" s="145">
        <v>22</v>
      </c>
      <c r="P1042" s="145">
        <v>2.8000000000000001E-2</v>
      </c>
      <c r="Q1042" s="145">
        <v>257</v>
      </c>
      <c r="R1042" s="145">
        <v>0.98</v>
      </c>
      <c r="S1042" s="145">
        <v>59</v>
      </c>
      <c r="T1042" s="145">
        <v>338</v>
      </c>
      <c r="U1042" s="145">
        <v>9.8000000000000004E-2</v>
      </c>
      <c r="V1042" s="145">
        <v>3.06</v>
      </c>
      <c r="W1042" s="145">
        <v>3</v>
      </c>
      <c r="X1042" s="145">
        <v>0.57799999999999996</v>
      </c>
      <c r="Y1042" s="145">
        <v>0.30199999999999999</v>
      </c>
      <c r="Z1042" s="146">
        <v>0.40100000000000002</v>
      </c>
      <c r="AA1042" s="145">
        <v>4.46</v>
      </c>
      <c r="AB1042" s="145">
        <v>0.3</v>
      </c>
      <c r="AC1042" s="145">
        <v>9.4770000000000003</v>
      </c>
      <c r="AD1042" s="145">
        <v>0.66</v>
      </c>
      <c r="AE1042" s="145">
        <v>5</v>
      </c>
      <c r="AF1042" s="145">
        <v>1.1000000000000001</v>
      </c>
      <c r="AG1042" s="145">
        <v>0.22</v>
      </c>
      <c r="AH1042" s="145">
        <v>3.6999999999999998E-2</v>
      </c>
      <c r="AI1042" s="145">
        <v>166</v>
      </c>
      <c r="AJ1042" s="145">
        <v>43.3</v>
      </c>
      <c r="AK1042" s="145">
        <v>3</v>
      </c>
      <c r="AL1042" s="145" t="s">
        <v>400</v>
      </c>
      <c r="AM1042" s="145" t="s">
        <v>400</v>
      </c>
    </row>
    <row r="1043" spans="1:39">
      <c r="A1043" s="143" t="s">
        <v>2103</v>
      </c>
      <c r="B1043" s="144">
        <v>100</v>
      </c>
      <c r="C1043" s="145">
        <v>289</v>
      </c>
      <c r="D1043" s="145">
        <v>25.34</v>
      </c>
      <c r="E1043" s="145">
        <v>20.059999999999999</v>
      </c>
      <c r="F1043" s="145">
        <v>7.36</v>
      </c>
      <c r="G1043" s="145">
        <v>9.02</v>
      </c>
      <c r="H1043" s="145">
        <v>1.89</v>
      </c>
      <c r="I1043" s="145">
        <v>1.71</v>
      </c>
      <c r="J1043" s="145">
        <v>0.06</v>
      </c>
      <c r="K1043" s="145">
        <v>92</v>
      </c>
      <c r="L1043" s="145" t="s">
        <v>400</v>
      </c>
      <c r="M1043" s="145" t="s">
        <v>400</v>
      </c>
      <c r="N1043" s="145">
        <v>15</v>
      </c>
      <c r="O1043" s="145">
        <v>22</v>
      </c>
      <c r="P1043" s="145">
        <v>2.8000000000000001E-2</v>
      </c>
      <c r="Q1043" s="145">
        <v>257</v>
      </c>
      <c r="R1043" s="145">
        <v>0.98</v>
      </c>
      <c r="S1043" s="145">
        <v>59</v>
      </c>
      <c r="T1043" s="145">
        <v>338</v>
      </c>
      <c r="U1043" s="145">
        <v>9.8000000000000004E-2</v>
      </c>
      <c r="V1043" s="145">
        <v>3.06</v>
      </c>
      <c r="W1043" s="145">
        <v>3</v>
      </c>
      <c r="X1043" s="145">
        <v>0.57799999999999996</v>
      </c>
      <c r="Y1043" s="145">
        <v>0.30199999999999999</v>
      </c>
      <c r="Z1043" s="146">
        <v>0.40100000000000002</v>
      </c>
      <c r="AA1043" s="145">
        <v>4.46</v>
      </c>
      <c r="AB1043" s="145">
        <v>0.3</v>
      </c>
      <c r="AC1043" s="145">
        <v>9.4770000000000003</v>
      </c>
      <c r="AD1043" s="145">
        <v>0.66</v>
      </c>
      <c r="AE1043" s="145">
        <v>5</v>
      </c>
      <c r="AF1043" s="145">
        <v>1.1000000000000001</v>
      </c>
      <c r="AG1043" s="145">
        <v>0.22</v>
      </c>
      <c r="AH1043" s="145">
        <v>3.6999999999999998E-2</v>
      </c>
      <c r="AI1043" s="145">
        <v>166</v>
      </c>
      <c r="AJ1043" s="145">
        <v>43.3</v>
      </c>
      <c r="AK1043" s="145">
        <v>3</v>
      </c>
      <c r="AL1043" s="145" t="s">
        <v>400</v>
      </c>
      <c r="AM1043" s="145" t="s">
        <v>400</v>
      </c>
    </row>
    <row r="1044" spans="1:39">
      <c r="A1044" s="143" t="s">
        <v>2104</v>
      </c>
      <c r="B1044" s="144">
        <v>100</v>
      </c>
      <c r="C1044" s="145">
        <v>289</v>
      </c>
      <c r="D1044" s="145">
        <v>25.34</v>
      </c>
      <c r="E1044" s="145">
        <v>20.059999999999999</v>
      </c>
      <c r="F1044" s="145">
        <v>7.36</v>
      </c>
      <c r="G1044" s="145">
        <v>9.02</v>
      </c>
      <c r="H1044" s="145">
        <v>1.89</v>
      </c>
      <c r="I1044" s="145">
        <v>1.71</v>
      </c>
      <c r="J1044" s="145">
        <v>0.06</v>
      </c>
      <c r="K1044" s="145">
        <v>92</v>
      </c>
      <c r="L1044" s="145" t="s">
        <v>400</v>
      </c>
      <c r="M1044" s="145" t="s">
        <v>400</v>
      </c>
      <c r="N1044" s="145">
        <v>15</v>
      </c>
      <c r="O1044" s="145">
        <v>22</v>
      </c>
      <c r="P1044" s="145">
        <v>2.8000000000000001E-2</v>
      </c>
      <c r="Q1044" s="145">
        <v>257</v>
      </c>
      <c r="R1044" s="145">
        <v>0.98</v>
      </c>
      <c r="S1044" s="145">
        <v>59</v>
      </c>
      <c r="T1044" s="145">
        <v>338</v>
      </c>
      <c r="U1044" s="145">
        <v>9.8000000000000004E-2</v>
      </c>
      <c r="V1044" s="145">
        <v>3.06</v>
      </c>
      <c r="W1044" s="145">
        <v>3</v>
      </c>
      <c r="X1044" s="145">
        <v>0.57799999999999996</v>
      </c>
      <c r="Y1044" s="145">
        <v>0.30199999999999999</v>
      </c>
      <c r="Z1044" s="146">
        <v>0.40100000000000002</v>
      </c>
      <c r="AA1044" s="145">
        <v>4.46</v>
      </c>
      <c r="AB1044" s="145">
        <v>0.3</v>
      </c>
      <c r="AC1044" s="145">
        <v>9.4770000000000003</v>
      </c>
      <c r="AD1044" s="145">
        <v>0.66</v>
      </c>
      <c r="AE1044" s="145">
        <v>5</v>
      </c>
      <c r="AF1044" s="145">
        <v>1.1000000000000001</v>
      </c>
      <c r="AG1044" s="145">
        <v>0.22</v>
      </c>
      <c r="AH1044" s="145">
        <v>3.6999999999999998E-2</v>
      </c>
      <c r="AI1044" s="145">
        <v>166</v>
      </c>
      <c r="AJ1044" s="145">
        <v>43.3</v>
      </c>
      <c r="AK1044" s="145">
        <v>3</v>
      </c>
      <c r="AL1044" s="145" t="s">
        <v>400</v>
      </c>
      <c r="AM1044" s="145" t="s">
        <v>400</v>
      </c>
    </row>
    <row r="1045" spans="1:39">
      <c r="A1045" s="143" t="s">
        <v>2105</v>
      </c>
      <c r="B1045" s="144">
        <v>100</v>
      </c>
      <c r="C1045" s="145">
        <v>338.56700000000001</v>
      </c>
      <c r="D1045" s="145">
        <v>25.34</v>
      </c>
      <c r="E1045" s="145">
        <v>25.667000000000002</v>
      </c>
      <c r="F1045" s="145">
        <v>8.2379999999999995</v>
      </c>
      <c r="G1045" s="145">
        <v>10.297000000000001</v>
      </c>
      <c r="H1045" s="145">
        <v>5.1280000000000001</v>
      </c>
      <c r="I1045" s="145">
        <v>4.5670000000000002</v>
      </c>
      <c r="J1045" s="145">
        <v>0.441</v>
      </c>
      <c r="K1045" s="145">
        <v>92</v>
      </c>
      <c r="L1045" s="145" t="s">
        <v>400</v>
      </c>
      <c r="M1045" s="145" t="s">
        <v>400</v>
      </c>
      <c r="N1045" s="145">
        <v>15</v>
      </c>
      <c r="O1045" s="145">
        <v>22</v>
      </c>
      <c r="P1045" s="145">
        <v>2.8000000000000001E-2</v>
      </c>
      <c r="Q1045" s="145">
        <v>257</v>
      </c>
      <c r="R1045" s="145">
        <v>0.98299999999999998</v>
      </c>
      <c r="S1045" s="145">
        <v>59</v>
      </c>
      <c r="T1045" s="145">
        <v>338</v>
      </c>
      <c r="U1045" s="145">
        <v>9.8000000000000004E-2</v>
      </c>
      <c r="V1045" s="145">
        <v>3.0609999999999999</v>
      </c>
      <c r="W1045" s="145">
        <v>3</v>
      </c>
      <c r="X1045" s="145">
        <v>0.57799999999999996</v>
      </c>
      <c r="Y1045" s="145">
        <v>0.30199999999999999</v>
      </c>
      <c r="Z1045" s="146">
        <v>0.40100000000000002</v>
      </c>
      <c r="AA1045" s="145">
        <v>4.46</v>
      </c>
      <c r="AB1045" s="145">
        <v>0.3</v>
      </c>
      <c r="AC1045" s="145">
        <v>9.4770000000000003</v>
      </c>
      <c r="AD1045" s="145">
        <v>0.66</v>
      </c>
      <c r="AE1045" s="145">
        <v>5</v>
      </c>
      <c r="AF1045" s="145">
        <v>1.1000000000000001</v>
      </c>
      <c r="AG1045" s="145">
        <v>0.67900000000000005</v>
      </c>
      <c r="AH1045" s="145">
        <v>6.7000000000000004E-2</v>
      </c>
      <c r="AI1045" s="145">
        <v>166</v>
      </c>
      <c r="AJ1045" s="145">
        <v>45.87</v>
      </c>
      <c r="AK1045" s="145">
        <v>3</v>
      </c>
      <c r="AL1045" s="145" t="s">
        <v>400</v>
      </c>
      <c r="AM1045" s="145" t="s">
        <v>400</v>
      </c>
    </row>
    <row r="1046" spans="1:39">
      <c r="A1046" s="143" t="s">
        <v>2106</v>
      </c>
      <c r="B1046" s="144">
        <v>100</v>
      </c>
      <c r="C1046" s="145">
        <v>289</v>
      </c>
      <c r="D1046" s="145">
        <v>25.34</v>
      </c>
      <c r="E1046" s="145">
        <v>20.059999999999999</v>
      </c>
      <c r="F1046" s="145">
        <v>7.36</v>
      </c>
      <c r="G1046" s="145">
        <v>9.02</v>
      </c>
      <c r="H1046" s="145">
        <v>1.89</v>
      </c>
      <c r="I1046" s="145">
        <v>1.71</v>
      </c>
      <c r="J1046" s="145">
        <v>0.06</v>
      </c>
      <c r="K1046" s="145">
        <v>92</v>
      </c>
      <c r="L1046" s="145" t="s">
        <v>400</v>
      </c>
      <c r="M1046" s="145" t="s">
        <v>400</v>
      </c>
      <c r="N1046" s="145">
        <v>15</v>
      </c>
      <c r="O1046" s="145">
        <v>22</v>
      </c>
      <c r="P1046" s="145">
        <v>2.8000000000000001E-2</v>
      </c>
      <c r="Q1046" s="145">
        <v>257</v>
      </c>
      <c r="R1046" s="145">
        <v>0.98</v>
      </c>
      <c r="S1046" s="145">
        <v>59</v>
      </c>
      <c r="T1046" s="145">
        <v>338</v>
      </c>
      <c r="U1046" s="145">
        <v>9.8000000000000004E-2</v>
      </c>
      <c r="V1046" s="145">
        <v>3.06</v>
      </c>
      <c r="W1046" s="145">
        <v>3</v>
      </c>
      <c r="X1046" s="145">
        <v>0.57799999999999996</v>
      </c>
      <c r="Y1046" s="145">
        <v>0.30199999999999999</v>
      </c>
      <c r="Z1046" s="146">
        <v>0.40100000000000002</v>
      </c>
      <c r="AA1046" s="145">
        <v>4.46</v>
      </c>
      <c r="AB1046" s="145">
        <v>0.3</v>
      </c>
      <c r="AC1046" s="145">
        <v>9.4770000000000003</v>
      </c>
      <c r="AD1046" s="145">
        <v>0.66</v>
      </c>
      <c r="AE1046" s="145">
        <v>5</v>
      </c>
      <c r="AF1046" s="145">
        <v>1.1000000000000001</v>
      </c>
      <c r="AG1046" s="145">
        <v>0.22</v>
      </c>
      <c r="AH1046" s="145">
        <v>3.6999999999999998E-2</v>
      </c>
      <c r="AI1046" s="145">
        <v>166</v>
      </c>
      <c r="AJ1046" s="145">
        <v>43.3</v>
      </c>
      <c r="AK1046" s="145">
        <v>3</v>
      </c>
      <c r="AL1046" s="145" t="s">
        <v>400</v>
      </c>
      <c r="AM1046" s="145" t="s">
        <v>400</v>
      </c>
    </row>
    <row r="1047" spans="1:39">
      <c r="A1047" s="143" t="s">
        <v>2107</v>
      </c>
      <c r="B1047" s="144">
        <v>100</v>
      </c>
      <c r="C1047" s="145">
        <v>199</v>
      </c>
      <c r="D1047" s="145">
        <v>36.119999999999997</v>
      </c>
      <c r="E1047" s="145">
        <v>5</v>
      </c>
      <c r="F1047" s="145">
        <v>1.72</v>
      </c>
      <c r="G1047" s="145">
        <v>2</v>
      </c>
      <c r="H1047" s="145">
        <v>0.22</v>
      </c>
      <c r="I1047" s="145">
        <v>0.17</v>
      </c>
      <c r="J1047" s="145">
        <v>0.02</v>
      </c>
      <c r="K1047" s="145">
        <v>90</v>
      </c>
      <c r="L1047" s="145" t="s">
        <v>400</v>
      </c>
      <c r="M1047" s="145" t="s">
        <v>400</v>
      </c>
      <c r="N1047" s="145">
        <v>4</v>
      </c>
      <c r="O1047" s="145">
        <v>26</v>
      </c>
      <c r="P1047" s="145">
        <v>1.7999999999999999E-2</v>
      </c>
      <c r="Q1047" s="145">
        <v>226</v>
      </c>
      <c r="R1047" s="145">
        <v>3.32</v>
      </c>
      <c r="S1047" s="145">
        <v>45</v>
      </c>
      <c r="T1047" s="145">
        <v>334</v>
      </c>
      <c r="U1047" s="145">
        <v>0.124</v>
      </c>
      <c r="V1047" s="145">
        <v>4.5599999999999996</v>
      </c>
      <c r="W1047" s="145" t="s">
        <v>400</v>
      </c>
      <c r="X1047" s="145">
        <v>7.0000000000000007E-2</v>
      </c>
      <c r="Y1047" s="145">
        <v>0.25</v>
      </c>
      <c r="Z1047" s="146">
        <v>0.28000000000000003</v>
      </c>
      <c r="AA1047" s="145">
        <v>3.81</v>
      </c>
      <c r="AB1047" s="145" t="s">
        <v>400</v>
      </c>
      <c r="AC1047" s="145">
        <v>7.76</v>
      </c>
      <c r="AD1047" s="145">
        <v>2.7</v>
      </c>
      <c r="AE1047" s="145">
        <v>9</v>
      </c>
      <c r="AF1047" s="145">
        <v>0.7</v>
      </c>
      <c r="AG1047" s="145">
        <v>0.14000000000000001</v>
      </c>
      <c r="AH1047" s="145">
        <v>0.22700000000000001</v>
      </c>
      <c r="AI1047" s="145">
        <v>333</v>
      </c>
      <c r="AJ1047" s="145">
        <v>33</v>
      </c>
      <c r="AK1047" s="145" t="s">
        <v>400</v>
      </c>
      <c r="AL1047" s="145" t="s">
        <v>400</v>
      </c>
      <c r="AM1047" s="145" t="s">
        <v>400</v>
      </c>
    </row>
    <row r="1048" spans="1:39">
      <c r="A1048" s="143" t="s">
        <v>2108</v>
      </c>
      <c r="B1048" s="144">
        <v>100</v>
      </c>
      <c r="C1048" s="145">
        <v>221.65899999999999</v>
      </c>
      <c r="D1048" s="145">
        <v>36.119999999999997</v>
      </c>
      <c r="E1048" s="145">
        <v>7.5629999999999997</v>
      </c>
      <c r="F1048" s="145">
        <v>2.121</v>
      </c>
      <c r="G1048" s="145">
        <v>2.5840000000000001</v>
      </c>
      <c r="H1048" s="145">
        <v>1.7</v>
      </c>
      <c r="I1048" s="145">
        <v>1.476</v>
      </c>
      <c r="J1048" s="145">
        <v>0.19400000000000001</v>
      </c>
      <c r="K1048" s="145">
        <v>90</v>
      </c>
      <c r="L1048" s="145" t="s">
        <v>400</v>
      </c>
      <c r="M1048" s="145" t="s">
        <v>400</v>
      </c>
      <c r="N1048" s="145">
        <v>4</v>
      </c>
      <c r="O1048" s="145">
        <v>26</v>
      </c>
      <c r="P1048" s="145">
        <v>1.7999999999999999E-2</v>
      </c>
      <c r="Q1048" s="145">
        <v>226</v>
      </c>
      <c r="R1048" s="145">
        <v>3.3210000000000002</v>
      </c>
      <c r="S1048" s="145">
        <v>45</v>
      </c>
      <c r="T1048" s="145">
        <v>334</v>
      </c>
      <c r="U1048" s="145">
        <v>0.124</v>
      </c>
      <c r="V1048" s="145">
        <v>4.5599999999999996</v>
      </c>
      <c r="W1048" s="145" t="s">
        <v>400</v>
      </c>
      <c r="X1048" s="145">
        <v>7.0000000000000007E-2</v>
      </c>
      <c r="Y1048" s="145">
        <v>0.25</v>
      </c>
      <c r="Z1048" s="145">
        <v>0.28000000000000003</v>
      </c>
      <c r="AA1048" s="145">
        <v>3.81</v>
      </c>
      <c r="AB1048" s="145" t="s">
        <v>400</v>
      </c>
      <c r="AC1048" s="145">
        <v>7.76</v>
      </c>
      <c r="AD1048" s="145">
        <v>2.7</v>
      </c>
      <c r="AE1048" s="145">
        <v>9</v>
      </c>
      <c r="AF1048" s="145">
        <v>0.7</v>
      </c>
      <c r="AG1048" s="145">
        <v>0.35</v>
      </c>
      <c r="AH1048" s="145">
        <v>0.24099999999999999</v>
      </c>
      <c r="AI1048" s="145">
        <v>333</v>
      </c>
      <c r="AJ1048" s="145">
        <v>34.174999999999997</v>
      </c>
      <c r="AK1048" s="145" t="s">
        <v>400</v>
      </c>
      <c r="AL1048" s="145" t="s">
        <v>400</v>
      </c>
      <c r="AM1048" s="145" t="s">
        <v>400</v>
      </c>
    </row>
    <row r="1049" spans="1:39">
      <c r="A1049" s="143" t="s">
        <v>2109</v>
      </c>
      <c r="B1049" s="144">
        <v>100</v>
      </c>
      <c r="C1049" s="145">
        <v>164</v>
      </c>
      <c r="D1049" s="145">
        <v>26.13</v>
      </c>
      <c r="E1049" s="145">
        <v>5.81</v>
      </c>
      <c r="F1049" s="145">
        <v>2.31</v>
      </c>
      <c r="G1049" s="145">
        <v>2.16</v>
      </c>
      <c r="H1049" s="145">
        <v>0.43</v>
      </c>
      <c r="I1049" s="145">
        <v>0.32</v>
      </c>
      <c r="J1049" s="145">
        <v>0.04</v>
      </c>
      <c r="K1049" s="145">
        <v>109</v>
      </c>
      <c r="L1049" s="145" t="s">
        <v>400</v>
      </c>
      <c r="M1049" s="145" t="s">
        <v>400</v>
      </c>
      <c r="N1049" s="145">
        <v>27</v>
      </c>
      <c r="O1049" s="145">
        <v>27</v>
      </c>
      <c r="P1049" s="145">
        <v>0.03</v>
      </c>
      <c r="Q1049" s="145">
        <v>226</v>
      </c>
      <c r="R1049" s="145">
        <v>1.1599999999999999</v>
      </c>
      <c r="S1049" s="145">
        <v>91</v>
      </c>
      <c r="T1049" s="145">
        <v>356</v>
      </c>
      <c r="U1049" s="145">
        <v>0.14599999999999999</v>
      </c>
      <c r="V1049" s="145">
        <v>4.32</v>
      </c>
      <c r="W1049" s="145" t="s">
        <v>400</v>
      </c>
      <c r="X1049" s="145">
        <v>7.0000000000000007E-2</v>
      </c>
      <c r="Y1049" s="145">
        <v>0.33</v>
      </c>
      <c r="Z1049" s="145">
        <v>0.3</v>
      </c>
      <c r="AA1049" s="145">
        <v>8.24</v>
      </c>
      <c r="AB1049" s="145" t="s">
        <v>400</v>
      </c>
      <c r="AC1049" s="145">
        <v>12.657</v>
      </c>
      <c r="AD1049" s="145">
        <v>1.57</v>
      </c>
      <c r="AE1049" s="145">
        <v>17</v>
      </c>
      <c r="AF1049" s="145">
        <v>1.5</v>
      </c>
      <c r="AG1049" s="145">
        <v>0.5</v>
      </c>
      <c r="AH1049" s="145">
        <v>0.1</v>
      </c>
      <c r="AI1049" s="145">
        <v>333</v>
      </c>
      <c r="AJ1049" s="145">
        <v>11.3</v>
      </c>
      <c r="AK1049" s="145" t="s">
        <v>400</v>
      </c>
      <c r="AL1049" s="145" t="s">
        <v>400</v>
      </c>
      <c r="AM1049" s="145" t="s">
        <v>400</v>
      </c>
    </row>
    <row r="1050" spans="1:39">
      <c r="A1050" s="143" t="s">
        <v>2110</v>
      </c>
      <c r="B1050" s="144">
        <v>100</v>
      </c>
      <c r="C1050" s="145">
        <v>186.65899999999999</v>
      </c>
      <c r="D1050" s="145">
        <v>26.13</v>
      </c>
      <c r="E1050" s="145">
        <v>8.3729999999999993</v>
      </c>
      <c r="F1050" s="145">
        <v>2.7109999999999999</v>
      </c>
      <c r="G1050" s="145">
        <v>2.7440000000000002</v>
      </c>
      <c r="H1050" s="145">
        <v>1.91</v>
      </c>
      <c r="I1050" s="145">
        <v>1.6259999999999999</v>
      </c>
      <c r="J1050" s="145">
        <v>0.214</v>
      </c>
      <c r="K1050" s="145">
        <v>109</v>
      </c>
      <c r="L1050" s="145" t="s">
        <v>400</v>
      </c>
      <c r="M1050" s="145" t="s">
        <v>400</v>
      </c>
      <c r="N1050" s="145">
        <v>27</v>
      </c>
      <c r="O1050" s="145">
        <v>27</v>
      </c>
      <c r="P1050" s="145">
        <v>0.03</v>
      </c>
      <c r="Q1050" s="145">
        <v>226</v>
      </c>
      <c r="R1050" s="145">
        <v>1.161</v>
      </c>
      <c r="S1050" s="145">
        <v>91</v>
      </c>
      <c r="T1050" s="145">
        <v>356</v>
      </c>
      <c r="U1050" s="145">
        <v>0.14599999999999999</v>
      </c>
      <c r="V1050" s="145">
        <v>4.32</v>
      </c>
      <c r="W1050" s="145" t="s">
        <v>400</v>
      </c>
      <c r="X1050" s="145">
        <v>7.0000000000000007E-2</v>
      </c>
      <c r="Y1050" s="145">
        <v>0.33</v>
      </c>
      <c r="Z1050" s="145">
        <v>0.3</v>
      </c>
      <c r="AA1050" s="145">
        <v>8.24</v>
      </c>
      <c r="AB1050" s="145" t="s">
        <v>400</v>
      </c>
      <c r="AC1050" s="145">
        <v>12.657</v>
      </c>
      <c r="AD1050" s="145">
        <v>1.57</v>
      </c>
      <c r="AE1050" s="145">
        <v>17</v>
      </c>
      <c r="AF1050" s="145">
        <v>1.5</v>
      </c>
      <c r="AG1050" s="145">
        <v>0.71</v>
      </c>
      <c r="AH1050" s="145">
        <v>0.114</v>
      </c>
      <c r="AI1050" s="145">
        <v>333</v>
      </c>
      <c r="AJ1050" s="145">
        <v>12.475</v>
      </c>
      <c r="AK1050" s="145" t="s">
        <v>400</v>
      </c>
      <c r="AL1050" s="145" t="s">
        <v>400</v>
      </c>
      <c r="AM1050" s="145" t="s">
        <v>400</v>
      </c>
    </row>
    <row r="1051" spans="1:39">
      <c r="A1051" s="143" t="s">
        <v>2111</v>
      </c>
      <c r="B1051" s="144">
        <v>100</v>
      </c>
      <c r="C1051" s="145">
        <v>164</v>
      </c>
      <c r="D1051" s="145">
        <v>26.13</v>
      </c>
      <c r="E1051" s="145">
        <v>5.81</v>
      </c>
      <c r="F1051" s="145">
        <v>2.31</v>
      </c>
      <c r="G1051" s="145">
        <v>2.16</v>
      </c>
      <c r="H1051" s="145">
        <v>0.43</v>
      </c>
      <c r="I1051" s="145">
        <v>0.32</v>
      </c>
      <c r="J1051" s="145">
        <v>0.04</v>
      </c>
      <c r="K1051" s="145">
        <v>109</v>
      </c>
      <c r="L1051" s="145" t="s">
        <v>400</v>
      </c>
      <c r="M1051" s="145" t="s">
        <v>400</v>
      </c>
      <c r="N1051" s="145">
        <v>27</v>
      </c>
      <c r="O1051" s="145">
        <v>27</v>
      </c>
      <c r="P1051" s="145">
        <v>0.03</v>
      </c>
      <c r="Q1051" s="145">
        <v>226</v>
      </c>
      <c r="R1051" s="145">
        <v>1.1599999999999999</v>
      </c>
      <c r="S1051" s="145">
        <v>91</v>
      </c>
      <c r="T1051" s="145">
        <v>356</v>
      </c>
      <c r="U1051" s="145">
        <v>0.14599999999999999</v>
      </c>
      <c r="V1051" s="145">
        <v>4.32</v>
      </c>
      <c r="W1051" s="145" t="s">
        <v>400</v>
      </c>
      <c r="X1051" s="145">
        <v>7.0000000000000007E-2</v>
      </c>
      <c r="Y1051" s="145">
        <v>0.33</v>
      </c>
      <c r="Z1051" s="145">
        <v>0.3</v>
      </c>
      <c r="AA1051" s="145">
        <v>8.24</v>
      </c>
      <c r="AB1051" s="145" t="s">
        <v>400</v>
      </c>
      <c r="AC1051" s="145">
        <v>12.657</v>
      </c>
      <c r="AD1051" s="145">
        <v>1.57</v>
      </c>
      <c r="AE1051" s="145">
        <v>17</v>
      </c>
      <c r="AF1051" s="145">
        <v>1.5</v>
      </c>
      <c r="AG1051" s="145">
        <v>0.5</v>
      </c>
      <c r="AH1051" s="145">
        <v>0.1</v>
      </c>
      <c r="AI1051" s="145">
        <v>333</v>
      </c>
      <c r="AJ1051" s="145">
        <v>11.3</v>
      </c>
      <c r="AK1051" s="145" t="s">
        <v>400</v>
      </c>
      <c r="AL1051" s="145" t="s">
        <v>400</v>
      </c>
      <c r="AM1051" s="145" t="s">
        <v>400</v>
      </c>
    </row>
    <row r="1052" spans="1:39">
      <c r="A1052" s="143" t="s">
        <v>2112</v>
      </c>
      <c r="B1052" s="144">
        <v>100</v>
      </c>
      <c r="C1052" s="145">
        <v>164</v>
      </c>
      <c r="D1052" s="145">
        <v>26.13</v>
      </c>
      <c r="E1052" s="145">
        <v>5.81</v>
      </c>
      <c r="F1052" s="145">
        <v>2.31</v>
      </c>
      <c r="G1052" s="145">
        <v>2.16</v>
      </c>
      <c r="H1052" s="145">
        <v>0.43</v>
      </c>
      <c r="I1052" s="145">
        <v>0.32</v>
      </c>
      <c r="J1052" s="145">
        <v>0.04</v>
      </c>
      <c r="K1052" s="145">
        <v>109</v>
      </c>
      <c r="L1052" s="145" t="s">
        <v>400</v>
      </c>
      <c r="M1052" s="145" t="s">
        <v>400</v>
      </c>
      <c r="N1052" s="145">
        <v>27</v>
      </c>
      <c r="O1052" s="145">
        <v>27</v>
      </c>
      <c r="P1052" s="145">
        <v>0.03</v>
      </c>
      <c r="Q1052" s="145">
        <v>226</v>
      </c>
      <c r="R1052" s="145">
        <v>1.1599999999999999</v>
      </c>
      <c r="S1052" s="145">
        <v>91</v>
      </c>
      <c r="T1052" s="145">
        <v>356</v>
      </c>
      <c r="U1052" s="145">
        <v>0.14599999999999999</v>
      </c>
      <c r="V1052" s="145">
        <v>4.32</v>
      </c>
      <c r="W1052" s="145" t="s">
        <v>400</v>
      </c>
      <c r="X1052" s="145">
        <v>7.0000000000000007E-2</v>
      </c>
      <c r="Y1052" s="145">
        <v>0.33</v>
      </c>
      <c r="Z1052" s="145">
        <v>0.3</v>
      </c>
      <c r="AA1052" s="145">
        <v>8.24</v>
      </c>
      <c r="AB1052" s="145" t="s">
        <v>400</v>
      </c>
      <c r="AC1052" s="145">
        <v>12.657</v>
      </c>
      <c r="AD1052" s="145">
        <v>1.57</v>
      </c>
      <c r="AE1052" s="145">
        <v>17</v>
      </c>
      <c r="AF1052" s="145">
        <v>1.5</v>
      </c>
      <c r="AG1052" s="145">
        <v>0.5</v>
      </c>
      <c r="AH1052" s="145">
        <v>0.1</v>
      </c>
      <c r="AI1052" s="145">
        <v>333</v>
      </c>
      <c r="AJ1052" s="145">
        <v>11.3</v>
      </c>
      <c r="AK1052" s="145" t="s">
        <v>400</v>
      </c>
      <c r="AL1052" s="145" t="s">
        <v>400</v>
      </c>
      <c r="AM1052" s="145" t="s">
        <v>400</v>
      </c>
    </row>
    <row r="1053" spans="1:39">
      <c r="A1053" s="143" t="s">
        <v>2113</v>
      </c>
      <c r="B1053" s="144">
        <v>100</v>
      </c>
      <c r="C1053" s="145">
        <v>242</v>
      </c>
      <c r="D1053" s="145">
        <v>24.22</v>
      </c>
      <c r="E1053" s="145">
        <v>15.42</v>
      </c>
      <c r="F1053" s="145">
        <v>5.7380000000000004</v>
      </c>
      <c r="G1053" s="145">
        <v>7.0019999999999998</v>
      </c>
      <c r="H1053" s="145">
        <v>0.61299999999999999</v>
      </c>
      <c r="I1053" s="145">
        <v>0.41599999999999998</v>
      </c>
      <c r="J1053" s="145">
        <v>0.16400000000000001</v>
      </c>
      <c r="K1053" s="145">
        <v>75</v>
      </c>
      <c r="L1053" s="145" t="s">
        <v>400</v>
      </c>
      <c r="M1053" s="145" t="s">
        <v>400</v>
      </c>
      <c r="N1053" s="145">
        <v>8</v>
      </c>
      <c r="O1053" s="145">
        <v>20</v>
      </c>
      <c r="P1053" s="145">
        <v>1E-3</v>
      </c>
      <c r="Q1053" s="145">
        <v>196</v>
      </c>
      <c r="R1053" s="145">
        <v>2.81</v>
      </c>
      <c r="S1053" s="145">
        <v>67</v>
      </c>
      <c r="T1053" s="145">
        <v>337</v>
      </c>
      <c r="U1053" s="145">
        <v>9.2999999999999999E-2</v>
      </c>
      <c r="V1053" s="145">
        <v>5.71</v>
      </c>
      <c r="W1053" s="145" t="s">
        <v>400</v>
      </c>
      <c r="X1053" s="145">
        <v>8.1000000000000003E-2</v>
      </c>
      <c r="Y1053" s="145">
        <v>0.22600000000000001</v>
      </c>
      <c r="Z1053" s="146">
        <v>0.255</v>
      </c>
      <c r="AA1053" s="145">
        <v>3.2069999999999999</v>
      </c>
      <c r="AB1053" s="145" t="s">
        <v>400</v>
      </c>
      <c r="AC1053" s="145">
        <v>7.5739999999999998</v>
      </c>
      <c r="AD1053" s="145">
        <v>2.83</v>
      </c>
      <c r="AE1053" s="145">
        <v>9</v>
      </c>
      <c r="AF1053" s="145">
        <v>0.7</v>
      </c>
      <c r="AG1053" s="145">
        <v>0.14000000000000001</v>
      </c>
      <c r="AH1053" s="145">
        <v>0.68</v>
      </c>
      <c r="AI1053" s="145">
        <v>333</v>
      </c>
      <c r="AJ1053" s="145">
        <v>28.3</v>
      </c>
      <c r="AK1053" s="145" t="s">
        <v>400</v>
      </c>
      <c r="AL1053" s="145" t="s">
        <v>400</v>
      </c>
      <c r="AM1053" s="145" t="s">
        <v>400</v>
      </c>
    </row>
    <row r="1054" spans="1:39">
      <c r="A1054" s="143" t="s">
        <v>2114</v>
      </c>
      <c r="B1054" s="144">
        <v>100</v>
      </c>
      <c r="C1054" s="145">
        <v>242</v>
      </c>
      <c r="D1054" s="145">
        <v>24.22</v>
      </c>
      <c r="E1054" s="145">
        <v>15.42</v>
      </c>
      <c r="F1054" s="145">
        <v>5.7380000000000004</v>
      </c>
      <c r="G1054" s="145">
        <v>7.0019999999999998</v>
      </c>
      <c r="H1054" s="145">
        <v>0.61299999999999999</v>
      </c>
      <c r="I1054" s="145">
        <v>0.41599999999999998</v>
      </c>
      <c r="J1054" s="145">
        <v>0.16400000000000001</v>
      </c>
      <c r="K1054" s="145">
        <v>75</v>
      </c>
      <c r="L1054" s="145" t="s">
        <v>400</v>
      </c>
      <c r="M1054" s="145" t="s">
        <v>400</v>
      </c>
      <c r="N1054" s="145">
        <v>8</v>
      </c>
      <c r="O1054" s="145">
        <v>20</v>
      </c>
      <c r="P1054" s="145">
        <v>1E-3</v>
      </c>
      <c r="Q1054" s="145">
        <v>196</v>
      </c>
      <c r="R1054" s="145">
        <v>2.81</v>
      </c>
      <c r="S1054" s="145">
        <v>67</v>
      </c>
      <c r="T1054" s="145">
        <v>337</v>
      </c>
      <c r="U1054" s="145">
        <v>9.2999999999999999E-2</v>
      </c>
      <c r="V1054" s="145">
        <v>5.71</v>
      </c>
      <c r="W1054" s="145" t="s">
        <v>400</v>
      </c>
      <c r="X1054" s="145">
        <v>8.1000000000000003E-2</v>
      </c>
      <c r="Y1054" s="145">
        <v>0.22600000000000001</v>
      </c>
      <c r="Z1054" s="146">
        <v>0.255</v>
      </c>
      <c r="AA1054" s="145">
        <v>3.2069999999999999</v>
      </c>
      <c r="AB1054" s="145" t="s">
        <v>400</v>
      </c>
      <c r="AC1054" s="145">
        <v>7.5739999999999998</v>
      </c>
      <c r="AD1054" s="145">
        <v>2.83</v>
      </c>
      <c r="AE1054" s="145">
        <v>9</v>
      </c>
      <c r="AF1054" s="145">
        <v>0.7</v>
      </c>
      <c r="AG1054" s="145">
        <v>0.14000000000000001</v>
      </c>
      <c r="AH1054" s="145">
        <v>0.68</v>
      </c>
      <c r="AI1054" s="145">
        <v>333</v>
      </c>
      <c r="AJ1054" s="145">
        <v>28.3</v>
      </c>
      <c r="AK1054" s="145" t="s">
        <v>400</v>
      </c>
      <c r="AL1054" s="145" t="s">
        <v>400</v>
      </c>
      <c r="AM1054" s="145" t="s">
        <v>400</v>
      </c>
    </row>
    <row r="1055" spans="1:39">
      <c r="A1055" s="143" t="s">
        <v>2115</v>
      </c>
      <c r="B1055" s="144">
        <v>100</v>
      </c>
      <c r="C1055" s="145">
        <v>242</v>
      </c>
      <c r="D1055" s="145">
        <v>24.22</v>
      </c>
      <c r="E1055" s="145">
        <v>15.42</v>
      </c>
      <c r="F1055" s="145">
        <v>5.7380000000000004</v>
      </c>
      <c r="G1055" s="145">
        <v>7.0019999999999998</v>
      </c>
      <c r="H1055" s="145">
        <v>0.61299999999999999</v>
      </c>
      <c r="I1055" s="145">
        <v>0.41599999999999998</v>
      </c>
      <c r="J1055" s="145">
        <v>0.16400000000000001</v>
      </c>
      <c r="K1055" s="145">
        <v>75</v>
      </c>
      <c r="L1055" s="145" t="s">
        <v>400</v>
      </c>
      <c r="M1055" s="145" t="s">
        <v>400</v>
      </c>
      <c r="N1055" s="145">
        <v>8</v>
      </c>
      <c r="O1055" s="145">
        <v>20</v>
      </c>
      <c r="P1055" s="145">
        <v>1E-3</v>
      </c>
      <c r="Q1055" s="145">
        <v>196</v>
      </c>
      <c r="R1055" s="145">
        <v>2.81</v>
      </c>
      <c r="S1055" s="145">
        <v>67</v>
      </c>
      <c r="T1055" s="145">
        <v>337</v>
      </c>
      <c r="U1055" s="145">
        <v>9.2999999999999999E-2</v>
      </c>
      <c r="V1055" s="145">
        <v>5.71</v>
      </c>
      <c r="W1055" s="145" t="s">
        <v>400</v>
      </c>
      <c r="X1055" s="145">
        <v>8.1000000000000003E-2</v>
      </c>
      <c r="Y1055" s="145">
        <v>0.22600000000000001</v>
      </c>
      <c r="Z1055" s="146">
        <v>0.255</v>
      </c>
      <c r="AA1055" s="145">
        <v>3.2069999999999999</v>
      </c>
      <c r="AB1055" s="145" t="s">
        <v>400</v>
      </c>
      <c r="AC1055" s="145">
        <v>7.5739999999999998</v>
      </c>
      <c r="AD1055" s="145">
        <v>2.83</v>
      </c>
      <c r="AE1055" s="145">
        <v>9</v>
      </c>
      <c r="AF1055" s="145">
        <v>0.7</v>
      </c>
      <c r="AG1055" s="145">
        <v>0.14000000000000001</v>
      </c>
      <c r="AH1055" s="145">
        <v>0.68</v>
      </c>
      <c r="AI1055" s="145">
        <v>333</v>
      </c>
      <c r="AJ1055" s="145">
        <v>28.3</v>
      </c>
      <c r="AK1055" s="145" t="s">
        <v>400</v>
      </c>
      <c r="AL1055" s="145" t="s">
        <v>400</v>
      </c>
      <c r="AM1055" s="145" t="s">
        <v>400</v>
      </c>
    </row>
    <row r="1056" spans="1:39">
      <c r="A1056" s="143" t="s">
        <v>2116</v>
      </c>
      <c r="B1056" s="144">
        <v>100</v>
      </c>
      <c r="C1056" s="145">
        <v>242</v>
      </c>
      <c r="D1056" s="145">
        <v>24.22</v>
      </c>
      <c r="E1056" s="145">
        <v>15.42</v>
      </c>
      <c r="F1056" s="145">
        <v>5.7380000000000004</v>
      </c>
      <c r="G1056" s="145">
        <v>7.0019999999999998</v>
      </c>
      <c r="H1056" s="145">
        <v>0.61299999999999999</v>
      </c>
      <c r="I1056" s="145">
        <v>0.41599999999999998</v>
      </c>
      <c r="J1056" s="145">
        <v>0.16400000000000001</v>
      </c>
      <c r="K1056" s="145">
        <v>75</v>
      </c>
      <c r="L1056" s="145" t="s">
        <v>400</v>
      </c>
      <c r="M1056" s="145" t="s">
        <v>400</v>
      </c>
      <c r="N1056" s="145">
        <v>8</v>
      </c>
      <c r="O1056" s="145">
        <v>20</v>
      </c>
      <c r="P1056" s="145">
        <v>1E-3</v>
      </c>
      <c r="Q1056" s="145">
        <v>196</v>
      </c>
      <c r="R1056" s="145">
        <v>2.81</v>
      </c>
      <c r="S1056" s="145">
        <v>67</v>
      </c>
      <c r="T1056" s="145">
        <v>337</v>
      </c>
      <c r="U1056" s="145">
        <v>9.2999999999999999E-2</v>
      </c>
      <c r="V1056" s="145">
        <v>5.71</v>
      </c>
      <c r="W1056" s="145" t="s">
        <v>400</v>
      </c>
      <c r="X1056" s="145">
        <v>8.1000000000000003E-2</v>
      </c>
      <c r="Y1056" s="145">
        <v>0.22600000000000001</v>
      </c>
      <c r="Z1056" s="146">
        <v>0.255</v>
      </c>
      <c r="AA1056" s="145">
        <v>3.2069999999999999</v>
      </c>
      <c r="AB1056" s="145" t="s">
        <v>400</v>
      </c>
      <c r="AC1056" s="145">
        <v>7.5739999999999998</v>
      </c>
      <c r="AD1056" s="145">
        <v>2.83</v>
      </c>
      <c r="AE1056" s="145">
        <v>9</v>
      </c>
      <c r="AF1056" s="145">
        <v>0.7</v>
      </c>
      <c r="AG1056" s="145">
        <v>0.14000000000000001</v>
      </c>
      <c r="AH1056" s="145">
        <v>0.68</v>
      </c>
      <c r="AI1056" s="145">
        <v>333</v>
      </c>
      <c r="AJ1056" s="145">
        <v>28.3</v>
      </c>
      <c r="AK1056" s="145" t="s">
        <v>400</v>
      </c>
      <c r="AL1056" s="145" t="s">
        <v>400</v>
      </c>
      <c r="AM1056" s="145" t="s">
        <v>400</v>
      </c>
    </row>
    <row r="1057" spans="1:39">
      <c r="A1057" s="143" t="s">
        <v>2117</v>
      </c>
      <c r="B1057" s="144">
        <v>100</v>
      </c>
      <c r="C1057" s="145">
        <v>264.65899999999999</v>
      </c>
      <c r="D1057" s="145">
        <v>24.22</v>
      </c>
      <c r="E1057" s="145">
        <v>17.983000000000001</v>
      </c>
      <c r="F1057" s="145">
        <v>6.1390000000000002</v>
      </c>
      <c r="G1057" s="145">
        <v>7.5860000000000003</v>
      </c>
      <c r="H1057" s="145">
        <v>2.093</v>
      </c>
      <c r="I1057" s="145">
        <v>1.722</v>
      </c>
      <c r="J1057" s="145">
        <v>0.33800000000000002</v>
      </c>
      <c r="K1057" s="145">
        <v>75</v>
      </c>
      <c r="L1057" s="145" t="s">
        <v>400</v>
      </c>
      <c r="M1057" s="145" t="s">
        <v>400</v>
      </c>
      <c r="N1057" s="145">
        <v>8</v>
      </c>
      <c r="O1057" s="145">
        <v>20</v>
      </c>
      <c r="P1057" s="145">
        <v>1E-3</v>
      </c>
      <c r="Q1057" s="145">
        <v>196</v>
      </c>
      <c r="R1057" s="145">
        <v>2.8109999999999999</v>
      </c>
      <c r="S1057" s="145">
        <v>67</v>
      </c>
      <c r="T1057" s="145">
        <v>337</v>
      </c>
      <c r="U1057" s="145">
        <v>9.2999999999999999E-2</v>
      </c>
      <c r="V1057" s="145">
        <v>5.71</v>
      </c>
      <c r="W1057" s="145" t="s">
        <v>400</v>
      </c>
      <c r="X1057" s="145">
        <v>8.1000000000000003E-2</v>
      </c>
      <c r="Y1057" s="145">
        <v>0.22600000000000001</v>
      </c>
      <c r="Z1057" s="146">
        <v>0.255</v>
      </c>
      <c r="AA1057" s="145">
        <v>3.2069999999999999</v>
      </c>
      <c r="AB1057" s="145" t="s">
        <v>400</v>
      </c>
      <c r="AC1057" s="145">
        <v>7.5739999999999998</v>
      </c>
      <c r="AD1057" s="145">
        <v>2.83</v>
      </c>
      <c r="AE1057" s="145">
        <v>9</v>
      </c>
      <c r="AF1057" s="145">
        <v>0.7</v>
      </c>
      <c r="AG1057" s="145">
        <v>0.35</v>
      </c>
      <c r="AH1057" s="145">
        <v>0.69399999999999995</v>
      </c>
      <c r="AI1057" s="145">
        <v>333</v>
      </c>
      <c r="AJ1057" s="145">
        <v>29.475000000000001</v>
      </c>
      <c r="AK1057" s="145" t="s">
        <v>400</v>
      </c>
      <c r="AL1057" s="145" t="s">
        <v>400</v>
      </c>
      <c r="AM1057" s="145" t="s">
        <v>400</v>
      </c>
    </row>
    <row r="1058" spans="1:39">
      <c r="A1058" s="143" t="s">
        <v>2118</v>
      </c>
      <c r="B1058" s="144">
        <v>100</v>
      </c>
      <c r="C1058" s="145">
        <v>280.83699999999999</v>
      </c>
      <c r="D1058" s="145">
        <v>24.678999999999998</v>
      </c>
      <c r="E1058" s="145">
        <v>18.027000000000001</v>
      </c>
      <c r="F1058" s="145">
        <v>6.1459999999999999</v>
      </c>
      <c r="G1058" s="145">
        <v>7.59</v>
      </c>
      <c r="H1058" s="145">
        <v>2.1110000000000002</v>
      </c>
      <c r="I1058" s="145">
        <v>1.7390000000000001</v>
      </c>
      <c r="J1058" s="145">
        <v>0.33900000000000002</v>
      </c>
      <c r="K1058" s="145">
        <v>75</v>
      </c>
      <c r="L1058" s="145">
        <v>3.3919999999999999</v>
      </c>
      <c r="M1058" s="145">
        <v>0.13500000000000001</v>
      </c>
      <c r="N1058" s="145">
        <v>8.6669999999999998</v>
      </c>
      <c r="O1058" s="145">
        <v>20.978000000000002</v>
      </c>
      <c r="P1058" s="145">
        <v>3.1E-2</v>
      </c>
      <c r="Q1058" s="145">
        <v>200.8</v>
      </c>
      <c r="R1058" s="145">
        <v>3.0179999999999998</v>
      </c>
      <c r="S1058" s="145">
        <v>67.088999999999999</v>
      </c>
      <c r="T1058" s="145">
        <v>341.75599999999997</v>
      </c>
      <c r="U1058" s="145">
        <v>9.9000000000000005E-2</v>
      </c>
      <c r="V1058" s="145">
        <v>5.7409999999999997</v>
      </c>
      <c r="W1058" s="145" t="s">
        <v>400</v>
      </c>
      <c r="X1058" s="145">
        <v>0.11600000000000001</v>
      </c>
      <c r="Y1058" s="145">
        <v>0.248</v>
      </c>
      <c r="Z1058" s="146">
        <v>0.25700000000000001</v>
      </c>
      <c r="AA1058" s="145">
        <v>3.4689999999999999</v>
      </c>
      <c r="AB1058" s="145" t="s">
        <v>400</v>
      </c>
      <c r="AC1058" s="145">
        <v>7.93</v>
      </c>
      <c r="AD1058" s="145">
        <v>2.83</v>
      </c>
      <c r="AE1058" s="145">
        <v>18.067</v>
      </c>
      <c r="AF1058" s="145">
        <v>0.7</v>
      </c>
      <c r="AG1058" s="145">
        <v>0.35199999999999998</v>
      </c>
      <c r="AH1058" s="145">
        <v>0.69399999999999995</v>
      </c>
      <c r="AI1058" s="145">
        <v>333</v>
      </c>
      <c r="AJ1058" s="145">
        <v>30.981000000000002</v>
      </c>
      <c r="AK1058" s="145" t="s">
        <v>400</v>
      </c>
      <c r="AL1058" s="145">
        <v>1.4E-2</v>
      </c>
      <c r="AM1058" s="145" t="s">
        <v>400</v>
      </c>
    </row>
    <row r="1059" spans="1:39">
      <c r="A1059" s="143" t="s">
        <v>2119</v>
      </c>
      <c r="B1059" s="144">
        <v>100</v>
      </c>
      <c r="C1059" s="145">
        <v>264.65899999999999</v>
      </c>
      <c r="D1059" s="145">
        <v>24.22</v>
      </c>
      <c r="E1059" s="145">
        <v>17.983000000000001</v>
      </c>
      <c r="F1059" s="145">
        <v>6.1390000000000002</v>
      </c>
      <c r="G1059" s="145">
        <v>7.5860000000000003</v>
      </c>
      <c r="H1059" s="145">
        <v>2.093</v>
      </c>
      <c r="I1059" s="145">
        <v>1.722</v>
      </c>
      <c r="J1059" s="145">
        <v>0.33800000000000002</v>
      </c>
      <c r="K1059" s="145">
        <v>75</v>
      </c>
      <c r="L1059" s="145" t="s">
        <v>400</v>
      </c>
      <c r="M1059" s="145" t="s">
        <v>400</v>
      </c>
      <c r="N1059" s="145">
        <v>8</v>
      </c>
      <c r="O1059" s="145">
        <v>20</v>
      </c>
      <c r="P1059" s="145">
        <v>1E-3</v>
      </c>
      <c r="Q1059" s="145">
        <v>196</v>
      </c>
      <c r="R1059" s="145">
        <v>2.8109999999999999</v>
      </c>
      <c r="S1059" s="145">
        <v>67</v>
      </c>
      <c r="T1059" s="145">
        <v>337</v>
      </c>
      <c r="U1059" s="145">
        <v>9.2999999999999999E-2</v>
      </c>
      <c r="V1059" s="145">
        <v>5.71</v>
      </c>
      <c r="W1059" s="145" t="s">
        <v>400</v>
      </c>
      <c r="X1059" s="145">
        <v>8.1000000000000003E-2</v>
      </c>
      <c r="Y1059" s="145">
        <v>0.22600000000000001</v>
      </c>
      <c r="Z1059" s="146">
        <v>0.255</v>
      </c>
      <c r="AA1059" s="145">
        <v>3.2069999999999999</v>
      </c>
      <c r="AB1059" s="145" t="s">
        <v>400</v>
      </c>
      <c r="AC1059" s="145">
        <v>7.5739999999999998</v>
      </c>
      <c r="AD1059" s="145">
        <v>2.83</v>
      </c>
      <c r="AE1059" s="145">
        <v>9</v>
      </c>
      <c r="AF1059" s="145">
        <v>0.7</v>
      </c>
      <c r="AG1059" s="145">
        <v>0.35</v>
      </c>
      <c r="AH1059" s="145">
        <v>0.69399999999999995</v>
      </c>
      <c r="AI1059" s="145">
        <v>333</v>
      </c>
      <c r="AJ1059" s="145">
        <v>29.475000000000001</v>
      </c>
      <c r="AK1059" s="145" t="s">
        <v>400</v>
      </c>
      <c r="AL1059" s="145" t="s">
        <v>400</v>
      </c>
      <c r="AM1059" s="145" t="s">
        <v>400</v>
      </c>
    </row>
    <row r="1060" spans="1:39">
      <c r="A1060" s="143" t="s">
        <v>2120</v>
      </c>
      <c r="B1060" s="144">
        <v>100</v>
      </c>
      <c r="C1060" s="145">
        <v>198.4</v>
      </c>
      <c r="D1060" s="145">
        <v>19.64</v>
      </c>
      <c r="E1060" s="145">
        <v>12.372</v>
      </c>
      <c r="F1060" s="145">
        <v>4.5949999999999998</v>
      </c>
      <c r="G1060" s="145">
        <v>5.6070000000000002</v>
      </c>
      <c r="H1060" s="145">
        <v>0.505</v>
      </c>
      <c r="I1060" s="145">
        <v>0.34699999999999998</v>
      </c>
      <c r="J1060" s="145">
        <v>0.13200000000000001</v>
      </c>
      <c r="K1060" s="145">
        <v>60</v>
      </c>
      <c r="L1060" s="145">
        <v>1.0760000000000001</v>
      </c>
      <c r="M1060" s="145">
        <v>0.3</v>
      </c>
      <c r="N1060" s="145">
        <v>9</v>
      </c>
      <c r="O1060" s="145">
        <v>19.2</v>
      </c>
      <c r="P1060" s="145">
        <v>2.1999999999999999E-2</v>
      </c>
      <c r="Q1060" s="145">
        <v>162</v>
      </c>
      <c r="R1060" s="145">
        <v>2.452</v>
      </c>
      <c r="S1060" s="145">
        <v>158.4</v>
      </c>
      <c r="T1060" s="145">
        <v>335.8</v>
      </c>
      <c r="U1060" s="145">
        <v>9.8000000000000004E-2</v>
      </c>
      <c r="V1060" s="145">
        <v>4.6079999999999997</v>
      </c>
      <c r="W1060" s="145" t="s">
        <v>400</v>
      </c>
      <c r="X1060" s="145">
        <v>7.0000000000000007E-2</v>
      </c>
      <c r="Y1060" s="145">
        <v>0.19400000000000001</v>
      </c>
      <c r="Z1060" s="146">
        <v>0.223</v>
      </c>
      <c r="AA1060" s="145">
        <v>2.7610000000000001</v>
      </c>
      <c r="AB1060" s="145">
        <v>1.4</v>
      </c>
      <c r="AC1060" s="145">
        <v>6.2869999999999999</v>
      </c>
      <c r="AD1060" s="145">
        <v>2.2639999999999998</v>
      </c>
      <c r="AE1060" s="145">
        <v>9.4</v>
      </c>
      <c r="AF1060" s="145">
        <v>0.56000000000000005</v>
      </c>
      <c r="AG1060" s="145">
        <v>0.39600000000000002</v>
      </c>
      <c r="AH1060" s="145">
        <v>0.54400000000000004</v>
      </c>
      <c r="AI1060" s="145">
        <v>333</v>
      </c>
      <c r="AJ1060" s="145">
        <v>22.68</v>
      </c>
      <c r="AK1060" s="145">
        <v>3.4830000000000001</v>
      </c>
      <c r="AL1060" s="145">
        <v>0.85</v>
      </c>
      <c r="AM1060" s="145" t="s">
        <v>400</v>
      </c>
    </row>
    <row r="1061" spans="1:39">
      <c r="A1061" s="143" t="s">
        <v>2121</v>
      </c>
      <c r="B1061" s="144">
        <v>100</v>
      </c>
      <c r="C1061" s="145">
        <v>261.137</v>
      </c>
      <c r="D1061" s="145">
        <v>24.242999999999999</v>
      </c>
      <c r="E1061" s="145">
        <v>17.585000000000001</v>
      </c>
      <c r="F1061" s="145">
        <v>7.109</v>
      </c>
      <c r="G1061" s="145">
        <v>7.5629999999999997</v>
      </c>
      <c r="H1061" s="145">
        <v>0.69399999999999995</v>
      </c>
      <c r="I1061" s="145">
        <v>0.48899999999999999</v>
      </c>
      <c r="J1061" s="145">
        <v>0.17199999999999999</v>
      </c>
      <c r="K1061" s="145">
        <v>80.738</v>
      </c>
      <c r="L1061" s="145">
        <v>2E-3</v>
      </c>
      <c r="M1061" s="145" t="s">
        <v>400</v>
      </c>
      <c r="N1061" s="145">
        <v>8.641</v>
      </c>
      <c r="O1061" s="145">
        <v>20.053000000000001</v>
      </c>
      <c r="P1061" s="145">
        <v>1E-3</v>
      </c>
      <c r="Q1061" s="145">
        <v>196.64099999999999</v>
      </c>
      <c r="R1061" s="145">
        <v>2.8109999999999999</v>
      </c>
      <c r="S1061" s="145">
        <v>82.373999999999995</v>
      </c>
      <c r="T1061" s="145">
        <v>337.64100000000002</v>
      </c>
      <c r="U1061" s="145">
        <v>9.2999999999999999E-2</v>
      </c>
      <c r="V1061" s="145">
        <v>5.7119999999999997</v>
      </c>
      <c r="W1061" s="145">
        <v>17.908999999999999</v>
      </c>
      <c r="X1061" s="145">
        <v>8.1000000000000003E-2</v>
      </c>
      <c r="Y1061" s="145">
        <v>0.22700000000000001</v>
      </c>
      <c r="Z1061" s="145">
        <v>0.255</v>
      </c>
      <c r="AA1061" s="145">
        <v>3.2080000000000002</v>
      </c>
      <c r="AB1061" s="145" t="s">
        <v>400</v>
      </c>
      <c r="AC1061" s="145">
        <v>7.58</v>
      </c>
      <c r="AD1061" s="145">
        <v>2.835</v>
      </c>
      <c r="AE1061" s="145">
        <v>9.08</v>
      </c>
      <c r="AF1061" s="145">
        <v>0.73699999999999999</v>
      </c>
      <c r="AG1061" s="145">
        <v>0.20200000000000001</v>
      </c>
      <c r="AH1061" s="145">
        <v>0.76700000000000002</v>
      </c>
      <c r="AI1061" s="145">
        <v>333</v>
      </c>
      <c r="AJ1061" s="145">
        <v>28.327000000000002</v>
      </c>
      <c r="AK1061" s="145">
        <v>18.260999999999999</v>
      </c>
      <c r="AL1061" s="145">
        <v>3.0000000000000001E-3</v>
      </c>
      <c r="AM1061" s="145" t="s">
        <v>400</v>
      </c>
    </row>
    <row r="1062" spans="1:39">
      <c r="A1062" s="143" t="s">
        <v>2122</v>
      </c>
      <c r="B1062" s="144">
        <v>100</v>
      </c>
      <c r="C1062" s="145">
        <v>264.65899999999999</v>
      </c>
      <c r="D1062" s="145">
        <v>24.22</v>
      </c>
      <c r="E1062" s="145">
        <v>17.983000000000001</v>
      </c>
      <c r="F1062" s="145">
        <v>6.1390000000000002</v>
      </c>
      <c r="G1062" s="145">
        <v>7.5860000000000003</v>
      </c>
      <c r="H1062" s="145">
        <v>2.093</v>
      </c>
      <c r="I1062" s="145">
        <v>1.722</v>
      </c>
      <c r="J1062" s="145">
        <v>0.33800000000000002</v>
      </c>
      <c r="K1062" s="145">
        <v>75</v>
      </c>
      <c r="L1062" s="145" t="s">
        <v>400</v>
      </c>
      <c r="M1062" s="145" t="s">
        <v>400</v>
      </c>
      <c r="N1062" s="145">
        <v>8</v>
      </c>
      <c r="O1062" s="145">
        <v>20</v>
      </c>
      <c r="P1062" s="145">
        <v>1E-3</v>
      </c>
      <c r="Q1062" s="145">
        <v>196</v>
      </c>
      <c r="R1062" s="145">
        <v>2.8109999999999999</v>
      </c>
      <c r="S1062" s="145">
        <v>67</v>
      </c>
      <c r="T1062" s="145">
        <v>337</v>
      </c>
      <c r="U1062" s="145">
        <v>9.2999999999999999E-2</v>
      </c>
      <c r="V1062" s="145">
        <v>5.71</v>
      </c>
      <c r="W1062" s="145" t="s">
        <v>400</v>
      </c>
      <c r="X1062" s="145">
        <v>8.1000000000000003E-2</v>
      </c>
      <c r="Y1062" s="145">
        <v>0.22600000000000001</v>
      </c>
      <c r="Z1062" s="146">
        <v>0.255</v>
      </c>
      <c r="AA1062" s="145">
        <v>3.2069999999999999</v>
      </c>
      <c r="AB1062" s="145" t="s">
        <v>400</v>
      </c>
      <c r="AC1062" s="145">
        <v>7.5739999999999998</v>
      </c>
      <c r="AD1062" s="145">
        <v>2.83</v>
      </c>
      <c r="AE1062" s="145">
        <v>9</v>
      </c>
      <c r="AF1062" s="145">
        <v>0.7</v>
      </c>
      <c r="AG1062" s="145">
        <v>0.35</v>
      </c>
      <c r="AH1062" s="145">
        <v>0.69399999999999995</v>
      </c>
      <c r="AI1062" s="145">
        <v>333</v>
      </c>
      <c r="AJ1062" s="145">
        <v>29.475000000000001</v>
      </c>
      <c r="AK1062" s="145" t="s">
        <v>400</v>
      </c>
      <c r="AL1062" s="145" t="s">
        <v>400</v>
      </c>
      <c r="AM1062" s="145" t="s">
        <v>400</v>
      </c>
    </row>
    <row r="1063" spans="1:39">
      <c r="A1063" s="143" t="s">
        <v>2123</v>
      </c>
      <c r="B1063" s="144">
        <v>100</v>
      </c>
      <c r="C1063" s="145">
        <v>204</v>
      </c>
      <c r="D1063" s="145">
        <v>30.67</v>
      </c>
      <c r="E1063" s="145">
        <v>9</v>
      </c>
      <c r="F1063" s="145">
        <v>3.415</v>
      </c>
      <c r="G1063" s="145">
        <v>3.9180000000000001</v>
      </c>
      <c r="H1063" s="145">
        <v>0.34699999999999998</v>
      </c>
      <c r="I1063" s="145">
        <v>0.23799999999999999</v>
      </c>
      <c r="J1063" s="145">
        <v>8.6999999999999994E-2</v>
      </c>
      <c r="K1063" s="145">
        <v>58</v>
      </c>
      <c r="L1063" s="145" t="s">
        <v>400</v>
      </c>
      <c r="M1063" s="145" t="s">
        <v>400</v>
      </c>
      <c r="N1063" s="145">
        <v>7</v>
      </c>
      <c r="O1063" s="145">
        <v>20</v>
      </c>
      <c r="P1063" s="145">
        <v>1.0999999999999999E-2</v>
      </c>
      <c r="Q1063" s="145">
        <v>193</v>
      </c>
      <c r="R1063" s="145">
        <v>2.5299999999999998</v>
      </c>
      <c r="S1063" s="145">
        <v>41</v>
      </c>
      <c r="T1063" s="145">
        <v>252</v>
      </c>
      <c r="U1063" s="145">
        <v>7.3999999999999996E-2</v>
      </c>
      <c r="V1063" s="145">
        <v>5.2</v>
      </c>
      <c r="W1063" s="145" t="s">
        <v>400</v>
      </c>
      <c r="X1063" s="145">
        <v>7.0000000000000007E-2</v>
      </c>
      <c r="Y1063" s="145">
        <v>0.16300000000000001</v>
      </c>
      <c r="Z1063" s="146">
        <v>0.40300000000000002</v>
      </c>
      <c r="AA1063" s="145">
        <v>5.36</v>
      </c>
      <c r="AB1063" s="145" t="s">
        <v>400</v>
      </c>
      <c r="AC1063" s="145">
        <v>8.7270000000000003</v>
      </c>
      <c r="AD1063" s="145">
        <v>1.71</v>
      </c>
      <c r="AE1063" s="145">
        <v>10</v>
      </c>
      <c r="AF1063" s="145">
        <v>0.6</v>
      </c>
      <c r="AG1063" s="145">
        <v>0.43</v>
      </c>
      <c r="AH1063" s="145">
        <v>0.40899999999999997</v>
      </c>
      <c r="AI1063" s="145">
        <v>333</v>
      </c>
      <c r="AJ1063" s="145">
        <v>31.7</v>
      </c>
      <c r="AK1063" s="145" t="s">
        <v>400</v>
      </c>
      <c r="AL1063" s="145" t="s">
        <v>400</v>
      </c>
      <c r="AM1063" s="145" t="s">
        <v>400</v>
      </c>
    </row>
    <row r="1064" spans="1:39">
      <c r="A1064" s="143" t="s">
        <v>2124</v>
      </c>
      <c r="B1064" s="144">
        <v>100</v>
      </c>
      <c r="C1064" s="145">
        <v>471</v>
      </c>
      <c r="D1064" s="145">
        <v>21.57</v>
      </c>
      <c r="E1064" s="145">
        <v>41.98</v>
      </c>
      <c r="F1064" s="145">
        <v>17.8</v>
      </c>
      <c r="G1064" s="145">
        <v>18.88</v>
      </c>
      <c r="H1064" s="145">
        <v>1.53</v>
      </c>
      <c r="I1064" s="145">
        <v>0.98</v>
      </c>
      <c r="J1064" s="145">
        <v>0.5</v>
      </c>
      <c r="K1064" s="145">
        <v>94</v>
      </c>
      <c r="L1064" s="145" t="s">
        <v>400</v>
      </c>
      <c r="M1064" s="145" t="s">
        <v>400</v>
      </c>
      <c r="N1064" s="145">
        <v>12</v>
      </c>
      <c r="O1064" s="145">
        <v>15</v>
      </c>
      <c r="P1064" s="145">
        <v>1.2999999999999999E-2</v>
      </c>
      <c r="Q1064" s="145">
        <v>162</v>
      </c>
      <c r="R1064" s="145">
        <v>2.31</v>
      </c>
      <c r="S1064" s="145">
        <v>50</v>
      </c>
      <c r="T1064" s="145">
        <v>224</v>
      </c>
      <c r="U1064" s="145">
        <v>9.9000000000000005E-2</v>
      </c>
      <c r="V1064" s="145">
        <v>4.88</v>
      </c>
      <c r="W1064" s="145" t="s">
        <v>400</v>
      </c>
      <c r="X1064" s="145">
        <v>0.05</v>
      </c>
      <c r="Y1064" s="145">
        <v>0.15</v>
      </c>
      <c r="Z1064" s="145">
        <v>0.22</v>
      </c>
      <c r="AA1064" s="145">
        <v>2.452</v>
      </c>
      <c r="AB1064" s="145" t="s">
        <v>400</v>
      </c>
      <c r="AC1064" s="145">
        <v>4.819</v>
      </c>
      <c r="AD1064" s="145">
        <v>2.62</v>
      </c>
      <c r="AE1064" s="145">
        <v>5</v>
      </c>
      <c r="AF1064" s="145">
        <v>0.6</v>
      </c>
      <c r="AG1064" s="145">
        <v>0.28999999999999998</v>
      </c>
      <c r="AH1064" s="145">
        <v>1.91</v>
      </c>
      <c r="AI1064" s="145">
        <v>333</v>
      </c>
      <c r="AJ1064" s="145">
        <v>20.8</v>
      </c>
      <c r="AK1064" s="145" t="s">
        <v>400</v>
      </c>
      <c r="AL1064" s="145" t="s">
        <v>400</v>
      </c>
      <c r="AM1064" s="145" t="s">
        <v>400</v>
      </c>
    </row>
    <row r="1065" spans="1:39">
      <c r="A1065" s="143" t="s">
        <v>2125</v>
      </c>
      <c r="B1065" s="144">
        <v>100</v>
      </c>
      <c r="C1065" s="145">
        <v>471</v>
      </c>
      <c r="D1065" s="145">
        <v>21.57</v>
      </c>
      <c r="E1065" s="145">
        <v>41.98</v>
      </c>
      <c r="F1065" s="145">
        <v>17.8</v>
      </c>
      <c r="G1065" s="145">
        <v>18.88</v>
      </c>
      <c r="H1065" s="145">
        <v>1.53</v>
      </c>
      <c r="I1065" s="145">
        <v>0.98</v>
      </c>
      <c r="J1065" s="145">
        <v>0.5</v>
      </c>
      <c r="K1065" s="145">
        <v>94</v>
      </c>
      <c r="L1065" s="145" t="s">
        <v>400</v>
      </c>
      <c r="M1065" s="145" t="s">
        <v>400</v>
      </c>
      <c r="N1065" s="145">
        <v>12</v>
      </c>
      <c r="O1065" s="145">
        <v>15</v>
      </c>
      <c r="P1065" s="145">
        <v>1.2999999999999999E-2</v>
      </c>
      <c r="Q1065" s="145">
        <v>162</v>
      </c>
      <c r="R1065" s="145">
        <v>2.31</v>
      </c>
      <c r="S1065" s="145">
        <v>50</v>
      </c>
      <c r="T1065" s="145">
        <v>224</v>
      </c>
      <c r="U1065" s="145">
        <v>9.9000000000000005E-2</v>
      </c>
      <c r="V1065" s="145">
        <v>4.88</v>
      </c>
      <c r="W1065" s="145" t="s">
        <v>400</v>
      </c>
      <c r="X1065" s="145">
        <v>0.05</v>
      </c>
      <c r="Y1065" s="145">
        <v>0.15</v>
      </c>
      <c r="Z1065" s="145">
        <v>0.22</v>
      </c>
      <c r="AA1065" s="145">
        <v>2.452</v>
      </c>
      <c r="AB1065" s="145" t="s">
        <v>400</v>
      </c>
      <c r="AC1065" s="145">
        <v>4.819</v>
      </c>
      <c r="AD1065" s="145">
        <v>2.62</v>
      </c>
      <c r="AE1065" s="145">
        <v>5</v>
      </c>
      <c r="AF1065" s="145">
        <v>0.6</v>
      </c>
      <c r="AG1065" s="145">
        <v>0.28999999999999998</v>
      </c>
      <c r="AH1065" s="145">
        <v>1.91</v>
      </c>
      <c r="AI1065" s="145">
        <v>333</v>
      </c>
      <c r="AJ1065" s="145">
        <v>20.8</v>
      </c>
      <c r="AK1065" s="145" t="s">
        <v>400</v>
      </c>
      <c r="AL1065" s="145" t="s">
        <v>400</v>
      </c>
      <c r="AM1065" s="145" t="s">
        <v>400</v>
      </c>
    </row>
    <row r="1066" spans="1:39">
      <c r="A1066" s="143" t="s">
        <v>2126</v>
      </c>
      <c r="B1066" s="144">
        <v>100</v>
      </c>
      <c r="C1066" s="145">
        <v>199</v>
      </c>
      <c r="D1066" s="145">
        <v>36.119999999999997</v>
      </c>
      <c r="E1066" s="145">
        <v>5</v>
      </c>
      <c r="F1066" s="145">
        <v>1.72</v>
      </c>
      <c r="G1066" s="145">
        <v>2</v>
      </c>
      <c r="H1066" s="145">
        <v>0.22</v>
      </c>
      <c r="I1066" s="145">
        <v>0.17</v>
      </c>
      <c r="J1066" s="145">
        <v>0.02</v>
      </c>
      <c r="K1066" s="145">
        <v>90</v>
      </c>
      <c r="L1066" s="145" t="s">
        <v>400</v>
      </c>
      <c r="M1066" s="145" t="s">
        <v>400</v>
      </c>
      <c r="N1066" s="145">
        <v>4</v>
      </c>
      <c r="O1066" s="145">
        <v>26</v>
      </c>
      <c r="P1066" s="145">
        <v>1.7999999999999999E-2</v>
      </c>
      <c r="Q1066" s="145">
        <v>226</v>
      </c>
      <c r="R1066" s="145">
        <v>3.32</v>
      </c>
      <c r="S1066" s="145">
        <v>45</v>
      </c>
      <c r="T1066" s="145">
        <v>334</v>
      </c>
      <c r="U1066" s="145">
        <v>0.124</v>
      </c>
      <c r="V1066" s="145">
        <v>4.5599999999999996</v>
      </c>
      <c r="W1066" s="145" t="s">
        <v>400</v>
      </c>
      <c r="X1066" s="145">
        <v>7.0000000000000007E-2</v>
      </c>
      <c r="Y1066" s="145">
        <v>0.25</v>
      </c>
      <c r="Z1066" s="146">
        <v>0.28000000000000003</v>
      </c>
      <c r="AA1066" s="145">
        <v>3.81</v>
      </c>
      <c r="AB1066" s="145" t="s">
        <v>400</v>
      </c>
      <c r="AC1066" s="145">
        <v>7.76</v>
      </c>
      <c r="AD1066" s="145">
        <v>2.7</v>
      </c>
      <c r="AE1066" s="145">
        <v>9</v>
      </c>
      <c r="AF1066" s="145">
        <v>0.7</v>
      </c>
      <c r="AG1066" s="145">
        <v>0.14000000000000001</v>
      </c>
      <c r="AH1066" s="145">
        <v>0.22700000000000001</v>
      </c>
      <c r="AI1066" s="145">
        <v>333</v>
      </c>
      <c r="AJ1066" s="145">
        <v>33</v>
      </c>
      <c r="AK1066" s="145" t="s">
        <v>400</v>
      </c>
      <c r="AL1066" s="145" t="s">
        <v>400</v>
      </c>
      <c r="AM1066" s="145" t="s">
        <v>400</v>
      </c>
    </row>
    <row r="1067" spans="1:39">
      <c r="A1067" s="143" t="s">
        <v>2127</v>
      </c>
      <c r="B1067" s="144">
        <v>100</v>
      </c>
      <c r="C1067" s="145">
        <v>199</v>
      </c>
      <c r="D1067" s="145">
        <v>36.119999999999997</v>
      </c>
      <c r="E1067" s="145">
        <v>5</v>
      </c>
      <c r="F1067" s="145">
        <v>1.72</v>
      </c>
      <c r="G1067" s="145">
        <v>2</v>
      </c>
      <c r="H1067" s="145">
        <v>0.22</v>
      </c>
      <c r="I1067" s="145">
        <v>0.17</v>
      </c>
      <c r="J1067" s="145">
        <v>0.02</v>
      </c>
      <c r="K1067" s="145">
        <v>90</v>
      </c>
      <c r="L1067" s="145" t="s">
        <v>400</v>
      </c>
      <c r="M1067" s="145" t="s">
        <v>400</v>
      </c>
      <c r="N1067" s="145">
        <v>4</v>
      </c>
      <c r="O1067" s="145">
        <v>26</v>
      </c>
      <c r="P1067" s="145">
        <v>1.7999999999999999E-2</v>
      </c>
      <c r="Q1067" s="145">
        <v>226</v>
      </c>
      <c r="R1067" s="145">
        <v>3.32</v>
      </c>
      <c r="S1067" s="145">
        <v>45</v>
      </c>
      <c r="T1067" s="145">
        <v>334</v>
      </c>
      <c r="U1067" s="145">
        <v>0.124</v>
      </c>
      <c r="V1067" s="145">
        <v>4.5599999999999996</v>
      </c>
      <c r="W1067" s="145" t="s">
        <v>400</v>
      </c>
      <c r="X1067" s="145">
        <v>7.0000000000000007E-2</v>
      </c>
      <c r="Y1067" s="145">
        <v>0.25</v>
      </c>
      <c r="Z1067" s="146">
        <v>0.28000000000000003</v>
      </c>
      <c r="AA1067" s="145">
        <v>3.81</v>
      </c>
      <c r="AB1067" s="145" t="s">
        <v>400</v>
      </c>
      <c r="AC1067" s="145">
        <v>7.76</v>
      </c>
      <c r="AD1067" s="145">
        <v>2.7</v>
      </c>
      <c r="AE1067" s="145">
        <v>9</v>
      </c>
      <c r="AF1067" s="145">
        <v>0.7</v>
      </c>
      <c r="AG1067" s="145">
        <v>0.14000000000000001</v>
      </c>
      <c r="AH1067" s="145">
        <v>0.22700000000000001</v>
      </c>
      <c r="AI1067" s="145">
        <v>333</v>
      </c>
      <c r="AJ1067" s="145">
        <v>33</v>
      </c>
      <c r="AK1067" s="145" t="s">
        <v>400</v>
      </c>
      <c r="AL1067" s="145" t="s">
        <v>400</v>
      </c>
      <c r="AM1067" s="145" t="s">
        <v>400</v>
      </c>
    </row>
    <row r="1068" spans="1:39">
      <c r="A1068" s="143" t="s">
        <v>2128</v>
      </c>
      <c r="B1068" s="144">
        <v>100</v>
      </c>
      <c r="C1068" s="145">
        <v>248.56700000000001</v>
      </c>
      <c r="D1068" s="145">
        <v>36.119999999999997</v>
      </c>
      <c r="E1068" s="145">
        <v>10.606999999999999</v>
      </c>
      <c r="F1068" s="145">
        <v>2.5979999999999999</v>
      </c>
      <c r="G1068" s="145">
        <v>3.2770000000000001</v>
      </c>
      <c r="H1068" s="145">
        <v>3.4580000000000002</v>
      </c>
      <c r="I1068" s="145">
        <v>3.0270000000000001</v>
      </c>
      <c r="J1068" s="145">
        <v>0.40100000000000002</v>
      </c>
      <c r="K1068" s="145">
        <v>90</v>
      </c>
      <c r="L1068" s="145" t="s">
        <v>400</v>
      </c>
      <c r="M1068" s="145" t="s">
        <v>400</v>
      </c>
      <c r="N1068" s="145">
        <v>4</v>
      </c>
      <c r="O1068" s="145">
        <v>26</v>
      </c>
      <c r="P1068" s="145">
        <v>1.7999999999999999E-2</v>
      </c>
      <c r="Q1068" s="145">
        <v>226</v>
      </c>
      <c r="R1068" s="145">
        <v>3.323</v>
      </c>
      <c r="S1068" s="145">
        <v>45</v>
      </c>
      <c r="T1068" s="145">
        <v>334</v>
      </c>
      <c r="U1068" s="145">
        <v>0.124</v>
      </c>
      <c r="V1068" s="145">
        <v>4.5609999999999999</v>
      </c>
      <c r="W1068" s="145" t="s">
        <v>400</v>
      </c>
      <c r="X1068" s="145">
        <v>7.0000000000000007E-2</v>
      </c>
      <c r="Y1068" s="145">
        <v>0.25</v>
      </c>
      <c r="Z1068" s="146">
        <v>0.28000000000000003</v>
      </c>
      <c r="AA1068" s="145">
        <v>3.81</v>
      </c>
      <c r="AB1068" s="145" t="s">
        <v>400</v>
      </c>
      <c r="AC1068" s="145">
        <v>7.76</v>
      </c>
      <c r="AD1068" s="145">
        <v>2.7</v>
      </c>
      <c r="AE1068" s="145">
        <v>9</v>
      </c>
      <c r="AF1068" s="145">
        <v>0.7</v>
      </c>
      <c r="AG1068" s="145">
        <v>0.59899999999999998</v>
      </c>
      <c r="AH1068" s="145">
        <v>0.25700000000000001</v>
      </c>
      <c r="AI1068" s="145">
        <v>333</v>
      </c>
      <c r="AJ1068" s="145">
        <v>35.57</v>
      </c>
      <c r="AK1068" s="145" t="s">
        <v>400</v>
      </c>
      <c r="AL1068" s="145" t="s">
        <v>400</v>
      </c>
      <c r="AM1068" s="145" t="s">
        <v>400</v>
      </c>
    </row>
    <row r="1069" spans="1:39">
      <c r="A1069" s="143" t="s">
        <v>2129</v>
      </c>
      <c r="B1069" s="144">
        <v>100</v>
      </c>
      <c r="C1069" s="145">
        <v>199</v>
      </c>
      <c r="D1069" s="145">
        <v>36.119999999999997</v>
      </c>
      <c r="E1069" s="145">
        <v>5</v>
      </c>
      <c r="F1069" s="145">
        <v>1.72</v>
      </c>
      <c r="G1069" s="145">
        <v>2</v>
      </c>
      <c r="H1069" s="145">
        <v>0.22</v>
      </c>
      <c r="I1069" s="145">
        <v>0.17</v>
      </c>
      <c r="J1069" s="145">
        <v>0.02</v>
      </c>
      <c r="K1069" s="145">
        <v>90</v>
      </c>
      <c r="L1069" s="145" t="s">
        <v>400</v>
      </c>
      <c r="M1069" s="145" t="s">
        <v>400</v>
      </c>
      <c r="N1069" s="145">
        <v>4</v>
      </c>
      <c r="O1069" s="145">
        <v>26</v>
      </c>
      <c r="P1069" s="145">
        <v>1.7999999999999999E-2</v>
      </c>
      <c r="Q1069" s="145">
        <v>226</v>
      </c>
      <c r="R1069" s="145">
        <v>3.32</v>
      </c>
      <c r="S1069" s="145">
        <v>45</v>
      </c>
      <c r="T1069" s="145">
        <v>334</v>
      </c>
      <c r="U1069" s="145">
        <v>0.124</v>
      </c>
      <c r="V1069" s="145">
        <v>4.5599999999999996</v>
      </c>
      <c r="W1069" s="145" t="s">
        <v>400</v>
      </c>
      <c r="X1069" s="145">
        <v>7.0000000000000007E-2</v>
      </c>
      <c r="Y1069" s="145">
        <v>0.25</v>
      </c>
      <c r="Z1069" s="146">
        <v>0.28000000000000003</v>
      </c>
      <c r="AA1069" s="145">
        <v>3.81</v>
      </c>
      <c r="AB1069" s="145" t="s">
        <v>400</v>
      </c>
      <c r="AC1069" s="145">
        <v>7.76</v>
      </c>
      <c r="AD1069" s="145">
        <v>2.7</v>
      </c>
      <c r="AE1069" s="145">
        <v>9</v>
      </c>
      <c r="AF1069" s="145">
        <v>0.7</v>
      </c>
      <c r="AG1069" s="145">
        <v>0.14000000000000001</v>
      </c>
      <c r="AH1069" s="145">
        <v>0.22700000000000001</v>
      </c>
      <c r="AI1069" s="145">
        <v>333</v>
      </c>
      <c r="AJ1069" s="145">
        <v>33</v>
      </c>
      <c r="AK1069" s="145" t="s">
        <v>400</v>
      </c>
      <c r="AL1069" s="145" t="s">
        <v>400</v>
      </c>
      <c r="AM1069" s="145" t="s">
        <v>400</v>
      </c>
    </row>
    <row r="1070" spans="1:39">
      <c r="A1070" s="143" t="s">
        <v>2130</v>
      </c>
      <c r="B1070" s="144">
        <v>100</v>
      </c>
      <c r="C1070" s="145">
        <v>117</v>
      </c>
      <c r="D1070" s="145">
        <v>24.16</v>
      </c>
      <c r="E1070" s="145">
        <v>1.53</v>
      </c>
      <c r="F1070" s="145">
        <v>0.36</v>
      </c>
      <c r="G1070" s="145">
        <v>0.28000000000000003</v>
      </c>
      <c r="H1070" s="145">
        <v>0.65</v>
      </c>
      <c r="I1070" s="145">
        <v>0.01</v>
      </c>
      <c r="J1070" s="145">
        <v>0.02</v>
      </c>
      <c r="K1070" s="145">
        <v>68</v>
      </c>
      <c r="L1070" s="145" t="s">
        <v>400</v>
      </c>
      <c r="M1070" s="145" t="s">
        <v>400</v>
      </c>
      <c r="N1070" s="145">
        <v>18</v>
      </c>
      <c r="O1070" s="145">
        <v>58</v>
      </c>
      <c r="P1070" s="145">
        <v>0.02</v>
      </c>
      <c r="Q1070" s="145">
        <v>289</v>
      </c>
      <c r="R1070" s="145">
        <v>0.34</v>
      </c>
      <c r="S1070" s="145">
        <v>105</v>
      </c>
      <c r="T1070" s="145">
        <v>344</v>
      </c>
      <c r="U1070" s="145">
        <v>0.03</v>
      </c>
      <c r="V1070" s="145">
        <v>0.63</v>
      </c>
      <c r="W1070" s="145">
        <v>13</v>
      </c>
      <c r="X1070" s="145">
        <v>0.08</v>
      </c>
      <c r="Y1070" s="145">
        <v>0.11</v>
      </c>
      <c r="Z1070" s="145">
        <v>0.24</v>
      </c>
      <c r="AA1070" s="145">
        <v>2.1800000000000002</v>
      </c>
      <c r="AB1070" s="145" t="s">
        <v>400</v>
      </c>
      <c r="AC1070" s="145">
        <v>6.7</v>
      </c>
      <c r="AD1070" s="145">
        <v>2.5099999999999998</v>
      </c>
      <c r="AE1070" s="145">
        <v>9</v>
      </c>
      <c r="AF1070" s="145">
        <v>1.1000000000000001</v>
      </c>
      <c r="AG1070" s="145">
        <v>0.66</v>
      </c>
      <c r="AH1070" s="145" t="s">
        <v>400</v>
      </c>
      <c r="AI1070" s="145">
        <v>333</v>
      </c>
      <c r="AJ1070" s="145">
        <v>58.2</v>
      </c>
      <c r="AK1070" s="145">
        <v>13</v>
      </c>
      <c r="AL1070" s="145" t="s">
        <v>400</v>
      </c>
      <c r="AM1070" s="145" t="s">
        <v>400</v>
      </c>
    </row>
    <row r="1071" spans="1:39">
      <c r="A1071" s="143" t="s">
        <v>2131</v>
      </c>
      <c r="B1071" s="144">
        <v>100</v>
      </c>
      <c r="C1071" s="145">
        <v>117</v>
      </c>
      <c r="D1071" s="145">
        <v>24.16</v>
      </c>
      <c r="E1071" s="145">
        <v>1.53</v>
      </c>
      <c r="F1071" s="145">
        <v>0.36</v>
      </c>
      <c r="G1071" s="145">
        <v>0.28000000000000003</v>
      </c>
      <c r="H1071" s="145">
        <v>0.65</v>
      </c>
      <c r="I1071" s="145">
        <v>0.01</v>
      </c>
      <c r="J1071" s="145">
        <v>0.02</v>
      </c>
      <c r="K1071" s="145">
        <v>68</v>
      </c>
      <c r="L1071" s="145" t="s">
        <v>400</v>
      </c>
      <c r="M1071" s="145" t="s">
        <v>400</v>
      </c>
      <c r="N1071" s="145">
        <v>18</v>
      </c>
      <c r="O1071" s="145">
        <v>58</v>
      </c>
      <c r="P1071" s="145">
        <v>0.02</v>
      </c>
      <c r="Q1071" s="145">
        <v>289</v>
      </c>
      <c r="R1071" s="145">
        <v>0.34</v>
      </c>
      <c r="S1071" s="145">
        <v>105</v>
      </c>
      <c r="T1071" s="145">
        <v>344</v>
      </c>
      <c r="U1071" s="145">
        <v>0.03</v>
      </c>
      <c r="V1071" s="145">
        <v>0.63</v>
      </c>
      <c r="W1071" s="145">
        <v>13</v>
      </c>
      <c r="X1071" s="145">
        <v>0.08</v>
      </c>
      <c r="Y1071" s="145">
        <v>0.11</v>
      </c>
      <c r="Z1071" s="145">
        <v>0.24</v>
      </c>
      <c r="AA1071" s="145">
        <v>2.1800000000000002</v>
      </c>
      <c r="AB1071" s="145" t="s">
        <v>400</v>
      </c>
      <c r="AC1071" s="145">
        <v>6.7</v>
      </c>
      <c r="AD1071" s="145">
        <v>2.5099999999999998</v>
      </c>
      <c r="AE1071" s="145">
        <v>9</v>
      </c>
      <c r="AF1071" s="145">
        <v>1.1000000000000001</v>
      </c>
      <c r="AG1071" s="145">
        <v>0.66</v>
      </c>
      <c r="AH1071" s="145" t="s">
        <v>400</v>
      </c>
      <c r="AI1071" s="145">
        <v>333</v>
      </c>
      <c r="AJ1071" s="145">
        <v>58.2</v>
      </c>
      <c r="AK1071" s="145">
        <v>13</v>
      </c>
      <c r="AL1071" s="145" t="s">
        <v>400</v>
      </c>
      <c r="AM1071" s="145" t="s">
        <v>400</v>
      </c>
    </row>
    <row r="1072" spans="1:39">
      <c r="A1072" s="143" t="s">
        <v>2132</v>
      </c>
      <c r="B1072" s="144">
        <v>100</v>
      </c>
      <c r="C1072" s="145">
        <v>117</v>
      </c>
      <c r="D1072" s="145">
        <v>24.16</v>
      </c>
      <c r="E1072" s="145">
        <v>1.53</v>
      </c>
      <c r="F1072" s="145">
        <v>0.36</v>
      </c>
      <c r="G1072" s="145">
        <v>0.28000000000000003</v>
      </c>
      <c r="H1072" s="145">
        <v>0.65</v>
      </c>
      <c r="I1072" s="145">
        <v>0.01</v>
      </c>
      <c r="J1072" s="145">
        <v>0.02</v>
      </c>
      <c r="K1072" s="145">
        <v>68</v>
      </c>
      <c r="L1072" s="145" t="s">
        <v>400</v>
      </c>
      <c r="M1072" s="145" t="s">
        <v>400</v>
      </c>
      <c r="N1072" s="145">
        <v>18</v>
      </c>
      <c r="O1072" s="145">
        <v>58</v>
      </c>
      <c r="P1072" s="145">
        <v>0.02</v>
      </c>
      <c r="Q1072" s="145">
        <v>289</v>
      </c>
      <c r="R1072" s="145">
        <v>0.34</v>
      </c>
      <c r="S1072" s="145">
        <v>105</v>
      </c>
      <c r="T1072" s="145">
        <v>344</v>
      </c>
      <c r="U1072" s="145">
        <v>0.03</v>
      </c>
      <c r="V1072" s="145">
        <v>0.63</v>
      </c>
      <c r="W1072" s="145">
        <v>13</v>
      </c>
      <c r="X1072" s="145">
        <v>0.08</v>
      </c>
      <c r="Y1072" s="145">
        <v>0.11</v>
      </c>
      <c r="Z1072" s="145">
        <v>0.24</v>
      </c>
      <c r="AA1072" s="145">
        <v>2.1800000000000002</v>
      </c>
      <c r="AB1072" s="145" t="s">
        <v>400</v>
      </c>
      <c r="AC1072" s="145">
        <v>6.7</v>
      </c>
      <c r="AD1072" s="145">
        <v>2.5099999999999998</v>
      </c>
      <c r="AE1072" s="145">
        <v>9</v>
      </c>
      <c r="AF1072" s="145">
        <v>1.1000000000000001</v>
      </c>
      <c r="AG1072" s="145">
        <v>0.66</v>
      </c>
      <c r="AH1072" s="145" t="s">
        <v>400</v>
      </c>
      <c r="AI1072" s="145">
        <v>333</v>
      </c>
      <c r="AJ1072" s="145">
        <v>58.2</v>
      </c>
      <c r="AK1072" s="145">
        <v>13</v>
      </c>
      <c r="AL1072" s="145" t="s">
        <v>400</v>
      </c>
      <c r="AM1072" s="145" t="s">
        <v>400</v>
      </c>
    </row>
    <row r="1073" spans="1:39">
      <c r="A1073" s="143" t="s">
        <v>2133</v>
      </c>
      <c r="B1073" s="144">
        <v>100</v>
      </c>
      <c r="C1073" s="145">
        <v>117</v>
      </c>
      <c r="D1073" s="145">
        <v>24.16</v>
      </c>
      <c r="E1073" s="145">
        <v>1.53</v>
      </c>
      <c r="F1073" s="145">
        <v>0.36</v>
      </c>
      <c r="G1073" s="145">
        <v>0.28000000000000003</v>
      </c>
      <c r="H1073" s="145">
        <v>0.65</v>
      </c>
      <c r="I1073" s="145">
        <v>0.01</v>
      </c>
      <c r="J1073" s="145">
        <v>0.02</v>
      </c>
      <c r="K1073" s="145">
        <v>68</v>
      </c>
      <c r="L1073" s="145" t="s">
        <v>400</v>
      </c>
      <c r="M1073" s="145" t="s">
        <v>400</v>
      </c>
      <c r="N1073" s="145">
        <v>18</v>
      </c>
      <c r="O1073" s="145">
        <v>58</v>
      </c>
      <c r="P1073" s="145">
        <v>0.02</v>
      </c>
      <c r="Q1073" s="145">
        <v>289</v>
      </c>
      <c r="R1073" s="145">
        <v>0.34</v>
      </c>
      <c r="S1073" s="145">
        <v>105</v>
      </c>
      <c r="T1073" s="145">
        <v>344</v>
      </c>
      <c r="U1073" s="145">
        <v>0.03</v>
      </c>
      <c r="V1073" s="145">
        <v>0.63</v>
      </c>
      <c r="W1073" s="145">
        <v>13</v>
      </c>
      <c r="X1073" s="145">
        <v>0.08</v>
      </c>
      <c r="Y1073" s="145">
        <v>0.11</v>
      </c>
      <c r="Z1073" s="145">
        <v>0.24</v>
      </c>
      <c r="AA1073" s="145">
        <v>2.1800000000000002</v>
      </c>
      <c r="AB1073" s="145" t="s">
        <v>400</v>
      </c>
      <c r="AC1073" s="145">
        <v>6.7</v>
      </c>
      <c r="AD1073" s="145">
        <v>2.5099999999999998</v>
      </c>
      <c r="AE1073" s="145">
        <v>9</v>
      </c>
      <c r="AF1073" s="145">
        <v>1.1000000000000001</v>
      </c>
      <c r="AG1073" s="145">
        <v>0.66</v>
      </c>
      <c r="AH1073" s="145" t="s">
        <v>400</v>
      </c>
      <c r="AI1073" s="145">
        <v>333</v>
      </c>
      <c r="AJ1073" s="145">
        <v>58.2</v>
      </c>
      <c r="AK1073" s="145">
        <v>13</v>
      </c>
      <c r="AL1073" s="145" t="s">
        <v>400</v>
      </c>
      <c r="AM1073" s="145" t="s">
        <v>400</v>
      </c>
    </row>
    <row r="1074" spans="1:39">
      <c r="A1074" s="143" t="s">
        <v>2134</v>
      </c>
      <c r="B1074" s="144">
        <v>100</v>
      </c>
      <c r="C1074" s="145">
        <v>139.66</v>
      </c>
      <c r="D1074" s="145">
        <v>24.16</v>
      </c>
      <c r="E1074" s="145">
        <v>4.09</v>
      </c>
      <c r="F1074" s="145">
        <v>0.73</v>
      </c>
      <c r="G1074" s="145">
        <v>0.87</v>
      </c>
      <c r="H1074" s="145">
        <v>2.13</v>
      </c>
      <c r="I1074" s="145">
        <v>1.32</v>
      </c>
      <c r="J1074" s="145">
        <v>0.19</v>
      </c>
      <c r="K1074" s="145">
        <v>68</v>
      </c>
      <c r="L1074" s="145" t="s">
        <v>400</v>
      </c>
      <c r="M1074" s="145" t="s">
        <v>400</v>
      </c>
      <c r="N1074" s="145">
        <v>18</v>
      </c>
      <c r="O1074" s="145">
        <v>58</v>
      </c>
      <c r="P1074" s="145">
        <v>0.02</v>
      </c>
      <c r="Q1074" s="145">
        <v>289</v>
      </c>
      <c r="R1074" s="145">
        <v>0.34</v>
      </c>
      <c r="S1074" s="145">
        <v>105</v>
      </c>
      <c r="T1074" s="145">
        <v>344</v>
      </c>
      <c r="U1074" s="145">
        <v>0.03</v>
      </c>
      <c r="V1074" s="145">
        <v>0.63</v>
      </c>
      <c r="W1074" s="145">
        <v>13</v>
      </c>
      <c r="X1074" s="145">
        <v>0.08</v>
      </c>
      <c r="Y1074" s="145">
        <v>0.11</v>
      </c>
      <c r="Z1074" s="145">
        <v>0.24</v>
      </c>
      <c r="AA1074" s="145">
        <v>2.1800000000000002</v>
      </c>
      <c r="AB1074" s="145" t="s">
        <v>400</v>
      </c>
      <c r="AC1074" s="145">
        <v>6.7</v>
      </c>
      <c r="AD1074" s="145">
        <v>2.5099999999999998</v>
      </c>
      <c r="AE1074" s="145">
        <v>9</v>
      </c>
      <c r="AF1074" s="145">
        <v>1.1000000000000001</v>
      </c>
      <c r="AG1074" s="145">
        <v>0.9</v>
      </c>
      <c r="AH1074" s="145" t="s">
        <v>400</v>
      </c>
      <c r="AI1074" s="145">
        <v>333</v>
      </c>
      <c r="AJ1074" s="145">
        <v>59.37</v>
      </c>
      <c r="AK1074" s="145">
        <v>13</v>
      </c>
      <c r="AL1074" s="145" t="s">
        <v>400</v>
      </c>
      <c r="AM1074" s="145" t="s">
        <v>400</v>
      </c>
    </row>
    <row r="1075" spans="1:39">
      <c r="A1075" s="143" t="s">
        <v>2135</v>
      </c>
      <c r="B1075" s="144">
        <v>100</v>
      </c>
      <c r="C1075" s="145">
        <v>155.84</v>
      </c>
      <c r="D1075" s="145">
        <v>24.62</v>
      </c>
      <c r="E1075" s="145">
        <v>4.1399999999999997</v>
      </c>
      <c r="F1075" s="145">
        <v>0.74</v>
      </c>
      <c r="G1075" s="145">
        <v>0.88</v>
      </c>
      <c r="H1075" s="145">
        <v>2.15</v>
      </c>
      <c r="I1075" s="145">
        <v>1.34</v>
      </c>
      <c r="J1075" s="145">
        <v>0.19</v>
      </c>
      <c r="K1075" s="145">
        <v>68</v>
      </c>
      <c r="L1075" s="145">
        <v>3.39</v>
      </c>
      <c r="M1075" s="145">
        <v>0.14000000000000001</v>
      </c>
      <c r="N1075" s="145">
        <v>18.670000000000002</v>
      </c>
      <c r="O1075" s="145">
        <v>58.98</v>
      </c>
      <c r="P1075" s="145">
        <v>0.05</v>
      </c>
      <c r="Q1075" s="145">
        <v>293.8</v>
      </c>
      <c r="R1075" s="145">
        <v>0.55000000000000004</v>
      </c>
      <c r="S1075" s="145">
        <v>105.09</v>
      </c>
      <c r="T1075" s="145">
        <v>348.76</v>
      </c>
      <c r="U1075" s="145">
        <v>0.03</v>
      </c>
      <c r="V1075" s="145">
        <v>0.66</v>
      </c>
      <c r="W1075" s="145">
        <v>13</v>
      </c>
      <c r="X1075" s="145">
        <v>0.11</v>
      </c>
      <c r="Y1075" s="145">
        <v>0.14000000000000001</v>
      </c>
      <c r="Z1075" s="145">
        <v>0.24</v>
      </c>
      <c r="AA1075" s="145">
        <v>2.44</v>
      </c>
      <c r="AB1075" s="145" t="s">
        <v>400</v>
      </c>
      <c r="AC1075" s="145">
        <v>7.05</v>
      </c>
      <c r="AD1075" s="145">
        <v>2.5099999999999998</v>
      </c>
      <c r="AE1075" s="145">
        <v>18.07</v>
      </c>
      <c r="AF1075" s="145">
        <v>1.1000000000000001</v>
      </c>
      <c r="AG1075" s="145">
        <v>0.9</v>
      </c>
      <c r="AH1075" s="145" t="s">
        <v>400</v>
      </c>
      <c r="AI1075" s="145">
        <v>333</v>
      </c>
      <c r="AJ1075" s="145">
        <v>60.88</v>
      </c>
      <c r="AK1075" s="145">
        <v>13</v>
      </c>
      <c r="AL1075" s="145">
        <v>0.01</v>
      </c>
      <c r="AM1075" s="145" t="s">
        <v>400</v>
      </c>
    </row>
    <row r="1076" spans="1:39">
      <c r="A1076" s="143" t="s">
        <v>2136</v>
      </c>
      <c r="B1076" s="144">
        <v>100</v>
      </c>
      <c r="C1076" s="145">
        <v>98.4</v>
      </c>
      <c r="D1076" s="145">
        <v>19.59</v>
      </c>
      <c r="E1076" s="145">
        <v>1.26</v>
      </c>
      <c r="F1076" s="145">
        <v>0.3</v>
      </c>
      <c r="G1076" s="145">
        <v>0.23</v>
      </c>
      <c r="H1076" s="145">
        <v>0.53</v>
      </c>
      <c r="I1076" s="145">
        <v>0.03</v>
      </c>
      <c r="J1076" s="145">
        <v>0.01</v>
      </c>
      <c r="K1076" s="145">
        <v>54.4</v>
      </c>
      <c r="L1076" s="145">
        <v>1.08</v>
      </c>
      <c r="M1076" s="145">
        <v>0.3</v>
      </c>
      <c r="N1076" s="145">
        <v>17</v>
      </c>
      <c r="O1076" s="145">
        <v>49.6</v>
      </c>
      <c r="P1076" s="145">
        <v>0.04</v>
      </c>
      <c r="Q1076" s="145">
        <v>236.4</v>
      </c>
      <c r="R1076" s="145">
        <v>0.48</v>
      </c>
      <c r="S1076" s="145">
        <v>188.8</v>
      </c>
      <c r="T1076" s="145">
        <v>341.4</v>
      </c>
      <c r="U1076" s="145">
        <v>0.04</v>
      </c>
      <c r="V1076" s="145">
        <v>0.54</v>
      </c>
      <c r="W1076" s="145">
        <v>10.4</v>
      </c>
      <c r="X1076" s="145">
        <v>7.0000000000000007E-2</v>
      </c>
      <c r="Y1076" s="145">
        <v>0.1</v>
      </c>
      <c r="Z1076" s="145">
        <v>0.21</v>
      </c>
      <c r="AA1076" s="145">
        <v>1.94</v>
      </c>
      <c r="AB1076" s="145">
        <v>1.4</v>
      </c>
      <c r="AC1076" s="145">
        <v>5.58</v>
      </c>
      <c r="AD1076" s="145">
        <v>2.0099999999999998</v>
      </c>
      <c r="AE1076" s="145">
        <v>9.4</v>
      </c>
      <c r="AF1076" s="145">
        <v>0.88</v>
      </c>
      <c r="AG1076" s="145">
        <v>0.81</v>
      </c>
      <c r="AH1076" s="145" t="s">
        <v>400</v>
      </c>
      <c r="AI1076" s="145">
        <v>333</v>
      </c>
      <c r="AJ1076" s="145">
        <v>46.6</v>
      </c>
      <c r="AK1076" s="145">
        <v>13.88</v>
      </c>
      <c r="AL1076" s="145">
        <v>0.85</v>
      </c>
      <c r="AM1076" s="145" t="s">
        <v>400</v>
      </c>
    </row>
    <row r="1077" spans="1:39">
      <c r="A1077" s="143" t="s">
        <v>2137</v>
      </c>
      <c r="B1077" s="144">
        <v>100</v>
      </c>
      <c r="C1077" s="145">
        <v>140.05000000000001</v>
      </c>
      <c r="D1077" s="145">
        <v>20.81</v>
      </c>
      <c r="E1077" s="145">
        <v>5.1100000000000003</v>
      </c>
      <c r="F1077" s="145">
        <v>2.3199999999999998</v>
      </c>
      <c r="G1077" s="145">
        <v>1.3</v>
      </c>
      <c r="H1077" s="145">
        <v>1.06</v>
      </c>
      <c r="I1077" s="145">
        <v>0.45</v>
      </c>
      <c r="J1077" s="145">
        <v>0.09</v>
      </c>
      <c r="K1077" s="145">
        <v>68.33</v>
      </c>
      <c r="L1077" s="145">
        <v>1.47</v>
      </c>
      <c r="M1077" s="145">
        <v>7.0000000000000007E-2</v>
      </c>
      <c r="N1077" s="145">
        <v>27.08</v>
      </c>
      <c r="O1077" s="145">
        <v>48.76</v>
      </c>
      <c r="P1077" s="145">
        <v>7.0000000000000007E-2</v>
      </c>
      <c r="Q1077" s="145">
        <v>254.53</v>
      </c>
      <c r="R1077" s="145">
        <v>1.6</v>
      </c>
      <c r="S1077" s="145">
        <v>92.8</v>
      </c>
      <c r="T1077" s="145">
        <v>321.14999999999998</v>
      </c>
      <c r="U1077" s="145">
        <v>0.06</v>
      </c>
      <c r="V1077" s="145">
        <v>0.67</v>
      </c>
      <c r="W1077" s="145">
        <v>45.47</v>
      </c>
      <c r="X1077" s="145">
        <v>0.08</v>
      </c>
      <c r="Y1077" s="145">
        <v>0.13</v>
      </c>
      <c r="Z1077" s="145">
        <v>0.21</v>
      </c>
      <c r="AA1077" s="145">
        <v>1.96</v>
      </c>
      <c r="AB1077" s="145">
        <v>1.72</v>
      </c>
      <c r="AC1077" s="145">
        <v>5.86</v>
      </c>
      <c r="AD1077" s="145">
        <v>6.4</v>
      </c>
      <c r="AE1077" s="145">
        <v>11.51</v>
      </c>
      <c r="AF1077" s="145">
        <v>1</v>
      </c>
      <c r="AG1077" s="145">
        <v>0.72</v>
      </c>
      <c r="AH1077" s="145">
        <v>0.11</v>
      </c>
      <c r="AI1077" s="145">
        <v>333</v>
      </c>
      <c r="AJ1077" s="145">
        <v>49.41</v>
      </c>
      <c r="AK1077" s="145">
        <v>47.69</v>
      </c>
      <c r="AL1077" s="145">
        <v>0.39</v>
      </c>
      <c r="AM1077" s="145" t="s">
        <v>400</v>
      </c>
    </row>
    <row r="1078" spans="1:39">
      <c r="A1078" s="143" t="s">
        <v>2138</v>
      </c>
      <c r="B1078" s="144">
        <v>100</v>
      </c>
      <c r="C1078" s="145">
        <v>139.66</v>
      </c>
      <c r="D1078" s="145">
        <v>24.16</v>
      </c>
      <c r="E1078" s="145">
        <v>4.09</v>
      </c>
      <c r="F1078" s="145">
        <v>0.73</v>
      </c>
      <c r="G1078" s="145">
        <v>0.87</v>
      </c>
      <c r="H1078" s="145">
        <v>2.13</v>
      </c>
      <c r="I1078" s="145">
        <v>1.32</v>
      </c>
      <c r="J1078" s="145">
        <v>0.19</v>
      </c>
      <c r="K1078" s="145">
        <v>68</v>
      </c>
      <c r="L1078" s="145" t="s">
        <v>400</v>
      </c>
      <c r="M1078" s="145" t="s">
        <v>400</v>
      </c>
      <c r="N1078" s="145">
        <v>18</v>
      </c>
      <c r="O1078" s="145">
        <v>58</v>
      </c>
      <c r="P1078" s="145">
        <v>0.02</v>
      </c>
      <c r="Q1078" s="145">
        <v>289</v>
      </c>
      <c r="R1078" s="145">
        <v>0.34</v>
      </c>
      <c r="S1078" s="145">
        <v>105</v>
      </c>
      <c r="T1078" s="145">
        <v>344</v>
      </c>
      <c r="U1078" s="145">
        <v>0.03</v>
      </c>
      <c r="V1078" s="145">
        <v>0.63</v>
      </c>
      <c r="W1078" s="145">
        <v>13</v>
      </c>
      <c r="X1078" s="145">
        <v>0.08</v>
      </c>
      <c r="Y1078" s="145">
        <v>0.11</v>
      </c>
      <c r="Z1078" s="145">
        <v>0.24</v>
      </c>
      <c r="AA1078" s="145">
        <v>2.1800000000000002</v>
      </c>
      <c r="AB1078" s="145" t="s">
        <v>400</v>
      </c>
      <c r="AC1078" s="145">
        <v>6.7</v>
      </c>
      <c r="AD1078" s="145">
        <v>2.5099999999999998</v>
      </c>
      <c r="AE1078" s="145">
        <v>9</v>
      </c>
      <c r="AF1078" s="145">
        <v>1.1000000000000001</v>
      </c>
      <c r="AG1078" s="145">
        <v>0.9</v>
      </c>
      <c r="AH1078" s="145" t="s">
        <v>400</v>
      </c>
      <c r="AI1078" s="145">
        <v>333</v>
      </c>
      <c r="AJ1078" s="145">
        <v>59.37</v>
      </c>
      <c r="AK1078" s="145">
        <v>13</v>
      </c>
      <c r="AL1078" s="145" t="s">
        <v>400</v>
      </c>
      <c r="AM1078" s="145" t="s">
        <v>400</v>
      </c>
    </row>
    <row r="1079" spans="1:39">
      <c r="A1079" s="143" t="s">
        <v>2139</v>
      </c>
      <c r="B1079" s="144">
        <v>100</v>
      </c>
      <c r="C1079" s="145">
        <v>117</v>
      </c>
      <c r="D1079" s="145">
        <v>24.16</v>
      </c>
      <c r="E1079" s="145">
        <v>1.53</v>
      </c>
      <c r="F1079" s="145">
        <v>0.36</v>
      </c>
      <c r="G1079" s="145">
        <v>0.28000000000000003</v>
      </c>
      <c r="H1079" s="145">
        <v>0.65</v>
      </c>
      <c r="I1079" s="145">
        <v>0.01</v>
      </c>
      <c r="J1079" s="145">
        <v>0.02</v>
      </c>
      <c r="K1079" s="145">
        <v>68</v>
      </c>
      <c r="L1079" s="145" t="s">
        <v>400</v>
      </c>
      <c r="M1079" s="145" t="s">
        <v>400</v>
      </c>
      <c r="N1079" s="145">
        <v>18</v>
      </c>
      <c r="O1079" s="145">
        <v>58</v>
      </c>
      <c r="P1079" s="145">
        <v>0.02</v>
      </c>
      <c r="Q1079" s="145">
        <v>289</v>
      </c>
      <c r="R1079" s="145">
        <v>0.34</v>
      </c>
      <c r="S1079" s="145">
        <v>105</v>
      </c>
      <c r="T1079" s="145">
        <v>344</v>
      </c>
      <c r="U1079" s="145">
        <v>0.03</v>
      </c>
      <c r="V1079" s="145">
        <v>0.63</v>
      </c>
      <c r="W1079" s="145">
        <v>13</v>
      </c>
      <c r="X1079" s="145">
        <v>0.08</v>
      </c>
      <c r="Y1079" s="145">
        <v>0.11</v>
      </c>
      <c r="Z1079" s="145">
        <v>0.24</v>
      </c>
      <c r="AA1079" s="145">
        <v>2.1800000000000002</v>
      </c>
      <c r="AB1079" s="145" t="s">
        <v>400</v>
      </c>
      <c r="AC1079" s="145">
        <v>6.7</v>
      </c>
      <c r="AD1079" s="145">
        <v>2.5099999999999998</v>
      </c>
      <c r="AE1079" s="145">
        <v>9</v>
      </c>
      <c r="AF1079" s="145">
        <v>1.1000000000000001</v>
      </c>
      <c r="AG1079" s="145">
        <v>0.66</v>
      </c>
      <c r="AH1079" s="145" t="s">
        <v>400</v>
      </c>
      <c r="AI1079" s="145" t="s">
        <v>400</v>
      </c>
      <c r="AJ1079" s="145">
        <v>58.2</v>
      </c>
      <c r="AK1079" s="145">
        <v>13</v>
      </c>
      <c r="AL1079" s="145" t="s">
        <v>400</v>
      </c>
      <c r="AM1079" s="145" t="s">
        <v>400</v>
      </c>
    </row>
    <row r="1080" spans="1:39">
      <c r="A1080" s="143" t="s">
        <v>2140</v>
      </c>
      <c r="B1080" s="144">
        <v>100</v>
      </c>
      <c r="C1080" s="145">
        <v>117</v>
      </c>
      <c r="D1080" s="145">
        <v>24.16</v>
      </c>
      <c r="E1080" s="145">
        <v>1.53</v>
      </c>
      <c r="F1080" s="145">
        <v>0.36</v>
      </c>
      <c r="G1080" s="145">
        <v>0.28000000000000003</v>
      </c>
      <c r="H1080" s="145">
        <v>0.65</v>
      </c>
      <c r="I1080" s="145">
        <v>0.01</v>
      </c>
      <c r="J1080" s="145">
        <v>0.02</v>
      </c>
      <c r="K1080" s="145">
        <v>68</v>
      </c>
      <c r="L1080" s="145" t="s">
        <v>400</v>
      </c>
      <c r="M1080" s="145" t="s">
        <v>400</v>
      </c>
      <c r="N1080" s="145">
        <v>18</v>
      </c>
      <c r="O1080" s="145">
        <v>58</v>
      </c>
      <c r="P1080" s="145">
        <v>0.02</v>
      </c>
      <c r="Q1080" s="145">
        <v>289</v>
      </c>
      <c r="R1080" s="145">
        <v>0.34</v>
      </c>
      <c r="S1080" s="145">
        <v>105</v>
      </c>
      <c r="T1080" s="145">
        <v>344</v>
      </c>
      <c r="U1080" s="145">
        <v>0.03</v>
      </c>
      <c r="V1080" s="145">
        <v>0.63</v>
      </c>
      <c r="W1080" s="145">
        <v>13</v>
      </c>
      <c r="X1080" s="145">
        <v>0.08</v>
      </c>
      <c r="Y1080" s="145">
        <v>0.11</v>
      </c>
      <c r="Z1080" s="145">
        <v>0.24</v>
      </c>
      <c r="AA1080" s="145">
        <v>2.1800000000000002</v>
      </c>
      <c r="AB1080" s="145" t="s">
        <v>400</v>
      </c>
      <c r="AC1080" s="145">
        <v>6.7</v>
      </c>
      <c r="AD1080" s="145">
        <v>2.5099999999999998</v>
      </c>
      <c r="AE1080" s="145">
        <v>9</v>
      </c>
      <c r="AF1080" s="145">
        <v>1.1000000000000001</v>
      </c>
      <c r="AG1080" s="145">
        <v>0.66</v>
      </c>
      <c r="AH1080" s="145" t="s">
        <v>400</v>
      </c>
      <c r="AI1080" s="145" t="s">
        <v>400</v>
      </c>
      <c r="AJ1080" s="145">
        <v>58.2</v>
      </c>
      <c r="AK1080" s="145">
        <v>13</v>
      </c>
      <c r="AL1080" s="145" t="s">
        <v>400</v>
      </c>
      <c r="AM1080" s="145" t="s">
        <v>400</v>
      </c>
    </row>
    <row r="1081" spans="1:39">
      <c r="A1081" s="143" t="s">
        <v>2141</v>
      </c>
      <c r="B1081" s="144">
        <v>100</v>
      </c>
      <c r="C1081" s="145">
        <v>117</v>
      </c>
      <c r="D1081" s="145">
        <v>24.16</v>
      </c>
      <c r="E1081" s="145">
        <v>1.53</v>
      </c>
      <c r="F1081" s="145">
        <v>0.36</v>
      </c>
      <c r="G1081" s="145">
        <v>0.28000000000000003</v>
      </c>
      <c r="H1081" s="145">
        <v>0.65</v>
      </c>
      <c r="I1081" s="145">
        <v>0.01</v>
      </c>
      <c r="J1081" s="145">
        <v>0.02</v>
      </c>
      <c r="K1081" s="145">
        <v>68</v>
      </c>
      <c r="L1081" s="145" t="s">
        <v>400</v>
      </c>
      <c r="M1081" s="145" t="s">
        <v>400</v>
      </c>
      <c r="N1081" s="145">
        <v>18</v>
      </c>
      <c r="O1081" s="145">
        <v>58</v>
      </c>
      <c r="P1081" s="145">
        <v>0.02</v>
      </c>
      <c r="Q1081" s="145">
        <v>289</v>
      </c>
      <c r="R1081" s="145">
        <v>0.34</v>
      </c>
      <c r="S1081" s="145">
        <v>105</v>
      </c>
      <c r="T1081" s="145">
        <v>344</v>
      </c>
      <c r="U1081" s="145">
        <v>0.03</v>
      </c>
      <c r="V1081" s="145">
        <v>0.63</v>
      </c>
      <c r="W1081" s="145">
        <v>13</v>
      </c>
      <c r="X1081" s="145">
        <v>0.08</v>
      </c>
      <c r="Y1081" s="145">
        <v>0.11</v>
      </c>
      <c r="Z1081" s="145">
        <v>0.24</v>
      </c>
      <c r="AA1081" s="145">
        <v>2.1800000000000002</v>
      </c>
      <c r="AB1081" s="145" t="s">
        <v>400</v>
      </c>
      <c r="AC1081" s="145">
        <v>6.7</v>
      </c>
      <c r="AD1081" s="145">
        <v>2.5099999999999998</v>
      </c>
      <c r="AE1081" s="145">
        <v>9</v>
      </c>
      <c r="AF1081" s="145">
        <v>1.1000000000000001</v>
      </c>
      <c r="AG1081" s="145">
        <v>0.66</v>
      </c>
      <c r="AH1081" s="145" t="s">
        <v>400</v>
      </c>
      <c r="AI1081" s="145" t="s">
        <v>400</v>
      </c>
      <c r="AJ1081" s="145">
        <v>58.2</v>
      </c>
      <c r="AK1081" s="145">
        <v>13</v>
      </c>
      <c r="AL1081" s="145" t="s">
        <v>400</v>
      </c>
      <c r="AM1081" s="145" t="s">
        <v>400</v>
      </c>
    </row>
    <row r="1082" spans="1:39">
      <c r="A1082" s="143" t="s">
        <v>2142</v>
      </c>
      <c r="B1082" s="144">
        <v>100</v>
      </c>
      <c r="C1082" s="145">
        <v>139.66</v>
      </c>
      <c r="D1082" s="145">
        <v>24.16</v>
      </c>
      <c r="E1082" s="145">
        <v>4.09</v>
      </c>
      <c r="F1082" s="145">
        <v>0.73</v>
      </c>
      <c r="G1082" s="145">
        <v>0.87</v>
      </c>
      <c r="H1082" s="145">
        <v>2.13</v>
      </c>
      <c r="I1082" s="145">
        <v>1.32</v>
      </c>
      <c r="J1082" s="145">
        <v>0.19</v>
      </c>
      <c r="K1082" s="145">
        <v>68</v>
      </c>
      <c r="L1082" s="145" t="s">
        <v>400</v>
      </c>
      <c r="M1082" s="145" t="s">
        <v>400</v>
      </c>
      <c r="N1082" s="145">
        <v>18</v>
      </c>
      <c r="O1082" s="145">
        <v>58</v>
      </c>
      <c r="P1082" s="145">
        <v>0.02</v>
      </c>
      <c r="Q1082" s="145">
        <v>289</v>
      </c>
      <c r="R1082" s="145">
        <v>0.34</v>
      </c>
      <c r="S1082" s="145">
        <v>105</v>
      </c>
      <c r="T1082" s="145">
        <v>344</v>
      </c>
      <c r="U1082" s="145">
        <v>0.03</v>
      </c>
      <c r="V1082" s="145">
        <v>0.63</v>
      </c>
      <c r="W1082" s="145">
        <v>13</v>
      </c>
      <c r="X1082" s="145">
        <v>0.08</v>
      </c>
      <c r="Y1082" s="145">
        <v>0.11</v>
      </c>
      <c r="Z1082" s="145">
        <v>0.24</v>
      </c>
      <c r="AA1082" s="145">
        <v>2.1800000000000002</v>
      </c>
      <c r="AB1082" s="145" t="s">
        <v>400</v>
      </c>
      <c r="AC1082" s="145">
        <v>6.7</v>
      </c>
      <c r="AD1082" s="145">
        <v>2.5099999999999998</v>
      </c>
      <c r="AE1082" s="145">
        <v>9</v>
      </c>
      <c r="AF1082" s="145">
        <v>1.1000000000000001</v>
      </c>
      <c r="AG1082" s="145">
        <v>0.9</v>
      </c>
      <c r="AH1082" s="145" t="s">
        <v>400</v>
      </c>
      <c r="AI1082" s="145" t="s">
        <v>400</v>
      </c>
      <c r="AJ1082" s="145">
        <v>59.37</v>
      </c>
      <c r="AK1082" s="145">
        <v>13</v>
      </c>
      <c r="AL1082" s="145" t="s">
        <v>400</v>
      </c>
      <c r="AM1082" s="145" t="s">
        <v>400</v>
      </c>
    </row>
    <row r="1083" spans="1:39">
      <c r="A1083" s="143" t="s">
        <v>2143</v>
      </c>
      <c r="B1083" s="144">
        <v>100</v>
      </c>
      <c r="C1083" s="145">
        <v>155.84</v>
      </c>
      <c r="D1083" s="145">
        <v>24.62</v>
      </c>
      <c r="E1083" s="145">
        <v>4.1399999999999997</v>
      </c>
      <c r="F1083" s="145">
        <v>0.74</v>
      </c>
      <c r="G1083" s="145">
        <v>0.88</v>
      </c>
      <c r="H1083" s="145">
        <v>2.15</v>
      </c>
      <c r="I1083" s="145">
        <v>1.34</v>
      </c>
      <c r="J1083" s="145">
        <v>0.19</v>
      </c>
      <c r="K1083" s="145">
        <v>68</v>
      </c>
      <c r="L1083" s="145">
        <v>3.39</v>
      </c>
      <c r="M1083" s="145">
        <v>0.14000000000000001</v>
      </c>
      <c r="N1083" s="145">
        <v>18.670000000000002</v>
      </c>
      <c r="O1083" s="145">
        <v>58.98</v>
      </c>
      <c r="P1083" s="145">
        <v>0.05</v>
      </c>
      <c r="Q1083" s="145">
        <v>293.8</v>
      </c>
      <c r="R1083" s="145">
        <v>0.55000000000000004</v>
      </c>
      <c r="S1083" s="145">
        <v>105.09</v>
      </c>
      <c r="T1083" s="145">
        <v>348.76</v>
      </c>
      <c r="U1083" s="145">
        <v>0.03</v>
      </c>
      <c r="V1083" s="145">
        <v>0.66</v>
      </c>
      <c r="W1083" s="145">
        <v>13</v>
      </c>
      <c r="X1083" s="145">
        <v>0.11</v>
      </c>
      <c r="Y1083" s="145">
        <v>0.14000000000000001</v>
      </c>
      <c r="Z1083" s="145">
        <v>0.24</v>
      </c>
      <c r="AA1083" s="145">
        <v>2.44</v>
      </c>
      <c r="AB1083" s="145" t="s">
        <v>400</v>
      </c>
      <c r="AC1083" s="145">
        <v>7.05</v>
      </c>
      <c r="AD1083" s="145">
        <v>2.5099999999999998</v>
      </c>
      <c r="AE1083" s="145">
        <v>18.07</v>
      </c>
      <c r="AF1083" s="145">
        <v>1.1000000000000001</v>
      </c>
      <c r="AG1083" s="145">
        <v>0.9</v>
      </c>
      <c r="AH1083" s="145" t="s">
        <v>400</v>
      </c>
      <c r="AI1083" s="145" t="s">
        <v>400</v>
      </c>
      <c r="AJ1083" s="145">
        <v>60.88</v>
      </c>
      <c r="AK1083" s="145">
        <v>13</v>
      </c>
      <c r="AL1083" s="145">
        <v>0.01</v>
      </c>
      <c r="AM1083" s="145" t="s">
        <v>400</v>
      </c>
    </row>
    <row r="1084" spans="1:39">
      <c r="A1084" s="143" t="s">
        <v>2144</v>
      </c>
      <c r="B1084" s="144">
        <v>100</v>
      </c>
      <c r="C1084" s="145">
        <v>140.05000000000001</v>
      </c>
      <c r="D1084" s="145">
        <v>20.81</v>
      </c>
      <c r="E1084" s="145">
        <v>5.1100000000000003</v>
      </c>
      <c r="F1084" s="145">
        <v>2.3199999999999998</v>
      </c>
      <c r="G1084" s="145">
        <v>1.3</v>
      </c>
      <c r="H1084" s="145">
        <v>1.06</v>
      </c>
      <c r="I1084" s="145">
        <v>0.45</v>
      </c>
      <c r="J1084" s="145">
        <v>0.09</v>
      </c>
      <c r="K1084" s="145">
        <v>68.33</v>
      </c>
      <c r="L1084" s="145">
        <v>1.47</v>
      </c>
      <c r="M1084" s="145">
        <v>7.0000000000000007E-2</v>
      </c>
      <c r="N1084" s="145">
        <v>27.08</v>
      </c>
      <c r="O1084" s="145">
        <v>48.76</v>
      </c>
      <c r="P1084" s="145">
        <v>7.0000000000000007E-2</v>
      </c>
      <c r="Q1084" s="145">
        <v>254.53</v>
      </c>
      <c r="R1084" s="145">
        <v>1.6</v>
      </c>
      <c r="S1084" s="145">
        <v>92.8</v>
      </c>
      <c r="T1084" s="145">
        <v>321.14999999999998</v>
      </c>
      <c r="U1084" s="145">
        <v>0.06</v>
      </c>
      <c r="V1084" s="145">
        <v>0.67</v>
      </c>
      <c r="W1084" s="145">
        <v>45.47</v>
      </c>
      <c r="X1084" s="145">
        <v>0.08</v>
      </c>
      <c r="Y1084" s="145">
        <v>0.13</v>
      </c>
      <c r="Z1084" s="145">
        <v>0.21</v>
      </c>
      <c r="AA1084" s="145">
        <v>1.96</v>
      </c>
      <c r="AB1084" s="145">
        <v>1.72</v>
      </c>
      <c r="AC1084" s="145">
        <v>5.86</v>
      </c>
      <c r="AD1084" s="145">
        <v>6.4</v>
      </c>
      <c r="AE1084" s="145">
        <v>11.51</v>
      </c>
      <c r="AF1084" s="145">
        <v>1</v>
      </c>
      <c r="AG1084" s="145">
        <v>0.72</v>
      </c>
      <c r="AH1084" s="145">
        <v>0.11</v>
      </c>
      <c r="AI1084" s="145" t="s">
        <v>400</v>
      </c>
      <c r="AJ1084" s="145">
        <v>49.41</v>
      </c>
      <c r="AK1084" s="145">
        <v>47.69</v>
      </c>
      <c r="AL1084" s="145">
        <v>0.39</v>
      </c>
      <c r="AM1084" s="145" t="s">
        <v>400</v>
      </c>
    </row>
    <row r="1085" spans="1:39">
      <c r="A1085" s="143" t="s">
        <v>2145</v>
      </c>
      <c r="B1085" s="144">
        <v>100</v>
      </c>
      <c r="C1085" s="145">
        <v>139.66</v>
      </c>
      <c r="D1085" s="145">
        <v>24.16</v>
      </c>
      <c r="E1085" s="145">
        <v>4.09</v>
      </c>
      <c r="F1085" s="145">
        <v>0.73</v>
      </c>
      <c r="G1085" s="145">
        <v>0.87</v>
      </c>
      <c r="H1085" s="145">
        <v>2.13</v>
      </c>
      <c r="I1085" s="145">
        <v>1.32</v>
      </c>
      <c r="J1085" s="145">
        <v>0.19</v>
      </c>
      <c r="K1085" s="145">
        <v>68</v>
      </c>
      <c r="L1085" s="145" t="s">
        <v>400</v>
      </c>
      <c r="M1085" s="145" t="s">
        <v>400</v>
      </c>
      <c r="N1085" s="145">
        <v>18</v>
      </c>
      <c r="O1085" s="145">
        <v>58</v>
      </c>
      <c r="P1085" s="145">
        <v>0.02</v>
      </c>
      <c r="Q1085" s="145">
        <v>289</v>
      </c>
      <c r="R1085" s="145">
        <v>0.34</v>
      </c>
      <c r="S1085" s="145">
        <v>105</v>
      </c>
      <c r="T1085" s="145">
        <v>344</v>
      </c>
      <c r="U1085" s="145">
        <v>0.03</v>
      </c>
      <c r="V1085" s="145">
        <v>0.63</v>
      </c>
      <c r="W1085" s="145">
        <v>13</v>
      </c>
      <c r="X1085" s="145">
        <v>0.08</v>
      </c>
      <c r="Y1085" s="145">
        <v>0.11</v>
      </c>
      <c r="Z1085" s="145">
        <v>0.24</v>
      </c>
      <c r="AA1085" s="145">
        <v>2.1800000000000002</v>
      </c>
      <c r="AB1085" s="145" t="s">
        <v>400</v>
      </c>
      <c r="AC1085" s="145">
        <v>6.7</v>
      </c>
      <c r="AD1085" s="145">
        <v>2.5099999999999998</v>
      </c>
      <c r="AE1085" s="145">
        <v>9</v>
      </c>
      <c r="AF1085" s="145">
        <v>1.1000000000000001</v>
      </c>
      <c r="AG1085" s="145">
        <v>0.9</v>
      </c>
      <c r="AH1085" s="145" t="s">
        <v>400</v>
      </c>
      <c r="AI1085" s="145" t="s">
        <v>400</v>
      </c>
      <c r="AJ1085" s="145">
        <v>59.37</v>
      </c>
      <c r="AK1085" s="145">
        <v>13</v>
      </c>
      <c r="AL1085" s="145" t="s">
        <v>400</v>
      </c>
      <c r="AM1085" s="145" t="s">
        <v>400</v>
      </c>
    </row>
    <row r="1086" spans="1:39">
      <c r="A1086" s="143" t="s">
        <v>2146</v>
      </c>
      <c r="B1086" s="144">
        <v>100</v>
      </c>
      <c r="C1086" s="145">
        <v>99</v>
      </c>
      <c r="D1086" s="145">
        <v>20.91</v>
      </c>
      <c r="E1086" s="145">
        <v>1.08</v>
      </c>
      <c r="F1086" s="145">
        <v>0.28999999999999998</v>
      </c>
      <c r="G1086" s="145">
        <v>0.2</v>
      </c>
      <c r="H1086" s="145">
        <v>0.44</v>
      </c>
      <c r="I1086" s="145">
        <v>0.02</v>
      </c>
      <c r="J1086" s="145">
        <v>0.01</v>
      </c>
      <c r="K1086" s="145">
        <v>195</v>
      </c>
      <c r="L1086" s="145" t="s">
        <v>400</v>
      </c>
      <c r="M1086" s="145" t="s">
        <v>400</v>
      </c>
      <c r="N1086" s="145">
        <v>39</v>
      </c>
      <c r="O1086" s="145">
        <v>34</v>
      </c>
      <c r="P1086" s="145">
        <v>0.03</v>
      </c>
      <c r="Q1086" s="145">
        <v>137</v>
      </c>
      <c r="R1086" s="145">
        <v>3.09</v>
      </c>
      <c r="S1086" s="145">
        <v>224</v>
      </c>
      <c r="T1086" s="145">
        <v>182</v>
      </c>
      <c r="U1086" s="145">
        <v>0.19</v>
      </c>
      <c r="V1086" s="145">
        <v>1.56</v>
      </c>
      <c r="W1086" s="145">
        <v>68</v>
      </c>
      <c r="X1086" s="145">
        <v>0.03</v>
      </c>
      <c r="Y1086" s="145">
        <v>0.03</v>
      </c>
      <c r="Z1086" s="145">
        <v>0.13</v>
      </c>
      <c r="AA1086" s="145">
        <v>2.59</v>
      </c>
      <c r="AB1086" s="145">
        <v>2.2000000000000002</v>
      </c>
      <c r="AC1086" s="145">
        <v>7.44</v>
      </c>
      <c r="AD1086" s="145">
        <v>1.49</v>
      </c>
      <c r="AE1086" s="145">
        <v>4</v>
      </c>
      <c r="AF1086" s="145">
        <v>3.58</v>
      </c>
      <c r="AG1086" s="145">
        <v>1.38</v>
      </c>
      <c r="AH1086" s="145">
        <v>0.02</v>
      </c>
      <c r="AI1086" s="145">
        <v>333</v>
      </c>
      <c r="AJ1086" s="145">
        <v>39.6</v>
      </c>
      <c r="AK1086" s="145">
        <v>68</v>
      </c>
      <c r="AL1086" s="145" t="s">
        <v>400</v>
      </c>
      <c r="AM1086" s="145" t="s">
        <v>400</v>
      </c>
    </row>
    <row r="1087" spans="1:39">
      <c r="A1087" s="143" t="s">
        <v>2147</v>
      </c>
      <c r="B1087" s="144">
        <v>100</v>
      </c>
      <c r="C1087" s="145">
        <v>99</v>
      </c>
      <c r="D1087" s="145">
        <v>20.91</v>
      </c>
      <c r="E1087" s="145">
        <v>1.08</v>
      </c>
      <c r="F1087" s="145">
        <v>0.28999999999999998</v>
      </c>
      <c r="G1087" s="145">
        <v>0.2</v>
      </c>
      <c r="H1087" s="145">
        <v>0.44</v>
      </c>
      <c r="I1087" s="145">
        <v>0.02</v>
      </c>
      <c r="J1087" s="145">
        <v>0.01</v>
      </c>
      <c r="K1087" s="145">
        <v>195</v>
      </c>
      <c r="L1087" s="145" t="s">
        <v>400</v>
      </c>
      <c r="M1087" s="145" t="s">
        <v>400</v>
      </c>
      <c r="N1087" s="145">
        <v>39</v>
      </c>
      <c r="O1087" s="145">
        <v>34</v>
      </c>
      <c r="P1087" s="145">
        <v>0.03</v>
      </c>
      <c r="Q1087" s="145">
        <v>137</v>
      </c>
      <c r="R1087" s="145">
        <v>3.09</v>
      </c>
      <c r="S1087" s="145">
        <v>224</v>
      </c>
      <c r="T1087" s="145">
        <v>182</v>
      </c>
      <c r="U1087" s="145">
        <v>0.19</v>
      </c>
      <c r="V1087" s="145">
        <v>1.56</v>
      </c>
      <c r="W1087" s="145">
        <v>68</v>
      </c>
      <c r="X1087" s="145">
        <v>0.03</v>
      </c>
      <c r="Y1087" s="145">
        <v>0.03</v>
      </c>
      <c r="Z1087" s="145">
        <v>0.13</v>
      </c>
      <c r="AA1087" s="145">
        <v>2.59</v>
      </c>
      <c r="AB1087" s="145">
        <v>2.2000000000000002</v>
      </c>
      <c r="AC1087" s="145">
        <v>7.44</v>
      </c>
      <c r="AD1087" s="145">
        <v>1.49</v>
      </c>
      <c r="AE1087" s="145">
        <v>4</v>
      </c>
      <c r="AF1087" s="145">
        <v>3.58</v>
      </c>
      <c r="AG1087" s="145">
        <v>1.38</v>
      </c>
      <c r="AH1087" s="145">
        <v>0.02</v>
      </c>
      <c r="AI1087" s="145">
        <v>333</v>
      </c>
      <c r="AJ1087" s="145">
        <v>39.6</v>
      </c>
      <c r="AK1087" s="145">
        <v>68</v>
      </c>
      <c r="AL1087" s="145" t="s">
        <v>400</v>
      </c>
      <c r="AM1087" s="145" t="s">
        <v>400</v>
      </c>
    </row>
    <row r="1088" spans="1:39">
      <c r="A1088" s="143" t="s">
        <v>2148</v>
      </c>
      <c r="B1088" s="144">
        <v>100</v>
      </c>
      <c r="C1088" s="145">
        <v>99</v>
      </c>
      <c r="D1088" s="145">
        <v>20.91</v>
      </c>
      <c r="E1088" s="145">
        <v>1.08</v>
      </c>
      <c r="F1088" s="145">
        <v>0.28999999999999998</v>
      </c>
      <c r="G1088" s="145">
        <v>0.2</v>
      </c>
      <c r="H1088" s="145">
        <v>0.44</v>
      </c>
      <c r="I1088" s="145">
        <v>0.02</v>
      </c>
      <c r="J1088" s="145">
        <v>0.01</v>
      </c>
      <c r="K1088" s="145">
        <v>195</v>
      </c>
      <c r="L1088" s="145" t="s">
        <v>400</v>
      </c>
      <c r="M1088" s="145" t="s">
        <v>400</v>
      </c>
      <c r="N1088" s="145">
        <v>39</v>
      </c>
      <c r="O1088" s="145">
        <v>34</v>
      </c>
      <c r="P1088" s="145">
        <v>0.03</v>
      </c>
      <c r="Q1088" s="145">
        <v>137</v>
      </c>
      <c r="R1088" s="145">
        <v>3.09</v>
      </c>
      <c r="S1088" s="145">
        <v>224</v>
      </c>
      <c r="T1088" s="145">
        <v>182</v>
      </c>
      <c r="U1088" s="145">
        <v>0.19</v>
      </c>
      <c r="V1088" s="145">
        <v>1.56</v>
      </c>
      <c r="W1088" s="145">
        <v>68</v>
      </c>
      <c r="X1088" s="145">
        <v>0.03</v>
      </c>
      <c r="Y1088" s="145">
        <v>0.03</v>
      </c>
      <c r="Z1088" s="145">
        <v>0.13</v>
      </c>
      <c r="AA1088" s="145">
        <v>2.59</v>
      </c>
      <c r="AB1088" s="145">
        <v>2.2000000000000002</v>
      </c>
      <c r="AC1088" s="145">
        <v>7.44</v>
      </c>
      <c r="AD1088" s="145">
        <v>1.49</v>
      </c>
      <c r="AE1088" s="145">
        <v>4</v>
      </c>
      <c r="AF1088" s="145">
        <v>3.58</v>
      </c>
      <c r="AG1088" s="145">
        <v>1.38</v>
      </c>
      <c r="AH1088" s="145">
        <v>0.02</v>
      </c>
      <c r="AI1088" s="145">
        <v>333</v>
      </c>
      <c r="AJ1088" s="145">
        <v>39.6</v>
      </c>
      <c r="AK1088" s="145">
        <v>68</v>
      </c>
      <c r="AL1088" s="145" t="s">
        <v>400</v>
      </c>
      <c r="AM1088" s="145" t="s">
        <v>400</v>
      </c>
    </row>
    <row r="1089" spans="1:39">
      <c r="A1089" s="143" t="s">
        <v>2149</v>
      </c>
      <c r="B1089" s="144">
        <v>100</v>
      </c>
      <c r="C1089" s="145">
        <v>99</v>
      </c>
      <c r="D1089" s="145">
        <v>20.91</v>
      </c>
      <c r="E1089" s="145">
        <v>1.08</v>
      </c>
      <c r="F1089" s="145">
        <v>0.28999999999999998</v>
      </c>
      <c r="G1089" s="145">
        <v>0.2</v>
      </c>
      <c r="H1089" s="145">
        <v>0.44</v>
      </c>
      <c r="I1089" s="145">
        <v>0.02</v>
      </c>
      <c r="J1089" s="145">
        <v>0.01</v>
      </c>
      <c r="K1089" s="145">
        <v>195</v>
      </c>
      <c r="L1089" s="145" t="s">
        <v>400</v>
      </c>
      <c r="M1089" s="145" t="s">
        <v>400</v>
      </c>
      <c r="N1089" s="145">
        <v>39</v>
      </c>
      <c r="O1089" s="145">
        <v>34</v>
      </c>
      <c r="P1089" s="145">
        <v>0.03</v>
      </c>
      <c r="Q1089" s="145">
        <v>137</v>
      </c>
      <c r="R1089" s="145">
        <v>3.09</v>
      </c>
      <c r="S1089" s="145">
        <v>224</v>
      </c>
      <c r="T1089" s="145">
        <v>182</v>
      </c>
      <c r="U1089" s="145">
        <v>0.19</v>
      </c>
      <c r="V1089" s="145">
        <v>1.56</v>
      </c>
      <c r="W1089" s="145">
        <v>68</v>
      </c>
      <c r="X1089" s="145">
        <v>0.03</v>
      </c>
      <c r="Y1089" s="145">
        <v>0.03</v>
      </c>
      <c r="Z1089" s="145">
        <v>0.13</v>
      </c>
      <c r="AA1089" s="145">
        <v>2.59</v>
      </c>
      <c r="AB1089" s="145">
        <v>2.2000000000000002</v>
      </c>
      <c r="AC1089" s="145">
        <v>7.44</v>
      </c>
      <c r="AD1089" s="145">
        <v>1.49</v>
      </c>
      <c r="AE1089" s="145">
        <v>4</v>
      </c>
      <c r="AF1089" s="145">
        <v>3.58</v>
      </c>
      <c r="AG1089" s="145">
        <v>1.38</v>
      </c>
      <c r="AH1089" s="145">
        <v>0.02</v>
      </c>
      <c r="AI1089" s="145">
        <v>333</v>
      </c>
      <c r="AJ1089" s="145">
        <v>39.6</v>
      </c>
      <c r="AK1089" s="145">
        <v>68</v>
      </c>
      <c r="AL1089" s="145" t="s">
        <v>400</v>
      </c>
      <c r="AM1089" s="145" t="s">
        <v>400</v>
      </c>
    </row>
    <row r="1090" spans="1:39">
      <c r="A1090" s="143" t="s">
        <v>2150</v>
      </c>
      <c r="B1090" s="144">
        <v>100</v>
      </c>
      <c r="C1090" s="145">
        <v>121.66</v>
      </c>
      <c r="D1090" s="145">
        <v>20.91</v>
      </c>
      <c r="E1090" s="145">
        <v>3.64</v>
      </c>
      <c r="F1090" s="145">
        <v>0.66</v>
      </c>
      <c r="G1090" s="145">
        <v>0.79</v>
      </c>
      <c r="H1090" s="145">
        <v>1.92</v>
      </c>
      <c r="I1090" s="145">
        <v>1.33</v>
      </c>
      <c r="J1090" s="145">
        <v>0.19</v>
      </c>
      <c r="K1090" s="145">
        <v>195</v>
      </c>
      <c r="L1090" s="145" t="s">
        <v>400</v>
      </c>
      <c r="M1090" s="145" t="s">
        <v>400</v>
      </c>
      <c r="N1090" s="145">
        <v>39</v>
      </c>
      <c r="O1090" s="145">
        <v>34</v>
      </c>
      <c r="P1090" s="145">
        <v>0.03</v>
      </c>
      <c r="Q1090" s="145">
        <v>137</v>
      </c>
      <c r="R1090" s="145">
        <v>3.09</v>
      </c>
      <c r="S1090" s="145">
        <v>224</v>
      </c>
      <c r="T1090" s="145">
        <v>182</v>
      </c>
      <c r="U1090" s="145">
        <v>0.19</v>
      </c>
      <c r="V1090" s="145">
        <v>1.56</v>
      </c>
      <c r="W1090" s="145">
        <v>68</v>
      </c>
      <c r="X1090" s="145">
        <v>0.03</v>
      </c>
      <c r="Y1090" s="145">
        <v>0.03</v>
      </c>
      <c r="Z1090" s="145">
        <v>0.13</v>
      </c>
      <c r="AA1090" s="145">
        <v>2.59</v>
      </c>
      <c r="AB1090" s="145">
        <v>2.2000000000000002</v>
      </c>
      <c r="AC1090" s="145">
        <v>7.44</v>
      </c>
      <c r="AD1090" s="145">
        <v>1.49</v>
      </c>
      <c r="AE1090" s="145">
        <v>4</v>
      </c>
      <c r="AF1090" s="145">
        <v>3.58</v>
      </c>
      <c r="AG1090" s="145">
        <v>1.62</v>
      </c>
      <c r="AH1090" s="145">
        <v>0.02</v>
      </c>
      <c r="AI1090" s="145">
        <v>333</v>
      </c>
      <c r="AJ1090" s="145">
        <v>40.770000000000003</v>
      </c>
      <c r="AK1090" s="145">
        <v>68</v>
      </c>
      <c r="AL1090" s="145" t="s">
        <v>400</v>
      </c>
      <c r="AM1090" s="145" t="s">
        <v>400</v>
      </c>
    </row>
    <row r="1091" spans="1:39">
      <c r="A1091" s="143" t="s">
        <v>2151</v>
      </c>
      <c r="B1091" s="144">
        <v>100</v>
      </c>
      <c r="C1091" s="145">
        <v>137.84</v>
      </c>
      <c r="D1091" s="145">
        <v>21.37</v>
      </c>
      <c r="E1091" s="145">
        <v>3.69</v>
      </c>
      <c r="F1091" s="145">
        <v>0.66</v>
      </c>
      <c r="G1091" s="145">
        <v>0.8</v>
      </c>
      <c r="H1091" s="145">
        <v>1.94</v>
      </c>
      <c r="I1091" s="145">
        <v>1.35</v>
      </c>
      <c r="J1091" s="145">
        <v>0.19</v>
      </c>
      <c r="K1091" s="145">
        <v>195</v>
      </c>
      <c r="L1091" s="145">
        <v>3.39</v>
      </c>
      <c r="M1091" s="145">
        <v>0.14000000000000001</v>
      </c>
      <c r="N1091" s="145">
        <v>39.67</v>
      </c>
      <c r="O1091" s="145">
        <v>34.979999999999997</v>
      </c>
      <c r="P1091" s="145">
        <v>0.06</v>
      </c>
      <c r="Q1091" s="145">
        <v>141.80000000000001</v>
      </c>
      <c r="R1091" s="145">
        <v>3.3</v>
      </c>
      <c r="S1091" s="145">
        <v>224.09</v>
      </c>
      <c r="T1091" s="145">
        <v>186.76</v>
      </c>
      <c r="U1091" s="145">
        <v>0.2</v>
      </c>
      <c r="V1091" s="145">
        <v>1.59</v>
      </c>
      <c r="W1091" s="145">
        <v>68</v>
      </c>
      <c r="X1091" s="145">
        <v>7.0000000000000007E-2</v>
      </c>
      <c r="Y1091" s="145">
        <v>0.05</v>
      </c>
      <c r="Z1091" s="145">
        <v>0.13</v>
      </c>
      <c r="AA1091" s="145">
        <v>2.85</v>
      </c>
      <c r="AB1091" s="145">
        <v>2.2000000000000002</v>
      </c>
      <c r="AC1091" s="145">
        <v>7.8</v>
      </c>
      <c r="AD1091" s="145">
        <v>1.49</v>
      </c>
      <c r="AE1091" s="145">
        <v>13.07</v>
      </c>
      <c r="AF1091" s="145">
        <v>3.58</v>
      </c>
      <c r="AG1091" s="145">
        <v>1.62</v>
      </c>
      <c r="AH1091" s="145">
        <v>0.02</v>
      </c>
      <c r="AI1091" s="145">
        <v>333</v>
      </c>
      <c r="AJ1091" s="145">
        <v>42.28</v>
      </c>
      <c r="AK1091" s="145">
        <v>68</v>
      </c>
      <c r="AL1091" s="145">
        <v>0.01</v>
      </c>
      <c r="AM1091" s="145" t="s">
        <v>400</v>
      </c>
    </row>
    <row r="1092" spans="1:39">
      <c r="A1092" s="143" t="s">
        <v>2152</v>
      </c>
      <c r="B1092" s="144">
        <v>100</v>
      </c>
      <c r="C1092" s="145">
        <v>121.66</v>
      </c>
      <c r="D1092" s="145">
        <v>20.91</v>
      </c>
      <c r="E1092" s="145">
        <v>3.64</v>
      </c>
      <c r="F1092" s="145">
        <v>0.66</v>
      </c>
      <c r="G1092" s="145">
        <v>0.79</v>
      </c>
      <c r="H1092" s="145">
        <v>1.92</v>
      </c>
      <c r="I1092" s="145">
        <v>1.33</v>
      </c>
      <c r="J1092" s="145">
        <v>0.19</v>
      </c>
      <c r="K1092" s="145">
        <v>195</v>
      </c>
      <c r="L1092" s="145" t="s">
        <v>400</v>
      </c>
      <c r="M1092" s="145" t="s">
        <v>400</v>
      </c>
      <c r="N1092" s="145">
        <v>39</v>
      </c>
      <c r="O1092" s="145">
        <v>34</v>
      </c>
      <c r="P1092" s="145">
        <v>0.03</v>
      </c>
      <c r="Q1092" s="145">
        <v>137</v>
      </c>
      <c r="R1092" s="145">
        <v>3.09</v>
      </c>
      <c r="S1092" s="145">
        <v>224</v>
      </c>
      <c r="T1092" s="145">
        <v>182</v>
      </c>
      <c r="U1092" s="145">
        <v>0.19</v>
      </c>
      <c r="V1092" s="145">
        <v>1.56</v>
      </c>
      <c r="W1092" s="145">
        <v>68</v>
      </c>
      <c r="X1092" s="145">
        <v>0.03</v>
      </c>
      <c r="Y1092" s="145">
        <v>0.03</v>
      </c>
      <c r="Z1092" s="145">
        <v>0.13</v>
      </c>
      <c r="AA1092" s="145">
        <v>2.59</v>
      </c>
      <c r="AB1092" s="145">
        <v>2.2000000000000002</v>
      </c>
      <c r="AC1092" s="145">
        <v>7.44</v>
      </c>
      <c r="AD1092" s="145">
        <v>1.49</v>
      </c>
      <c r="AE1092" s="145">
        <v>4</v>
      </c>
      <c r="AF1092" s="145">
        <v>3.58</v>
      </c>
      <c r="AG1092" s="145">
        <v>1.62</v>
      </c>
      <c r="AH1092" s="145">
        <v>0.02</v>
      </c>
      <c r="AI1092" s="145">
        <v>333</v>
      </c>
      <c r="AJ1092" s="145">
        <v>40.770000000000003</v>
      </c>
      <c r="AK1092" s="145">
        <v>68</v>
      </c>
      <c r="AL1092" s="145" t="s">
        <v>400</v>
      </c>
      <c r="AM1092" s="145" t="s">
        <v>400</v>
      </c>
    </row>
    <row r="1093" spans="1:39">
      <c r="A1093" s="143" t="s">
        <v>2153</v>
      </c>
      <c r="B1093" s="144">
        <v>100</v>
      </c>
      <c r="C1093" s="145">
        <v>84</v>
      </c>
      <c r="D1093" s="145">
        <v>16.989999999999998</v>
      </c>
      <c r="E1093" s="145">
        <v>0.9</v>
      </c>
      <c r="F1093" s="145">
        <v>0.24</v>
      </c>
      <c r="G1093" s="145">
        <v>0.16</v>
      </c>
      <c r="H1093" s="145">
        <v>0.37</v>
      </c>
      <c r="I1093" s="145">
        <v>0.03</v>
      </c>
      <c r="J1093" s="145">
        <v>0.01</v>
      </c>
      <c r="K1093" s="145">
        <v>156</v>
      </c>
      <c r="L1093" s="145">
        <v>1.08</v>
      </c>
      <c r="M1093" s="145">
        <v>0.3</v>
      </c>
      <c r="N1093" s="145">
        <v>33.799999999999997</v>
      </c>
      <c r="O1093" s="145">
        <v>30.4</v>
      </c>
      <c r="P1093" s="145">
        <v>0.05</v>
      </c>
      <c r="Q1093" s="145">
        <v>114.8</v>
      </c>
      <c r="R1093" s="145">
        <v>2.68</v>
      </c>
      <c r="S1093" s="145">
        <v>284</v>
      </c>
      <c r="T1093" s="145">
        <v>211.8</v>
      </c>
      <c r="U1093" s="145">
        <v>0.18</v>
      </c>
      <c r="V1093" s="145">
        <v>1.29</v>
      </c>
      <c r="W1093" s="145">
        <v>54.4</v>
      </c>
      <c r="X1093" s="145">
        <v>0.03</v>
      </c>
      <c r="Y1093" s="145">
        <v>0.04</v>
      </c>
      <c r="Z1093" s="145">
        <v>0.12</v>
      </c>
      <c r="AA1093" s="145">
        <v>2.27</v>
      </c>
      <c r="AB1093" s="145">
        <v>3.16</v>
      </c>
      <c r="AC1093" s="145">
        <v>6.18</v>
      </c>
      <c r="AD1093" s="145">
        <v>1.19</v>
      </c>
      <c r="AE1093" s="145">
        <v>5.4</v>
      </c>
      <c r="AF1093" s="145">
        <v>2.86</v>
      </c>
      <c r="AG1093" s="145">
        <v>1.39</v>
      </c>
      <c r="AH1093" s="145">
        <v>0.02</v>
      </c>
      <c r="AI1093" s="145">
        <v>333</v>
      </c>
      <c r="AJ1093" s="145">
        <v>31.72</v>
      </c>
      <c r="AK1093" s="145">
        <v>57.88</v>
      </c>
      <c r="AL1093" s="145">
        <v>0.85</v>
      </c>
      <c r="AM1093" s="145" t="s">
        <v>400</v>
      </c>
    </row>
    <row r="1094" spans="1:39">
      <c r="A1094" s="143" t="s">
        <v>2154</v>
      </c>
      <c r="B1094" s="144">
        <v>100</v>
      </c>
      <c r="C1094" s="145">
        <v>125.65</v>
      </c>
      <c r="D1094" s="145">
        <v>18.21</v>
      </c>
      <c r="E1094" s="145">
        <v>4.75</v>
      </c>
      <c r="F1094" s="145">
        <v>2.2599999999999998</v>
      </c>
      <c r="G1094" s="145">
        <v>1.24</v>
      </c>
      <c r="H1094" s="145">
        <v>0.89</v>
      </c>
      <c r="I1094" s="145">
        <v>0.46</v>
      </c>
      <c r="J1094" s="145">
        <v>0.09</v>
      </c>
      <c r="K1094" s="145">
        <v>169.93</v>
      </c>
      <c r="L1094" s="145">
        <v>1.47</v>
      </c>
      <c r="M1094" s="145">
        <v>7.0000000000000007E-2</v>
      </c>
      <c r="N1094" s="145">
        <v>43.88</v>
      </c>
      <c r="O1094" s="145">
        <v>29.56</v>
      </c>
      <c r="P1094" s="145">
        <v>0.09</v>
      </c>
      <c r="Q1094" s="145">
        <v>132.93</v>
      </c>
      <c r="R1094" s="145">
        <v>3.8</v>
      </c>
      <c r="S1094" s="145">
        <v>188</v>
      </c>
      <c r="T1094" s="145">
        <v>191.55</v>
      </c>
      <c r="U1094" s="145">
        <v>0.19</v>
      </c>
      <c r="V1094" s="145">
        <v>1.41</v>
      </c>
      <c r="W1094" s="145">
        <v>89.47</v>
      </c>
      <c r="X1094" s="145">
        <v>0.04</v>
      </c>
      <c r="Y1094" s="145">
        <v>0.06</v>
      </c>
      <c r="Z1094" s="145">
        <v>0.12</v>
      </c>
      <c r="AA1094" s="145">
        <v>2.29</v>
      </c>
      <c r="AB1094" s="145">
        <v>3.48</v>
      </c>
      <c r="AC1094" s="145">
        <v>6.46</v>
      </c>
      <c r="AD1094" s="145">
        <v>5.59</v>
      </c>
      <c r="AE1094" s="145">
        <v>7.51</v>
      </c>
      <c r="AF1094" s="145">
        <v>2.98</v>
      </c>
      <c r="AG1094" s="145">
        <v>1.29</v>
      </c>
      <c r="AH1094" s="145">
        <v>0.13</v>
      </c>
      <c r="AI1094" s="145">
        <v>333</v>
      </c>
      <c r="AJ1094" s="145">
        <v>34.53</v>
      </c>
      <c r="AK1094" s="145">
        <v>91.69</v>
      </c>
      <c r="AL1094" s="145">
        <v>0.39</v>
      </c>
      <c r="AM1094" s="145" t="s">
        <v>400</v>
      </c>
    </row>
    <row r="1095" spans="1:39">
      <c r="A1095" s="143" t="s">
        <v>2155</v>
      </c>
      <c r="B1095" s="144">
        <v>100</v>
      </c>
      <c r="C1095" s="145">
        <v>121.66</v>
      </c>
      <c r="D1095" s="145">
        <v>20.91</v>
      </c>
      <c r="E1095" s="145">
        <v>3.64</v>
      </c>
      <c r="F1095" s="145">
        <v>0.66</v>
      </c>
      <c r="G1095" s="145">
        <v>0.79</v>
      </c>
      <c r="H1095" s="145">
        <v>1.92</v>
      </c>
      <c r="I1095" s="145">
        <v>1.33</v>
      </c>
      <c r="J1095" s="145">
        <v>0.19</v>
      </c>
      <c r="K1095" s="145">
        <v>195</v>
      </c>
      <c r="L1095" s="145" t="s">
        <v>400</v>
      </c>
      <c r="M1095" s="145" t="s">
        <v>400</v>
      </c>
      <c r="N1095" s="145">
        <v>39</v>
      </c>
      <c r="O1095" s="145">
        <v>34</v>
      </c>
      <c r="P1095" s="145">
        <v>0.03</v>
      </c>
      <c r="Q1095" s="145">
        <v>137</v>
      </c>
      <c r="R1095" s="145">
        <v>3.09</v>
      </c>
      <c r="S1095" s="145">
        <v>224</v>
      </c>
      <c r="T1095" s="145">
        <v>182</v>
      </c>
      <c r="U1095" s="145">
        <v>0.19</v>
      </c>
      <c r="V1095" s="145">
        <v>1.56</v>
      </c>
      <c r="W1095" s="145">
        <v>68</v>
      </c>
      <c r="X1095" s="145">
        <v>0.03</v>
      </c>
      <c r="Y1095" s="145">
        <v>0.03</v>
      </c>
      <c r="Z1095" s="145">
        <v>0.13</v>
      </c>
      <c r="AA1095" s="145">
        <v>2.59</v>
      </c>
      <c r="AB1095" s="145">
        <v>2.2000000000000002</v>
      </c>
      <c r="AC1095" s="145">
        <v>7.44</v>
      </c>
      <c r="AD1095" s="145">
        <v>1.49</v>
      </c>
      <c r="AE1095" s="145">
        <v>4</v>
      </c>
      <c r="AF1095" s="145">
        <v>3.58</v>
      </c>
      <c r="AG1095" s="145">
        <v>1.62</v>
      </c>
      <c r="AH1095" s="145">
        <v>0.02</v>
      </c>
      <c r="AI1095" s="145">
        <v>333</v>
      </c>
      <c r="AJ1095" s="145">
        <v>40.770000000000003</v>
      </c>
      <c r="AK1095" s="145">
        <v>68</v>
      </c>
      <c r="AL1095" s="145" t="s">
        <v>400</v>
      </c>
      <c r="AM1095" s="145" t="s">
        <v>400</v>
      </c>
    </row>
    <row r="1096" spans="1:39">
      <c r="A1096" s="143" t="s">
        <v>2156</v>
      </c>
      <c r="B1096" s="144">
        <v>100</v>
      </c>
      <c r="C1096" s="145">
        <v>121.66</v>
      </c>
      <c r="D1096" s="145">
        <v>20.91</v>
      </c>
      <c r="E1096" s="145">
        <v>3.64</v>
      </c>
      <c r="F1096" s="145">
        <v>0.66</v>
      </c>
      <c r="G1096" s="145">
        <v>0.79</v>
      </c>
      <c r="H1096" s="145">
        <v>1.92</v>
      </c>
      <c r="I1096" s="145">
        <v>1.33</v>
      </c>
      <c r="J1096" s="145">
        <v>0.19</v>
      </c>
      <c r="K1096" s="145">
        <v>195</v>
      </c>
      <c r="L1096" s="145" t="s">
        <v>400</v>
      </c>
      <c r="M1096" s="145" t="s">
        <v>400</v>
      </c>
      <c r="N1096" s="145">
        <v>39</v>
      </c>
      <c r="O1096" s="145">
        <v>34</v>
      </c>
      <c r="P1096" s="145">
        <v>0.03</v>
      </c>
      <c r="Q1096" s="145">
        <v>137</v>
      </c>
      <c r="R1096" s="145">
        <v>3.09</v>
      </c>
      <c r="S1096" s="145">
        <v>224</v>
      </c>
      <c r="T1096" s="145">
        <v>182</v>
      </c>
      <c r="U1096" s="145">
        <v>0.19</v>
      </c>
      <c r="V1096" s="145">
        <v>1.56</v>
      </c>
      <c r="W1096" s="145">
        <v>68</v>
      </c>
      <c r="X1096" s="145">
        <v>0.03</v>
      </c>
      <c r="Y1096" s="145">
        <v>0.03</v>
      </c>
      <c r="Z1096" s="145">
        <v>0.13</v>
      </c>
      <c r="AA1096" s="145">
        <v>2.59</v>
      </c>
      <c r="AB1096" s="145">
        <v>2.2000000000000002</v>
      </c>
      <c r="AC1096" s="145">
        <v>7.44</v>
      </c>
      <c r="AD1096" s="145">
        <v>1.49</v>
      </c>
      <c r="AE1096" s="145">
        <v>4</v>
      </c>
      <c r="AF1096" s="145">
        <v>3.58</v>
      </c>
      <c r="AG1096" s="145">
        <v>1.62</v>
      </c>
      <c r="AH1096" s="145">
        <v>0.02</v>
      </c>
      <c r="AI1096" s="145">
        <v>333</v>
      </c>
      <c r="AJ1096" s="145">
        <v>40.770000000000003</v>
      </c>
      <c r="AK1096" s="145">
        <v>68</v>
      </c>
      <c r="AL1096" s="145" t="s">
        <v>400</v>
      </c>
      <c r="AM1096" s="145" t="s">
        <v>400</v>
      </c>
    </row>
    <row r="1097" spans="1:39">
      <c r="A1097" s="143" t="s">
        <v>2157</v>
      </c>
      <c r="B1097" s="144">
        <v>100</v>
      </c>
      <c r="C1097" s="145">
        <v>99</v>
      </c>
      <c r="D1097" s="145">
        <v>20.91</v>
      </c>
      <c r="E1097" s="145">
        <v>1.08</v>
      </c>
      <c r="F1097" s="145">
        <v>0.28999999999999998</v>
      </c>
      <c r="G1097" s="145">
        <v>0.2</v>
      </c>
      <c r="H1097" s="145">
        <v>0.44</v>
      </c>
      <c r="I1097" s="145">
        <v>0.02</v>
      </c>
      <c r="J1097" s="145">
        <v>0.01</v>
      </c>
      <c r="K1097" s="145">
        <v>195</v>
      </c>
      <c r="L1097" s="145" t="s">
        <v>400</v>
      </c>
      <c r="M1097" s="145" t="s">
        <v>400</v>
      </c>
      <c r="N1097" s="145">
        <v>39</v>
      </c>
      <c r="O1097" s="145">
        <v>34</v>
      </c>
      <c r="P1097" s="145">
        <v>0.03</v>
      </c>
      <c r="Q1097" s="145">
        <v>137</v>
      </c>
      <c r="R1097" s="145">
        <v>3.09</v>
      </c>
      <c r="S1097" s="145">
        <v>224</v>
      </c>
      <c r="T1097" s="145">
        <v>182</v>
      </c>
      <c r="U1097" s="145">
        <v>0.19</v>
      </c>
      <c r="V1097" s="145">
        <v>1.56</v>
      </c>
      <c r="W1097" s="145">
        <v>68</v>
      </c>
      <c r="X1097" s="145">
        <v>0.03</v>
      </c>
      <c r="Y1097" s="145">
        <v>0.03</v>
      </c>
      <c r="Z1097" s="145">
        <v>0.13</v>
      </c>
      <c r="AA1097" s="145">
        <v>2.59</v>
      </c>
      <c r="AB1097" s="145">
        <v>2.2000000000000002</v>
      </c>
      <c r="AC1097" s="145">
        <v>7.44</v>
      </c>
      <c r="AD1097" s="145">
        <v>1.49</v>
      </c>
      <c r="AE1097" s="145">
        <v>4</v>
      </c>
      <c r="AF1097" s="145">
        <v>3.58</v>
      </c>
      <c r="AG1097" s="145">
        <v>1.38</v>
      </c>
      <c r="AH1097" s="145">
        <v>0.02</v>
      </c>
      <c r="AI1097" s="145">
        <v>333</v>
      </c>
      <c r="AJ1097" s="145">
        <v>39.6</v>
      </c>
      <c r="AK1097" s="145">
        <v>68</v>
      </c>
      <c r="AL1097" s="145" t="s">
        <v>400</v>
      </c>
      <c r="AM1097" s="145" t="s">
        <v>400</v>
      </c>
    </row>
    <row r="1098" spans="1:39">
      <c r="A1098" s="143" t="s">
        <v>2158</v>
      </c>
      <c r="B1098" s="144">
        <v>100</v>
      </c>
      <c r="C1098" s="145">
        <v>102</v>
      </c>
      <c r="D1098" s="145">
        <v>20.2</v>
      </c>
      <c r="E1098" s="145">
        <v>1.77</v>
      </c>
      <c r="F1098" s="145">
        <v>0.23</v>
      </c>
      <c r="G1098" s="145">
        <v>0.28000000000000003</v>
      </c>
      <c r="H1098" s="145">
        <v>0.68</v>
      </c>
      <c r="I1098" s="145">
        <v>0.03</v>
      </c>
      <c r="J1098" s="145">
        <v>0.02</v>
      </c>
      <c r="K1098" s="145">
        <v>100</v>
      </c>
      <c r="L1098" s="145" t="s">
        <v>400</v>
      </c>
      <c r="M1098" s="145" t="s">
        <v>400</v>
      </c>
      <c r="N1098" s="145">
        <v>104</v>
      </c>
      <c r="O1098" s="145">
        <v>33</v>
      </c>
      <c r="P1098" s="145">
        <v>0.19</v>
      </c>
      <c r="Q1098" s="145">
        <v>206</v>
      </c>
      <c r="R1098" s="145">
        <v>0.91</v>
      </c>
      <c r="S1098" s="145">
        <v>279</v>
      </c>
      <c r="T1098" s="145">
        <v>324</v>
      </c>
      <c r="U1098" s="145">
        <v>0.65</v>
      </c>
      <c r="V1098" s="145">
        <v>4.22</v>
      </c>
      <c r="W1098" s="145">
        <v>2</v>
      </c>
      <c r="X1098" s="145">
        <v>0.1</v>
      </c>
      <c r="Y1098" s="145">
        <v>0.05</v>
      </c>
      <c r="Z1098" s="145">
        <v>0.18</v>
      </c>
      <c r="AA1098" s="145">
        <v>3.3</v>
      </c>
      <c r="AB1098" s="145">
        <v>3.3</v>
      </c>
      <c r="AC1098" s="145">
        <v>7.98</v>
      </c>
      <c r="AD1098" s="145">
        <v>7.3</v>
      </c>
      <c r="AE1098" s="145">
        <v>51</v>
      </c>
      <c r="AF1098" s="145" t="s">
        <v>400</v>
      </c>
      <c r="AG1098" s="145">
        <v>1.84</v>
      </c>
      <c r="AH1098" s="145" t="s">
        <v>400</v>
      </c>
      <c r="AI1098" s="145">
        <v>333</v>
      </c>
      <c r="AJ1098" s="145">
        <v>40.200000000000003</v>
      </c>
      <c r="AK1098" s="145">
        <v>2</v>
      </c>
      <c r="AL1098" s="145" t="s">
        <v>400</v>
      </c>
      <c r="AM1098" s="145" t="s">
        <v>400</v>
      </c>
    </row>
    <row r="1099" spans="1:39">
      <c r="A1099" s="143" t="s">
        <v>2159</v>
      </c>
      <c r="B1099" s="144">
        <v>100</v>
      </c>
      <c r="C1099" s="145">
        <v>140.83699999999999</v>
      </c>
      <c r="D1099" s="145">
        <v>20.658999999999999</v>
      </c>
      <c r="E1099" s="145">
        <v>4.3769999999999998</v>
      </c>
      <c r="F1099" s="145">
        <v>0.63600000000000001</v>
      </c>
      <c r="G1099" s="145">
        <v>0.86799999999999999</v>
      </c>
      <c r="H1099" s="145">
        <v>2.1779999999999999</v>
      </c>
      <c r="I1099" s="145">
        <v>1.351</v>
      </c>
      <c r="J1099" s="145">
        <v>0.19600000000000001</v>
      </c>
      <c r="K1099" s="145">
        <v>100</v>
      </c>
      <c r="L1099" s="145">
        <v>3.3919999999999999</v>
      </c>
      <c r="M1099" s="145">
        <v>0.13500000000000001</v>
      </c>
      <c r="N1099" s="145">
        <v>104.667</v>
      </c>
      <c r="O1099" s="145">
        <v>33.978000000000002</v>
      </c>
      <c r="P1099" s="145">
        <v>0.22</v>
      </c>
      <c r="Q1099" s="145">
        <v>210.8</v>
      </c>
      <c r="R1099" s="145">
        <v>1.1180000000000001</v>
      </c>
      <c r="S1099" s="145">
        <v>279.089</v>
      </c>
      <c r="T1099" s="145">
        <v>328.75599999999997</v>
      </c>
      <c r="U1099" s="145">
        <v>0.65100000000000002</v>
      </c>
      <c r="V1099" s="145">
        <v>4.2510000000000003</v>
      </c>
      <c r="W1099" s="145">
        <v>2</v>
      </c>
      <c r="X1099" s="145">
        <v>0.13500000000000001</v>
      </c>
      <c r="Y1099" s="145">
        <v>7.1999999999999995E-2</v>
      </c>
      <c r="Z1099" s="145">
        <v>0.182</v>
      </c>
      <c r="AA1099" s="145">
        <v>3.5619999999999998</v>
      </c>
      <c r="AB1099" s="145">
        <v>3.3</v>
      </c>
      <c r="AC1099" s="145">
        <v>8.34</v>
      </c>
      <c r="AD1099" s="145">
        <v>7.3</v>
      </c>
      <c r="AE1099" s="145">
        <v>60.067</v>
      </c>
      <c r="AF1099" s="145" t="s">
        <v>400</v>
      </c>
      <c r="AG1099" s="145">
        <v>2.052</v>
      </c>
      <c r="AH1099" s="145">
        <v>1.4E-2</v>
      </c>
      <c r="AI1099" s="145">
        <v>333</v>
      </c>
      <c r="AJ1099" s="145">
        <v>42.881</v>
      </c>
      <c r="AK1099" s="145">
        <v>2</v>
      </c>
      <c r="AL1099" s="145">
        <v>1.4E-2</v>
      </c>
      <c r="AM1099" s="145" t="s">
        <v>400</v>
      </c>
    </row>
    <row r="1100" spans="1:39">
      <c r="A1100" s="143" t="s">
        <v>2160</v>
      </c>
      <c r="B1100" s="144">
        <v>100</v>
      </c>
      <c r="C1100" s="145">
        <v>124.66</v>
      </c>
      <c r="D1100" s="145">
        <v>20.2</v>
      </c>
      <c r="E1100" s="145">
        <v>4.33</v>
      </c>
      <c r="F1100" s="145">
        <v>0.6</v>
      </c>
      <c r="G1100" s="145">
        <v>0.88</v>
      </c>
      <c r="H1100" s="145">
        <v>2.16</v>
      </c>
      <c r="I1100" s="145">
        <v>1.34</v>
      </c>
      <c r="J1100" s="145">
        <v>0.2</v>
      </c>
      <c r="K1100" s="145">
        <v>100</v>
      </c>
      <c r="L1100" s="145" t="s">
        <v>400</v>
      </c>
      <c r="M1100" s="145" t="s">
        <v>400</v>
      </c>
      <c r="N1100" s="145">
        <v>104</v>
      </c>
      <c r="O1100" s="145">
        <v>33</v>
      </c>
      <c r="P1100" s="145">
        <v>0.19</v>
      </c>
      <c r="Q1100" s="145">
        <v>206</v>
      </c>
      <c r="R1100" s="145">
        <v>0.91</v>
      </c>
      <c r="S1100" s="145">
        <v>279</v>
      </c>
      <c r="T1100" s="145">
        <v>324</v>
      </c>
      <c r="U1100" s="145">
        <v>0.65</v>
      </c>
      <c r="V1100" s="145">
        <v>4.22</v>
      </c>
      <c r="W1100" s="145">
        <v>2</v>
      </c>
      <c r="X1100" s="145">
        <v>0.1</v>
      </c>
      <c r="Y1100" s="145">
        <v>0.05</v>
      </c>
      <c r="Z1100" s="145">
        <v>0.18</v>
      </c>
      <c r="AA1100" s="145">
        <v>3.3</v>
      </c>
      <c r="AB1100" s="145">
        <v>3.3</v>
      </c>
      <c r="AC1100" s="145">
        <v>7.98</v>
      </c>
      <c r="AD1100" s="145">
        <v>7.3</v>
      </c>
      <c r="AE1100" s="145">
        <v>51</v>
      </c>
      <c r="AF1100" s="145" t="s">
        <v>400</v>
      </c>
      <c r="AG1100" s="145">
        <v>2.08</v>
      </c>
      <c r="AH1100" s="145" t="s">
        <v>400</v>
      </c>
      <c r="AI1100" s="145">
        <v>333</v>
      </c>
      <c r="AJ1100" s="145">
        <v>41.37</v>
      </c>
      <c r="AK1100" s="145">
        <v>2</v>
      </c>
      <c r="AL1100" s="145" t="s">
        <v>400</v>
      </c>
      <c r="AM1100" s="145" t="s">
        <v>400</v>
      </c>
    </row>
    <row r="1101" spans="1:39">
      <c r="A1101" s="143" t="s">
        <v>2161</v>
      </c>
      <c r="B1101" s="144">
        <v>100</v>
      </c>
      <c r="C1101" s="145">
        <v>102</v>
      </c>
      <c r="D1101" s="145">
        <v>20.2</v>
      </c>
      <c r="E1101" s="145">
        <v>1.77</v>
      </c>
      <c r="F1101" s="145">
        <v>0.23</v>
      </c>
      <c r="G1101" s="145">
        <v>0.28000000000000003</v>
      </c>
      <c r="H1101" s="145">
        <v>0.68</v>
      </c>
      <c r="I1101" s="145">
        <v>0.03</v>
      </c>
      <c r="J1101" s="145">
        <v>0.02</v>
      </c>
      <c r="K1101" s="145">
        <v>100</v>
      </c>
      <c r="L1101" s="145" t="s">
        <v>400</v>
      </c>
      <c r="M1101" s="145" t="s">
        <v>400</v>
      </c>
      <c r="N1101" s="145">
        <v>104</v>
      </c>
      <c r="O1101" s="145">
        <v>33</v>
      </c>
      <c r="P1101" s="145">
        <v>0.19</v>
      </c>
      <c r="Q1101" s="145">
        <v>206</v>
      </c>
      <c r="R1101" s="145">
        <v>0.91</v>
      </c>
      <c r="S1101" s="145">
        <v>279</v>
      </c>
      <c r="T1101" s="145">
        <v>324</v>
      </c>
      <c r="U1101" s="145">
        <v>0.65</v>
      </c>
      <c r="V1101" s="145">
        <v>4.22</v>
      </c>
      <c r="W1101" s="145">
        <v>2</v>
      </c>
      <c r="X1101" s="145">
        <v>0.1</v>
      </c>
      <c r="Y1101" s="145">
        <v>0.05</v>
      </c>
      <c r="Z1101" s="145">
        <v>0.18</v>
      </c>
      <c r="AA1101" s="145">
        <v>3.3</v>
      </c>
      <c r="AB1101" s="145">
        <v>3.3</v>
      </c>
      <c r="AC1101" s="145">
        <v>7.98</v>
      </c>
      <c r="AD1101" s="145">
        <v>7.3</v>
      </c>
      <c r="AE1101" s="145">
        <v>51</v>
      </c>
      <c r="AF1101" s="145" t="s">
        <v>400</v>
      </c>
      <c r="AG1101" s="145">
        <v>1.84</v>
      </c>
      <c r="AH1101" s="145" t="s">
        <v>400</v>
      </c>
      <c r="AI1101" s="145">
        <v>333</v>
      </c>
      <c r="AJ1101" s="145">
        <v>40.200000000000003</v>
      </c>
      <c r="AK1101" s="145">
        <v>2</v>
      </c>
      <c r="AL1101" s="145" t="s">
        <v>400</v>
      </c>
      <c r="AM1101" s="145" t="s">
        <v>400</v>
      </c>
    </row>
    <row r="1102" spans="1:39">
      <c r="A1102" s="143" t="s">
        <v>2162</v>
      </c>
      <c r="B1102" s="144">
        <v>100</v>
      </c>
      <c r="C1102" s="145">
        <v>102</v>
      </c>
      <c r="D1102" s="145">
        <v>20.2</v>
      </c>
      <c r="E1102" s="145">
        <v>1.77</v>
      </c>
      <c r="F1102" s="145">
        <v>0.23</v>
      </c>
      <c r="G1102" s="145">
        <v>0.28000000000000003</v>
      </c>
      <c r="H1102" s="145">
        <v>0.68</v>
      </c>
      <c r="I1102" s="145">
        <v>0.03</v>
      </c>
      <c r="J1102" s="145">
        <v>0.02</v>
      </c>
      <c r="K1102" s="145">
        <v>100</v>
      </c>
      <c r="L1102" s="145" t="s">
        <v>400</v>
      </c>
      <c r="M1102" s="145" t="s">
        <v>400</v>
      </c>
      <c r="N1102" s="145">
        <v>104</v>
      </c>
      <c r="O1102" s="145">
        <v>33</v>
      </c>
      <c r="P1102" s="145">
        <v>0.19</v>
      </c>
      <c r="Q1102" s="145">
        <v>206</v>
      </c>
      <c r="R1102" s="145">
        <v>0.91</v>
      </c>
      <c r="S1102" s="145">
        <v>279</v>
      </c>
      <c r="T1102" s="145">
        <v>324</v>
      </c>
      <c r="U1102" s="145">
        <v>0.65</v>
      </c>
      <c r="V1102" s="145">
        <v>4.22</v>
      </c>
      <c r="W1102" s="145">
        <v>2</v>
      </c>
      <c r="X1102" s="145">
        <v>0.1</v>
      </c>
      <c r="Y1102" s="145">
        <v>0.05</v>
      </c>
      <c r="Z1102" s="145">
        <v>0.18</v>
      </c>
      <c r="AA1102" s="145">
        <v>3.3</v>
      </c>
      <c r="AB1102" s="145">
        <v>3.3</v>
      </c>
      <c r="AC1102" s="145">
        <v>7.98</v>
      </c>
      <c r="AD1102" s="145">
        <v>7.3</v>
      </c>
      <c r="AE1102" s="145">
        <v>51</v>
      </c>
      <c r="AF1102" s="145" t="s">
        <v>400</v>
      </c>
      <c r="AG1102" s="145">
        <v>1.84</v>
      </c>
      <c r="AH1102" s="145" t="s">
        <v>400</v>
      </c>
      <c r="AI1102" s="145">
        <v>333</v>
      </c>
      <c r="AJ1102" s="145">
        <v>40.200000000000003</v>
      </c>
      <c r="AK1102" s="145">
        <v>2</v>
      </c>
      <c r="AL1102" s="145" t="s">
        <v>400</v>
      </c>
      <c r="AM1102" s="145" t="s">
        <v>400</v>
      </c>
    </row>
    <row r="1103" spans="1:39">
      <c r="A1103" s="143" t="s">
        <v>2163</v>
      </c>
      <c r="B1103" s="144">
        <v>100</v>
      </c>
      <c r="C1103" s="145">
        <v>102</v>
      </c>
      <c r="D1103" s="145">
        <v>20.2</v>
      </c>
      <c r="E1103" s="145">
        <v>1.77</v>
      </c>
      <c r="F1103" s="145">
        <v>0.23</v>
      </c>
      <c r="G1103" s="145">
        <v>0.28000000000000003</v>
      </c>
      <c r="H1103" s="145">
        <v>0.68</v>
      </c>
      <c r="I1103" s="145">
        <v>0.03</v>
      </c>
      <c r="J1103" s="145">
        <v>0.02</v>
      </c>
      <c r="K1103" s="145">
        <v>100</v>
      </c>
      <c r="L1103" s="145" t="s">
        <v>400</v>
      </c>
      <c r="M1103" s="145" t="s">
        <v>400</v>
      </c>
      <c r="N1103" s="145">
        <v>104</v>
      </c>
      <c r="O1103" s="145">
        <v>33</v>
      </c>
      <c r="P1103" s="145">
        <v>0.19</v>
      </c>
      <c r="Q1103" s="145">
        <v>206</v>
      </c>
      <c r="R1103" s="145">
        <v>0.91</v>
      </c>
      <c r="S1103" s="145">
        <v>279</v>
      </c>
      <c r="T1103" s="145">
        <v>324</v>
      </c>
      <c r="U1103" s="145">
        <v>0.65</v>
      </c>
      <c r="V1103" s="145">
        <v>4.22</v>
      </c>
      <c r="W1103" s="145">
        <v>2</v>
      </c>
      <c r="X1103" s="145">
        <v>0.1</v>
      </c>
      <c r="Y1103" s="145">
        <v>0.05</v>
      </c>
      <c r="Z1103" s="145">
        <v>0.18</v>
      </c>
      <c r="AA1103" s="145">
        <v>3.3</v>
      </c>
      <c r="AB1103" s="145">
        <v>3.3</v>
      </c>
      <c r="AC1103" s="145">
        <v>7.98</v>
      </c>
      <c r="AD1103" s="145">
        <v>7.3</v>
      </c>
      <c r="AE1103" s="145">
        <v>51</v>
      </c>
      <c r="AF1103" s="145" t="s">
        <v>400</v>
      </c>
      <c r="AG1103" s="145">
        <v>1.84</v>
      </c>
      <c r="AH1103" s="145" t="s">
        <v>400</v>
      </c>
      <c r="AI1103" s="145">
        <v>333</v>
      </c>
      <c r="AJ1103" s="145">
        <v>40.200000000000003</v>
      </c>
      <c r="AK1103" s="145">
        <v>2</v>
      </c>
      <c r="AL1103" s="145" t="s">
        <v>400</v>
      </c>
      <c r="AM1103" s="145" t="s">
        <v>400</v>
      </c>
    </row>
    <row r="1104" spans="1:39">
      <c r="A1104" s="143" t="s">
        <v>2164</v>
      </c>
      <c r="B1104" s="144">
        <v>100</v>
      </c>
      <c r="C1104" s="145">
        <v>102</v>
      </c>
      <c r="D1104" s="145">
        <v>20.2</v>
      </c>
      <c r="E1104" s="145">
        <v>1.77</v>
      </c>
      <c r="F1104" s="145">
        <v>0.23</v>
      </c>
      <c r="G1104" s="145">
        <v>0.28000000000000003</v>
      </c>
      <c r="H1104" s="145">
        <v>0.68</v>
      </c>
      <c r="I1104" s="145">
        <v>0.03</v>
      </c>
      <c r="J1104" s="145">
        <v>0.02</v>
      </c>
      <c r="K1104" s="145">
        <v>100</v>
      </c>
      <c r="L1104" s="145" t="s">
        <v>400</v>
      </c>
      <c r="M1104" s="145" t="s">
        <v>400</v>
      </c>
      <c r="N1104" s="145">
        <v>104</v>
      </c>
      <c r="O1104" s="145">
        <v>33</v>
      </c>
      <c r="P1104" s="145">
        <v>0.19</v>
      </c>
      <c r="Q1104" s="145">
        <v>206</v>
      </c>
      <c r="R1104" s="145">
        <v>0.91</v>
      </c>
      <c r="S1104" s="145">
        <v>279</v>
      </c>
      <c r="T1104" s="145">
        <v>324</v>
      </c>
      <c r="U1104" s="145">
        <v>0.65</v>
      </c>
      <c r="V1104" s="145">
        <v>4.22</v>
      </c>
      <c r="W1104" s="145">
        <v>2</v>
      </c>
      <c r="X1104" s="145">
        <v>0.1</v>
      </c>
      <c r="Y1104" s="145">
        <v>0.05</v>
      </c>
      <c r="Z1104" s="145">
        <v>0.18</v>
      </c>
      <c r="AA1104" s="145">
        <v>3.3</v>
      </c>
      <c r="AB1104" s="145">
        <v>3.3</v>
      </c>
      <c r="AC1104" s="145">
        <v>7.98</v>
      </c>
      <c r="AD1104" s="145">
        <v>7.3</v>
      </c>
      <c r="AE1104" s="145">
        <v>51</v>
      </c>
      <c r="AF1104" s="145" t="s">
        <v>400</v>
      </c>
      <c r="AG1104" s="145">
        <v>1.84</v>
      </c>
      <c r="AH1104" s="145" t="s">
        <v>400</v>
      </c>
      <c r="AI1104" s="145">
        <v>333</v>
      </c>
      <c r="AJ1104" s="145">
        <v>40.200000000000003</v>
      </c>
      <c r="AK1104" s="145">
        <v>2</v>
      </c>
      <c r="AL1104" s="145" t="s">
        <v>400</v>
      </c>
      <c r="AM1104" s="145" t="s">
        <v>400</v>
      </c>
    </row>
    <row r="1105" spans="1:39">
      <c r="A1105" s="143" t="s">
        <v>2165</v>
      </c>
      <c r="B1105" s="144">
        <v>100</v>
      </c>
      <c r="C1105" s="145">
        <v>102</v>
      </c>
      <c r="D1105" s="145">
        <v>20.2</v>
      </c>
      <c r="E1105" s="145">
        <v>1.77</v>
      </c>
      <c r="F1105" s="145">
        <v>0.23</v>
      </c>
      <c r="G1105" s="145">
        <v>0.28000000000000003</v>
      </c>
      <c r="H1105" s="145">
        <v>0.68</v>
      </c>
      <c r="I1105" s="145">
        <v>0.03</v>
      </c>
      <c r="J1105" s="145">
        <v>0.02</v>
      </c>
      <c r="K1105" s="145">
        <v>100</v>
      </c>
      <c r="L1105" s="145" t="s">
        <v>400</v>
      </c>
      <c r="M1105" s="145" t="s">
        <v>400</v>
      </c>
      <c r="N1105" s="145">
        <v>104</v>
      </c>
      <c r="O1105" s="145">
        <v>33</v>
      </c>
      <c r="P1105" s="145">
        <v>0.19</v>
      </c>
      <c r="Q1105" s="145">
        <v>206</v>
      </c>
      <c r="R1105" s="145">
        <v>0.91</v>
      </c>
      <c r="S1105" s="145">
        <v>279</v>
      </c>
      <c r="T1105" s="145">
        <v>324</v>
      </c>
      <c r="U1105" s="145">
        <v>0.65</v>
      </c>
      <c r="V1105" s="145">
        <v>4.22</v>
      </c>
      <c r="W1105" s="145">
        <v>2</v>
      </c>
      <c r="X1105" s="145">
        <v>0.1</v>
      </c>
      <c r="Y1105" s="145">
        <v>0.05</v>
      </c>
      <c r="Z1105" s="145">
        <v>0.18</v>
      </c>
      <c r="AA1105" s="145">
        <v>3.3</v>
      </c>
      <c r="AB1105" s="145">
        <v>3.3</v>
      </c>
      <c r="AC1105" s="145">
        <v>7.98</v>
      </c>
      <c r="AD1105" s="145">
        <v>7.3</v>
      </c>
      <c r="AE1105" s="145">
        <v>51</v>
      </c>
      <c r="AF1105" s="145" t="s">
        <v>400</v>
      </c>
      <c r="AG1105" s="145">
        <v>1.84</v>
      </c>
      <c r="AH1105" s="145" t="s">
        <v>400</v>
      </c>
      <c r="AI1105" s="145">
        <v>333</v>
      </c>
      <c r="AJ1105" s="145">
        <v>40.200000000000003</v>
      </c>
      <c r="AK1105" s="145">
        <v>2</v>
      </c>
      <c r="AL1105" s="145" t="s">
        <v>400</v>
      </c>
      <c r="AM1105" s="145" t="s">
        <v>400</v>
      </c>
    </row>
    <row r="1106" spans="1:39">
      <c r="A1106" s="143" t="s">
        <v>2166</v>
      </c>
      <c r="B1106" s="144">
        <v>100</v>
      </c>
      <c r="C1106" s="145">
        <v>102</v>
      </c>
      <c r="D1106" s="145">
        <v>20.2</v>
      </c>
      <c r="E1106" s="145">
        <v>1.77</v>
      </c>
      <c r="F1106" s="145">
        <v>0.23</v>
      </c>
      <c r="G1106" s="145">
        <v>0.28000000000000003</v>
      </c>
      <c r="H1106" s="145">
        <v>0.68</v>
      </c>
      <c r="I1106" s="145">
        <v>0.03</v>
      </c>
      <c r="J1106" s="145">
        <v>0.02</v>
      </c>
      <c r="K1106" s="145">
        <v>100</v>
      </c>
      <c r="L1106" s="145" t="s">
        <v>400</v>
      </c>
      <c r="M1106" s="145" t="s">
        <v>400</v>
      </c>
      <c r="N1106" s="145">
        <v>104</v>
      </c>
      <c r="O1106" s="145">
        <v>33</v>
      </c>
      <c r="P1106" s="145">
        <v>0.19</v>
      </c>
      <c r="Q1106" s="145">
        <v>206</v>
      </c>
      <c r="R1106" s="145">
        <v>0.91</v>
      </c>
      <c r="S1106" s="145">
        <v>279</v>
      </c>
      <c r="T1106" s="145">
        <v>324</v>
      </c>
      <c r="U1106" s="145">
        <v>0.65</v>
      </c>
      <c r="V1106" s="145">
        <v>4.22</v>
      </c>
      <c r="W1106" s="145">
        <v>2</v>
      </c>
      <c r="X1106" s="145">
        <v>0.1</v>
      </c>
      <c r="Y1106" s="145">
        <v>0.05</v>
      </c>
      <c r="Z1106" s="145">
        <v>0.18</v>
      </c>
      <c r="AA1106" s="145">
        <v>3.3</v>
      </c>
      <c r="AB1106" s="145">
        <v>3.3</v>
      </c>
      <c r="AC1106" s="145">
        <v>7.98</v>
      </c>
      <c r="AD1106" s="145">
        <v>7.3</v>
      </c>
      <c r="AE1106" s="145">
        <v>51</v>
      </c>
      <c r="AF1106" s="145" t="s">
        <v>400</v>
      </c>
      <c r="AG1106" s="145">
        <v>1.84</v>
      </c>
      <c r="AH1106" s="145" t="s">
        <v>400</v>
      </c>
      <c r="AI1106" s="145">
        <v>333</v>
      </c>
      <c r="AJ1106" s="145">
        <v>40.200000000000003</v>
      </c>
      <c r="AK1106" s="145">
        <v>2</v>
      </c>
      <c r="AL1106" s="145" t="s">
        <v>400</v>
      </c>
      <c r="AM1106" s="145" t="s">
        <v>400</v>
      </c>
    </row>
    <row r="1107" spans="1:39">
      <c r="A1107" s="143" t="s">
        <v>2167</v>
      </c>
      <c r="B1107" s="144">
        <v>100</v>
      </c>
      <c r="C1107" s="145">
        <v>148</v>
      </c>
      <c r="D1107" s="145">
        <v>25.55</v>
      </c>
      <c r="E1107" s="145">
        <v>1.95</v>
      </c>
      <c r="F1107" s="145">
        <v>0.188</v>
      </c>
      <c r="G1107" s="145">
        <v>0.17199999999999999</v>
      </c>
      <c r="H1107" s="145">
        <v>0.55200000000000005</v>
      </c>
      <c r="I1107" s="145">
        <v>3.2000000000000001E-2</v>
      </c>
      <c r="J1107" s="145">
        <v>8.0000000000000002E-3</v>
      </c>
      <c r="K1107" s="145">
        <v>67</v>
      </c>
      <c r="L1107" s="145">
        <v>5.13</v>
      </c>
      <c r="M1107" s="145" t="s">
        <v>400</v>
      </c>
      <c r="N1107" s="145">
        <v>92</v>
      </c>
      <c r="O1107" s="145">
        <v>18</v>
      </c>
      <c r="P1107" s="145">
        <v>1</v>
      </c>
      <c r="Q1107" s="145">
        <v>338</v>
      </c>
      <c r="R1107" s="145">
        <v>27.96</v>
      </c>
      <c r="S1107" s="145">
        <v>112</v>
      </c>
      <c r="T1107" s="145">
        <v>628</v>
      </c>
      <c r="U1107" s="145">
        <v>0.68799999999999994</v>
      </c>
      <c r="V1107" s="145">
        <v>2.73</v>
      </c>
      <c r="W1107" s="145">
        <v>181</v>
      </c>
      <c r="X1107" s="145">
        <v>0.15</v>
      </c>
      <c r="Y1107" s="145">
        <v>0.42599999999999999</v>
      </c>
      <c r="Z1107" s="146">
        <v>0.11</v>
      </c>
      <c r="AA1107" s="145">
        <v>3.3540000000000001</v>
      </c>
      <c r="AB1107" s="145">
        <v>22.1</v>
      </c>
      <c r="AC1107" s="145">
        <v>8.1210000000000004</v>
      </c>
      <c r="AD1107" s="145">
        <v>98.89</v>
      </c>
      <c r="AE1107" s="145">
        <v>29</v>
      </c>
      <c r="AF1107" s="145">
        <v>0.2</v>
      </c>
      <c r="AG1107" s="145">
        <v>0.62</v>
      </c>
      <c r="AH1107" s="145" t="s">
        <v>400</v>
      </c>
      <c r="AI1107" s="146">
        <v>333</v>
      </c>
      <c r="AJ1107" s="145">
        <v>48.6</v>
      </c>
      <c r="AK1107" s="145">
        <v>181</v>
      </c>
      <c r="AL1107" s="145" t="s">
        <v>400</v>
      </c>
      <c r="AM1107" s="145" t="s">
        <v>400</v>
      </c>
    </row>
    <row r="1108" spans="1:39">
      <c r="A1108" s="143" t="s">
        <v>2168</v>
      </c>
      <c r="B1108" s="144">
        <v>100</v>
      </c>
      <c r="C1108" s="145">
        <v>170.65899999999999</v>
      </c>
      <c r="D1108" s="145">
        <v>25.55</v>
      </c>
      <c r="E1108" s="145">
        <v>4.5129999999999999</v>
      </c>
      <c r="F1108" s="145">
        <v>0.58899999999999997</v>
      </c>
      <c r="G1108" s="145">
        <v>0.75600000000000001</v>
      </c>
      <c r="H1108" s="145">
        <v>2.032</v>
      </c>
      <c r="I1108" s="145">
        <v>1.3380000000000001</v>
      </c>
      <c r="J1108" s="145">
        <v>0.182</v>
      </c>
      <c r="K1108" s="145">
        <v>67</v>
      </c>
      <c r="L1108" s="145">
        <v>5.13</v>
      </c>
      <c r="M1108" s="145" t="s">
        <v>400</v>
      </c>
      <c r="N1108" s="145">
        <v>92</v>
      </c>
      <c r="O1108" s="145">
        <v>18</v>
      </c>
      <c r="P1108" s="145">
        <v>1</v>
      </c>
      <c r="Q1108" s="145">
        <v>338</v>
      </c>
      <c r="R1108" s="145">
        <v>27.960999999999999</v>
      </c>
      <c r="S1108" s="145">
        <v>112</v>
      </c>
      <c r="T1108" s="145">
        <v>628</v>
      </c>
      <c r="U1108" s="145">
        <v>0.68799999999999994</v>
      </c>
      <c r="V1108" s="145">
        <v>2.73</v>
      </c>
      <c r="W1108" s="145">
        <v>181</v>
      </c>
      <c r="X1108" s="145">
        <v>0.15</v>
      </c>
      <c r="Y1108" s="145">
        <v>0.42599999999999999</v>
      </c>
      <c r="Z1108" s="145">
        <v>0.11</v>
      </c>
      <c r="AA1108" s="145">
        <v>3.3540000000000001</v>
      </c>
      <c r="AB1108" s="145">
        <v>22.1</v>
      </c>
      <c r="AC1108" s="145">
        <v>8.1210000000000004</v>
      </c>
      <c r="AD1108" s="145">
        <v>98.89</v>
      </c>
      <c r="AE1108" s="145">
        <v>29</v>
      </c>
      <c r="AF1108" s="145">
        <v>0.2</v>
      </c>
      <c r="AG1108" s="145">
        <v>0.83</v>
      </c>
      <c r="AH1108" s="145">
        <v>1.4E-2</v>
      </c>
      <c r="AI1108" s="146">
        <v>333</v>
      </c>
      <c r="AJ1108" s="145">
        <v>49.774999999999999</v>
      </c>
      <c r="AK1108" s="145">
        <v>181</v>
      </c>
      <c r="AL1108" s="145" t="s">
        <v>400</v>
      </c>
      <c r="AM1108" s="145" t="s">
        <v>400</v>
      </c>
    </row>
    <row r="1109" spans="1:39">
      <c r="A1109" s="143" t="s">
        <v>2169</v>
      </c>
      <c r="B1109" s="144">
        <v>100</v>
      </c>
      <c r="C1109" s="145">
        <v>123.2</v>
      </c>
      <c r="D1109" s="145">
        <v>20.704000000000001</v>
      </c>
      <c r="E1109" s="145">
        <v>1.5960000000000001</v>
      </c>
      <c r="F1109" s="145">
        <v>0.155</v>
      </c>
      <c r="G1109" s="145">
        <v>0.14299999999999999</v>
      </c>
      <c r="H1109" s="145">
        <v>0.45600000000000002</v>
      </c>
      <c r="I1109" s="145">
        <v>3.9E-2</v>
      </c>
      <c r="J1109" s="145">
        <v>7.0000000000000001E-3</v>
      </c>
      <c r="K1109" s="145">
        <v>53.6</v>
      </c>
      <c r="L1109" s="145">
        <v>5.18</v>
      </c>
      <c r="M1109" s="145">
        <v>0.3</v>
      </c>
      <c r="N1109" s="145">
        <v>76.2</v>
      </c>
      <c r="O1109" s="145">
        <v>17.600000000000001</v>
      </c>
      <c r="P1109" s="145">
        <v>0.82099999999999995</v>
      </c>
      <c r="Q1109" s="145">
        <v>275.60000000000002</v>
      </c>
      <c r="R1109" s="145">
        <v>22.571999999999999</v>
      </c>
      <c r="S1109" s="145">
        <v>194.4</v>
      </c>
      <c r="T1109" s="145">
        <v>568.6</v>
      </c>
      <c r="U1109" s="145">
        <v>0.57399999999999995</v>
      </c>
      <c r="V1109" s="145">
        <v>2.2240000000000002</v>
      </c>
      <c r="W1109" s="145">
        <v>144.80000000000001</v>
      </c>
      <c r="X1109" s="145">
        <v>0.125</v>
      </c>
      <c r="Y1109" s="145">
        <v>0.35399999999999998</v>
      </c>
      <c r="Z1109" s="145">
        <v>0.107</v>
      </c>
      <c r="AA1109" s="145">
        <v>2.8780000000000001</v>
      </c>
      <c r="AB1109" s="145">
        <v>19.079999999999998</v>
      </c>
      <c r="AC1109" s="145">
        <v>6.7249999999999996</v>
      </c>
      <c r="AD1109" s="145">
        <v>79.111999999999995</v>
      </c>
      <c r="AE1109" s="145">
        <v>25.4</v>
      </c>
      <c r="AF1109" s="145">
        <v>0.16</v>
      </c>
      <c r="AG1109" s="145">
        <v>0.78</v>
      </c>
      <c r="AH1109" s="145" t="s">
        <v>400</v>
      </c>
      <c r="AI1109" s="146">
        <v>333</v>
      </c>
      <c r="AJ1109" s="145">
        <v>38.92</v>
      </c>
      <c r="AK1109" s="145">
        <v>148.28299999999999</v>
      </c>
      <c r="AL1109" s="145">
        <v>0.85</v>
      </c>
      <c r="AM1109" s="145" t="s">
        <v>400</v>
      </c>
    </row>
    <row r="1110" spans="1:39">
      <c r="A1110" s="143" t="s">
        <v>2170</v>
      </c>
      <c r="B1110" s="144">
        <v>100</v>
      </c>
      <c r="C1110" s="145">
        <v>148</v>
      </c>
      <c r="D1110" s="145">
        <v>25.55</v>
      </c>
      <c r="E1110" s="145">
        <v>1.95</v>
      </c>
      <c r="F1110" s="145">
        <v>0.188</v>
      </c>
      <c r="G1110" s="145">
        <v>0.17199999999999999</v>
      </c>
      <c r="H1110" s="145">
        <v>0.55200000000000005</v>
      </c>
      <c r="I1110" s="145">
        <v>3.2000000000000001E-2</v>
      </c>
      <c r="J1110" s="145">
        <v>8.0000000000000002E-3</v>
      </c>
      <c r="K1110" s="145">
        <v>67</v>
      </c>
      <c r="L1110" s="145">
        <v>5.13</v>
      </c>
      <c r="M1110" s="145" t="s">
        <v>400</v>
      </c>
      <c r="N1110" s="145">
        <v>92</v>
      </c>
      <c r="O1110" s="145">
        <v>18</v>
      </c>
      <c r="P1110" s="145">
        <v>1</v>
      </c>
      <c r="Q1110" s="145">
        <v>338</v>
      </c>
      <c r="R1110" s="145">
        <v>27.96</v>
      </c>
      <c r="S1110" s="145">
        <v>112</v>
      </c>
      <c r="T1110" s="145">
        <v>628</v>
      </c>
      <c r="U1110" s="145">
        <v>0.68799999999999994</v>
      </c>
      <c r="V1110" s="145">
        <v>2.73</v>
      </c>
      <c r="W1110" s="145">
        <v>181</v>
      </c>
      <c r="X1110" s="145">
        <v>0.15</v>
      </c>
      <c r="Y1110" s="145">
        <v>0.42599999999999999</v>
      </c>
      <c r="Z1110" s="146">
        <v>0.11</v>
      </c>
      <c r="AA1110" s="145">
        <v>3.3540000000000001</v>
      </c>
      <c r="AB1110" s="145">
        <v>22.1</v>
      </c>
      <c r="AC1110" s="145">
        <v>8.1210000000000004</v>
      </c>
      <c r="AD1110" s="145">
        <v>98.89</v>
      </c>
      <c r="AE1110" s="145">
        <v>29</v>
      </c>
      <c r="AF1110" s="145">
        <v>0.2</v>
      </c>
      <c r="AG1110" s="145">
        <v>0.62</v>
      </c>
      <c r="AH1110" s="145" t="s">
        <v>400</v>
      </c>
      <c r="AI1110" s="146">
        <v>333</v>
      </c>
      <c r="AJ1110" s="145">
        <v>48.6</v>
      </c>
      <c r="AK1110" s="145">
        <v>181</v>
      </c>
      <c r="AL1110" s="145" t="s">
        <v>400</v>
      </c>
      <c r="AM1110" s="145" t="s">
        <v>400</v>
      </c>
    </row>
    <row r="1111" spans="1:39">
      <c r="A1111" s="143" t="s">
        <v>2171</v>
      </c>
      <c r="B1111" s="144">
        <v>100</v>
      </c>
      <c r="C1111" s="145">
        <v>137</v>
      </c>
      <c r="D1111" s="145">
        <v>14.1</v>
      </c>
      <c r="E1111" s="145">
        <v>4.91</v>
      </c>
      <c r="F1111" s="145">
        <v>1.544</v>
      </c>
      <c r="G1111" s="145">
        <v>0.628</v>
      </c>
      <c r="H1111" s="145">
        <v>1.9359999999999999</v>
      </c>
      <c r="I1111" s="145">
        <v>0.11700000000000001</v>
      </c>
      <c r="J1111" s="145">
        <v>0.1</v>
      </c>
      <c r="K1111" s="145">
        <v>105</v>
      </c>
      <c r="L1111" s="145">
        <v>7.82</v>
      </c>
      <c r="M1111" s="145" t="s">
        <v>400</v>
      </c>
      <c r="N1111" s="145">
        <v>90</v>
      </c>
      <c r="O1111" s="145">
        <v>95</v>
      </c>
      <c r="P1111" s="145">
        <v>0.69699999999999995</v>
      </c>
      <c r="Q1111" s="145">
        <v>203</v>
      </c>
      <c r="R1111" s="145">
        <v>11.99</v>
      </c>
      <c r="S1111" s="145">
        <v>422</v>
      </c>
      <c r="T1111" s="145">
        <v>281</v>
      </c>
      <c r="U1111" s="145">
        <v>7.569</v>
      </c>
      <c r="V1111" s="145">
        <v>181.61</v>
      </c>
      <c r="W1111" s="145">
        <v>54</v>
      </c>
      <c r="X1111" s="145">
        <v>0.19</v>
      </c>
      <c r="Y1111" s="145">
        <v>0.18099999999999999</v>
      </c>
      <c r="Z1111" s="146">
        <v>0.11799999999999999</v>
      </c>
      <c r="AA1111" s="145">
        <v>2.484</v>
      </c>
      <c r="AB1111" s="145">
        <v>6</v>
      </c>
      <c r="AC1111" s="145">
        <v>5.117</v>
      </c>
      <c r="AD1111" s="145">
        <v>35.020000000000003</v>
      </c>
      <c r="AE1111" s="145">
        <v>14</v>
      </c>
      <c r="AF1111" s="145">
        <v>16</v>
      </c>
      <c r="AG1111" s="145">
        <v>1.7</v>
      </c>
      <c r="AH1111" s="145" t="s">
        <v>400</v>
      </c>
      <c r="AI1111" s="146">
        <v>333</v>
      </c>
      <c r="AJ1111" s="145">
        <v>71.599999999999994</v>
      </c>
      <c r="AK1111" s="145">
        <v>54</v>
      </c>
      <c r="AL1111" s="145" t="s">
        <v>400</v>
      </c>
      <c r="AM1111" s="145" t="s">
        <v>400</v>
      </c>
    </row>
    <row r="1112" spans="1:39">
      <c r="A1112" s="143" t="s">
        <v>2172</v>
      </c>
      <c r="B1112" s="144">
        <v>100</v>
      </c>
      <c r="C1112" s="145">
        <v>143.83699999999999</v>
      </c>
      <c r="D1112" s="145">
        <v>18.318999999999999</v>
      </c>
      <c r="E1112" s="145">
        <v>4.1870000000000003</v>
      </c>
      <c r="F1112" s="145">
        <v>0.82799999999999996</v>
      </c>
      <c r="G1112" s="145">
        <v>0.68799999999999994</v>
      </c>
      <c r="H1112" s="145">
        <v>1.978</v>
      </c>
      <c r="I1112" s="145">
        <v>1.333</v>
      </c>
      <c r="J1112" s="145">
        <v>0.185</v>
      </c>
      <c r="K1112" s="145">
        <v>267</v>
      </c>
      <c r="L1112" s="145">
        <v>6.9219999999999997</v>
      </c>
      <c r="M1112" s="145">
        <v>0.13500000000000001</v>
      </c>
      <c r="N1112" s="145">
        <v>37.587000000000003</v>
      </c>
      <c r="O1112" s="145">
        <v>35.037999999999997</v>
      </c>
      <c r="P1112" s="145">
        <v>6.5000000000000002E-2</v>
      </c>
      <c r="Q1112" s="145">
        <v>207.49</v>
      </c>
      <c r="R1112" s="145">
        <v>0.94799999999999995</v>
      </c>
      <c r="S1112" s="145">
        <v>51.088999999999999</v>
      </c>
      <c r="T1112" s="145">
        <v>230.45599999999999</v>
      </c>
      <c r="U1112" s="145">
        <v>2.0659999999999998</v>
      </c>
      <c r="V1112" s="145">
        <v>1.7909999999999999</v>
      </c>
      <c r="W1112" s="145">
        <v>12</v>
      </c>
      <c r="X1112" s="145">
        <v>5.5E-2</v>
      </c>
      <c r="Y1112" s="145">
        <v>0.40200000000000002</v>
      </c>
      <c r="Z1112" s="146">
        <v>5.1999999999999998E-2</v>
      </c>
      <c r="AA1112" s="145">
        <v>2.262</v>
      </c>
      <c r="AB1112" s="145">
        <v>3.77</v>
      </c>
      <c r="AC1112" s="145">
        <v>5.69</v>
      </c>
      <c r="AD1112" s="145">
        <v>1.1200000000000001</v>
      </c>
      <c r="AE1112" s="145">
        <v>13.276999999999999</v>
      </c>
      <c r="AF1112" s="145" t="s">
        <v>400</v>
      </c>
      <c r="AG1112" s="145">
        <v>1.641</v>
      </c>
      <c r="AH1112" s="145">
        <v>1.4E-2</v>
      </c>
      <c r="AI1112" s="145">
        <v>333</v>
      </c>
      <c r="AJ1112" s="145">
        <v>82.781000000000006</v>
      </c>
      <c r="AK1112" s="145">
        <v>12</v>
      </c>
      <c r="AL1112" s="145">
        <v>1.4E-2</v>
      </c>
      <c r="AM1112" s="145" t="s">
        <v>400</v>
      </c>
    </row>
    <row r="1113" spans="1:39">
      <c r="A1113" s="143" t="s">
        <v>2173</v>
      </c>
      <c r="B1113" s="144">
        <v>100</v>
      </c>
      <c r="C1113" s="145">
        <v>148</v>
      </c>
      <c r="D1113" s="145">
        <v>25.55</v>
      </c>
      <c r="E1113" s="145">
        <v>1.95</v>
      </c>
      <c r="F1113" s="145">
        <v>0.188</v>
      </c>
      <c r="G1113" s="145">
        <v>0.17199999999999999</v>
      </c>
      <c r="H1113" s="145">
        <v>0.55200000000000005</v>
      </c>
      <c r="I1113" s="145">
        <v>3.2000000000000001E-2</v>
      </c>
      <c r="J1113" s="145">
        <v>8.0000000000000002E-3</v>
      </c>
      <c r="K1113" s="145">
        <v>67</v>
      </c>
      <c r="L1113" s="145">
        <v>5.13</v>
      </c>
      <c r="M1113" s="145" t="s">
        <v>400</v>
      </c>
      <c r="N1113" s="145">
        <v>92</v>
      </c>
      <c r="O1113" s="145">
        <v>18</v>
      </c>
      <c r="P1113" s="145">
        <v>1</v>
      </c>
      <c r="Q1113" s="145">
        <v>338</v>
      </c>
      <c r="R1113" s="145">
        <v>27.96</v>
      </c>
      <c r="S1113" s="145">
        <v>112</v>
      </c>
      <c r="T1113" s="145">
        <v>628</v>
      </c>
      <c r="U1113" s="145">
        <v>0.68799999999999994</v>
      </c>
      <c r="V1113" s="145">
        <v>2.73</v>
      </c>
      <c r="W1113" s="145">
        <v>181</v>
      </c>
      <c r="X1113" s="145">
        <v>0.15</v>
      </c>
      <c r="Y1113" s="145">
        <v>0.42599999999999999</v>
      </c>
      <c r="Z1113" s="146">
        <v>0.11</v>
      </c>
      <c r="AA1113" s="145">
        <v>3.3540000000000001</v>
      </c>
      <c r="AB1113" s="145">
        <v>22.1</v>
      </c>
      <c r="AC1113" s="145">
        <v>8.1210000000000004</v>
      </c>
      <c r="AD1113" s="145">
        <v>98.89</v>
      </c>
      <c r="AE1113" s="145">
        <v>29</v>
      </c>
      <c r="AF1113" s="145">
        <v>0.2</v>
      </c>
      <c r="AG1113" s="145">
        <v>0.62</v>
      </c>
      <c r="AH1113" s="145" t="s">
        <v>400</v>
      </c>
      <c r="AI1113" s="145">
        <v>333</v>
      </c>
      <c r="AJ1113" s="145">
        <v>48.6</v>
      </c>
      <c r="AK1113" s="145">
        <v>181</v>
      </c>
      <c r="AL1113" s="145" t="s">
        <v>400</v>
      </c>
      <c r="AM1113" s="145" t="s">
        <v>400</v>
      </c>
    </row>
    <row r="1114" spans="1:39">
      <c r="A1114" s="143" t="s">
        <v>2174</v>
      </c>
      <c r="B1114" s="144">
        <v>100</v>
      </c>
      <c r="C1114" s="145">
        <v>170.65899999999999</v>
      </c>
      <c r="D1114" s="145">
        <v>25.55</v>
      </c>
      <c r="E1114" s="145">
        <v>4.5129999999999999</v>
      </c>
      <c r="F1114" s="145">
        <v>0.58899999999999997</v>
      </c>
      <c r="G1114" s="145">
        <v>0.75600000000000001</v>
      </c>
      <c r="H1114" s="145">
        <v>2.032</v>
      </c>
      <c r="I1114" s="145">
        <v>1.3380000000000001</v>
      </c>
      <c r="J1114" s="145">
        <v>0.182</v>
      </c>
      <c r="K1114" s="145">
        <v>67</v>
      </c>
      <c r="L1114" s="145">
        <v>5.13</v>
      </c>
      <c r="M1114" s="145" t="s">
        <v>400</v>
      </c>
      <c r="N1114" s="145">
        <v>92</v>
      </c>
      <c r="O1114" s="145">
        <v>18</v>
      </c>
      <c r="P1114" s="145">
        <v>1</v>
      </c>
      <c r="Q1114" s="145">
        <v>338</v>
      </c>
      <c r="R1114" s="145">
        <v>27.960999999999999</v>
      </c>
      <c r="S1114" s="145">
        <v>112</v>
      </c>
      <c r="T1114" s="145">
        <v>628</v>
      </c>
      <c r="U1114" s="145">
        <v>0.68799999999999994</v>
      </c>
      <c r="V1114" s="145">
        <v>2.73</v>
      </c>
      <c r="W1114" s="145">
        <v>181</v>
      </c>
      <c r="X1114" s="145">
        <v>0.15</v>
      </c>
      <c r="Y1114" s="145">
        <v>0.42599999999999999</v>
      </c>
      <c r="Z1114" s="145">
        <v>0.11</v>
      </c>
      <c r="AA1114" s="145">
        <v>3.3540000000000001</v>
      </c>
      <c r="AB1114" s="145">
        <v>22.1</v>
      </c>
      <c r="AC1114" s="145">
        <v>8.1210000000000004</v>
      </c>
      <c r="AD1114" s="145">
        <v>98.89</v>
      </c>
      <c r="AE1114" s="145">
        <v>29</v>
      </c>
      <c r="AF1114" s="145">
        <v>0.2</v>
      </c>
      <c r="AG1114" s="145">
        <v>0.83</v>
      </c>
      <c r="AH1114" s="145">
        <v>1.4E-2</v>
      </c>
      <c r="AI1114" s="145">
        <v>333</v>
      </c>
      <c r="AJ1114" s="145">
        <v>49.774999999999999</v>
      </c>
      <c r="AK1114" s="145">
        <v>181</v>
      </c>
      <c r="AL1114" s="145" t="s">
        <v>400</v>
      </c>
      <c r="AM1114" s="145" t="s">
        <v>400</v>
      </c>
    </row>
    <row r="1115" spans="1:39">
      <c r="A1115" s="143" t="s">
        <v>2175</v>
      </c>
      <c r="B1115" s="144">
        <v>100</v>
      </c>
      <c r="C1115" s="145">
        <v>117</v>
      </c>
      <c r="D1115" s="145">
        <v>24.16</v>
      </c>
      <c r="E1115" s="145">
        <v>1.53</v>
      </c>
      <c r="F1115" s="145">
        <v>0.36</v>
      </c>
      <c r="G1115" s="145">
        <v>0.28000000000000003</v>
      </c>
      <c r="H1115" s="145">
        <v>0.65</v>
      </c>
      <c r="I1115" s="145">
        <v>0.01</v>
      </c>
      <c r="J1115" s="145">
        <v>0.02</v>
      </c>
      <c r="K1115" s="145">
        <v>68</v>
      </c>
      <c r="L1115" s="145" t="s">
        <v>400</v>
      </c>
      <c r="M1115" s="145" t="s">
        <v>400</v>
      </c>
      <c r="N1115" s="145">
        <v>18</v>
      </c>
      <c r="O1115" s="145">
        <v>58</v>
      </c>
      <c r="P1115" s="145">
        <v>0.02</v>
      </c>
      <c r="Q1115" s="145">
        <v>289</v>
      </c>
      <c r="R1115" s="145">
        <v>0.34</v>
      </c>
      <c r="S1115" s="145">
        <v>105</v>
      </c>
      <c r="T1115" s="145">
        <v>344</v>
      </c>
      <c r="U1115" s="145">
        <v>0.03</v>
      </c>
      <c r="V1115" s="145">
        <v>0.63</v>
      </c>
      <c r="W1115" s="145">
        <v>13</v>
      </c>
      <c r="X1115" s="145">
        <v>0.08</v>
      </c>
      <c r="Y1115" s="145">
        <v>0.11</v>
      </c>
      <c r="Z1115" s="145">
        <v>0.24</v>
      </c>
      <c r="AA1115" s="145">
        <v>2.1800000000000002</v>
      </c>
      <c r="AB1115" s="145" t="s">
        <v>400</v>
      </c>
      <c r="AC1115" s="145">
        <v>6.7</v>
      </c>
      <c r="AD1115" s="145">
        <v>2.5099999999999998</v>
      </c>
      <c r="AE1115" s="145">
        <v>9</v>
      </c>
      <c r="AF1115" s="145">
        <v>1.1000000000000001</v>
      </c>
      <c r="AG1115" s="145">
        <v>0.66</v>
      </c>
      <c r="AH1115" s="145" t="s">
        <v>400</v>
      </c>
      <c r="AI1115" s="145" t="s">
        <v>400</v>
      </c>
      <c r="AJ1115" s="145">
        <v>58.2</v>
      </c>
      <c r="AK1115" s="145">
        <v>13</v>
      </c>
      <c r="AL1115" s="145" t="s">
        <v>400</v>
      </c>
      <c r="AM1115" s="145" t="s">
        <v>400</v>
      </c>
    </row>
    <row r="1116" spans="1:39">
      <c r="A1116" s="143" t="s">
        <v>2176</v>
      </c>
      <c r="B1116" s="144">
        <v>100</v>
      </c>
      <c r="C1116" s="145">
        <v>117</v>
      </c>
      <c r="D1116" s="145">
        <v>24.16</v>
      </c>
      <c r="E1116" s="145">
        <v>1.53</v>
      </c>
      <c r="F1116" s="145">
        <v>0.36</v>
      </c>
      <c r="G1116" s="145">
        <v>0.28000000000000003</v>
      </c>
      <c r="H1116" s="145">
        <v>0.65</v>
      </c>
      <c r="I1116" s="145">
        <v>0.01</v>
      </c>
      <c r="J1116" s="145">
        <v>0.02</v>
      </c>
      <c r="K1116" s="145">
        <v>68</v>
      </c>
      <c r="L1116" s="145" t="s">
        <v>400</v>
      </c>
      <c r="M1116" s="145" t="s">
        <v>400</v>
      </c>
      <c r="N1116" s="145">
        <v>18</v>
      </c>
      <c r="O1116" s="145">
        <v>58</v>
      </c>
      <c r="P1116" s="145">
        <v>0.02</v>
      </c>
      <c r="Q1116" s="145">
        <v>289</v>
      </c>
      <c r="R1116" s="145">
        <v>0.34</v>
      </c>
      <c r="S1116" s="145">
        <v>105</v>
      </c>
      <c r="T1116" s="145">
        <v>344</v>
      </c>
      <c r="U1116" s="145">
        <v>0.03</v>
      </c>
      <c r="V1116" s="145">
        <v>0.63</v>
      </c>
      <c r="W1116" s="145">
        <v>13</v>
      </c>
      <c r="X1116" s="145">
        <v>0.08</v>
      </c>
      <c r="Y1116" s="145">
        <v>0.11</v>
      </c>
      <c r="Z1116" s="145">
        <v>0.24</v>
      </c>
      <c r="AA1116" s="145">
        <v>2.1800000000000002</v>
      </c>
      <c r="AB1116" s="145" t="s">
        <v>400</v>
      </c>
      <c r="AC1116" s="145">
        <v>6.7</v>
      </c>
      <c r="AD1116" s="145">
        <v>2.5099999999999998</v>
      </c>
      <c r="AE1116" s="145">
        <v>9</v>
      </c>
      <c r="AF1116" s="145">
        <v>1.1000000000000001</v>
      </c>
      <c r="AG1116" s="145">
        <v>0.66</v>
      </c>
      <c r="AH1116" s="145" t="s">
        <v>400</v>
      </c>
      <c r="AI1116" s="145" t="s">
        <v>400</v>
      </c>
      <c r="AJ1116" s="145">
        <v>58.2</v>
      </c>
      <c r="AK1116" s="145">
        <v>13</v>
      </c>
      <c r="AL1116" s="145" t="s">
        <v>400</v>
      </c>
      <c r="AM1116" s="145" t="s">
        <v>400</v>
      </c>
    </row>
    <row r="1117" spans="1:39">
      <c r="A1117" s="143" t="s">
        <v>2177</v>
      </c>
      <c r="B1117" s="144">
        <v>100</v>
      </c>
      <c r="C1117" s="145">
        <v>139.66</v>
      </c>
      <c r="D1117" s="145">
        <v>24.16</v>
      </c>
      <c r="E1117" s="145">
        <v>4.09</v>
      </c>
      <c r="F1117" s="145">
        <v>0.73</v>
      </c>
      <c r="G1117" s="145">
        <v>0.87</v>
      </c>
      <c r="H1117" s="145">
        <v>2.13</v>
      </c>
      <c r="I1117" s="145">
        <v>1.32</v>
      </c>
      <c r="J1117" s="145">
        <v>0.19</v>
      </c>
      <c r="K1117" s="145">
        <v>68</v>
      </c>
      <c r="L1117" s="145" t="s">
        <v>400</v>
      </c>
      <c r="M1117" s="145" t="s">
        <v>400</v>
      </c>
      <c r="N1117" s="145">
        <v>18</v>
      </c>
      <c r="O1117" s="145">
        <v>58</v>
      </c>
      <c r="P1117" s="145">
        <v>0.02</v>
      </c>
      <c r="Q1117" s="145">
        <v>289</v>
      </c>
      <c r="R1117" s="145">
        <v>0.34</v>
      </c>
      <c r="S1117" s="145">
        <v>105</v>
      </c>
      <c r="T1117" s="145">
        <v>344</v>
      </c>
      <c r="U1117" s="145">
        <v>0.03</v>
      </c>
      <c r="V1117" s="145">
        <v>0.63</v>
      </c>
      <c r="W1117" s="145">
        <v>13</v>
      </c>
      <c r="X1117" s="145">
        <v>0.08</v>
      </c>
      <c r="Y1117" s="145">
        <v>0.11</v>
      </c>
      <c r="Z1117" s="145">
        <v>0.24</v>
      </c>
      <c r="AA1117" s="145">
        <v>2.1800000000000002</v>
      </c>
      <c r="AB1117" s="145" t="s">
        <v>400</v>
      </c>
      <c r="AC1117" s="145">
        <v>6.7</v>
      </c>
      <c r="AD1117" s="145">
        <v>2.5099999999999998</v>
      </c>
      <c r="AE1117" s="145">
        <v>9</v>
      </c>
      <c r="AF1117" s="145">
        <v>1.1000000000000001</v>
      </c>
      <c r="AG1117" s="145">
        <v>0.9</v>
      </c>
      <c r="AH1117" s="145" t="s">
        <v>400</v>
      </c>
      <c r="AI1117" s="145" t="s">
        <v>400</v>
      </c>
      <c r="AJ1117" s="145">
        <v>59.37</v>
      </c>
      <c r="AK1117" s="145">
        <v>13</v>
      </c>
      <c r="AL1117" s="145" t="s">
        <v>400</v>
      </c>
      <c r="AM1117" s="145" t="s">
        <v>400</v>
      </c>
    </row>
    <row r="1118" spans="1:39">
      <c r="A1118" s="143" t="s">
        <v>2178</v>
      </c>
      <c r="B1118" s="144">
        <v>100</v>
      </c>
      <c r="C1118" s="145">
        <v>155.84</v>
      </c>
      <c r="D1118" s="145">
        <v>24.62</v>
      </c>
      <c r="E1118" s="145">
        <v>4.1399999999999997</v>
      </c>
      <c r="F1118" s="145">
        <v>0.74</v>
      </c>
      <c r="G1118" s="145">
        <v>0.88</v>
      </c>
      <c r="H1118" s="145">
        <v>2.15</v>
      </c>
      <c r="I1118" s="145">
        <v>1.34</v>
      </c>
      <c r="J1118" s="145">
        <v>0.19</v>
      </c>
      <c r="K1118" s="145">
        <v>68</v>
      </c>
      <c r="L1118" s="145">
        <v>3.39</v>
      </c>
      <c r="M1118" s="145">
        <v>0.14000000000000001</v>
      </c>
      <c r="N1118" s="145">
        <v>18.670000000000002</v>
      </c>
      <c r="O1118" s="145">
        <v>58.98</v>
      </c>
      <c r="P1118" s="145">
        <v>0.05</v>
      </c>
      <c r="Q1118" s="145">
        <v>293.8</v>
      </c>
      <c r="R1118" s="145">
        <v>0.55000000000000004</v>
      </c>
      <c r="S1118" s="145">
        <v>105.09</v>
      </c>
      <c r="T1118" s="145">
        <v>348.76</v>
      </c>
      <c r="U1118" s="145">
        <v>0.03</v>
      </c>
      <c r="V1118" s="145">
        <v>0.66</v>
      </c>
      <c r="W1118" s="145">
        <v>13</v>
      </c>
      <c r="X1118" s="145">
        <v>0.11</v>
      </c>
      <c r="Y1118" s="145">
        <v>0.14000000000000001</v>
      </c>
      <c r="Z1118" s="145">
        <v>0.24</v>
      </c>
      <c r="AA1118" s="145">
        <v>2.44</v>
      </c>
      <c r="AB1118" s="145" t="s">
        <v>400</v>
      </c>
      <c r="AC1118" s="145">
        <v>7.05</v>
      </c>
      <c r="AD1118" s="145">
        <v>2.5099999999999998</v>
      </c>
      <c r="AE1118" s="145">
        <v>18.07</v>
      </c>
      <c r="AF1118" s="145">
        <v>1.1000000000000001</v>
      </c>
      <c r="AG1118" s="145">
        <v>0.9</v>
      </c>
      <c r="AH1118" s="145" t="s">
        <v>400</v>
      </c>
      <c r="AI1118" s="145" t="s">
        <v>400</v>
      </c>
      <c r="AJ1118" s="145">
        <v>60.88</v>
      </c>
      <c r="AK1118" s="145">
        <v>13</v>
      </c>
      <c r="AL1118" s="145">
        <v>0.01</v>
      </c>
      <c r="AM1118" s="145" t="s">
        <v>400</v>
      </c>
    </row>
    <row r="1119" spans="1:39">
      <c r="A1119" s="143" t="s">
        <v>2179</v>
      </c>
      <c r="B1119" s="144">
        <v>100</v>
      </c>
      <c r="C1119" s="145">
        <v>139.66</v>
      </c>
      <c r="D1119" s="145">
        <v>24.16</v>
      </c>
      <c r="E1119" s="145">
        <v>4.09</v>
      </c>
      <c r="F1119" s="145">
        <v>0.73</v>
      </c>
      <c r="G1119" s="145">
        <v>0.87</v>
      </c>
      <c r="H1119" s="145">
        <v>2.13</v>
      </c>
      <c r="I1119" s="145">
        <v>1.32</v>
      </c>
      <c r="J1119" s="145">
        <v>0.19</v>
      </c>
      <c r="K1119" s="145">
        <v>68</v>
      </c>
      <c r="L1119" s="145" t="s">
        <v>400</v>
      </c>
      <c r="M1119" s="145" t="s">
        <v>400</v>
      </c>
      <c r="N1119" s="145">
        <v>18</v>
      </c>
      <c r="O1119" s="145">
        <v>58</v>
      </c>
      <c r="P1119" s="145">
        <v>0.02</v>
      </c>
      <c r="Q1119" s="145">
        <v>289</v>
      </c>
      <c r="R1119" s="145">
        <v>0.34</v>
      </c>
      <c r="S1119" s="145">
        <v>105</v>
      </c>
      <c r="T1119" s="145">
        <v>344</v>
      </c>
      <c r="U1119" s="145">
        <v>0.03</v>
      </c>
      <c r="V1119" s="145">
        <v>0.63</v>
      </c>
      <c r="W1119" s="145">
        <v>13</v>
      </c>
      <c r="X1119" s="145">
        <v>0.08</v>
      </c>
      <c r="Y1119" s="145">
        <v>0.11</v>
      </c>
      <c r="Z1119" s="145">
        <v>0.24</v>
      </c>
      <c r="AA1119" s="145">
        <v>2.1800000000000002</v>
      </c>
      <c r="AB1119" s="145" t="s">
        <v>400</v>
      </c>
      <c r="AC1119" s="145">
        <v>6.7</v>
      </c>
      <c r="AD1119" s="145">
        <v>2.5099999999999998</v>
      </c>
      <c r="AE1119" s="145">
        <v>9</v>
      </c>
      <c r="AF1119" s="145">
        <v>1.1000000000000001</v>
      </c>
      <c r="AG1119" s="145">
        <v>0.9</v>
      </c>
      <c r="AH1119" s="145" t="s">
        <v>400</v>
      </c>
      <c r="AI1119" s="145" t="s">
        <v>400</v>
      </c>
      <c r="AJ1119" s="145">
        <v>59.37</v>
      </c>
      <c r="AK1119" s="145">
        <v>13</v>
      </c>
      <c r="AL1119" s="145" t="s">
        <v>400</v>
      </c>
      <c r="AM1119" s="145" t="s">
        <v>400</v>
      </c>
    </row>
    <row r="1120" spans="1:39">
      <c r="A1120" s="143" t="s">
        <v>2180</v>
      </c>
      <c r="B1120" s="144">
        <v>100</v>
      </c>
      <c r="C1120" s="145">
        <v>98.4</v>
      </c>
      <c r="D1120" s="145">
        <v>19.59</v>
      </c>
      <c r="E1120" s="145">
        <v>1.26</v>
      </c>
      <c r="F1120" s="145">
        <v>0.3</v>
      </c>
      <c r="G1120" s="145">
        <v>0.23</v>
      </c>
      <c r="H1120" s="145">
        <v>0.53</v>
      </c>
      <c r="I1120" s="145">
        <v>0.03</v>
      </c>
      <c r="J1120" s="145">
        <v>0.01</v>
      </c>
      <c r="K1120" s="145">
        <v>54.4</v>
      </c>
      <c r="L1120" s="145">
        <v>1.08</v>
      </c>
      <c r="M1120" s="145">
        <v>0.3</v>
      </c>
      <c r="N1120" s="145">
        <v>17</v>
      </c>
      <c r="O1120" s="145">
        <v>49.6</v>
      </c>
      <c r="P1120" s="145">
        <v>0.04</v>
      </c>
      <c r="Q1120" s="145">
        <v>236.4</v>
      </c>
      <c r="R1120" s="145">
        <v>0.48</v>
      </c>
      <c r="S1120" s="145">
        <v>188.8</v>
      </c>
      <c r="T1120" s="145">
        <v>341.4</v>
      </c>
      <c r="U1120" s="145">
        <v>0.04</v>
      </c>
      <c r="V1120" s="145">
        <v>0.54</v>
      </c>
      <c r="W1120" s="145">
        <v>10.4</v>
      </c>
      <c r="X1120" s="145">
        <v>7.0000000000000007E-2</v>
      </c>
      <c r="Y1120" s="145">
        <v>0.1</v>
      </c>
      <c r="Z1120" s="145">
        <v>0.21</v>
      </c>
      <c r="AA1120" s="145">
        <v>1.94</v>
      </c>
      <c r="AB1120" s="145">
        <v>1.4</v>
      </c>
      <c r="AC1120" s="145">
        <v>5.58</v>
      </c>
      <c r="AD1120" s="145">
        <v>2.0099999999999998</v>
      </c>
      <c r="AE1120" s="145">
        <v>9.4</v>
      </c>
      <c r="AF1120" s="145">
        <v>0.88</v>
      </c>
      <c r="AG1120" s="145">
        <v>0.81</v>
      </c>
      <c r="AH1120" s="145" t="s">
        <v>400</v>
      </c>
      <c r="AI1120" s="145" t="s">
        <v>400</v>
      </c>
      <c r="AJ1120" s="145">
        <v>46.6</v>
      </c>
      <c r="AK1120" s="145">
        <v>13.88</v>
      </c>
      <c r="AL1120" s="145">
        <v>0.85</v>
      </c>
      <c r="AM1120" s="145" t="s">
        <v>400</v>
      </c>
    </row>
    <row r="1121" spans="1:39">
      <c r="A1121" s="143" t="s">
        <v>2181</v>
      </c>
      <c r="B1121" s="144">
        <v>100</v>
      </c>
      <c r="C1121" s="145">
        <v>139.66</v>
      </c>
      <c r="D1121" s="145">
        <v>24.16</v>
      </c>
      <c r="E1121" s="145">
        <v>4.09</v>
      </c>
      <c r="F1121" s="145">
        <v>0.73</v>
      </c>
      <c r="G1121" s="145">
        <v>0.87</v>
      </c>
      <c r="H1121" s="145">
        <v>2.13</v>
      </c>
      <c r="I1121" s="145">
        <v>1.32</v>
      </c>
      <c r="J1121" s="145">
        <v>0.19</v>
      </c>
      <c r="K1121" s="145">
        <v>68</v>
      </c>
      <c r="L1121" s="145" t="s">
        <v>400</v>
      </c>
      <c r="M1121" s="145" t="s">
        <v>400</v>
      </c>
      <c r="N1121" s="145">
        <v>18</v>
      </c>
      <c r="O1121" s="145">
        <v>58</v>
      </c>
      <c r="P1121" s="145">
        <v>0.02</v>
      </c>
      <c r="Q1121" s="145">
        <v>289</v>
      </c>
      <c r="R1121" s="145">
        <v>0.34</v>
      </c>
      <c r="S1121" s="145">
        <v>105</v>
      </c>
      <c r="T1121" s="145">
        <v>344</v>
      </c>
      <c r="U1121" s="145">
        <v>0.03</v>
      </c>
      <c r="V1121" s="145">
        <v>0.63</v>
      </c>
      <c r="W1121" s="145">
        <v>13</v>
      </c>
      <c r="X1121" s="145">
        <v>0.08</v>
      </c>
      <c r="Y1121" s="145">
        <v>0.11</v>
      </c>
      <c r="Z1121" s="145">
        <v>0.24</v>
      </c>
      <c r="AA1121" s="145">
        <v>2.1800000000000002</v>
      </c>
      <c r="AB1121" s="145" t="s">
        <v>400</v>
      </c>
      <c r="AC1121" s="145">
        <v>6.7</v>
      </c>
      <c r="AD1121" s="145">
        <v>2.5099999999999998</v>
      </c>
      <c r="AE1121" s="145">
        <v>9</v>
      </c>
      <c r="AF1121" s="145">
        <v>1.1000000000000001</v>
      </c>
      <c r="AG1121" s="145">
        <v>0.9</v>
      </c>
      <c r="AH1121" s="145" t="s">
        <v>400</v>
      </c>
      <c r="AI1121" s="145" t="s">
        <v>400</v>
      </c>
      <c r="AJ1121" s="145">
        <v>59.37</v>
      </c>
      <c r="AK1121" s="145">
        <v>13</v>
      </c>
      <c r="AL1121" s="145" t="s">
        <v>400</v>
      </c>
      <c r="AM1121" s="145" t="s">
        <v>400</v>
      </c>
    </row>
    <row r="1122" spans="1:39">
      <c r="A1122" s="143" t="s">
        <v>2182</v>
      </c>
      <c r="B1122" s="144">
        <v>100</v>
      </c>
      <c r="C1122" s="145">
        <v>117</v>
      </c>
      <c r="D1122" s="145">
        <v>24.16</v>
      </c>
      <c r="E1122" s="145">
        <v>1.53</v>
      </c>
      <c r="F1122" s="145">
        <v>0.36</v>
      </c>
      <c r="G1122" s="145">
        <v>0.28000000000000003</v>
      </c>
      <c r="H1122" s="145">
        <v>0.65</v>
      </c>
      <c r="I1122" s="145">
        <v>0.01</v>
      </c>
      <c r="J1122" s="145">
        <v>0.02</v>
      </c>
      <c r="K1122" s="145">
        <v>68</v>
      </c>
      <c r="L1122" s="145" t="s">
        <v>400</v>
      </c>
      <c r="M1122" s="145" t="s">
        <v>400</v>
      </c>
      <c r="N1122" s="145">
        <v>18</v>
      </c>
      <c r="O1122" s="145">
        <v>58</v>
      </c>
      <c r="P1122" s="145">
        <v>0.02</v>
      </c>
      <c r="Q1122" s="145">
        <v>289</v>
      </c>
      <c r="R1122" s="145">
        <v>0.34</v>
      </c>
      <c r="S1122" s="145">
        <v>105</v>
      </c>
      <c r="T1122" s="145">
        <v>344</v>
      </c>
      <c r="U1122" s="145">
        <v>0.03</v>
      </c>
      <c r="V1122" s="145">
        <v>0.63</v>
      </c>
      <c r="W1122" s="145">
        <v>13</v>
      </c>
      <c r="X1122" s="145">
        <v>0.08</v>
      </c>
      <c r="Y1122" s="145">
        <v>0.11</v>
      </c>
      <c r="Z1122" s="145">
        <v>0.24</v>
      </c>
      <c r="AA1122" s="145">
        <v>2.1800000000000002</v>
      </c>
      <c r="AB1122" s="145" t="s">
        <v>400</v>
      </c>
      <c r="AC1122" s="145">
        <v>6.7</v>
      </c>
      <c r="AD1122" s="145">
        <v>2.5099999999999998</v>
      </c>
      <c r="AE1122" s="145">
        <v>9</v>
      </c>
      <c r="AF1122" s="145">
        <v>1.1000000000000001</v>
      </c>
      <c r="AG1122" s="145">
        <v>0.66</v>
      </c>
      <c r="AH1122" s="145" t="s">
        <v>400</v>
      </c>
      <c r="AI1122" s="145" t="s">
        <v>400</v>
      </c>
      <c r="AJ1122" s="145">
        <v>58.2</v>
      </c>
      <c r="AK1122" s="145">
        <v>13</v>
      </c>
      <c r="AL1122" s="145" t="s">
        <v>400</v>
      </c>
      <c r="AM1122" s="145" t="s">
        <v>400</v>
      </c>
    </row>
    <row r="1123" spans="1:39">
      <c r="A1123" s="143" t="s">
        <v>2183</v>
      </c>
      <c r="B1123" s="144">
        <v>100</v>
      </c>
      <c r="C1123" s="145">
        <v>204</v>
      </c>
      <c r="D1123" s="145">
        <v>28.62</v>
      </c>
      <c r="E1123" s="145">
        <v>8.23</v>
      </c>
      <c r="F1123" s="145">
        <v>1.8660000000000001</v>
      </c>
      <c r="G1123" s="145">
        <v>2.129</v>
      </c>
      <c r="H1123" s="145">
        <v>3.4039999999999999</v>
      </c>
      <c r="I1123" s="145">
        <v>3.6999999999999998E-2</v>
      </c>
      <c r="J1123" s="145">
        <v>8.0000000000000002E-3</v>
      </c>
      <c r="K1123" s="145">
        <v>479</v>
      </c>
      <c r="L1123" s="145">
        <v>1.92</v>
      </c>
      <c r="M1123" s="145" t="s">
        <v>400</v>
      </c>
      <c r="N1123" s="145">
        <v>28</v>
      </c>
      <c r="O1123" s="145">
        <v>26</v>
      </c>
      <c r="P1123" s="145">
        <v>1.2999999999999999E-2</v>
      </c>
      <c r="Q1123" s="145">
        <v>515</v>
      </c>
      <c r="R1123" s="145">
        <v>0.77</v>
      </c>
      <c r="S1123" s="145">
        <v>117</v>
      </c>
      <c r="T1123" s="145">
        <v>283</v>
      </c>
      <c r="U1123" s="145">
        <v>0.128</v>
      </c>
      <c r="V1123" s="145">
        <v>1.28</v>
      </c>
      <c r="W1123" s="145">
        <v>91</v>
      </c>
      <c r="X1123" s="145">
        <v>0.27700000000000002</v>
      </c>
      <c r="Y1123" s="145">
        <v>0.94899999999999995</v>
      </c>
      <c r="Z1123" s="146">
        <v>0.185</v>
      </c>
      <c r="AA1123" s="145">
        <v>2.1920000000000002</v>
      </c>
      <c r="AB1123" s="145">
        <v>16.399999999999999</v>
      </c>
      <c r="AC1123" s="145">
        <v>8.4420000000000002</v>
      </c>
      <c r="AD1123" s="145">
        <v>11.54</v>
      </c>
      <c r="AE1123" s="145">
        <v>92</v>
      </c>
      <c r="AF1123" s="145">
        <v>4</v>
      </c>
      <c r="AG1123" s="145">
        <v>8.9740000000000002</v>
      </c>
      <c r="AH1123" s="145" t="s">
        <v>400</v>
      </c>
      <c r="AI1123" s="146">
        <v>333</v>
      </c>
      <c r="AJ1123" s="145">
        <v>51.7</v>
      </c>
      <c r="AK1123" s="145">
        <v>91</v>
      </c>
      <c r="AL1123" s="145" t="s">
        <v>400</v>
      </c>
      <c r="AM1123" s="145" t="s">
        <v>400</v>
      </c>
    </row>
    <row r="1124" spans="1:39">
      <c r="A1124" s="143" t="s">
        <v>2184</v>
      </c>
      <c r="B1124" s="144">
        <v>100</v>
      </c>
      <c r="C1124" s="145">
        <v>226.65899999999999</v>
      </c>
      <c r="D1124" s="145">
        <v>28.62</v>
      </c>
      <c r="E1124" s="145">
        <v>10.792999999999999</v>
      </c>
      <c r="F1124" s="145">
        <v>2.2669999999999999</v>
      </c>
      <c r="G1124" s="145">
        <v>2.7130000000000001</v>
      </c>
      <c r="H1124" s="145">
        <v>4.8840000000000003</v>
      </c>
      <c r="I1124" s="145">
        <v>1.343</v>
      </c>
      <c r="J1124" s="145">
        <v>0.182</v>
      </c>
      <c r="K1124" s="145">
        <v>479</v>
      </c>
      <c r="L1124" s="145">
        <v>1.92</v>
      </c>
      <c r="M1124" s="145" t="s">
        <v>400</v>
      </c>
      <c r="N1124" s="145">
        <v>28</v>
      </c>
      <c r="O1124" s="145">
        <v>26</v>
      </c>
      <c r="P1124" s="145">
        <v>1.2999999999999999E-2</v>
      </c>
      <c r="Q1124" s="145">
        <v>515</v>
      </c>
      <c r="R1124" s="145">
        <v>0.77100000000000002</v>
      </c>
      <c r="S1124" s="145">
        <v>117</v>
      </c>
      <c r="T1124" s="145">
        <v>283</v>
      </c>
      <c r="U1124" s="145">
        <v>0.128</v>
      </c>
      <c r="V1124" s="145">
        <v>1.28</v>
      </c>
      <c r="W1124" s="145">
        <v>91</v>
      </c>
      <c r="X1124" s="145">
        <v>0.27700000000000002</v>
      </c>
      <c r="Y1124" s="145">
        <v>0.94899999999999995</v>
      </c>
      <c r="Z1124" s="146">
        <v>0.185</v>
      </c>
      <c r="AA1124" s="145">
        <v>2.1920000000000002</v>
      </c>
      <c r="AB1124" s="145">
        <v>16.399999999999999</v>
      </c>
      <c r="AC1124" s="145">
        <v>8.4420000000000002</v>
      </c>
      <c r="AD1124" s="145">
        <v>11.54</v>
      </c>
      <c r="AE1124" s="145">
        <v>92</v>
      </c>
      <c r="AF1124" s="145">
        <v>4</v>
      </c>
      <c r="AG1124" s="145">
        <v>9.1839999999999993</v>
      </c>
      <c r="AH1124" s="145">
        <v>1.4E-2</v>
      </c>
      <c r="AI1124" s="146">
        <v>333</v>
      </c>
      <c r="AJ1124" s="145">
        <v>52.875</v>
      </c>
      <c r="AK1124" s="145">
        <v>91</v>
      </c>
      <c r="AL1124" s="145" t="s">
        <v>400</v>
      </c>
      <c r="AM1124" s="145" t="s">
        <v>400</v>
      </c>
    </row>
    <row r="1125" spans="1:39">
      <c r="A1125" s="143" t="s">
        <v>2185</v>
      </c>
      <c r="B1125" s="144">
        <v>100</v>
      </c>
      <c r="C1125" s="145">
        <v>117</v>
      </c>
      <c r="D1125" s="145">
        <v>24.16</v>
      </c>
      <c r="E1125" s="145">
        <v>1.53</v>
      </c>
      <c r="F1125" s="145">
        <v>0.36</v>
      </c>
      <c r="G1125" s="145">
        <v>0.28000000000000003</v>
      </c>
      <c r="H1125" s="145">
        <v>0.65</v>
      </c>
      <c r="I1125" s="145">
        <v>0.01</v>
      </c>
      <c r="J1125" s="145">
        <v>0.02</v>
      </c>
      <c r="K1125" s="145">
        <v>68</v>
      </c>
      <c r="L1125" s="145" t="s">
        <v>400</v>
      </c>
      <c r="M1125" s="145" t="s">
        <v>400</v>
      </c>
      <c r="N1125" s="145">
        <v>18</v>
      </c>
      <c r="O1125" s="145">
        <v>58</v>
      </c>
      <c r="P1125" s="145">
        <v>0.02</v>
      </c>
      <c r="Q1125" s="145">
        <v>289</v>
      </c>
      <c r="R1125" s="145">
        <v>0.34</v>
      </c>
      <c r="S1125" s="145">
        <v>105</v>
      </c>
      <c r="T1125" s="145">
        <v>344</v>
      </c>
      <c r="U1125" s="145">
        <v>0.03</v>
      </c>
      <c r="V1125" s="145">
        <v>0.63</v>
      </c>
      <c r="W1125" s="145">
        <v>13</v>
      </c>
      <c r="X1125" s="145">
        <v>0.08</v>
      </c>
      <c r="Y1125" s="145">
        <v>0.11</v>
      </c>
      <c r="Z1125" s="145">
        <v>0.24</v>
      </c>
      <c r="AA1125" s="145">
        <v>2.1800000000000002</v>
      </c>
      <c r="AB1125" s="145" t="s">
        <v>400</v>
      </c>
      <c r="AC1125" s="145">
        <v>6.7</v>
      </c>
      <c r="AD1125" s="145">
        <v>2.5099999999999998</v>
      </c>
      <c r="AE1125" s="145">
        <v>9</v>
      </c>
      <c r="AF1125" s="145">
        <v>5.5</v>
      </c>
      <c r="AG1125" s="145">
        <v>0.66</v>
      </c>
      <c r="AH1125" s="145" t="s">
        <v>400</v>
      </c>
      <c r="AI1125" s="145">
        <v>333</v>
      </c>
      <c r="AJ1125" s="145">
        <v>58.2</v>
      </c>
      <c r="AK1125" s="145">
        <v>13</v>
      </c>
      <c r="AL1125" s="145" t="s">
        <v>400</v>
      </c>
      <c r="AM1125" s="145" t="s">
        <v>400</v>
      </c>
    </row>
    <row r="1126" spans="1:39">
      <c r="A1126" s="143" t="s">
        <v>2186</v>
      </c>
      <c r="B1126" s="144">
        <v>100</v>
      </c>
      <c r="C1126" s="145">
        <v>117</v>
      </c>
      <c r="D1126" s="145">
        <v>24.16</v>
      </c>
      <c r="E1126" s="145">
        <v>1.53</v>
      </c>
      <c r="F1126" s="145">
        <v>0.36</v>
      </c>
      <c r="G1126" s="145">
        <v>0.28000000000000003</v>
      </c>
      <c r="H1126" s="145">
        <v>0.65</v>
      </c>
      <c r="I1126" s="145">
        <v>0.01</v>
      </c>
      <c r="J1126" s="145">
        <v>0.02</v>
      </c>
      <c r="K1126" s="145">
        <v>68</v>
      </c>
      <c r="L1126" s="145" t="s">
        <v>400</v>
      </c>
      <c r="M1126" s="145" t="s">
        <v>400</v>
      </c>
      <c r="N1126" s="145">
        <v>18</v>
      </c>
      <c r="O1126" s="145">
        <v>58</v>
      </c>
      <c r="P1126" s="145">
        <v>0.02</v>
      </c>
      <c r="Q1126" s="145">
        <v>289</v>
      </c>
      <c r="R1126" s="145">
        <v>0.34</v>
      </c>
      <c r="S1126" s="145">
        <v>105</v>
      </c>
      <c r="T1126" s="145">
        <v>344</v>
      </c>
      <c r="U1126" s="145">
        <v>0.03</v>
      </c>
      <c r="V1126" s="145">
        <v>0.63</v>
      </c>
      <c r="W1126" s="145">
        <v>13</v>
      </c>
      <c r="X1126" s="145">
        <v>0.08</v>
      </c>
      <c r="Y1126" s="145">
        <v>0.11</v>
      </c>
      <c r="Z1126" s="145">
        <v>0.24</v>
      </c>
      <c r="AA1126" s="145">
        <v>2.1800000000000002</v>
      </c>
      <c r="AB1126" s="145" t="s">
        <v>400</v>
      </c>
      <c r="AC1126" s="145">
        <v>6.7</v>
      </c>
      <c r="AD1126" s="145">
        <v>2.5099999999999998</v>
      </c>
      <c r="AE1126" s="145">
        <v>9</v>
      </c>
      <c r="AF1126" s="145">
        <v>5.5</v>
      </c>
      <c r="AG1126" s="145">
        <v>0.66</v>
      </c>
      <c r="AH1126" s="145" t="s">
        <v>400</v>
      </c>
      <c r="AI1126" s="145">
        <v>333</v>
      </c>
      <c r="AJ1126" s="145">
        <v>58.2</v>
      </c>
      <c r="AK1126" s="145">
        <v>13</v>
      </c>
      <c r="AL1126" s="145" t="s">
        <v>400</v>
      </c>
      <c r="AM1126" s="145" t="s">
        <v>400</v>
      </c>
    </row>
    <row r="1127" spans="1:39">
      <c r="A1127" s="143" t="s">
        <v>2187</v>
      </c>
      <c r="B1127" s="144">
        <v>100</v>
      </c>
      <c r="C1127" s="145">
        <v>117</v>
      </c>
      <c r="D1127" s="145">
        <v>24.16</v>
      </c>
      <c r="E1127" s="145">
        <v>1.53</v>
      </c>
      <c r="F1127" s="145">
        <v>0.36</v>
      </c>
      <c r="G1127" s="145">
        <v>0.28000000000000003</v>
      </c>
      <c r="H1127" s="145">
        <v>0.65</v>
      </c>
      <c r="I1127" s="145">
        <v>0.01</v>
      </c>
      <c r="J1127" s="145">
        <v>0.02</v>
      </c>
      <c r="K1127" s="145">
        <v>68</v>
      </c>
      <c r="L1127" s="145" t="s">
        <v>400</v>
      </c>
      <c r="M1127" s="145" t="s">
        <v>400</v>
      </c>
      <c r="N1127" s="145">
        <v>18</v>
      </c>
      <c r="O1127" s="145">
        <v>58</v>
      </c>
      <c r="P1127" s="145">
        <v>0.02</v>
      </c>
      <c r="Q1127" s="145">
        <v>289</v>
      </c>
      <c r="R1127" s="145">
        <v>0.34</v>
      </c>
      <c r="S1127" s="145">
        <v>105</v>
      </c>
      <c r="T1127" s="145">
        <v>344</v>
      </c>
      <c r="U1127" s="145">
        <v>0.03</v>
      </c>
      <c r="V1127" s="145">
        <v>0.63</v>
      </c>
      <c r="W1127" s="145">
        <v>13</v>
      </c>
      <c r="X1127" s="145">
        <v>0.08</v>
      </c>
      <c r="Y1127" s="145">
        <v>0.11</v>
      </c>
      <c r="Z1127" s="145">
        <v>0.24</v>
      </c>
      <c r="AA1127" s="145">
        <v>2.1800000000000002</v>
      </c>
      <c r="AB1127" s="145" t="s">
        <v>400</v>
      </c>
      <c r="AC1127" s="145">
        <v>6.7</v>
      </c>
      <c r="AD1127" s="145">
        <v>2.5099999999999998</v>
      </c>
      <c r="AE1127" s="145">
        <v>9</v>
      </c>
      <c r="AF1127" s="145">
        <v>5.5</v>
      </c>
      <c r="AG1127" s="145">
        <v>0.66</v>
      </c>
      <c r="AH1127" s="145" t="s">
        <v>400</v>
      </c>
      <c r="AI1127" s="145">
        <v>333</v>
      </c>
      <c r="AJ1127" s="145">
        <v>58.2</v>
      </c>
      <c r="AK1127" s="145">
        <v>13</v>
      </c>
      <c r="AL1127" s="145" t="s">
        <v>400</v>
      </c>
      <c r="AM1127" s="145" t="s">
        <v>400</v>
      </c>
    </row>
    <row r="1128" spans="1:39">
      <c r="A1128" s="143" t="s">
        <v>2188</v>
      </c>
      <c r="B1128" s="144">
        <v>100</v>
      </c>
      <c r="C1128" s="145">
        <v>117</v>
      </c>
      <c r="D1128" s="145">
        <v>24.16</v>
      </c>
      <c r="E1128" s="145">
        <v>1.53</v>
      </c>
      <c r="F1128" s="145">
        <v>0.36</v>
      </c>
      <c r="G1128" s="145">
        <v>0.28000000000000003</v>
      </c>
      <c r="H1128" s="145">
        <v>0.65</v>
      </c>
      <c r="I1128" s="145">
        <v>0.01</v>
      </c>
      <c r="J1128" s="145">
        <v>0.02</v>
      </c>
      <c r="K1128" s="145">
        <v>68</v>
      </c>
      <c r="L1128" s="145" t="s">
        <v>400</v>
      </c>
      <c r="M1128" s="145" t="s">
        <v>400</v>
      </c>
      <c r="N1128" s="145">
        <v>18</v>
      </c>
      <c r="O1128" s="145">
        <v>58</v>
      </c>
      <c r="P1128" s="145">
        <v>0.02</v>
      </c>
      <c r="Q1128" s="145">
        <v>289</v>
      </c>
      <c r="R1128" s="145">
        <v>0.34</v>
      </c>
      <c r="S1128" s="145">
        <v>105</v>
      </c>
      <c r="T1128" s="145">
        <v>344</v>
      </c>
      <c r="U1128" s="145">
        <v>0.03</v>
      </c>
      <c r="V1128" s="145">
        <v>0.63</v>
      </c>
      <c r="W1128" s="145">
        <v>13</v>
      </c>
      <c r="X1128" s="145">
        <v>0.08</v>
      </c>
      <c r="Y1128" s="145">
        <v>0.11</v>
      </c>
      <c r="Z1128" s="145">
        <v>0.24</v>
      </c>
      <c r="AA1128" s="145">
        <v>2.1800000000000002</v>
      </c>
      <c r="AB1128" s="145" t="s">
        <v>400</v>
      </c>
      <c r="AC1128" s="145">
        <v>6.7</v>
      </c>
      <c r="AD1128" s="145">
        <v>2.5099999999999998</v>
      </c>
      <c r="AE1128" s="145">
        <v>9</v>
      </c>
      <c r="AF1128" s="145">
        <v>5.5</v>
      </c>
      <c r="AG1128" s="145">
        <v>0.66</v>
      </c>
      <c r="AH1128" s="145" t="s">
        <v>400</v>
      </c>
      <c r="AI1128" s="145">
        <v>333</v>
      </c>
      <c r="AJ1128" s="145">
        <v>58.2</v>
      </c>
      <c r="AK1128" s="145">
        <v>13</v>
      </c>
      <c r="AL1128" s="145" t="s">
        <v>400</v>
      </c>
      <c r="AM1128" s="145" t="s">
        <v>400</v>
      </c>
    </row>
    <row r="1129" spans="1:39">
      <c r="A1129" s="143" t="s">
        <v>2189</v>
      </c>
      <c r="B1129" s="144">
        <v>100</v>
      </c>
      <c r="C1129" s="145">
        <v>139.66</v>
      </c>
      <c r="D1129" s="145">
        <v>24.16</v>
      </c>
      <c r="E1129" s="145">
        <v>4.09</v>
      </c>
      <c r="F1129" s="145">
        <v>0.73</v>
      </c>
      <c r="G1129" s="145">
        <v>0.87</v>
      </c>
      <c r="H1129" s="145">
        <v>2.13</v>
      </c>
      <c r="I1129" s="145">
        <v>1.32</v>
      </c>
      <c r="J1129" s="145">
        <v>0.19</v>
      </c>
      <c r="K1129" s="145">
        <v>68</v>
      </c>
      <c r="L1129" s="145" t="s">
        <v>400</v>
      </c>
      <c r="M1129" s="145" t="s">
        <v>400</v>
      </c>
      <c r="N1129" s="145">
        <v>18</v>
      </c>
      <c r="O1129" s="145">
        <v>58</v>
      </c>
      <c r="P1129" s="145">
        <v>0.02</v>
      </c>
      <c r="Q1129" s="145">
        <v>289</v>
      </c>
      <c r="R1129" s="145">
        <v>0.34</v>
      </c>
      <c r="S1129" s="145">
        <v>105</v>
      </c>
      <c r="T1129" s="145">
        <v>344</v>
      </c>
      <c r="U1129" s="145">
        <v>0.03</v>
      </c>
      <c r="V1129" s="145">
        <v>0.63</v>
      </c>
      <c r="W1129" s="145">
        <v>13</v>
      </c>
      <c r="X1129" s="145">
        <v>0.08</v>
      </c>
      <c r="Y1129" s="145">
        <v>0.11</v>
      </c>
      <c r="Z1129" s="145">
        <v>0.24</v>
      </c>
      <c r="AA1129" s="145">
        <v>2.1800000000000002</v>
      </c>
      <c r="AB1129" s="145" t="s">
        <v>400</v>
      </c>
      <c r="AC1129" s="145">
        <v>6.7</v>
      </c>
      <c r="AD1129" s="145">
        <v>2.5099999999999998</v>
      </c>
      <c r="AE1129" s="145">
        <v>9</v>
      </c>
      <c r="AF1129" s="145">
        <v>5.5</v>
      </c>
      <c r="AG1129" s="145">
        <v>0.9</v>
      </c>
      <c r="AH1129" s="145" t="s">
        <v>400</v>
      </c>
      <c r="AI1129" s="145">
        <v>333</v>
      </c>
      <c r="AJ1129" s="145">
        <v>59.37</v>
      </c>
      <c r="AK1129" s="145">
        <v>13</v>
      </c>
      <c r="AL1129" s="145" t="s">
        <v>400</v>
      </c>
      <c r="AM1129" s="145" t="s">
        <v>400</v>
      </c>
    </row>
    <row r="1130" spans="1:39">
      <c r="A1130" s="143" t="s">
        <v>2190</v>
      </c>
      <c r="B1130" s="144">
        <v>100</v>
      </c>
      <c r="C1130" s="145">
        <v>155.84</v>
      </c>
      <c r="D1130" s="145">
        <v>24.62</v>
      </c>
      <c r="E1130" s="145">
        <v>4.1399999999999997</v>
      </c>
      <c r="F1130" s="145">
        <v>0.74</v>
      </c>
      <c r="G1130" s="145">
        <v>0.88</v>
      </c>
      <c r="H1130" s="145">
        <v>2.15</v>
      </c>
      <c r="I1130" s="145">
        <v>1.34</v>
      </c>
      <c r="J1130" s="145">
        <v>0.19</v>
      </c>
      <c r="K1130" s="145">
        <v>68</v>
      </c>
      <c r="L1130" s="145">
        <v>3.39</v>
      </c>
      <c r="M1130" s="145">
        <v>0.14000000000000001</v>
      </c>
      <c r="N1130" s="145">
        <v>18.670000000000002</v>
      </c>
      <c r="O1130" s="145">
        <v>58.98</v>
      </c>
      <c r="P1130" s="145">
        <v>0.05</v>
      </c>
      <c r="Q1130" s="145">
        <v>293.8</v>
      </c>
      <c r="R1130" s="145">
        <v>0.55000000000000004</v>
      </c>
      <c r="S1130" s="145">
        <v>105.09</v>
      </c>
      <c r="T1130" s="145">
        <v>348.76</v>
      </c>
      <c r="U1130" s="145">
        <v>0.03</v>
      </c>
      <c r="V1130" s="145">
        <v>0.66</v>
      </c>
      <c r="W1130" s="145">
        <v>13</v>
      </c>
      <c r="X1130" s="145">
        <v>0.11</v>
      </c>
      <c r="Y1130" s="145">
        <v>0.14000000000000001</v>
      </c>
      <c r="Z1130" s="145">
        <v>0.24</v>
      </c>
      <c r="AA1130" s="145">
        <v>2.44</v>
      </c>
      <c r="AB1130" s="145" t="s">
        <v>400</v>
      </c>
      <c r="AC1130" s="145">
        <v>7.05</v>
      </c>
      <c r="AD1130" s="145">
        <v>2.5099999999999998</v>
      </c>
      <c r="AE1130" s="145">
        <v>18.07</v>
      </c>
      <c r="AF1130" s="145">
        <v>1.1000000000000001</v>
      </c>
      <c r="AG1130" s="145">
        <v>0.9</v>
      </c>
      <c r="AH1130" s="145" t="s">
        <v>400</v>
      </c>
      <c r="AI1130" s="145">
        <v>333</v>
      </c>
      <c r="AJ1130" s="145">
        <v>60.88</v>
      </c>
      <c r="AK1130" s="145">
        <v>13</v>
      </c>
      <c r="AL1130" s="145">
        <v>0.01</v>
      </c>
      <c r="AM1130" s="145" t="s">
        <v>400</v>
      </c>
    </row>
    <row r="1131" spans="1:39">
      <c r="A1131" s="143" t="s">
        <v>2191</v>
      </c>
      <c r="B1131" s="144">
        <v>100</v>
      </c>
      <c r="C1131" s="145">
        <v>139.66</v>
      </c>
      <c r="D1131" s="145">
        <v>24.16</v>
      </c>
      <c r="E1131" s="145">
        <v>4.09</v>
      </c>
      <c r="F1131" s="145">
        <v>0.73</v>
      </c>
      <c r="G1131" s="145">
        <v>0.87</v>
      </c>
      <c r="H1131" s="145">
        <v>2.13</v>
      </c>
      <c r="I1131" s="145">
        <v>1.32</v>
      </c>
      <c r="J1131" s="145">
        <v>0.19</v>
      </c>
      <c r="K1131" s="145">
        <v>68</v>
      </c>
      <c r="L1131" s="145" t="s">
        <v>400</v>
      </c>
      <c r="M1131" s="145" t="s">
        <v>400</v>
      </c>
      <c r="N1131" s="145">
        <v>18</v>
      </c>
      <c r="O1131" s="145">
        <v>58</v>
      </c>
      <c r="P1131" s="145">
        <v>0.02</v>
      </c>
      <c r="Q1131" s="145">
        <v>289</v>
      </c>
      <c r="R1131" s="145">
        <v>0.34</v>
      </c>
      <c r="S1131" s="145">
        <v>105</v>
      </c>
      <c r="T1131" s="145">
        <v>344</v>
      </c>
      <c r="U1131" s="145">
        <v>0.03</v>
      </c>
      <c r="V1131" s="145">
        <v>0.63</v>
      </c>
      <c r="W1131" s="145">
        <v>13</v>
      </c>
      <c r="X1131" s="145">
        <v>0.08</v>
      </c>
      <c r="Y1131" s="145">
        <v>0.11</v>
      </c>
      <c r="Z1131" s="145">
        <v>0.24</v>
      </c>
      <c r="AA1131" s="145">
        <v>2.1800000000000002</v>
      </c>
      <c r="AB1131" s="145" t="s">
        <v>400</v>
      </c>
      <c r="AC1131" s="145">
        <v>6.7</v>
      </c>
      <c r="AD1131" s="145">
        <v>2.5099999999999998</v>
      </c>
      <c r="AE1131" s="145">
        <v>9</v>
      </c>
      <c r="AF1131" s="145">
        <v>5.5</v>
      </c>
      <c r="AG1131" s="145">
        <v>0.9</v>
      </c>
      <c r="AH1131" s="145" t="s">
        <v>400</v>
      </c>
      <c r="AI1131" s="145">
        <v>333</v>
      </c>
      <c r="AJ1131" s="145">
        <v>59.37</v>
      </c>
      <c r="AK1131" s="145">
        <v>13</v>
      </c>
      <c r="AL1131" s="145" t="s">
        <v>400</v>
      </c>
      <c r="AM1131" s="145" t="s">
        <v>400</v>
      </c>
    </row>
    <row r="1132" spans="1:39">
      <c r="A1132" s="143" t="s">
        <v>2192</v>
      </c>
      <c r="B1132" s="144">
        <v>100</v>
      </c>
      <c r="C1132" s="145">
        <v>98.4</v>
      </c>
      <c r="D1132" s="145">
        <v>19.59</v>
      </c>
      <c r="E1132" s="145">
        <v>1.26</v>
      </c>
      <c r="F1132" s="145">
        <v>0.3</v>
      </c>
      <c r="G1132" s="145">
        <v>0.23</v>
      </c>
      <c r="H1132" s="145">
        <v>0.53</v>
      </c>
      <c r="I1132" s="145">
        <v>0.03</v>
      </c>
      <c r="J1132" s="145">
        <v>0.01</v>
      </c>
      <c r="K1132" s="145">
        <v>54.4</v>
      </c>
      <c r="L1132" s="145">
        <v>1.08</v>
      </c>
      <c r="M1132" s="145">
        <v>0.3</v>
      </c>
      <c r="N1132" s="145">
        <v>17</v>
      </c>
      <c r="O1132" s="145">
        <v>49.6</v>
      </c>
      <c r="P1132" s="145">
        <v>0.04</v>
      </c>
      <c r="Q1132" s="145">
        <v>236.4</v>
      </c>
      <c r="R1132" s="145">
        <v>0.48</v>
      </c>
      <c r="S1132" s="145">
        <v>188.8</v>
      </c>
      <c r="T1132" s="145">
        <v>341.4</v>
      </c>
      <c r="U1132" s="145">
        <v>0.04</v>
      </c>
      <c r="V1132" s="145">
        <v>0.54</v>
      </c>
      <c r="W1132" s="145">
        <v>10.4</v>
      </c>
      <c r="X1132" s="145">
        <v>7.0000000000000007E-2</v>
      </c>
      <c r="Y1132" s="145">
        <v>0.1</v>
      </c>
      <c r="Z1132" s="145">
        <v>0.21</v>
      </c>
      <c r="AA1132" s="145">
        <v>1.94</v>
      </c>
      <c r="AB1132" s="145">
        <v>1.4</v>
      </c>
      <c r="AC1132" s="145">
        <v>5.58</v>
      </c>
      <c r="AD1132" s="145">
        <v>2.0099999999999998</v>
      </c>
      <c r="AE1132" s="145">
        <v>9.4</v>
      </c>
      <c r="AF1132" s="145">
        <v>4.4000000000000004</v>
      </c>
      <c r="AG1132" s="145">
        <v>0.81</v>
      </c>
      <c r="AH1132" s="145" t="s">
        <v>400</v>
      </c>
      <c r="AI1132" s="145">
        <v>333</v>
      </c>
      <c r="AJ1132" s="145">
        <v>46.6</v>
      </c>
      <c r="AK1132" s="145">
        <v>13.88</v>
      </c>
      <c r="AL1132" s="145">
        <v>0.85</v>
      </c>
      <c r="AM1132" s="145" t="s">
        <v>400</v>
      </c>
    </row>
    <row r="1133" spans="1:39">
      <c r="A1133" s="143" t="s">
        <v>2193</v>
      </c>
      <c r="B1133" s="144">
        <v>100</v>
      </c>
      <c r="C1133" s="145">
        <v>126.19</v>
      </c>
      <c r="D1133" s="145">
        <v>20.106999999999999</v>
      </c>
      <c r="E1133" s="145">
        <v>3.7130000000000001</v>
      </c>
      <c r="F1133" s="145">
        <v>1.823</v>
      </c>
      <c r="G1133" s="145">
        <v>0.85799999999999998</v>
      </c>
      <c r="H1133" s="145">
        <v>0.629</v>
      </c>
      <c r="I1133" s="145">
        <v>0.10199999999999999</v>
      </c>
      <c r="J1133" s="145">
        <v>3.5000000000000003E-2</v>
      </c>
      <c r="K1133" s="145">
        <v>61.232999999999997</v>
      </c>
      <c r="L1133" s="145">
        <v>1.851</v>
      </c>
      <c r="M1133" s="145">
        <v>4.2999999999999997E-2</v>
      </c>
      <c r="N1133" s="145">
        <v>37.279000000000003</v>
      </c>
      <c r="O1133" s="145">
        <v>48.712000000000003</v>
      </c>
      <c r="P1133" s="145">
        <v>2.5999999999999999E-2</v>
      </c>
      <c r="Q1133" s="145">
        <v>250.893</v>
      </c>
      <c r="R1133" s="145">
        <v>0.34200000000000003</v>
      </c>
      <c r="S1133" s="145">
        <v>104.917</v>
      </c>
      <c r="T1133" s="145">
        <v>305.25400000000002</v>
      </c>
      <c r="U1133" s="145">
        <v>2.5000000000000001E-2</v>
      </c>
      <c r="V1133" s="145">
        <v>0.59299999999999997</v>
      </c>
      <c r="W1133" s="145">
        <v>31.097000000000001</v>
      </c>
      <c r="X1133" s="145">
        <v>8.3000000000000004E-2</v>
      </c>
      <c r="Y1133" s="145">
        <v>0.13400000000000001</v>
      </c>
      <c r="Z1133" s="145">
        <v>0.2</v>
      </c>
      <c r="AA1133" s="145">
        <v>1.839</v>
      </c>
      <c r="AB1133" s="145">
        <v>4.0000000000000001E-3</v>
      </c>
      <c r="AC1133" s="145">
        <v>5.7270000000000003</v>
      </c>
      <c r="AD1133" s="145">
        <v>2.0979999999999999</v>
      </c>
      <c r="AE1133" s="145">
        <v>10.795999999999999</v>
      </c>
      <c r="AF1133" s="145">
        <v>4.6269999999999998</v>
      </c>
      <c r="AG1133" s="145">
        <v>0.59299999999999997</v>
      </c>
      <c r="AH1133" s="145">
        <v>9.7000000000000003E-2</v>
      </c>
      <c r="AI1133" s="145">
        <v>333</v>
      </c>
      <c r="AJ1133" s="145">
        <v>47.728999999999999</v>
      </c>
      <c r="AK1133" s="145">
        <v>31.481000000000002</v>
      </c>
      <c r="AL1133" s="145">
        <v>1.0329999999999999</v>
      </c>
      <c r="AM1133" s="145" t="s">
        <v>400</v>
      </c>
    </row>
    <row r="1134" spans="1:39">
      <c r="A1134" s="143" t="s">
        <v>2194</v>
      </c>
      <c r="B1134" s="144">
        <v>100</v>
      </c>
      <c r="C1134" s="145">
        <v>139.66</v>
      </c>
      <c r="D1134" s="145">
        <v>24.16</v>
      </c>
      <c r="E1134" s="145">
        <v>4.09</v>
      </c>
      <c r="F1134" s="145">
        <v>0.73</v>
      </c>
      <c r="G1134" s="145">
        <v>0.87</v>
      </c>
      <c r="H1134" s="145">
        <v>2.13</v>
      </c>
      <c r="I1134" s="145">
        <v>1.32</v>
      </c>
      <c r="J1134" s="145">
        <v>0.19</v>
      </c>
      <c r="K1134" s="145">
        <v>68</v>
      </c>
      <c r="L1134" s="145" t="s">
        <v>400</v>
      </c>
      <c r="M1134" s="145" t="s">
        <v>400</v>
      </c>
      <c r="N1134" s="145">
        <v>18</v>
      </c>
      <c r="O1134" s="145">
        <v>58</v>
      </c>
      <c r="P1134" s="145">
        <v>0.02</v>
      </c>
      <c r="Q1134" s="145">
        <v>289</v>
      </c>
      <c r="R1134" s="145">
        <v>0.34</v>
      </c>
      <c r="S1134" s="145">
        <v>105</v>
      </c>
      <c r="T1134" s="145">
        <v>344</v>
      </c>
      <c r="U1134" s="145">
        <v>0.03</v>
      </c>
      <c r="V1134" s="145">
        <v>0.63</v>
      </c>
      <c r="W1134" s="145">
        <v>13</v>
      </c>
      <c r="X1134" s="145">
        <v>0.08</v>
      </c>
      <c r="Y1134" s="145">
        <v>0.11</v>
      </c>
      <c r="Z1134" s="145">
        <v>0.24</v>
      </c>
      <c r="AA1134" s="145">
        <v>2.1800000000000002</v>
      </c>
      <c r="AB1134" s="145" t="s">
        <v>400</v>
      </c>
      <c r="AC1134" s="145">
        <v>6.7</v>
      </c>
      <c r="AD1134" s="145">
        <v>2.5099999999999998</v>
      </c>
      <c r="AE1134" s="145">
        <v>9</v>
      </c>
      <c r="AF1134" s="145">
        <v>5.5</v>
      </c>
      <c r="AG1134" s="145">
        <v>0.9</v>
      </c>
      <c r="AH1134" s="145" t="s">
        <v>400</v>
      </c>
      <c r="AI1134" s="145">
        <v>333</v>
      </c>
      <c r="AJ1134" s="145">
        <v>59.37</v>
      </c>
      <c r="AK1134" s="145">
        <v>13</v>
      </c>
      <c r="AL1134" s="145" t="s">
        <v>400</v>
      </c>
      <c r="AM1134" s="145" t="s">
        <v>400</v>
      </c>
    </row>
    <row r="1135" spans="1:39">
      <c r="A1135" s="143" t="s">
        <v>2195</v>
      </c>
      <c r="B1135" s="144">
        <v>100</v>
      </c>
      <c r="C1135" s="145">
        <v>117</v>
      </c>
      <c r="D1135" s="145">
        <v>24.16</v>
      </c>
      <c r="E1135" s="145">
        <v>1.53</v>
      </c>
      <c r="F1135" s="145">
        <v>0.36</v>
      </c>
      <c r="G1135" s="145">
        <v>0.28000000000000003</v>
      </c>
      <c r="H1135" s="145">
        <v>0.65</v>
      </c>
      <c r="I1135" s="145">
        <v>0.01</v>
      </c>
      <c r="J1135" s="145">
        <v>0.02</v>
      </c>
      <c r="K1135" s="145">
        <v>68</v>
      </c>
      <c r="L1135" s="145" t="s">
        <v>400</v>
      </c>
      <c r="M1135" s="145" t="s">
        <v>400</v>
      </c>
      <c r="N1135" s="145">
        <v>18</v>
      </c>
      <c r="O1135" s="145">
        <v>58</v>
      </c>
      <c r="P1135" s="145">
        <v>0.02</v>
      </c>
      <c r="Q1135" s="145">
        <v>289</v>
      </c>
      <c r="R1135" s="145">
        <v>0.34</v>
      </c>
      <c r="S1135" s="145">
        <v>105</v>
      </c>
      <c r="T1135" s="145">
        <v>344</v>
      </c>
      <c r="U1135" s="145">
        <v>0.03</v>
      </c>
      <c r="V1135" s="145">
        <v>0.63</v>
      </c>
      <c r="W1135" s="145">
        <v>13</v>
      </c>
      <c r="X1135" s="145">
        <v>0.08</v>
      </c>
      <c r="Y1135" s="145">
        <v>0.11</v>
      </c>
      <c r="Z1135" s="145">
        <v>0.24</v>
      </c>
      <c r="AA1135" s="145">
        <v>2.1800000000000002</v>
      </c>
      <c r="AB1135" s="145" t="s">
        <v>400</v>
      </c>
      <c r="AC1135" s="145">
        <v>6.7</v>
      </c>
      <c r="AD1135" s="145">
        <v>2.5099999999999998</v>
      </c>
      <c r="AE1135" s="145">
        <v>9</v>
      </c>
      <c r="AF1135" s="145">
        <v>5.5</v>
      </c>
      <c r="AG1135" s="145">
        <v>0.66</v>
      </c>
      <c r="AH1135" s="145" t="s">
        <v>400</v>
      </c>
      <c r="AI1135" s="145">
        <v>333</v>
      </c>
      <c r="AJ1135" s="145">
        <v>58.2</v>
      </c>
      <c r="AK1135" s="145">
        <v>13</v>
      </c>
      <c r="AL1135" s="145" t="s">
        <v>400</v>
      </c>
      <c r="AM1135" s="145" t="s">
        <v>400</v>
      </c>
    </row>
    <row r="1136" spans="1:39">
      <c r="A1136" s="143" t="s">
        <v>2196</v>
      </c>
      <c r="B1136" s="144">
        <v>100</v>
      </c>
      <c r="C1136" s="145">
        <v>117</v>
      </c>
      <c r="D1136" s="145">
        <v>24.16</v>
      </c>
      <c r="E1136" s="145">
        <v>1.53</v>
      </c>
      <c r="F1136" s="145">
        <v>0.36</v>
      </c>
      <c r="G1136" s="145">
        <v>0.28000000000000003</v>
      </c>
      <c r="H1136" s="145">
        <v>0.65</v>
      </c>
      <c r="I1136" s="145">
        <v>0.01</v>
      </c>
      <c r="J1136" s="145">
        <v>0.02</v>
      </c>
      <c r="K1136" s="145">
        <v>68</v>
      </c>
      <c r="L1136" s="145" t="s">
        <v>400</v>
      </c>
      <c r="M1136" s="145" t="s">
        <v>400</v>
      </c>
      <c r="N1136" s="145">
        <v>18</v>
      </c>
      <c r="O1136" s="145">
        <v>58</v>
      </c>
      <c r="P1136" s="145">
        <v>0.02</v>
      </c>
      <c r="Q1136" s="145">
        <v>289</v>
      </c>
      <c r="R1136" s="145">
        <v>0.34</v>
      </c>
      <c r="S1136" s="145">
        <v>105</v>
      </c>
      <c r="T1136" s="145">
        <v>344</v>
      </c>
      <c r="U1136" s="145">
        <v>0.03</v>
      </c>
      <c r="V1136" s="145">
        <v>0.63</v>
      </c>
      <c r="W1136" s="145">
        <v>13</v>
      </c>
      <c r="X1136" s="145">
        <v>0.08</v>
      </c>
      <c r="Y1136" s="145">
        <v>0.11</v>
      </c>
      <c r="Z1136" s="145">
        <v>0.24</v>
      </c>
      <c r="AA1136" s="145">
        <v>2.1800000000000002</v>
      </c>
      <c r="AB1136" s="145" t="s">
        <v>400</v>
      </c>
      <c r="AC1136" s="145">
        <v>6.7</v>
      </c>
      <c r="AD1136" s="145">
        <v>2.5099999999999998</v>
      </c>
      <c r="AE1136" s="145">
        <v>9</v>
      </c>
      <c r="AF1136" s="145">
        <v>1.1000000000000001</v>
      </c>
      <c r="AG1136" s="145">
        <v>0.66</v>
      </c>
      <c r="AH1136" s="145" t="s">
        <v>400</v>
      </c>
      <c r="AI1136" s="145" t="s">
        <v>400</v>
      </c>
      <c r="AJ1136" s="145">
        <v>58.2</v>
      </c>
      <c r="AK1136" s="145">
        <v>13</v>
      </c>
      <c r="AL1136" s="145" t="s">
        <v>400</v>
      </c>
      <c r="AM1136" s="145" t="s">
        <v>400</v>
      </c>
    </row>
    <row r="1137" spans="1:39">
      <c r="A1137" s="143" t="s">
        <v>2197</v>
      </c>
      <c r="B1137" s="144">
        <v>100</v>
      </c>
      <c r="C1137" s="145">
        <v>117</v>
      </c>
      <c r="D1137" s="145">
        <v>24.16</v>
      </c>
      <c r="E1137" s="145">
        <v>1.53</v>
      </c>
      <c r="F1137" s="145">
        <v>0.36</v>
      </c>
      <c r="G1137" s="145">
        <v>0.28000000000000003</v>
      </c>
      <c r="H1137" s="145">
        <v>0.65</v>
      </c>
      <c r="I1137" s="145">
        <v>0.01</v>
      </c>
      <c r="J1137" s="145">
        <v>0.02</v>
      </c>
      <c r="K1137" s="145">
        <v>68</v>
      </c>
      <c r="L1137" s="145" t="s">
        <v>400</v>
      </c>
      <c r="M1137" s="145" t="s">
        <v>400</v>
      </c>
      <c r="N1137" s="145">
        <v>18</v>
      </c>
      <c r="O1137" s="145">
        <v>58</v>
      </c>
      <c r="P1137" s="145">
        <v>0.02</v>
      </c>
      <c r="Q1137" s="145">
        <v>289</v>
      </c>
      <c r="R1137" s="145">
        <v>0.34</v>
      </c>
      <c r="S1137" s="145">
        <v>105</v>
      </c>
      <c r="T1137" s="145">
        <v>344</v>
      </c>
      <c r="U1137" s="145">
        <v>0.03</v>
      </c>
      <c r="V1137" s="145">
        <v>0.63</v>
      </c>
      <c r="W1137" s="145">
        <v>13</v>
      </c>
      <c r="X1137" s="145">
        <v>0.08</v>
      </c>
      <c r="Y1137" s="145">
        <v>0.11</v>
      </c>
      <c r="Z1137" s="145">
        <v>0.24</v>
      </c>
      <c r="AA1137" s="145">
        <v>2.1800000000000002</v>
      </c>
      <c r="AB1137" s="145" t="s">
        <v>400</v>
      </c>
      <c r="AC1137" s="145">
        <v>6.7</v>
      </c>
      <c r="AD1137" s="145">
        <v>2.5099999999999998</v>
      </c>
      <c r="AE1137" s="145">
        <v>9</v>
      </c>
      <c r="AF1137" s="145">
        <v>1.1000000000000001</v>
      </c>
      <c r="AG1137" s="145">
        <v>0.66</v>
      </c>
      <c r="AH1137" s="145" t="s">
        <v>400</v>
      </c>
      <c r="AI1137" s="145" t="s">
        <v>400</v>
      </c>
      <c r="AJ1137" s="145">
        <v>58.2</v>
      </c>
      <c r="AK1137" s="145">
        <v>13</v>
      </c>
      <c r="AL1137" s="145" t="s">
        <v>400</v>
      </c>
      <c r="AM1137" s="145" t="s">
        <v>400</v>
      </c>
    </row>
    <row r="1138" spans="1:39">
      <c r="A1138" s="143" t="s">
        <v>2198</v>
      </c>
      <c r="B1138" s="144">
        <v>100</v>
      </c>
      <c r="C1138" s="145">
        <v>117</v>
      </c>
      <c r="D1138" s="145">
        <v>24.16</v>
      </c>
      <c r="E1138" s="145">
        <v>1.53</v>
      </c>
      <c r="F1138" s="145">
        <v>0.36</v>
      </c>
      <c r="G1138" s="145">
        <v>0.28000000000000003</v>
      </c>
      <c r="H1138" s="145">
        <v>0.65</v>
      </c>
      <c r="I1138" s="145">
        <v>0.01</v>
      </c>
      <c r="J1138" s="145">
        <v>0.02</v>
      </c>
      <c r="K1138" s="145">
        <v>68</v>
      </c>
      <c r="L1138" s="145" t="s">
        <v>400</v>
      </c>
      <c r="M1138" s="145" t="s">
        <v>400</v>
      </c>
      <c r="N1138" s="145">
        <v>18</v>
      </c>
      <c r="O1138" s="145">
        <v>58</v>
      </c>
      <c r="P1138" s="145">
        <v>0.02</v>
      </c>
      <c r="Q1138" s="145">
        <v>289</v>
      </c>
      <c r="R1138" s="145">
        <v>0.34</v>
      </c>
      <c r="S1138" s="145">
        <v>105</v>
      </c>
      <c r="T1138" s="145">
        <v>344</v>
      </c>
      <c r="U1138" s="145">
        <v>0.03</v>
      </c>
      <c r="V1138" s="145">
        <v>0.63</v>
      </c>
      <c r="W1138" s="145">
        <v>13</v>
      </c>
      <c r="X1138" s="145">
        <v>0.08</v>
      </c>
      <c r="Y1138" s="145">
        <v>0.11</v>
      </c>
      <c r="Z1138" s="145">
        <v>0.24</v>
      </c>
      <c r="AA1138" s="145">
        <v>2.1800000000000002</v>
      </c>
      <c r="AB1138" s="145" t="s">
        <v>400</v>
      </c>
      <c r="AC1138" s="145">
        <v>6.7</v>
      </c>
      <c r="AD1138" s="145">
        <v>2.5099999999999998</v>
      </c>
      <c r="AE1138" s="145">
        <v>9</v>
      </c>
      <c r="AF1138" s="145">
        <v>1.1000000000000001</v>
      </c>
      <c r="AG1138" s="145">
        <v>0.66</v>
      </c>
      <c r="AH1138" s="145" t="s">
        <v>400</v>
      </c>
      <c r="AI1138" s="145" t="s">
        <v>400</v>
      </c>
      <c r="AJ1138" s="145">
        <v>58.2</v>
      </c>
      <c r="AK1138" s="145">
        <v>13</v>
      </c>
      <c r="AL1138" s="145" t="s">
        <v>400</v>
      </c>
      <c r="AM1138" s="145" t="s">
        <v>400</v>
      </c>
    </row>
    <row r="1139" spans="1:39">
      <c r="A1139" s="143" t="s">
        <v>2199</v>
      </c>
      <c r="B1139" s="144">
        <v>100</v>
      </c>
      <c r="C1139" s="145">
        <v>139.66</v>
      </c>
      <c r="D1139" s="145">
        <v>24.16</v>
      </c>
      <c r="E1139" s="145">
        <v>4.09</v>
      </c>
      <c r="F1139" s="145">
        <v>0.73</v>
      </c>
      <c r="G1139" s="145">
        <v>0.87</v>
      </c>
      <c r="H1139" s="145">
        <v>2.13</v>
      </c>
      <c r="I1139" s="145">
        <v>1.32</v>
      </c>
      <c r="J1139" s="145">
        <v>0.19</v>
      </c>
      <c r="K1139" s="145">
        <v>68</v>
      </c>
      <c r="L1139" s="145" t="s">
        <v>400</v>
      </c>
      <c r="M1139" s="145" t="s">
        <v>400</v>
      </c>
      <c r="N1139" s="145">
        <v>18</v>
      </c>
      <c r="O1139" s="145">
        <v>58</v>
      </c>
      <c r="P1139" s="145">
        <v>0.02</v>
      </c>
      <c r="Q1139" s="145">
        <v>289</v>
      </c>
      <c r="R1139" s="145">
        <v>0.34</v>
      </c>
      <c r="S1139" s="145">
        <v>105</v>
      </c>
      <c r="T1139" s="145">
        <v>344</v>
      </c>
      <c r="U1139" s="145">
        <v>0.03</v>
      </c>
      <c r="V1139" s="145">
        <v>0.63</v>
      </c>
      <c r="W1139" s="145">
        <v>13</v>
      </c>
      <c r="X1139" s="145">
        <v>0.08</v>
      </c>
      <c r="Y1139" s="145">
        <v>0.11</v>
      </c>
      <c r="Z1139" s="145">
        <v>0.24</v>
      </c>
      <c r="AA1139" s="145">
        <v>2.1800000000000002</v>
      </c>
      <c r="AB1139" s="145" t="s">
        <v>400</v>
      </c>
      <c r="AC1139" s="145">
        <v>6.7</v>
      </c>
      <c r="AD1139" s="145">
        <v>2.5099999999999998</v>
      </c>
      <c r="AE1139" s="145">
        <v>9</v>
      </c>
      <c r="AF1139" s="145">
        <v>1.1000000000000001</v>
      </c>
      <c r="AG1139" s="145">
        <v>0.9</v>
      </c>
      <c r="AH1139" s="145" t="s">
        <v>400</v>
      </c>
      <c r="AI1139" s="145" t="s">
        <v>400</v>
      </c>
      <c r="AJ1139" s="145">
        <v>59.37</v>
      </c>
      <c r="AK1139" s="145">
        <v>13</v>
      </c>
      <c r="AL1139" s="145" t="s">
        <v>400</v>
      </c>
      <c r="AM1139" s="145" t="s">
        <v>400</v>
      </c>
    </row>
    <row r="1140" spans="1:39">
      <c r="A1140" s="143" t="s">
        <v>2200</v>
      </c>
      <c r="B1140" s="144">
        <v>100</v>
      </c>
      <c r="C1140" s="145">
        <v>155.84</v>
      </c>
      <c r="D1140" s="145">
        <v>24.62</v>
      </c>
      <c r="E1140" s="145">
        <v>4.1399999999999997</v>
      </c>
      <c r="F1140" s="145">
        <v>0.74</v>
      </c>
      <c r="G1140" s="145">
        <v>0.88</v>
      </c>
      <c r="H1140" s="145">
        <v>2.15</v>
      </c>
      <c r="I1140" s="145">
        <v>1.34</v>
      </c>
      <c r="J1140" s="145">
        <v>0.19</v>
      </c>
      <c r="K1140" s="145">
        <v>68</v>
      </c>
      <c r="L1140" s="145">
        <v>3.39</v>
      </c>
      <c r="M1140" s="145">
        <v>0.14000000000000001</v>
      </c>
      <c r="N1140" s="145">
        <v>18.670000000000002</v>
      </c>
      <c r="O1140" s="145">
        <v>58.98</v>
      </c>
      <c r="P1140" s="145">
        <v>0.05</v>
      </c>
      <c r="Q1140" s="145">
        <v>293.8</v>
      </c>
      <c r="R1140" s="145">
        <v>0.55000000000000004</v>
      </c>
      <c r="S1140" s="145">
        <v>105.09</v>
      </c>
      <c r="T1140" s="145">
        <v>348.76</v>
      </c>
      <c r="U1140" s="145">
        <v>0.03</v>
      </c>
      <c r="V1140" s="145">
        <v>0.66</v>
      </c>
      <c r="W1140" s="145">
        <v>13</v>
      </c>
      <c r="X1140" s="145">
        <v>0.11</v>
      </c>
      <c r="Y1140" s="145">
        <v>0.14000000000000001</v>
      </c>
      <c r="Z1140" s="145">
        <v>0.24</v>
      </c>
      <c r="AA1140" s="145">
        <v>2.44</v>
      </c>
      <c r="AB1140" s="145" t="s">
        <v>400</v>
      </c>
      <c r="AC1140" s="145">
        <v>7.05</v>
      </c>
      <c r="AD1140" s="145">
        <v>2.5099999999999998</v>
      </c>
      <c r="AE1140" s="145">
        <v>18.07</v>
      </c>
      <c r="AF1140" s="145">
        <v>1.1000000000000001</v>
      </c>
      <c r="AG1140" s="145">
        <v>0.9</v>
      </c>
      <c r="AH1140" s="145" t="s">
        <v>400</v>
      </c>
      <c r="AI1140" s="145" t="s">
        <v>400</v>
      </c>
      <c r="AJ1140" s="145">
        <v>60.88</v>
      </c>
      <c r="AK1140" s="145">
        <v>13</v>
      </c>
      <c r="AL1140" s="145">
        <v>0.01</v>
      </c>
      <c r="AM1140" s="145" t="s">
        <v>400</v>
      </c>
    </row>
    <row r="1141" spans="1:39">
      <c r="A1141" s="143" t="s">
        <v>2201</v>
      </c>
      <c r="B1141" s="144">
        <v>100</v>
      </c>
      <c r="C1141" s="145">
        <v>98.4</v>
      </c>
      <c r="D1141" s="145">
        <v>19.59</v>
      </c>
      <c r="E1141" s="145">
        <v>1.26</v>
      </c>
      <c r="F1141" s="145">
        <v>0.3</v>
      </c>
      <c r="G1141" s="145">
        <v>0.23</v>
      </c>
      <c r="H1141" s="145">
        <v>0.53</v>
      </c>
      <c r="I1141" s="145">
        <v>0.03</v>
      </c>
      <c r="J1141" s="145">
        <v>0.01</v>
      </c>
      <c r="K1141" s="145">
        <v>54.4</v>
      </c>
      <c r="L1141" s="145">
        <v>1.08</v>
      </c>
      <c r="M1141" s="145">
        <v>0.3</v>
      </c>
      <c r="N1141" s="145">
        <v>17</v>
      </c>
      <c r="O1141" s="145">
        <v>49.6</v>
      </c>
      <c r="P1141" s="145">
        <v>0.04</v>
      </c>
      <c r="Q1141" s="145">
        <v>236.4</v>
      </c>
      <c r="R1141" s="145">
        <v>0.48</v>
      </c>
      <c r="S1141" s="145">
        <v>188.8</v>
      </c>
      <c r="T1141" s="145">
        <v>341.4</v>
      </c>
      <c r="U1141" s="145">
        <v>0.04</v>
      </c>
      <c r="V1141" s="145">
        <v>0.54</v>
      </c>
      <c r="W1141" s="145">
        <v>10.4</v>
      </c>
      <c r="X1141" s="145">
        <v>7.0000000000000007E-2</v>
      </c>
      <c r="Y1141" s="145">
        <v>0.1</v>
      </c>
      <c r="Z1141" s="145">
        <v>0.21</v>
      </c>
      <c r="AA1141" s="145">
        <v>1.94</v>
      </c>
      <c r="AB1141" s="145">
        <v>1.4</v>
      </c>
      <c r="AC1141" s="145">
        <v>5.58</v>
      </c>
      <c r="AD1141" s="145">
        <v>2.0099999999999998</v>
      </c>
      <c r="AE1141" s="145">
        <v>9.4</v>
      </c>
      <c r="AF1141" s="145">
        <v>0.88</v>
      </c>
      <c r="AG1141" s="145">
        <v>0.81</v>
      </c>
      <c r="AH1141" s="145" t="s">
        <v>400</v>
      </c>
      <c r="AI1141" s="145" t="s">
        <v>400</v>
      </c>
      <c r="AJ1141" s="145">
        <v>46.6</v>
      </c>
      <c r="AK1141" s="145">
        <v>13.88</v>
      </c>
      <c r="AL1141" s="145">
        <v>0.85</v>
      </c>
      <c r="AM1141" s="145" t="s">
        <v>400</v>
      </c>
    </row>
    <row r="1142" spans="1:39">
      <c r="A1142" s="143" t="s">
        <v>2202</v>
      </c>
      <c r="B1142" s="144">
        <v>100</v>
      </c>
      <c r="C1142" s="145">
        <v>139.66</v>
      </c>
      <c r="D1142" s="145">
        <v>24.16</v>
      </c>
      <c r="E1142" s="145">
        <v>4.09</v>
      </c>
      <c r="F1142" s="145">
        <v>0.73</v>
      </c>
      <c r="G1142" s="145">
        <v>0.87</v>
      </c>
      <c r="H1142" s="145">
        <v>2.13</v>
      </c>
      <c r="I1142" s="145">
        <v>1.32</v>
      </c>
      <c r="J1142" s="145">
        <v>0.19</v>
      </c>
      <c r="K1142" s="145">
        <v>68</v>
      </c>
      <c r="L1142" s="145" t="s">
        <v>400</v>
      </c>
      <c r="M1142" s="145" t="s">
        <v>400</v>
      </c>
      <c r="N1142" s="145">
        <v>18</v>
      </c>
      <c r="O1142" s="145">
        <v>58</v>
      </c>
      <c r="P1142" s="145">
        <v>0.02</v>
      </c>
      <c r="Q1142" s="145">
        <v>289</v>
      </c>
      <c r="R1142" s="145">
        <v>0.34</v>
      </c>
      <c r="S1142" s="145">
        <v>105</v>
      </c>
      <c r="T1142" s="145">
        <v>344</v>
      </c>
      <c r="U1142" s="145">
        <v>0.03</v>
      </c>
      <c r="V1142" s="145">
        <v>0.63</v>
      </c>
      <c r="W1142" s="145">
        <v>13</v>
      </c>
      <c r="X1142" s="145">
        <v>0.08</v>
      </c>
      <c r="Y1142" s="145">
        <v>0.11</v>
      </c>
      <c r="Z1142" s="145">
        <v>0.24</v>
      </c>
      <c r="AA1142" s="145">
        <v>2.1800000000000002</v>
      </c>
      <c r="AB1142" s="145" t="s">
        <v>400</v>
      </c>
      <c r="AC1142" s="145">
        <v>6.7</v>
      </c>
      <c r="AD1142" s="145">
        <v>2.5099999999999998</v>
      </c>
      <c r="AE1142" s="145">
        <v>9</v>
      </c>
      <c r="AF1142" s="145">
        <v>1.1000000000000001</v>
      </c>
      <c r="AG1142" s="145">
        <v>0.9</v>
      </c>
      <c r="AH1142" s="145" t="s">
        <v>400</v>
      </c>
      <c r="AI1142" s="145" t="s">
        <v>400</v>
      </c>
      <c r="AJ1142" s="145">
        <v>59.37</v>
      </c>
      <c r="AK1142" s="145">
        <v>13</v>
      </c>
      <c r="AL1142" s="145" t="s">
        <v>400</v>
      </c>
      <c r="AM1142" s="145" t="s">
        <v>400</v>
      </c>
    </row>
    <row r="1143" spans="1:39">
      <c r="A1143" s="143" t="s">
        <v>2203</v>
      </c>
      <c r="B1143" s="144">
        <v>100</v>
      </c>
      <c r="C1143" s="145">
        <v>117</v>
      </c>
      <c r="D1143" s="145">
        <v>24.16</v>
      </c>
      <c r="E1143" s="145">
        <v>1.53</v>
      </c>
      <c r="F1143" s="145">
        <v>0.36299999999999999</v>
      </c>
      <c r="G1143" s="145">
        <v>0.27600000000000002</v>
      </c>
      <c r="H1143" s="145">
        <v>0.64600000000000002</v>
      </c>
      <c r="I1143" s="145">
        <v>1.4E-2</v>
      </c>
      <c r="J1143" s="145">
        <v>1.6E-2</v>
      </c>
      <c r="K1143" s="145">
        <v>68</v>
      </c>
      <c r="L1143" s="145" t="s">
        <v>400</v>
      </c>
      <c r="M1143" s="145" t="s">
        <v>400</v>
      </c>
      <c r="N1143" s="145">
        <v>18</v>
      </c>
      <c r="O1143" s="145">
        <v>58</v>
      </c>
      <c r="P1143" s="145">
        <v>0.02</v>
      </c>
      <c r="Q1143" s="145">
        <v>289</v>
      </c>
      <c r="R1143" s="145">
        <v>0.34</v>
      </c>
      <c r="S1143" s="145">
        <v>105</v>
      </c>
      <c r="T1143" s="145">
        <v>344</v>
      </c>
      <c r="U1143" s="145">
        <v>2.5999999999999999E-2</v>
      </c>
      <c r="V1143" s="145">
        <v>0.63</v>
      </c>
      <c r="W1143" s="145">
        <v>13</v>
      </c>
      <c r="X1143" s="145">
        <v>0.08</v>
      </c>
      <c r="Y1143" s="145">
        <v>0.114</v>
      </c>
      <c r="Z1143" s="146">
        <v>0.24</v>
      </c>
      <c r="AA1143" s="145">
        <v>2.1789999999999998</v>
      </c>
      <c r="AB1143" s="145" t="s">
        <v>400</v>
      </c>
      <c r="AC1143" s="145">
        <v>6.6959999999999997</v>
      </c>
      <c r="AD1143" s="145">
        <v>2.5099999999999998</v>
      </c>
      <c r="AE1143" s="145">
        <v>9</v>
      </c>
      <c r="AF1143" s="145">
        <v>1.92</v>
      </c>
      <c r="AG1143" s="145">
        <v>0.66</v>
      </c>
      <c r="AH1143" s="145" t="s">
        <v>400</v>
      </c>
      <c r="AI1143" s="145">
        <v>333</v>
      </c>
      <c r="AJ1143" s="145">
        <v>58.2</v>
      </c>
      <c r="AK1143" s="145">
        <v>13</v>
      </c>
      <c r="AL1143" s="145" t="s">
        <v>400</v>
      </c>
      <c r="AM1143" s="145" t="s">
        <v>400</v>
      </c>
    </row>
    <row r="1144" spans="1:39">
      <c r="A1144" s="143" t="s">
        <v>2204</v>
      </c>
      <c r="B1144" s="144">
        <v>100</v>
      </c>
      <c r="C1144" s="145">
        <v>117</v>
      </c>
      <c r="D1144" s="145">
        <v>24.16</v>
      </c>
      <c r="E1144" s="145">
        <v>1.53</v>
      </c>
      <c r="F1144" s="145">
        <v>0.36</v>
      </c>
      <c r="G1144" s="145">
        <v>0.28000000000000003</v>
      </c>
      <c r="H1144" s="145">
        <v>0.65</v>
      </c>
      <c r="I1144" s="145">
        <v>0.01</v>
      </c>
      <c r="J1144" s="145">
        <v>0.02</v>
      </c>
      <c r="K1144" s="145">
        <v>68</v>
      </c>
      <c r="L1144" s="145" t="s">
        <v>400</v>
      </c>
      <c r="M1144" s="145" t="s">
        <v>400</v>
      </c>
      <c r="N1144" s="145">
        <v>18</v>
      </c>
      <c r="O1144" s="145">
        <v>58</v>
      </c>
      <c r="P1144" s="145">
        <v>0.02</v>
      </c>
      <c r="Q1144" s="145">
        <v>289</v>
      </c>
      <c r="R1144" s="145">
        <v>0.34</v>
      </c>
      <c r="S1144" s="145">
        <v>105</v>
      </c>
      <c r="T1144" s="145">
        <v>344</v>
      </c>
      <c r="U1144" s="145">
        <v>0.03</v>
      </c>
      <c r="V1144" s="145">
        <v>0.63</v>
      </c>
      <c r="W1144" s="145">
        <v>13</v>
      </c>
      <c r="X1144" s="145">
        <v>0.08</v>
      </c>
      <c r="Y1144" s="145">
        <v>0.11</v>
      </c>
      <c r="Z1144" s="145">
        <v>0.24</v>
      </c>
      <c r="AA1144" s="145">
        <v>2.1800000000000002</v>
      </c>
      <c r="AB1144" s="145" t="s">
        <v>400</v>
      </c>
      <c r="AC1144" s="145">
        <v>6.7</v>
      </c>
      <c r="AD1144" s="145">
        <v>2.5099999999999998</v>
      </c>
      <c r="AE1144" s="145">
        <v>9</v>
      </c>
      <c r="AF1144" s="145">
        <v>1.1000000000000001</v>
      </c>
      <c r="AG1144" s="145">
        <v>0.66</v>
      </c>
      <c r="AH1144" s="145" t="s">
        <v>400</v>
      </c>
      <c r="AI1144" s="145">
        <v>333</v>
      </c>
      <c r="AJ1144" s="145">
        <v>58.2</v>
      </c>
      <c r="AK1144" s="145">
        <v>13</v>
      </c>
      <c r="AL1144" s="145" t="s">
        <v>400</v>
      </c>
      <c r="AM1144" s="145" t="s">
        <v>400</v>
      </c>
    </row>
    <row r="1145" spans="1:39">
      <c r="A1145" s="143" t="s">
        <v>2205</v>
      </c>
      <c r="B1145" s="144">
        <v>100</v>
      </c>
      <c r="C1145" s="145">
        <v>117</v>
      </c>
      <c r="D1145" s="145">
        <v>24.16</v>
      </c>
      <c r="E1145" s="145">
        <v>1.53</v>
      </c>
      <c r="F1145" s="145">
        <v>0.36</v>
      </c>
      <c r="G1145" s="145">
        <v>0.28000000000000003</v>
      </c>
      <c r="H1145" s="145">
        <v>0.65</v>
      </c>
      <c r="I1145" s="145">
        <v>0.01</v>
      </c>
      <c r="J1145" s="145">
        <v>0.02</v>
      </c>
      <c r="K1145" s="145">
        <v>68</v>
      </c>
      <c r="L1145" s="145" t="s">
        <v>400</v>
      </c>
      <c r="M1145" s="145" t="s">
        <v>400</v>
      </c>
      <c r="N1145" s="145">
        <v>18</v>
      </c>
      <c r="O1145" s="145">
        <v>58</v>
      </c>
      <c r="P1145" s="145">
        <v>0.02</v>
      </c>
      <c r="Q1145" s="145">
        <v>289</v>
      </c>
      <c r="R1145" s="145">
        <v>0.34</v>
      </c>
      <c r="S1145" s="145">
        <v>105</v>
      </c>
      <c r="T1145" s="145">
        <v>344</v>
      </c>
      <c r="U1145" s="145">
        <v>0.03</v>
      </c>
      <c r="V1145" s="145">
        <v>0.63</v>
      </c>
      <c r="W1145" s="145">
        <v>13</v>
      </c>
      <c r="X1145" s="145">
        <v>0.08</v>
      </c>
      <c r="Y1145" s="145">
        <v>0.11</v>
      </c>
      <c r="Z1145" s="145">
        <v>0.24</v>
      </c>
      <c r="AA1145" s="145">
        <v>2.1800000000000002</v>
      </c>
      <c r="AB1145" s="145" t="s">
        <v>400</v>
      </c>
      <c r="AC1145" s="145">
        <v>6.7</v>
      </c>
      <c r="AD1145" s="145">
        <v>2.5099999999999998</v>
      </c>
      <c r="AE1145" s="145">
        <v>9</v>
      </c>
      <c r="AF1145" s="145">
        <v>1.1000000000000001</v>
      </c>
      <c r="AG1145" s="145">
        <v>0.66</v>
      </c>
      <c r="AH1145" s="145" t="s">
        <v>400</v>
      </c>
      <c r="AI1145" s="145">
        <v>333</v>
      </c>
      <c r="AJ1145" s="145">
        <v>58.2</v>
      </c>
      <c r="AK1145" s="145">
        <v>13</v>
      </c>
      <c r="AL1145" s="145" t="s">
        <v>400</v>
      </c>
      <c r="AM1145" s="145" t="s">
        <v>400</v>
      </c>
    </row>
    <row r="1146" spans="1:39">
      <c r="A1146" s="143" t="s">
        <v>2206</v>
      </c>
      <c r="B1146" s="144">
        <v>100</v>
      </c>
      <c r="C1146" s="145">
        <v>117</v>
      </c>
      <c r="D1146" s="145">
        <v>24.16</v>
      </c>
      <c r="E1146" s="145">
        <v>1.53</v>
      </c>
      <c r="F1146" s="145">
        <v>0.36</v>
      </c>
      <c r="G1146" s="145">
        <v>0.28000000000000003</v>
      </c>
      <c r="H1146" s="145">
        <v>0.65</v>
      </c>
      <c r="I1146" s="145">
        <v>0.01</v>
      </c>
      <c r="J1146" s="145">
        <v>0.02</v>
      </c>
      <c r="K1146" s="145">
        <v>68</v>
      </c>
      <c r="L1146" s="145" t="s">
        <v>400</v>
      </c>
      <c r="M1146" s="145" t="s">
        <v>400</v>
      </c>
      <c r="N1146" s="145">
        <v>18</v>
      </c>
      <c r="O1146" s="145">
        <v>58</v>
      </c>
      <c r="P1146" s="145">
        <v>0.02</v>
      </c>
      <c r="Q1146" s="145">
        <v>289</v>
      </c>
      <c r="R1146" s="145">
        <v>0.34</v>
      </c>
      <c r="S1146" s="145">
        <v>105</v>
      </c>
      <c r="T1146" s="145">
        <v>344</v>
      </c>
      <c r="U1146" s="145">
        <v>0.03</v>
      </c>
      <c r="V1146" s="145">
        <v>0.63</v>
      </c>
      <c r="W1146" s="145">
        <v>13</v>
      </c>
      <c r="X1146" s="145">
        <v>0.08</v>
      </c>
      <c r="Y1146" s="145">
        <v>0.11</v>
      </c>
      <c r="Z1146" s="145">
        <v>0.24</v>
      </c>
      <c r="AA1146" s="145">
        <v>2.1800000000000002</v>
      </c>
      <c r="AB1146" s="145" t="s">
        <v>400</v>
      </c>
      <c r="AC1146" s="145">
        <v>6.7</v>
      </c>
      <c r="AD1146" s="145">
        <v>2.5099999999999998</v>
      </c>
      <c r="AE1146" s="145">
        <v>9</v>
      </c>
      <c r="AF1146" s="145">
        <v>1.1000000000000001</v>
      </c>
      <c r="AG1146" s="145">
        <v>0.66</v>
      </c>
      <c r="AH1146" s="145" t="s">
        <v>400</v>
      </c>
      <c r="AI1146" s="145">
        <v>333</v>
      </c>
      <c r="AJ1146" s="145">
        <v>58.2</v>
      </c>
      <c r="AK1146" s="145">
        <v>13</v>
      </c>
      <c r="AL1146" s="145" t="s">
        <v>400</v>
      </c>
      <c r="AM1146" s="145" t="s">
        <v>400</v>
      </c>
    </row>
    <row r="1147" spans="1:39">
      <c r="A1147" s="143" t="s">
        <v>2207</v>
      </c>
      <c r="B1147" s="144">
        <v>100</v>
      </c>
      <c r="C1147" s="145">
        <v>117</v>
      </c>
      <c r="D1147" s="145">
        <v>24.16</v>
      </c>
      <c r="E1147" s="145">
        <v>1.53</v>
      </c>
      <c r="F1147" s="145">
        <v>0.36</v>
      </c>
      <c r="G1147" s="145">
        <v>0.28000000000000003</v>
      </c>
      <c r="H1147" s="145">
        <v>0.65</v>
      </c>
      <c r="I1147" s="145">
        <v>0.01</v>
      </c>
      <c r="J1147" s="145">
        <v>0.02</v>
      </c>
      <c r="K1147" s="145">
        <v>68</v>
      </c>
      <c r="L1147" s="145" t="s">
        <v>400</v>
      </c>
      <c r="M1147" s="145" t="s">
        <v>400</v>
      </c>
      <c r="N1147" s="145">
        <v>18</v>
      </c>
      <c r="O1147" s="145">
        <v>58</v>
      </c>
      <c r="P1147" s="145">
        <v>0.02</v>
      </c>
      <c r="Q1147" s="145">
        <v>289</v>
      </c>
      <c r="R1147" s="145">
        <v>0.34</v>
      </c>
      <c r="S1147" s="145">
        <v>105</v>
      </c>
      <c r="T1147" s="145">
        <v>344</v>
      </c>
      <c r="U1147" s="145">
        <v>0.03</v>
      </c>
      <c r="V1147" s="145">
        <v>0.63</v>
      </c>
      <c r="W1147" s="145">
        <v>13</v>
      </c>
      <c r="X1147" s="145">
        <v>0.08</v>
      </c>
      <c r="Y1147" s="145">
        <v>0.11</v>
      </c>
      <c r="Z1147" s="145">
        <v>0.24</v>
      </c>
      <c r="AA1147" s="145">
        <v>2.1800000000000002</v>
      </c>
      <c r="AB1147" s="145" t="s">
        <v>400</v>
      </c>
      <c r="AC1147" s="145">
        <v>6.7</v>
      </c>
      <c r="AD1147" s="145">
        <v>2.5099999999999998</v>
      </c>
      <c r="AE1147" s="145">
        <v>9</v>
      </c>
      <c r="AF1147" s="145">
        <v>1.1000000000000001</v>
      </c>
      <c r="AG1147" s="145">
        <v>0.66</v>
      </c>
      <c r="AH1147" s="145" t="s">
        <v>400</v>
      </c>
      <c r="AI1147" s="145">
        <v>333</v>
      </c>
      <c r="AJ1147" s="145">
        <v>58.2</v>
      </c>
      <c r="AK1147" s="145">
        <v>13</v>
      </c>
      <c r="AL1147" s="145" t="s">
        <v>400</v>
      </c>
      <c r="AM1147" s="145" t="s">
        <v>400</v>
      </c>
    </row>
    <row r="1148" spans="1:39">
      <c r="A1148" s="143" t="s">
        <v>2208</v>
      </c>
      <c r="B1148" s="144">
        <v>100</v>
      </c>
      <c r="C1148" s="145">
        <v>139.66</v>
      </c>
      <c r="D1148" s="145">
        <v>24.16</v>
      </c>
      <c r="E1148" s="145">
        <v>4.09</v>
      </c>
      <c r="F1148" s="145">
        <v>0.73</v>
      </c>
      <c r="G1148" s="145">
        <v>0.87</v>
      </c>
      <c r="H1148" s="145">
        <v>2.13</v>
      </c>
      <c r="I1148" s="145">
        <v>1.32</v>
      </c>
      <c r="J1148" s="145">
        <v>0.19</v>
      </c>
      <c r="K1148" s="145">
        <v>68</v>
      </c>
      <c r="L1148" s="145" t="s">
        <v>400</v>
      </c>
      <c r="M1148" s="145" t="s">
        <v>400</v>
      </c>
      <c r="N1148" s="145">
        <v>18</v>
      </c>
      <c r="O1148" s="145">
        <v>58</v>
      </c>
      <c r="P1148" s="145">
        <v>0.02</v>
      </c>
      <c r="Q1148" s="145">
        <v>289</v>
      </c>
      <c r="R1148" s="145">
        <v>0.34</v>
      </c>
      <c r="S1148" s="145">
        <v>105</v>
      </c>
      <c r="T1148" s="145">
        <v>344</v>
      </c>
      <c r="U1148" s="145">
        <v>0.03</v>
      </c>
      <c r="V1148" s="145">
        <v>0.63</v>
      </c>
      <c r="W1148" s="145">
        <v>13</v>
      </c>
      <c r="X1148" s="145">
        <v>0.08</v>
      </c>
      <c r="Y1148" s="145">
        <v>0.11</v>
      </c>
      <c r="Z1148" s="145">
        <v>0.24</v>
      </c>
      <c r="AA1148" s="145">
        <v>2.1800000000000002</v>
      </c>
      <c r="AB1148" s="145" t="s">
        <v>400</v>
      </c>
      <c r="AC1148" s="145">
        <v>6.7</v>
      </c>
      <c r="AD1148" s="145">
        <v>2.5099999999999998</v>
      </c>
      <c r="AE1148" s="145">
        <v>9</v>
      </c>
      <c r="AF1148" s="145">
        <v>1.1000000000000001</v>
      </c>
      <c r="AG1148" s="145">
        <v>0.9</v>
      </c>
      <c r="AH1148" s="145" t="s">
        <v>400</v>
      </c>
      <c r="AI1148" s="145">
        <v>333</v>
      </c>
      <c r="AJ1148" s="145">
        <v>59.37</v>
      </c>
      <c r="AK1148" s="145">
        <v>13</v>
      </c>
      <c r="AL1148" s="145" t="s">
        <v>400</v>
      </c>
      <c r="AM1148" s="145" t="s">
        <v>400</v>
      </c>
    </row>
    <row r="1149" spans="1:39">
      <c r="A1149" s="143" t="s">
        <v>2209</v>
      </c>
      <c r="B1149" s="144">
        <v>100</v>
      </c>
      <c r="C1149" s="145">
        <v>155.84</v>
      </c>
      <c r="D1149" s="145">
        <v>24.62</v>
      </c>
      <c r="E1149" s="145">
        <v>4.1399999999999997</v>
      </c>
      <c r="F1149" s="145">
        <v>0.74</v>
      </c>
      <c r="G1149" s="145">
        <v>0.88</v>
      </c>
      <c r="H1149" s="145">
        <v>2.15</v>
      </c>
      <c r="I1149" s="145">
        <v>1.34</v>
      </c>
      <c r="J1149" s="145">
        <v>0.19</v>
      </c>
      <c r="K1149" s="145">
        <v>68</v>
      </c>
      <c r="L1149" s="145">
        <v>3.39</v>
      </c>
      <c r="M1149" s="145">
        <v>0.14000000000000001</v>
      </c>
      <c r="N1149" s="145">
        <v>18.670000000000002</v>
      </c>
      <c r="O1149" s="145">
        <v>58.98</v>
      </c>
      <c r="P1149" s="145">
        <v>0.05</v>
      </c>
      <c r="Q1149" s="145">
        <v>293.8</v>
      </c>
      <c r="R1149" s="145">
        <v>0.55000000000000004</v>
      </c>
      <c r="S1149" s="145">
        <v>105.09</v>
      </c>
      <c r="T1149" s="145">
        <v>348.76</v>
      </c>
      <c r="U1149" s="145">
        <v>0.03</v>
      </c>
      <c r="V1149" s="145">
        <v>0.66</v>
      </c>
      <c r="W1149" s="145">
        <v>13</v>
      </c>
      <c r="X1149" s="145">
        <v>0.11</v>
      </c>
      <c r="Y1149" s="145">
        <v>0.14000000000000001</v>
      </c>
      <c r="Z1149" s="145">
        <v>0.24</v>
      </c>
      <c r="AA1149" s="145">
        <v>2.44</v>
      </c>
      <c r="AB1149" s="145" t="s">
        <v>400</v>
      </c>
      <c r="AC1149" s="145">
        <v>7.05</v>
      </c>
      <c r="AD1149" s="145">
        <v>2.5099999999999998</v>
      </c>
      <c r="AE1149" s="145">
        <v>18.07</v>
      </c>
      <c r="AF1149" s="145">
        <v>1.1000000000000001</v>
      </c>
      <c r="AG1149" s="145">
        <v>0.9</v>
      </c>
      <c r="AH1149" s="145" t="s">
        <v>400</v>
      </c>
      <c r="AI1149" s="145">
        <v>333</v>
      </c>
      <c r="AJ1149" s="145">
        <v>60.88</v>
      </c>
      <c r="AK1149" s="145">
        <v>13</v>
      </c>
      <c r="AL1149" s="145">
        <v>0.01</v>
      </c>
      <c r="AM1149" s="145" t="s">
        <v>400</v>
      </c>
    </row>
    <row r="1150" spans="1:39">
      <c r="A1150" s="143" t="s">
        <v>2210</v>
      </c>
      <c r="B1150" s="144">
        <v>100</v>
      </c>
      <c r="C1150" s="145">
        <v>139.66</v>
      </c>
      <c r="D1150" s="145">
        <v>24.16</v>
      </c>
      <c r="E1150" s="145">
        <v>4.09</v>
      </c>
      <c r="F1150" s="145">
        <v>0.73</v>
      </c>
      <c r="G1150" s="145">
        <v>0.87</v>
      </c>
      <c r="H1150" s="145">
        <v>2.13</v>
      </c>
      <c r="I1150" s="145">
        <v>1.32</v>
      </c>
      <c r="J1150" s="145">
        <v>0.19</v>
      </c>
      <c r="K1150" s="145">
        <v>68</v>
      </c>
      <c r="L1150" s="145" t="s">
        <v>400</v>
      </c>
      <c r="M1150" s="145" t="s">
        <v>400</v>
      </c>
      <c r="N1150" s="145">
        <v>18</v>
      </c>
      <c r="O1150" s="145">
        <v>58</v>
      </c>
      <c r="P1150" s="145">
        <v>0.02</v>
      </c>
      <c r="Q1150" s="145">
        <v>289</v>
      </c>
      <c r="R1150" s="145">
        <v>0.34</v>
      </c>
      <c r="S1150" s="145">
        <v>105</v>
      </c>
      <c r="T1150" s="145">
        <v>344</v>
      </c>
      <c r="U1150" s="145">
        <v>0.03</v>
      </c>
      <c r="V1150" s="145">
        <v>0.63</v>
      </c>
      <c r="W1150" s="145">
        <v>13</v>
      </c>
      <c r="X1150" s="145">
        <v>0.08</v>
      </c>
      <c r="Y1150" s="145">
        <v>0.11</v>
      </c>
      <c r="Z1150" s="145">
        <v>0.24</v>
      </c>
      <c r="AA1150" s="145">
        <v>2.1800000000000002</v>
      </c>
      <c r="AB1150" s="145" t="s">
        <v>400</v>
      </c>
      <c r="AC1150" s="145">
        <v>6.7</v>
      </c>
      <c r="AD1150" s="145">
        <v>2.5099999999999998</v>
      </c>
      <c r="AE1150" s="145">
        <v>9</v>
      </c>
      <c r="AF1150" s="145">
        <v>1.1000000000000001</v>
      </c>
      <c r="AG1150" s="145">
        <v>0.9</v>
      </c>
      <c r="AH1150" s="145" t="s">
        <v>400</v>
      </c>
      <c r="AI1150" s="145">
        <v>333</v>
      </c>
      <c r="AJ1150" s="145">
        <v>59.37</v>
      </c>
      <c r="AK1150" s="145">
        <v>13</v>
      </c>
      <c r="AL1150" s="145" t="s">
        <v>400</v>
      </c>
      <c r="AM1150" s="145" t="s">
        <v>400</v>
      </c>
    </row>
    <row r="1151" spans="1:39">
      <c r="A1151" s="143" t="s">
        <v>2211</v>
      </c>
      <c r="B1151" s="144">
        <v>100</v>
      </c>
      <c r="C1151" s="145">
        <v>98.4</v>
      </c>
      <c r="D1151" s="145">
        <v>19.59</v>
      </c>
      <c r="E1151" s="145">
        <v>1.26</v>
      </c>
      <c r="F1151" s="145">
        <v>0.3</v>
      </c>
      <c r="G1151" s="145">
        <v>0.23</v>
      </c>
      <c r="H1151" s="145">
        <v>0.53</v>
      </c>
      <c r="I1151" s="145">
        <v>0.03</v>
      </c>
      <c r="J1151" s="145">
        <v>0.01</v>
      </c>
      <c r="K1151" s="145">
        <v>54.4</v>
      </c>
      <c r="L1151" s="145">
        <v>1.08</v>
      </c>
      <c r="M1151" s="145">
        <v>0.3</v>
      </c>
      <c r="N1151" s="145">
        <v>17</v>
      </c>
      <c r="O1151" s="145">
        <v>49.6</v>
      </c>
      <c r="P1151" s="145">
        <v>0.04</v>
      </c>
      <c r="Q1151" s="145">
        <v>236.4</v>
      </c>
      <c r="R1151" s="145">
        <v>0.48</v>
      </c>
      <c r="S1151" s="145">
        <v>188.8</v>
      </c>
      <c r="T1151" s="145">
        <v>341.4</v>
      </c>
      <c r="U1151" s="145">
        <v>0.04</v>
      </c>
      <c r="V1151" s="145">
        <v>0.54</v>
      </c>
      <c r="W1151" s="145">
        <v>10.4</v>
      </c>
      <c r="X1151" s="145">
        <v>7.0000000000000007E-2</v>
      </c>
      <c r="Y1151" s="145">
        <v>0.1</v>
      </c>
      <c r="Z1151" s="145">
        <v>0.21</v>
      </c>
      <c r="AA1151" s="145">
        <v>1.94</v>
      </c>
      <c r="AB1151" s="145">
        <v>1.4</v>
      </c>
      <c r="AC1151" s="145">
        <v>5.58</v>
      </c>
      <c r="AD1151" s="145">
        <v>2.0099999999999998</v>
      </c>
      <c r="AE1151" s="145">
        <v>9.4</v>
      </c>
      <c r="AF1151" s="145">
        <v>0.88</v>
      </c>
      <c r="AG1151" s="145">
        <v>0.81</v>
      </c>
      <c r="AH1151" s="145" t="s">
        <v>400</v>
      </c>
      <c r="AI1151" s="145">
        <v>333</v>
      </c>
      <c r="AJ1151" s="145">
        <v>46.6</v>
      </c>
      <c r="AK1151" s="145">
        <v>13.88</v>
      </c>
      <c r="AL1151" s="145">
        <v>0.85</v>
      </c>
      <c r="AM1151" s="145" t="s">
        <v>400</v>
      </c>
    </row>
    <row r="1152" spans="1:39">
      <c r="A1152" s="143" t="s">
        <v>2212</v>
      </c>
      <c r="B1152" s="144">
        <v>100</v>
      </c>
      <c r="C1152" s="145">
        <v>140.05000000000001</v>
      </c>
      <c r="D1152" s="145">
        <v>20.81</v>
      </c>
      <c r="E1152" s="145">
        <v>5.1100000000000003</v>
      </c>
      <c r="F1152" s="145">
        <v>2.3199999999999998</v>
      </c>
      <c r="G1152" s="145">
        <v>1.3</v>
      </c>
      <c r="H1152" s="145">
        <v>1.06</v>
      </c>
      <c r="I1152" s="145">
        <v>0.45</v>
      </c>
      <c r="J1152" s="145">
        <v>0.09</v>
      </c>
      <c r="K1152" s="145">
        <v>68.33</v>
      </c>
      <c r="L1152" s="145">
        <v>1.47</v>
      </c>
      <c r="M1152" s="145">
        <v>7.0000000000000007E-2</v>
      </c>
      <c r="N1152" s="145">
        <v>27.08</v>
      </c>
      <c r="O1152" s="145">
        <v>48.76</v>
      </c>
      <c r="P1152" s="145">
        <v>7.0000000000000007E-2</v>
      </c>
      <c r="Q1152" s="145">
        <v>254.53</v>
      </c>
      <c r="R1152" s="145">
        <v>1.6</v>
      </c>
      <c r="S1152" s="145">
        <v>92.8</v>
      </c>
      <c r="T1152" s="145">
        <v>321.14999999999998</v>
      </c>
      <c r="U1152" s="145">
        <v>0.06</v>
      </c>
      <c r="V1152" s="145">
        <v>0.67</v>
      </c>
      <c r="W1152" s="145">
        <v>45.47</v>
      </c>
      <c r="X1152" s="145">
        <v>0.08</v>
      </c>
      <c r="Y1152" s="145">
        <v>0.13</v>
      </c>
      <c r="Z1152" s="145">
        <v>0.21</v>
      </c>
      <c r="AA1152" s="145">
        <v>1.96</v>
      </c>
      <c r="AB1152" s="145">
        <v>1.72</v>
      </c>
      <c r="AC1152" s="145">
        <v>5.86</v>
      </c>
      <c r="AD1152" s="145">
        <v>6.4</v>
      </c>
      <c r="AE1152" s="145">
        <v>11.51</v>
      </c>
      <c r="AF1152" s="145">
        <v>1</v>
      </c>
      <c r="AG1152" s="145">
        <v>0.72</v>
      </c>
      <c r="AH1152" s="145">
        <v>0.11</v>
      </c>
      <c r="AI1152" s="145">
        <v>333</v>
      </c>
      <c r="AJ1152" s="145">
        <v>49.41</v>
      </c>
      <c r="AK1152" s="145">
        <v>47.69</v>
      </c>
      <c r="AL1152" s="145">
        <v>0.39</v>
      </c>
      <c r="AM1152" s="145" t="s">
        <v>400</v>
      </c>
    </row>
    <row r="1153" spans="1:39">
      <c r="A1153" s="143" t="s">
        <v>2213</v>
      </c>
      <c r="B1153" s="144">
        <v>100</v>
      </c>
      <c r="C1153" s="145">
        <v>139.66</v>
      </c>
      <c r="D1153" s="145">
        <v>24.16</v>
      </c>
      <c r="E1153" s="145">
        <v>4.09</v>
      </c>
      <c r="F1153" s="145">
        <v>0.73</v>
      </c>
      <c r="G1153" s="145">
        <v>0.87</v>
      </c>
      <c r="H1153" s="145">
        <v>2.13</v>
      </c>
      <c r="I1153" s="145">
        <v>1.32</v>
      </c>
      <c r="J1153" s="145">
        <v>0.19</v>
      </c>
      <c r="K1153" s="145">
        <v>68</v>
      </c>
      <c r="L1153" s="145" t="s">
        <v>400</v>
      </c>
      <c r="M1153" s="145" t="s">
        <v>400</v>
      </c>
      <c r="N1153" s="145">
        <v>18</v>
      </c>
      <c r="O1153" s="145">
        <v>58</v>
      </c>
      <c r="P1153" s="145">
        <v>0.02</v>
      </c>
      <c r="Q1153" s="145">
        <v>289</v>
      </c>
      <c r="R1153" s="145">
        <v>0.34</v>
      </c>
      <c r="S1153" s="145">
        <v>105</v>
      </c>
      <c r="T1153" s="145">
        <v>344</v>
      </c>
      <c r="U1153" s="145">
        <v>0.03</v>
      </c>
      <c r="V1153" s="145">
        <v>0.63</v>
      </c>
      <c r="W1153" s="145">
        <v>13</v>
      </c>
      <c r="X1153" s="145">
        <v>0.08</v>
      </c>
      <c r="Y1153" s="145">
        <v>0.11</v>
      </c>
      <c r="Z1153" s="145">
        <v>0.24</v>
      </c>
      <c r="AA1153" s="145">
        <v>2.1800000000000002</v>
      </c>
      <c r="AB1153" s="145" t="s">
        <v>400</v>
      </c>
      <c r="AC1153" s="145">
        <v>6.7</v>
      </c>
      <c r="AD1153" s="145">
        <v>2.5099999999999998</v>
      </c>
      <c r="AE1153" s="145">
        <v>9</v>
      </c>
      <c r="AF1153" s="145">
        <v>1.1000000000000001</v>
      </c>
      <c r="AG1153" s="145">
        <v>0.9</v>
      </c>
      <c r="AH1153" s="145" t="s">
        <v>400</v>
      </c>
      <c r="AI1153" s="145">
        <v>333</v>
      </c>
      <c r="AJ1153" s="145">
        <v>59.37</v>
      </c>
      <c r="AK1153" s="145">
        <v>13</v>
      </c>
      <c r="AL1153" s="145" t="s">
        <v>400</v>
      </c>
      <c r="AM1153" s="145" t="s">
        <v>400</v>
      </c>
    </row>
    <row r="1154" spans="1:39">
      <c r="A1154" s="143" t="s">
        <v>2214</v>
      </c>
      <c r="B1154" s="144">
        <v>100</v>
      </c>
      <c r="C1154" s="145">
        <v>117</v>
      </c>
      <c r="D1154" s="145">
        <v>24.16</v>
      </c>
      <c r="E1154" s="145">
        <v>1.53</v>
      </c>
      <c r="F1154" s="145">
        <v>0.36</v>
      </c>
      <c r="G1154" s="145">
        <v>0.28000000000000003</v>
      </c>
      <c r="H1154" s="145">
        <v>0.65</v>
      </c>
      <c r="I1154" s="145">
        <v>0.01</v>
      </c>
      <c r="J1154" s="145">
        <v>0.02</v>
      </c>
      <c r="K1154" s="145">
        <v>68</v>
      </c>
      <c r="L1154" s="145" t="s">
        <v>400</v>
      </c>
      <c r="M1154" s="145" t="s">
        <v>400</v>
      </c>
      <c r="N1154" s="145">
        <v>18</v>
      </c>
      <c r="O1154" s="145">
        <v>58</v>
      </c>
      <c r="P1154" s="145">
        <v>0.02</v>
      </c>
      <c r="Q1154" s="145">
        <v>289</v>
      </c>
      <c r="R1154" s="145">
        <v>0.34</v>
      </c>
      <c r="S1154" s="145">
        <v>105</v>
      </c>
      <c r="T1154" s="145">
        <v>344</v>
      </c>
      <c r="U1154" s="145">
        <v>0.03</v>
      </c>
      <c r="V1154" s="145">
        <v>0.63</v>
      </c>
      <c r="W1154" s="145">
        <v>13</v>
      </c>
      <c r="X1154" s="145">
        <v>0.08</v>
      </c>
      <c r="Y1154" s="145">
        <v>0.11</v>
      </c>
      <c r="Z1154" s="145">
        <v>0.24</v>
      </c>
      <c r="AA1154" s="145">
        <v>2.1800000000000002</v>
      </c>
      <c r="AB1154" s="145" t="s">
        <v>400</v>
      </c>
      <c r="AC1154" s="145">
        <v>6.7</v>
      </c>
      <c r="AD1154" s="145">
        <v>2.5099999999999998</v>
      </c>
      <c r="AE1154" s="145">
        <v>9</v>
      </c>
      <c r="AF1154" s="145">
        <v>1.1000000000000001</v>
      </c>
      <c r="AG1154" s="145">
        <v>0.66</v>
      </c>
      <c r="AH1154" s="145" t="s">
        <v>400</v>
      </c>
      <c r="AI1154" s="145" t="s">
        <v>400</v>
      </c>
      <c r="AJ1154" s="145">
        <v>58.2</v>
      </c>
      <c r="AK1154" s="145">
        <v>13</v>
      </c>
      <c r="AL1154" s="145" t="s">
        <v>400</v>
      </c>
      <c r="AM1154" s="145" t="s">
        <v>400</v>
      </c>
    </row>
    <row r="1155" spans="1:39">
      <c r="A1155" s="143" t="s">
        <v>2215</v>
      </c>
      <c r="B1155" s="144">
        <v>100</v>
      </c>
      <c r="C1155" s="145">
        <v>117</v>
      </c>
      <c r="D1155" s="145">
        <v>24.16</v>
      </c>
      <c r="E1155" s="145">
        <v>1.53</v>
      </c>
      <c r="F1155" s="145">
        <v>0.36</v>
      </c>
      <c r="G1155" s="145">
        <v>0.28000000000000003</v>
      </c>
      <c r="H1155" s="145">
        <v>0.65</v>
      </c>
      <c r="I1155" s="145">
        <v>0.01</v>
      </c>
      <c r="J1155" s="145">
        <v>0.02</v>
      </c>
      <c r="K1155" s="145">
        <v>68</v>
      </c>
      <c r="L1155" s="145" t="s">
        <v>400</v>
      </c>
      <c r="M1155" s="145" t="s">
        <v>400</v>
      </c>
      <c r="N1155" s="145">
        <v>18</v>
      </c>
      <c r="O1155" s="145">
        <v>58</v>
      </c>
      <c r="P1155" s="145">
        <v>0.02</v>
      </c>
      <c r="Q1155" s="145">
        <v>289</v>
      </c>
      <c r="R1155" s="145">
        <v>0.34</v>
      </c>
      <c r="S1155" s="145">
        <v>105</v>
      </c>
      <c r="T1155" s="145">
        <v>344</v>
      </c>
      <c r="U1155" s="145">
        <v>0.03</v>
      </c>
      <c r="V1155" s="145">
        <v>0.63</v>
      </c>
      <c r="W1155" s="145">
        <v>13</v>
      </c>
      <c r="X1155" s="145">
        <v>0.08</v>
      </c>
      <c r="Y1155" s="145">
        <v>0.11</v>
      </c>
      <c r="Z1155" s="145">
        <v>0.24</v>
      </c>
      <c r="AA1155" s="145">
        <v>2.1800000000000002</v>
      </c>
      <c r="AB1155" s="145" t="s">
        <v>400</v>
      </c>
      <c r="AC1155" s="145">
        <v>6.7</v>
      </c>
      <c r="AD1155" s="145">
        <v>2.5099999999999998</v>
      </c>
      <c r="AE1155" s="145">
        <v>9</v>
      </c>
      <c r="AF1155" s="145">
        <v>1.1000000000000001</v>
      </c>
      <c r="AG1155" s="145">
        <v>0.66</v>
      </c>
      <c r="AH1155" s="145" t="s">
        <v>400</v>
      </c>
      <c r="AI1155" s="145" t="s">
        <v>400</v>
      </c>
      <c r="AJ1155" s="145">
        <v>58.2</v>
      </c>
      <c r="AK1155" s="145">
        <v>13</v>
      </c>
      <c r="AL1155" s="145" t="s">
        <v>400</v>
      </c>
      <c r="AM1155" s="145" t="s">
        <v>400</v>
      </c>
    </row>
    <row r="1156" spans="1:39">
      <c r="A1156" s="143" t="s">
        <v>2216</v>
      </c>
      <c r="B1156" s="144">
        <v>100</v>
      </c>
      <c r="C1156" s="145">
        <v>117</v>
      </c>
      <c r="D1156" s="145">
        <v>24.16</v>
      </c>
      <c r="E1156" s="145">
        <v>1.53</v>
      </c>
      <c r="F1156" s="145">
        <v>0.36</v>
      </c>
      <c r="G1156" s="145">
        <v>0.28000000000000003</v>
      </c>
      <c r="H1156" s="145">
        <v>0.65</v>
      </c>
      <c r="I1156" s="145">
        <v>0.01</v>
      </c>
      <c r="J1156" s="145">
        <v>0.02</v>
      </c>
      <c r="K1156" s="145">
        <v>68</v>
      </c>
      <c r="L1156" s="145" t="s">
        <v>400</v>
      </c>
      <c r="M1156" s="145" t="s">
        <v>400</v>
      </c>
      <c r="N1156" s="145">
        <v>18</v>
      </c>
      <c r="O1156" s="145">
        <v>58</v>
      </c>
      <c r="P1156" s="145">
        <v>0.02</v>
      </c>
      <c r="Q1156" s="145">
        <v>289</v>
      </c>
      <c r="R1156" s="145">
        <v>0.34</v>
      </c>
      <c r="S1156" s="145">
        <v>105</v>
      </c>
      <c r="T1156" s="145">
        <v>344</v>
      </c>
      <c r="U1156" s="145">
        <v>0.03</v>
      </c>
      <c r="V1156" s="145">
        <v>0.63</v>
      </c>
      <c r="W1156" s="145">
        <v>13</v>
      </c>
      <c r="X1156" s="145">
        <v>0.08</v>
      </c>
      <c r="Y1156" s="145">
        <v>0.11</v>
      </c>
      <c r="Z1156" s="145">
        <v>0.24</v>
      </c>
      <c r="AA1156" s="145">
        <v>2.1800000000000002</v>
      </c>
      <c r="AB1156" s="145" t="s">
        <v>400</v>
      </c>
      <c r="AC1156" s="145">
        <v>6.7</v>
      </c>
      <c r="AD1156" s="145">
        <v>2.5099999999999998</v>
      </c>
      <c r="AE1156" s="145">
        <v>9</v>
      </c>
      <c r="AF1156" s="145">
        <v>1.1000000000000001</v>
      </c>
      <c r="AG1156" s="145">
        <v>0.66</v>
      </c>
      <c r="AH1156" s="145" t="s">
        <v>400</v>
      </c>
      <c r="AI1156" s="145" t="s">
        <v>400</v>
      </c>
      <c r="AJ1156" s="145">
        <v>58.2</v>
      </c>
      <c r="AK1156" s="145">
        <v>13</v>
      </c>
      <c r="AL1156" s="145" t="s">
        <v>400</v>
      </c>
      <c r="AM1156" s="145" t="s">
        <v>400</v>
      </c>
    </row>
    <row r="1157" spans="1:39">
      <c r="A1157" s="143" t="s">
        <v>2217</v>
      </c>
      <c r="B1157" s="144">
        <v>100</v>
      </c>
      <c r="C1157" s="145">
        <v>139.66</v>
      </c>
      <c r="D1157" s="145">
        <v>24.16</v>
      </c>
      <c r="E1157" s="145">
        <v>4.09</v>
      </c>
      <c r="F1157" s="145">
        <v>0.73</v>
      </c>
      <c r="G1157" s="145">
        <v>0.87</v>
      </c>
      <c r="H1157" s="145">
        <v>2.13</v>
      </c>
      <c r="I1157" s="145">
        <v>1.32</v>
      </c>
      <c r="J1157" s="145">
        <v>0.19</v>
      </c>
      <c r="K1157" s="145">
        <v>68</v>
      </c>
      <c r="L1157" s="145" t="s">
        <v>400</v>
      </c>
      <c r="M1157" s="145" t="s">
        <v>400</v>
      </c>
      <c r="N1157" s="145">
        <v>18</v>
      </c>
      <c r="O1157" s="145">
        <v>58</v>
      </c>
      <c r="P1157" s="145">
        <v>0.02</v>
      </c>
      <c r="Q1157" s="145">
        <v>289</v>
      </c>
      <c r="R1157" s="145">
        <v>0.34</v>
      </c>
      <c r="S1157" s="145">
        <v>105</v>
      </c>
      <c r="T1157" s="145">
        <v>344</v>
      </c>
      <c r="U1157" s="145">
        <v>0.03</v>
      </c>
      <c r="V1157" s="145">
        <v>0.63</v>
      </c>
      <c r="W1157" s="145">
        <v>13</v>
      </c>
      <c r="X1157" s="145">
        <v>0.08</v>
      </c>
      <c r="Y1157" s="145">
        <v>0.11</v>
      </c>
      <c r="Z1157" s="145">
        <v>0.24</v>
      </c>
      <c r="AA1157" s="145">
        <v>2.1800000000000002</v>
      </c>
      <c r="AB1157" s="145" t="s">
        <v>400</v>
      </c>
      <c r="AC1157" s="145">
        <v>6.7</v>
      </c>
      <c r="AD1157" s="145">
        <v>2.5099999999999998</v>
      </c>
      <c r="AE1157" s="145">
        <v>9</v>
      </c>
      <c r="AF1157" s="145">
        <v>1.1000000000000001</v>
      </c>
      <c r="AG1157" s="145">
        <v>0.9</v>
      </c>
      <c r="AH1157" s="145" t="s">
        <v>400</v>
      </c>
      <c r="AI1157" s="145" t="s">
        <v>400</v>
      </c>
      <c r="AJ1157" s="145">
        <v>59.37</v>
      </c>
      <c r="AK1157" s="145">
        <v>13</v>
      </c>
      <c r="AL1157" s="145" t="s">
        <v>400</v>
      </c>
      <c r="AM1157" s="145" t="s">
        <v>400</v>
      </c>
    </row>
    <row r="1158" spans="1:39">
      <c r="A1158" s="143" t="s">
        <v>2218</v>
      </c>
      <c r="B1158" s="144">
        <v>100</v>
      </c>
      <c r="C1158" s="145">
        <v>155.84</v>
      </c>
      <c r="D1158" s="145">
        <v>24.62</v>
      </c>
      <c r="E1158" s="145">
        <v>4.1399999999999997</v>
      </c>
      <c r="F1158" s="145">
        <v>0.74</v>
      </c>
      <c r="G1158" s="145">
        <v>0.88</v>
      </c>
      <c r="H1158" s="145">
        <v>2.15</v>
      </c>
      <c r="I1158" s="145">
        <v>1.34</v>
      </c>
      <c r="J1158" s="145">
        <v>0.19</v>
      </c>
      <c r="K1158" s="145">
        <v>68</v>
      </c>
      <c r="L1158" s="145">
        <v>3.39</v>
      </c>
      <c r="M1158" s="145">
        <v>0.14000000000000001</v>
      </c>
      <c r="N1158" s="145">
        <v>18.670000000000002</v>
      </c>
      <c r="O1158" s="145">
        <v>58.98</v>
      </c>
      <c r="P1158" s="145">
        <v>0.05</v>
      </c>
      <c r="Q1158" s="145">
        <v>293.8</v>
      </c>
      <c r="R1158" s="145">
        <v>0.55000000000000004</v>
      </c>
      <c r="S1158" s="145">
        <v>105.09</v>
      </c>
      <c r="T1158" s="145">
        <v>348.76</v>
      </c>
      <c r="U1158" s="145">
        <v>0.03</v>
      </c>
      <c r="V1158" s="145">
        <v>0.66</v>
      </c>
      <c r="W1158" s="145">
        <v>13</v>
      </c>
      <c r="X1158" s="145">
        <v>0.11</v>
      </c>
      <c r="Y1158" s="145">
        <v>0.14000000000000001</v>
      </c>
      <c r="Z1158" s="145">
        <v>0.24</v>
      </c>
      <c r="AA1158" s="145">
        <v>2.44</v>
      </c>
      <c r="AB1158" s="145" t="s">
        <v>400</v>
      </c>
      <c r="AC1158" s="145">
        <v>7.05</v>
      </c>
      <c r="AD1158" s="145">
        <v>2.5099999999999998</v>
      </c>
      <c r="AE1158" s="145">
        <v>18.07</v>
      </c>
      <c r="AF1158" s="145">
        <v>1.1000000000000001</v>
      </c>
      <c r="AG1158" s="145">
        <v>0.9</v>
      </c>
      <c r="AH1158" s="145" t="s">
        <v>400</v>
      </c>
      <c r="AI1158" s="145" t="s">
        <v>400</v>
      </c>
      <c r="AJ1158" s="145">
        <v>60.88</v>
      </c>
      <c r="AK1158" s="145">
        <v>13</v>
      </c>
      <c r="AL1158" s="145">
        <v>0.01</v>
      </c>
      <c r="AM1158" s="145" t="s">
        <v>400</v>
      </c>
    </row>
    <row r="1159" spans="1:39">
      <c r="A1159" s="143" t="s">
        <v>2219</v>
      </c>
      <c r="B1159" s="144">
        <v>100</v>
      </c>
      <c r="C1159" s="145">
        <v>145</v>
      </c>
      <c r="D1159" s="145">
        <v>1.03</v>
      </c>
      <c r="E1159" s="145">
        <v>15.32</v>
      </c>
      <c r="F1159" s="145">
        <v>2.0299999999999998</v>
      </c>
      <c r="G1159" s="145">
        <v>11.31</v>
      </c>
      <c r="H1159" s="145">
        <v>1.31</v>
      </c>
      <c r="I1159" s="145">
        <v>1.22</v>
      </c>
      <c r="J1159" s="145">
        <v>0.09</v>
      </c>
      <c r="K1159" s="145" t="s">
        <v>400</v>
      </c>
      <c r="L1159" s="145">
        <v>3.84</v>
      </c>
      <c r="M1159" s="145">
        <v>3.3</v>
      </c>
      <c r="N1159" s="145">
        <v>52</v>
      </c>
      <c r="O1159" s="145">
        <v>11</v>
      </c>
      <c r="P1159" s="145">
        <v>0.02</v>
      </c>
      <c r="Q1159" s="145">
        <v>4</v>
      </c>
      <c r="R1159" s="145">
        <v>0.49</v>
      </c>
      <c r="S1159" s="145">
        <v>1556</v>
      </c>
      <c r="T1159" s="145">
        <v>42</v>
      </c>
      <c r="U1159" s="145">
        <v>0.12</v>
      </c>
      <c r="V1159" s="145">
        <v>0.04</v>
      </c>
      <c r="W1159" s="145" t="s">
        <v>400</v>
      </c>
      <c r="X1159" s="145">
        <v>0.02</v>
      </c>
      <c r="Y1159" s="145">
        <v>0.01</v>
      </c>
      <c r="Z1159" s="145">
        <v>0.03</v>
      </c>
      <c r="AA1159" s="145">
        <v>0.24</v>
      </c>
      <c r="AB1159" s="145" t="s">
        <v>400</v>
      </c>
      <c r="AC1159" s="145">
        <v>0.24</v>
      </c>
      <c r="AD1159" s="145" t="s">
        <v>400</v>
      </c>
      <c r="AE1159" s="145">
        <v>3</v>
      </c>
      <c r="AF1159" s="145" t="s">
        <v>400</v>
      </c>
      <c r="AG1159" s="145">
        <v>3.81</v>
      </c>
      <c r="AH1159" s="145" t="s">
        <v>400</v>
      </c>
      <c r="AI1159" s="145" t="s">
        <v>400</v>
      </c>
      <c r="AJ1159" s="145">
        <v>0.9</v>
      </c>
      <c r="AK1159" s="145">
        <v>19.670000000000002</v>
      </c>
      <c r="AL1159" s="145" t="s">
        <v>400</v>
      </c>
      <c r="AM1159" s="145" t="s">
        <v>400</v>
      </c>
    </row>
    <row r="1160" spans="1:39">
      <c r="A1160" s="143" t="s">
        <v>2220</v>
      </c>
      <c r="B1160" s="144">
        <v>100</v>
      </c>
      <c r="C1160" s="145">
        <v>69</v>
      </c>
      <c r="D1160" s="145">
        <v>4.42</v>
      </c>
      <c r="E1160" s="145">
        <v>0.35</v>
      </c>
      <c r="F1160" s="145">
        <v>0.06</v>
      </c>
      <c r="G1160" s="145">
        <v>0.03</v>
      </c>
      <c r="H1160" s="145">
        <v>0.16</v>
      </c>
      <c r="I1160" s="145">
        <v>0.13</v>
      </c>
      <c r="J1160" s="145">
        <v>0.03</v>
      </c>
      <c r="K1160" s="145" t="s">
        <v>400</v>
      </c>
      <c r="L1160" s="145">
        <v>12.58</v>
      </c>
      <c r="M1160" s="145">
        <v>4.0999999999999996</v>
      </c>
      <c r="N1160" s="145">
        <v>20</v>
      </c>
      <c r="O1160" s="145">
        <v>17</v>
      </c>
      <c r="P1160" s="145">
        <v>0.3</v>
      </c>
      <c r="Q1160" s="145">
        <v>67</v>
      </c>
      <c r="R1160" s="145">
        <v>0.95</v>
      </c>
      <c r="S1160" s="145">
        <v>252</v>
      </c>
      <c r="T1160" s="145">
        <v>173</v>
      </c>
      <c r="U1160" s="145">
        <v>0.08</v>
      </c>
      <c r="V1160" s="145">
        <v>0.71</v>
      </c>
      <c r="W1160" s="145" t="s">
        <v>400</v>
      </c>
      <c r="X1160" s="145">
        <v>0.12</v>
      </c>
      <c r="Y1160" s="145">
        <v>0.08</v>
      </c>
      <c r="Z1160" s="145">
        <v>0.06</v>
      </c>
      <c r="AA1160" s="145">
        <v>0.73</v>
      </c>
      <c r="AB1160" s="145">
        <v>9.6</v>
      </c>
      <c r="AC1160" s="145">
        <v>1.23</v>
      </c>
      <c r="AD1160" s="145" t="s">
        <v>400</v>
      </c>
      <c r="AE1160" s="145">
        <v>44</v>
      </c>
      <c r="AF1160" s="145" t="s">
        <v>400</v>
      </c>
      <c r="AG1160" s="145">
        <v>0.03</v>
      </c>
      <c r="AH1160" s="145" t="s">
        <v>400</v>
      </c>
      <c r="AI1160" s="145" t="s">
        <v>400</v>
      </c>
      <c r="AJ1160" s="145">
        <v>1.7</v>
      </c>
      <c r="AK1160" s="145">
        <v>26.67</v>
      </c>
      <c r="AL1160" s="145">
        <v>4.16</v>
      </c>
      <c r="AM1160" s="145" t="s">
        <v>400</v>
      </c>
    </row>
    <row r="1161" spans="1:39">
      <c r="A1161" s="143" t="s">
        <v>2221</v>
      </c>
      <c r="B1161" s="144">
        <v>100</v>
      </c>
      <c r="C1161" s="145">
        <v>69</v>
      </c>
      <c r="D1161" s="145">
        <v>4.42</v>
      </c>
      <c r="E1161" s="145">
        <v>0.35</v>
      </c>
      <c r="F1161" s="145">
        <v>0.06</v>
      </c>
      <c r="G1161" s="145">
        <v>0.03</v>
      </c>
      <c r="H1161" s="145">
        <v>0.16</v>
      </c>
      <c r="I1161" s="145">
        <v>0.13</v>
      </c>
      <c r="J1161" s="145">
        <v>0.03</v>
      </c>
      <c r="K1161" s="145" t="s">
        <v>400</v>
      </c>
      <c r="L1161" s="145">
        <v>12.58</v>
      </c>
      <c r="M1161" s="145">
        <v>4.0999999999999996</v>
      </c>
      <c r="N1161" s="145">
        <v>20</v>
      </c>
      <c r="O1161" s="145">
        <v>17</v>
      </c>
      <c r="P1161" s="145">
        <v>0.3</v>
      </c>
      <c r="Q1161" s="145">
        <v>67</v>
      </c>
      <c r="R1161" s="145">
        <v>0.95</v>
      </c>
      <c r="S1161" s="145">
        <v>252</v>
      </c>
      <c r="T1161" s="145">
        <v>173</v>
      </c>
      <c r="U1161" s="145">
        <v>0.08</v>
      </c>
      <c r="V1161" s="145">
        <v>0.71</v>
      </c>
      <c r="W1161" s="145" t="s">
        <v>400</v>
      </c>
      <c r="X1161" s="145">
        <v>0.12</v>
      </c>
      <c r="Y1161" s="145">
        <v>0.08</v>
      </c>
      <c r="Z1161" s="145">
        <v>0.06</v>
      </c>
      <c r="AA1161" s="145">
        <v>0.73</v>
      </c>
      <c r="AB1161" s="145">
        <v>9.6</v>
      </c>
      <c r="AC1161" s="145">
        <v>1.23</v>
      </c>
      <c r="AD1161" s="145" t="s">
        <v>400</v>
      </c>
      <c r="AE1161" s="145">
        <v>44</v>
      </c>
      <c r="AF1161" s="145" t="s">
        <v>400</v>
      </c>
      <c r="AG1161" s="145">
        <v>0.03</v>
      </c>
      <c r="AH1161" s="145" t="s">
        <v>400</v>
      </c>
      <c r="AI1161" s="145" t="s">
        <v>400</v>
      </c>
      <c r="AJ1161" s="145">
        <v>1.7</v>
      </c>
      <c r="AK1161" s="145">
        <v>26.67</v>
      </c>
      <c r="AL1161" s="145">
        <v>4.16</v>
      </c>
      <c r="AM1161" s="145" t="s">
        <v>400</v>
      </c>
    </row>
    <row r="1162" spans="1:39">
      <c r="A1162" s="143" t="s">
        <v>2222</v>
      </c>
      <c r="B1162" s="144">
        <v>100</v>
      </c>
      <c r="C1162" s="145">
        <v>81</v>
      </c>
      <c r="D1162" s="145">
        <v>2.64</v>
      </c>
      <c r="E1162" s="145">
        <v>0.93</v>
      </c>
      <c r="F1162" s="145">
        <v>0.17</v>
      </c>
      <c r="G1162" s="145">
        <v>0.23</v>
      </c>
      <c r="H1162" s="145">
        <v>0.45</v>
      </c>
      <c r="I1162" s="145">
        <v>0.41</v>
      </c>
      <c r="J1162" s="145">
        <v>0.02</v>
      </c>
      <c r="K1162" s="145" t="s">
        <v>400</v>
      </c>
      <c r="L1162" s="145">
        <v>18.8</v>
      </c>
      <c r="M1162" s="145">
        <v>1.9</v>
      </c>
      <c r="N1162" s="145">
        <v>5</v>
      </c>
      <c r="O1162" s="145">
        <v>15</v>
      </c>
      <c r="P1162" s="145">
        <v>0.14000000000000001</v>
      </c>
      <c r="Q1162" s="145">
        <v>48</v>
      </c>
      <c r="R1162" s="145">
        <v>0.72</v>
      </c>
      <c r="S1162" s="145">
        <v>298</v>
      </c>
      <c r="T1162" s="145">
        <v>135</v>
      </c>
      <c r="U1162" s="145">
        <v>0.05</v>
      </c>
      <c r="V1162" s="145">
        <v>0.37</v>
      </c>
      <c r="W1162" s="145" t="s">
        <v>400</v>
      </c>
      <c r="X1162" s="145">
        <v>0.02</v>
      </c>
      <c r="Y1162" s="145">
        <v>0.05</v>
      </c>
      <c r="Z1162" s="145">
        <v>7.0000000000000007E-2</v>
      </c>
      <c r="AA1162" s="145">
        <v>0.38</v>
      </c>
      <c r="AB1162" s="145">
        <v>0.7</v>
      </c>
      <c r="AC1162" s="145">
        <v>0.79</v>
      </c>
      <c r="AD1162" s="145" t="s">
        <v>400</v>
      </c>
      <c r="AE1162" s="145">
        <v>43</v>
      </c>
      <c r="AF1162" s="145" t="s">
        <v>400</v>
      </c>
      <c r="AG1162" s="145">
        <v>7.0000000000000007E-2</v>
      </c>
      <c r="AH1162" s="145" t="s">
        <v>400</v>
      </c>
      <c r="AI1162" s="145" t="s">
        <v>400</v>
      </c>
      <c r="AJ1162" s="145">
        <v>0.7</v>
      </c>
      <c r="AK1162" s="145">
        <v>2.29</v>
      </c>
      <c r="AL1162" s="145">
        <v>3.04</v>
      </c>
      <c r="AM1162" s="145" t="s">
        <v>400</v>
      </c>
    </row>
    <row r="1163" spans="1:39">
      <c r="A1163" s="143" t="s">
        <v>2223</v>
      </c>
      <c r="B1163" s="144">
        <v>100</v>
      </c>
      <c r="C1163" s="145">
        <v>28</v>
      </c>
      <c r="D1163" s="145">
        <v>2.52</v>
      </c>
      <c r="E1163" s="145">
        <v>0.62</v>
      </c>
      <c r="F1163" s="145">
        <v>0.13</v>
      </c>
      <c r="G1163" s="145">
        <v>0.1</v>
      </c>
      <c r="H1163" s="145">
        <v>0.2</v>
      </c>
      <c r="I1163" s="145">
        <v>0.18</v>
      </c>
      <c r="J1163" s="145">
        <v>0.02</v>
      </c>
      <c r="K1163" s="145" t="s">
        <v>400</v>
      </c>
      <c r="L1163" s="145">
        <v>4.62</v>
      </c>
      <c r="M1163" s="145">
        <v>2.4</v>
      </c>
      <c r="N1163" s="145">
        <v>58</v>
      </c>
      <c r="O1163" s="145">
        <v>38</v>
      </c>
      <c r="P1163" s="145">
        <v>1.39</v>
      </c>
      <c r="Q1163" s="145">
        <v>65</v>
      </c>
      <c r="R1163" s="145">
        <v>3.13</v>
      </c>
      <c r="S1163" s="145">
        <v>426</v>
      </c>
      <c r="T1163" s="145">
        <v>177</v>
      </c>
      <c r="U1163" s="145">
        <v>0.13</v>
      </c>
      <c r="V1163" s="145">
        <v>1.1499999999999999</v>
      </c>
      <c r="W1163" s="145" t="s">
        <v>400</v>
      </c>
      <c r="X1163" s="145">
        <v>0.01</v>
      </c>
      <c r="Y1163" s="145">
        <v>0.06</v>
      </c>
      <c r="Z1163" s="145">
        <v>0.02</v>
      </c>
      <c r="AA1163" s="145">
        <v>0.44</v>
      </c>
      <c r="AB1163" s="145">
        <v>7.9</v>
      </c>
      <c r="AC1163" s="145">
        <v>0.82</v>
      </c>
      <c r="AD1163" s="145" t="s">
        <v>400</v>
      </c>
      <c r="AE1163" s="145">
        <v>39</v>
      </c>
      <c r="AF1163" s="145" t="s">
        <v>400</v>
      </c>
      <c r="AG1163" s="145">
        <v>0.5</v>
      </c>
      <c r="AH1163" s="145" t="s">
        <v>400</v>
      </c>
      <c r="AI1163" s="145" t="s">
        <v>400</v>
      </c>
      <c r="AJ1163" s="145">
        <v>0.7</v>
      </c>
      <c r="AK1163" s="145" t="s">
        <v>400</v>
      </c>
      <c r="AL1163" s="145" t="s">
        <v>400</v>
      </c>
      <c r="AM1163" s="145" t="s">
        <v>400</v>
      </c>
    </row>
    <row r="1164" spans="1:39">
      <c r="A1164" s="143" t="s">
        <v>2224</v>
      </c>
      <c r="B1164" s="144">
        <v>100</v>
      </c>
      <c r="C1164" s="145">
        <v>50.735999999999997</v>
      </c>
      <c r="D1164" s="145">
        <v>1.87</v>
      </c>
      <c r="E1164" s="145">
        <v>3.2010000000000001</v>
      </c>
      <c r="F1164" s="145">
        <v>0.48699999999999999</v>
      </c>
      <c r="G1164" s="145">
        <v>0.66800000000000004</v>
      </c>
      <c r="H1164" s="145">
        <v>1.798</v>
      </c>
      <c r="I1164" s="145">
        <v>1.599</v>
      </c>
      <c r="J1164" s="145">
        <v>0.19900000000000001</v>
      </c>
      <c r="K1164" s="145" t="s">
        <v>400</v>
      </c>
      <c r="L1164" s="145">
        <v>5.09</v>
      </c>
      <c r="M1164" s="145">
        <v>2.4</v>
      </c>
      <c r="N1164" s="145">
        <v>11</v>
      </c>
      <c r="O1164" s="145">
        <v>15</v>
      </c>
      <c r="P1164" s="145">
        <v>8.5999999999999993E-2</v>
      </c>
      <c r="Q1164" s="145">
        <v>66</v>
      </c>
      <c r="R1164" s="145">
        <v>0.79100000000000004</v>
      </c>
      <c r="S1164" s="145">
        <v>425</v>
      </c>
      <c r="T1164" s="145">
        <v>129</v>
      </c>
      <c r="U1164" s="145">
        <v>0.23499999999999999</v>
      </c>
      <c r="V1164" s="145">
        <v>0.72</v>
      </c>
      <c r="W1164" s="145" t="s">
        <v>400</v>
      </c>
      <c r="X1164" s="145">
        <v>8.5000000000000006E-2</v>
      </c>
      <c r="Y1164" s="145">
        <v>2.1000000000000001E-2</v>
      </c>
      <c r="Z1164" s="146">
        <v>6.0999999999999999E-2</v>
      </c>
      <c r="AA1164" s="145">
        <v>1.593</v>
      </c>
      <c r="AB1164" s="145" t="s">
        <v>400</v>
      </c>
      <c r="AC1164" s="145">
        <v>1.9430000000000001</v>
      </c>
      <c r="AD1164" s="145" t="s">
        <v>400</v>
      </c>
      <c r="AE1164" s="145">
        <v>12</v>
      </c>
      <c r="AF1164" s="145">
        <v>0.52500000000000002</v>
      </c>
      <c r="AG1164" s="145">
        <v>0.248</v>
      </c>
      <c r="AH1164" s="145">
        <v>1.6E-2</v>
      </c>
      <c r="AI1164" s="145" t="s">
        <v>400</v>
      </c>
      <c r="AJ1164" s="145">
        <v>5.4340000000000002</v>
      </c>
      <c r="AK1164" s="145" t="s">
        <v>400</v>
      </c>
      <c r="AL1164" s="145">
        <v>1.44</v>
      </c>
      <c r="AM1164" s="145" t="s">
        <v>400</v>
      </c>
    </row>
    <row r="1165" spans="1:39">
      <c r="A1165" s="143" t="s">
        <v>2225</v>
      </c>
      <c r="B1165" s="144">
        <v>100</v>
      </c>
      <c r="C1165" s="145">
        <v>50.735999999999997</v>
      </c>
      <c r="D1165" s="145">
        <v>1.87</v>
      </c>
      <c r="E1165" s="145">
        <v>3.2010000000000001</v>
      </c>
      <c r="F1165" s="145">
        <v>0.48699999999999999</v>
      </c>
      <c r="G1165" s="145">
        <v>0.66800000000000004</v>
      </c>
      <c r="H1165" s="145">
        <v>1.798</v>
      </c>
      <c r="I1165" s="145">
        <v>1.599</v>
      </c>
      <c r="J1165" s="145">
        <v>0.19900000000000001</v>
      </c>
      <c r="K1165" s="145" t="s">
        <v>400</v>
      </c>
      <c r="L1165" s="145">
        <v>5.09</v>
      </c>
      <c r="M1165" s="145">
        <v>2.4</v>
      </c>
      <c r="N1165" s="145">
        <v>11</v>
      </c>
      <c r="O1165" s="145">
        <v>15</v>
      </c>
      <c r="P1165" s="145">
        <v>8.5999999999999993E-2</v>
      </c>
      <c r="Q1165" s="145">
        <v>66</v>
      </c>
      <c r="R1165" s="145">
        <v>0.79100000000000004</v>
      </c>
      <c r="S1165" s="145">
        <v>425</v>
      </c>
      <c r="T1165" s="145">
        <v>129</v>
      </c>
      <c r="U1165" s="145">
        <v>0.23499999999999999</v>
      </c>
      <c r="V1165" s="145">
        <v>0.72</v>
      </c>
      <c r="W1165" s="145" t="s">
        <v>400</v>
      </c>
      <c r="X1165" s="145">
        <v>8.5000000000000006E-2</v>
      </c>
      <c r="Y1165" s="145">
        <v>2.1000000000000001E-2</v>
      </c>
      <c r="Z1165" s="146">
        <v>6.0999999999999999E-2</v>
      </c>
      <c r="AA1165" s="145">
        <v>1.593</v>
      </c>
      <c r="AB1165" s="145" t="s">
        <v>400</v>
      </c>
      <c r="AC1165" s="145">
        <v>1.9430000000000001</v>
      </c>
      <c r="AD1165" s="145" t="s">
        <v>400</v>
      </c>
      <c r="AE1165" s="145">
        <v>12</v>
      </c>
      <c r="AF1165" s="145">
        <v>0.52500000000000002</v>
      </c>
      <c r="AG1165" s="145">
        <v>0.248</v>
      </c>
      <c r="AH1165" s="145">
        <v>1.6E-2</v>
      </c>
      <c r="AI1165" s="145" t="s">
        <v>400</v>
      </c>
      <c r="AJ1165" s="145">
        <v>5.4340000000000002</v>
      </c>
      <c r="AK1165" s="145" t="s">
        <v>400</v>
      </c>
      <c r="AL1165" s="145">
        <v>1.44</v>
      </c>
      <c r="AM1165" s="145" t="s">
        <v>400</v>
      </c>
    </row>
    <row r="1166" spans="1:39">
      <c r="A1166" s="143" t="s">
        <v>2226</v>
      </c>
      <c r="B1166" s="144">
        <v>100</v>
      </c>
      <c r="C1166" s="145">
        <v>19</v>
      </c>
      <c r="D1166" s="145">
        <v>2.14</v>
      </c>
      <c r="E1166" s="145">
        <v>0.65</v>
      </c>
      <c r="F1166" s="145">
        <v>0.14699999999999999</v>
      </c>
      <c r="G1166" s="145">
        <v>2.1000000000000001E-2</v>
      </c>
      <c r="H1166" s="145">
        <v>0.28399999999999997</v>
      </c>
      <c r="I1166" s="145">
        <v>0.26900000000000002</v>
      </c>
      <c r="J1166" s="145">
        <v>1.4999999999999999E-2</v>
      </c>
      <c r="K1166" s="145" t="s">
        <v>400</v>
      </c>
      <c r="L1166" s="145">
        <v>2.46</v>
      </c>
      <c r="M1166" s="145">
        <v>1.6</v>
      </c>
      <c r="N1166" s="145">
        <v>16</v>
      </c>
      <c r="O1166" s="145">
        <v>10</v>
      </c>
      <c r="P1166" s="145">
        <v>0.17</v>
      </c>
      <c r="Q1166" s="145">
        <v>43</v>
      </c>
      <c r="R1166" s="145">
        <v>1.83</v>
      </c>
      <c r="S1166" s="145">
        <v>287</v>
      </c>
      <c r="T1166" s="145">
        <v>172</v>
      </c>
      <c r="U1166" s="145">
        <v>9.6000000000000002E-2</v>
      </c>
      <c r="V1166" s="145">
        <v>0.4</v>
      </c>
      <c r="W1166" s="145" t="s">
        <v>400</v>
      </c>
      <c r="X1166" s="145">
        <v>6.0999999999999999E-2</v>
      </c>
      <c r="Y1166" s="145">
        <v>0.1</v>
      </c>
      <c r="Z1166" s="146">
        <v>0.11</v>
      </c>
      <c r="AA1166" s="145">
        <v>0.95399999999999996</v>
      </c>
      <c r="AB1166" s="145">
        <v>18.399999999999999</v>
      </c>
      <c r="AC1166" s="145">
        <v>1.304</v>
      </c>
      <c r="AD1166" s="145" t="s">
        <v>400</v>
      </c>
      <c r="AE1166" s="145">
        <v>96</v>
      </c>
      <c r="AF1166" s="145" t="s">
        <v>400</v>
      </c>
      <c r="AG1166" s="145">
        <v>1.22</v>
      </c>
      <c r="AH1166" s="145" t="s">
        <v>400</v>
      </c>
      <c r="AI1166" s="146" t="s">
        <v>400</v>
      </c>
      <c r="AJ1166" s="145">
        <v>1.7</v>
      </c>
      <c r="AK1166" s="145">
        <v>41.082999999999998</v>
      </c>
      <c r="AL1166" s="145">
        <v>1.1000000000000001</v>
      </c>
      <c r="AM1166" s="145" t="s">
        <v>400</v>
      </c>
    </row>
    <row r="1167" spans="1:39">
      <c r="A1167" s="143" t="s">
        <v>2227</v>
      </c>
      <c r="B1167" s="144">
        <v>100</v>
      </c>
      <c r="C1167" s="145">
        <v>19</v>
      </c>
      <c r="D1167" s="145">
        <v>0.91</v>
      </c>
      <c r="E1167" s="145">
        <v>0.14000000000000001</v>
      </c>
      <c r="F1167" s="145">
        <v>3.4000000000000002E-2</v>
      </c>
      <c r="G1167" s="145">
        <v>1.2999999999999999E-2</v>
      </c>
      <c r="H1167" s="145">
        <v>6.7000000000000004E-2</v>
      </c>
      <c r="I1167" s="145">
        <v>3.4000000000000002E-2</v>
      </c>
      <c r="J1167" s="145">
        <v>3.3000000000000002E-2</v>
      </c>
      <c r="K1167" s="145" t="s">
        <v>400</v>
      </c>
      <c r="L1167" s="145">
        <v>4.28</v>
      </c>
      <c r="M1167" s="145">
        <v>2.9</v>
      </c>
      <c r="N1167" s="145">
        <v>30</v>
      </c>
      <c r="O1167" s="145">
        <v>13</v>
      </c>
      <c r="P1167" s="145">
        <v>0.151</v>
      </c>
      <c r="Q1167" s="145">
        <v>20</v>
      </c>
      <c r="R1167" s="145">
        <v>1.47</v>
      </c>
      <c r="S1167" s="145">
        <v>661</v>
      </c>
      <c r="T1167" s="145">
        <v>170</v>
      </c>
      <c r="U1167" s="145">
        <v>9.6000000000000002E-2</v>
      </c>
      <c r="V1167" s="145">
        <v>0.19</v>
      </c>
      <c r="W1167" s="145" t="s">
        <v>400</v>
      </c>
      <c r="X1167" s="145">
        <v>2.1000000000000001E-2</v>
      </c>
      <c r="Y1167" s="145">
        <v>2.1999999999999999E-2</v>
      </c>
      <c r="Z1167" s="146">
        <v>0.13</v>
      </c>
      <c r="AA1167" s="145">
        <v>0.14299999999999999</v>
      </c>
      <c r="AB1167" s="145">
        <v>14.7</v>
      </c>
      <c r="AC1167" s="145">
        <v>0.27600000000000002</v>
      </c>
      <c r="AD1167" s="145" t="s">
        <v>400</v>
      </c>
      <c r="AE1167" s="145">
        <v>24</v>
      </c>
      <c r="AF1167" s="145" t="s">
        <v>400</v>
      </c>
      <c r="AG1167" s="145">
        <v>0.14000000000000001</v>
      </c>
      <c r="AH1167" s="145" t="s">
        <v>400</v>
      </c>
      <c r="AI1167" s="145" t="s">
        <v>400</v>
      </c>
      <c r="AJ1167" s="145">
        <v>0.6</v>
      </c>
      <c r="AK1167" s="145">
        <v>0.875</v>
      </c>
      <c r="AL1167" s="145">
        <v>0.18</v>
      </c>
      <c r="AM1167" s="145" t="s">
        <v>400</v>
      </c>
    </row>
    <row r="1168" spans="1:39">
      <c r="A1168" s="143" t="s">
        <v>2228</v>
      </c>
      <c r="B1168" s="144">
        <v>100</v>
      </c>
      <c r="C1168" s="145">
        <v>19</v>
      </c>
      <c r="D1168" s="145">
        <v>0.91</v>
      </c>
      <c r="E1168" s="145">
        <v>0.14000000000000001</v>
      </c>
      <c r="F1168" s="145">
        <v>3.4000000000000002E-2</v>
      </c>
      <c r="G1168" s="145">
        <v>1.2999999999999999E-2</v>
      </c>
      <c r="H1168" s="145">
        <v>6.7000000000000004E-2</v>
      </c>
      <c r="I1168" s="145">
        <v>3.4000000000000002E-2</v>
      </c>
      <c r="J1168" s="145">
        <v>3.3000000000000002E-2</v>
      </c>
      <c r="K1168" s="145" t="s">
        <v>400</v>
      </c>
      <c r="L1168" s="145">
        <v>4.28</v>
      </c>
      <c r="M1168" s="145">
        <v>2.9</v>
      </c>
      <c r="N1168" s="145">
        <v>30</v>
      </c>
      <c r="O1168" s="145">
        <v>13</v>
      </c>
      <c r="P1168" s="145">
        <v>0.151</v>
      </c>
      <c r="Q1168" s="145">
        <v>20</v>
      </c>
      <c r="R1168" s="145">
        <v>1.47</v>
      </c>
      <c r="S1168" s="145">
        <v>661</v>
      </c>
      <c r="T1168" s="145">
        <v>170</v>
      </c>
      <c r="U1168" s="145">
        <v>9.6000000000000002E-2</v>
      </c>
      <c r="V1168" s="145">
        <v>0.19</v>
      </c>
      <c r="W1168" s="145" t="s">
        <v>400</v>
      </c>
      <c r="X1168" s="145">
        <v>2.1000000000000001E-2</v>
      </c>
      <c r="Y1168" s="145">
        <v>2.1999999999999999E-2</v>
      </c>
      <c r="Z1168" s="146">
        <v>0.13</v>
      </c>
      <c r="AA1168" s="145">
        <v>0.14299999999999999</v>
      </c>
      <c r="AB1168" s="145">
        <v>14.7</v>
      </c>
      <c r="AC1168" s="145">
        <v>0.27600000000000002</v>
      </c>
      <c r="AD1168" s="145" t="s">
        <v>400</v>
      </c>
      <c r="AE1168" s="145">
        <v>24</v>
      </c>
      <c r="AF1168" s="145" t="s">
        <v>400</v>
      </c>
      <c r="AG1168" s="145">
        <v>0.14000000000000001</v>
      </c>
      <c r="AH1168" s="145" t="s">
        <v>400</v>
      </c>
      <c r="AI1168" s="145" t="s">
        <v>400</v>
      </c>
      <c r="AJ1168" s="145">
        <v>0.6</v>
      </c>
      <c r="AK1168" s="145">
        <v>0.875</v>
      </c>
      <c r="AL1168" s="145">
        <v>0.18</v>
      </c>
      <c r="AM1168" s="145" t="s">
        <v>400</v>
      </c>
    </row>
    <row r="1169" spans="1:39">
      <c r="A1169" s="143" t="s">
        <v>2229</v>
      </c>
      <c r="B1169" s="144">
        <v>100</v>
      </c>
      <c r="C1169" s="145">
        <v>47</v>
      </c>
      <c r="D1169" s="145">
        <v>2.5299999999999998</v>
      </c>
      <c r="E1169" s="145">
        <v>0.26</v>
      </c>
      <c r="F1169" s="145">
        <v>0.05</v>
      </c>
      <c r="G1169" s="145">
        <v>0.01</v>
      </c>
      <c r="H1169" s="145">
        <v>0.12</v>
      </c>
      <c r="I1169" s="145">
        <v>0.1</v>
      </c>
      <c r="J1169" s="145">
        <v>0.01</v>
      </c>
      <c r="K1169" s="145" t="s">
        <v>400</v>
      </c>
      <c r="L1169" s="145">
        <v>9.06</v>
      </c>
      <c r="M1169" s="145">
        <v>2.8</v>
      </c>
      <c r="N1169" s="145">
        <v>22.646000000000001</v>
      </c>
      <c r="O1169" s="145">
        <v>12.506</v>
      </c>
      <c r="P1169" s="145">
        <v>0.371</v>
      </c>
      <c r="Q1169" s="145">
        <v>45.5</v>
      </c>
      <c r="R1169" s="145">
        <v>0.79200000000000004</v>
      </c>
      <c r="S1169" s="145">
        <v>482.77800000000002</v>
      </c>
      <c r="T1169" s="145">
        <v>176.04900000000001</v>
      </c>
      <c r="U1169" s="145">
        <v>0.09</v>
      </c>
      <c r="V1169" s="145">
        <v>0.48099999999999998</v>
      </c>
      <c r="W1169" s="145" t="s">
        <v>400</v>
      </c>
      <c r="X1169" s="145">
        <v>7.0000000000000007E-2</v>
      </c>
      <c r="Y1169" s="145">
        <v>0.05</v>
      </c>
      <c r="Z1169" s="146">
        <v>0.08</v>
      </c>
      <c r="AA1169" s="145">
        <v>0.63</v>
      </c>
      <c r="AB1169" s="145">
        <v>6.15</v>
      </c>
      <c r="AC1169" s="145">
        <v>0.79700000000000004</v>
      </c>
      <c r="AD1169" s="145" t="s">
        <v>400</v>
      </c>
      <c r="AE1169" s="145">
        <v>26.75</v>
      </c>
      <c r="AF1169" s="145" t="s">
        <v>400</v>
      </c>
      <c r="AG1169" s="145">
        <v>0.38500000000000001</v>
      </c>
      <c r="AH1169" s="145" t="s">
        <v>400</v>
      </c>
      <c r="AI1169" s="145" t="s">
        <v>400</v>
      </c>
      <c r="AJ1169" s="145">
        <v>1.0509999999999999</v>
      </c>
      <c r="AK1169" s="145">
        <v>292.66699999999997</v>
      </c>
      <c r="AL1169" s="145">
        <v>3.2</v>
      </c>
      <c r="AM1169" s="145" t="s">
        <v>400</v>
      </c>
    </row>
    <row r="1170" spans="1:39">
      <c r="A1170" s="143" t="s">
        <v>2230</v>
      </c>
      <c r="B1170" s="144">
        <v>100</v>
      </c>
      <c r="C1170" s="145">
        <v>46.311999999999998</v>
      </c>
      <c r="D1170" s="145">
        <v>0.82099999999999995</v>
      </c>
      <c r="E1170" s="145">
        <v>2.4710000000000001</v>
      </c>
      <c r="F1170" s="145">
        <v>0.79300000000000004</v>
      </c>
      <c r="G1170" s="145">
        <v>0.84</v>
      </c>
      <c r="H1170" s="145">
        <v>0.68899999999999995</v>
      </c>
      <c r="I1170" s="145">
        <v>0.65700000000000003</v>
      </c>
      <c r="J1170" s="145">
        <v>2.9000000000000001E-2</v>
      </c>
      <c r="K1170" s="145">
        <v>5.95</v>
      </c>
      <c r="L1170" s="145">
        <v>5.3410000000000002</v>
      </c>
      <c r="M1170" s="145">
        <v>0.20300000000000001</v>
      </c>
      <c r="N1170" s="145">
        <v>59.194000000000003</v>
      </c>
      <c r="O1170" s="145">
        <v>7.7649999999999997</v>
      </c>
      <c r="P1170" s="145">
        <v>3.7999999999999999E-2</v>
      </c>
      <c r="Q1170" s="145">
        <v>43.218000000000004</v>
      </c>
      <c r="R1170" s="145">
        <v>0.16200000000000001</v>
      </c>
      <c r="S1170" s="145">
        <v>374.68799999999999</v>
      </c>
      <c r="T1170" s="145">
        <v>89.414000000000001</v>
      </c>
      <c r="U1170" s="145">
        <v>1.9E-2</v>
      </c>
      <c r="V1170" s="145">
        <v>0.224</v>
      </c>
      <c r="W1170" s="145">
        <v>14.682</v>
      </c>
      <c r="X1170" s="145">
        <v>3.7999999999999999E-2</v>
      </c>
      <c r="Y1170" s="145">
        <v>6.7000000000000004E-2</v>
      </c>
      <c r="Z1170" s="146">
        <v>4.3999999999999997E-2</v>
      </c>
      <c r="AA1170" s="145">
        <v>0.14599999999999999</v>
      </c>
      <c r="AB1170" s="145">
        <v>1.2549999999999999</v>
      </c>
      <c r="AC1170" s="145">
        <v>0.36</v>
      </c>
      <c r="AD1170" s="145">
        <v>7.4999999999999997E-2</v>
      </c>
      <c r="AE1170" s="145">
        <v>7.51</v>
      </c>
      <c r="AF1170" s="145">
        <v>2.4E-2</v>
      </c>
      <c r="AG1170" s="145">
        <v>0.245</v>
      </c>
      <c r="AH1170" s="145">
        <v>0.29399999999999998</v>
      </c>
      <c r="AI1170" s="145" t="s">
        <v>400</v>
      </c>
      <c r="AJ1170" s="145">
        <v>1.8879999999999999</v>
      </c>
      <c r="AK1170" s="145">
        <v>15.167</v>
      </c>
      <c r="AL1170" s="145">
        <v>2.669</v>
      </c>
      <c r="AM1170" s="145" t="s">
        <v>400</v>
      </c>
    </row>
    <row r="1171" spans="1:39">
      <c r="A1171" s="143" t="s">
        <v>2231</v>
      </c>
      <c r="B1171" s="144">
        <v>100</v>
      </c>
      <c r="C1171" s="145">
        <v>10.548</v>
      </c>
      <c r="D1171" s="145">
        <v>0.48399999999999999</v>
      </c>
      <c r="E1171" s="145">
        <v>2.3E-2</v>
      </c>
      <c r="F1171" s="145">
        <v>4.0000000000000001E-3</v>
      </c>
      <c r="G1171" s="145">
        <v>2E-3</v>
      </c>
      <c r="H1171" s="145">
        <v>0.01</v>
      </c>
      <c r="I1171" s="145">
        <v>8.0000000000000002E-3</v>
      </c>
      <c r="J1171" s="145">
        <v>2E-3</v>
      </c>
      <c r="K1171" s="145" t="s">
        <v>400</v>
      </c>
      <c r="L1171" s="145">
        <v>2.1520000000000001</v>
      </c>
      <c r="M1171" s="145">
        <v>0.22500000000000001</v>
      </c>
      <c r="N1171" s="145">
        <v>6.5190000000000001</v>
      </c>
      <c r="O1171" s="145">
        <v>3.0259999999999998</v>
      </c>
      <c r="P1171" s="145">
        <v>2.5999999999999999E-2</v>
      </c>
      <c r="Q1171" s="145">
        <v>6.2960000000000003</v>
      </c>
      <c r="R1171" s="145">
        <v>6.5000000000000002E-2</v>
      </c>
      <c r="S1171" s="145">
        <v>289.56</v>
      </c>
      <c r="T1171" s="145">
        <v>22.675000000000001</v>
      </c>
      <c r="U1171" s="145">
        <v>1.6E-2</v>
      </c>
      <c r="V1171" s="145">
        <v>4.5999999999999999E-2</v>
      </c>
      <c r="W1171" s="145" t="s">
        <v>400</v>
      </c>
      <c r="X1171" s="145">
        <v>0.01</v>
      </c>
      <c r="Y1171" s="145">
        <v>5.0000000000000001E-3</v>
      </c>
      <c r="Z1171" s="146">
        <v>0.02</v>
      </c>
      <c r="AA1171" s="145">
        <v>7.6999999999999999E-2</v>
      </c>
      <c r="AB1171" s="145">
        <v>1.585</v>
      </c>
      <c r="AC1171" s="145">
        <v>0.17100000000000001</v>
      </c>
      <c r="AD1171" s="145" t="s">
        <v>400</v>
      </c>
      <c r="AE1171" s="145">
        <v>2.379</v>
      </c>
      <c r="AF1171" s="145" t="s">
        <v>400</v>
      </c>
      <c r="AG1171" s="145">
        <v>2.5999999999999999E-2</v>
      </c>
      <c r="AH1171" s="145" t="s">
        <v>400</v>
      </c>
      <c r="AI1171" s="146" t="s">
        <v>400</v>
      </c>
      <c r="AJ1171" s="145">
        <v>0.43099999999999999</v>
      </c>
      <c r="AK1171" s="145">
        <v>14.019</v>
      </c>
      <c r="AL1171" s="145">
        <v>0.36499999999999999</v>
      </c>
      <c r="AM1171" s="145" t="s">
        <v>400</v>
      </c>
    </row>
    <row r="1172" spans="1:39">
      <c r="A1172" s="143" t="s">
        <v>2232</v>
      </c>
      <c r="B1172" s="144">
        <v>100</v>
      </c>
      <c r="C1172" s="145">
        <v>527</v>
      </c>
      <c r="D1172" s="145">
        <v>8.3800000000000008</v>
      </c>
      <c r="E1172" s="145">
        <v>30.76</v>
      </c>
      <c r="F1172" s="145">
        <v>4.3840000000000003</v>
      </c>
      <c r="G1172" s="145">
        <v>7.6890000000000001</v>
      </c>
      <c r="H1172" s="145">
        <v>17.331</v>
      </c>
      <c r="I1172" s="145">
        <v>15.353999999999999</v>
      </c>
      <c r="J1172" s="145">
        <v>1.976</v>
      </c>
      <c r="K1172" s="145" t="s">
        <v>400</v>
      </c>
      <c r="L1172" s="145">
        <v>57.54</v>
      </c>
      <c r="M1172" s="145">
        <v>3.9</v>
      </c>
      <c r="N1172" s="145">
        <v>20</v>
      </c>
      <c r="O1172" s="145">
        <v>52</v>
      </c>
      <c r="P1172" s="145">
        <v>1.357</v>
      </c>
      <c r="Q1172" s="145">
        <v>161</v>
      </c>
      <c r="R1172" s="145">
        <v>4.7300000000000004</v>
      </c>
      <c r="S1172" s="145">
        <v>439</v>
      </c>
      <c r="T1172" s="145">
        <v>120</v>
      </c>
      <c r="U1172" s="145">
        <v>0.16700000000000001</v>
      </c>
      <c r="V1172" s="145">
        <v>1.4</v>
      </c>
      <c r="W1172" s="145" t="s">
        <v>400</v>
      </c>
      <c r="X1172" s="145">
        <v>0.57799999999999996</v>
      </c>
      <c r="Y1172" s="145">
        <v>0.42099999999999999</v>
      </c>
      <c r="Z1172" s="146">
        <v>0.11</v>
      </c>
      <c r="AA1172" s="145">
        <v>5.95</v>
      </c>
      <c r="AB1172" s="145" t="s">
        <v>400</v>
      </c>
      <c r="AC1172" s="145">
        <v>7.7329999999999997</v>
      </c>
      <c r="AD1172" s="145" t="s">
        <v>400</v>
      </c>
      <c r="AE1172" s="145">
        <v>138</v>
      </c>
      <c r="AF1172" s="145" t="s">
        <v>400</v>
      </c>
      <c r="AG1172" s="145">
        <v>3.48</v>
      </c>
      <c r="AH1172" s="145" t="s">
        <v>400</v>
      </c>
      <c r="AI1172" s="145" t="s">
        <v>400</v>
      </c>
      <c r="AJ1172" s="145">
        <v>43</v>
      </c>
      <c r="AK1172" s="145">
        <v>8.3000000000000004E-2</v>
      </c>
      <c r="AL1172" s="145">
        <v>1.53</v>
      </c>
      <c r="AM1172" s="145" t="s">
        <v>400</v>
      </c>
    </row>
    <row r="1173" spans="1:39">
      <c r="A1173" s="143" t="s">
        <v>2233</v>
      </c>
      <c r="B1173" s="144">
        <v>100</v>
      </c>
      <c r="C1173" s="145">
        <v>79.519000000000005</v>
      </c>
      <c r="D1173" s="145">
        <v>3.8340000000000001</v>
      </c>
      <c r="E1173" s="145">
        <v>0.47199999999999998</v>
      </c>
      <c r="F1173" s="145">
        <v>7.5999999999999998E-2</v>
      </c>
      <c r="G1173" s="145">
        <v>0.112</v>
      </c>
      <c r="H1173" s="145">
        <v>0.22500000000000001</v>
      </c>
      <c r="I1173" s="145">
        <v>0.20799999999999999</v>
      </c>
      <c r="J1173" s="145">
        <v>1.6E-2</v>
      </c>
      <c r="K1173" s="145" t="s">
        <v>400</v>
      </c>
      <c r="L1173" s="145">
        <v>16.811</v>
      </c>
      <c r="M1173" s="145">
        <v>2.9630000000000001</v>
      </c>
      <c r="N1173" s="145">
        <v>13.37</v>
      </c>
      <c r="O1173" s="145">
        <v>25.036999999999999</v>
      </c>
      <c r="P1173" s="145">
        <v>0.216</v>
      </c>
      <c r="Q1173" s="145">
        <v>78.012</v>
      </c>
      <c r="R1173" s="145">
        <v>0.98899999999999999</v>
      </c>
      <c r="S1173" s="145">
        <v>36.061999999999998</v>
      </c>
      <c r="T1173" s="145">
        <v>172.25899999999999</v>
      </c>
      <c r="U1173" s="145">
        <v>7.5999999999999998E-2</v>
      </c>
      <c r="V1173" s="145">
        <v>0.65</v>
      </c>
      <c r="W1173" s="145" t="s">
        <v>400</v>
      </c>
      <c r="X1173" s="145">
        <v>0.155</v>
      </c>
      <c r="Y1173" s="145">
        <v>8.1000000000000003E-2</v>
      </c>
      <c r="Z1173" s="146">
        <v>0.106</v>
      </c>
      <c r="AA1173" s="145">
        <v>1.3939999999999999</v>
      </c>
      <c r="AB1173" s="145">
        <v>6.66</v>
      </c>
      <c r="AC1173" s="145">
        <v>1.944</v>
      </c>
      <c r="AD1173" s="145" t="s">
        <v>400</v>
      </c>
      <c r="AE1173" s="145">
        <v>46.851999999999997</v>
      </c>
      <c r="AF1173" s="145" t="s">
        <v>400</v>
      </c>
      <c r="AG1173" s="145">
        <v>0.05</v>
      </c>
      <c r="AH1173" s="145" t="s">
        <v>400</v>
      </c>
      <c r="AI1173" s="145">
        <v>233</v>
      </c>
      <c r="AJ1173" s="145">
        <v>0.84799999999999998</v>
      </c>
      <c r="AK1173" s="145">
        <v>56.892000000000003</v>
      </c>
      <c r="AL1173" s="145">
        <v>3.85</v>
      </c>
      <c r="AM1173" s="145" t="s">
        <v>400</v>
      </c>
    </row>
    <row r="1174" spans="1:39">
      <c r="A1174" s="143" t="s">
        <v>2234</v>
      </c>
      <c r="B1174" s="144">
        <v>100</v>
      </c>
      <c r="C1174" s="145">
        <v>79.519000000000005</v>
      </c>
      <c r="D1174" s="145">
        <v>3.8340000000000001</v>
      </c>
      <c r="E1174" s="145">
        <v>0.47199999999999998</v>
      </c>
      <c r="F1174" s="145">
        <v>7.5999999999999998E-2</v>
      </c>
      <c r="G1174" s="145">
        <v>0.112</v>
      </c>
      <c r="H1174" s="145">
        <v>0.22500000000000001</v>
      </c>
      <c r="I1174" s="145">
        <v>0.20799999999999999</v>
      </c>
      <c r="J1174" s="145">
        <v>1.6E-2</v>
      </c>
      <c r="K1174" s="145" t="s">
        <v>400</v>
      </c>
      <c r="L1174" s="145">
        <v>16.811</v>
      </c>
      <c r="M1174" s="145">
        <v>2.9630000000000001</v>
      </c>
      <c r="N1174" s="145">
        <v>13.37</v>
      </c>
      <c r="O1174" s="145">
        <v>25.036999999999999</v>
      </c>
      <c r="P1174" s="145">
        <v>0.216</v>
      </c>
      <c r="Q1174" s="145">
        <v>78.012</v>
      </c>
      <c r="R1174" s="145">
        <v>0.98899999999999999</v>
      </c>
      <c r="S1174" s="145">
        <v>36.061999999999998</v>
      </c>
      <c r="T1174" s="145">
        <v>172.25899999999999</v>
      </c>
      <c r="U1174" s="145">
        <v>7.5999999999999998E-2</v>
      </c>
      <c r="V1174" s="145">
        <v>0.65</v>
      </c>
      <c r="W1174" s="145" t="s">
        <v>400</v>
      </c>
      <c r="X1174" s="145">
        <v>0.155</v>
      </c>
      <c r="Y1174" s="145">
        <v>8.1000000000000003E-2</v>
      </c>
      <c r="Z1174" s="146">
        <v>0.106</v>
      </c>
      <c r="AA1174" s="145">
        <v>1.3939999999999999</v>
      </c>
      <c r="AB1174" s="145">
        <v>6.66</v>
      </c>
      <c r="AC1174" s="145">
        <v>1.944</v>
      </c>
      <c r="AD1174" s="145" t="s">
        <v>400</v>
      </c>
      <c r="AE1174" s="145">
        <v>46.851999999999997</v>
      </c>
      <c r="AF1174" s="145" t="s">
        <v>400</v>
      </c>
      <c r="AG1174" s="145">
        <v>0.05</v>
      </c>
      <c r="AH1174" s="145" t="s">
        <v>400</v>
      </c>
      <c r="AI1174" s="145">
        <v>233</v>
      </c>
      <c r="AJ1174" s="145">
        <v>0.84799999999999998</v>
      </c>
      <c r="AK1174" s="145">
        <v>56.892000000000003</v>
      </c>
      <c r="AL1174" s="145">
        <v>3.85</v>
      </c>
      <c r="AM1174" s="145" t="s">
        <v>400</v>
      </c>
    </row>
    <row r="1175" spans="1:39">
      <c r="A1175" s="143" t="s">
        <v>2235</v>
      </c>
      <c r="B1175" s="144">
        <v>100</v>
      </c>
      <c r="C1175" s="145">
        <v>79.519000000000005</v>
      </c>
      <c r="D1175" s="145">
        <v>3.8340000000000001</v>
      </c>
      <c r="E1175" s="145">
        <v>0.47199999999999998</v>
      </c>
      <c r="F1175" s="145">
        <v>7.5999999999999998E-2</v>
      </c>
      <c r="G1175" s="145">
        <v>0.112</v>
      </c>
      <c r="H1175" s="145">
        <v>0.22500000000000001</v>
      </c>
      <c r="I1175" s="145">
        <v>0.20799999999999999</v>
      </c>
      <c r="J1175" s="145">
        <v>1.6E-2</v>
      </c>
      <c r="K1175" s="145" t="s">
        <v>400</v>
      </c>
      <c r="L1175" s="145">
        <v>16.811</v>
      </c>
      <c r="M1175" s="145">
        <v>2.9630000000000001</v>
      </c>
      <c r="N1175" s="145">
        <v>13.37</v>
      </c>
      <c r="O1175" s="145">
        <v>25.036999999999999</v>
      </c>
      <c r="P1175" s="145">
        <v>0.216</v>
      </c>
      <c r="Q1175" s="145">
        <v>78.012</v>
      </c>
      <c r="R1175" s="145">
        <v>0.98899999999999999</v>
      </c>
      <c r="S1175" s="145">
        <v>36.061999999999998</v>
      </c>
      <c r="T1175" s="145">
        <v>172.25899999999999</v>
      </c>
      <c r="U1175" s="145">
        <v>7.5999999999999998E-2</v>
      </c>
      <c r="V1175" s="145">
        <v>0.65</v>
      </c>
      <c r="W1175" s="145" t="s">
        <v>400</v>
      </c>
      <c r="X1175" s="145">
        <v>0.155</v>
      </c>
      <c r="Y1175" s="145">
        <v>8.1000000000000003E-2</v>
      </c>
      <c r="Z1175" s="146">
        <v>0.106</v>
      </c>
      <c r="AA1175" s="145">
        <v>1.3939999999999999</v>
      </c>
      <c r="AB1175" s="145">
        <v>6.66</v>
      </c>
      <c r="AC1175" s="145">
        <v>1.944</v>
      </c>
      <c r="AD1175" s="145" t="s">
        <v>400</v>
      </c>
      <c r="AE1175" s="145">
        <v>46.851999999999997</v>
      </c>
      <c r="AF1175" s="145" t="s">
        <v>400</v>
      </c>
      <c r="AG1175" s="145">
        <v>0.05</v>
      </c>
      <c r="AH1175" s="145" t="s">
        <v>400</v>
      </c>
      <c r="AI1175" s="145">
        <v>233</v>
      </c>
      <c r="AJ1175" s="145">
        <v>0.84799999999999998</v>
      </c>
      <c r="AK1175" s="145">
        <v>56.892000000000003</v>
      </c>
      <c r="AL1175" s="145">
        <v>3.85</v>
      </c>
      <c r="AM1175" s="145" t="s">
        <v>400</v>
      </c>
    </row>
    <row r="1176" spans="1:39">
      <c r="A1176" s="143" t="s">
        <v>2236</v>
      </c>
      <c r="B1176" s="144">
        <v>100</v>
      </c>
      <c r="C1176" s="145">
        <v>79.519000000000005</v>
      </c>
      <c r="D1176" s="145">
        <v>3.8340000000000001</v>
      </c>
      <c r="E1176" s="145">
        <v>0.47199999999999998</v>
      </c>
      <c r="F1176" s="145">
        <v>7.5999999999999998E-2</v>
      </c>
      <c r="G1176" s="145">
        <v>0.112</v>
      </c>
      <c r="H1176" s="145">
        <v>0.22500000000000001</v>
      </c>
      <c r="I1176" s="145">
        <v>0.20799999999999999</v>
      </c>
      <c r="J1176" s="145">
        <v>1.6E-2</v>
      </c>
      <c r="K1176" s="145" t="s">
        <v>400</v>
      </c>
      <c r="L1176" s="145">
        <v>16.811</v>
      </c>
      <c r="M1176" s="145">
        <v>2.9630000000000001</v>
      </c>
      <c r="N1176" s="145">
        <v>13.37</v>
      </c>
      <c r="O1176" s="145">
        <v>25.036999999999999</v>
      </c>
      <c r="P1176" s="145">
        <v>0.216</v>
      </c>
      <c r="Q1176" s="145">
        <v>78.012</v>
      </c>
      <c r="R1176" s="145">
        <v>0.98899999999999999</v>
      </c>
      <c r="S1176" s="145">
        <v>36.061999999999998</v>
      </c>
      <c r="T1176" s="145">
        <v>172.25899999999999</v>
      </c>
      <c r="U1176" s="145">
        <v>7.5999999999999998E-2</v>
      </c>
      <c r="V1176" s="145">
        <v>0.65</v>
      </c>
      <c r="W1176" s="145" t="s">
        <v>400</v>
      </c>
      <c r="X1176" s="145">
        <v>0.155</v>
      </c>
      <c r="Y1176" s="145">
        <v>8.1000000000000003E-2</v>
      </c>
      <c r="Z1176" s="146">
        <v>0.106</v>
      </c>
      <c r="AA1176" s="145">
        <v>1.3939999999999999</v>
      </c>
      <c r="AB1176" s="145">
        <v>6.66</v>
      </c>
      <c r="AC1176" s="145">
        <v>1.944</v>
      </c>
      <c r="AD1176" s="145" t="s">
        <v>400</v>
      </c>
      <c r="AE1176" s="145">
        <v>46.851999999999997</v>
      </c>
      <c r="AF1176" s="145" t="s">
        <v>400</v>
      </c>
      <c r="AG1176" s="145">
        <v>0.05</v>
      </c>
      <c r="AH1176" s="145" t="s">
        <v>400</v>
      </c>
      <c r="AI1176" s="145">
        <v>233</v>
      </c>
      <c r="AJ1176" s="145">
        <v>0.84799999999999998</v>
      </c>
      <c r="AK1176" s="145">
        <v>56.892000000000003</v>
      </c>
      <c r="AL1176" s="145">
        <v>3.85</v>
      </c>
      <c r="AM1176" s="145" t="s">
        <v>400</v>
      </c>
    </row>
    <row r="1177" spans="1:39">
      <c r="A1177" s="143" t="s">
        <v>2237</v>
      </c>
      <c r="B1177" s="144">
        <v>100</v>
      </c>
      <c r="C1177" s="145">
        <v>181.589</v>
      </c>
      <c r="D1177" s="145">
        <v>11.109</v>
      </c>
      <c r="E1177" s="145">
        <v>7.9029999999999996</v>
      </c>
      <c r="F1177" s="145">
        <v>2.4900000000000002</v>
      </c>
      <c r="G1177" s="145">
        <v>3.0470000000000002</v>
      </c>
      <c r="H1177" s="145">
        <v>1.655</v>
      </c>
      <c r="I1177" s="145">
        <v>1.3959999999999999</v>
      </c>
      <c r="J1177" s="145">
        <v>0.23100000000000001</v>
      </c>
      <c r="K1177" s="145">
        <v>16.268999999999998</v>
      </c>
      <c r="L1177" s="145">
        <v>16.919</v>
      </c>
      <c r="M1177" s="145">
        <v>5.6779999999999999</v>
      </c>
      <c r="N1177" s="145">
        <v>26.725999999999999</v>
      </c>
      <c r="O1177" s="145">
        <v>49.6</v>
      </c>
      <c r="P1177" s="145">
        <v>0.3</v>
      </c>
      <c r="Q1177" s="145">
        <v>140.24799999999999</v>
      </c>
      <c r="R1177" s="145">
        <v>1.8169999999999999</v>
      </c>
      <c r="S1177" s="145">
        <v>353.09</v>
      </c>
      <c r="T1177" s="145">
        <v>327.86399999999998</v>
      </c>
      <c r="U1177" s="145">
        <v>0.16400000000000001</v>
      </c>
      <c r="V1177" s="145">
        <v>1.5669999999999999</v>
      </c>
      <c r="W1177" s="145">
        <v>1.0029999999999999</v>
      </c>
      <c r="X1177" s="145">
        <v>0.27400000000000002</v>
      </c>
      <c r="Y1177" s="145">
        <v>9.4E-2</v>
      </c>
      <c r="Z1177" s="145">
        <v>0.127</v>
      </c>
      <c r="AA1177" s="145">
        <v>1.37</v>
      </c>
      <c r="AB1177" s="145">
        <v>6.9790000000000001</v>
      </c>
      <c r="AC1177" s="145">
        <v>3.464</v>
      </c>
      <c r="AD1177" s="145">
        <v>0.27100000000000002</v>
      </c>
      <c r="AE1177" s="145">
        <v>100.155</v>
      </c>
      <c r="AF1177" s="145">
        <v>0.16200000000000001</v>
      </c>
      <c r="AG1177" s="145">
        <v>0.75</v>
      </c>
      <c r="AH1177" s="145">
        <v>6.5000000000000002E-2</v>
      </c>
      <c r="AI1177" s="146" t="s">
        <v>400</v>
      </c>
      <c r="AJ1177" s="145">
        <v>8.3450000000000006</v>
      </c>
      <c r="AK1177" s="145">
        <v>2.77</v>
      </c>
      <c r="AL1177" s="145">
        <v>2.6720000000000002</v>
      </c>
      <c r="AM1177" s="145">
        <v>0.45600000000000002</v>
      </c>
    </row>
    <row r="1178" spans="1:39">
      <c r="A1178" s="143" t="s">
        <v>2238</v>
      </c>
      <c r="B1178" s="144">
        <v>100</v>
      </c>
      <c r="C1178" s="145">
        <v>136.38300000000001</v>
      </c>
      <c r="D1178" s="145">
        <v>10.68</v>
      </c>
      <c r="E1178" s="145">
        <v>5.9089999999999998</v>
      </c>
      <c r="F1178" s="145">
        <v>1.7729999999999999</v>
      </c>
      <c r="G1178" s="145">
        <v>2.278</v>
      </c>
      <c r="H1178" s="145">
        <v>1.056</v>
      </c>
      <c r="I1178" s="145">
        <v>0.89400000000000002</v>
      </c>
      <c r="J1178" s="145">
        <v>0.10100000000000001</v>
      </c>
      <c r="K1178" s="145">
        <v>78.483000000000004</v>
      </c>
      <c r="L1178" s="145">
        <v>10.198</v>
      </c>
      <c r="M1178" s="145">
        <v>2.331</v>
      </c>
      <c r="N1178" s="145">
        <v>70.284999999999997</v>
      </c>
      <c r="O1178" s="145">
        <v>30.654</v>
      </c>
      <c r="P1178" s="145">
        <v>0.27700000000000002</v>
      </c>
      <c r="Q1178" s="145">
        <v>88.033000000000001</v>
      </c>
      <c r="R1178" s="145">
        <v>1.7290000000000001</v>
      </c>
      <c r="S1178" s="145">
        <v>332.22199999999998</v>
      </c>
      <c r="T1178" s="145">
        <v>260.041</v>
      </c>
      <c r="U1178" s="145">
        <v>0.112</v>
      </c>
      <c r="V1178" s="145">
        <v>1.464</v>
      </c>
      <c r="W1178" s="145">
        <v>1.32</v>
      </c>
      <c r="X1178" s="145">
        <v>7.6999999999999999E-2</v>
      </c>
      <c r="Y1178" s="145">
        <v>5.1999999999999998E-2</v>
      </c>
      <c r="Z1178" s="145">
        <v>8.5999999999999993E-2</v>
      </c>
      <c r="AA1178" s="145">
        <v>0.98499999999999999</v>
      </c>
      <c r="AB1178" s="145">
        <v>3.0430000000000001</v>
      </c>
      <c r="AC1178" s="145">
        <v>2.492</v>
      </c>
      <c r="AD1178" s="145">
        <v>0.44800000000000001</v>
      </c>
      <c r="AE1178" s="145">
        <v>30.164999999999999</v>
      </c>
      <c r="AF1178" s="145" t="s">
        <v>400</v>
      </c>
      <c r="AG1178" s="145">
        <v>0.54800000000000004</v>
      </c>
      <c r="AH1178" s="145">
        <v>0.105</v>
      </c>
      <c r="AI1178" s="146" t="s">
        <v>400</v>
      </c>
      <c r="AJ1178" s="145">
        <v>6.1360000000000001</v>
      </c>
      <c r="AK1178" s="145">
        <v>4.5419999999999998</v>
      </c>
      <c r="AL1178" s="145">
        <v>0.53500000000000003</v>
      </c>
      <c r="AM1178" s="145" t="s">
        <v>400</v>
      </c>
    </row>
    <row r="1179" spans="1:39">
      <c r="A1179" s="143" t="s">
        <v>2239</v>
      </c>
      <c r="B1179" s="144">
        <v>100</v>
      </c>
      <c r="C1179" s="145">
        <v>87.326999999999998</v>
      </c>
      <c r="D1179" s="145">
        <v>5.6120000000000001</v>
      </c>
      <c r="E1179" s="145">
        <v>3.7879999999999998</v>
      </c>
      <c r="F1179" s="145">
        <v>1.3</v>
      </c>
      <c r="G1179" s="145">
        <v>1.669</v>
      </c>
      <c r="H1179" s="145">
        <v>0.41</v>
      </c>
      <c r="I1179" s="145">
        <v>0.35199999999999998</v>
      </c>
      <c r="J1179" s="145">
        <v>4.9000000000000002E-2</v>
      </c>
      <c r="K1179" s="145">
        <v>12.753</v>
      </c>
      <c r="L1179" s="145">
        <v>7.9329999999999998</v>
      </c>
      <c r="M1179" s="145">
        <v>1.74</v>
      </c>
      <c r="N1179" s="145">
        <v>18.404</v>
      </c>
      <c r="O1179" s="145">
        <v>15.648999999999999</v>
      </c>
      <c r="P1179" s="145">
        <v>0.19600000000000001</v>
      </c>
      <c r="Q1179" s="145">
        <v>66.613</v>
      </c>
      <c r="R1179" s="145">
        <v>0.89200000000000002</v>
      </c>
      <c r="S1179" s="145">
        <v>298.28800000000001</v>
      </c>
      <c r="T1179" s="145">
        <v>190.65100000000001</v>
      </c>
      <c r="U1179" s="145">
        <v>9.8000000000000004E-2</v>
      </c>
      <c r="V1179" s="145">
        <v>1.056</v>
      </c>
      <c r="W1179" s="145" t="s">
        <v>400</v>
      </c>
      <c r="X1179" s="145">
        <v>0.10100000000000001</v>
      </c>
      <c r="Y1179" s="145">
        <v>6.5000000000000002E-2</v>
      </c>
      <c r="Z1179" s="146">
        <v>0.14199999999999999</v>
      </c>
      <c r="AA1179" s="145">
        <v>1.048</v>
      </c>
      <c r="AB1179" s="145">
        <v>8.5739999999999998</v>
      </c>
      <c r="AC1179" s="145">
        <v>2.0739999999999998</v>
      </c>
      <c r="AD1179" s="145">
        <v>0.39100000000000001</v>
      </c>
      <c r="AE1179" s="145">
        <v>28.914000000000001</v>
      </c>
      <c r="AF1179" s="145">
        <v>0.13600000000000001</v>
      </c>
      <c r="AG1179" s="145">
        <v>0.20399999999999999</v>
      </c>
      <c r="AH1179" s="145">
        <v>7.8E-2</v>
      </c>
      <c r="AI1179" s="145" t="s">
        <v>400</v>
      </c>
      <c r="AJ1179" s="145">
        <v>5.4219999999999997</v>
      </c>
      <c r="AK1179" s="145">
        <v>39.453000000000003</v>
      </c>
      <c r="AL1179" s="145">
        <v>1.1619999999999999</v>
      </c>
      <c r="AM1179" s="145">
        <v>1.6E-2</v>
      </c>
    </row>
    <row r="1180" spans="1:39">
      <c r="A1180" s="143" t="s">
        <v>2240</v>
      </c>
      <c r="B1180" s="144">
        <v>100</v>
      </c>
      <c r="C1180" s="145">
        <v>245.648</v>
      </c>
      <c r="D1180" s="145">
        <v>9.8919999999999995</v>
      </c>
      <c r="E1180" s="145">
        <v>16.885000000000002</v>
      </c>
      <c r="F1180" s="145">
        <v>4.484</v>
      </c>
      <c r="G1180" s="145">
        <v>5.8339999999999996</v>
      </c>
      <c r="H1180" s="145">
        <v>4.9619999999999997</v>
      </c>
      <c r="I1180" s="145">
        <v>4.3769999999999998</v>
      </c>
      <c r="J1180" s="145">
        <v>0.53300000000000003</v>
      </c>
      <c r="K1180" s="145">
        <v>39.859000000000002</v>
      </c>
      <c r="L1180" s="145">
        <v>14.103999999999999</v>
      </c>
      <c r="M1180" s="145">
        <v>0.17199999999999999</v>
      </c>
      <c r="N1180" s="145">
        <v>12.467000000000001</v>
      </c>
      <c r="O1180" s="145">
        <v>9.3770000000000007</v>
      </c>
      <c r="P1180" s="145">
        <v>1.2999999999999999E-2</v>
      </c>
      <c r="Q1180" s="145">
        <v>81.192999999999998</v>
      </c>
      <c r="R1180" s="145">
        <v>0.83199999999999996</v>
      </c>
      <c r="S1180" s="145">
        <v>800.101</v>
      </c>
      <c r="T1180" s="145">
        <v>109.36499999999999</v>
      </c>
      <c r="U1180" s="145">
        <v>5.1999999999999998E-2</v>
      </c>
      <c r="V1180" s="145">
        <v>1.556</v>
      </c>
      <c r="W1180" s="145">
        <v>14.055999999999999</v>
      </c>
      <c r="X1180" s="145">
        <v>7.5999999999999998E-2</v>
      </c>
      <c r="Y1180" s="145">
        <v>9.9000000000000005E-2</v>
      </c>
      <c r="Z1180" s="146">
        <v>0.17899999999999999</v>
      </c>
      <c r="AA1180" s="145">
        <v>2.1800000000000002</v>
      </c>
      <c r="AB1180" s="145">
        <v>0.14099999999999999</v>
      </c>
      <c r="AC1180" s="145">
        <v>4.125</v>
      </c>
      <c r="AD1180" s="145">
        <v>0.51700000000000002</v>
      </c>
      <c r="AE1180" s="145">
        <v>2.601</v>
      </c>
      <c r="AF1180" s="145">
        <v>0.27600000000000002</v>
      </c>
      <c r="AG1180" s="145">
        <v>0.69299999999999995</v>
      </c>
      <c r="AH1180" s="145">
        <v>0.25900000000000001</v>
      </c>
      <c r="AI1180" s="145" t="s">
        <v>400</v>
      </c>
      <c r="AJ1180" s="145">
        <v>10.632</v>
      </c>
      <c r="AK1180" s="145">
        <v>22.725999999999999</v>
      </c>
      <c r="AL1180" s="145">
        <v>8.5389999999999997</v>
      </c>
      <c r="AM1180" s="145">
        <v>12.117000000000001</v>
      </c>
    </row>
    <row r="1181" spans="1:39">
      <c r="A1181" s="143" t="s">
        <v>2241</v>
      </c>
      <c r="B1181" s="144">
        <v>100</v>
      </c>
      <c r="C1181" s="145">
        <v>276.45800000000003</v>
      </c>
      <c r="D1181" s="145">
        <v>17.861999999999998</v>
      </c>
      <c r="E1181" s="145">
        <v>21.428999999999998</v>
      </c>
      <c r="F1181" s="145">
        <v>7.258</v>
      </c>
      <c r="G1181" s="145">
        <v>9.5239999999999991</v>
      </c>
      <c r="H1181" s="145">
        <v>2.7949999999999999</v>
      </c>
      <c r="I1181" s="145">
        <v>2.452</v>
      </c>
      <c r="J1181" s="145">
        <v>0.14399999999999999</v>
      </c>
      <c r="K1181" s="145">
        <v>67.316000000000003</v>
      </c>
      <c r="L1181" s="145">
        <v>1.804</v>
      </c>
      <c r="M1181" s="145" t="s">
        <v>400</v>
      </c>
      <c r="N1181" s="145">
        <v>20.29</v>
      </c>
      <c r="O1181" s="145">
        <v>14.279</v>
      </c>
      <c r="P1181" s="145">
        <v>1.2999999999999999E-2</v>
      </c>
      <c r="Q1181" s="145">
        <v>143.327</v>
      </c>
      <c r="R1181" s="145">
        <v>1.4650000000000001</v>
      </c>
      <c r="S1181" s="145">
        <v>1019.366</v>
      </c>
      <c r="T1181" s="145">
        <v>198.911</v>
      </c>
      <c r="U1181" s="145">
        <v>0.114</v>
      </c>
      <c r="V1181" s="145">
        <v>2.4239999999999999</v>
      </c>
      <c r="W1181" s="145">
        <v>26.827000000000002</v>
      </c>
      <c r="X1181" s="145">
        <v>0.29499999999999998</v>
      </c>
      <c r="Y1181" s="145">
        <v>0.191</v>
      </c>
      <c r="Z1181" s="146">
        <v>0.16600000000000001</v>
      </c>
      <c r="AA1181" s="145">
        <v>4.0469999999999997</v>
      </c>
      <c r="AB1181" s="145" t="s">
        <v>400</v>
      </c>
      <c r="AC1181" s="145">
        <v>7.57</v>
      </c>
      <c r="AD1181" s="145">
        <v>0.56399999999999995</v>
      </c>
      <c r="AE1181" s="145">
        <v>5.2160000000000002</v>
      </c>
      <c r="AF1181" s="145">
        <v>0.52700000000000002</v>
      </c>
      <c r="AG1181" s="145">
        <v>0.23499999999999999</v>
      </c>
      <c r="AH1181" s="145">
        <v>0.157</v>
      </c>
      <c r="AI1181" s="145" t="s">
        <v>400</v>
      </c>
      <c r="AJ1181" s="145">
        <v>30.148</v>
      </c>
      <c r="AK1181" s="145">
        <v>26.827000000000002</v>
      </c>
      <c r="AL1181" s="145">
        <v>1.8029999999999999</v>
      </c>
      <c r="AM1181" s="145">
        <v>1.804</v>
      </c>
    </row>
    <row r="1182" spans="1:39">
      <c r="A1182" s="143" t="s">
        <v>2242</v>
      </c>
      <c r="B1182" s="144">
        <v>100</v>
      </c>
      <c r="C1182" s="145">
        <v>214.364</v>
      </c>
      <c r="D1182" s="145">
        <v>16.385000000000002</v>
      </c>
      <c r="E1182" s="145">
        <v>14.532</v>
      </c>
      <c r="F1182" s="145">
        <v>3.8919999999999999</v>
      </c>
      <c r="G1182" s="145">
        <v>6.359</v>
      </c>
      <c r="H1182" s="145">
        <v>3.0819999999999999</v>
      </c>
      <c r="I1182" s="145">
        <v>2.7879999999999998</v>
      </c>
      <c r="J1182" s="145">
        <v>0.14799999999999999</v>
      </c>
      <c r="K1182" s="145">
        <v>52.344999999999999</v>
      </c>
      <c r="L1182" s="145">
        <v>3.6560000000000001</v>
      </c>
      <c r="M1182" s="145">
        <v>0.254</v>
      </c>
      <c r="N1182" s="145">
        <v>18.173999999999999</v>
      </c>
      <c r="O1182" s="145">
        <v>15.073</v>
      </c>
      <c r="P1182" s="145">
        <v>5.3999999999999999E-2</v>
      </c>
      <c r="Q1182" s="145">
        <v>106.111</v>
      </c>
      <c r="R1182" s="145">
        <v>0.96799999999999997</v>
      </c>
      <c r="S1182" s="145">
        <v>706.45799999999997</v>
      </c>
      <c r="T1182" s="145">
        <v>158.57599999999999</v>
      </c>
      <c r="U1182" s="145">
        <v>6.2E-2</v>
      </c>
      <c r="V1182" s="145">
        <v>0.85299999999999998</v>
      </c>
      <c r="W1182" s="145">
        <v>19.030999999999999</v>
      </c>
      <c r="X1182" s="145">
        <v>3.5000000000000003E-2</v>
      </c>
      <c r="Y1182" s="145">
        <v>0.08</v>
      </c>
      <c r="Z1182" s="146">
        <v>0.16500000000000001</v>
      </c>
      <c r="AA1182" s="145">
        <v>4.0170000000000003</v>
      </c>
      <c r="AB1182" s="145">
        <v>1.018</v>
      </c>
      <c r="AC1182" s="145">
        <v>6.88</v>
      </c>
      <c r="AD1182" s="145">
        <v>0.13300000000000001</v>
      </c>
      <c r="AE1182" s="145">
        <v>6.3380000000000001</v>
      </c>
      <c r="AF1182" s="145">
        <v>0.224</v>
      </c>
      <c r="AG1182" s="145">
        <v>0.221</v>
      </c>
      <c r="AH1182" s="145">
        <v>0.72299999999999998</v>
      </c>
      <c r="AI1182" s="145" t="s">
        <v>400</v>
      </c>
      <c r="AJ1182" s="145">
        <v>12.112</v>
      </c>
      <c r="AK1182" s="145">
        <v>19.042999999999999</v>
      </c>
      <c r="AL1182" s="145">
        <v>0.66300000000000003</v>
      </c>
      <c r="AM1182" s="145" t="s">
        <v>400</v>
      </c>
    </row>
    <row r="1183" spans="1:39">
      <c r="A1183" s="143" t="s">
        <v>2243</v>
      </c>
      <c r="B1183" s="144">
        <v>100</v>
      </c>
      <c r="C1183" s="145">
        <v>242</v>
      </c>
      <c r="D1183" s="145">
        <v>24.22</v>
      </c>
      <c r="E1183" s="145">
        <v>15.42</v>
      </c>
      <c r="F1183" s="145">
        <v>5.7380000000000004</v>
      </c>
      <c r="G1183" s="145">
        <v>7.0019999999999998</v>
      </c>
      <c r="H1183" s="145">
        <v>0.61299999999999999</v>
      </c>
      <c r="I1183" s="145">
        <v>0.41599999999999998</v>
      </c>
      <c r="J1183" s="145">
        <v>0.16400000000000001</v>
      </c>
      <c r="K1183" s="145">
        <v>75</v>
      </c>
      <c r="L1183" s="145" t="s">
        <v>400</v>
      </c>
      <c r="M1183" s="145" t="s">
        <v>400</v>
      </c>
      <c r="N1183" s="145">
        <v>8.1859999999999999</v>
      </c>
      <c r="O1183" s="145">
        <v>20.007999999999999</v>
      </c>
      <c r="P1183" s="145">
        <v>2E-3</v>
      </c>
      <c r="Q1183" s="145">
        <v>196</v>
      </c>
      <c r="R1183" s="145">
        <v>2.8130000000000002</v>
      </c>
      <c r="S1183" s="145">
        <v>367.76799999999997</v>
      </c>
      <c r="T1183" s="145">
        <v>337.06200000000001</v>
      </c>
      <c r="U1183" s="145">
        <v>9.2999999999999999E-2</v>
      </c>
      <c r="V1183" s="145">
        <v>5.7110000000000003</v>
      </c>
      <c r="W1183" s="145" t="s">
        <v>400</v>
      </c>
      <c r="X1183" s="145">
        <v>8.1000000000000003E-2</v>
      </c>
      <c r="Y1183" s="145">
        <v>0.22600000000000001</v>
      </c>
      <c r="Z1183" s="146">
        <v>0.255</v>
      </c>
      <c r="AA1183" s="145">
        <v>3.2069999999999999</v>
      </c>
      <c r="AB1183" s="145" t="s">
        <v>400</v>
      </c>
      <c r="AC1183" s="145">
        <v>7.5739999999999998</v>
      </c>
      <c r="AD1183" s="145">
        <v>2.83</v>
      </c>
      <c r="AE1183" s="145">
        <v>9</v>
      </c>
      <c r="AF1183" s="145">
        <v>0.7</v>
      </c>
      <c r="AG1183" s="145">
        <v>0.14000000000000001</v>
      </c>
      <c r="AH1183" s="145">
        <v>0.68</v>
      </c>
      <c r="AI1183" s="145" t="s">
        <v>400</v>
      </c>
      <c r="AJ1183" s="145">
        <v>28.300999999999998</v>
      </c>
      <c r="AK1183" s="145" t="s">
        <v>400</v>
      </c>
      <c r="AL1183" s="145" t="s">
        <v>400</v>
      </c>
      <c r="AM1183" s="145" t="s">
        <v>400</v>
      </c>
    </row>
    <row r="1184" spans="1:39">
      <c r="A1184" s="143" t="s">
        <v>2244</v>
      </c>
      <c r="B1184" s="144">
        <v>100</v>
      </c>
      <c r="C1184" s="145">
        <v>214.85</v>
      </c>
      <c r="D1184" s="145">
        <v>20.64</v>
      </c>
      <c r="E1184" s="145">
        <v>9.1999999999999993</v>
      </c>
      <c r="F1184" s="145">
        <v>3.48</v>
      </c>
      <c r="G1184" s="145">
        <v>3.64</v>
      </c>
      <c r="H1184" s="145">
        <v>0.68</v>
      </c>
      <c r="I1184" s="145">
        <v>0.56999999999999995</v>
      </c>
      <c r="J1184" s="145">
        <v>0.06</v>
      </c>
      <c r="K1184" s="145">
        <v>103.27</v>
      </c>
      <c r="L1184" s="145">
        <v>11</v>
      </c>
      <c r="M1184" s="145">
        <v>0.76</v>
      </c>
      <c r="N1184" s="145">
        <v>56.01</v>
      </c>
      <c r="O1184" s="145">
        <v>22.98</v>
      </c>
      <c r="P1184" s="145">
        <v>0.15</v>
      </c>
      <c r="Q1184" s="145">
        <v>180.27</v>
      </c>
      <c r="R1184" s="145">
        <v>2.66</v>
      </c>
      <c r="S1184" s="145">
        <v>153.28</v>
      </c>
      <c r="T1184" s="145">
        <v>278.32</v>
      </c>
      <c r="U1184" s="145">
        <v>0.1</v>
      </c>
      <c r="V1184" s="145">
        <v>4.62</v>
      </c>
      <c r="W1184" s="145">
        <v>26.25</v>
      </c>
      <c r="X1184" s="145">
        <v>0.16</v>
      </c>
      <c r="Y1184" s="145">
        <v>0.24</v>
      </c>
      <c r="Z1184" s="145">
        <v>0.27</v>
      </c>
      <c r="AA1184" s="145">
        <v>4.18</v>
      </c>
      <c r="AB1184" s="145">
        <v>0.83</v>
      </c>
      <c r="AC1184" s="145">
        <v>6.5</v>
      </c>
      <c r="AD1184" s="145">
        <v>1.82</v>
      </c>
      <c r="AE1184" s="145">
        <v>31.26</v>
      </c>
      <c r="AF1184" s="145">
        <v>0.57999999999999996</v>
      </c>
      <c r="AG1184" s="145">
        <v>0.39</v>
      </c>
      <c r="AH1184" s="145">
        <v>0.46</v>
      </c>
      <c r="AI1184" s="145" t="s">
        <v>400</v>
      </c>
      <c r="AJ1184" s="145">
        <v>20.68</v>
      </c>
      <c r="AK1184" s="145">
        <v>26.48</v>
      </c>
      <c r="AL1184" s="145">
        <v>2.2400000000000002</v>
      </c>
      <c r="AM1184" s="145">
        <v>1.55</v>
      </c>
    </row>
    <row r="1185" spans="1:39">
      <c r="A1185" s="143" t="s">
        <v>2245</v>
      </c>
      <c r="B1185" s="144">
        <v>100</v>
      </c>
      <c r="C1185" s="145">
        <v>242</v>
      </c>
      <c r="D1185" s="145">
        <v>24.22</v>
      </c>
      <c r="E1185" s="145">
        <v>15.42</v>
      </c>
      <c r="F1185" s="145">
        <v>5.7380000000000004</v>
      </c>
      <c r="G1185" s="145">
        <v>7.0019999999999998</v>
      </c>
      <c r="H1185" s="145">
        <v>0.61299999999999999</v>
      </c>
      <c r="I1185" s="145">
        <v>0.41599999999999998</v>
      </c>
      <c r="J1185" s="145">
        <v>0.16400000000000001</v>
      </c>
      <c r="K1185" s="145">
        <v>75</v>
      </c>
      <c r="L1185" s="145" t="s">
        <v>400</v>
      </c>
      <c r="M1185" s="145" t="s">
        <v>400</v>
      </c>
      <c r="N1185" s="145">
        <v>8.1859999999999999</v>
      </c>
      <c r="O1185" s="145">
        <v>20.007999999999999</v>
      </c>
      <c r="P1185" s="145">
        <v>2E-3</v>
      </c>
      <c r="Q1185" s="145">
        <v>196</v>
      </c>
      <c r="R1185" s="145">
        <v>2.8130000000000002</v>
      </c>
      <c r="S1185" s="145">
        <v>367.76799999999997</v>
      </c>
      <c r="T1185" s="145">
        <v>337.06200000000001</v>
      </c>
      <c r="U1185" s="145">
        <v>9.2999999999999999E-2</v>
      </c>
      <c r="V1185" s="145">
        <v>5.7110000000000003</v>
      </c>
      <c r="W1185" s="145" t="s">
        <v>400</v>
      </c>
      <c r="X1185" s="145">
        <v>8.1000000000000003E-2</v>
      </c>
      <c r="Y1185" s="145">
        <v>0.22600000000000001</v>
      </c>
      <c r="Z1185" s="146">
        <v>0.255</v>
      </c>
      <c r="AA1185" s="145">
        <v>3.2069999999999999</v>
      </c>
      <c r="AB1185" s="145" t="s">
        <v>400</v>
      </c>
      <c r="AC1185" s="145">
        <v>7.5739999999999998</v>
      </c>
      <c r="AD1185" s="145">
        <v>2.83</v>
      </c>
      <c r="AE1185" s="145">
        <v>9</v>
      </c>
      <c r="AF1185" s="145">
        <v>0.7</v>
      </c>
      <c r="AG1185" s="145">
        <v>0.14000000000000001</v>
      </c>
      <c r="AH1185" s="145">
        <v>0.68</v>
      </c>
      <c r="AI1185" s="145" t="s">
        <v>400</v>
      </c>
      <c r="AJ1185" s="145">
        <v>28.300999999999998</v>
      </c>
      <c r="AK1185" s="145" t="s">
        <v>400</v>
      </c>
      <c r="AL1185" s="145" t="s">
        <v>400</v>
      </c>
      <c r="AM1185" s="145" t="s">
        <v>400</v>
      </c>
    </row>
    <row r="1186" spans="1:39">
      <c r="A1186" s="143" t="s">
        <v>2246</v>
      </c>
      <c r="B1186" s="144">
        <v>100</v>
      </c>
      <c r="C1186" s="145">
        <v>203.517</v>
      </c>
      <c r="D1186" s="145">
        <v>16.164000000000001</v>
      </c>
      <c r="E1186" s="145">
        <v>10.722</v>
      </c>
      <c r="F1186" s="145">
        <v>4.0339999999999998</v>
      </c>
      <c r="G1186" s="145">
        <v>4.673</v>
      </c>
      <c r="H1186" s="145">
        <v>0.6</v>
      </c>
      <c r="I1186" s="145">
        <v>0.50600000000000001</v>
      </c>
      <c r="J1186" s="145">
        <v>4.7E-2</v>
      </c>
      <c r="K1186" s="145">
        <v>81.807000000000002</v>
      </c>
      <c r="L1186" s="145">
        <v>9.6989999999999998</v>
      </c>
      <c r="M1186" s="145">
        <v>0.91100000000000003</v>
      </c>
      <c r="N1186" s="145">
        <v>56.747999999999998</v>
      </c>
      <c r="O1186" s="145">
        <v>21.771999999999998</v>
      </c>
      <c r="P1186" s="145">
        <v>0.14000000000000001</v>
      </c>
      <c r="Q1186" s="145">
        <v>156.15700000000001</v>
      </c>
      <c r="R1186" s="145">
        <v>2.1589999999999998</v>
      </c>
      <c r="S1186" s="145">
        <v>246.53800000000001</v>
      </c>
      <c r="T1186" s="145">
        <v>313.654</v>
      </c>
      <c r="U1186" s="145">
        <v>0.1</v>
      </c>
      <c r="V1186" s="145">
        <v>3.4</v>
      </c>
      <c r="W1186" s="145">
        <v>20.413</v>
      </c>
      <c r="X1186" s="145">
        <v>0.13300000000000001</v>
      </c>
      <c r="Y1186" s="145">
        <v>0.21199999999999999</v>
      </c>
      <c r="Z1186" s="146">
        <v>0.27300000000000002</v>
      </c>
      <c r="AA1186" s="145">
        <v>3.5179999999999998</v>
      </c>
      <c r="AB1186" s="145">
        <v>2.1360000000000001</v>
      </c>
      <c r="AC1186" s="145">
        <v>5.0259999999999998</v>
      </c>
      <c r="AD1186" s="145">
        <v>1.6359999999999999</v>
      </c>
      <c r="AE1186" s="145">
        <v>29.628</v>
      </c>
      <c r="AF1186" s="145">
        <v>0.41099999999999998</v>
      </c>
      <c r="AG1186" s="145">
        <v>0.64200000000000002</v>
      </c>
      <c r="AH1186" s="145">
        <v>0.57899999999999996</v>
      </c>
      <c r="AI1186" s="145">
        <v>307</v>
      </c>
      <c r="AJ1186" s="145">
        <v>16.326000000000001</v>
      </c>
      <c r="AK1186" s="145">
        <v>24.3</v>
      </c>
      <c r="AL1186" s="145">
        <v>2.669</v>
      </c>
      <c r="AM1186" s="145">
        <v>1.2050000000000001</v>
      </c>
    </row>
    <row r="1187" spans="1:39">
      <c r="A1187" s="143" t="s">
        <v>2247</v>
      </c>
      <c r="B1187" s="144">
        <v>100</v>
      </c>
      <c r="C1187" s="145">
        <v>178</v>
      </c>
      <c r="D1187" s="145">
        <v>22.62</v>
      </c>
      <c r="E1187" s="145">
        <v>9.02</v>
      </c>
      <c r="F1187" s="145">
        <v>3.12</v>
      </c>
      <c r="G1187" s="145">
        <v>4.4400000000000004</v>
      </c>
      <c r="H1187" s="145">
        <v>1.41</v>
      </c>
      <c r="I1187" s="145">
        <v>1.17</v>
      </c>
      <c r="J1187" s="145">
        <v>0.24</v>
      </c>
      <c r="K1187" s="145">
        <v>59</v>
      </c>
      <c r="L1187" s="145" t="s">
        <v>400</v>
      </c>
      <c r="M1187" s="145" t="s">
        <v>400</v>
      </c>
      <c r="N1187" s="145">
        <v>8</v>
      </c>
      <c r="O1187" s="145">
        <v>22</v>
      </c>
      <c r="P1187" s="145">
        <v>4.1000000000000002E-2</v>
      </c>
      <c r="Q1187" s="145">
        <v>281</v>
      </c>
      <c r="R1187" s="145">
        <v>1.34</v>
      </c>
      <c r="S1187" s="145">
        <v>1500</v>
      </c>
      <c r="T1187" s="145">
        <v>409</v>
      </c>
      <c r="U1187" s="145">
        <v>0.14499999999999999</v>
      </c>
      <c r="V1187" s="145">
        <v>2.4700000000000002</v>
      </c>
      <c r="W1187" s="145" t="s">
        <v>400</v>
      </c>
      <c r="X1187" s="145">
        <v>0.73</v>
      </c>
      <c r="Y1187" s="145">
        <v>0.33</v>
      </c>
      <c r="Z1187" s="146">
        <v>0.31</v>
      </c>
      <c r="AA1187" s="145">
        <v>6.15</v>
      </c>
      <c r="AB1187" s="145" t="s">
        <v>400</v>
      </c>
      <c r="AC1187" s="145">
        <v>10.117000000000001</v>
      </c>
      <c r="AD1187" s="145">
        <v>0.7</v>
      </c>
      <c r="AE1187" s="145">
        <v>3</v>
      </c>
      <c r="AF1187" s="145">
        <v>0.8</v>
      </c>
      <c r="AG1187" s="145">
        <v>0.31</v>
      </c>
      <c r="AH1187" s="145">
        <v>2.7E-2</v>
      </c>
      <c r="AI1187" s="145" t="s">
        <v>400</v>
      </c>
      <c r="AJ1187" s="145">
        <v>19.8</v>
      </c>
      <c r="AK1187" s="145" t="s">
        <v>400</v>
      </c>
      <c r="AL1187" s="145" t="s">
        <v>400</v>
      </c>
      <c r="AM1187" s="145" t="s">
        <v>400</v>
      </c>
    </row>
    <row r="1188" spans="1:39">
      <c r="A1188" s="143" t="s">
        <v>2248</v>
      </c>
      <c r="B1188" s="144">
        <v>100</v>
      </c>
      <c r="C1188" s="145">
        <v>178</v>
      </c>
      <c r="D1188" s="145">
        <v>22.62</v>
      </c>
      <c r="E1188" s="145">
        <v>9.02</v>
      </c>
      <c r="F1188" s="145">
        <v>3.12</v>
      </c>
      <c r="G1188" s="145">
        <v>4.4400000000000004</v>
      </c>
      <c r="H1188" s="145">
        <v>1.41</v>
      </c>
      <c r="I1188" s="145">
        <v>1.17</v>
      </c>
      <c r="J1188" s="145">
        <v>0.24</v>
      </c>
      <c r="K1188" s="145">
        <v>59</v>
      </c>
      <c r="L1188" s="145" t="s">
        <v>400</v>
      </c>
      <c r="M1188" s="145" t="s">
        <v>400</v>
      </c>
      <c r="N1188" s="145">
        <v>8</v>
      </c>
      <c r="O1188" s="145">
        <v>22</v>
      </c>
      <c r="P1188" s="145">
        <v>4.1000000000000002E-2</v>
      </c>
      <c r="Q1188" s="145">
        <v>281</v>
      </c>
      <c r="R1188" s="145">
        <v>1.34</v>
      </c>
      <c r="S1188" s="145">
        <v>1500</v>
      </c>
      <c r="T1188" s="145">
        <v>409</v>
      </c>
      <c r="U1188" s="145">
        <v>0.14499999999999999</v>
      </c>
      <c r="V1188" s="145">
        <v>2.4700000000000002</v>
      </c>
      <c r="W1188" s="145" t="s">
        <v>400</v>
      </c>
      <c r="X1188" s="145">
        <v>0.73</v>
      </c>
      <c r="Y1188" s="145">
        <v>0.33</v>
      </c>
      <c r="Z1188" s="146">
        <v>0.31</v>
      </c>
      <c r="AA1188" s="145">
        <v>6.15</v>
      </c>
      <c r="AB1188" s="145" t="s">
        <v>400</v>
      </c>
      <c r="AC1188" s="145">
        <v>10.117000000000001</v>
      </c>
      <c r="AD1188" s="145">
        <v>0.7</v>
      </c>
      <c r="AE1188" s="145">
        <v>3</v>
      </c>
      <c r="AF1188" s="145">
        <v>0.8</v>
      </c>
      <c r="AG1188" s="145">
        <v>0.31</v>
      </c>
      <c r="AH1188" s="145">
        <v>2.7E-2</v>
      </c>
      <c r="AI1188" s="145" t="s">
        <v>400</v>
      </c>
      <c r="AJ1188" s="145">
        <v>19.8</v>
      </c>
      <c r="AK1188" s="145" t="s">
        <v>400</v>
      </c>
      <c r="AL1188" s="145" t="s">
        <v>400</v>
      </c>
      <c r="AM1188" s="145" t="s">
        <v>400</v>
      </c>
    </row>
    <row r="1189" spans="1:39">
      <c r="A1189" s="143" t="s">
        <v>2249</v>
      </c>
      <c r="B1189" s="144">
        <v>100</v>
      </c>
      <c r="C1189" s="145">
        <v>178</v>
      </c>
      <c r="D1189" s="145">
        <v>22.62</v>
      </c>
      <c r="E1189" s="145">
        <v>9.02</v>
      </c>
      <c r="F1189" s="145">
        <v>3.12</v>
      </c>
      <c r="G1189" s="145">
        <v>4.4400000000000004</v>
      </c>
      <c r="H1189" s="145">
        <v>1.41</v>
      </c>
      <c r="I1189" s="145">
        <v>1.17</v>
      </c>
      <c r="J1189" s="145">
        <v>0.24</v>
      </c>
      <c r="K1189" s="145">
        <v>59</v>
      </c>
      <c r="L1189" s="145" t="s">
        <v>400</v>
      </c>
      <c r="M1189" s="145" t="s">
        <v>400</v>
      </c>
      <c r="N1189" s="145">
        <v>8</v>
      </c>
      <c r="O1189" s="145">
        <v>22</v>
      </c>
      <c r="P1189" s="145">
        <v>4.1000000000000002E-2</v>
      </c>
      <c r="Q1189" s="145">
        <v>281</v>
      </c>
      <c r="R1189" s="145">
        <v>1.34</v>
      </c>
      <c r="S1189" s="145">
        <v>1500</v>
      </c>
      <c r="T1189" s="145">
        <v>409</v>
      </c>
      <c r="U1189" s="145">
        <v>0.14499999999999999</v>
      </c>
      <c r="V1189" s="145">
        <v>2.4700000000000002</v>
      </c>
      <c r="W1189" s="145" t="s">
        <v>400</v>
      </c>
      <c r="X1189" s="145">
        <v>0.73</v>
      </c>
      <c r="Y1189" s="145">
        <v>0.33</v>
      </c>
      <c r="Z1189" s="146">
        <v>0.31</v>
      </c>
      <c r="AA1189" s="145">
        <v>6.15</v>
      </c>
      <c r="AB1189" s="145" t="s">
        <v>400</v>
      </c>
      <c r="AC1189" s="145">
        <v>10.117000000000001</v>
      </c>
      <c r="AD1189" s="145">
        <v>0.7</v>
      </c>
      <c r="AE1189" s="145">
        <v>3</v>
      </c>
      <c r="AF1189" s="145">
        <v>0.8</v>
      </c>
      <c r="AG1189" s="145">
        <v>0.31</v>
      </c>
      <c r="AH1189" s="145">
        <v>2.7E-2</v>
      </c>
      <c r="AI1189" s="145" t="s">
        <v>400</v>
      </c>
      <c r="AJ1189" s="145">
        <v>19.8</v>
      </c>
      <c r="AK1189" s="145" t="s">
        <v>400</v>
      </c>
      <c r="AL1189" s="145" t="s">
        <v>400</v>
      </c>
      <c r="AM1189" s="145" t="s">
        <v>400</v>
      </c>
    </row>
    <row r="1190" spans="1:39">
      <c r="A1190" s="143" t="s">
        <v>2250</v>
      </c>
      <c r="B1190" s="144">
        <v>100</v>
      </c>
      <c r="C1190" s="145">
        <v>178</v>
      </c>
      <c r="D1190" s="145">
        <v>22.62</v>
      </c>
      <c r="E1190" s="145">
        <v>9.02</v>
      </c>
      <c r="F1190" s="145">
        <v>3.12</v>
      </c>
      <c r="G1190" s="145">
        <v>4.4400000000000004</v>
      </c>
      <c r="H1190" s="145">
        <v>1.41</v>
      </c>
      <c r="I1190" s="145">
        <v>1.17</v>
      </c>
      <c r="J1190" s="145">
        <v>0.24</v>
      </c>
      <c r="K1190" s="145">
        <v>59</v>
      </c>
      <c r="L1190" s="145" t="s">
        <v>400</v>
      </c>
      <c r="M1190" s="145" t="s">
        <v>400</v>
      </c>
      <c r="N1190" s="145">
        <v>8</v>
      </c>
      <c r="O1190" s="145">
        <v>22</v>
      </c>
      <c r="P1190" s="145">
        <v>4.1000000000000002E-2</v>
      </c>
      <c r="Q1190" s="145">
        <v>281</v>
      </c>
      <c r="R1190" s="145">
        <v>1.34</v>
      </c>
      <c r="S1190" s="145">
        <v>1500</v>
      </c>
      <c r="T1190" s="145">
        <v>409</v>
      </c>
      <c r="U1190" s="145">
        <v>0.14499999999999999</v>
      </c>
      <c r="V1190" s="145">
        <v>2.4700000000000002</v>
      </c>
      <c r="W1190" s="145" t="s">
        <v>400</v>
      </c>
      <c r="X1190" s="145">
        <v>0.73</v>
      </c>
      <c r="Y1190" s="145">
        <v>0.33</v>
      </c>
      <c r="Z1190" s="146">
        <v>0.31</v>
      </c>
      <c r="AA1190" s="145">
        <v>6.15</v>
      </c>
      <c r="AB1190" s="145" t="s">
        <v>400</v>
      </c>
      <c r="AC1190" s="145">
        <v>10.117000000000001</v>
      </c>
      <c r="AD1190" s="145">
        <v>0.7</v>
      </c>
      <c r="AE1190" s="145">
        <v>3</v>
      </c>
      <c r="AF1190" s="145">
        <v>0.8</v>
      </c>
      <c r="AG1190" s="145">
        <v>0.31</v>
      </c>
      <c r="AH1190" s="145">
        <v>2.7E-2</v>
      </c>
      <c r="AI1190" s="145" t="s">
        <v>400</v>
      </c>
      <c r="AJ1190" s="145">
        <v>19.8</v>
      </c>
      <c r="AK1190" s="145" t="s">
        <v>400</v>
      </c>
      <c r="AL1190" s="145" t="s">
        <v>400</v>
      </c>
      <c r="AM1190" s="145" t="s">
        <v>400</v>
      </c>
    </row>
    <row r="1191" spans="1:39">
      <c r="A1191" s="143" t="s">
        <v>2251</v>
      </c>
      <c r="B1191" s="144">
        <v>100</v>
      </c>
      <c r="C1191" s="145">
        <v>178</v>
      </c>
      <c r="D1191" s="145">
        <v>22.62</v>
      </c>
      <c r="E1191" s="145">
        <v>9.02</v>
      </c>
      <c r="F1191" s="145">
        <v>3.12</v>
      </c>
      <c r="G1191" s="145">
        <v>4.4400000000000004</v>
      </c>
      <c r="H1191" s="145">
        <v>1.41</v>
      </c>
      <c r="I1191" s="145">
        <v>1.17</v>
      </c>
      <c r="J1191" s="145">
        <v>0.24</v>
      </c>
      <c r="K1191" s="145">
        <v>59</v>
      </c>
      <c r="L1191" s="145" t="s">
        <v>400</v>
      </c>
      <c r="M1191" s="145" t="s">
        <v>400</v>
      </c>
      <c r="N1191" s="145">
        <v>8</v>
      </c>
      <c r="O1191" s="145">
        <v>22</v>
      </c>
      <c r="P1191" s="145">
        <v>4.1000000000000002E-2</v>
      </c>
      <c r="Q1191" s="145">
        <v>281</v>
      </c>
      <c r="R1191" s="145">
        <v>1.34</v>
      </c>
      <c r="S1191" s="145">
        <v>1500</v>
      </c>
      <c r="T1191" s="145">
        <v>409</v>
      </c>
      <c r="U1191" s="145">
        <v>0.14499999999999999</v>
      </c>
      <c r="V1191" s="145">
        <v>2.4700000000000002</v>
      </c>
      <c r="W1191" s="145" t="s">
        <v>400</v>
      </c>
      <c r="X1191" s="145">
        <v>0.73</v>
      </c>
      <c r="Y1191" s="145">
        <v>0.33</v>
      </c>
      <c r="Z1191" s="146">
        <v>0.31</v>
      </c>
      <c r="AA1191" s="145">
        <v>6.15</v>
      </c>
      <c r="AB1191" s="145" t="s">
        <v>400</v>
      </c>
      <c r="AC1191" s="145">
        <v>10.117000000000001</v>
      </c>
      <c r="AD1191" s="145">
        <v>0.7</v>
      </c>
      <c r="AE1191" s="145">
        <v>3</v>
      </c>
      <c r="AF1191" s="145">
        <v>0.8</v>
      </c>
      <c r="AG1191" s="145">
        <v>0.31</v>
      </c>
      <c r="AH1191" s="145">
        <v>2.7E-2</v>
      </c>
      <c r="AI1191" s="145" t="s">
        <v>400</v>
      </c>
      <c r="AJ1191" s="145">
        <v>19.8</v>
      </c>
      <c r="AK1191" s="145" t="s">
        <v>400</v>
      </c>
      <c r="AL1191" s="145" t="s">
        <v>400</v>
      </c>
      <c r="AM1191" s="145" t="s">
        <v>400</v>
      </c>
    </row>
    <row r="1192" spans="1:39">
      <c r="A1192" s="143" t="s">
        <v>2252</v>
      </c>
      <c r="B1192" s="144">
        <v>100</v>
      </c>
      <c r="C1192" s="145">
        <v>178</v>
      </c>
      <c r="D1192" s="145">
        <v>22.62</v>
      </c>
      <c r="E1192" s="145">
        <v>9.02</v>
      </c>
      <c r="F1192" s="145">
        <v>3.12</v>
      </c>
      <c r="G1192" s="145">
        <v>4.4400000000000004</v>
      </c>
      <c r="H1192" s="145">
        <v>1.41</v>
      </c>
      <c r="I1192" s="145">
        <v>1.17</v>
      </c>
      <c r="J1192" s="145">
        <v>0.24</v>
      </c>
      <c r="K1192" s="145">
        <v>59</v>
      </c>
      <c r="L1192" s="145" t="s">
        <v>400</v>
      </c>
      <c r="M1192" s="145" t="s">
        <v>400</v>
      </c>
      <c r="N1192" s="145">
        <v>8</v>
      </c>
      <c r="O1192" s="145">
        <v>22</v>
      </c>
      <c r="P1192" s="145">
        <v>4.1000000000000002E-2</v>
      </c>
      <c r="Q1192" s="145">
        <v>281</v>
      </c>
      <c r="R1192" s="145">
        <v>1.34</v>
      </c>
      <c r="S1192" s="145">
        <v>1500</v>
      </c>
      <c r="T1192" s="145">
        <v>409</v>
      </c>
      <c r="U1192" s="145">
        <v>0.14499999999999999</v>
      </c>
      <c r="V1192" s="145">
        <v>2.4700000000000002</v>
      </c>
      <c r="W1192" s="145" t="s">
        <v>400</v>
      </c>
      <c r="X1192" s="145">
        <v>0.73</v>
      </c>
      <c r="Y1192" s="145">
        <v>0.33</v>
      </c>
      <c r="Z1192" s="146">
        <v>0.31</v>
      </c>
      <c r="AA1192" s="145">
        <v>6.15</v>
      </c>
      <c r="AB1192" s="145" t="s">
        <v>400</v>
      </c>
      <c r="AC1192" s="145">
        <v>10.117000000000001</v>
      </c>
      <c r="AD1192" s="145">
        <v>0.7</v>
      </c>
      <c r="AE1192" s="145">
        <v>3</v>
      </c>
      <c r="AF1192" s="145">
        <v>0.8</v>
      </c>
      <c r="AG1192" s="145">
        <v>0.31</v>
      </c>
      <c r="AH1192" s="145">
        <v>2.7E-2</v>
      </c>
      <c r="AI1192" s="145" t="s">
        <v>400</v>
      </c>
      <c r="AJ1192" s="145">
        <v>19.8</v>
      </c>
      <c r="AK1192" s="145" t="s">
        <v>400</v>
      </c>
      <c r="AL1192" s="145" t="s">
        <v>400</v>
      </c>
      <c r="AM1192" s="145" t="s">
        <v>400</v>
      </c>
    </row>
    <row r="1193" spans="1:39">
      <c r="A1193" s="143" t="s">
        <v>2253</v>
      </c>
      <c r="B1193" s="144">
        <v>100</v>
      </c>
      <c r="C1193" s="145">
        <v>269.08</v>
      </c>
      <c r="D1193" s="145">
        <v>8.2989999999999995</v>
      </c>
      <c r="E1193" s="145">
        <v>25.806000000000001</v>
      </c>
      <c r="F1193" s="145">
        <v>8.2780000000000005</v>
      </c>
      <c r="G1193" s="145">
        <v>11.135999999999999</v>
      </c>
      <c r="H1193" s="145">
        <v>4.5270000000000001</v>
      </c>
      <c r="I1193" s="145">
        <v>4.1470000000000002</v>
      </c>
      <c r="J1193" s="145">
        <v>0.20399999999999999</v>
      </c>
      <c r="K1193" s="145">
        <v>46.448</v>
      </c>
      <c r="L1193" s="145">
        <v>0.26800000000000002</v>
      </c>
      <c r="M1193" s="145">
        <v>6.0000000000000001E-3</v>
      </c>
      <c r="N1193" s="145">
        <v>17.100000000000001</v>
      </c>
      <c r="O1193" s="145">
        <v>8.3710000000000004</v>
      </c>
      <c r="P1193" s="145">
        <v>1.2999999999999999E-2</v>
      </c>
      <c r="Q1193" s="145">
        <v>75.957999999999998</v>
      </c>
      <c r="R1193" s="145">
        <v>0.57499999999999996</v>
      </c>
      <c r="S1193" s="145">
        <v>752.80799999999999</v>
      </c>
      <c r="T1193" s="145">
        <v>100.583</v>
      </c>
      <c r="U1193" s="145">
        <v>3.9E-2</v>
      </c>
      <c r="V1193" s="145">
        <v>1.0349999999999999</v>
      </c>
      <c r="W1193" s="145">
        <v>18.437000000000001</v>
      </c>
      <c r="X1193" s="145">
        <v>8.1000000000000003E-2</v>
      </c>
      <c r="Y1193" s="145">
        <v>8.8999999999999996E-2</v>
      </c>
      <c r="Z1193" s="146">
        <v>0.10299999999999999</v>
      </c>
      <c r="AA1193" s="145">
        <v>2</v>
      </c>
      <c r="AB1193" s="145">
        <v>1E-3</v>
      </c>
      <c r="AC1193" s="145">
        <v>3.6190000000000002</v>
      </c>
      <c r="AD1193" s="145">
        <v>0.27100000000000002</v>
      </c>
      <c r="AE1193" s="145">
        <v>1.7929999999999999</v>
      </c>
      <c r="AF1193" s="145">
        <v>0.26800000000000002</v>
      </c>
      <c r="AG1193" s="145">
        <v>0.41299999999999998</v>
      </c>
      <c r="AH1193" s="145">
        <v>0.28499999999999998</v>
      </c>
      <c r="AI1193" s="145" t="s">
        <v>400</v>
      </c>
      <c r="AJ1193" s="145">
        <v>9.1219999999999999</v>
      </c>
      <c r="AK1193" s="145">
        <v>18.437000000000001</v>
      </c>
      <c r="AL1193" s="145">
        <v>0.20699999999999999</v>
      </c>
      <c r="AM1193" s="145">
        <v>0.16900000000000001</v>
      </c>
    </row>
    <row r="1194" spans="1:39">
      <c r="A1194" s="143" t="s">
        <v>2254</v>
      </c>
      <c r="B1194" s="144">
        <v>100</v>
      </c>
      <c r="C1194" s="145">
        <v>208</v>
      </c>
      <c r="D1194" s="145">
        <v>24.62</v>
      </c>
      <c r="E1194" s="145">
        <v>11.45</v>
      </c>
      <c r="F1194" s="145">
        <v>1.53</v>
      </c>
      <c r="G1194" s="145">
        <v>3.87</v>
      </c>
      <c r="H1194" s="145">
        <v>5.15</v>
      </c>
      <c r="I1194" s="145">
        <v>3.54</v>
      </c>
      <c r="J1194" s="145">
        <v>0.5</v>
      </c>
      <c r="K1194" s="145">
        <v>142</v>
      </c>
      <c r="L1194" s="145" t="s">
        <v>400</v>
      </c>
      <c r="M1194" s="145" t="s">
        <v>400</v>
      </c>
      <c r="N1194" s="145">
        <v>382</v>
      </c>
      <c r="O1194" s="145">
        <v>39</v>
      </c>
      <c r="P1194" s="145">
        <v>0.11</v>
      </c>
      <c r="Q1194" s="145">
        <v>490</v>
      </c>
      <c r="R1194" s="145">
        <v>2.92</v>
      </c>
      <c r="S1194" s="145">
        <v>505</v>
      </c>
      <c r="T1194" s="145">
        <v>397</v>
      </c>
      <c r="U1194" s="145">
        <v>0.19</v>
      </c>
      <c r="V1194" s="145">
        <v>1.31</v>
      </c>
      <c r="W1194" s="145">
        <v>32</v>
      </c>
      <c r="X1194" s="145">
        <v>0.08</v>
      </c>
      <c r="Y1194" s="145">
        <v>0.23</v>
      </c>
      <c r="Z1194" s="145">
        <v>0.17</v>
      </c>
      <c r="AA1194" s="145">
        <v>5.25</v>
      </c>
      <c r="AB1194" s="145" t="s">
        <v>400</v>
      </c>
      <c r="AC1194" s="145">
        <v>9.85</v>
      </c>
      <c r="AD1194" s="145">
        <v>8.94</v>
      </c>
      <c r="AE1194" s="145">
        <v>12</v>
      </c>
      <c r="AF1194" s="145">
        <v>6.8</v>
      </c>
      <c r="AG1194" s="145">
        <v>2.04</v>
      </c>
      <c r="AH1194" s="145" t="s">
        <v>400</v>
      </c>
      <c r="AI1194" s="145" t="s">
        <v>400</v>
      </c>
      <c r="AJ1194" s="145">
        <v>52.7</v>
      </c>
      <c r="AK1194" s="145">
        <v>32</v>
      </c>
      <c r="AL1194" s="145" t="s">
        <v>400</v>
      </c>
      <c r="AM1194" s="145" t="s">
        <v>400</v>
      </c>
    </row>
    <row r="1195" spans="1:39">
      <c r="A1195" s="143" t="s">
        <v>2255</v>
      </c>
      <c r="B1195" s="144">
        <v>100</v>
      </c>
      <c r="C1195" s="145">
        <v>198</v>
      </c>
      <c r="D1195" s="145">
        <v>29.13</v>
      </c>
      <c r="E1195" s="145">
        <v>8.2100000000000009</v>
      </c>
      <c r="F1195" s="145">
        <v>1.53</v>
      </c>
      <c r="G1195" s="145">
        <v>2.95</v>
      </c>
      <c r="H1195" s="145">
        <v>2.89</v>
      </c>
      <c r="I1195" s="145">
        <v>2.68</v>
      </c>
      <c r="J1195" s="145">
        <v>7.0000000000000007E-2</v>
      </c>
      <c r="K1195" s="145">
        <v>18</v>
      </c>
      <c r="L1195" s="145" t="s">
        <v>400</v>
      </c>
      <c r="M1195" s="145" t="s">
        <v>400</v>
      </c>
      <c r="N1195" s="145">
        <v>13</v>
      </c>
      <c r="O1195" s="145">
        <v>31</v>
      </c>
      <c r="P1195" s="145">
        <v>0.02</v>
      </c>
      <c r="Q1195" s="145">
        <v>311</v>
      </c>
      <c r="R1195" s="145">
        <v>1.39</v>
      </c>
      <c r="S1195" s="145">
        <v>354</v>
      </c>
      <c r="T1195" s="145">
        <v>207</v>
      </c>
      <c r="U1195" s="145">
        <v>7.0000000000000007E-2</v>
      </c>
      <c r="V1195" s="145">
        <v>0.9</v>
      </c>
      <c r="W1195" s="145">
        <v>23</v>
      </c>
      <c r="X1195" s="145">
        <v>0.04</v>
      </c>
      <c r="Y1195" s="145">
        <v>0.12</v>
      </c>
      <c r="Z1195" s="145">
        <v>0.11</v>
      </c>
      <c r="AA1195" s="145">
        <v>12.4</v>
      </c>
      <c r="AB1195" s="145" t="s">
        <v>400</v>
      </c>
      <c r="AC1195" s="145">
        <v>17.829999999999998</v>
      </c>
      <c r="AD1195" s="145">
        <v>2.2000000000000002</v>
      </c>
      <c r="AE1195" s="145">
        <v>5</v>
      </c>
      <c r="AF1195" s="145">
        <v>5.9</v>
      </c>
      <c r="AG1195" s="145">
        <v>0.87</v>
      </c>
      <c r="AH1195" s="145" t="s">
        <v>400</v>
      </c>
      <c r="AI1195" s="145" t="s">
        <v>400</v>
      </c>
      <c r="AJ1195" s="145">
        <v>76</v>
      </c>
      <c r="AK1195" s="145">
        <v>23</v>
      </c>
      <c r="AL1195" s="145" t="s">
        <v>400</v>
      </c>
      <c r="AM1195" s="145" t="s">
        <v>400</v>
      </c>
    </row>
    <row r="1196" spans="1:39">
      <c r="A1196" s="143" t="s">
        <v>2256</v>
      </c>
      <c r="B1196" s="144">
        <v>100</v>
      </c>
      <c r="C1196" s="145">
        <v>12</v>
      </c>
      <c r="D1196" s="145">
        <v>0.6</v>
      </c>
      <c r="E1196" s="145">
        <v>0.14000000000000001</v>
      </c>
      <c r="F1196" s="145">
        <v>3.5999999999999997E-2</v>
      </c>
      <c r="G1196" s="145">
        <v>2E-3</v>
      </c>
      <c r="H1196" s="145">
        <v>5.6000000000000001E-2</v>
      </c>
      <c r="I1196" s="145">
        <v>2.4E-2</v>
      </c>
      <c r="J1196" s="145">
        <v>3.2000000000000001E-2</v>
      </c>
      <c r="K1196" s="145" t="s">
        <v>400</v>
      </c>
      <c r="L1196" s="145">
        <v>2.59</v>
      </c>
      <c r="M1196" s="145">
        <v>1.1000000000000001</v>
      </c>
      <c r="N1196" s="145">
        <v>42</v>
      </c>
      <c r="O1196" s="145">
        <v>7</v>
      </c>
      <c r="P1196" s="145">
        <v>4.7E-2</v>
      </c>
      <c r="Q1196" s="145">
        <v>12</v>
      </c>
      <c r="R1196" s="145">
        <v>0.37</v>
      </c>
      <c r="S1196" s="145">
        <v>875</v>
      </c>
      <c r="T1196" s="145">
        <v>92</v>
      </c>
      <c r="U1196" s="145">
        <v>3.3000000000000002E-2</v>
      </c>
      <c r="V1196" s="145">
        <v>0.11</v>
      </c>
      <c r="W1196" s="145" t="s">
        <v>400</v>
      </c>
      <c r="X1196" s="145">
        <v>2.7E-2</v>
      </c>
      <c r="Y1196" s="145">
        <v>2.9000000000000001E-2</v>
      </c>
      <c r="Z1196" s="146">
        <v>2.3E-2</v>
      </c>
      <c r="AA1196" s="145">
        <v>9.9000000000000005E-2</v>
      </c>
      <c r="AB1196" s="145">
        <v>0.8</v>
      </c>
      <c r="AC1196" s="145">
        <v>0.182</v>
      </c>
      <c r="AD1196" s="145" t="s">
        <v>400</v>
      </c>
      <c r="AE1196" s="145">
        <v>1</v>
      </c>
      <c r="AF1196" s="145" t="s">
        <v>400</v>
      </c>
      <c r="AG1196" s="145">
        <v>0.09</v>
      </c>
      <c r="AH1196" s="145" t="s">
        <v>400</v>
      </c>
      <c r="AI1196" s="145" t="s">
        <v>400</v>
      </c>
      <c r="AJ1196" s="145">
        <v>0.1</v>
      </c>
      <c r="AK1196" s="145">
        <v>9.1669999999999998</v>
      </c>
      <c r="AL1196" s="145">
        <v>1.31</v>
      </c>
      <c r="AM1196" s="145" t="s">
        <v>400</v>
      </c>
    </row>
    <row r="1197" spans="1:39">
      <c r="A1197" s="143" t="s">
        <v>2257</v>
      </c>
      <c r="B1197" s="144">
        <v>100</v>
      </c>
      <c r="C1197" s="145">
        <v>198</v>
      </c>
      <c r="D1197" s="145">
        <v>29.13</v>
      </c>
      <c r="E1197" s="145">
        <v>8.2100000000000009</v>
      </c>
      <c r="F1197" s="145">
        <v>1.534</v>
      </c>
      <c r="G1197" s="145">
        <v>2.9489999999999998</v>
      </c>
      <c r="H1197" s="145">
        <v>2.8849999999999998</v>
      </c>
      <c r="I1197" s="145">
        <v>2.6829999999999998</v>
      </c>
      <c r="J1197" s="145">
        <v>7.3999999999999996E-2</v>
      </c>
      <c r="K1197" s="145">
        <v>18</v>
      </c>
      <c r="L1197" s="145" t="s">
        <v>400</v>
      </c>
      <c r="M1197" s="145" t="s">
        <v>400</v>
      </c>
      <c r="N1197" s="145">
        <v>13</v>
      </c>
      <c r="O1197" s="145">
        <v>31</v>
      </c>
      <c r="P1197" s="145">
        <v>1.4999999999999999E-2</v>
      </c>
      <c r="Q1197" s="145">
        <v>311</v>
      </c>
      <c r="R1197" s="145">
        <v>1.39</v>
      </c>
      <c r="S1197" s="145">
        <v>354</v>
      </c>
      <c r="T1197" s="145">
        <v>207</v>
      </c>
      <c r="U1197" s="145">
        <v>7.0999999999999994E-2</v>
      </c>
      <c r="V1197" s="145">
        <v>0.9</v>
      </c>
      <c r="W1197" s="145">
        <v>23</v>
      </c>
      <c r="X1197" s="145">
        <v>3.7999999999999999E-2</v>
      </c>
      <c r="Y1197" s="145">
        <v>0.12</v>
      </c>
      <c r="Z1197" s="146">
        <v>0.11</v>
      </c>
      <c r="AA1197" s="145">
        <v>12.4</v>
      </c>
      <c r="AB1197" s="145" t="s">
        <v>400</v>
      </c>
      <c r="AC1197" s="145">
        <v>17.832999999999998</v>
      </c>
      <c r="AD1197" s="145">
        <v>2.2000000000000002</v>
      </c>
      <c r="AE1197" s="145">
        <v>5</v>
      </c>
      <c r="AF1197" s="145">
        <v>5.9</v>
      </c>
      <c r="AG1197" s="145">
        <v>0.87</v>
      </c>
      <c r="AH1197" s="145" t="s">
        <v>400</v>
      </c>
      <c r="AI1197" s="145" t="s">
        <v>400</v>
      </c>
      <c r="AJ1197" s="145">
        <v>76</v>
      </c>
      <c r="AK1197" s="145">
        <v>23</v>
      </c>
      <c r="AL1197" s="145" t="s">
        <v>400</v>
      </c>
      <c r="AM1197" s="145" t="s">
        <v>400</v>
      </c>
    </row>
    <row r="1198" spans="1:39">
      <c r="A1198" s="143" t="s">
        <v>2258</v>
      </c>
      <c r="B1198" s="144">
        <v>100</v>
      </c>
      <c r="C1198" s="145">
        <v>12</v>
      </c>
      <c r="D1198" s="145">
        <v>0.6</v>
      </c>
      <c r="E1198" s="145">
        <v>0.14000000000000001</v>
      </c>
      <c r="F1198" s="145">
        <v>3.5999999999999997E-2</v>
      </c>
      <c r="G1198" s="145">
        <v>2E-3</v>
      </c>
      <c r="H1198" s="145">
        <v>5.6000000000000001E-2</v>
      </c>
      <c r="I1198" s="145">
        <v>2.4E-2</v>
      </c>
      <c r="J1198" s="145">
        <v>3.2000000000000001E-2</v>
      </c>
      <c r="K1198" s="145" t="s">
        <v>400</v>
      </c>
      <c r="L1198" s="145">
        <v>2.59</v>
      </c>
      <c r="M1198" s="145">
        <v>1.1000000000000001</v>
      </c>
      <c r="N1198" s="145">
        <v>42</v>
      </c>
      <c r="O1198" s="145">
        <v>7</v>
      </c>
      <c r="P1198" s="145">
        <v>4.7E-2</v>
      </c>
      <c r="Q1198" s="145">
        <v>12</v>
      </c>
      <c r="R1198" s="145">
        <v>0.37</v>
      </c>
      <c r="S1198" s="145">
        <v>875</v>
      </c>
      <c r="T1198" s="145">
        <v>92</v>
      </c>
      <c r="U1198" s="145">
        <v>3.3000000000000002E-2</v>
      </c>
      <c r="V1198" s="145">
        <v>0.11</v>
      </c>
      <c r="W1198" s="145" t="s">
        <v>400</v>
      </c>
      <c r="X1198" s="145">
        <v>2.7E-2</v>
      </c>
      <c r="Y1198" s="145">
        <v>2.9000000000000001E-2</v>
      </c>
      <c r="Z1198" s="146">
        <v>2.3E-2</v>
      </c>
      <c r="AA1198" s="145">
        <v>9.9000000000000005E-2</v>
      </c>
      <c r="AB1198" s="145">
        <v>0.8</v>
      </c>
      <c r="AC1198" s="145">
        <v>0.182</v>
      </c>
      <c r="AD1198" s="145" t="s">
        <v>400</v>
      </c>
      <c r="AE1198" s="145">
        <v>1</v>
      </c>
      <c r="AF1198" s="145" t="s">
        <v>400</v>
      </c>
      <c r="AG1198" s="145">
        <v>0.09</v>
      </c>
      <c r="AH1198" s="145" t="s">
        <v>400</v>
      </c>
      <c r="AI1198" s="145" t="s">
        <v>400</v>
      </c>
      <c r="AJ1198" s="145">
        <v>0.1</v>
      </c>
      <c r="AK1198" s="145">
        <v>9.1669999999999998</v>
      </c>
      <c r="AL1198" s="145">
        <v>1.31</v>
      </c>
      <c r="AM1198" s="145" t="s">
        <v>400</v>
      </c>
    </row>
    <row r="1199" spans="1:39">
      <c r="A1199" s="143" t="s">
        <v>2259</v>
      </c>
      <c r="B1199" s="144">
        <v>100</v>
      </c>
      <c r="C1199" s="145">
        <v>43.259</v>
      </c>
      <c r="D1199" s="145">
        <v>0.873</v>
      </c>
      <c r="E1199" s="145">
        <v>0.188</v>
      </c>
      <c r="F1199" s="145">
        <v>1.9E-2</v>
      </c>
      <c r="G1199" s="145">
        <v>6.8000000000000005E-2</v>
      </c>
      <c r="H1199" s="145">
        <v>5.8000000000000003E-2</v>
      </c>
      <c r="I1199" s="145">
        <v>2.1000000000000001E-2</v>
      </c>
      <c r="J1199" s="145">
        <v>3.6999999999999998E-2</v>
      </c>
      <c r="K1199" s="145" t="s">
        <v>400</v>
      </c>
      <c r="L1199" s="145">
        <v>9.9390000000000001</v>
      </c>
      <c r="M1199" s="145">
        <v>1.5860000000000001</v>
      </c>
      <c r="N1199" s="145">
        <v>24.579000000000001</v>
      </c>
      <c r="O1199" s="145">
        <v>10.176</v>
      </c>
      <c r="P1199" s="145">
        <v>0.127</v>
      </c>
      <c r="Q1199" s="145">
        <v>25.372</v>
      </c>
      <c r="R1199" s="145">
        <v>0.28000000000000003</v>
      </c>
      <c r="S1199" s="145">
        <v>195.29599999999999</v>
      </c>
      <c r="T1199" s="145">
        <v>163.65100000000001</v>
      </c>
      <c r="U1199" s="145">
        <v>6.4000000000000001E-2</v>
      </c>
      <c r="V1199" s="145">
        <v>0.23300000000000001</v>
      </c>
      <c r="W1199" s="145" t="s">
        <v>400</v>
      </c>
      <c r="X1199" s="145">
        <v>3.6999999999999998E-2</v>
      </c>
      <c r="Y1199" s="145">
        <v>3.1E-2</v>
      </c>
      <c r="Z1199" s="146">
        <v>9.5000000000000001E-2</v>
      </c>
      <c r="AA1199" s="145">
        <v>0.36</v>
      </c>
      <c r="AB1199" s="145">
        <v>22.975999999999999</v>
      </c>
      <c r="AC1199" s="145">
        <v>0.52600000000000002</v>
      </c>
      <c r="AD1199" s="145" t="s">
        <v>400</v>
      </c>
      <c r="AE1199" s="145">
        <v>15.547000000000001</v>
      </c>
      <c r="AF1199" s="145" t="s">
        <v>400</v>
      </c>
      <c r="AG1199" s="145">
        <v>0.128</v>
      </c>
      <c r="AH1199" s="145" t="s">
        <v>400</v>
      </c>
      <c r="AI1199" s="145" t="s">
        <v>400</v>
      </c>
      <c r="AJ1199" s="145">
        <v>0.84499999999999997</v>
      </c>
      <c r="AK1199" s="145">
        <v>9.89</v>
      </c>
      <c r="AL1199" s="145">
        <v>8.5640000000000001</v>
      </c>
      <c r="AM1199" s="145">
        <v>3.97</v>
      </c>
    </row>
    <row r="1200" spans="1:39">
      <c r="A1200" s="143" t="s">
        <v>2260</v>
      </c>
      <c r="B1200" s="144">
        <v>100</v>
      </c>
      <c r="C1200" s="145">
        <v>147.67500000000001</v>
      </c>
      <c r="D1200" s="145">
        <v>12.827999999999999</v>
      </c>
      <c r="E1200" s="145">
        <v>9.1069999999999993</v>
      </c>
      <c r="F1200" s="145">
        <v>3.8069999999999999</v>
      </c>
      <c r="G1200" s="145">
        <v>2.976</v>
      </c>
      <c r="H1200" s="145">
        <v>1.53</v>
      </c>
      <c r="I1200" s="145">
        <v>1.2929999999999999</v>
      </c>
      <c r="J1200" s="145">
        <v>0.22800000000000001</v>
      </c>
      <c r="K1200" s="145">
        <v>33.44</v>
      </c>
      <c r="L1200" s="145">
        <v>4.125</v>
      </c>
      <c r="M1200" s="145">
        <v>0.439</v>
      </c>
      <c r="N1200" s="145">
        <v>25.126000000000001</v>
      </c>
      <c r="O1200" s="145">
        <v>12.808</v>
      </c>
      <c r="P1200" s="145">
        <v>5.1999999999999998E-2</v>
      </c>
      <c r="Q1200" s="145">
        <v>106.16</v>
      </c>
      <c r="R1200" s="145">
        <v>1.33</v>
      </c>
      <c r="S1200" s="145">
        <v>354.233</v>
      </c>
      <c r="T1200" s="145">
        <v>198.48</v>
      </c>
      <c r="U1200" s="145">
        <v>0.10299999999999999</v>
      </c>
      <c r="V1200" s="145">
        <v>2.1269999999999998</v>
      </c>
      <c r="W1200" s="145">
        <v>31.984000000000002</v>
      </c>
      <c r="X1200" s="145">
        <v>5.8999999999999997E-2</v>
      </c>
      <c r="Y1200" s="145">
        <v>0.14399999999999999</v>
      </c>
      <c r="Z1200" s="146">
        <v>0.187</v>
      </c>
      <c r="AA1200" s="145">
        <v>2.9249999999999998</v>
      </c>
      <c r="AB1200" s="145">
        <v>1.4419999999999999</v>
      </c>
      <c r="AC1200" s="145">
        <v>4.46</v>
      </c>
      <c r="AD1200" s="145">
        <v>0.69499999999999995</v>
      </c>
      <c r="AE1200" s="145">
        <v>11.922000000000001</v>
      </c>
      <c r="AF1200" s="145">
        <v>0.40899999999999997</v>
      </c>
      <c r="AG1200" s="145">
        <v>0.47</v>
      </c>
      <c r="AH1200" s="145">
        <v>0.28999999999999998</v>
      </c>
      <c r="AI1200" s="145" t="s">
        <v>400</v>
      </c>
      <c r="AJ1200" s="145">
        <v>15.236000000000001</v>
      </c>
      <c r="AK1200" s="145">
        <v>33.639000000000003</v>
      </c>
      <c r="AL1200" s="145">
        <v>1.595</v>
      </c>
      <c r="AM1200" s="145">
        <v>0.38200000000000001</v>
      </c>
    </row>
    <row r="1201" spans="1:39">
      <c r="A1201" s="143" t="s">
        <v>2261</v>
      </c>
      <c r="B1201" s="144">
        <v>100</v>
      </c>
      <c r="C1201" s="145">
        <v>136</v>
      </c>
      <c r="D1201" s="145">
        <v>23.08</v>
      </c>
      <c r="E1201" s="145">
        <v>4.83</v>
      </c>
      <c r="F1201" s="145">
        <v>0.84799999999999998</v>
      </c>
      <c r="G1201" s="145">
        <v>0.88700000000000001</v>
      </c>
      <c r="H1201" s="145">
        <v>1.345</v>
      </c>
      <c r="I1201" s="145">
        <v>6.6000000000000003E-2</v>
      </c>
      <c r="J1201" s="145">
        <v>0.06</v>
      </c>
      <c r="K1201" s="145">
        <v>82</v>
      </c>
      <c r="L1201" s="145" t="s">
        <v>400</v>
      </c>
      <c r="M1201" s="145" t="s">
        <v>400</v>
      </c>
      <c r="N1201" s="145">
        <v>277</v>
      </c>
      <c r="O1201" s="145">
        <v>34</v>
      </c>
      <c r="P1201" s="145">
        <v>3.9E-2</v>
      </c>
      <c r="Q1201" s="145">
        <v>365</v>
      </c>
      <c r="R1201" s="145">
        <v>0.9</v>
      </c>
      <c r="S1201" s="145">
        <v>399</v>
      </c>
      <c r="T1201" s="145">
        <v>311</v>
      </c>
      <c r="U1201" s="145">
        <v>0.156</v>
      </c>
      <c r="V1201" s="145">
        <v>1.0900000000000001</v>
      </c>
      <c r="W1201" s="145">
        <v>23</v>
      </c>
      <c r="X1201" s="145">
        <v>2.7E-2</v>
      </c>
      <c r="Y1201" s="145">
        <v>0.20200000000000001</v>
      </c>
      <c r="Z1201" s="146">
        <v>0.105</v>
      </c>
      <c r="AA1201" s="145">
        <v>7.4089999999999998</v>
      </c>
      <c r="AB1201" s="145" t="s">
        <v>400</v>
      </c>
      <c r="AC1201" s="145">
        <v>11.526</v>
      </c>
      <c r="AD1201" s="145">
        <v>4.95</v>
      </c>
      <c r="AE1201" s="145">
        <v>4</v>
      </c>
      <c r="AF1201" s="145">
        <v>11.65</v>
      </c>
      <c r="AG1201" s="145">
        <v>1.28</v>
      </c>
      <c r="AH1201" s="145" t="s">
        <v>400</v>
      </c>
      <c r="AI1201" s="145" t="s">
        <v>400</v>
      </c>
      <c r="AJ1201" s="145">
        <v>39.5</v>
      </c>
      <c r="AK1201" s="145">
        <v>23</v>
      </c>
      <c r="AL1201" s="145" t="s">
        <v>400</v>
      </c>
      <c r="AM1201" s="145" t="s">
        <v>400</v>
      </c>
    </row>
    <row r="1202" spans="1:39">
      <c r="A1202" s="143" t="s">
        <v>2262</v>
      </c>
      <c r="B1202" s="144">
        <v>100</v>
      </c>
      <c r="C1202" s="145">
        <v>46.311999999999998</v>
      </c>
      <c r="D1202" s="145">
        <v>0.82099999999999995</v>
      </c>
      <c r="E1202" s="145">
        <v>2.4710000000000001</v>
      </c>
      <c r="F1202" s="145">
        <v>0.79300000000000004</v>
      </c>
      <c r="G1202" s="145">
        <v>0.84</v>
      </c>
      <c r="H1202" s="145">
        <v>0.68899999999999995</v>
      </c>
      <c r="I1202" s="145">
        <v>0.65700000000000003</v>
      </c>
      <c r="J1202" s="145">
        <v>2.9000000000000001E-2</v>
      </c>
      <c r="K1202" s="145">
        <v>5.95</v>
      </c>
      <c r="L1202" s="145">
        <v>5.3410000000000002</v>
      </c>
      <c r="M1202" s="145">
        <v>0.20300000000000001</v>
      </c>
      <c r="N1202" s="145">
        <v>59.194000000000003</v>
      </c>
      <c r="O1202" s="145">
        <v>7.7649999999999997</v>
      </c>
      <c r="P1202" s="145">
        <v>3.7999999999999999E-2</v>
      </c>
      <c r="Q1202" s="145">
        <v>43.218000000000004</v>
      </c>
      <c r="R1202" s="145">
        <v>0.16200000000000001</v>
      </c>
      <c r="S1202" s="145">
        <v>374.68799999999999</v>
      </c>
      <c r="T1202" s="145">
        <v>89.414000000000001</v>
      </c>
      <c r="U1202" s="145">
        <v>1.9E-2</v>
      </c>
      <c r="V1202" s="145">
        <v>0.224</v>
      </c>
      <c r="W1202" s="145">
        <v>14.682</v>
      </c>
      <c r="X1202" s="145">
        <v>3.7999999999999999E-2</v>
      </c>
      <c r="Y1202" s="145">
        <v>6.7000000000000004E-2</v>
      </c>
      <c r="Z1202" s="146">
        <v>4.3999999999999997E-2</v>
      </c>
      <c r="AA1202" s="145">
        <v>0.14599999999999999</v>
      </c>
      <c r="AB1202" s="145">
        <v>1.2549999999999999</v>
      </c>
      <c r="AC1202" s="145">
        <v>0.36</v>
      </c>
      <c r="AD1202" s="145">
        <v>7.4999999999999997E-2</v>
      </c>
      <c r="AE1202" s="145">
        <v>7.51</v>
      </c>
      <c r="AF1202" s="145">
        <v>2.4E-2</v>
      </c>
      <c r="AG1202" s="145">
        <v>0.245</v>
      </c>
      <c r="AH1202" s="145">
        <v>0.29399999999999998</v>
      </c>
      <c r="AI1202" s="145" t="s">
        <v>400</v>
      </c>
      <c r="AJ1202" s="145">
        <v>1.8879999999999999</v>
      </c>
      <c r="AK1202" s="145">
        <v>15.167</v>
      </c>
      <c r="AL1202" s="145">
        <v>2.669</v>
      </c>
      <c r="AM1202" s="145" t="s">
        <v>400</v>
      </c>
    </row>
    <row r="1203" spans="1:39">
      <c r="A1203" s="143" t="s">
        <v>2263</v>
      </c>
      <c r="B1203" s="144">
        <v>100</v>
      </c>
      <c r="C1203" s="145">
        <v>10.548</v>
      </c>
      <c r="D1203" s="145">
        <v>0.48399999999999999</v>
      </c>
      <c r="E1203" s="145">
        <v>2.3E-2</v>
      </c>
      <c r="F1203" s="145">
        <v>4.0000000000000001E-3</v>
      </c>
      <c r="G1203" s="145">
        <v>2E-3</v>
      </c>
      <c r="H1203" s="145">
        <v>0.01</v>
      </c>
      <c r="I1203" s="145">
        <v>8.0000000000000002E-3</v>
      </c>
      <c r="J1203" s="145">
        <v>2E-3</v>
      </c>
      <c r="K1203" s="145" t="s">
        <v>400</v>
      </c>
      <c r="L1203" s="145">
        <v>2.1520000000000001</v>
      </c>
      <c r="M1203" s="145">
        <v>0.22500000000000001</v>
      </c>
      <c r="N1203" s="145">
        <v>6.5190000000000001</v>
      </c>
      <c r="O1203" s="145">
        <v>3.0259999999999998</v>
      </c>
      <c r="P1203" s="145">
        <v>2.5999999999999999E-2</v>
      </c>
      <c r="Q1203" s="145">
        <v>6.2960000000000003</v>
      </c>
      <c r="R1203" s="145">
        <v>6.5000000000000002E-2</v>
      </c>
      <c r="S1203" s="145">
        <v>289.56</v>
      </c>
      <c r="T1203" s="145">
        <v>22.675000000000001</v>
      </c>
      <c r="U1203" s="145">
        <v>1.6E-2</v>
      </c>
      <c r="V1203" s="145">
        <v>4.5999999999999999E-2</v>
      </c>
      <c r="W1203" s="145" t="s">
        <v>400</v>
      </c>
      <c r="X1203" s="145">
        <v>0.01</v>
      </c>
      <c r="Y1203" s="145">
        <v>5.0000000000000001E-3</v>
      </c>
      <c r="Z1203" s="146">
        <v>0.02</v>
      </c>
      <c r="AA1203" s="145">
        <v>7.6999999999999999E-2</v>
      </c>
      <c r="AB1203" s="145">
        <v>1.585</v>
      </c>
      <c r="AC1203" s="145">
        <v>0.17100000000000001</v>
      </c>
      <c r="AD1203" s="145" t="s">
        <v>400</v>
      </c>
      <c r="AE1203" s="145">
        <v>2.379</v>
      </c>
      <c r="AF1203" s="145" t="s">
        <v>400</v>
      </c>
      <c r="AG1203" s="145">
        <v>2.5999999999999999E-2</v>
      </c>
      <c r="AH1203" s="145" t="s">
        <v>400</v>
      </c>
      <c r="AI1203" s="146" t="s">
        <v>400</v>
      </c>
      <c r="AJ1203" s="145">
        <v>0.43099999999999999</v>
      </c>
      <c r="AK1203" s="145">
        <v>14.019</v>
      </c>
      <c r="AL1203" s="145">
        <v>0.36499999999999999</v>
      </c>
      <c r="AM1203" s="145" t="s">
        <v>400</v>
      </c>
    </row>
    <row r="1204" spans="1:39">
      <c r="A1204" s="143" t="s">
        <v>2264</v>
      </c>
      <c r="B1204" s="144">
        <v>100</v>
      </c>
      <c r="C1204" s="145">
        <v>80.040999999999997</v>
      </c>
      <c r="D1204" s="145">
        <v>3.0049999999999999</v>
      </c>
      <c r="E1204" s="145">
        <v>0.47099999999999997</v>
      </c>
      <c r="F1204" s="145">
        <v>8.8999999999999996E-2</v>
      </c>
      <c r="G1204" s="145">
        <v>6.7000000000000004E-2</v>
      </c>
      <c r="H1204" s="145">
        <v>0.16300000000000001</v>
      </c>
      <c r="I1204" s="145">
        <v>0.15</v>
      </c>
      <c r="J1204" s="145">
        <v>1.2E-2</v>
      </c>
      <c r="K1204" s="145" t="s">
        <v>400</v>
      </c>
      <c r="L1204" s="145">
        <v>15.606</v>
      </c>
      <c r="M1204" s="145">
        <v>0.96699999999999997</v>
      </c>
      <c r="N1204" s="145">
        <v>7.4139999999999997</v>
      </c>
      <c r="O1204" s="145">
        <v>10.704000000000001</v>
      </c>
      <c r="P1204" s="145">
        <v>0.17100000000000001</v>
      </c>
      <c r="Q1204" s="145">
        <v>30.946000000000002</v>
      </c>
      <c r="R1204" s="145">
        <v>0.67200000000000004</v>
      </c>
      <c r="S1204" s="145">
        <v>398.22899999999998</v>
      </c>
      <c r="T1204" s="145">
        <v>30.619</v>
      </c>
      <c r="U1204" s="145">
        <v>6.2E-2</v>
      </c>
      <c r="V1204" s="145">
        <v>0.28000000000000003</v>
      </c>
      <c r="W1204" s="145" t="s">
        <v>400</v>
      </c>
      <c r="X1204" s="145">
        <v>0.13800000000000001</v>
      </c>
      <c r="Y1204" s="145">
        <v>6.9000000000000006E-2</v>
      </c>
      <c r="Z1204" s="146">
        <v>2.7E-2</v>
      </c>
      <c r="AA1204" s="145">
        <v>0.85799999999999998</v>
      </c>
      <c r="AB1204" s="145">
        <v>0.23300000000000001</v>
      </c>
      <c r="AC1204" s="145">
        <v>1.573</v>
      </c>
      <c r="AD1204" s="145" t="s">
        <v>400</v>
      </c>
      <c r="AE1204" s="145">
        <v>62.662999999999997</v>
      </c>
      <c r="AF1204" s="145" t="s">
        <v>400</v>
      </c>
      <c r="AG1204" s="145">
        <v>3.9E-2</v>
      </c>
      <c r="AH1204" s="145" t="s">
        <v>400</v>
      </c>
      <c r="AI1204" s="145" t="s">
        <v>400</v>
      </c>
      <c r="AJ1204" s="145">
        <v>13.194000000000001</v>
      </c>
      <c r="AK1204" s="145">
        <v>5.0709999999999997</v>
      </c>
      <c r="AL1204" s="145">
        <v>0.35099999999999998</v>
      </c>
      <c r="AM1204" s="145" t="s">
        <v>400</v>
      </c>
    </row>
    <row r="1205" spans="1:39">
      <c r="A1205" s="143" t="s">
        <v>2265</v>
      </c>
      <c r="B1205" s="144">
        <v>100</v>
      </c>
      <c r="C1205" s="145">
        <v>116</v>
      </c>
      <c r="D1205" s="145">
        <v>25.51</v>
      </c>
      <c r="E1205" s="145">
        <v>0.82</v>
      </c>
      <c r="F1205" s="145">
        <v>0.23400000000000001</v>
      </c>
      <c r="G1205" s="145">
        <v>0.159</v>
      </c>
      <c r="H1205" s="145">
        <v>0.33700000000000002</v>
      </c>
      <c r="I1205" s="145">
        <v>8.9999999999999993E-3</v>
      </c>
      <c r="J1205" s="145">
        <v>2E-3</v>
      </c>
      <c r="K1205" s="145">
        <v>30</v>
      </c>
      <c r="L1205" s="145" t="s">
        <v>400</v>
      </c>
      <c r="M1205" s="145" t="s">
        <v>400</v>
      </c>
      <c r="N1205" s="145">
        <v>11</v>
      </c>
      <c r="O1205" s="145">
        <v>27</v>
      </c>
      <c r="P1205" s="145">
        <v>1.0999999999999999E-2</v>
      </c>
      <c r="Q1205" s="145">
        <v>163</v>
      </c>
      <c r="R1205" s="145">
        <v>1.53</v>
      </c>
      <c r="S1205" s="145">
        <v>338</v>
      </c>
      <c r="T1205" s="145">
        <v>237</v>
      </c>
      <c r="U1205" s="145">
        <v>5.0999999999999997E-2</v>
      </c>
      <c r="V1205" s="145">
        <v>0.77</v>
      </c>
      <c r="W1205" s="145">
        <v>17</v>
      </c>
      <c r="X1205" s="145">
        <v>3.2000000000000001E-2</v>
      </c>
      <c r="Y1205" s="145">
        <v>7.3999999999999996E-2</v>
      </c>
      <c r="Z1205" s="146">
        <v>0.35</v>
      </c>
      <c r="AA1205" s="145">
        <v>13.28</v>
      </c>
      <c r="AB1205" s="145" t="s">
        <v>400</v>
      </c>
      <c r="AC1205" s="145">
        <v>18.047000000000001</v>
      </c>
      <c r="AD1205" s="145">
        <v>2.99</v>
      </c>
      <c r="AE1205" s="145">
        <v>4</v>
      </c>
      <c r="AF1205" s="145">
        <v>4</v>
      </c>
      <c r="AG1205" s="145">
        <v>0.33</v>
      </c>
      <c r="AH1205" s="145" t="s">
        <v>400</v>
      </c>
      <c r="AI1205" s="145" t="s">
        <v>400</v>
      </c>
      <c r="AJ1205" s="145">
        <v>80.400000000000006</v>
      </c>
      <c r="AK1205" s="145">
        <v>17</v>
      </c>
      <c r="AL1205" s="145" t="s">
        <v>400</v>
      </c>
      <c r="AM1205" s="145" t="s">
        <v>400</v>
      </c>
    </row>
    <row r="1206" spans="1:39">
      <c r="A1206" s="143" t="s">
        <v>2266</v>
      </c>
      <c r="B1206" s="144">
        <v>100</v>
      </c>
      <c r="C1206" s="145">
        <v>239</v>
      </c>
      <c r="D1206" s="145">
        <v>27.3</v>
      </c>
      <c r="E1206" s="145">
        <v>13.6</v>
      </c>
      <c r="F1206" s="145">
        <v>3.79</v>
      </c>
      <c r="G1206" s="145">
        <v>5.34</v>
      </c>
      <c r="H1206" s="145">
        <v>2.97</v>
      </c>
      <c r="I1206" s="145">
        <v>2.57</v>
      </c>
      <c r="J1206" s="145">
        <v>0.11</v>
      </c>
      <c r="K1206" s="145">
        <v>88</v>
      </c>
      <c r="L1206" s="145" t="s">
        <v>400</v>
      </c>
      <c r="M1206" s="145" t="s">
        <v>400</v>
      </c>
      <c r="N1206" s="145">
        <v>15</v>
      </c>
      <c r="O1206" s="145">
        <v>23</v>
      </c>
      <c r="P1206" s="145">
        <v>0.02</v>
      </c>
      <c r="Q1206" s="145">
        <v>182</v>
      </c>
      <c r="R1206" s="145">
        <v>1.26</v>
      </c>
      <c r="S1206" s="145">
        <v>82</v>
      </c>
      <c r="T1206" s="145">
        <v>223</v>
      </c>
      <c r="U1206" s="145">
        <v>6.6000000000000003E-2</v>
      </c>
      <c r="V1206" s="145">
        <v>1.94</v>
      </c>
      <c r="W1206" s="145">
        <v>48</v>
      </c>
      <c r="X1206" s="145">
        <v>6.3E-2</v>
      </c>
      <c r="Y1206" s="145">
        <v>0.16800000000000001</v>
      </c>
      <c r="Z1206" s="146">
        <v>0.4</v>
      </c>
      <c r="AA1206" s="145">
        <v>8.4870000000000001</v>
      </c>
      <c r="AB1206" s="145" t="s">
        <v>400</v>
      </c>
      <c r="AC1206" s="145">
        <v>13.57</v>
      </c>
      <c r="AD1206" s="145">
        <v>0.3</v>
      </c>
      <c r="AE1206" s="145">
        <v>5</v>
      </c>
      <c r="AF1206" s="145">
        <v>0.3</v>
      </c>
      <c r="AG1206" s="145">
        <v>0.27</v>
      </c>
      <c r="AH1206" s="145">
        <v>0.45</v>
      </c>
      <c r="AI1206" s="145">
        <v>333</v>
      </c>
      <c r="AJ1206" s="145">
        <v>23.9</v>
      </c>
      <c r="AK1206" s="145">
        <v>48</v>
      </c>
      <c r="AL1206" s="145" t="s">
        <v>400</v>
      </c>
      <c r="AM1206" s="145" t="s">
        <v>400</v>
      </c>
    </row>
    <row r="1207" spans="1:39">
      <c r="A1207" s="143" t="s">
        <v>2267</v>
      </c>
      <c r="B1207" s="144">
        <v>100</v>
      </c>
      <c r="C1207" s="145">
        <v>239</v>
      </c>
      <c r="D1207" s="145">
        <v>27.3</v>
      </c>
      <c r="E1207" s="145">
        <v>13.6</v>
      </c>
      <c r="F1207" s="145">
        <v>3.79</v>
      </c>
      <c r="G1207" s="145">
        <v>5.34</v>
      </c>
      <c r="H1207" s="145">
        <v>2.97</v>
      </c>
      <c r="I1207" s="145">
        <v>2.57</v>
      </c>
      <c r="J1207" s="145">
        <v>0.11</v>
      </c>
      <c r="K1207" s="145">
        <v>88</v>
      </c>
      <c r="L1207" s="145" t="s">
        <v>400</v>
      </c>
      <c r="M1207" s="145" t="s">
        <v>400</v>
      </c>
      <c r="N1207" s="145">
        <v>15</v>
      </c>
      <c r="O1207" s="145">
        <v>23</v>
      </c>
      <c r="P1207" s="145">
        <v>0.02</v>
      </c>
      <c r="Q1207" s="145">
        <v>182</v>
      </c>
      <c r="R1207" s="145">
        <v>1.26</v>
      </c>
      <c r="S1207" s="145">
        <v>82</v>
      </c>
      <c r="T1207" s="145">
        <v>223</v>
      </c>
      <c r="U1207" s="145">
        <v>6.6000000000000003E-2</v>
      </c>
      <c r="V1207" s="145">
        <v>1.94</v>
      </c>
      <c r="W1207" s="145">
        <v>48</v>
      </c>
      <c r="X1207" s="145">
        <v>6.3E-2</v>
      </c>
      <c r="Y1207" s="145">
        <v>0.16800000000000001</v>
      </c>
      <c r="Z1207" s="146">
        <v>0.4</v>
      </c>
      <c r="AA1207" s="145">
        <v>8.4870000000000001</v>
      </c>
      <c r="AB1207" s="145" t="s">
        <v>400</v>
      </c>
      <c r="AC1207" s="145">
        <v>13.57</v>
      </c>
      <c r="AD1207" s="145">
        <v>0.3</v>
      </c>
      <c r="AE1207" s="145">
        <v>5</v>
      </c>
      <c r="AF1207" s="145">
        <v>0.3</v>
      </c>
      <c r="AG1207" s="145">
        <v>0.27</v>
      </c>
      <c r="AH1207" s="145">
        <v>0.45</v>
      </c>
      <c r="AI1207" s="145">
        <v>333</v>
      </c>
      <c r="AJ1207" s="145">
        <v>23.9</v>
      </c>
      <c r="AK1207" s="145">
        <v>48</v>
      </c>
      <c r="AL1207" s="145" t="s">
        <v>400</v>
      </c>
      <c r="AM1207" s="145" t="s">
        <v>400</v>
      </c>
    </row>
    <row r="1208" spans="1:39">
      <c r="A1208" s="143" t="s">
        <v>2268</v>
      </c>
      <c r="B1208" s="144">
        <v>100</v>
      </c>
      <c r="C1208" s="145">
        <v>239</v>
      </c>
      <c r="D1208" s="145">
        <v>27.3</v>
      </c>
      <c r="E1208" s="145">
        <v>13.6</v>
      </c>
      <c r="F1208" s="145">
        <v>3.79</v>
      </c>
      <c r="G1208" s="145">
        <v>5.34</v>
      </c>
      <c r="H1208" s="145">
        <v>2.97</v>
      </c>
      <c r="I1208" s="145">
        <v>2.57</v>
      </c>
      <c r="J1208" s="145">
        <v>0.11</v>
      </c>
      <c r="K1208" s="145">
        <v>88</v>
      </c>
      <c r="L1208" s="145" t="s">
        <v>400</v>
      </c>
      <c r="M1208" s="145" t="s">
        <v>400</v>
      </c>
      <c r="N1208" s="145">
        <v>15</v>
      </c>
      <c r="O1208" s="145">
        <v>23</v>
      </c>
      <c r="P1208" s="145">
        <v>0.02</v>
      </c>
      <c r="Q1208" s="145">
        <v>182</v>
      </c>
      <c r="R1208" s="145">
        <v>1.26</v>
      </c>
      <c r="S1208" s="145">
        <v>82</v>
      </c>
      <c r="T1208" s="145">
        <v>223</v>
      </c>
      <c r="U1208" s="145">
        <v>6.6000000000000003E-2</v>
      </c>
      <c r="V1208" s="145">
        <v>1.94</v>
      </c>
      <c r="W1208" s="145">
        <v>48</v>
      </c>
      <c r="X1208" s="145">
        <v>6.3E-2</v>
      </c>
      <c r="Y1208" s="145">
        <v>0.16800000000000001</v>
      </c>
      <c r="Z1208" s="146">
        <v>0.4</v>
      </c>
      <c r="AA1208" s="145">
        <v>8.4870000000000001</v>
      </c>
      <c r="AB1208" s="145" t="s">
        <v>400</v>
      </c>
      <c r="AC1208" s="145">
        <v>13.57</v>
      </c>
      <c r="AD1208" s="145">
        <v>0.3</v>
      </c>
      <c r="AE1208" s="145">
        <v>5</v>
      </c>
      <c r="AF1208" s="145">
        <v>0.3</v>
      </c>
      <c r="AG1208" s="145">
        <v>0.27</v>
      </c>
      <c r="AH1208" s="145">
        <v>0.45</v>
      </c>
      <c r="AI1208" s="145">
        <v>333</v>
      </c>
      <c r="AJ1208" s="145">
        <v>23.9</v>
      </c>
      <c r="AK1208" s="145">
        <v>48</v>
      </c>
      <c r="AL1208" s="145" t="s">
        <v>400</v>
      </c>
      <c r="AM1208" s="145" t="s">
        <v>400</v>
      </c>
    </row>
    <row r="1209" spans="1:39">
      <c r="A1209" s="143" t="s">
        <v>2269</v>
      </c>
      <c r="B1209" s="144">
        <v>100</v>
      </c>
      <c r="C1209" s="145">
        <v>239</v>
      </c>
      <c r="D1209" s="145">
        <v>27.3</v>
      </c>
      <c r="E1209" s="145">
        <v>13.6</v>
      </c>
      <c r="F1209" s="145">
        <v>3.79</v>
      </c>
      <c r="G1209" s="145">
        <v>5.34</v>
      </c>
      <c r="H1209" s="145">
        <v>2.97</v>
      </c>
      <c r="I1209" s="145">
        <v>2.57</v>
      </c>
      <c r="J1209" s="145">
        <v>0.11</v>
      </c>
      <c r="K1209" s="145">
        <v>88</v>
      </c>
      <c r="L1209" s="145" t="s">
        <v>400</v>
      </c>
      <c r="M1209" s="145" t="s">
        <v>400</v>
      </c>
      <c r="N1209" s="145">
        <v>15</v>
      </c>
      <c r="O1209" s="145">
        <v>23</v>
      </c>
      <c r="P1209" s="145">
        <v>0.02</v>
      </c>
      <c r="Q1209" s="145">
        <v>182</v>
      </c>
      <c r="R1209" s="145">
        <v>1.26</v>
      </c>
      <c r="S1209" s="145">
        <v>82</v>
      </c>
      <c r="T1209" s="145">
        <v>223</v>
      </c>
      <c r="U1209" s="145">
        <v>6.6000000000000003E-2</v>
      </c>
      <c r="V1209" s="145">
        <v>1.94</v>
      </c>
      <c r="W1209" s="145">
        <v>48</v>
      </c>
      <c r="X1209" s="145">
        <v>6.3E-2</v>
      </c>
      <c r="Y1209" s="145">
        <v>0.16800000000000001</v>
      </c>
      <c r="Z1209" s="146">
        <v>0.4</v>
      </c>
      <c r="AA1209" s="145">
        <v>8.4870000000000001</v>
      </c>
      <c r="AB1209" s="145" t="s">
        <v>400</v>
      </c>
      <c r="AC1209" s="145">
        <v>13.57</v>
      </c>
      <c r="AD1209" s="145">
        <v>0.3</v>
      </c>
      <c r="AE1209" s="145">
        <v>5</v>
      </c>
      <c r="AF1209" s="145">
        <v>0.3</v>
      </c>
      <c r="AG1209" s="145">
        <v>0.27</v>
      </c>
      <c r="AH1209" s="145">
        <v>0.45</v>
      </c>
      <c r="AI1209" s="145">
        <v>333</v>
      </c>
      <c r="AJ1209" s="145">
        <v>23.9</v>
      </c>
      <c r="AK1209" s="145">
        <v>48</v>
      </c>
      <c r="AL1209" s="145" t="s">
        <v>400</v>
      </c>
      <c r="AM1209" s="145" t="s">
        <v>400</v>
      </c>
    </row>
    <row r="1210" spans="1:39">
      <c r="A1210" s="143" t="s">
        <v>2270</v>
      </c>
      <c r="B1210" s="144">
        <v>100</v>
      </c>
      <c r="C1210" s="145">
        <v>261.65899999999999</v>
      </c>
      <c r="D1210" s="145">
        <v>27.3</v>
      </c>
      <c r="E1210" s="145">
        <v>16.163</v>
      </c>
      <c r="F1210" s="145">
        <v>4.1909999999999998</v>
      </c>
      <c r="G1210" s="145">
        <v>5.9240000000000004</v>
      </c>
      <c r="H1210" s="145">
        <v>4.45</v>
      </c>
      <c r="I1210" s="145">
        <v>3.8759999999999999</v>
      </c>
      <c r="J1210" s="145">
        <v>0.28399999999999997</v>
      </c>
      <c r="K1210" s="145">
        <v>88</v>
      </c>
      <c r="L1210" s="145" t="s">
        <v>400</v>
      </c>
      <c r="M1210" s="145" t="s">
        <v>400</v>
      </c>
      <c r="N1210" s="145">
        <v>15</v>
      </c>
      <c r="O1210" s="145">
        <v>23</v>
      </c>
      <c r="P1210" s="145">
        <v>0.02</v>
      </c>
      <c r="Q1210" s="145">
        <v>182</v>
      </c>
      <c r="R1210" s="145">
        <v>1.2609999999999999</v>
      </c>
      <c r="S1210" s="145">
        <v>82</v>
      </c>
      <c r="T1210" s="145">
        <v>223</v>
      </c>
      <c r="U1210" s="145">
        <v>6.6000000000000003E-2</v>
      </c>
      <c r="V1210" s="145">
        <v>1.94</v>
      </c>
      <c r="W1210" s="145">
        <v>48</v>
      </c>
      <c r="X1210" s="145">
        <v>6.3E-2</v>
      </c>
      <c r="Y1210" s="145">
        <v>0.16800000000000001</v>
      </c>
      <c r="Z1210" s="146">
        <v>0.4</v>
      </c>
      <c r="AA1210" s="145">
        <v>8.4870000000000001</v>
      </c>
      <c r="AB1210" s="145" t="s">
        <v>400</v>
      </c>
      <c r="AC1210" s="145">
        <v>13.57</v>
      </c>
      <c r="AD1210" s="145">
        <v>0.3</v>
      </c>
      <c r="AE1210" s="145">
        <v>5</v>
      </c>
      <c r="AF1210" s="145">
        <v>0.3</v>
      </c>
      <c r="AG1210" s="145">
        <v>0.48</v>
      </c>
      <c r="AH1210" s="145">
        <v>0.46400000000000002</v>
      </c>
      <c r="AI1210" s="145">
        <v>333</v>
      </c>
      <c r="AJ1210" s="145">
        <v>25.074999999999999</v>
      </c>
      <c r="AK1210" s="145">
        <v>48</v>
      </c>
      <c r="AL1210" s="145" t="s">
        <v>400</v>
      </c>
      <c r="AM1210" s="145" t="s">
        <v>400</v>
      </c>
    </row>
    <row r="1211" spans="1:39">
      <c r="A1211" s="143" t="s">
        <v>2271</v>
      </c>
      <c r="B1211" s="144">
        <v>100</v>
      </c>
      <c r="C1211" s="145">
        <v>277.83699999999999</v>
      </c>
      <c r="D1211" s="145">
        <v>27.759</v>
      </c>
      <c r="E1211" s="145">
        <v>16.207000000000001</v>
      </c>
      <c r="F1211" s="145">
        <v>4.1980000000000004</v>
      </c>
      <c r="G1211" s="145">
        <v>5.9279999999999999</v>
      </c>
      <c r="H1211" s="145">
        <v>4.468</v>
      </c>
      <c r="I1211" s="145">
        <v>3.8929999999999998</v>
      </c>
      <c r="J1211" s="145">
        <v>0.28499999999999998</v>
      </c>
      <c r="K1211" s="145">
        <v>88</v>
      </c>
      <c r="L1211" s="145">
        <v>3.3919999999999999</v>
      </c>
      <c r="M1211" s="145">
        <v>0.13500000000000001</v>
      </c>
      <c r="N1211" s="145">
        <v>15.667</v>
      </c>
      <c r="O1211" s="145">
        <v>23.978000000000002</v>
      </c>
      <c r="P1211" s="145">
        <v>0.05</v>
      </c>
      <c r="Q1211" s="145">
        <v>186.8</v>
      </c>
      <c r="R1211" s="145">
        <v>1.468</v>
      </c>
      <c r="S1211" s="145">
        <v>82.088999999999999</v>
      </c>
      <c r="T1211" s="145">
        <v>227.756</v>
      </c>
      <c r="U1211" s="145">
        <v>7.1999999999999995E-2</v>
      </c>
      <c r="V1211" s="145">
        <v>1.9710000000000001</v>
      </c>
      <c r="W1211" s="145">
        <v>48</v>
      </c>
      <c r="X1211" s="145">
        <v>9.8000000000000004E-2</v>
      </c>
      <c r="Y1211" s="145">
        <v>0.19</v>
      </c>
      <c r="Z1211" s="146">
        <v>0.40200000000000002</v>
      </c>
      <c r="AA1211" s="145">
        <v>8.7490000000000006</v>
      </c>
      <c r="AB1211" s="145" t="s">
        <v>400</v>
      </c>
      <c r="AC1211" s="145">
        <v>13.927</v>
      </c>
      <c r="AD1211" s="145">
        <v>0.3</v>
      </c>
      <c r="AE1211" s="145">
        <v>14.067</v>
      </c>
      <c r="AF1211" s="145">
        <v>0.3</v>
      </c>
      <c r="AG1211" s="145">
        <v>0.48199999999999998</v>
      </c>
      <c r="AH1211" s="145">
        <v>0.46400000000000002</v>
      </c>
      <c r="AI1211" s="145">
        <v>333</v>
      </c>
      <c r="AJ1211" s="145">
        <v>26.581</v>
      </c>
      <c r="AK1211" s="145">
        <v>48</v>
      </c>
      <c r="AL1211" s="145">
        <v>1.4E-2</v>
      </c>
      <c r="AM1211" s="145" t="s">
        <v>400</v>
      </c>
    </row>
    <row r="1212" spans="1:39">
      <c r="A1212" s="143" t="s">
        <v>2272</v>
      </c>
      <c r="B1212" s="144">
        <v>100</v>
      </c>
      <c r="C1212" s="145">
        <v>261.65899999999999</v>
      </c>
      <c r="D1212" s="145">
        <v>27.3</v>
      </c>
      <c r="E1212" s="145">
        <v>16.163</v>
      </c>
      <c r="F1212" s="145">
        <v>4.1909999999999998</v>
      </c>
      <c r="G1212" s="145">
        <v>5.9240000000000004</v>
      </c>
      <c r="H1212" s="145">
        <v>4.45</v>
      </c>
      <c r="I1212" s="145">
        <v>3.8759999999999999</v>
      </c>
      <c r="J1212" s="145">
        <v>0.28399999999999997</v>
      </c>
      <c r="K1212" s="145">
        <v>88</v>
      </c>
      <c r="L1212" s="145" t="s">
        <v>400</v>
      </c>
      <c r="M1212" s="145" t="s">
        <v>400</v>
      </c>
      <c r="N1212" s="145">
        <v>15</v>
      </c>
      <c r="O1212" s="145">
        <v>23</v>
      </c>
      <c r="P1212" s="145">
        <v>0.02</v>
      </c>
      <c r="Q1212" s="145">
        <v>182</v>
      </c>
      <c r="R1212" s="145">
        <v>1.2609999999999999</v>
      </c>
      <c r="S1212" s="145">
        <v>82</v>
      </c>
      <c r="T1212" s="145">
        <v>223</v>
      </c>
      <c r="U1212" s="145">
        <v>6.6000000000000003E-2</v>
      </c>
      <c r="V1212" s="145">
        <v>1.94</v>
      </c>
      <c r="W1212" s="145">
        <v>48</v>
      </c>
      <c r="X1212" s="145">
        <v>6.3E-2</v>
      </c>
      <c r="Y1212" s="145">
        <v>0.16800000000000001</v>
      </c>
      <c r="Z1212" s="146">
        <v>0.4</v>
      </c>
      <c r="AA1212" s="145">
        <v>8.4870000000000001</v>
      </c>
      <c r="AB1212" s="145" t="s">
        <v>400</v>
      </c>
      <c r="AC1212" s="145">
        <v>13.57</v>
      </c>
      <c r="AD1212" s="145">
        <v>0.3</v>
      </c>
      <c r="AE1212" s="145">
        <v>5</v>
      </c>
      <c r="AF1212" s="145">
        <v>0.3</v>
      </c>
      <c r="AG1212" s="145">
        <v>0.48</v>
      </c>
      <c r="AH1212" s="145">
        <v>0.46400000000000002</v>
      </c>
      <c r="AI1212" s="145">
        <v>333</v>
      </c>
      <c r="AJ1212" s="145">
        <v>25.074999999999999</v>
      </c>
      <c r="AK1212" s="145">
        <v>48</v>
      </c>
      <c r="AL1212" s="145" t="s">
        <v>400</v>
      </c>
      <c r="AM1212" s="145" t="s">
        <v>400</v>
      </c>
    </row>
    <row r="1213" spans="1:39">
      <c r="A1213" s="143" t="s">
        <v>2273</v>
      </c>
      <c r="B1213" s="144">
        <v>100</v>
      </c>
      <c r="C1213" s="145">
        <v>196</v>
      </c>
      <c r="D1213" s="145">
        <v>22.103999999999999</v>
      </c>
      <c r="E1213" s="145">
        <v>10.916</v>
      </c>
      <c r="F1213" s="145">
        <v>3.0369999999999999</v>
      </c>
      <c r="G1213" s="145">
        <v>4.2770000000000001</v>
      </c>
      <c r="H1213" s="145">
        <v>2.391</v>
      </c>
      <c r="I1213" s="145">
        <v>2.0699999999999998</v>
      </c>
      <c r="J1213" s="145">
        <v>8.8999999999999996E-2</v>
      </c>
      <c r="K1213" s="145">
        <v>70.400000000000006</v>
      </c>
      <c r="L1213" s="145">
        <v>1.0760000000000001</v>
      </c>
      <c r="M1213" s="145">
        <v>0.3</v>
      </c>
      <c r="N1213" s="145">
        <v>14.6</v>
      </c>
      <c r="O1213" s="145">
        <v>21.6</v>
      </c>
      <c r="P1213" s="145">
        <v>3.6999999999999998E-2</v>
      </c>
      <c r="Q1213" s="145">
        <v>150.80000000000001</v>
      </c>
      <c r="R1213" s="145">
        <v>1.212</v>
      </c>
      <c r="S1213" s="145">
        <v>170.4</v>
      </c>
      <c r="T1213" s="145">
        <v>244.6</v>
      </c>
      <c r="U1213" s="145">
        <v>7.5999999999999998E-2</v>
      </c>
      <c r="V1213" s="145">
        <v>1.5920000000000001</v>
      </c>
      <c r="W1213" s="145">
        <v>38.4</v>
      </c>
      <c r="X1213" s="145">
        <v>5.5E-2</v>
      </c>
      <c r="Y1213" s="145">
        <v>0.14799999999999999</v>
      </c>
      <c r="Z1213" s="146">
        <v>0.33900000000000002</v>
      </c>
      <c r="AA1213" s="145">
        <v>6.9850000000000003</v>
      </c>
      <c r="AB1213" s="145">
        <v>1.4</v>
      </c>
      <c r="AC1213" s="145">
        <v>11.085000000000001</v>
      </c>
      <c r="AD1213" s="145">
        <v>0.24</v>
      </c>
      <c r="AE1213" s="145">
        <v>6.2</v>
      </c>
      <c r="AF1213" s="145">
        <v>0.24</v>
      </c>
      <c r="AG1213" s="145">
        <v>0.5</v>
      </c>
      <c r="AH1213" s="145">
        <v>0.36</v>
      </c>
      <c r="AI1213" s="145">
        <v>333</v>
      </c>
      <c r="AJ1213" s="145">
        <v>19.16</v>
      </c>
      <c r="AK1213" s="145">
        <v>41.883000000000003</v>
      </c>
      <c r="AL1213" s="145">
        <v>0.85</v>
      </c>
      <c r="AM1213" s="145" t="s">
        <v>400</v>
      </c>
    </row>
    <row r="1214" spans="1:39">
      <c r="A1214" s="143" t="s">
        <v>2274</v>
      </c>
      <c r="B1214" s="144">
        <v>100</v>
      </c>
      <c r="C1214" s="145">
        <v>261.65899999999999</v>
      </c>
      <c r="D1214" s="145">
        <v>27.3</v>
      </c>
      <c r="E1214" s="145">
        <v>16.163</v>
      </c>
      <c r="F1214" s="145">
        <v>4.1909999999999998</v>
      </c>
      <c r="G1214" s="145">
        <v>5.9240000000000004</v>
      </c>
      <c r="H1214" s="145">
        <v>4.45</v>
      </c>
      <c r="I1214" s="145">
        <v>3.8759999999999999</v>
      </c>
      <c r="J1214" s="145">
        <v>0.28399999999999997</v>
      </c>
      <c r="K1214" s="145">
        <v>88</v>
      </c>
      <c r="L1214" s="145" t="s">
        <v>400</v>
      </c>
      <c r="M1214" s="145" t="s">
        <v>400</v>
      </c>
      <c r="N1214" s="145">
        <v>15</v>
      </c>
      <c r="O1214" s="145">
        <v>23</v>
      </c>
      <c r="P1214" s="145">
        <v>0.02</v>
      </c>
      <c r="Q1214" s="145">
        <v>182</v>
      </c>
      <c r="R1214" s="145">
        <v>1.2609999999999999</v>
      </c>
      <c r="S1214" s="145">
        <v>82</v>
      </c>
      <c r="T1214" s="145">
        <v>223</v>
      </c>
      <c r="U1214" s="145">
        <v>6.6000000000000003E-2</v>
      </c>
      <c r="V1214" s="145">
        <v>1.94</v>
      </c>
      <c r="W1214" s="145">
        <v>48</v>
      </c>
      <c r="X1214" s="145">
        <v>6.3E-2</v>
      </c>
      <c r="Y1214" s="145">
        <v>0.16800000000000001</v>
      </c>
      <c r="Z1214" s="146">
        <v>0.4</v>
      </c>
      <c r="AA1214" s="145">
        <v>8.4870000000000001</v>
      </c>
      <c r="AB1214" s="145" t="s">
        <v>400</v>
      </c>
      <c r="AC1214" s="145">
        <v>13.57</v>
      </c>
      <c r="AD1214" s="145">
        <v>0.3</v>
      </c>
      <c r="AE1214" s="145">
        <v>5</v>
      </c>
      <c r="AF1214" s="145">
        <v>0.3</v>
      </c>
      <c r="AG1214" s="145">
        <v>0.48</v>
      </c>
      <c r="AH1214" s="145">
        <v>0.46400000000000002</v>
      </c>
      <c r="AI1214" s="145">
        <v>333</v>
      </c>
      <c r="AJ1214" s="145">
        <v>25.074999999999999</v>
      </c>
      <c r="AK1214" s="145">
        <v>48</v>
      </c>
      <c r="AL1214" s="145" t="s">
        <v>400</v>
      </c>
      <c r="AM1214" s="145" t="s">
        <v>400</v>
      </c>
    </row>
    <row r="1215" spans="1:39">
      <c r="A1215" s="143" t="s">
        <v>2275</v>
      </c>
      <c r="B1215" s="144">
        <v>100</v>
      </c>
      <c r="C1215" s="145">
        <v>239</v>
      </c>
      <c r="D1215" s="145">
        <v>27.3</v>
      </c>
      <c r="E1215" s="145">
        <v>13.6</v>
      </c>
      <c r="F1215" s="145">
        <v>3.79</v>
      </c>
      <c r="G1215" s="145">
        <v>5.34</v>
      </c>
      <c r="H1215" s="145">
        <v>2.97</v>
      </c>
      <c r="I1215" s="145">
        <v>2.57</v>
      </c>
      <c r="J1215" s="145">
        <v>0.11</v>
      </c>
      <c r="K1215" s="145">
        <v>88</v>
      </c>
      <c r="L1215" s="145" t="s">
        <v>400</v>
      </c>
      <c r="M1215" s="145" t="s">
        <v>400</v>
      </c>
      <c r="N1215" s="145">
        <v>15</v>
      </c>
      <c r="O1215" s="145">
        <v>23</v>
      </c>
      <c r="P1215" s="145">
        <v>0.02</v>
      </c>
      <c r="Q1215" s="145">
        <v>182</v>
      </c>
      <c r="R1215" s="145">
        <v>1.26</v>
      </c>
      <c r="S1215" s="145">
        <v>82</v>
      </c>
      <c r="T1215" s="145">
        <v>223</v>
      </c>
      <c r="U1215" s="145">
        <v>6.6000000000000003E-2</v>
      </c>
      <c r="V1215" s="145">
        <v>1.94</v>
      </c>
      <c r="W1215" s="145">
        <v>48</v>
      </c>
      <c r="X1215" s="145">
        <v>6.3E-2</v>
      </c>
      <c r="Y1215" s="145">
        <v>0.16800000000000001</v>
      </c>
      <c r="Z1215" s="146">
        <v>0.4</v>
      </c>
      <c r="AA1215" s="145">
        <v>8.4870000000000001</v>
      </c>
      <c r="AB1215" s="145" t="s">
        <v>400</v>
      </c>
      <c r="AC1215" s="145">
        <v>13.57</v>
      </c>
      <c r="AD1215" s="145">
        <v>0.3</v>
      </c>
      <c r="AE1215" s="145">
        <v>5</v>
      </c>
      <c r="AF1215" s="145">
        <v>0.3</v>
      </c>
      <c r="AG1215" s="145">
        <v>0.27</v>
      </c>
      <c r="AH1215" s="145">
        <v>0.45</v>
      </c>
      <c r="AI1215" s="145">
        <v>333</v>
      </c>
      <c r="AJ1215" s="145">
        <v>23.9</v>
      </c>
      <c r="AK1215" s="145">
        <v>48</v>
      </c>
      <c r="AL1215" s="145" t="s">
        <v>400</v>
      </c>
      <c r="AM1215" s="145" t="s">
        <v>400</v>
      </c>
    </row>
    <row r="1216" spans="1:39">
      <c r="A1216" s="143" t="s">
        <v>2276</v>
      </c>
      <c r="B1216" s="144">
        <v>100</v>
      </c>
      <c r="C1216" s="145">
        <v>239</v>
      </c>
      <c r="D1216" s="145">
        <v>27.3</v>
      </c>
      <c r="E1216" s="145">
        <v>13.6</v>
      </c>
      <c r="F1216" s="145">
        <v>3.79</v>
      </c>
      <c r="G1216" s="145">
        <v>5.34</v>
      </c>
      <c r="H1216" s="145">
        <v>2.97</v>
      </c>
      <c r="I1216" s="145">
        <v>2.57</v>
      </c>
      <c r="J1216" s="145">
        <v>0.11</v>
      </c>
      <c r="K1216" s="145">
        <v>88</v>
      </c>
      <c r="L1216" s="145" t="s">
        <v>400</v>
      </c>
      <c r="M1216" s="145" t="s">
        <v>400</v>
      </c>
      <c r="N1216" s="145">
        <v>15</v>
      </c>
      <c r="O1216" s="145">
        <v>23</v>
      </c>
      <c r="P1216" s="145">
        <v>0.02</v>
      </c>
      <c r="Q1216" s="145">
        <v>182</v>
      </c>
      <c r="R1216" s="145">
        <v>1.26</v>
      </c>
      <c r="S1216" s="145">
        <v>82</v>
      </c>
      <c r="T1216" s="145">
        <v>223</v>
      </c>
      <c r="U1216" s="145">
        <v>6.6000000000000003E-2</v>
      </c>
      <c r="V1216" s="145">
        <v>1.94</v>
      </c>
      <c r="W1216" s="145">
        <v>48</v>
      </c>
      <c r="X1216" s="145">
        <v>6.3E-2</v>
      </c>
      <c r="Y1216" s="145">
        <v>0.16800000000000001</v>
      </c>
      <c r="Z1216" s="146">
        <v>0.4</v>
      </c>
      <c r="AA1216" s="145">
        <v>8.4870000000000001</v>
      </c>
      <c r="AB1216" s="145" t="s">
        <v>400</v>
      </c>
      <c r="AC1216" s="145">
        <v>13.57</v>
      </c>
      <c r="AD1216" s="145">
        <v>0.3</v>
      </c>
      <c r="AE1216" s="145">
        <v>5</v>
      </c>
      <c r="AF1216" s="145">
        <v>0.3</v>
      </c>
      <c r="AG1216" s="145">
        <v>0.27</v>
      </c>
      <c r="AH1216" s="145">
        <v>0.45</v>
      </c>
      <c r="AI1216" s="145">
        <v>333</v>
      </c>
      <c r="AJ1216" s="145">
        <v>23.9</v>
      </c>
      <c r="AK1216" s="145">
        <v>48</v>
      </c>
      <c r="AL1216" s="145" t="s">
        <v>400</v>
      </c>
      <c r="AM1216" s="145" t="s">
        <v>400</v>
      </c>
    </row>
    <row r="1217" spans="1:39">
      <c r="A1217" s="143" t="s">
        <v>2277</v>
      </c>
      <c r="B1217" s="144">
        <v>100</v>
      </c>
      <c r="C1217" s="145">
        <v>239</v>
      </c>
      <c r="D1217" s="145">
        <v>27.3</v>
      </c>
      <c r="E1217" s="145">
        <v>13.6</v>
      </c>
      <c r="F1217" s="145">
        <v>3.79</v>
      </c>
      <c r="G1217" s="145">
        <v>5.34</v>
      </c>
      <c r="H1217" s="145">
        <v>2.97</v>
      </c>
      <c r="I1217" s="145">
        <v>2.57</v>
      </c>
      <c r="J1217" s="145">
        <v>0.11</v>
      </c>
      <c r="K1217" s="145">
        <v>88</v>
      </c>
      <c r="L1217" s="145" t="s">
        <v>400</v>
      </c>
      <c r="M1217" s="145" t="s">
        <v>400</v>
      </c>
      <c r="N1217" s="145">
        <v>15</v>
      </c>
      <c r="O1217" s="145">
        <v>23</v>
      </c>
      <c r="P1217" s="145">
        <v>0.02</v>
      </c>
      <c r="Q1217" s="145">
        <v>182</v>
      </c>
      <c r="R1217" s="145">
        <v>1.26</v>
      </c>
      <c r="S1217" s="145">
        <v>82</v>
      </c>
      <c r="T1217" s="145">
        <v>223</v>
      </c>
      <c r="U1217" s="145">
        <v>6.6000000000000003E-2</v>
      </c>
      <c r="V1217" s="145">
        <v>1.94</v>
      </c>
      <c r="W1217" s="145">
        <v>48</v>
      </c>
      <c r="X1217" s="145">
        <v>6.3E-2</v>
      </c>
      <c r="Y1217" s="145">
        <v>0.16800000000000001</v>
      </c>
      <c r="Z1217" s="146">
        <v>0.4</v>
      </c>
      <c r="AA1217" s="145">
        <v>8.4870000000000001</v>
      </c>
      <c r="AB1217" s="145" t="s">
        <v>400</v>
      </c>
      <c r="AC1217" s="145">
        <v>13.57</v>
      </c>
      <c r="AD1217" s="145">
        <v>0.3</v>
      </c>
      <c r="AE1217" s="145">
        <v>5</v>
      </c>
      <c r="AF1217" s="145">
        <v>0.3</v>
      </c>
      <c r="AG1217" s="145">
        <v>0.27</v>
      </c>
      <c r="AH1217" s="145">
        <v>0.45</v>
      </c>
      <c r="AI1217" s="145">
        <v>333</v>
      </c>
      <c r="AJ1217" s="145">
        <v>23.9</v>
      </c>
      <c r="AK1217" s="145">
        <v>48</v>
      </c>
      <c r="AL1217" s="145" t="s">
        <v>400</v>
      </c>
      <c r="AM1217" s="145" t="s">
        <v>400</v>
      </c>
    </row>
    <row r="1218" spans="1:39">
      <c r="A1218" s="143" t="s">
        <v>2278</v>
      </c>
      <c r="B1218" s="144">
        <v>100</v>
      </c>
      <c r="C1218" s="145">
        <v>239</v>
      </c>
      <c r="D1218" s="145">
        <v>27.3</v>
      </c>
      <c r="E1218" s="145">
        <v>13.6</v>
      </c>
      <c r="F1218" s="145">
        <v>3.79</v>
      </c>
      <c r="G1218" s="145">
        <v>5.34</v>
      </c>
      <c r="H1218" s="145">
        <v>2.97</v>
      </c>
      <c r="I1218" s="145">
        <v>2.57</v>
      </c>
      <c r="J1218" s="145">
        <v>0.11</v>
      </c>
      <c r="K1218" s="145">
        <v>88</v>
      </c>
      <c r="L1218" s="145" t="s">
        <v>400</v>
      </c>
      <c r="M1218" s="145" t="s">
        <v>400</v>
      </c>
      <c r="N1218" s="145">
        <v>15</v>
      </c>
      <c r="O1218" s="145">
        <v>23</v>
      </c>
      <c r="P1218" s="145">
        <v>0.02</v>
      </c>
      <c r="Q1218" s="145">
        <v>182</v>
      </c>
      <c r="R1218" s="145">
        <v>1.26</v>
      </c>
      <c r="S1218" s="145">
        <v>82</v>
      </c>
      <c r="T1218" s="145">
        <v>223</v>
      </c>
      <c r="U1218" s="145">
        <v>6.6000000000000003E-2</v>
      </c>
      <c r="V1218" s="145">
        <v>1.94</v>
      </c>
      <c r="W1218" s="145">
        <v>48</v>
      </c>
      <c r="X1218" s="145">
        <v>6.3E-2</v>
      </c>
      <c r="Y1218" s="145">
        <v>0.16800000000000001</v>
      </c>
      <c r="Z1218" s="146">
        <v>0.4</v>
      </c>
      <c r="AA1218" s="145">
        <v>8.4870000000000001</v>
      </c>
      <c r="AB1218" s="145" t="s">
        <v>400</v>
      </c>
      <c r="AC1218" s="145">
        <v>13.57</v>
      </c>
      <c r="AD1218" s="145">
        <v>0.3</v>
      </c>
      <c r="AE1218" s="145">
        <v>5</v>
      </c>
      <c r="AF1218" s="145">
        <v>0.3</v>
      </c>
      <c r="AG1218" s="145">
        <v>0.27</v>
      </c>
      <c r="AH1218" s="145">
        <v>0.45</v>
      </c>
      <c r="AI1218" s="145">
        <v>333</v>
      </c>
      <c r="AJ1218" s="145">
        <v>23.9</v>
      </c>
      <c r="AK1218" s="145">
        <v>48</v>
      </c>
      <c r="AL1218" s="145" t="s">
        <v>400</v>
      </c>
      <c r="AM1218" s="145" t="s">
        <v>400</v>
      </c>
    </row>
    <row r="1219" spans="1:39">
      <c r="A1219" s="143" t="s">
        <v>2279</v>
      </c>
      <c r="B1219" s="144">
        <v>100</v>
      </c>
      <c r="C1219" s="145">
        <v>261.65899999999999</v>
      </c>
      <c r="D1219" s="145">
        <v>27.3</v>
      </c>
      <c r="E1219" s="145">
        <v>16.163</v>
      </c>
      <c r="F1219" s="145">
        <v>4.1909999999999998</v>
      </c>
      <c r="G1219" s="145">
        <v>5.9240000000000004</v>
      </c>
      <c r="H1219" s="145">
        <v>4.45</v>
      </c>
      <c r="I1219" s="145">
        <v>3.8759999999999999</v>
      </c>
      <c r="J1219" s="145">
        <v>0.28399999999999997</v>
      </c>
      <c r="K1219" s="145">
        <v>88</v>
      </c>
      <c r="L1219" s="145" t="s">
        <v>400</v>
      </c>
      <c r="M1219" s="145" t="s">
        <v>400</v>
      </c>
      <c r="N1219" s="145">
        <v>15</v>
      </c>
      <c r="O1219" s="145">
        <v>23</v>
      </c>
      <c r="P1219" s="145">
        <v>0.02</v>
      </c>
      <c r="Q1219" s="145">
        <v>182</v>
      </c>
      <c r="R1219" s="145">
        <v>1.2609999999999999</v>
      </c>
      <c r="S1219" s="145">
        <v>82</v>
      </c>
      <c r="T1219" s="145">
        <v>223</v>
      </c>
      <c r="U1219" s="145">
        <v>6.6000000000000003E-2</v>
      </c>
      <c r="V1219" s="145">
        <v>1.94</v>
      </c>
      <c r="W1219" s="145">
        <v>48</v>
      </c>
      <c r="X1219" s="145">
        <v>6.3E-2</v>
      </c>
      <c r="Y1219" s="145">
        <v>0.16800000000000001</v>
      </c>
      <c r="Z1219" s="146">
        <v>0.4</v>
      </c>
      <c r="AA1219" s="145">
        <v>8.4870000000000001</v>
      </c>
      <c r="AB1219" s="145" t="s">
        <v>400</v>
      </c>
      <c r="AC1219" s="145">
        <v>13.57</v>
      </c>
      <c r="AD1219" s="145">
        <v>0.3</v>
      </c>
      <c r="AE1219" s="145">
        <v>5</v>
      </c>
      <c r="AF1219" s="145">
        <v>0.3</v>
      </c>
      <c r="AG1219" s="145">
        <v>0.48</v>
      </c>
      <c r="AH1219" s="145">
        <v>0.46400000000000002</v>
      </c>
      <c r="AI1219" s="145">
        <v>333</v>
      </c>
      <c r="AJ1219" s="145">
        <v>25.074999999999999</v>
      </c>
      <c r="AK1219" s="145">
        <v>48</v>
      </c>
      <c r="AL1219" s="145" t="s">
        <v>400</v>
      </c>
      <c r="AM1219" s="145" t="s">
        <v>400</v>
      </c>
    </row>
    <row r="1220" spans="1:39">
      <c r="A1220" s="143" t="s">
        <v>2280</v>
      </c>
      <c r="B1220" s="144">
        <v>100</v>
      </c>
      <c r="C1220" s="145">
        <v>277.83699999999999</v>
      </c>
      <c r="D1220" s="145">
        <v>27.759</v>
      </c>
      <c r="E1220" s="145">
        <v>16.207000000000001</v>
      </c>
      <c r="F1220" s="145">
        <v>4.1980000000000004</v>
      </c>
      <c r="G1220" s="145">
        <v>5.9279999999999999</v>
      </c>
      <c r="H1220" s="145">
        <v>4.468</v>
      </c>
      <c r="I1220" s="145">
        <v>3.8929999999999998</v>
      </c>
      <c r="J1220" s="145">
        <v>0.28499999999999998</v>
      </c>
      <c r="K1220" s="145">
        <v>88</v>
      </c>
      <c r="L1220" s="145">
        <v>3.3919999999999999</v>
      </c>
      <c r="M1220" s="145">
        <v>0.13500000000000001</v>
      </c>
      <c r="N1220" s="145">
        <v>15.667</v>
      </c>
      <c r="O1220" s="145">
        <v>23.978000000000002</v>
      </c>
      <c r="P1220" s="145">
        <v>0.05</v>
      </c>
      <c r="Q1220" s="145">
        <v>186.8</v>
      </c>
      <c r="R1220" s="145">
        <v>1.468</v>
      </c>
      <c r="S1220" s="145">
        <v>82.088999999999999</v>
      </c>
      <c r="T1220" s="145">
        <v>227.756</v>
      </c>
      <c r="U1220" s="145">
        <v>7.1999999999999995E-2</v>
      </c>
      <c r="V1220" s="145">
        <v>1.9710000000000001</v>
      </c>
      <c r="W1220" s="145">
        <v>48</v>
      </c>
      <c r="X1220" s="145">
        <v>9.8000000000000004E-2</v>
      </c>
      <c r="Y1220" s="145">
        <v>0.19</v>
      </c>
      <c r="Z1220" s="146">
        <v>0.40200000000000002</v>
      </c>
      <c r="AA1220" s="145">
        <v>8.7490000000000006</v>
      </c>
      <c r="AB1220" s="145" t="s">
        <v>400</v>
      </c>
      <c r="AC1220" s="145">
        <v>13.927</v>
      </c>
      <c r="AD1220" s="145">
        <v>0.3</v>
      </c>
      <c r="AE1220" s="145">
        <v>14.067</v>
      </c>
      <c r="AF1220" s="145">
        <v>0.3</v>
      </c>
      <c r="AG1220" s="145">
        <v>0.48199999999999998</v>
      </c>
      <c r="AH1220" s="145">
        <v>0.46400000000000002</v>
      </c>
      <c r="AI1220" s="145">
        <v>333</v>
      </c>
      <c r="AJ1220" s="145">
        <v>26.581</v>
      </c>
      <c r="AK1220" s="145">
        <v>48</v>
      </c>
      <c r="AL1220" s="145">
        <v>1.4E-2</v>
      </c>
      <c r="AM1220" s="145" t="s">
        <v>400</v>
      </c>
    </row>
    <row r="1221" spans="1:39">
      <c r="A1221" s="143" t="s">
        <v>2281</v>
      </c>
      <c r="B1221" s="144">
        <v>100</v>
      </c>
      <c r="C1221" s="145">
        <v>261.65899999999999</v>
      </c>
      <c r="D1221" s="145">
        <v>27.3</v>
      </c>
      <c r="E1221" s="145">
        <v>16.163</v>
      </c>
      <c r="F1221" s="145">
        <v>4.1909999999999998</v>
      </c>
      <c r="G1221" s="145">
        <v>5.9240000000000004</v>
      </c>
      <c r="H1221" s="145">
        <v>4.45</v>
      </c>
      <c r="I1221" s="145">
        <v>3.8759999999999999</v>
      </c>
      <c r="J1221" s="145">
        <v>0.28399999999999997</v>
      </c>
      <c r="K1221" s="145">
        <v>88</v>
      </c>
      <c r="L1221" s="145" t="s">
        <v>400</v>
      </c>
      <c r="M1221" s="145" t="s">
        <v>400</v>
      </c>
      <c r="N1221" s="145">
        <v>15</v>
      </c>
      <c r="O1221" s="145">
        <v>23</v>
      </c>
      <c r="P1221" s="145">
        <v>0.02</v>
      </c>
      <c r="Q1221" s="145">
        <v>182</v>
      </c>
      <c r="R1221" s="145">
        <v>1.2609999999999999</v>
      </c>
      <c r="S1221" s="145">
        <v>82</v>
      </c>
      <c r="T1221" s="145">
        <v>223</v>
      </c>
      <c r="U1221" s="145">
        <v>6.6000000000000003E-2</v>
      </c>
      <c r="V1221" s="145">
        <v>1.94</v>
      </c>
      <c r="W1221" s="145">
        <v>48</v>
      </c>
      <c r="X1221" s="145">
        <v>6.3E-2</v>
      </c>
      <c r="Y1221" s="145">
        <v>0.16800000000000001</v>
      </c>
      <c r="Z1221" s="146">
        <v>0.4</v>
      </c>
      <c r="AA1221" s="145">
        <v>8.4870000000000001</v>
      </c>
      <c r="AB1221" s="145" t="s">
        <v>400</v>
      </c>
      <c r="AC1221" s="145">
        <v>13.57</v>
      </c>
      <c r="AD1221" s="145">
        <v>0.3</v>
      </c>
      <c r="AE1221" s="145">
        <v>5</v>
      </c>
      <c r="AF1221" s="145">
        <v>0.3</v>
      </c>
      <c r="AG1221" s="145">
        <v>0.48</v>
      </c>
      <c r="AH1221" s="145">
        <v>0.46400000000000002</v>
      </c>
      <c r="AI1221" s="145">
        <v>333</v>
      </c>
      <c r="AJ1221" s="145">
        <v>25.074999999999999</v>
      </c>
      <c r="AK1221" s="145">
        <v>48</v>
      </c>
      <c r="AL1221" s="145" t="s">
        <v>400</v>
      </c>
      <c r="AM1221" s="145" t="s">
        <v>400</v>
      </c>
    </row>
    <row r="1222" spans="1:39">
      <c r="A1222" s="143" t="s">
        <v>2282</v>
      </c>
      <c r="B1222" s="144">
        <v>100</v>
      </c>
      <c r="C1222" s="145">
        <v>196</v>
      </c>
      <c r="D1222" s="145">
        <v>22.103999999999999</v>
      </c>
      <c r="E1222" s="145">
        <v>10.916</v>
      </c>
      <c r="F1222" s="145">
        <v>3.0369999999999999</v>
      </c>
      <c r="G1222" s="145">
        <v>4.2770000000000001</v>
      </c>
      <c r="H1222" s="145">
        <v>2.391</v>
      </c>
      <c r="I1222" s="145">
        <v>2.0699999999999998</v>
      </c>
      <c r="J1222" s="145">
        <v>8.8999999999999996E-2</v>
      </c>
      <c r="K1222" s="145">
        <v>70.400000000000006</v>
      </c>
      <c r="L1222" s="145">
        <v>1.0760000000000001</v>
      </c>
      <c r="M1222" s="145">
        <v>0.3</v>
      </c>
      <c r="N1222" s="145">
        <v>14.6</v>
      </c>
      <c r="O1222" s="145">
        <v>21.6</v>
      </c>
      <c r="P1222" s="145">
        <v>3.6999999999999998E-2</v>
      </c>
      <c r="Q1222" s="145">
        <v>150.80000000000001</v>
      </c>
      <c r="R1222" s="145">
        <v>1.212</v>
      </c>
      <c r="S1222" s="145">
        <v>170.4</v>
      </c>
      <c r="T1222" s="145">
        <v>244.6</v>
      </c>
      <c r="U1222" s="145">
        <v>7.5999999999999998E-2</v>
      </c>
      <c r="V1222" s="145">
        <v>1.5920000000000001</v>
      </c>
      <c r="W1222" s="145">
        <v>38.4</v>
      </c>
      <c r="X1222" s="145">
        <v>5.5E-2</v>
      </c>
      <c r="Y1222" s="145">
        <v>0.14799999999999999</v>
      </c>
      <c r="Z1222" s="146">
        <v>0.33900000000000002</v>
      </c>
      <c r="AA1222" s="145">
        <v>6.9850000000000003</v>
      </c>
      <c r="AB1222" s="145">
        <v>1.4</v>
      </c>
      <c r="AC1222" s="145">
        <v>11.085000000000001</v>
      </c>
      <c r="AD1222" s="145">
        <v>0.24</v>
      </c>
      <c r="AE1222" s="145">
        <v>6.2</v>
      </c>
      <c r="AF1222" s="145">
        <v>0.24</v>
      </c>
      <c r="AG1222" s="145">
        <v>0.5</v>
      </c>
      <c r="AH1222" s="145">
        <v>0.36</v>
      </c>
      <c r="AI1222" s="145">
        <v>333</v>
      </c>
      <c r="AJ1222" s="145">
        <v>19.16</v>
      </c>
      <c r="AK1222" s="145">
        <v>41.883000000000003</v>
      </c>
      <c r="AL1222" s="145">
        <v>0.85</v>
      </c>
      <c r="AM1222" s="145" t="s">
        <v>400</v>
      </c>
    </row>
    <row r="1223" spans="1:39">
      <c r="A1223" s="143" t="s">
        <v>2283</v>
      </c>
      <c r="B1223" s="144">
        <v>100</v>
      </c>
      <c r="C1223" s="145">
        <v>261.65899999999999</v>
      </c>
      <c r="D1223" s="145">
        <v>27.3</v>
      </c>
      <c r="E1223" s="145">
        <v>16.163</v>
      </c>
      <c r="F1223" s="145">
        <v>4.1909999999999998</v>
      </c>
      <c r="G1223" s="145">
        <v>5.9240000000000004</v>
      </c>
      <c r="H1223" s="145">
        <v>4.45</v>
      </c>
      <c r="I1223" s="145">
        <v>3.8759999999999999</v>
      </c>
      <c r="J1223" s="145">
        <v>0.28399999999999997</v>
      </c>
      <c r="K1223" s="145">
        <v>88</v>
      </c>
      <c r="L1223" s="145" t="s">
        <v>400</v>
      </c>
      <c r="M1223" s="145" t="s">
        <v>400</v>
      </c>
      <c r="N1223" s="145">
        <v>15</v>
      </c>
      <c r="O1223" s="145">
        <v>23</v>
      </c>
      <c r="P1223" s="145">
        <v>0.02</v>
      </c>
      <c r="Q1223" s="145">
        <v>182</v>
      </c>
      <c r="R1223" s="145">
        <v>1.2609999999999999</v>
      </c>
      <c r="S1223" s="145">
        <v>82</v>
      </c>
      <c r="T1223" s="145">
        <v>223</v>
      </c>
      <c r="U1223" s="145">
        <v>6.6000000000000003E-2</v>
      </c>
      <c r="V1223" s="145">
        <v>1.94</v>
      </c>
      <c r="W1223" s="145">
        <v>48</v>
      </c>
      <c r="X1223" s="145">
        <v>6.3E-2</v>
      </c>
      <c r="Y1223" s="145">
        <v>0.16800000000000001</v>
      </c>
      <c r="Z1223" s="146">
        <v>0.4</v>
      </c>
      <c r="AA1223" s="145">
        <v>8.4870000000000001</v>
      </c>
      <c r="AB1223" s="145" t="s">
        <v>400</v>
      </c>
      <c r="AC1223" s="145">
        <v>13.57</v>
      </c>
      <c r="AD1223" s="145">
        <v>0.3</v>
      </c>
      <c r="AE1223" s="145">
        <v>5</v>
      </c>
      <c r="AF1223" s="145">
        <v>0.3</v>
      </c>
      <c r="AG1223" s="145">
        <v>0.48</v>
      </c>
      <c r="AH1223" s="145">
        <v>0.46400000000000002</v>
      </c>
      <c r="AI1223" s="145">
        <v>333</v>
      </c>
      <c r="AJ1223" s="145">
        <v>25.074999999999999</v>
      </c>
      <c r="AK1223" s="145">
        <v>48</v>
      </c>
      <c r="AL1223" s="145" t="s">
        <v>400</v>
      </c>
      <c r="AM1223" s="145" t="s">
        <v>400</v>
      </c>
    </row>
    <row r="1224" spans="1:39">
      <c r="A1224" s="143" t="s">
        <v>2284</v>
      </c>
      <c r="B1224" s="144">
        <v>100</v>
      </c>
      <c r="C1224" s="145">
        <v>239</v>
      </c>
      <c r="D1224" s="145">
        <v>27.3</v>
      </c>
      <c r="E1224" s="145">
        <v>13.6</v>
      </c>
      <c r="F1224" s="145">
        <v>3.79</v>
      </c>
      <c r="G1224" s="145">
        <v>5.34</v>
      </c>
      <c r="H1224" s="145">
        <v>2.97</v>
      </c>
      <c r="I1224" s="145">
        <v>2.57</v>
      </c>
      <c r="J1224" s="145">
        <v>0.11</v>
      </c>
      <c r="K1224" s="145">
        <v>88</v>
      </c>
      <c r="L1224" s="145" t="s">
        <v>400</v>
      </c>
      <c r="M1224" s="145" t="s">
        <v>400</v>
      </c>
      <c r="N1224" s="145">
        <v>15</v>
      </c>
      <c r="O1224" s="145">
        <v>23</v>
      </c>
      <c r="P1224" s="145">
        <v>0.02</v>
      </c>
      <c r="Q1224" s="145">
        <v>182</v>
      </c>
      <c r="R1224" s="145">
        <v>1.26</v>
      </c>
      <c r="S1224" s="145">
        <v>82</v>
      </c>
      <c r="T1224" s="145">
        <v>223</v>
      </c>
      <c r="U1224" s="145">
        <v>6.6000000000000003E-2</v>
      </c>
      <c r="V1224" s="145">
        <v>1.94</v>
      </c>
      <c r="W1224" s="145">
        <v>48</v>
      </c>
      <c r="X1224" s="145">
        <v>6.3E-2</v>
      </c>
      <c r="Y1224" s="145">
        <v>0.16800000000000001</v>
      </c>
      <c r="Z1224" s="146">
        <v>0.4</v>
      </c>
      <c r="AA1224" s="145">
        <v>8.4870000000000001</v>
      </c>
      <c r="AB1224" s="145" t="s">
        <v>400</v>
      </c>
      <c r="AC1224" s="145">
        <v>13.57</v>
      </c>
      <c r="AD1224" s="145">
        <v>0.3</v>
      </c>
      <c r="AE1224" s="145">
        <v>5</v>
      </c>
      <c r="AF1224" s="145">
        <v>0.3</v>
      </c>
      <c r="AG1224" s="145">
        <v>0.27</v>
      </c>
      <c r="AH1224" s="145">
        <v>0.45</v>
      </c>
      <c r="AI1224" s="145">
        <v>333</v>
      </c>
      <c r="AJ1224" s="145">
        <v>23.9</v>
      </c>
      <c r="AK1224" s="145">
        <v>48</v>
      </c>
      <c r="AL1224" s="145" t="s">
        <v>400</v>
      </c>
      <c r="AM1224" s="145" t="s">
        <v>400</v>
      </c>
    </row>
    <row r="1225" spans="1:39">
      <c r="A1225" s="143" t="s">
        <v>2285</v>
      </c>
      <c r="B1225" s="144">
        <v>100</v>
      </c>
      <c r="C1225" s="145">
        <v>239</v>
      </c>
      <c r="D1225" s="145">
        <v>27.3</v>
      </c>
      <c r="E1225" s="145">
        <v>13.6</v>
      </c>
      <c r="F1225" s="145">
        <v>3.79</v>
      </c>
      <c r="G1225" s="145">
        <v>5.34</v>
      </c>
      <c r="H1225" s="145">
        <v>2.97</v>
      </c>
      <c r="I1225" s="145">
        <v>2.57</v>
      </c>
      <c r="J1225" s="145">
        <v>0.11</v>
      </c>
      <c r="K1225" s="145">
        <v>88</v>
      </c>
      <c r="L1225" s="145" t="s">
        <v>400</v>
      </c>
      <c r="M1225" s="145" t="s">
        <v>400</v>
      </c>
      <c r="N1225" s="145">
        <v>15</v>
      </c>
      <c r="O1225" s="145">
        <v>23</v>
      </c>
      <c r="P1225" s="145">
        <v>0.02</v>
      </c>
      <c r="Q1225" s="145">
        <v>182</v>
      </c>
      <c r="R1225" s="145">
        <v>1.26</v>
      </c>
      <c r="S1225" s="145">
        <v>82</v>
      </c>
      <c r="T1225" s="145">
        <v>223</v>
      </c>
      <c r="U1225" s="145">
        <v>6.6000000000000003E-2</v>
      </c>
      <c r="V1225" s="145">
        <v>1.94</v>
      </c>
      <c r="W1225" s="145">
        <v>48</v>
      </c>
      <c r="X1225" s="145">
        <v>6.3E-2</v>
      </c>
      <c r="Y1225" s="145">
        <v>0.16800000000000001</v>
      </c>
      <c r="Z1225" s="146">
        <v>0.4</v>
      </c>
      <c r="AA1225" s="145">
        <v>8.4870000000000001</v>
      </c>
      <c r="AB1225" s="145" t="s">
        <v>400</v>
      </c>
      <c r="AC1225" s="145">
        <v>13.57</v>
      </c>
      <c r="AD1225" s="145">
        <v>0.3</v>
      </c>
      <c r="AE1225" s="145">
        <v>5</v>
      </c>
      <c r="AF1225" s="145">
        <v>0.3</v>
      </c>
      <c r="AG1225" s="145">
        <v>0.27</v>
      </c>
      <c r="AH1225" s="145">
        <v>0.45</v>
      </c>
      <c r="AI1225" s="145">
        <v>333</v>
      </c>
      <c r="AJ1225" s="145">
        <v>23.9</v>
      </c>
      <c r="AK1225" s="145">
        <v>48</v>
      </c>
      <c r="AL1225" s="145" t="s">
        <v>400</v>
      </c>
      <c r="AM1225" s="145" t="s">
        <v>400</v>
      </c>
    </row>
    <row r="1226" spans="1:39">
      <c r="A1226" s="143" t="s">
        <v>2286</v>
      </c>
      <c r="B1226" s="144">
        <v>100</v>
      </c>
      <c r="C1226" s="145">
        <v>239</v>
      </c>
      <c r="D1226" s="145">
        <v>27.3</v>
      </c>
      <c r="E1226" s="145">
        <v>13.6</v>
      </c>
      <c r="F1226" s="145">
        <v>3.79</v>
      </c>
      <c r="G1226" s="145">
        <v>5.34</v>
      </c>
      <c r="H1226" s="145">
        <v>2.97</v>
      </c>
      <c r="I1226" s="145">
        <v>2.57</v>
      </c>
      <c r="J1226" s="145">
        <v>0.11</v>
      </c>
      <c r="K1226" s="145">
        <v>88</v>
      </c>
      <c r="L1226" s="145" t="s">
        <v>400</v>
      </c>
      <c r="M1226" s="145" t="s">
        <v>400</v>
      </c>
      <c r="N1226" s="145">
        <v>15</v>
      </c>
      <c r="O1226" s="145">
        <v>23</v>
      </c>
      <c r="P1226" s="145">
        <v>0.02</v>
      </c>
      <c r="Q1226" s="145">
        <v>182</v>
      </c>
      <c r="R1226" s="145">
        <v>1.26</v>
      </c>
      <c r="S1226" s="145">
        <v>82</v>
      </c>
      <c r="T1226" s="145">
        <v>223</v>
      </c>
      <c r="U1226" s="145">
        <v>6.6000000000000003E-2</v>
      </c>
      <c r="V1226" s="145">
        <v>1.94</v>
      </c>
      <c r="W1226" s="145">
        <v>48</v>
      </c>
      <c r="X1226" s="145">
        <v>6.3E-2</v>
      </c>
      <c r="Y1226" s="145">
        <v>0.16800000000000001</v>
      </c>
      <c r="Z1226" s="146">
        <v>0.4</v>
      </c>
      <c r="AA1226" s="145">
        <v>8.4870000000000001</v>
      </c>
      <c r="AB1226" s="145" t="s">
        <v>400</v>
      </c>
      <c r="AC1226" s="145">
        <v>13.57</v>
      </c>
      <c r="AD1226" s="145">
        <v>0.3</v>
      </c>
      <c r="AE1226" s="145">
        <v>5</v>
      </c>
      <c r="AF1226" s="145">
        <v>0.3</v>
      </c>
      <c r="AG1226" s="145">
        <v>0.27</v>
      </c>
      <c r="AH1226" s="145">
        <v>0.45</v>
      </c>
      <c r="AI1226" s="145">
        <v>333</v>
      </c>
      <c r="AJ1226" s="145">
        <v>23.9</v>
      </c>
      <c r="AK1226" s="145">
        <v>48</v>
      </c>
      <c r="AL1226" s="145" t="s">
        <v>400</v>
      </c>
      <c r="AM1226" s="145" t="s">
        <v>400</v>
      </c>
    </row>
    <row r="1227" spans="1:39">
      <c r="A1227" s="143" t="s">
        <v>2287</v>
      </c>
      <c r="B1227" s="144">
        <v>100</v>
      </c>
      <c r="C1227" s="145">
        <v>239</v>
      </c>
      <c r="D1227" s="145">
        <v>27.3</v>
      </c>
      <c r="E1227" s="145">
        <v>13.6</v>
      </c>
      <c r="F1227" s="145">
        <v>3.79</v>
      </c>
      <c r="G1227" s="145">
        <v>5.34</v>
      </c>
      <c r="H1227" s="145">
        <v>2.97</v>
      </c>
      <c r="I1227" s="145">
        <v>2.57</v>
      </c>
      <c r="J1227" s="145">
        <v>0.11</v>
      </c>
      <c r="K1227" s="145">
        <v>88</v>
      </c>
      <c r="L1227" s="145" t="s">
        <v>400</v>
      </c>
      <c r="M1227" s="145" t="s">
        <v>400</v>
      </c>
      <c r="N1227" s="145">
        <v>15</v>
      </c>
      <c r="O1227" s="145">
        <v>23</v>
      </c>
      <c r="P1227" s="145">
        <v>0.02</v>
      </c>
      <c r="Q1227" s="145">
        <v>182</v>
      </c>
      <c r="R1227" s="145">
        <v>1.26</v>
      </c>
      <c r="S1227" s="145">
        <v>82</v>
      </c>
      <c r="T1227" s="145">
        <v>223</v>
      </c>
      <c r="U1227" s="145">
        <v>6.6000000000000003E-2</v>
      </c>
      <c r="V1227" s="145">
        <v>1.94</v>
      </c>
      <c r="W1227" s="145">
        <v>48</v>
      </c>
      <c r="X1227" s="145">
        <v>6.3E-2</v>
      </c>
      <c r="Y1227" s="145">
        <v>0.16800000000000001</v>
      </c>
      <c r="Z1227" s="146">
        <v>0.4</v>
      </c>
      <c r="AA1227" s="145">
        <v>8.4870000000000001</v>
      </c>
      <c r="AB1227" s="145" t="s">
        <v>400</v>
      </c>
      <c r="AC1227" s="145">
        <v>13.57</v>
      </c>
      <c r="AD1227" s="145">
        <v>0.3</v>
      </c>
      <c r="AE1227" s="145">
        <v>5</v>
      </c>
      <c r="AF1227" s="145">
        <v>0.3</v>
      </c>
      <c r="AG1227" s="145">
        <v>0.27</v>
      </c>
      <c r="AH1227" s="145">
        <v>0.45</v>
      </c>
      <c r="AI1227" s="145">
        <v>333</v>
      </c>
      <c r="AJ1227" s="145">
        <v>23.9</v>
      </c>
      <c r="AK1227" s="145">
        <v>48</v>
      </c>
      <c r="AL1227" s="145" t="s">
        <v>400</v>
      </c>
      <c r="AM1227" s="145" t="s">
        <v>400</v>
      </c>
    </row>
    <row r="1228" spans="1:39">
      <c r="A1228" s="143" t="s">
        <v>2288</v>
      </c>
      <c r="B1228" s="144">
        <v>100</v>
      </c>
      <c r="C1228" s="145">
        <v>239</v>
      </c>
      <c r="D1228" s="145">
        <v>27.3</v>
      </c>
      <c r="E1228" s="145">
        <v>13.6</v>
      </c>
      <c r="F1228" s="145">
        <v>3.79</v>
      </c>
      <c r="G1228" s="145">
        <v>5.34</v>
      </c>
      <c r="H1228" s="145">
        <v>2.97</v>
      </c>
      <c r="I1228" s="145">
        <v>2.57</v>
      </c>
      <c r="J1228" s="145">
        <v>0.11</v>
      </c>
      <c r="K1228" s="145">
        <v>88</v>
      </c>
      <c r="L1228" s="145" t="s">
        <v>400</v>
      </c>
      <c r="M1228" s="145" t="s">
        <v>400</v>
      </c>
      <c r="N1228" s="145">
        <v>15</v>
      </c>
      <c r="O1228" s="145">
        <v>23</v>
      </c>
      <c r="P1228" s="145">
        <v>0.02</v>
      </c>
      <c r="Q1228" s="145">
        <v>182</v>
      </c>
      <c r="R1228" s="145">
        <v>1.26</v>
      </c>
      <c r="S1228" s="145">
        <v>82</v>
      </c>
      <c r="T1228" s="145">
        <v>223</v>
      </c>
      <c r="U1228" s="145">
        <v>6.6000000000000003E-2</v>
      </c>
      <c r="V1228" s="145">
        <v>1.94</v>
      </c>
      <c r="W1228" s="145">
        <v>48</v>
      </c>
      <c r="X1228" s="145">
        <v>6.3E-2</v>
      </c>
      <c r="Y1228" s="145">
        <v>0.16800000000000001</v>
      </c>
      <c r="Z1228" s="146">
        <v>0.4</v>
      </c>
      <c r="AA1228" s="145">
        <v>8.4870000000000001</v>
      </c>
      <c r="AB1228" s="145" t="s">
        <v>400</v>
      </c>
      <c r="AC1228" s="145">
        <v>13.57</v>
      </c>
      <c r="AD1228" s="145">
        <v>0.3</v>
      </c>
      <c r="AE1228" s="145">
        <v>5</v>
      </c>
      <c r="AF1228" s="145">
        <v>0.3</v>
      </c>
      <c r="AG1228" s="145">
        <v>0.27</v>
      </c>
      <c r="AH1228" s="145">
        <v>0.45</v>
      </c>
      <c r="AI1228" s="145">
        <v>333</v>
      </c>
      <c r="AJ1228" s="145">
        <v>23.9</v>
      </c>
      <c r="AK1228" s="145">
        <v>48</v>
      </c>
      <c r="AL1228" s="145" t="s">
        <v>400</v>
      </c>
      <c r="AM1228" s="145" t="s">
        <v>400</v>
      </c>
    </row>
    <row r="1229" spans="1:39">
      <c r="A1229" s="143" t="s">
        <v>2289</v>
      </c>
      <c r="B1229" s="144">
        <v>100</v>
      </c>
      <c r="C1229" s="145">
        <v>261.65899999999999</v>
      </c>
      <c r="D1229" s="145">
        <v>27.3</v>
      </c>
      <c r="E1229" s="145">
        <v>16.163</v>
      </c>
      <c r="F1229" s="145">
        <v>4.1909999999999998</v>
      </c>
      <c r="G1229" s="145">
        <v>5.9240000000000004</v>
      </c>
      <c r="H1229" s="145">
        <v>4.45</v>
      </c>
      <c r="I1229" s="145">
        <v>3.8759999999999999</v>
      </c>
      <c r="J1229" s="145">
        <v>0.28399999999999997</v>
      </c>
      <c r="K1229" s="145">
        <v>88</v>
      </c>
      <c r="L1229" s="145" t="s">
        <v>400</v>
      </c>
      <c r="M1229" s="145" t="s">
        <v>400</v>
      </c>
      <c r="N1229" s="145">
        <v>15</v>
      </c>
      <c r="O1229" s="145">
        <v>23</v>
      </c>
      <c r="P1229" s="145">
        <v>0.02</v>
      </c>
      <c r="Q1229" s="145">
        <v>182</v>
      </c>
      <c r="R1229" s="145">
        <v>1.2609999999999999</v>
      </c>
      <c r="S1229" s="145">
        <v>82</v>
      </c>
      <c r="T1229" s="145">
        <v>223</v>
      </c>
      <c r="U1229" s="145">
        <v>6.6000000000000003E-2</v>
      </c>
      <c r="V1229" s="145">
        <v>1.94</v>
      </c>
      <c r="W1229" s="145">
        <v>48</v>
      </c>
      <c r="X1229" s="145">
        <v>6.3E-2</v>
      </c>
      <c r="Y1229" s="145">
        <v>0.16800000000000001</v>
      </c>
      <c r="Z1229" s="146">
        <v>0.4</v>
      </c>
      <c r="AA1229" s="145">
        <v>8.4870000000000001</v>
      </c>
      <c r="AB1229" s="145" t="s">
        <v>400</v>
      </c>
      <c r="AC1229" s="145">
        <v>13.57</v>
      </c>
      <c r="AD1229" s="145">
        <v>0.3</v>
      </c>
      <c r="AE1229" s="145">
        <v>5</v>
      </c>
      <c r="AF1229" s="145">
        <v>0.3</v>
      </c>
      <c r="AG1229" s="145">
        <v>0.48</v>
      </c>
      <c r="AH1229" s="145">
        <v>0.46400000000000002</v>
      </c>
      <c r="AI1229" s="145">
        <v>333</v>
      </c>
      <c r="AJ1229" s="145">
        <v>25.074999999999999</v>
      </c>
      <c r="AK1229" s="145">
        <v>48</v>
      </c>
      <c r="AL1229" s="145" t="s">
        <v>400</v>
      </c>
      <c r="AM1229" s="145" t="s">
        <v>400</v>
      </c>
    </row>
    <row r="1230" spans="1:39">
      <c r="A1230" s="143" t="s">
        <v>2290</v>
      </c>
      <c r="B1230" s="144">
        <v>100</v>
      </c>
      <c r="C1230" s="145">
        <v>277.83699999999999</v>
      </c>
      <c r="D1230" s="145">
        <v>27.759</v>
      </c>
      <c r="E1230" s="145">
        <v>16.207000000000001</v>
      </c>
      <c r="F1230" s="145">
        <v>4.1980000000000004</v>
      </c>
      <c r="G1230" s="145">
        <v>5.9279999999999999</v>
      </c>
      <c r="H1230" s="145">
        <v>4.468</v>
      </c>
      <c r="I1230" s="145">
        <v>3.8929999999999998</v>
      </c>
      <c r="J1230" s="145">
        <v>0.28499999999999998</v>
      </c>
      <c r="K1230" s="145">
        <v>88</v>
      </c>
      <c r="L1230" s="145">
        <v>3.3919999999999999</v>
      </c>
      <c r="M1230" s="145">
        <v>0.13500000000000001</v>
      </c>
      <c r="N1230" s="145">
        <v>15.667</v>
      </c>
      <c r="O1230" s="145">
        <v>23.978000000000002</v>
      </c>
      <c r="P1230" s="145">
        <v>0.05</v>
      </c>
      <c r="Q1230" s="145">
        <v>186.8</v>
      </c>
      <c r="R1230" s="145">
        <v>1.468</v>
      </c>
      <c r="S1230" s="145">
        <v>82.088999999999999</v>
      </c>
      <c r="T1230" s="145">
        <v>227.756</v>
      </c>
      <c r="U1230" s="145">
        <v>7.1999999999999995E-2</v>
      </c>
      <c r="V1230" s="145">
        <v>1.9710000000000001</v>
      </c>
      <c r="W1230" s="145">
        <v>48</v>
      </c>
      <c r="X1230" s="145">
        <v>9.8000000000000004E-2</v>
      </c>
      <c r="Y1230" s="145">
        <v>0.19</v>
      </c>
      <c r="Z1230" s="146">
        <v>0.40200000000000002</v>
      </c>
      <c r="AA1230" s="145">
        <v>8.7490000000000006</v>
      </c>
      <c r="AB1230" s="145" t="s">
        <v>400</v>
      </c>
      <c r="AC1230" s="145">
        <v>13.927</v>
      </c>
      <c r="AD1230" s="145">
        <v>0.3</v>
      </c>
      <c r="AE1230" s="145">
        <v>14.067</v>
      </c>
      <c r="AF1230" s="145">
        <v>0.3</v>
      </c>
      <c r="AG1230" s="145">
        <v>0.48199999999999998</v>
      </c>
      <c r="AH1230" s="145">
        <v>0.46400000000000002</v>
      </c>
      <c r="AI1230" s="145">
        <v>333</v>
      </c>
      <c r="AJ1230" s="145">
        <v>26.581</v>
      </c>
      <c r="AK1230" s="145">
        <v>48</v>
      </c>
      <c r="AL1230" s="145">
        <v>1.4E-2</v>
      </c>
      <c r="AM1230" s="145" t="s">
        <v>400</v>
      </c>
    </row>
    <row r="1231" spans="1:39">
      <c r="A1231" s="143" t="s">
        <v>2291</v>
      </c>
      <c r="B1231" s="144">
        <v>100</v>
      </c>
      <c r="C1231" s="145">
        <v>261.65899999999999</v>
      </c>
      <c r="D1231" s="145">
        <v>27.3</v>
      </c>
      <c r="E1231" s="145">
        <v>16.163</v>
      </c>
      <c r="F1231" s="145">
        <v>4.1909999999999998</v>
      </c>
      <c r="G1231" s="145">
        <v>5.9240000000000004</v>
      </c>
      <c r="H1231" s="145">
        <v>4.45</v>
      </c>
      <c r="I1231" s="145">
        <v>3.8759999999999999</v>
      </c>
      <c r="J1231" s="145">
        <v>0.28399999999999997</v>
      </c>
      <c r="K1231" s="145">
        <v>88</v>
      </c>
      <c r="L1231" s="145" t="s">
        <v>400</v>
      </c>
      <c r="M1231" s="145" t="s">
        <v>400</v>
      </c>
      <c r="N1231" s="145">
        <v>15</v>
      </c>
      <c r="O1231" s="145">
        <v>23</v>
      </c>
      <c r="P1231" s="145">
        <v>0.02</v>
      </c>
      <c r="Q1231" s="145">
        <v>182</v>
      </c>
      <c r="R1231" s="145">
        <v>1.2609999999999999</v>
      </c>
      <c r="S1231" s="145">
        <v>82</v>
      </c>
      <c r="T1231" s="145">
        <v>223</v>
      </c>
      <c r="U1231" s="145">
        <v>6.6000000000000003E-2</v>
      </c>
      <c r="V1231" s="145">
        <v>1.94</v>
      </c>
      <c r="W1231" s="145">
        <v>48</v>
      </c>
      <c r="X1231" s="145">
        <v>6.3E-2</v>
      </c>
      <c r="Y1231" s="145">
        <v>0.16800000000000001</v>
      </c>
      <c r="Z1231" s="146">
        <v>0.4</v>
      </c>
      <c r="AA1231" s="145">
        <v>8.4870000000000001</v>
      </c>
      <c r="AB1231" s="145" t="s">
        <v>400</v>
      </c>
      <c r="AC1231" s="145">
        <v>13.57</v>
      </c>
      <c r="AD1231" s="145">
        <v>0.3</v>
      </c>
      <c r="AE1231" s="145">
        <v>5</v>
      </c>
      <c r="AF1231" s="145">
        <v>0.3</v>
      </c>
      <c r="AG1231" s="145">
        <v>0.48</v>
      </c>
      <c r="AH1231" s="145">
        <v>0.46400000000000002</v>
      </c>
      <c r="AI1231" s="145">
        <v>333</v>
      </c>
      <c r="AJ1231" s="145">
        <v>25.074999999999999</v>
      </c>
      <c r="AK1231" s="145">
        <v>48</v>
      </c>
      <c r="AL1231" s="145" t="s">
        <v>400</v>
      </c>
      <c r="AM1231" s="145" t="s">
        <v>400</v>
      </c>
    </row>
    <row r="1232" spans="1:39">
      <c r="A1232" s="143" t="s">
        <v>2292</v>
      </c>
      <c r="B1232" s="144">
        <v>100</v>
      </c>
      <c r="C1232" s="145">
        <v>196</v>
      </c>
      <c r="D1232" s="145">
        <v>22.103999999999999</v>
      </c>
      <c r="E1232" s="145">
        <v>10.916</v>
      </c>
      <c r="F1232" s="145">
        <v>3.0369999999999999</v>
      </c>
      <c r="G1232" s="145">
        <v>4.2770000000000001</v>
      </c>
      <c r="H1232" s="145">
        <v>2.391</v>
      </c>
      <c r="I1232" s="145">
        <v>2.0699999999999998</v>
      </c>
      <c r="J1232" s="145">
        <v>8.8999999999999996E-2</v>
      </c>
      <c r="K1232" s="145">
        <v>70.400000000000006</v>
      </c>
      <c r="L1232" s="145">
        <v>1.0760000000000001</v>
      </c>
      <c r="M1232" s="145">
        <v>0.3</v>
      </c>
      <c r="N1232" s="145">
        <v>14.6</v>
      </c>
      <c r="O1232" s="145">
        <v>21.6</v>
      </c>
      <c r="P1232" s="145">
        <v>3.6999999999999998E-2</v>
      </c>
      <c r="Q1232" s="145">
        <v>150.80000000000001</v>
      </c>
      <c r="R1232" s="145">
        <v>1.212</v>
      </c>
      <c r="S1232" s="145">
        <v>170.4</v>
      </c>
      <c r="T1232" s="145">
        <v>244.6</v>
      </c>
      <c r="U1232" s="145">
        <v>7.5999999999999998E-2</v>
      </c>
      <c r="V1232" s="145">
        <v>1.5920000000000001</v>
      </c>
      <c r="W1232" s="145">
        <v>38.4</v>
      </c>
      <c r="X1232" s="145">
        <v>5.5E-2</v>
      </c>
      <c r="Y1232" s="145">
        <v>0.14799999999999999</v>
      </c>
      <c r="Z1232" s="146">
        <v>0.33900000000000002</v>
      </c>
      <c r="AA1232" s="145">
        <v>6.9850000000000003</v>
      </c>
      <c r="AB1232" s="145">
        <v>1.4</v>
      </c>
      <c r="AC1232" s="145">
        <v>11.085000000000001</v>
      </c>
      <c r="AD1232" s="145">
        <v>0.24</v>
      </c>
      <c r="AE1232" s="145">
        <v>6.2</v>
      </c>
      <c r="AF1232" s="145">
        <v>0.24</v>
      </c>
      <c r="AG1232" s="145">
        <v>0.5</v>
      </c>
      <c r="AH1232" s="145">
        <v>0.36</v>
      </c>
      <c r="AI1232" s="145">
        <v>333</v>
      </c>
      <c r="AJ1232" s="145">
        <v>19.16</v>
      </c>
      <c r="AK1232" s="145">
        <v>41.883000000000003</v>
      </c>
      <c r="AL1232" s="145">
        <v>0.85</v>
      </c>
      <c r="AM1232" s="145" t="s">
        <v>400</v>
      </c>
    </row>
    <row r="1233" spans="1:39">
      <c r="A1233" s="143" t="s">
        <v>2293</v>
      </c>
      <c r="B1233" s="144">
        <v>100</v>
      </c>
      <c r="C1233" s="145">
        <v>226.785</v>
      </c>
      <c r="D1233" s="145">
        <v>22.6</v>
      </c>
      <c r="E1233" s="145">
        <v>13.707000000000001</v>
      </c>
      <c r="F1233" s="145">
        <v>3.7389999999999999</v>
      </c>
      <c r="G1233" s="145">
        <v>4.9279999999999999</v>
      </c>
      <c r="H1233" s="145">
        <v>3.6779999999999999</v>
      </c>
      <c r="I1233" s="145">
        <v>3.1949999999999998</v>
      </c>
      <c r="J1233" s="145">
        <v>0.251</v>
      </c>
      <c r="K1233" s="145">
        <v>72.352000000000004</v>
      </c>
      <c r="L1233" s="145">
        <v>1.849</v>
      </c>
      <c r="M1233" s="145">
        <v>4.2999999999999997E-2</v>
      </c>
      <c r="N1233" s="145">
        <v>34.363999999999997</v>
      </c>
      <c r="O1233" s="145">
        <v>20.667999999999999</v>
      </c>
      <c r="P1233" s="145">
        <v>2.5999999999999999E-2</v>
      </c>
      <c r="Q1233" s="145">
        <v>164.749</v>
      </c>
      <c r="R1233" s="145">
        <v>1.079</v>
      </c>
      <c r="S1233" s="145">
        <v>120.598</v>
      </c>
      <c r="T1233" s="145">
        <v>207.91900000000001</v>
      </c>
      <c r="U1233" s="145">
        <v>5.7000000000000002E-2</v>
      </c>
      <c r="V1233" s="145">
        <v>1.639</v>
      </c>
      <c r="W1233" s="145">
        <v>43.866</v>
      </c>
      <c r="X1233" s="145">
        <v>6.9000000000000006E-2</v>
      </c>
      <c r="Y1233" s="145">
        <v>0.17599999999999999</v>
      </c>
      <c r="Z1233" s="146">
        <v>0.32800000000000001</v>
      </c>
      <c r="AA1233" s="145">
        <v>6.8849999999999998</v>
      </c>
      <c r="AB1233" s="145">
        <v>4.0000000000000001E-3</v>
      </c>
      <c r="AC1233" s="145">
        <v>11.222</v>
      </c>
      <c r="AD1233" s="145">
        <v>0.32600000000000001</v>
      </c>
      <c r="AE1233" s="145">
        <v>7.5279999999999996</v>
      </c>
      <c r="AF1233" s="145">
        <v>0.435</v>
      </c>
      <c r="AG1233" s="145">
        <v>0.40699999999999997</v>
      </c>
      <c r="AH1233" s="145">
        <v>0.39400000000000002</v>
      </c>
      <c r="AI1233" s="145">
        <v>333</v>
      </c>
      <c r="AJ1233" s="145">
        <v>21.265999999999998</v>
      </c>
      <c r="AK1233" s="145">
        <v>43.95</v>
      </c>
      <c r="AL1233" s="145">
        <v>1.0309999999999999</v>
      </c>
      <c r="AM1233" s="145" t="s">
        <v>400</v>
      </c>
    </row>
    <row r="1234" spans="1:39">
      <c r="A1234" s="143" t="s">
        <v>2294</v>
      </c>
      <c r="B1234" s="144">
        <v>100</v>
      </c>
      <c r="C1234" s="145">
        <v>261.65899999999999</v>
      </c>
      <c r="D1234" s="145">
        <v>27.3</v>
      </c>
      <c r="E1234" s="145">
        <v>16.163</v>
      </c>
      <c r="F1234" s="145">
        <v>4.1909999999999998</v>
      </c>
      <c r="G1234" s="145">
        <v>5.9240000000000004</v>
      </c>
      <c r="H1234" s="145">
        <v>4.45</v>
      </c>
      <c r="I1234" s="145">
        <v>3.8759999999999999</v>
      </c>
      <c r="J1234" s="145">
        <v>0.28399999999999997</v>
      </c>
      <c r="K1234" s="145">
        <v>88</v>
      </c>
      <c r="L1234" s="145" t="s">
        <v>400</v>
      </c>
      <c r="M1234" s="145" t="s">
        <v>400</v>
      </c>
      <c r="N1234" s="145">
        <v>15</v>
      </c>
      <c r="O1234" s="145">
        <v>23</v>
      </c>
      <c r="P1234" s="145">
        <v>0.02</v>
      </c>
      <c r="Q1234" s="145">
        <v>182</v>
      </c>
      <c r="R1234" s="145">
        <v>1.2609999999999999</v>
      </c>
      <c r="S1234" s="145">
        <v>82</v>
      </c>
      <c r="T1234" s="145">
        <v>223</v>
      </c>
      <c r="U1234" s="145">
        <v>6.6000000000000003E-2</v>
      </c>
      <c r="V1234" s="145">
        <v>1.94</v>
      </c>
      <c r="W1234" s="145">
        <v>48</v>
      </c>
      <c r="X1234" s="145">
        <v>6.3E-2</v>
      </c>
      <c r="Y1234" s="145">
        <v>0.16800000000000001</v>
      </c>
      <c r="Z1234" s="146">
        <v>0.4</v>
      </c>
      <c r="AA1234" s="145">
        <v>8.4870000000000001</v>
      </c>
      <c r="AB1234" s="145" t="s">
        <v>400</v>
      </c>
      <c r="AC1234" s="145">
        <v>13.57</v>
      </c>
      <c r="AD1234" s="145">
        <v>0.3</v>
      </c>
      <c r="AE1234" s="145">
        <v>5</v>
      </c>
      <c r="AF1234" s="145">
        <v>0.3</v>
      </c>
      <c r="AG1234" s="145">
        <v>0.48</v>
      </c>
      <c r="AH1234" s="145">
        <v>0.46400000000000002</v>
      </c>
      <c r="AI1234" s="145">
        <v>333</v>
      </c>
      <c r="AJ1234" s="145">
        <v>25.074999999999999</v>
      </c>
      <c r="AK1234" s="145">
        <v>48</v>
      </c>
      <c r="AL1234" s="145" t="s">
        <v>400</v>
      </c>
      <c r="AM1234" s="145" t="s">
        <v>400</v>
      </c>
    </row>
    <row r="1235" spans="1:39">
      <c r="A1235" s="143" t="s">
        <v>2295</v>
      </c>
      <c r="B1235" s="144">
        <v>100</v>
      </c>
      <c r="C1235" s="145">
        <v>192.137</v>
      </c>
      <c r="D1235" s="145">
        <v>30.933</v>
      </c>
      <c r="E1235" s="145">
        <v>6.6749999999999998</v>
      </c>
      <c r="F1235" s="145">
        <v>2.641</v>
      </c>
      <c r="G1235" s="145">
        <v>2.101</v>
      </c>
      <c r="H1235" s="145">
        <v>1.0609999999999999</v>
      </c>
      <c r="I1235" s="145">
        <v>0.81299999999999994</v>
      </c>
      <c r="J1235" s="145">
        <v>4.8000000000000001E-2</v>
      </c>
      <c r="K1235" s="145">
        <v>90.738</v>
      </c>
      <c r="L1235" s="145">
        <v>2E-3</v>
      </c>
      <c r="M1235" s="145" t="s">
        <v>400</v>
      </c>
      <c r="N1235" s="145">
        <v>15.641</v>
      </c>
      <c r="O1235" s="145">
        <v>27.053000000000001</v>
      </c>
      <c r="P1235" s="145">
        <v>1.7000000000000001E-2</v>
      </c>
      <c r="Q1235" s="145">
        <v>216.64099999999999</v>
      </c>
      <c r="R1235" s="145">
        <v>1.0609999999999999</v>
      </c>
      <c r="S1235" s="145">
        <v>92.373999999999995</v>
      </c>
      <c r="T1235" s="145">
        <v>247.64099999999999</v>
      </c>
      <c r="U1235" s="145">
        <v>0.05</v>
      </c>
      <c r="V1235" s="145">
        <v>1.232</v>
      </c>
      <c r="W1235" s="145">
        <v>26.908999999999999</v>
      </c>
      <c r="X1235" s="145">
        <v>6.5000000000000002E-2</v>
      </c>
      <c r="Y1235" s="145">
        <v>0.11700000000000001</v>
      </c>
      <c r="Z1235" s="145">
        <v>0.6</v>
      </c>
      <c r="AA1235" s="145">
        <v>12.422000000000001</v>
      </c>
      <c r="AB1235" s="145" t="s">
        <v>400</v>
      </c>
      <c r="AC1235" s="145">
        <v>18.443999999999999</v>
      </c>
      <c r="AD1235" s="145">
        <v>0.34499999999999997</v>
      </c>
      <c r="AE1235" s="145">
        <v>4.08</v>
      </c>
      <c r="AF1235" s="145">
        <v>0.23699999999999999</v>
      </c>
      <c r="AG1235" s="145">
        <v>0.33200000000000002</v>
      </c>
      <c r="AH1235" s="145">
        <v>0.17699999999999999</v>
      </c>
      <c r="AI1235" s="145">
        <v>333</v>
      </c>
      <c r="AJ1235" s="145">
        <v>24.427</v>
      </c>
      <c r="AK1235" s="145">
        <v>27.260999999999999</v>
      </c>
      <c r="AL1235" s="145">
        <v>3.0000000000000001E-3</v>
      </c>
      <c r="AM1235" s="145" t="s">
        <v>400</v>
      </c>
    </row>
    <row r="1236" spans="1:39">
      <c r="A1236" s="143" t="s">
        <v>2296</v>
      </c>
      <c r="B1236" s="144">
        <v>100</v>
      </c>
      <c r="C1236" s="145">
        <v>261.65899999999999</v>
      </c>
      <c r="D1236" s="145">
        <v>27.3</v>
      </c>
      <c r="E1236" s="145">
        <v>16.163</v>
      </c>
      <c r="F1236" s="145">
        <v>4.1909999999999998</v>
      </c>
      <c r="G1236" s="145">
        <v>5.9240000000000004</v>
      </c>
      <c r="H1236" s="145">
        <v>4.45</v>
      </c>
      <c r="I1236" s="145">
        <v>3.8759999999999999</v>
      </c>
      <c r="J1236" s="145">
        <v>0.28399999999999997</v>
      </c>
      <c r="K1236" s="145">
        <v>88</v>
      </c>
      <c r="L1236" s="145" t="s">
        <v>400</v>
      </c>
      <c r="M1236" s="145" t="s">
        <v>400</v>
      </c>
      <c r="N1236" s="145">
        <v>15</v>
      </c>
      <c r="O1236" s="145">
        <v>23</v>
      </c>
      <c r="P1236" s="145">
        <v>0.02</v>
      </c>
      <c r="Q1236" s="145">
        <v>182</v>
      </c>
      <c r="R1236" s="145">
        <v>1.2609999999999999</v>
      </c>
      <c r="S1236" s="145">
        <v>82</v>
      </c>
      <c r="T1236" s="145">
        <v>223</v>
      </c>
      <c r="U1236" s="145">
        <v>6.6000000000000003E-2</v>
      </c>
      <c r="V1236" s="145">
        <v>1.94</v>
      </c>
      <c r="W1236" s="145">
        <v>48</v>
      </c>
      <c r="X1236" s="145">
        <v>6.3E-2</v>
      </c>
      <c r="Y1236" s="145">
        <v>0.16800000000000001</v>
      </c>
      <c r="Z1236" s="146">
        <v>0.4</v>
      </c>
      <c r="AA1236" s="145">
        <v>8.4870000000000001</v>
      </c>
      <c r="AB1236" s="145" t="s">
        <v>400</v>
      </c>
      <c r="AC1236" s="145">
        <v>13.57</v>
      </c>
      <c r="AD1236" s="145">
        <v>0.3</v>
      </c>
      <c r="AE1236" s="145">
        <v>5</v>
      </c>
      <c r="AF1236" s="145">
        <v>0.3</v>
      </c>
      <c r="AG1236" s="145">
        <v>0.48</v>
      </c>
      <c r="AH1236" s="145">
        <v>0.46400000000000002</v>
      </c>
      <c r="AI1236" s="145">
        <v>333</v>
      </c>
      <c r="AJ1236" s="145">
        <v>25.074999999999999</v>
      </c>
      <c r="AK1236" s="145">
        <v>48</v>
      </c>
      <c r="AL1236" s="145" t="s">
        <v>400</v>
      </c>
      <c r="AM1236" s="145" t="s">
        <v>400</v>
      </c>
    </row>
    <row r="1237" spans="1:39">
      <c r="A1237" s="143" t="s">
        <v>2297</v>
      </c>
      <c r="B1237" s="144">
        <v>100</v>
      </c>
      <c r="C1237" s="145">
        <v>31.471</v>
      </c>
      <c r="D1237" s="145">
        <v>1.6120000000000001</v>
      </c>
      <c r="E1237" s="145">
        <v>1.0640000000000001</v>
      </c>
      <c r="F1237" s="145">
        <v>0.309</v>
      </c>
      <c r="G1237" s="145">
        <v>0.44700000000000001</v>
      </c>
      <c r="H1237" s="145">
        <v>0.22800000000000001</v>
      </c>
      <c r="I1237" s="145">
        <v>0.20599999999999999</v>
      </c>
      <c r="J1237" s="145">
        <v>1.2999999999999999E-2</v>
      </c>
      <c r="K1237" s="145">
        <v>3.194</v>
      </c>
      <c r="L1237" s="145">
        <v>3.637</v>
      </c>
      <c r="M1237" s="145">
        <v>0.128</v>
      </c>
      <c r="N1237" s="145">
        <v>5.22</v>
      </c>
      <c r="O1237" s="145">
        <v>3.2549999999999999</v>
      </c>
      <c r="P1237" s="145">
        <v>8.3000000000000004E-2</v>
      </c>
      <c r="Q1237" s="145">
        <v>18.477</v>
      </c>
      <c r="R1237" s="145">
        <v>0.23699999999999999</v>
      </c>
      <c r="S1237" s="145">
        <v>343.654</v>
      </c>
      <c r="T1237" s="145">
        <v>37.023000000000003</v>
      </c>
      <c r="U1237" s="145">
        <v>2.7E-2</v>
      </c>
      <c r="V1237" s="145">
        <v>0.153</v>
      </c>
      <c r="W1237" s="145">
        <v>0.46899999999999997</v>
      </c>
      <c r="X1237" s="145">
        <v>2.4E-2</v>
      </c>
      <c r="Y1237" s="145">
        <v>1.4E-2</v>
      </c>
      <c r="Z1237" s="146">
        <v>3.1E-2</v>
      </c>
      <c r="AA1237" s="145">
        <v>0.75</v>
      </c>
      <c r="AB1237" s="145">
        <v>0.105</v>
      </c>
      <c r="AC1237" s="145">
        <v>1.016</v>
      </c>
      <c r="AD1237" s="145">
        <v>3.1E-2</v>
      </c>
      <c r="AE1237" s="145">
        <v>6.0449999999999999</v>
      </c>
      <c r="AF1237" s="145">
        <v>1.2E-2</v>
      </c>
      <c r="AG1237" s="145">
        <v>6.6000000000000003E-2</v>
      </c>
      <c r="AH1237" s="145">
        <v>1.7000000000000001E-2</v>
      </c>
      <c r="AI1237" s="145" t="s">
        <v>400</v>
      </c>
      <c r="AJ1237" s="145">
        <v>1.55</v>
      </c>
      <c r="AK1237" s="145">
        <v>25.419</v>
      </c>
      <c r="AL1237" s="145">
        <v>0.105</v>
      </c>
      <c r="AM1237" s="145" t="s">
        <v>400</v>
      </c>
    </row>
    <row r="1238" spans="1:39">
      <c r="A1238" s="143" t="s">
        <v>2298</v>
      </c>
      <c r="B1238" s="144">
        <v>100</v>
      </c>
      <c r="C1238" s="145">
        <v>239</v>
      </c>
      <c r="D1238" s="145">
        <v>27.3</v>
      </c>
      <c r="E1238" s="145">
        <v>13.6</v>
      </c>
      <c r="F1238" s="145">
        <v>3.79</v>
      </c>
      <c r="G1238" s="145">
        <v>5.34</v>
      </c>
      <c r="H1238" s="145">
        <v>2.97</v>
      </c>
      <c r="I1238" s="145">
        <v>2.57</v>
      </c>
      <c r="J1238" s="145">
        <v>0.11</v>
      </c>
      <c r="K1238" s="145">
        <v>88</v>
      </c>
      <c r="L1238" s="145" t="s">
        <v>400</v>
      </c>
      <c r="M1238" s="145" t="s">
        <v>400</v>
      </c>
      <c r="N1238" s="145">
        <v>15</v>
      </c>
      <c r="O1238" s="145">
        <v>23</v>
      </c>
      <c r="P1238" s="145">
        <v>0.02</v>
      </c>
      <c r="Q1238" s="145">
        <v>182</v>
      </c>
      <c r="R1238" s="145">
        <v>1.26</v>
      </c>
      <c r="S1238" s="145">
        <v>82</v>
      </c>
      <c r="T1238" s="145">
        <v>223</v>
      </c>
      <c r="U1238" s="145">
        <v>6.6000000000000003E-2</v>
      </c>
      <c r="V1238" s="145">
        <v>1.94</v>
      </c>
      <c r="W1238" s="145">
        <v>48</v>
      </c>
      <c r="X1238" s="145">
        <v>6.3E-2</v>
      </c>
      <c r="Y1238" s="145">
        <v>0.16800000000000001</v>
      </c>
      <c r="Z1238" s="146">
        <v>0.4</v>
      </c>
      <c r="AA1238" s="145">
        <v>8.4870000000000001</v>
      </c>
      <c r="AB1238" s="145" t="s">
        <v>400</v>
      </c>
      <c r="AC1238" s="145">
        <v>13.57</v>
      </c>
      <c r="AD1238" s="145">
        <v>0.3</v>
      </c>
      <c r="AE1238" s="145">
        <v>5</v>
      </c>
      <c r="AF1238" s="145">
        <v>0.3</v>
      </c>
      <c r="AG1238" s="145">
        <v>0.27</v>
      </c>
      <c r="AH1238" s="145">
        <v>0.45</v>
      </c>
      <c r="AI1238" s="145">
        <v>333</v>
      </c>
      <c r="AJ1238" s="145">
        <v>23.9</v>
      </c>
      <c r="AK1238" s="145">
        <v>48</v>
      </c>
      <c r="AL1238" s="145" t="s">
        <v>400</v>
      </c>
      <c r="AM1238" s="145" t="s">
        <v>400</v>
      </c>
    </row>
    <row r="1239" spans="1:39">
      <c r="A1239" s="143" t="s">
        <v>2299</v>
      </c>
      <c r="B1239" s="144">
        <v>100</v>
      </c>
      <c r="C1239" s="145">
        <v>239</v>
      </c>
      <c r="D1239" s="145">
        <v>27.3</v>
      </c>
      <c r="E1239" s="145">
        <v>13.6</v>
      </c>
      <c r="F1239" s="145">
        <v>3.79</v>
      </c>
      <c r="G1239" s="145">
        <v>5.34</v>
      </c>
      <c r="H1239" s="145">
        <v>2.97</v>
      </c>
      <c r="I1239" s="145">
        <v>2.57</v>
      </c>
      <c r="J1239" s="145">
        <v>0.11</v>
      </c>
      <c r="K1239" s="145">
        <v>88</v>
      </c>
      <c r="L1239" s="145" t="s">
        <v>400</v>
      </c>
      <c r="M1239" s="145" t="s">
        <v>400</v>
      </c>
      <c r="N1239" s="145">
        <v>15</v>
      </c>
      <c r="O1239" s="145">
        <v>23</v>
      </c>
      <c r="P1239" s="145">
        <v>0.02</v>
      </c>
      <c r="Q1239" s="145">
        <v>182</v>
      </c>
      <c r="R1239" s="145">
        <v>1.26</v>
      </c>
      <c r="S1239" s="145">
        <v>82</v>
      </c>
      <c r="T1239" s="145">
        <v>223</v>
      </c>
      <c r="U1239" s="145">
        <v>6.6000000000000003E-2</v>
      </c>
      <c r="V1239" s="145">
        <v>1.94</v>
      </c>
      <c r="W1239" s="145">
        <v>48</v>
      </c>
      <c r="X1239" s="145">
        <v>6.3E-2</v>
      </c>
      <c r="Y1239" s="145">
        <v>0.16800000000000001</v>
      </c>
      <c r="Z1239" s="146">
        <v>0.4</v>
      </c>
      <c r="AA1239" s="145">
        <v>8.4870000000000001</v>
      </c>
      <c r="AB1239" s="145" t="s">
        <v>400</v>
      </c>
      <c r="AC1239" s="145">
        <v>13.57</v>
      </c>
      <c r="AD1239" s="145">
        <v>0.3</v>
      </c>
      <c r="AE1239" s="145">
        <v>5</v>
      </c>
      <c r="AF1239" s="145">
        <v>0.3</v>
      </c>
      <c r="AG1239" s="145">
        <v>0.27</v>
      </c>
      <c r="AH1239" s="145">
        <v>0.45</v>
      </c>
      <c r="AI1239" s="145">
        <v>333</v>
      </c>
      <c r="AJ1239" s="145">
        <v>23.9</v>
      </c>
      <c r="AK1239" s="145">
        <v>48</v>
      </c>
      <c r="AL1239" s="145" t="s">
        <v>400</v>
      </c>
      <c r="AM1239" s="145" t="s">
        <v>400</v>
      </c>
    </row>
    <row r="1240" spans="1:39">
      <c r="A1240" s="143" t="s">
        <v>2300</v>
      </c>
      <c r="B1240" s="144">
        <v>100</v>
      </c>
      <c r="C1240" s="145">
        <v>239</v>
      </c>
      <c r="D1240" s="145">
        <v>27.3</v>
      </c>
      <c r="E1240" s="145">
        <v>13.6</v>
      </c>
      <c r="F1240" s="145">
        <v>3.79</v>
      </c>
      <c r="G1240" s="145">
        <v>5.34</v>
      </c>
      <c r="H1240" s="145">
        <v>2.97</v>
      </c>
      <c r="I1240" s="145">
        <v>2.57</v>
      </c>
      <c r="J1240" s="145">
        <v>0.11</v>
      </c>
      <c r="K1240" s="145">
        <v>88</v>
      </c>
      <c r="L1240" s="145" t="s">
        <v>400</v>
      </c>
      <c r="M1240" s="145" t="s">
        <v>400</v>
      </c>
      <c r="N1240" s="145">
        <v>15</v>
      </c>
      <c r="O1240" s="145">
        <v>23</v>
      </c>
      <c r="P1240" s="145">
        <v>0.02</v>
      </c>
      <c r="Q1240" s="145">
        <v>182</v>
      </c>
      <c r="R1240" s="145">
        <v>1.26</v>
      </c>
      <c r="S1240" s="145">
        <v>82</v>
      </c>
      <c r="T1240" s="145">
        <v>223</v>
      </c>
      <c r="U1240" s="145">
        <v>6.6000000000000003E-2</v>
      </c>
      <c r="V1240" s="145">
        <v>1.94</v>
      </c>
      <c r="W1240" s="145">
        <v>48</v>
      </c>
      <c r="X1240" s="145">
        <v>6.3E-2</v>
      </c>
      <c r="Y1240" s="145">
        <v>0.16800000000000001</v>
      </c>
      <c r="Z1240" s="146">
        <v>0.4</v>
      </c>
      <c r="AA1240" s="145">
        <v>8.4870000000000001</v>
      </c>
      <c r="AB1240" s="145" t="s">
        <v>400</v>
      </c>
      <c r="AC1240" s="145">
        <v>13.57</v>
      </c>
      <c r="AD1240" s="145">
        <v>0.3</v>
      </c>
      <c r="AE1240" s="145">
        <v>5</v>
      </c>
      <c r="AF1240" s="145">
        <v>0.3</v>
      </c>
      <c r="AG1240" s="145">
        <v>0.27</v>
      </c>
      <c r="AH1240" s="145">
        <v>0.45</v>
      </c>
      <c r="AI1240" s="145">
        <v>333</v>
      </c>
      <c r="AJ1240" s="145">
        <v>23.9</v>
      </c>
      <c r="AK1240" s="145">
        <v>48</v>
      </c>
      <c r="AL1240" s="145" t="s">
        <v>400</v>
      </c>
      <c r="AM1240" s="145" t="s">
        <v>400</v>
      </c>
    </row>
    <row r="1241" spans="1:39">
      <c r="A1241" s="143" t="s">
        <v>2301</v>
      </c>
      <c r="B1241" s="144">
        <v>100</v>
      </c>
      <c r="C1241" s="145">
        <v>239</v>
      </c>
      <c r="D1241" s="145">
        <v>27.3</v>
      </c>
      <c r="E1241" s="145">
        <v>13.6</v>
      </c>
      <c r="F1241" s="145">
        <v>3.79</v>
      </c>
      <c r="G1241" s="145">
        <v>5.34</v>
      </c>
      <c r="H1241" s="145">
        <v>2.97</v>
      </c>
      <c r="I1241" s="145">
        <v>2.57</v>
      </c>
      <c r="J1241" s="145">
        <v>0.11</v>
      </c>
      <c r="K1241" s="145">
        <v>88</v>
      </c>
      <c r="L1241" s="145" t="s">
        <v>400</v>
      </c>
      <c r="M1241" s="145" t="s">
        <v>400</v>
      </c>
      <c r="N1241" s="145">
        <v>15</v>
      </c>
      <c r="O1241" s="145">
        <v>23</v>
      </c>
      <c r="P1241" s="145">
        <v>0.02</v>
      </c>
      <c r="Q1241" s="145">
        <v>182</v>
      </c>
      <c r="R1241" s="145">
        <v>1.26</v>
      </c>
      <c r="S1241" s="145">
        <v>82</v>
      </c>
      <c r="T1241" s="145">
        <v>223</v>
      </c>
      <c r="U1241" s="145">
        <v>6.6000000000000003E-2</v>
      </c>
      <c r="V1241" s="145">
        <v>1.94</v>
      </c>
      <c r="W1241" s="145">
        <v>48</v>
      </c>
      <c r="X1241" s="145">
        <v>6.3E-2</v>
      </c>
      <c r="Y1241" s="145">
        <v>0.16800000000000001</v>
      </c>
      <c r="Z1241" s="146">
        <v>0.4</v>
      </c>
      <c r="AA1241" s="145">
        <v>8.4870000000000001</v>
      </c>
      <c r="AB1241" s="145" t="s">
        <v>400</v>
      </c>
      <c r="AC1241" s="145">
        <v>13.57</v>
      </c>
      <c r="AD1241" s="145">
        <v>0.3</v>
      </c>
      <c r="AE1241" s="145">
        <v>5</v>
      </c>
      <c r="AF1241" s="145">
        <v>0.3</v>
      </c>
      <c r="AG1241" s="145">
        <v>0.27</v>
      </c>
      <c r="AH1241" s="145">
        <v>0.45</v>
      </c>
      <c r="AI1241" s="145">
        <v>333</v>
      </c>
      <c r="AJ1241" s="145">
        <v>23.9</v>
      </c>
      <c r="AK1241" s="145">
        <v>48</v>
      </c>
      <c r="AL1241" s="145" t="s">
        <v>400</v>
      </c>
      <c r="AM1241" s="145" t="s">
        <v>400</v>
      </c>
    </row>
    <row r="1242" spans="1:39">
      <c r="A1242" s="143" t="s">
        <v>2302</v>
      </c>
      <c r="B1242" s="144">
        <v>100</v>
      </c>
      <c r="C1242" s="145">
        <v>261.65899999999999</v>
      </c>
      <c r="D1242" s="145">
        <v>27.3</v>
      </c>
      <c r="E1242" s="145">
        <v>16.163</v>
      </c>
      <c r="F1242" s="145">
        <v>4.1909999999999998</v>
      </c>
      <c r="G1242" s="145">
        <v>5.9240000000000004</v>
      </c>
      <c r="H1242" s="145">
        <v>4.45</v>
      </c>
      <c r="I1242" s="145">
        <v>3.8759999999999999</v>
      </c>
      <c r="J1242" s="145">
        <v>0.28399999999999997</v>
      </c>
      <c r="K1242" s="145">
        <v>88</v>
      </c>
      <c r="L1242" s="145" t="s">
        <v>400</v>
      </c>
      <c r="M1242" s="145" t="s">
        <v>400</v>
      </c>
      <c r="N1242" s="145">
        <v>15</v>
      </c>
      <c r="O1242" s="145">
        <v>23</v>
      </c>
      <c r="P1242" s="145">
        <v>0.02</v>
      </c>
      <c r="Q1242" s="145">
        <v>182</v>
      </c>
      <c r="R1242" s="145">
        <v>1.2609999999999999</v>
      </c>
      <c r="S1242" s="145">
        <v>82</v>
      </c>
      <c r="T1242" s="145">
        <v>223</v>
      </c>
      <c r="U1242" s="145">
        <v>6.6000000000000003E-2</v>
      </c>
      <c r="V1242" s="145">
        <v>1.94</v>
      </c>
      <c r="W1242" s="145">
        <v>48</v>
      </c>
      <c r="X1242" s="145">
        <v>6.3E-2</v>
      </c>
      <c r="Y1242" s="145">
        <v>0.16800000000000001</v>
      </c>
      <c r="Z1242" s="146">
        <v>0.4</v>
      </c>
      <c r="AA1242" s="145">
        <v>8.4870000000000001</v>
      </c>
      <c r="AB1242" s="145" t="s">
        <v>400</v>
      </c>
      <c r="AC1242" s="145">
        <v>13.57</v>
      </c>
      <c r="AD1242" s="145">
        <v>0.3</v>
      </c>
      <c r="AE1242" s="145">
        <v>5</v>
      </c>
      <c r="AF1242" s="145">
        <v>0.3</v>
      </c>
      <c r="AG1242" s="145">
        <v>0.48</v>
      </c>
      <c r="AH1242" s="145">
        <v>0.46400000000000002</v>
      </c>
      <c r="AI1242" s="145">
        <v>333</v>
      </c>
      <c r="AJ1242" s="145">
        <v>25.074999999999999</v>
      </c>
      <c r="AK1242" s="145">
        <v>48</v>
      </c>
      <c r="AL1242" s="145" t="s">
        <v>400</v>
      </c>
      <c r="AM1242" s="145" t="s">
        <v>400</v>
      </c>
    </row>
    <row r="1243" spans="1:39">
      <c r="A1243" s="143" t="s">
        <v>2303</v>
      </c>
      <c r="B1243" s="144">
        <v>100</v>
      </c>
      <c r="C1243" s="145">
        <v>277.83699999999999</v>
      </c>
      <c r="D1243" s="145">
        <v>27.759</v>
      </c>
      <c r="E1243" s="145">
        <v>16.207000000000001</v>
      </c>
      <c r="F1243" s="145">
        <v>4.1980000000000004</v>
      </c>
      <c r="G1243" s="145">
        <v>5.9279999999999999</v>
      </c>
      <c r="H1243" s="145">
        <v>4.468</v>
      </c>
      <c r="I1243" s="145">
        <v>3.8929999999999998</v>
      </c>
      <c r="J1243" s="145">
        <v>0.28499999999999998</v>
      </c>
      <c r="K1243" s="145">
        <v>88</v>
      </c>
      <c r="L1243" s="145">
        <v>3.3919999999999999</v>
      </c>
      <c r="M1243" s="145">
        <v>0.13500000000000001</v>
      </c>
      <c r="N1243" s="145">
        <v>15.667</v>
      </c>
      <c r="O1243" s="145">
        <v>23.978000000000002</v>
      </c>
      <c r="P1243" s="145">
        <v>0.05</v>
      </c>
      <c r="Q1243" s="145">
        <v>186.8</v>
      </c>
      <c r="R1243" s="145">
        <v>1.468</v>
      </c>
      <c r="S1243" s="145">
        <v>82.088999999999999</v>
      </c>
      <c r="T1243" s="145">
        <v>227.756</v>
      </c>
      <c r="U1243" s="145">
        <v>7.1999999999999995E-2</v>
      </c>
      <c r="V1243" s="145">
        <v>1.9710000000000001</v>
      </c>
      <c r="W1243" s="145">
        <v>48</v>
      </c>
      <c r="X1243" s="145">
        <v>9.8000000000000004E-2</v>
      </c>
      <c r="Y1243" s="145">
        <v>0.19</v>
      </c>
      <c r="Z1243" s="146">
        <v>0.40200000000000002</v>
      </c>
      <c r="AA1243" s="145">
        <v>8.7490000000000006</v>
      </c>
      <c r="AB1243" s="145" t="s">
        <v>400</v>
      </c>
      <c r="AC1243" s="145">
        <v>13.927</v>
      </c>
      <c r="AD1243" s="145">
        <v>0.3</v>
      </c>
      <c r="AE1243" s="145">
        <v>14.067</v>
      </c>
      <c r="AF1243" s="145">
        <v>0.3</v>
      </c>
      <c r="AG1243" s="145">
        <v>0.48199999999999998</v>
      </c>
      <c r="AH1243" s="145">
        <v>0.46400000000000002</v>
      </c>
      <c r="AI1243" s="145">
        <v>333</v>
      </c>
      <c r="AJ1243" s="145">
        <v>26.581</v>
      </c>
      <c r="AK1243" s="145">
        <v>48</v>
      </c>
      <c r="AL1243" s="145">
        <v>1.4E-2</v>
      </c>
      <c r="AM1243" s="145" t="s">
        <v>400</v>
      </c>
    </row>
    <row r="1244" spans="1:39">
      <c r="A1244" s="143" t="s">
        <v>2304</v>
      </c>
      <c r="B1244" s="144">
        <v>100</v>
      </c>
      <c r="C1244" s="145">
        <v>261.65899999999999</v>
      </c>
      <c r="D1244" s="145">
        <v>27.3</v>
      </c>
      <c r="E1244" s="145">
        <v>16.163</v>
      </c>
      <c r="F1244" s="145">
        <v>4.1909999999999998</v>
      </c>
      <c r="G1244" s="145">
        <v>5.9240000000000004</v>
      </c>
      <c r="H1244" s="145">
        <v>4.45</v>
      </c>
      <c r="I1244" s="145">
        <v>3.8759999999999999</v>
      </c>
      <c r="J1244" s="145">
        <v>0.28399999999999997</v>
      </c>
      <c r="K1244" s="145">
        <v>88</v>
      </c>
      <c r="L1244" s="145" t="s">
        <v>400</v>
      </c>
      <c r="M1244" s="145" t="s">
        <v>400</v>
      </c>
      <c r="N1244" s="145">
        <v>15</v>
      </c>
      <c r="O1244" s="145">
        <v>23</v>
      </c>
      <c r="P1244" s="145">
        <v>0.02</v>
      </c>
      <c r="Q1244" s="145">
        <v>182</v>
      </c>
      <c r="R1244" s="145">
        <v>1.2609999999999999</v>
      </c>
      <c r="S1244" s="145">
        <v>82</v>
      </c>
      <c r="T1244" s="145">
        <v>223</v>
      </c>
      <c r="U1244" s="145">
        <v>6.6000000000000003E-2</v>
      </c>
      <c r="V1244" s="145">
        <v>1.94</v>
      </c>
      <c r="W1244" s="145">
        <v>48</v>
      </c>
      <c r="X1244" s="145">
        <v>6.3E-2</v>
      </c>
      <c r="Y1244" s="145">
        <v>0.16800000000000001</v>
      </c>
      <c r="Z1244" s="146">
        <v>0.4</v>
      </c>
      <c r="AA1244" s="145">
        <v>8.4870000000000001</v>
      </c>
      <c r="AB1244" s="145" t="s">
        <v>400</v>
      </c>
      <c r="AC1244" s="145">
        <v>13.57</v>
      </c>
      <c r="AD1244" s="145">
        <v>0.3</v>
      </c>
      <c r="AE1244" s="145">
        <v>5</v>
      </c>
      <c r="AF1244" s="145">
        <v>0.3</v>
      </c>
      <c r="AG1244" s="145">
        <v>0.48</v>
      </c>
      <c r="AH1244" s="145">
        <v>0.46400000000000002</v>
      </c>
      <c r="AI1244" s="145">
        <v>333</v>
      </c>
      <c r="AJ1244" s="145">
        <v>25.074999999999999</v>
      </c>
      <c r="AK1244" s="145">
        <v>48</v>
      </c>
      <c r="AL1244" s="145" t="s">
        <v>400</v>
      </c>
      <c r="AM1244" s="145" t="s">
        <v>400</v>
      </c>
    </row>
    <row r="1245" spans="1:39">
      <c r="A1245" s="143" t="s">
        <v>2305</v>
      </c>
      <c r="B1245" s="144">
        <v>100</v>
      </c>
      <c r="C1245" s="145">
        <v>196</v>
      </c>
      <c r="D1245" s="145">
        <v>22.103999999999999</v>
      </c>
      <c r="E1245" s="145">
        <v>10.916</v>
      </c>
      <c r="F1245" s="145">
        <v>3.0369999999999999</v>
      </c>
      <c r="G1245" s="145">
        <v>4.2770000000000001</v>
      </c>
      <c r="H1245" s="145">
        <v>2.391</v>
      </c>
      <c r="I1245" s="145">
        <v>2.0699999999999998</v>
      </c>
      <c r="J1245" s="145">
        <v>8.8999999999999996E-2</v>
      </c>
      <c r="K1245" s="145">
        <v>70.400000000000006</v>
      </c>
      <c r="L1245" s="145">
        <v>1.0760000000000001</v>
      </c>
      <c r="M1245" s="145">
        <v>0.3</v>
      </c>
      <c r="N1245" s="145">
        <v>14.6</v>
      </c>
      <c r="O1245" s="145">
        <v>21.6</v>
      </c>
      <c r="P1245" s="145">
        <v>3.6999999999999998E-2</v>
      </c>
      <c r="Q1245" s="145">
        <v>150.80000000000001</v>
      </c>
      <c r="R1245" s="145">
        <v>1.212</v>
      </c>
      <c r="S1245" s="145">
        <v>170.4</v>
      </c>
      <c r="T1245" s="145">
        <v>244.6</v>
      </c>
      <c r="U1245" s="145">
        <v>7.5999999999999998E-2</v>
      </c>
      <c r="V1245" s="145">
        <v>1.5920000000000001</v>
      </c>
      <c r="W1245" s="145">
        <v>38.4</v>
      </c>
      <c r="X1245" s="145">
        <v>5.5E-2</v>
      </c>
      <c r="Y1245" s="145">
        <v>0.14799999999999999</v>
      </c>
      <c r="Z1245" s="146">
        <v>0.33900000000000002</v>
      </c>
      <c r="AA1245" s="145">
        <v>6.9850000000000003</v>
      </c>
      <c r="AB1245" s="145">
        <v>1.4</v>
      </c>
      <c r="AC1245" s="145">
        <v>11.085000000000001</v>
      </c>
      <c r="AD1245" s="145">
        <v>0.24</v>
      </c>
      <c r="AE1245" s="145">
        <v>6.2</v>
      </c>
      <c r="AF1245" s="145">
        <v>0.24</v>
      </c>
      <c r="AG1245" s="145">
        <v>0.5</v>
      </c>
      <c r="AH1245" s="145">
        <v>0.36</v>
      </c>
      <c r="AI1245" s="145">
        <v>333</v>
      </c>
      <c r="AJ1245" s="145">
        <v>19.16</v>
      </c>
      <c r="AK1245" s="145">
        <v>41.883000000000003</v>
      </c>
      <c r="AL1245" s="145">
        <v>0.85</v>
      </c>
      <c r="AM1245" s="145" t="s">
        <v>400</v>
      </c>
    </row>
    <row r="1246" spans="1:39">
      <c r="A1246" s="143" t="s">
        <v>2306</v>
      </c>
      <c r="B1246" s="144">
        <v>100</v>
      </c>
      <c r="C1246" s="145">
        <v>226.785</v>
      </c>
      <c r="D1246" s="145">
        <v>22.6</v>
      </c>
      <c r="E1246" s="145">
        <v>13.707000000000001</v>
      </c>
      <c r="F1246" s="145">
        <v>3.7389999999999999</v>
      </c>
      <c r="G1246" s="145">
        <v>4.9279999999999999</v>
      </c>
      <c r="H1246" s="145">
        <v>3.6779999999999999</v>
      </c>
      <c r="I1246" s="145">
        <v>3.1949999999999998</v>
      </c>
      <c r="J1246" s="145">
        <v>0.251</v>
      </c>
      <c r="K1246" s="145">
        <v>72.352000000000004</v>
      </c>
      <c r="L1246" s="145">
        <v>1.849</v>
      </c>
      <c r="M1246" s="145">
        <v>4.2999999999999997E-2</v>
      </c>
      <c r="N1246" s="145">
        <v>34.363999999999997</v>
      </c>
      <c r="O1246" s="145">
        <v>20.667999999999999</v>
      </c>
      <c r="P1246" s="145">
        <v>2.5999999999999999E-2</v>
      </c>
      <c r="Q1246" s="145">
        <v>164.749</v>
      </c>
      <c r="R1246" s="145">
        <v>1.079</v>
      </c>
      <c r="S1246" s="145">
        <v>120.598</v>
      </c>
      <c r="T1246" s="145">
        <v>207.91900000000001</v>
      </c>
      <c r="U1246" s="145">
        <v>5.7000000000000002E-2</v>
      </c>
      <c r="V1246" s="145">
        <v>1.639</v>
      </c>
      <c r="W1246" s="145">
        <v>43.866</v>
      </c>
      <c r="X1246" s="145">
        <v>6.9000000000000006E-2</v>
      </c>
      <c r="Y1246" s="145">
        <v>0.17599999999999999</v>
      </c>
      <c r="Z1246" s="146">
        <v>0.32800000000000001</v>
      </c>
      <c r="AA1246" s="145">
        <v>6.8849999999999998</v>
      </c>
      <c r="AB1246" s="145">
        <v>4.0000000000000001E-3</v>
      </c>
      <c r="AC1246" s="145">
        <v>11.222</v>
      </c>
      <c r="AD1246" s="145">
        <v>0.32600000000000001</v>
      </c>
      <c r="AE1246" s="145">
        <v>7.5279999999999996</v>
      </c>
      <c r="AF1246" s="145">
        <v>0.435</v>
      </c>
      <c r="AG1246" s="145">
        <v>0.40699999999999997</v>
      </c>
      <c r="AH1246" s="145">
        <v>0.39400000000000002</v>
      </c>
      <c r="AI1246" s="145">
        <v>333</v>
      </c>
      <c r="AJ1246" s="145">
        <v>21.265999999999998</v>
      </c>
      <c r="AK1246" s="145">
        <v>43.95</v>
      </c>
      <c r="AL1246" s="145">
        <v>1.0309999999999999</v>
      </c>
      <c r="AM1246" s="145" t="s">
        <v>400</v>
      </c>
    </row>
    <row r="1247" spans="1:39">
      <c r="A1247" s="143" t="s">
        <v>2307</v>
      </c>
      <c r="B1247" s="144">
        <v>100</v>
      </c>
      <c r="C1247" s="145">
        <v>261.65899999999999</v>
      </c>
      <c r="D1247" s="145">
        <v>27.3</v>
      </c>
      <c r="E1247" s="145">
        <v>16.163</v>
      </c>
      <c r="F1247" s="145">
        <v>4.1909999999999998</v>
      </c>
      <c r="G1247" s="145">
        <v>5.9240000000000004</v>
      </c>
      <c r="H1247" s="145">
        <v>4.45</v>
      </c>
      <c r="I1247" s="145">
        <v>3.8759999999999999</v>
      </c>
      <c r="J1247" s="145">
        <v>0.28399999999999997</v>
      </c>
      <c r="K1247" s="145">
        <v>88</v>
      </c>
      <c r="L1247" s="145" t="s">
        <v>400</v>
      </c>
      <c r="M1247" s="145" t="s">
        <v>400</v>
      </c>
      <c r="N1247" s="145">
        <v>15</v>
      </c>
      <c r="O1247" s="145">
        <v>23</v>
      </c>
      <c r="P1247" s="145">
        <v>0.02</v>
      </c>
      <c r="Q1247" s="145">
        <v>182</v>
      </c>
      <c r="R1247" s="145">
        <v>1.2609999999999999</v>
      </c>
      <c r="S1247" s="145">
        <v>82</v>
      </c>
      <c r="T1247" s="145">
        <v>223</v>
      </c>
      <c r="U1247" s="145">
        <v>6.6000000000000003E-2</v>
      </c>
      <c r="V1247" s="145">
        <v>1.94</v>
      </c>
      <c r="W1247" s="145">
        <v>48</v>
      </c>
      <c r="X1247" s="145">
        <v>6.3E-2</v>
      </c>
      <c r="Y1247" s="145">
        <v>0.16800000000000001</v>
      </c>
      <c r="Z1247" s="146">
        <v>0.4</v>
      </c>
      <c r="AA1247" s="145">
        <v>8.4870000000000001</v>
      </c>
      <c r="AB1247" s="145" t="s">
        <v>400</v>
      </c>
      <c r="AC1247" s="145">
        <v>13.57</v>
      </c>
      <c r="AD1247" s="145">
        <v>0.3</v>
      </c>
      <c r="AE1247" s="145">
        <v>5</v>
      </c>
      <c r="AF1247" s="145">
        <v>0.3</v>
      </c>
      <c r="AG1247" s="145">
        <v>0.48</v>
      </c>
      <c r="AH1247" s="145">
        <v>0.46400000000000002</v>
      </c>
      <c r="AI1247" s="145">
        <v>333</v>
      </c>
      <c r="AJ1247" s="145">
        <v>25.074999999999999</v>
      </c>
      <c r="AK1247" s="145">
        <v>48</v>
      </c>
      <c r="AL1247" s="145" t="s">
        <v>400</v>
      </c>
      <c r="AM1247" s="145" t="s">
        <v>400</v>
      </c>
    </row>
    <row r="1248" spans="1:39">
      <c r="A1248" s="143" t="s">
        <v>2308</v>
      </c>
      <c r="B1248" s="144">
        <v>100</v>
      </c>
      <c r="C1248" s="145">
        <v>239</v>
      </c>
      <c r="D1248" s="145">
        <v>27.3</v>
      </c>
      <c r="E1248" s="145">
        <v>13.6</v>
      </c>
      <c r="F1248" s="145">
        <v>3.79</v>
      </c>
      <c r="G1248" s="145">
        <v>5.34</v>
      </c>
      <c r="H1248" s="145">
        <v>2.97</v>
      </c>
      <c r="I1248" s="145">
        <v>2.57</v>
      </c>
      <c r="J1248" s="145">
        <v>0.11</v>
      </c>
      <c r="K1248" s="145">
        <v>88</v>
      </c>
      <c r="L1248" s="145" t="s">
        <v>400</v>
      </c>
      <c r="M1248" s="145" t="s">
        <v>400</v>
      </c>
      <c r="N1248" s="145">
        <v>15</v>
      </c>
      <c r="O1248" s="145">
        <v>23</v>
      </c>
      <c r="P1248" s="145">
        <v>0.02</v>
      </c>
      <c r="Q1248" s="145">
        <v>182</v>
      </c>
      <c r="R1248" s="145">
        <v>1.26</v>
      </c>
      <c r="S1248" s="145">
        <v>82</v>
      </c>
      <c r="T1248" s="145">
        <v>223</v>
      </c>
      <c r="U1248" s="145">
        <v>6.6000000000000003E-2</v>
      </c>
      <c r="V1248" s="145">
        <v>1.94</v>
      </c>
      <c r="W1248" s="145">
        <v>48</v>
      </c>
      <c r="X1248" s="145">
        <v>6.3E-2</v>
      </c>
      <c r="Y1248" s="145">
        <v>0.16800000000000001</v>
      </c>
      <c r="Z1248" s="146">
        <v>0.4</v>
      </c>
      <c r="AA1248" s="145">
        <v>8.4870000000000001</v>
      </c>
      <c r="AB1248" s="145" t="s">
        <v>400</v>
      </c>
      <c r="AC1248" s="145">
        <v>13.57</v>
      </c>
      <c r="AD1248" s="145">
        <v>0.3</v>
      </c>
      <c r="AE1248" s="145">
        <v>5</v>
      </c>
      <c r="AF1248" s="145">
        <v>0.3</v>
      </c>
      <c r="AG1248" s="145">
        <v>0.27</v>
      </c>
      <c r="AH1248" s="145">
        <v>0.45</v>
      </c>
      <c r="AI1248" s="145">
        <v>333</v>
      </c>
      <c r="AJ1248" s="145">
        <v>23.9</v>
      </c>
      <c r="AK1248" s="145">
        <v>48</v>
      </c>
      <c r="AL1248" s="145" t="s">
        <v>400</v>
      </c>
      <c r="AM1248" s="145" t="s">
        <v>400</v>
      </c>
    </row>
    <row r="1249" spans="1:39">
      <c r="A1249" s="143" t="s">
        <v>2309</v>
      </c>
      <c r="B1249" s="144">
        <v>100</v>
      </c>
      <c r="C1249" s="145">
        <v>239</v>
      </c>
      <c r="D1249" s="145">
        <v>27.3</v>
      </c>
      <c r="E1249" s="145">
        <v>13.6</v>
      </c>
      <c r="F1249" s="145">
        <v>3.79</v>
      </c>
      <c r="G1249" s="145">
        <v>5.34</v>
      </c>
      <c r="H1249" s="145">
        <v>2.97</v>
      </c>
      <c r="I1249" s="145">
        <v>2.57</v>
      </c>
      <c r="J1249" s="145">
        <v>0.11</v>
      </c>
      <c r="K1249" s="145">
        <v>88</v>
      </c>
      <c r="L1249" s="145" t="s">
        <v>400</v>
      </c>
      <c r="M1249" s="145" t="s">
        <v>400</v>
      </c>
      <c r="N1249" s="145">
        <v>15</v>
      </c>
      <c r="O1249" s="145">
        <v>23</v>
      </c>
      <c r="P1249" s="145">
        <v>0.02</v>
      </c>
      <c r="Q1249" s="145">
        <v>182</v>
      </c>
      <c r="R1249" s="145">
        <v>1.26</v>
      </c>
      <c r="S1249" s="145">
        <v>82</v>
      </c>
      <c r="T1249" s="145">
        <v>223</v>
      </c>
      <c r="U1249" s="145">
        <v>6.6000000000000003E-2</v>
      </c>
      <c r="V1249" s="145">
        <v>1.94</v>
      </c>
      <c r="W1249" s="145">
        <v>48</v>
      </c>
      <c r="X1249" s="145">
        <v>6.3E-2</v>
      </c>
      <c r="Y1249" s="145">
        <v>0.16800000000000001</v>
      </c>
      <c r="Z1249" s="146">
        <v>0.4</v>
      </c>
      <c r="AA1249" s="145">
        <v>8.4870000000000001</v>
      </c>
      <c r="AB1249" s="145" t="s">
        <v>400</v>
      </c>
      <c r="AC1249" s="145">
        <v>13.57</v>
      </c>
      <c r="AD1249" s="145">
        <v>0.3</v>
      </c>
      <c r="AE1249" s="145">
        <v>5</v>
      </c>
      <c r="AF1249" s="145">
        <v>0.3</v>
      </c>
      <c r="AG1249" s="145">
        <v>0.27</v>
      </c>
      <c r="AH1249" s="145">
        <v>0.45</v>
      </c>
      <c r="AI1249" s="145">
        <v>333</v>
      </c>
      <c r="AJ1249" s="145">
        <v>23.9</v>
      </c>
      <c r="AK1249" s="145">
        <v>48</v>
      </c>
      <c r="AL1249" s="145" t="s">
        <v>400</v>
      </c>
      <c r="AM1249" s="145" t="s">
        <v>400</v>
      </c>
    </row>
    <row r="1250" spans="1:39">
      <c r="A1250" s="143" t="s">
        <v>2310</v>
      </c>
      <c r="B1250" s="144">
        <v>100</v>
      </c>
      <c r="C1250" s="145">
        <v>239</v>
      </c>
      <c r="D1250" s="145">
        <v>27.3</v>
      </c>
      <c r="E1250" s="145">
        <v>13.6</v>
      </c>
      <c r="F1250" s="145">
        <v>3.79</v>
      </c>
      <c r="G1250" s="145">
        <v>5.34</v>
      </c>
      <c r="H1250" s="145">
        <v>2.97</v>
      </c>
      <c r="I1250" s="145">
        <v>2.57</v>
      </c>
      <c r="J1250" s="145">
        <v>0.11</v>
      </c>
      <c r="K1250" s="145">
        <v>88</v>
      </c>
      <c r="L1250" s="145" t="s">
        <v>400</v>
      </c>
      <c r="M1250" s="145" t="s">
        <v>400</v>
      </c>
      <c r="N1250" s="145">
        <v>15</v>
      </c>
      <c r="O1250" s="145">
        <v>23</v>
      </c>
      <c r="P1250" s="145">
        <v>0.02</v>
      </c>
      <c r="Q1250" s="145">
        <v>182</v>
      </c>
      <c r="R1250" s="145">
        <v>1.26</v>
      </c>
      <c r="S1250" s="145">
        <v>82</v>
      </c>
      <c r="T1250" s="145">
        <v>223</v>
      </c>
      <c r="U1250" s="145">
        <v>6.6000000000000003E-2</v>
      </c>
      <c r="V1250" s="145">
        <v>1.94</v>
      </c>
      <c r="W1250" s="145">
        <v>48</v>
      </c>
      <c r="X1250" s="145">
        <v>6.3E-2</v>
      </c>
      <c r="Y1250" s="145">
        <v>0.16800000000000001</v>
      </c>
      <c r="Z1250" s="146">
        <v>0.4</v>
      </c>
      <c r="AA1250" s="145">
        <v>8.4870000000000001</v>
      </c>
      <c r="AB1250" s="145" t="s">
        <v>400</v>
      </c>
      <c r="AC1250" s="145">
        <v>13.57</v>
      </c>
      <c r="AD1250" s="145">
        <v>0.3</v>
      </c>
      <c r="AE1250" s="145">
        <v>5</v>
      </c>
      <c r="AF1250" s="145">
        <v>0.3</v>
      </c>
      <c r="AG1250" s="145">
        <v>0.27</v>
      </c>
      <c r="AH1250" s="145">
        <v>0.45</v>
      </c>
      <c r="AI1250" s="145">
        <v>333</v>
      </c>
      <c r="AJ1250" s="145">
        <v>23.9</v>
      </c>
      <c r="AK1250" s="145">
        <v>48</v>
      </c>
      <c r="AL1250" s="145" t="s">
        <v>400</v>
      </c>
      <c r="AM1250" s="145" t="s">
        <v>400</v>
      </c>
    </row>
    <row r="1251" spans="1:39">
      <c r="A1251" s="143" t="s">
        <v>2311</v>
      </c>
      <c r="B1251" s="144">
        <v>100</v>
      </c>
      <c r="C1251" s="145">
        <v>239</v>
      </c>
      <c r="D1251" s="145">
        <v>27.3</v>
      </c>
      <c r="E1251" s="145">
        <v>13.6</v>
      </c>
      <c r="F1251" s="145">
        <v>3.79</v>
      </c>
      <c r="G1251" s="145">
        <v>5.34</v>
      </c>
      <c r="H1251" s="145">
        <v>2.97</v>
      </c>
      <c r="I1251" s="145">
        <v>2.57</v>
      </c>
      <c r="J1251" s="145">
        <v>0.11</v>
      </c>
      <c r="K1251" s="145">
        <v>88</v>
      </c>
      <c r="L1251" s="145" t="s">
        <v>400</v>
      </c>
      <c r="M1251" s="145" t="s">
        <v>400</v>
      </c>
      <c r="N1251" s="145">
        <v>15</v>
      </c>
      <c r="O1251" s="145">
        <v>23</v>
      </c>
      <c r="P1251" s="145">
        <v>0.02</v>
      </c>
      <c r="Q1251" s="145">
        <v>182</v>
      </c>
      <c r="R1251" s="145">
        <v>1.26</v>
      </c>
      <c r="S1251" s="145">
        <v>82</v>
      </c>
      <c r="T1251" s="145">
        <v>223</v>
      </c>
      <c r="U1251" s="145">
        <v>6.6000000000000003E-2</v>
      </c>
      <c r="V1251" s="145">
        <v>1.94</v>
      </c>
      <c r="W1251" s="145">
        <v>48</v>
      </c>
      <c r="X1251" s="145">
        <v>6.3E-2</v>
      </c>
      <c r="Y1251" s="145">
        <v>0.16800000000000001</v>
      </c>
      <c r="Z1251" s="146">
        <v>0.4</v>
      </c>
      <c r="AA1251" s="145">
        <v>8.4870000000000001</v>
      </c>
      <c r="AB1251" s="145" t="s">
        <v>400</v>
      </c>
      <c r="AC1251" s="145">
        <v>13.57</v>
      </c>
      <c r="AD1251" s="145">
        <v>0.3</v>
      </c>
      <c r="AE1251" s="145">
        <v>5</v>
      </c>
      <c r="AF1251" s="145">
        <v>0.3</v>
      </c>
      <c r="AG1251" s="145">
        <v>0.27</v>
      </c>
      <c r="AH1251" s="145">
        <v>0.45</v>
      </c>
      <c r="AI1251" s="145">
        <v>333</v>
      </c>
      <c r="AJ1251" s="145">
        <v>23.9</v>
      </c>
      <c r="AK1251" s="145">
        <v>48</v>
      </c>
      <c r="AL1251" s="145" t="s">
        <v>400</v>
      </c>
      <c r="AM1251" s="145" t="s">
        <v>400</v>
      </c>
    </row>
    <row r="1252" spans="1:39">
      <c r="A1252" s="143" t="s">
        <v>2312</v>
      </c>
      <c r="B1252" s="144">
        <v>100</v>
      </c>
      <c r="C1252" s="145">
        <v>261.65899999999999</v>
      </c>
      <c r="D1252" s="145">
        <v>27.3</v>
      </c>
      <c r="E1252" s="145">
        <v>16.163</v>
      </c>
      <c r="F1252" s="145">
        <v>4.1909999999999998</v>
      </c>
      <c r="G1252" s="145">
        <v>5.9240000000000004</v>
      </c>
      <c r="H1252" s="145">
        <v>4.45</v>
      </c>
      <c r="I1252" s="145">
        <v>3.8759999999999999</v>
      </c>
      <c r="J1252" s="145">
        <v>0.28399999999999997</v>
      </c>
      <c r="K1252" s="145">
        <v>88</v>
      </c>
      <c r="L1252" s="145" t="s">
        <v>400</v>
      </c>
      <c r="M1252" s="145" t="s">
        <v>400</v>
      </c>
      <c r="N1252" s="145">
        <v>15</v>
      </c>
      <c r="O1252" s="145">
        <v>23</v>
      </c>
      <c r="P1252" s="145">
        <v>0.02</v>
      </c>
      <c r="Q1252" s="145">
        <v>182</v>
      </c>
      <c r="R1252" s="145">
        <v>1.2609999999999999</v>
      </c>
      <c r="S1252" s="145">
        <v>82</v>
      </c>
      <c r="T1252" s="145">
        <v>223</v>
      </c>
      <c r="U1252" s="145">
        <v>6.6000000000000003E-2</v>
      </c>
      <c r="V1252" s="145">
        <v>1.94</v>
      </c>
      <c r="W1252" s="145">
        <v>48</v>
      </c>
      <c r="X1252" s="145">
        <v>6.3E-2</v>
      </c>
      <c r="Y1252" s="145">
        <v>0.16800000000000001</v>
      </c>
      <c r="Z1252" s="146">
        <v>0.4</v>
      </c>
      <c r="AA1252" s="145">
        <v>8.4870000000000001</v>
      </c>
      <c r="AB1252" s="145" t="s">
        <v>400</v>
      </c>
      <c r="AC1252" s="145">
        <v>13.57</v>
      </c>
      <c r="AD1252" s="145">
        <v>0.3</v>
      </c>
      <c r="AE1252" s="145">
        <v>5</v>
      </c>
      <c r="AF1252" s="145">
        <v>0.3</v>
      </c>
      <c r="AG1252" s="145">
        <v>0.48</v>
      </c>
      <c r="AH1252" s="145">
        <v>0.46400000000000002</v>
      </c>
      <c r="AI1252" s="145">
        <v>333</v>
      </c>
      <c r="AJ1252" s="145">
        <v>25.074999999999999</v>
      </c>
      <c r="AK1252" s="145">
        <v>48</v>
      </c>
      <c r="AL1252" s="145" t="s">
        <v>400</v>
      </c>
      <c r="AM1252" s="145" t="s">
        <v>400</v>
      </c>
    </row>
    <row r="1253" spans="1:39">
      <c r="A1253" s="143" t="s">
        <v>2313</v>
      </c>
      <c r="B1253" s="144">
        <v>100</v>
      </c>
      <c r="C1253" s="145">
        <v>277.83699999999999</v>
      </c>
      <c r="D1253" s="145">
        <v>27.759</v>
      </c>
      <c r="E1253" s="145">
        <v>16.207000000000001</v>
      </c>
      <c r="F1253" s="145">
        <v>4.1980000000000004</v>
      </c>
      <c r="G1253" s="145">
        <v>5.9279999999999999</v>
      </c>
      <c r="H1253" s="145">
        <v>4.468</v>
      </c>
      <c r="I1253" s="145">
        <v>3.8929999999999998</v>
      </c>
      <c r="J1253" s="145">
        <v>0.28499999999999998</v>
      </c>
      <c r="K1253" s="145">
        <v>88</v>
      </c>
      <c r="L1253" s="145">
        <v>3.3919999999999999</v>
      </c>
      <c r="M1253" s="145">
        <v>0.13500000000000001</v>
      </c>
      <c r="N1253" s="145">
        <v>15.667</v>
      </c>
      <c r="O1253" s="145">
        <v>23.978000000000002</v>
      </c>
      <c r="P1253" s="145">
        <v>0.05</v>
      </c>
      <c r="Q1253" s="145">
        <v>186.8</v>
      </c>
      <c r="R1253" s="145">
        <v>1.468</v>
      </c>
      <c r="S1253" s="145">
        <v>82.088999999999999</v>
      </c>
      <c r="T1253" s="145">
        <v>227.756</v>
      </c>
      <c r="U1253" s="145">
        <v>7.1999999999999995E-2</v>
      </c>
      <c r="V1253" s="145">
        <v>1.9710000000000001</v>
      </c>
      <c r="W1253" s="145">
        <v>48</v>
      </c>
      <c r="X1253" s="145">
        <v>9.8000000000000004E-2</v>
      </c>
      <c r="Y1253" s="145">
        <v>0.19</v>
      </c>
      <c r="Z1253" s="146">
        <v>0.40200000000000002</v>
      </c>
      <c r="AA1253" s="145">
        <v>8.7490000000000006</v>
      </c>
      <c r="AB1253" s="145" t="s">
        <v>400</v>
      </c>
      <c r="AC1253" s="145">
        <v>13.927</v>
      </c>
      <c r="AD1253" s="145">
        <v>0.3</v>
      </c>
      <c r="AE1253" s="145">
        <v>14.067</v>
      </c>
      <c r="AF1253" s="145">
        <v>0.3</v>
      </c>
      <c r="AG1253" s="145">
        <v>0.48199999999999998</v>
      </c>
      <c r="AH1253" s="145">
        <v>0.46400000000000002</v>
      </c>
      <c r="AI1253" s="145">
        <v>333</v>
      </c>
      <c r="AJ1253" s="145">
        <v>26.581</v>
      </c>
      <c r="AK1253" s="145">
        <v>48</v>
      </c>
      <c r="AL1253" s="145">
        <v>1.4E-2</v>
      </c>
      <c r="AM1253" s="145" t="s">
        <v>400</v>
      </c>
    </row>
    <row r="1254" spans="1:39">
      <c r="A1254" s="143" t="s">
        <v>2314</v>
      </c>
      <c r="B1254" s="144">
        <v>100</v>
      </c>
      <c r="C1254" s="145">
        <v>239</v>
      </c>
      <c r="D1254" s="145">
        <v>27.3</v>
      </c>
      <c r="E1254" s="145">
        <v>13.6</v>
      </c>
      <c r="F1254" s="145">
        <v>3.79</v>
      </c>
      <c r="G1254" s="145">
        <v>5.34</v>
      </c>
      <c r="H1254" s="145">
        <v>2.97</v>
      </c>
      <c r="I1254" s="145">
        <v>2.57</v>
      </c>
      <c r="J1254" s="145">
        <v>0.11</v>
      </c>
      <c r="K1254" s="145">
        <v>88</v>
      </c>
      <c r="L1254" s="145" t="s">
        <v>400</v>
      </c>
      <c r="M1254" s="145" t="s">
        <v>400</v>
      </c>
      <c r="N1254" s="145">
        <v>15</v>
      </c>
      <c r="O1254" s="145">
        <v>23</v>
      </c>
      <c r="P1254" s="145">
        <v>0.02</v>
      </c>
      <c r="Q1254" s="145">
        <v>182</v>
      </c>
      <c r="R1254" s="145">
        <v>1.26</v>
      </c>
      <c r="S1254" s="145">
        <v>82</v>
      </c>
      <c r="T1254" s="145">
        <v>223</v>
      </c>
      <c r="U1254" s="145">
        <v>6.6000000000000003E-2</v>
      </c>
      <c r="V1254" s="145">
        <v>1.94</v>
      </c>
      <c r="W1254" s="145">
        <v>48</v>
      </c>
      <c r="X1254" s="145">
        <v>6.3E-2</v>
      </c>
      <c r="Y1254" s="145">
        <v>0.16800000000000001</v>
      </c>
      <c r="Z1254" s="146">
        <v>0.4</v>
      </c>
      <c r="AA1254" s="145">
        <v>8.4870000000000001</v>
      </c>
      <c r="AB1254" s="145" t="s">
        <v>400</v>
      </c>
      <c r="AC1254" s="145">
        <v>13.57</v>
      </c>
      <c r="AD1254" s="145">
        <v>0.3</v>
      </c>
      <c r="AE1254" s="145">
        <v>5</v>
      </c>
      <c r="AF1254" s="145">
        <v>0.3</v>
      </c>
      <c r="AG1254" s="145">
        <v>0.27</v>
      </c>
      <c r="AH1254" s="145">
        <v>0.45</v>
      </c>
      <c r="AI1254" s="145">
        <v>333</v>
      </c>
      <c r="AJ1254" s="145">
        <v>23.9</v>
      </c>
      <c r="AK1254" s="145">
        <v>48</v>
      </c>
      <c r="AL1254" s="145" t="s">
        <v>400</v>
      </c>
      <c r="AM1254" s="145" t="s">
        <v>400</v>
      </c>
    </row>
    <row r="1255" spans="1:39">
      <c r="A1255" s="143" t="s">
        <v>2315</v>
      </c>
      <c r="B1255" s="144">
        <v>100</v>
      </c>
      <c r="C1255" s="145">
        <v>261.65899999999999</v>
      </c>
      <c r="D1255" s="145">
        <v>27.3</v>
      </c>
      <c r="E1255" s="145">
        <v>16.163</v>
      </c>
      <c r="F1255" s="145">
        <v>4.1909999999999998</v>
      </c>
      <c r="G1255" s="145">
        <v>5.9240000000000004</v>
      </c>
      <c r="H1255" s="145">
        <v>4.45</v>
      </c>
      <c r="I1255" s="145">
        <v>3.8759999999999999</v>
      </c>
      <c r="J1255" s="145">
        <v>0.28399999999999997</v>
      </c>
      <c r="K1255" s="145">
        <v>88</v>
      </c>
      <c r="L1255" s="145" t="s">
        <v>400</v>
      </c>
      <c r="M1255" s="145" t="s">
        <v>400</v>
      </c>
      <c r="N1255" s="145">
        <v>15</v>
      </c>
      <c r="O1255" s="145">
        <v>23</v>
      </c>
      <c r="P1255" s="145">
        <v>0.02</v>
      </c>
      <c r="Q1255" s="145">
        <v>182</v>
      </c>
      <c r="R1255" s="145">
        <v>1.2609999999999999</v>
      </c>
      <c r="S1255" s="145">
        <v>82</v>
      </c>
      <c r="T1255" s="145">
        <v>223</v>
      </c>
      <c r="U1255" s="145">
        <v>6.6000000000000003E-2</v>
      </c>
      <c r="V1255" s="145">
        <v>1.94</v>
      </c>
      <c r="W1255" s="145">
        <v>48</v>
      </c>
      <c r="X1255" s="145">
        <v>6.3E-2</v>
      </c>
      <c r="Y1255" s="145">
        <v>0.16800000000000001</v>
      </c>
      <c r="Z1255" s="146">
        <v>0.4</v>
      </c>
      <c r="AA1255" s="145">
        <v>8.4870000000000001</v>
      </c>
      <c r="AB1255" s="145" t="s">
        <v>400</v>
      </c>
      <c r="AC1255" s="145">
        <v>13.57</v>
      </c>
      <c r="AD1255" s="145">
        <v>0.3</v>
      </c>
      <c r="AE1255" s="145">
        <v>5</v>
      </c>
      <c r="AF1255" s="145">
        <v>0.3</v>
      </c>
      <c r="AG1255" s="145">
        <v>0.48</v>
      </c>
      <c r="AH1255" s="145">
        <v>0.46400000000000002</v>
      </c>
      <c r="AI1255" s="145">
        <v>333</v>
      </c>
      <c r="AJ1255" s="145">
        <v>25.074999999999999</v>
      </c>
      <c r="AK1255" s="145">
        <v>48</v>
      </c>
      <c r="AL1255" s="145" t="s">
        <v>400</v>
      </c>
      <c r="AM1255" s="145" t="s">
        <v>400</v>
      </c>
    </row>
    <row r="1256" spans="1:39">
      <c r="A1256" s="143" t="s">
        <v>2316</v>
      </c>
      <c r="B1256" s="144">
        <v>100</v>
      </c>
      <c r="C1256" s="145">
        <v>226.785</v>
      </c>
      <c r="D1256" s="145">
        <v>22.6</v>
      </c>
      <c r="E1256" s="145">
        <v>13.707000000000001</v>
      </c>
      <c r="F1256" s="145">
        <v>3.7389999999999999</v>
      </c>
      <c r="G1256" s="145">
        <v>4.9279999999999999</v>
      </c>
      <c r="H1256" s="145">
        <v>3.6779999999999999</v>
      </c>
      <c r="I1256" s="145">
        <v>3.1949999999999998</v>
      </c>
      <c r="J1256" s="145">
        <v>0.251</v>
      </c>
      <c r="K1256" s="145">
        <v>72.352000000000004</v>
      </c>
      <c r="L1256" s="145">
        <v>1.849</v>
      </c>
      <c r="M1256" s="145">
        <v>4.2999999999999997E-2</v>
      </c>
      <c r="N1256" s="145">
        <v>34.363999999999997</v>
      </c>
      <c r="O1256" s="145">
        <v>20.667999999999999</v>
      </c>
      <c r="P1256" s="145">
        <v>2.5999999999999999E-2</v>
      </c>
      <c r="Q1256" s="145">
        <v>164.749</v>
      </c>
      <c r="R1256" s="145">
        <v>1.079</v>
      </c>
      <c r="S1256" s="145">
        <v>120.598</v>
      </c>
      <c r="T1256" s="145">
        <v>207.91900000000001</v>
      </c>
      <c r="U1256" s="145">
        <v>5.7000000000000002E-2</v>
      </c>
      <c r="V1256" s="145">
        <v>1.639</v>
      </c>
      <c r="W1256" s="145">
        <v>43.866</v>
      </c>
      <c r="X1256" s="145">
        <v>6.9000000000000006E-2</v>
      </c>
      <c r="Y1256" s="145">
        <v>0.17599999999999999</v>
      </c>
      <c r="Z1256" s="146">
        <v>0.32800000000000001</v>
      </c>
      <c r="AA1256" s="145">
        <v>6.8849999999999998</v>
      </c>
      <c r="AB1256" s="145">
        <v>4.0000000000000001E-3</v>
      </c>
      <c r="AC1256" s="145">
        <v>11.222</v>
      </c>
      <c r="AD1256" s="145">
        <v>0.32600000000000001</v>
      </c>
      <c r="AE1256" s="145">
        <v>7.5279999999999996</v>
      </c>
      <c r="AF1256" s="145">
        <v>0.435</v>
      </c>
      <c r="AG1256" s="145">
        <v>0.40699999999999997</v>
      </c>
      <c r="AH1256" s="145">
        <v>0.39400000000000002</v>
      </c>
      <c r="AI1256" s="145">
        <v>333</v>
      </c>
      <c r="AJ1256" s="145">
        <v>21.265999999999998</v>
      </c>
      <c r="AK1256" s="145">
        <v>43.95</v>
      </c>
      <c r="AL1256" s="145">
        <v>1.0309999999999999</v>
      </c>
      <c r="AM1256" s="145" t="s">
        <v>400</v>
      </c>
    </row>
    <row r="1257" spans="1:39">
      <c r="A1257" s="143" t="s">
        <v>2317</v>
      </c>
      <c r="B1257" s="144">
        <v>100</v>
      </c>
      <c r="C1257" s="145">
        <v>261.65899999999999</v>
      </c>
      <c r="D1257" s="145">
        <v>27.3</v>
      </c>
      <c r="E1257" s="145">
        <v>16.163</v>
      </c>
      <c r="F1257" s="145">
        <v>4.1909999999999998</v>
      </c>
      <c r="G1257" s="145">
        <v>5.9240000000000004</v>
      </c>
      <c r="H1257" s="145">
        <v>4.45</v>
      </c>
      <c r="I1257" s="145">
        <v>3.8759999999999999</v>
      </c>
      <c r="J1257" s="145">
        <v>0.28399999999999997</v>
      </c>
      <c r="K1257" s="145">
        <v>88</v>
      </c>
      <c r="L1257" s="145" t="s">
        <v>400</v>
      </c>
      <c r="M1257" s="145" t="s">
        <v>400</v>
      </c>
      <c r="N1257" s="145">
        <v>15</v>
      </c>
      <c r="O1257" s="145">
        <v>23</v>
      </c>
      <c r="P1257" s="145">
        <v>0.02</v>
      </c>
      <c r="Q1257" s="145">
        <v>182</v>
      </c>
      <c r="R1257" s="145">
        <v>1.2609999999999999</v>
      </c>
      <c r="S1257" s="145">
        <v>82</v>
      </c>
      <c r="T1257" s="145">
        <v>223</v>
      </c>
      <c r="U1257" s="145">
        <v>6.6000000000000003E-2</v>
      </c>
      <c r="V1257" s="145">
        <v>1.94</v>
      </c>
      <c r="W1257" s="145">
        <v>48</v>
      </c>
      <c r="X1257" s="145">
        <v>6.3E-2</v>
      </c>
      <c r="Y1257" s="145">
        <v>0.16800000000000001</v>
      </c>
      <c r="Z1257" s="146">
        <v>0.4</v>
      </c>
      <c r="AA1257" s="145">
        <v>8.4870000000000001</v>
      </c>
      <c r="AB1257" s="145" t="s">
        <v>400</v>
      </c>
      <c r="AC1257" s="145">
        <v>13.57</v>
      </c>
      <c r="AD1257" s="145">
        <v>0.3</v>
      </c>
      <c r="AE1257" s="145">
        <v>5</v>
      </c>
      <c r="AF1257" s="145">
        <v>0.3</v>
      </c>
      <c r="AG1257" s="145">
        <v>0.48</v>
      </c>
      <c r="AH1257" s="145">
        <v>0.46400000000000002</v>
      </c>
      <c r="AI1257" s="145">
        <v>333</v>
      </c>
      <c r="AJ1257" s="145">
        <v>25.074999999999999</v>
      </c>
      <c r="AK1257" s="145">
        <v>48</v>
      </c>
      <c r="AL1257" s="145" t="s">
        <v>400</v>
      </c>
      <c r="AM1257" s="145" t="s">
        <v>400</v>
      </c>
    </row>
    <row r="1258" spans="1:39">
      <c r="A1258" s="143" t="s">
        <v>2318</v>
      </c>
      <c r="B1258" s="144">
        <v>100</v>
      </c>
      <c r="C1258" s="145">
        <v>31.471</v>
      </c>
      <c r="D1258" s="145">
        <v>1.6120000000000001</v>
      </c>
      <c r="E1258" s="145">
        <v>1.0640000000000001</v>
      </c>
      <c r="F1258" s="145">
        <v>0.309</v>
      </c>
      <c r="G1258" s="145">
        <v>0.44700000000000001</v>
      </c>
      <c r="H1258" s="145">
        <v>0.22800000000000001</v>
      </c>
      <c r="I1258" s="145">
        <v>0.20599999999999999</v>
      </c>
      <c r="J1258" s="145">
        <v>1.2999999999999999E-2</v>
      </c>
      <c r="K1258" s="145">
        <v>3.194</v>
      </c>
      <c r="L1258" s="145">
        <v>3.637</v>
      </c>
      <c r="M1258" s="145">
        <v>0.128</v>
      </c>
      <c r="N1258" s="145">
        <v>5.22</v>
      </c>
      <c r="O1258" s="145">
        <v>3.2549999999999999</v>
      </c>
      <c r="P1258" s="145">
        <v>8.3000000000000004E-2</v>
      </c>
      <c r="Q1258" s="145">
        <v>18.477</v>
      </c>
      <c r="R1258" s="145">
        <v>0.23699999999999999</v>
      </c>
      <c r="S1258" s="145">
        <v>343.654</v>
      </c>
      <c r="T1258" s="145">
        <v>37.023000000000003</v>
      </c>
      <c r="U1258" s="145">
        <v>2.7E-2</v>
      </c>
      <c r="V1258" s="145">
        <v>0.153</v>
      </c>
      <c r="W1258" s="145">
        <v>0.46899999999999997</v>
      </c>
      <c r="X1258" s="145">
        <v>2.4E-2</v>
      </c>
      <c r="Y1258" s="145">
        <v>1.4E-2</v>
      </c>
      <c r="Z1258" s="146">
        <v>3.1E-2</v>
      </c>
      <c r="AA1258" s="145">
        <v>0.75</v>
      </c>
      <c r="AB1258" s="145">
        <v>0.105</v>
      </c>
      <c r="AC1258" s="145">
        <v>1.016</v>
      </c>
      <c r="AD1258" s="145">
        <v>3.1E-2</v>
      </c>
      <c r="AE1258" s="145">
        <v>6.0449999999999999</v>
      </c>
      <c r="AF1258" s="145">
        <v>1.2E-2</v>
      </c>
      <c r="AG1258" s="145">
        <v>6.6000000000000003E-2</v>
      </c>
      <c r="AH1258" s="145">
        <v>1.7000000000000001E-2</v>
      </c>
      <c r="AI1258" s="145" t="s">
        <v>400</v>
      </c>
      <c r="AJ1258" s="145">
        <v>1.55</v>
      </c>
      <c r="AK1258" s="145">
        <v>25.419</v>
      </c>
      <c r="AL1258" s="145">
        <v>0.105</v>
      </c>
      <c r="AM1258" s="145" t="s">
        <v>400</v>
      </c>
    </row>
    <row r="1259" spans="1:39">
      <c r="A1259" s="143" t="s">
        <v>2319</v>
      </c>
      <c r="B1259" s="144">
        <v>100</v>
      </c>
      <c r="C1259" s="145">
        <v>239</v>
      </c>
      <c r="D1259" s="145">
        <v>27.3</v>
      </c>
      <c r="E1259" s="145">
        <v>13.6</v>
      </c>
      <c r="F1259" s="145">
        <v>3.79</v>
      </c>
      <c r="G1259" s="145">
        <v>5.34</v>
      </c>
      <c r="H1259" s="145">
        <v>2.97</v>
      </c>
      <c r="I1259" s="145">
        <v>2.57</v>
      </c>
      <c r="J1259" s="145">
        <v>0.11</v>
      </c>
      <c r="K1259" s="145">
        <v>88</v>
      </c>
      <c r="L1259" s="145" t="s">
        <v>400</v>
      </c>
      <c r="M1259" s="145" t="s">
        <v>400</v>
      </c>
      <c r="N1259" s="145">
        <v>15</v>
      </c>
      <c r="O1259" s="145">
        <v>23</v>
      </c>
      <c r="P1259" s="145">
        <v>0.02</v>
      </c>
      <c r="Q1259" s="145">
        <v>182</v>
      </c>
      <c r="R1259" s="145">
        <v>1.26</v>
      </c>
      <c r="S1259" s="145">
        <v>82</v>
      </c>
      <c r="T1259" s="145">
        <v>223</v>
      </c>
      <c r="U1259" s="145">
        <v>6.6000000000000003E-2</v>
      </c>
      <c r="V1259" s="145">
        <v>1.94</v>
      </c>
      <c r="W1259" s="145">
        <v>48</v>
      </c>
      <c r="X1259" s="145">
        <v>6.3E-2</v>
      </c>
      <c r="Y1259" s="145">
        <v>0.16800000000000001</v>
      </c>
      <c r="Z1259" s="146">
        <v>0.4</v>
      </c>
      <c r="AA1259" s="145">
        <v>8.4870000000000001</v>
      </c>
      <c r="AB1259" s="145" t="s">
        <v>400</v>
      </c>
      <c r="AC1259" s="145">
        <v>13.57</v>
      </c>
      <c r="AD1259" s="145">
        <v>0.3</v>
      </c>
      <c r="AE1259" s="145">
        <v>5</v>
      </c>
      <c r="AF1259" s="145">
        <v>0.3</v>
      </c>
      <c r="AG1259" s="145">
        <v>0.27</v>
      </c>
      <c r="AH1259" s="145">
        <v>0.45</v>
      </c>
      <c r="AI1259" s="145">
        <v>333</v>
      </c>
      <c r="AJ1259" s="145">
        <v>23.9</v>
      </c>
      <c r="AK1259" s="145">
        <v>48</v>
      </c>
      <c r="AL1259" s="145" t="s">
        <v>400</v>
      </c>
      <c r="AM1259" s="145" t="s">
        <v>400</v>
      </c>
    </row>
    <row r="1260" spans="1:39">
      <c r="A1260" s="143" t="s">
        <v>2320</v>
      </c>
      <c r="B1260" s="144">
        <v>100</v>
      </c>
      <c r="C1260" s="145">
        <v>173</v>
      </c>
      <c r="D1260" s="145">
        <v>30.91</v>
      </c>
      <c r="E1260" s="145">
        <v>4.51</v>
      </c>
      <c r="F1260" s="145">
        <v>1.27</v>
      </c>
      <c r="G1260" s="145">
        <v>1.54</v>
      </c>
      <c r="H1260" s="145">
        <v>0.98</v>
      </c>
      <c r="I1260" s="145">
        <v>0.74</v>
      </c>
      <c r="J1260" s="145">
        <v>0.04</v>
      </c>
      <c r="K1260" s="145">
        <v>85</v>
      </c>
      <c r="L1260" s="145" t="s">
        <v>400</v>
      </c>
      <c r="M1260" s="145" t="s">
        <v>400</v>
      </c>
      <c r="N1260" s="145">
        <v>15</v>
      </c>
      <c r="O1260" s="145">
        <v>27</v>
      </c>
      <c r="P1260" s="145">
        <v>1.7000000000000001E-2</v>
      </c>
      <c r="Q1260" s="145">
        <v>216</v>
      </c>
      <c r="R1260" s="145">
        <v>1.06</v>
      </c>
      <c r="S1260" s="145">
        <v>77</v>
      </c>
      <c r="T1260" s="145">
        <v>247</v>
      </c>
      <c r="U1260" s="145">
        <v>0.05</v>
      </c>
      <c r="V1260" s="145">
        <v>1.23</v>
      </c>
      <c r="W1260" s="145">
        <v>9</v>
      </c>
      <c r="X1260" s="145">
        <v>6.5000000000000002E-2</v>
      </c>
      <c r="Y1260" s="145">
        <v>0.11600000000000001</v>
      </c>
      <c r="Z1260" s="146">
        <v>0.6</v>
      </c>
      <c r="AA1260" s="145">
        <v>12.420999999999999</v>
      </c>
      <c r="AB1260" s="145" t="s">
        <v>400</v>
      </c>
      <c r="AC1260" s="145">
        <v>18.437999999999999</v>
      </c>
      <c r="AD1260" s="145">
        <v>0.34</v>
      </c>
      <c r="AE1260" s="145">
        <v>4</v>
      </c>
      <c r="AF1260" s="145">
        <v>0.2</v>
      </c>
      <c r="AG1260" s="145">
        <v>0.27</v>
      </c>
      <c r="AH1260" s="145">
        <v>0.09</v>
      </c>
      <c r="AI1260" s="145">
        <v>333</v>
      </c>
      <c r="AJ1260" s="145">
        <v>24.4</v>
      </c>
      <c r="AK1260" s="145">
        <v>9</v>
      </c>
      <c r="AL1260" s="145" t="s">
        <v>400</v>
      </c>
      <c r="AM1260" s="145" t="s">
        <v>400</v>
      </c>
    </row>
    <row r="1261" spans="1:39">
      <c r="A1261" s="143" t="s">
        <v>2321</v>
      </c>
      <c r="B1261" s="144">
        <v>100</v>
      </c>
      <c r="C1261" s="145">
        <v>173</v>
      </c>
      <c r="D1261" s="145">
        <v>30.91</v>
      </c>
      <c r="E1261" s="145">
        <v>4.51</v>
      </c>
      <c r="F1261" s="145">
        <v>1.27</v>
      </c>
      <c r="G1261" s="145">
        <v>1.54</v>
      </c>
      <c r="H1261" s="145">
        <v>0.98</v>
      </c>
      <c r="I1261" s="145">
        <v>0.74</v>
      </c>
      <c r="J1261" s="145">
        <v>0.04</v>
      </c>
      <c r="K1261" s="145">
        <v>85</v>
      </c>
      <c r="L1261" s="145" t="s">
        <v>400</v>
      </c>
      <c r="M1261" s="145" t="s">
        <v>400</v>
      </c>
      <c r="N1261" s="145">
        <v>15</v>
      </c>
      <c r="O1261" s="145">
        <v>27</v>
      </c>
      <c r="P1261" s="145">
        <v>1.7000000000000001E-2</v>
      </c>
      <c r="Q1261" s="145">
        <v>216</v>
      </c>
      <c r="R1261" s="145">
        <v>1.06</v>
      </c>
      <c r="S1261" s="145">
        <v>77</v>
      </c>
      <c r="T1261" s="145">
        <v>247</v>
      </c>
      <c r="U1261" s="145">
        <v>0.05</v>
      </c>
      <c r="V1261" s="145">
        <v>1.23</v>
      </c>
      <c r="W1261" s="145">
        <v>9</v>
      </c>
      <c r="X1261" s="145">
        <v>6.5000000000000002E-2</v>
      </c>
      <c r="Y1261" s="145">
        <v>0.11600000000000001</v>
      </c>
      <c r="Z1261" s="146">
        <v>0.6</v>
      </c>
      <c r="AA1261" s="145">
        <v>12.420999999999999</v>
      </c>
      <c r="AB1261" s="145" t="s">
        <v>400</v>
      </c>
      <c r="AC1261" s="145">
        <v>18.437999999999999</v>
      </c>
      <c r="AD1261" s="145">
        <v>0.34</v>
      </c>
      <c r="AE1261" s="145">
        <v>4</v>
      </c>
      <c r="AF1261" s="145">
        <v>0.2</v>
      </c>
      <c r="AG1261" s="145">
        <v>0.27</v>
      </c>
      <c r="AH1261" s="145">
        <v>0.09</v>
      </c>
      <c r="AI1261" s="145">
        <v>333</v>
      </c>
      <c r="AJ1261" s="145">
        <v>24.4</v>
      </c>
      <c r="AK1261" s="145">
        <v>9</v>
      </c>
      <c r="AL1261" s="145" t="s">
        <v>400</v>
      </c>
      <c r="AM1261" s="145" t="s">
        <v>400</v>
      </c>
    </row>
    <row r="1262" spans="1:39">
      <c r="A1262" s="143" t="s">
        <v>2322</v>
      </c>
      <c r="B1262" s="144">
        <v>100</v>
      </c>
      <c r="C1262" s="145">
        <v>173</v>
      </c>
      <c r="D1262" s="145">
        <v>30.91</v>
      </c>
      <c r="E1262" s="145">
        <v>4.51</v>
      </c>
      <c r="F1262" s="145">
        <v>1.27</v>
      </c>
      <c r="G1262" s="145">
        <v>1.54</v>
      </c>
      <c r="H1262" s="145">
        <v>0.98</v>
      </c>
      <c r="I1262" s="145">
        <v>0.74</v>
      </c>
      <c r="J1262" s="145">
        <v>0.04</v>
      </c>
      <c r="K1262" s="145">
        <v>85</v>
      </c>
      <c r="L1262" s="145" t="s">
        <v>400</v>
      </c>
      <c r="M1262" s="145" t="s">
        <v>400</v>
      </c>
      <c r="N1262" s="145">
        <v>15</v>
      </c>
      <c r="O1262" s="145">
        <v>27</v>
      </c>
      <c r="P1262" s="145">
        <v>1.7000000000000001E-2</v>
      </c>
      <c r="Q1262" s="145">
        <v>216</v>
      </c>
      <c r="R1262" s="145">
        <v>1.06</v>
      </c>
      <c r="S1262" s="145">
        <v>77</v>
      </c>
      <c r="T1262" s="145">
        <v>247</v>
      </c>
      <c r="U1262" s="145">
        <v>0.05</v>
      </c>
      <c r="V1262" s="145">
        <v>1.23</v>
      </c>
      <c r="W1262" s="145">
        <v>9</v>
      </c>
      <c r="X1262" s="145">
        <v>6.5000000000000002E-2</v>
      </c>
      <c r="Y1262" s="145">
        <v>0.11600000000000001</v>
      </c>
      <c r="Z1262" s="146">
        <v>0.6</v>
      </c>
      <c r="AA1262" s="145">
        <v>12.420999999999999</v>
      </c>
      <c r="AB1262" s="145" t="s">
        <v>400</v>
      </c>
      <c r="AC1262" s="145">
        <v>18.437999999999999</v>
      </c>
      <c r="AD1262" s="145">
        <v>0.34</v>
      </c>
      <c r="AE1262" s="145">
        <v>4</v>
      </c>
      <c r="AF1262" s="145">
        <v>0.2</v>
      </c>
      <c r="AG1262" s="145">
        <v>0.27</v>
      </c>
      <c r="AH1262" s="145">
        <v>0.09</v>
      </c>
      <c r="AI1262" s="145">
        <v>333</v>
      </c>
      <c r="AJ1262" s="145">
        <v>24.4</v>
      </c>
      <c r="AK1262" s="145">
        <v>9</v>
      </c>
      <c r="AL1262" s="145" t="s">
        <v>400</v>
      </c>
      <c r="AM1262" s="145" t="s">
        <v>400</v>
      </c>
    </row>
    <row r="1263" spans="1:39">
      <c r="A1263" s="143" t="s">
        <v>2323</v>
      </c>
      <c r="B1263" s="144">
        <v>100</v>
      </c>
      <c r="C1263" s="145">
        <v>173</v>
      </c>
      <c r="D1263" s="145">
        <v>30.91</v>
      </c>
      <c r="E1263" s="145">
        <v>4.51</v>
      </c>
      <c r="F1263" s="145">
        <v>1.27</v>
      </c>
      <c r="G1263" s="145">
        <v>1.54</v>
      </c>
      <c r="H1263" s="145">
        <v>0.98</v>
      </c>
      <c r="I1263" s="145">
        <v>0.74</v>
      </c>
      <c r="J1263" s="145">
        <v>0.04</v>
      </c>
      <c r="K1263" s="145">
        <v>85</v>
      </c>
      <c r="L1263" s="145" t="s">
        <v>400</v>
      </c>
      <c r="M1263" s="145" t="s">
        <v>400</v>
      </c>
      <c r="N1263" s="145">
        <v>15</v>
      </c>
      <c r="O1263" s="145">
        <v>27</v>
      </c>
      <c r="P1263" s="145">
        <v>1.7000000000000001E-2</v>
      </c>
      <c r="Q1263" s="145">
        <v>216</v>
      </c>
      <c r="R1263" s="145">
        <v>1.06</v>
      </c>
      <c r="S1263" s="145">
        <v>77</v>
      </c>
      <c r="T1263" s="145">
        <v>247</v>
      </c>
      <c r="U1263" s="145">
        <v>0.05</v>
      </c>
      <c r="V1263" s="145">
        <v>1.23</v>
      </c>
      <c r="W1263" s="145">
        <v>9</v>
      </c>
      <c r="X1263" s="145">
        <v>6.5000000000000002E-2</v>
      </c>
      <c r="Y1263" s="145">
        <v>0.11600000000000001</v>
      </c>
      <c r="Z1263" s="146">
        <v>0.6</v>
      </c>
      <c r="AA1263" s="145">
        <v>12.420999999999999</v>
      </c>
      <c r="AB1263" s="145" t="s">
        <v>400</v>
      </c>
      <c r="AC1263" s="145">
        <v>18.437999999999999</v>
      </c>
      <c r="AD1263" s="145">
        <v>0.34</v>
      </c>
      <c r="AE1263" s="145">
        <v>4</v>
      </c>
      <c r="AF1263" s="145">
        <v>0.2</v>
      </c>
      <c r="AG1263" s="145">
        <v>0.27</v>
      </c>
      <c r="AH1263" s="145">
        <v>0.09</v>
      </c>
      <c r="AI1263" s="145">
        <v>333</v>
      </c>
      <c r="AJ1263" s="145">
        <v>24.4</v>
      </c>
      <c r="AK1263" s="145">
        <v>9</v>
      </c>
      <c r="AL1263" s="145" t="s">
        <v>400</v>
      </c>
      <c r="AM1263" s="145" t="s">
        <v>400</v>
      </c>
    </row>
    <row r="1264" spans="1:39">
      <c r="A1264" s="143" t="s">
        <v>2324</v>
      </c>
      <c r="B1264" s="144">
        <v>100</v>
      </c>
      <c r="C1264" s="145">
        <v>195.65899999999999</v>
      </c>
      <c r="D1264" s="145">
        <v>30.91</v>
      </c>
      <c r="E1264" s="145">
        <v>7.0730000000000004</v>
      </c>
      <c r="F1264" s="145">
        <v>1.671</v>
      </c>
      <c r="G1264" s="145">
        <v>2.1240000000000001</v>
      </c>
      <c r="H1264" s="145">
        <v>2.46</v>
      </c>
      <c r="I1264" s="145">
        <v>2.0459999999999998</v>
      </c>
      <c r="J1264" s="145">
        <v>0.214</v>
      </c>
      <c r="K1264" s="145">
        <v>85</v>
      </c>
      <c r="L1264" s="145" t="s">
        <v>400</v>
      </c>
      <c r="M1264" s="145" t="s">
        <v>400</v>
      </c>
      <c r="N1264" s="145">
        <v>15</v>
      </c>
      <c r="O1264" s="145">
        <v>27</v>
      </c>
      <c r="P1264" s="145">
        <v>1.7000000000000001E-2</v>
      </c>
      <c r="Q1264" s="145">
        <v>216</v>
      </c>
      <c r="R1264" s="145">
        <v>1.0609999999999999</v>
      </c>
      <c r="S1264" s="145">
        <v>77</v>
      </c>
      <c r="T1264" s="145">
        <v>247</v>
      </c>
      <c r="U1264" s="145">
        <v>0.05</v>
      </c>
      <c r="V1264" s="145">
        <v>1.23</v>
      </c>
      <c r="W1264" s="145">
        <v>9</v>
      </c>
      <c r="X1264" s="145">
        <v>6.5000000000000002E-2</v>
      </c>
      <c r="Y1264" s="145">
        <v>0.11600000000000001</v>
      </c>
      <c r="Z1264" s="146">
        <v>0.6</v>
      </c>
      <c r="AA1264" s="145">
        <v>12.420999999999999</v>
      </c>
      <c r="AB1264" s="145" t="s">
        <v>400</v>
      </c>
      <c r="AC1264" s="145">
        <v>18.437999999999999</v>
      </c>
      <c r="AD1264" s="145">
        <v>0.34</v>
      </c>
      <c r="AE1264" s="145">
        <v>4</v>
      </c>
      <c r="AF1264" s="145">
        <v>0.2</v>
      </c>
      <c r="AG1264" s="145">
        <v>0.48</v>
      </c>
      <c r="AH1264" s="145">
        <v>0.104</v>
      </c>
      <c r="AI1264" s="145">
        <v>333</v>
      </c>
      <c r="AJ1264" s="145">
        <v>25.574999999999999</v>
      </c>
      <c r="AK1264" s="145">
        <v>9</v>
      </c>
      <c r="AL1264" s="145" t="s">
        <v>400</v>
      </c>
      <c r="AM1264" s="145" t="s">
        <v>400</v>
      </c>
    </row>
    <row r="1265" spans="1:39">
      <c r="A1265" s="143" t="s">
        <v>2325</v>
      </c>
      <c r="B1265" s="144">
        <v>100</v>
      </c>
      <c r="C1265" s="145">
        <v>211.83699999999999</v>
      </c>
      <c r="D1265" s="145">
        <v>31.369</v>
      </c>
      <c r="E1265" s="145">
        <v>7.117</v>
      </c>
      <c r="F1265" s="145">
        <v>1.6779999999999999</v>
      </c>
      <c r="G1265" s="145">
        <v>2.1280000000000001</v>
      </c>
      <c r="H1265" s="145">
        <v>2.4780000000000002</v>
      </c>
      <c r="I1265" s="145">
        <v>2.0630000000000002</v>
      </c>
      <c r="J1265" s="145">
        <v>0.215</v>
      </c>
      <c r="K1265" s="145">
        <v>85</v>
      </c>
      <c r="L1265" s="145">
        <v>3.3919999999999999</v>
      </c>
      <c r="M1265" s="145">
        <v>0.13500000000000001</v>
      </c>
      <c r="N1265" s="145">
        <v>15.667</v>
      </c>
      <c r="O1265" s="145">
        <v>27.978000000000002</v>
      </c>
      <c r="P1265" s="145">
        <v>4.7E-2</v>
      </c>
      <c r="Q1265" s="145">
        <v>220.8</v>
      </c>
      <c r="R1265" s="145">
        <v>1.268</v>
      </c>
      <c r="S1265" s="145">
        <v>77.088999999999999</v>
      </c>
      <c r="T1265" s="145">
        <v>251.756</v>
      </c>
      <c r="U1265" s="145">
        <v>5.6000000000000001E-2</v>
      </c>
      <c r="V1265" s="145">
        <v>1.2609999999999999</v>
      </c>
      <c r="W1265" s="145">
        <v>9</v>
      </c>
      <c r="X1265" s="145">
        <v>0.1</v>
      </c>
      <c r="Y1265" s="145">
        <v>0.13800000000000001</v>
      </c>
      <c r="Z1265" s="146">
        <v>0.60199999999999998</v>
      </c>
      <c r="AA1265" s="145">
        <v>12.683</v>
      </c>
      <c r="AB1265" s="145" t="s">
        <v>400</v>
      </c>
      <c r="AC1265" s="145">
        <v>18.794</v>
      </c>
      <c r="AD1265" s="145">
        <v>0.34</v>
      </c>
      <c r="AE1265" s="145">
        <v>13.067</v>
      </c>
      <c r="AF1265" s="145">
        <v>0.2</v>
      </c>
      <c r="AG1265" s="145">
        <v>0.48199999999999998</v>
      </c>
      <c r="AH1265" s="145">
        <v>0.104</v>
      </c>
      <c r="AI1265" s="145">
        <v>333</v>
      </c>
      <c r="AJ1265" s="145">
        <v>27.081</v>
      </c>
      <c r="AK1265" s="145">
        <v>9</v>
      </c>
      <c r="AL1265" s="145">
        <v>1.4E-2</v>
      </c>
      <c r="AM1265" s="145" t="s">
        <v>400</v>
      </c>
    </row>
    <row r="1266" spans="1:39">
      <c r="A1266" s="143" t="s">
        <v>2326</v>
      </c>
      <c r="B1266" s="144">
        <v>100</v>
      </c>
      <c r="C1266" s="145">
        <v>195.65899999999999</v>
      </c>
      <c r="D1266" s="145">
        <v>30.91</v>
      </c>
      <c r="E1266" s="145">
        <v>7.0730000000000004</v>
      </c>
      <c r="F1266" s="145">
        <v>1.671</v>
      </c>
      <c r="G1266" s="145">
        <v>2.1240000000000001</v>
      </c>
      <c r="H1266" s="145">
        <v>2.46</v>
      </c>
      <c r="I1266" s="145">
        <v>2.0459999999999998</v>
      </c>
      <c r="J1266" s="145">
        <v>0.214</v>
      </c>
      <c r="K1266" s="145">
        <v>85</v>
      </c>
      <c r="L1266" s="145" t="s">
        <v>400</v>
      </c>
      <c r="M1266" s="145" t="s">
        <v>400</v>
      </c>
      <c r="N1266" s="145">
        <v>15</v>
      </c>
      <c r="O1266" s="145">
        <v>27</v>
      </c>
      <c r="P1266" s="145">
        <v>1.7000000000000001E-2</v>
      </c>
      <c r="Q1266" s="145">
        <v>216</v>
      </c>
      <c r="R1266" s="145">
        <v>1.0609999999999999</v>
      </c>
      <c r="S1266" s="145">
        <v>77</v>
      </c>
      <c r="T1266" s="145">
        <v>247</v>
      </c>
      <c r="U1266" s="145">
        <v>0.05</v>
      </c>
      <c r="V1266" s="145">
        <v>1.23</v>
      </c>
      <c r="W1266" s="145">
        <v>9</v>
      </c>
      <c r="X1266" s="145">
        <v>6.5000000000000002E-2</v>
      </c>
      <c r="Y1266" s="145">
        <v>0.11600000000000001</v>
      </c>
      <c r="Z1266" s="146">
        <v>0.6</v>
      </c>
      <c r="AA1266" s="145">
        <v>12.420999999999999</v>
      </c>
      <c r="AB1266" s="145" t="s">
        <v>400</v>
      </c>
      <c r="AC1266" s="145">
        <v>18.437999999999999</v>
      </c>
      <c r="AD1266" s="145">
        <v>0.34</v>
      </c>
      <c r="AE1266" s="145">
        <v>4</v>
      </c>
      <c r="AF1266" s="145">
        <v>0.2</v>
      </c>
      <c r="AG1266" s="145">
        <v>0.48</v>
      </c>
      <c r="AH1266" s="145">
        <v>0.104</v>
      </c>
      <c r="AI1266" s="145">
        <v>333</v>
      </c>
      <c r="AJ1266" s="145">
        <v>25.574999999999999</v>
      </c>
      <c r="AK1266" s="145">
        <v>9</v>
      </c>
      <c r="AL1266" s="145" t="s">
        <v>400</v>
      </c>
      <c r="AM1266" s="145" t="s">
        <v>400</v>
      </c>
    </row>
    <row r="1267" spans="1:39">
      <c r="A1267" s="143" t="s">
        <v>2327</v>
      </c>
      <c r="B1267" s="144">
        <v>100</v>
      </c>
      <c r="C1267" s="145">
        <v>143.19999999999999</v>
      </c>
      <c r="D1267" s="145">
        <v>24.992000000000001</v>
      </c>
      <c r="E1267" s="145">
        <v>3.6440000000000001</v>
      </c>
      <c r="F1267" s="145">
        <v>1.0209999999999999</v>
      </c>
      <c r="G1267" s="145">
        <v>1.2370000000000001</v>
      </c>
      <c r="H1267" s="145">
        <v>0.79900000000000004</v>
      </c>
      <c r="I1267" s="145">
        <v>0.60599999999999998</v>
      </c>
      <c r="J1267" s="145">
        <v>3.3000000000000002E-2</v>
      </c>
      <c r="K1267" s="145">
        <v>68</v>
      </c>
      <c r="L1267" s="145">
        <v>1.0760000000000001</v>
      </c>
      <c r="M1267" s="145">
        <v>0.3</v>
      </c>
      <c r="N1267" s="145">
        <v>14.6</v>
      </c>
      <c r="O1267" s="145">
        <v>24.8</v>
      </c>
      <c r="P1267" s="145">
        <v>3.5000000000000003E-2</v>
      </c>
      <c r="Q1267" s="145">
        <v>178</v>
      </c>
      <c r="R1267" s="145">
        <v>1.052</v>
      </c>
      <c r="S1267" s="145">
        <v>166.4</v>
      </c>
      <c r="T1267" s="145">
        <v>263.8</v>
      </c>
      <c r="U1267" s="145">
        <v>6.3E-2</v>
      </c>
      <c r="V1267" s="145">
        <v>1.024</v>
      </c>
      <c r="W1267" s="145">
        <v>7.2</v>
      </c>
      <c r="X1267" s="145">
        <v>5.7000000000000002E-2</v>
      </c>
      <c r="Y1267" s="145">
        <v>0.106</v>
      </c>
      <c r="Z1267" s="146">
        <v>0.499</v>
      </c>
      <c r="AA1267" s="145">
        <v>10.132</v>
      </c>
      <c r="AB1267" s="145">
        <v>1.4</v>
      </c>
      <c r="AC1267" s="145">
        <v>14.978</v>
      </c>
      <c r="AD1267" s="145">
        <v>0.27200000000000002</v>
      </c>
      <c r="AE1267" s="145">
        <v>5.4</v>
      </c>
      <c r="AF1267" s="145">
        <v>0.16</v>
      </c>
      <c r="AG1267" s="145">
        <v>0.5</v>
      </c>
      <c r="AH1267" s="145">
        <v>7.1999999999999995E-2</v>
      </c>
      <c r="AI1267" s="145">
        <v>333</v>
      </c>
      <c r="AJ1267" s="145">
        <v>19.559999999999999</v>
      </c>
      <c r="AK1267" s="145">
        <v>10.683</v>
      </c>
      <c r="AL1267" s="145">
        <v>0.85</v>
      </c>
      <c r="AM1267" s="145" t="s">
        <v>400</v>
      </c>
    </row>
    <row r="1268" spans="1:39">
      <c r="A1268" s="143" t="s">
        <v>2328</v>
      </c>
      <c r="B1268" s="144">
        <v>100</v>
      </c>
      <c r="C1268" s="145">
        <v>170.99</v>
      </c>
      <c r="D1268" s="145">
        <v>25.507000000000001</v>
      </c>
      <c r="E1268" s="145">
        <v>6.0970000000000004</v>
      </c>
      <c r="F1268" s="145">
        <v>2.548</v>
      </c>
      <c r="G1268" s="145">
        <v>1.869</v>
      </c>
      <c r="H1268" s="145">
        <v>0.89700000000000002</v>
      </c>
      <c r="I1268" s="145">
        <v>0.68200000000000005</v>
      </c>
      <c r="J1268" s="145">
        <v>5.3999999999999999E-2</v>
      </c>
      <c r="K1268" s="145">
        <v>74.832999999999998</v>
      </c>
      <c r="L1268" s="145">
        <v>1.851</v>
      </c>
      <c r="M1268" s="145">
        <v>4.2999999999999997E-2</v>
      </c>
      <c r="N1268" s="145">
        <v>34.878999999999998</v>
      </c>
      <c r="O1268" s="145">
        <v>23.911999999999999</v>
      </c>
      <c r="P1268" s="145">
        <v>2.4E-2</v>
      </c>
      <c r="Q1268" s="145">
        <v>192.49299999999999</v>
      </c>
      <c r="R1268" s="145">
        <v>0.91800000000000004</v>
      </c>
      <c r="S1268" s="145">
        <v>82.516999999999996</v>
      </c>
      <c r="T1268" s="145">
        <v>227.654</v>
      </c>
      <c r="U1268" s="145">
        <v>4.3999999999999997E-2</v>
      </c>
      <c r="V1268" s="145">
        <v>1.073</v>
      </c>
      <c r="W1268" s="145">
        <v>27.896999999999998</v>
      </c>
      <c r="X1268" s="145">
        <v>7.0999999999999994E-2</v>
      </c>
      <c r="Y1268" s="145">
        <v>0.13600000000000001</v>
      </c>
      <c r="Z1268" s="146">
        <v>0.48799999999999999</v>
      </c>
      <c r="AA1268" s="145">
        <v>10.032999999999999</v>
      </c>
      <c r="AB1268" s="145">
        <v>4.0000000000000001E-3</v>
      </c>
      <c r="AC1268" s="145">
        <v>15.121</v>
      </c>
      <c r="AD1268" s="145">
        <v>0.36199999999999999</v>
      </c>
      <c r="AE1268" s="145">
        <v>6.7960000000000003</v>
      </c>
      <c r="AF1268" s="145">
        <v>0.38700000000000001</v>
      </c>
      <c r="AG1268" s="145">
        <v>0.28100000000000003</v>
      </c>
      <c r="AH1268" s="145">
        <v>0.16900000000000001</v>
      </c>
      <c r="AI1268" s="145">
        <v>333</v>
      </c>
      <c r="AJ1268" s="145">
        <v>20.689</v>
      </c>
      <c r="AK1268" s="145">
        <v>28.280999999999999</v>
      </c>
      <c r="AL1268" s="145">
        <v>1.0329999999999999</v>
      </c>
      <c r="AM1268" s="145" t="s">
        <v>400</v>
      </c>
    </row>
    <row r="1269" spans="1:39">
      <c r="A1269" s="143" t="s">
        <v>2329</v>
      </c>
      <c r="B1269" s="144">
        <v>100</v>
      </c>
      <c r="C1269" s="145">
        <v>195.65899999999999</v>
      </c>
      <c r="D1269" s="145">
        <v>30.91</v>
      </c>
      <c r="E1269" s="145">
        <v>7.0730000000000004</v>
      </c>
      <c r="F1269" s="145">
        <v>1.671</v>
      </c>
      <c r="G1269" s="145">
        <v>2.1240000000000001</v>
      </c>
      <c r="H1269" s="145">
        <v>2.46</v>
      </c>
      <c r="I1269" s="145">
        <v>2.0459999999999998</v>
      </c>
      <c r="J1269" s="145">
        <v>0.214</v>
      </c>
      <c r="K1269" s="145">
        <v>85</v>
      </c>
      <c r="L1269" s="145" t="s">
        <v>400</v>
      </c>
      <c r="M1269" s="145" t="s">
        <v>400</v>
      </c>
      <c r="N1269" s="145">
        <v>15</v>
      </c>
      <c r="O1269" s="145">
        <v>27</v>
      </c>
      <c r="P1269" s="145">
        <v>1.7000000000000001E-2</v>
      </c>
      <c r="Q1269" s="145">
        <v>216</v>
      </c>
      <c r="R1269" s="145">
        <v>1.0609999999999999</v>
      </c>
      <c r="S1269" s="145">
        <v>77</v>
      </c>
      <c r="T1269" s="145">
        <v>247</v>
      </c>
      <c r="U1269" s="145">
        <v>0.05</v>
      </c>
      <c r="V1269" s="145">
        <v>1.23</v>
      </c>
      <c r="W1269" s="145">
        <v>9</v>
      </c>
      <c r="X1269" s="145">
        <v>6.5000000000000002E-2</v>
      </c>
      <c r="Y1269" s="145">
        <v>0.11600000000000001</v>
      </c>
      <c r="Z1269" s="146">
        <v>0.6</v>
      </c>
      <c r="AA1269" s="145">
        <v>12.420999999999999</v>
      </c>
      <c r="AB1269" s="145" t="s">
        <v>400</v>
      </c>
      <c r="AC1269" s="145">
        <v>18.437999999999999</v>
      </c>
      <c r="AD1269" s="145">
        <v>0.34</v>
      </c>
      <c r="AE1269" s="145">
        <v>4</v>
      </c>
      <c r="AF1269" s="145">
        <v>0.2</v>
      </c>
      <c r="AG1269" s="145">
        <v>0.48</v>
      </c>
      <c r="AH1269" s="145">
        <v>0.104</v>
      </c>
      <c r="AI1269" s="145">
        <v>333</v>
      </c>
      <c r="AJ1269" s="145">
        <v>25.574999999999999</v>
      </c>
      <c r="AK1269" s="145">
        <v>9</v>
      </c>
      <c r="AL1269" s="145" t="s">
        <v>400</v>
      </c>
      <c r="AM1269" s="145" t="s">
        <v>400</v>
      </c>
    </row>
    <row r="1270" spans="1:39">
      <c r="A1270" s="143" t="s">
        <v>2330</v>
      </c>
      <c r="B1270" s="144">
        <v>100</v>
      </c>
      <c r="C1270" s="145">
        <v>31.471</v>
      </c>
      <c r="D1270" s="145">
        <v>1.6120000000000001</v>
      </c>
      <c r="E1270" s="145">
        <v>1.0640000000000001</v>
      </c>
      <c r="F1270" s="145">
        <v>0.309</v>
      </c>
      <c r="G1270" s="145">
        <v>0.44700000000000001</v>
      </c>
      <c r="H1270" s="145">
        <v>0.22800000000000001</v>
      </c>
      <c r="I1270" s="145">
        <v>0.20599999999999999</v>
      </c>
      <c r="J1270" s="145">
        <v>1.2999999999999999E-2</v>
      </c>
      <c r="K1270" s="145">
        <v>3.194</v>
      </c>
      <c r="L1270" s="145">
        <v>3.637</v>
      </c>
      <c r="M1270" s="145">
        <v>0.128</v>
      </c>
      <c r="N1270" s="145">
        <v>5.22</v>
      </c>
      <c r="O1270" s="145">
        <v>3.2549999999999999</v>
      </c>
      <c r="P1270" s="145">
        <v>8.3000000000000004E-2</v>
      </c>
      <c r="Q1270" s="145">
        <v>18.477</v>
      </c>
      <c r="R1270" s="145">
        <v>0.23699999999999999</v>
      </c>
      <c r="S1270" s="145">
        <v>343.654</v>
      </c>
      <c r="T1270" s="145">
        <v>37.023000000000003</v>
      </c>
      <c r="U1270" s="145">
        <v>2.7E-2</v>
      </c>
      <c r="V1270" s="145">
        <v>0.153</v>
      </c>
      <c r="W1270" s="145">
        <v>0.46899999999999997</v>
      </c>
      <c r="X1270" s="145">
        <v>2.4E-2</v>
      </c>
      <c r="Y1270" s="145">
        <v>1.4E-2</v>
      </c>
      <c r="Z1270" s="146">
        <v>3.1E-2</v>
      </c>
      <c r="AA1270" s="145">
        <v>0.75</v>
      </c>
      <c r="AB1270" s="145">
        <v>0.105</v>
      </c>
      <c r="AC1270" s="145">
        <v>1.016</v>
      </c>
      <c r="AD1270" s="145">
        <v>3.1E-2</v>
      </c>
      <c r="AE1270" s="145">
        <v>6.0449999999999999</v>
      </c>
      <c r="AF1270" s="145">
        <v>1.2E-2</v>
      </c>
      <c r="AG1270" s="145">
        <v>6.6000000000000003E-2</v>
      </c>
      <c r="AH1270" s="145">
        <v>1.7000000000000001E-2</v>
      </c>
      <c r="AI1270" s="145" t="s">
        <v>400</v>
      </c>
      <c r="AJ1270" s="145">
        <v>1.55</v>
      </c>
      <c r="AK1270" s="145">
        <v>25.419</v>
      </c>
      <c r="AL1270" s="145">
        <v>0.105</v>
      </c>
      <c r="AM1270" s="145" t="s">
        <v>400</v>
      </c>
    </row>
    <row r="1271" spans="1:39">
      <c r="A1271" s="143" t="s">
        <v>2331</v>
      </c>
      <c r="B1271" s="144">
        <v>100</v>
      </c>
      <c r="C1271" s="145">
        <v>173</v>
      </c>
      <c r="D1271" s="145">
        <v>30.91</v>
      </c>
      <c r="E1271" s="145">
        <v>4.51</v>
      </c>
      <c r="F1271" s="145">
        <v>1.27</v>
      </c>
      <c r="G1271" s="145">
        <v>1.54</v>
      </c>
      <c r="H1271" s="145">
        <v>0.98</v>
      </c>
      <c r="I1271" s="145">
        <v>0.74</v>
      </c>
      <c r="J1271" s="145">
        <v>0.04</v>
      </c>
      <c r="K1271" s="145">
        <v>85</v>
      </c>
      <c r="L1271" s="145" t="s">
        <v>400</v>
      </c>
      <c r="M1271" s="145" t="s">
        <v>400</v>
      </c>
      <c r="N1271" s="145">
        <v>15</v>
      </c>
      <c r="O1271" s="145">
        <v>27</v>
      </c>
      <c r="P1271" s="145">
        <v>1.7000000000000001E-2</v>
      </c>
      <c r="Q1271" s="145">
        <v>216</v>
      </c>
      <c r="R1271" s="145">
        <v>1.06</v>
      </c>
      <c r="S1271" s="145">
        <v>77</v>
      </c>
      <c r="T1271" s="145">
        <v>247</v>
      </c>
      <c r="U1271" s="145">
        <v>0.05</v>
      </c>
      <c r="V1271" s="145">
        <v>1.23</v>
      </c>
      <c r="W1271" s="145">
        <v>9</v>
      </c>
      <c r="X1271" s="145">
        <v>6.5000000000000002E-2</v>
      </c>
      <c r="Y1271" s="145">
        <v>0.11600000000000001</v>
      </c>
      <c r="Z1271" s="146">
        <v>0.6</v>
      </c>
      <c r="AA1271" s="145">
        <v>12.420999999999999</v>
      </c>
      <c r="AB1271" s="145" t="s">
        <v>400</v>
      </c>
      <c r="AC1271" s="145">
        <v>18.437999999999999</v>
      </c>
      <c r="AD1271" s="145">
        <v>0.34</v>
      </c>
      <c r="AE1271" s="145">
        <v>4</v>
      </c>
      <c r="AF1271" s="145">
        <v>0.2</v>
      </c>
      <c r="AG1271" s="145">
        <v>0.27</v>
      </c>
      <c r="AH1271" s="145">
        <v>0.09</v>
      </c>
      <c r="AI1271" s="145">
        <v>333</v>
      </c>
      <c r="AJ1271" s="145">
        <v>24.4</v>
      </c>
      <c r="AK1271" s="145">
        <v>9</v>
      </c>
      <c r="AL1271" s="145" t="s">
        <v>400</v>
      </c>
      <c r="AM1271" s="145" t="s">
        <v>400</v>
      </c>
    </row>
    <row r="1272" spans="1:39">
      <c r="A1272" s="143" t="s">
        <v>2332</v>
      </c>
      <c r="B1272" s="144">
        <v>100</v>
      </c>
      <c r="C1272" s="145">
        <v>173</v>
      </c>
      <c r="D1272" s="145">
        <v>30.91</v>
      </c>
      <c r="E1272" s="145">
        <v>4.51</v>
      </c>
      <c r="F1272" s="145">
        <v>1.27</v>
      </c>
      <c r="G1272" s="145">
        <v>1.54</v>
      </c>
      <c r="H1272" s="145">
        <v>0.98</v>
      </c>
      <c r="I1272" s="145">
        <v>0.74</v>
      </c>
      <c r="J1272" s="145">
        <v>0.04</v>
      </c>
      <c r="K1272" s="145">
        <v>85</v>
      </c>
      <c r="L1272" s="145" t="s">
        <v>400</v>
      </c>
      <c r="M1272" s="145" t="s">
        <v>400</v>
      </c>
      <c r="N1272" s="145">
        <v>15</v>
      </c>
      <c r="O1272" s="145">
        <v>27</v>
      </c>
      <c r="P1272" s="145">
        <v>1.7000000000000001E-2</v>
      </c>
      <c r="Q1272" s="145">
        <v>216</v>
      </c>
      <c r="R1272" s="145">
        <v>1.06</v>
      </c>
      <c r="S1272" s="145">
        <v>77</v>
      </c>
      <c r="T1272" s="145">
        <v>247</v>
      </c>
      <c r="U1272" s="145">
        <v>0.05</v>
      </c>
      <c r="V1272" s="145">
        <v>1.23</v>
      </c>
      <c r="W1272" s="145">
        <v>9</v>
      </c>
      <c r="X1272" s="145">
        <v>6.5000000000000002E-2</v>
      </c>
      <c r="Y1272" s="145">
        <v>0.11600000000000001</v>
      </c>
      <c r="Z1272" s="146">
        <v>0.6</v>
      </c>
      <c r="AA1272" s="145">
        <v>12.420999999999999</v>
      </c>
      <c r="AB1272" s="145" t="s">
        <v>400</v>
      </c>
      <c r="AC1272" s="145">
        <v>18.437999999999999</v>
      </c>
      <c r="AD1272" s="145">
        <v>0.34</v>
      </c>
      <c r="AE1272" s="145">
        <v>4</v>
      </c>
      <c r="AF1272" s="145">
        <v>0.2</v>
      </c>
      <c r="AG1272" s="145">
        <v>0.27</v>
      </c>
      <c r="AH1272" s="145">
        <v>0.09</v>
      </c>
      <c r="AI1272" s="145">
        <v>333</v>
      </c>
      <c r="AJ1272" s="145">
        <v>24.4</v>
      </c>
      <c r="AK1272" s="145">
        <v>9</v>
      </c>
      <c r="AL1272" s="145" t="s">
        <v>400</v>
      </c>
      <c r="AM1272" s="145" t="s">
        <v>400</v>
      </c>
    </row>
    <row r="1273" spans="1:39">
      <c r="A1273" s="143" t="s">
        <v>2333</v>
      </c>
      <c r="B1273" s="144">
        <v>100</v>
      </c>
      <c r="C1273" s="145">
        <v>173</v>
      </c>
      <c r="D1273" s="145">
        <v>30.91</v>
      </c>
      <c r="E1273" s="145">
        <v>4.51</v>
      </c>
      <c r="F1273" s="145">
        <v>1.27</v>
      </c>
      <c r="G1273" s="145">
        <v>1.54</v>
      </c>
      <c r="H1273" s="145">
        <v>0.98</v>
      </c>
      <c r="I1273" s="145">
        <v>0.74</v>
      </c>
      <c r="J1273" s="145">
        <v>0.04</v>
      </c>
      <c r="K1273" s="145">
        <v>85</v>
      </c>
      <c r="L1273" s="145" t="s">
        <v>400</v>
      </c>
      <c r="M1273" s="145" t="s">
        <v>400</v>
      </c>
      <c r="N1273" s="145">
        <v>15</v>
      </c>
      <c r="O1273" s="145">
        <v>27</v>
      </c>
      <c r="P1273" s="145">
        <v>1.7000000000000001E-2</v>
      </c>
      <c r="Q1273" s="145">
        <v>216</v>
      </c>
      <c r="R1273" s="145">
        <v>1.06</v>
      </c>
      <c r="S1273" s="145">
        <v>77</v>
      </c>
      <c r="T1273" s="145">
        <v>247</v>
      </c>
      <c r="U1273" s="145">
        <v>0.05</v>
      </c>
      <c r="V1273" s="145">
        <v>1.23</v>
      </c>
      <c r="W1273" s="145">
        <v>9</v>
      </c>
      <c r="X1273" s="145">
        <v>6.5000000000000002E-2</v>
      </c>
      <c r="Y1273" s="145">
        <v>0.11600000000000001</v>
      </c>
      <c r="Z1273" s="146">
        <v>0.6</v>
      </c>
      <c r="AA1273" s="145">
        <v>12.420999999999999</v>
      </c>
      <c r="AB1273" s="145" t="s">
        <v>400</v>
      </c>
      <c r="AC1273" s="145">
        <v>18.437999999999999</v>
      </c>
      <c r="AD1273" s="145">
        <v>0.34</v>
      </c>
      <c r="AE1273" s="145">
        <v>4</v>
      </c>
      <c r="AF1273" s="145">
        <v>0.2</v>
      </c>
      <c r="AG1273" s="145">
        <v>0.27</v>
      </c>
      <c r="AH1273" s="145">
        <v>0.09</v>
      </c>
      <c r="AI1273" s="145">
        <v>333</v>
      </c>
      <c r="AJ1273" s="145">
        <v>24.4</v>
      </c>
      <c r="AK1273" s="145">
        <v>9</v>
      </c>
      <c r="AL1273" s="145" t="s">
        <v>400</v>
      </c>
      <c r="AM1273" s="145" t="s">
        <v>400</v>
      </c>
    </row>
    <row r="1274" spans="1:39">
      <c r="A1274" s="143" t="s">
        <v>2334</v>
      </c>
      <c r="B1274" s="144">
        <v>100</v>
      </c>
      <c r="C1274" s="145">
        <v>173</v>
      </c>
      <c r="D1274" s="145">
        <v>30.91</v>
      </c>
      <c r="E1274" s="145">
        <v>4.51</v>
      </c>
      <c r="F1274" s="145">
        <v>1.27</v>
      </c>
      <c r="G1274" s="145">
        <v>1.54</v>
      </c>
      <c r="H1274" s="145">
        <v>0.98</v>
      </c>
      <c r="I1274" s="145">
        <v>0.74</v>
      </c>
      <c r="J1274" s="145">
        <v>0.04</v>
      </c>
      <c r="K1274" s="145">
        <v>85</v>
      </c>
      <c r="L1274" s="145" t="s">
        <v>400</v>
      </c>
      <c r="M1274" s="145" t="s">
        <v>400</v>
      </c>
      <c r="N1274" s="145">
        <v>15</v>
      </c>
      <c r="O1274" s="145">
        <v>27</v>
      </c>
      <c r="P1274" s="145">
        <v>1.7000000000000001E-2</v>
      </c>
      <c r="Q1274" s="145">
        <v>216</v>
      </c>
      <c r="R1274" s="145">
        <v>1.06</v>
      </c>
      <c r="S1274" s="145">
        <v>77</v>
      </c>
      <c r="T1274" s="145">
        <v>247</v>
      </c>
      <c r="U1274" s="145">
        <v>0.05</v>
      </c>
      <c r="V1274" s="145">
        <v>1.23</v>
      </c>
      <c r="W1274" s="145">
        <v>9</v>
      </c>
      <c r="X1274" s="145">
        <v>6.5000000000000002E-2</v>
      </c>
      <c r="Y1274" s="145">
        <v>0.11600000000000001</v>
      </c>
      <c r="Z1274" s="146">
        <v>0.6</v>
      </c>
      <c r="AA1274" s="145">
        <v>12.420999999999999</v>
      </c>
      <c r="AB1274" s="145" t="s">
        <v>400</v>
      </c>
      <c r="AC1274" s="145">
        <v>18.437999999999999</v>
      </c>
      <c r="AD1274" s="145">
        <v>0.34</v>
      </c>
      <c r="AE1274" s="145">
        <v>4</v>
      </c>
      <c r="AF1274" s="145">
        <v>0.2</v>
      </c>
      <c r="AG1274" s="145">
        <v>0.27</v>
      </c>
      <c r="AH1274" s="145">
        <v>0.09</v>
      </c>
      <c r="AI1274" s="145">
        <v>333</v>
      </c>
      <c r="AJ1274" s="145">
        <v>24.4</v>
      </c>
      <c r="AK1274" s="145">
        <v>9</v>
      </c>
      <c r="AL1274" s="145" t="s">
        <v>400</v>
      </c>
      <c r="AM1274" s="145" t="s">
        <v>400</v>
      </c>
    </row>
    <row r="1275" spans="1:39">
      <c r="A1275" s="143" t="s">
        <v>2335</v>
      </c>
      <c r="B1275" s="144">
        <v>100</v>
      </c>
      <c r="C1275" s="145">
        <v>173</v>
      </c>
      <c r="D1275" s="145">
        <v>30.91</v>
      </c>
      <c r="E1275" s="145">
        <v>4.51</v>
      </c>
      <c r="F1275" s="145">
        <v>1.27</v>
      </c>
      <c r="G1275" s="145">
        <v>1.54</v>
      </c>
      <c r="H1275" s="145">
        <v>0.98</v>
      </c>
      <c r="I1275" s="145">
        <v>0.74</v>
      </c>
      <c r="J1275" s="145">
        <v>0.04</v>
      </c>
      <c r="K1275" s="145">
        <v>85</v>
      </c>
      <c r="L1275" s="145" t="s">
        <v>400</v>
      </c>
      <c r="M1275" s="145" t="s">
        <v>400</v>
      </c>
      <c r="N1275" s="145">
        <v>15</v>
      </c>
      <c r="O1275" s="145">
        <v>27</v>
      </c>
      <c r="P1275" s="145">
        <v>1.7000000000000001E-2</v>
      </c>
      <c r="Q1275" s="145">
        <v>216</v>
      </c>
      <c r="R1275" s="145">
        <v>1.06</v>
      </c>
      <c r="S1275" s="145">
        <v>77</v>
      </c>
      <c r="T1275" s="145">
        <v>247</v>
      </c>
      <c r="U1275" s="145">
        <v>0.05</v>
      </c>
      <c r="V1275" s="145">
        <v>1.23</v>
      </c>
      <c r="W1275" s="145">
        <v>9</v>
      </c>
      <c r="X1275" s="145">
        <v>6.5000000000000002E-2</v>
      </c>
      <c r="Y1275" s="145">
        <v>0.11600000000000001</v>
      </c>
      <c r="Z1275" s="146">
        <v>0.6</v>
      </c>
      <c r="AA1275" s="145">
        <v>12.420999999999999</v>
      </c>
      <c r="AB1275" s="145" t="s">
        <v>400</v>
      </c>
      <c r="AC1275" s="145">
        <v>18.437999999999999</v>
      </c>
      <c r="AD1275" s="145">
        <v>0.34</v>
      </c>
      <c r="AE1275" s="145">
        <v>4</v>
      </c>
      <c r="AF1275" s="145">
        <v>0.2</v>
      </c>
      <c r="AG1275" s="145">
        <v>0.27</v>
      </c>
      <c r="AH1275" s="145">
        <v>0.09</v>
      </c>
      <c r="AI1275" s="145">
        <v>333</v>
      </c>
      <c r="AJ1275" s="145">
        <v>24.4</v>
      </c>
      <c r="AK1275" s="145">
        <v>9</v>
      </c>
      <c r="AL1275" s="145" t="s">
        <v>400</v>
      </c>
      <c r="AM1275" s="145" t="s">
        <v>400</v>
      </c>
    </row>
    <row r="1276" spans="1:39">
      <c r="A1276" s="143" t="s">
        <v>2336</v>
      </c>
      <c r="B1276" s="144">
        <v>100</v>
      </c>
      <c r="C1276" s="145">
        <v>195.65899999999999</v>
      </c>
      <c r="D1276" s="145">
        <v>30.91</v>
      </c>
      <c r="E1276" s="145">
        <v>7.0730000000000004</v>
      </c>
      <c r="F1276" s="145">
        <v>1.671</v>
      </c>
      <c r="G1276" s="145">
        <v>2.1240000000000001</v>
      </c>
      <c r="H1276" s="145">
        <v>2.46</v>
      </c>
      <c r="I1276" s="145">
        <v>2.0459999999999998</v>
      </c>
      <c r="J1276" s="145">
        <v>0.214</v>
      </c>
      <c r="K1276" s="145">
        <v>85</v>
      </c>
      <c r="L1276" s="145" t="s">
        <v>400</v>
      </c>
      <c r="M1276" s="145" t="s">
        <v>400</v>
      </c>
      <c r="N1276" s="145">
        <v>15</v>
      </c>
      <c r="O1276" s="145">
        <v>27</v>
      </c>
      <c r="P1276" s="145">
        <v>1.7000000000000001E-2</v>
      </c>
      <c r="Q1276" s="145">
        <v>216</v>
      </c>
      <c r="R1276" s="145">
        <v>1.0609999999999999</v>
      </c>
      <c r="S1276" s="145">
        <v>77</v>
      </c>
      <c r="T1276" s="145">
        <v>247</v>
      </c>
      <c r="U1276" s="145">
        <v>0.05</v>
      </c>
      <c r="V1276" s="145">
        <v>1.23</v>
      </c>
      <c r="W1276" s="145">
        <v>9</v>
      </c>
      <c r="X1276" s="145">
        <v>6.5000000000000002E-2</v>
      </c>
      <c r="Y1276" s="145">
        <v>0.11600000000000001</v>
      </c>
      <c r="Z1276" s="146">
        <v>0.6</v>
      </c>
      <c r="AA1276" s="145">
        <v>12.420999999999999</v>
      </c>
      <c r="AB1276" s="145" t="s">
        <v>400</v>
      </c>
      <c r="AC1276" s="145">
        <v>18.437999999999999</v>
      </c>
      <c r="AD1276" s="145">
        <v>0.34</v>
      </c>
      <c r="AE1276" s="145">
        <v>4</v>
      </c>
      <c r="AF1276" s="145">
        <v>0.2</v>
      </c>
      <c r="AG1276" s="145">
        <v>0.48</v>
      </c>
      <c r="AH1276" s="145">
        <v>0.104</v>
      </c>
      <c r="AI1276" s="145">
        <v>333</v>
      </c>
      <c r="AJ1276" s="145">
        <v>25.574999999999999</v>
      </c>
      <c r="AK1276" s="145">
        <v>9</v>
      </c>
      <c r="AL1276" s="145" t="s">
        <v>400</v>
      </c>
      <c r="AM1276" s="145" t="s">
        <v>400</v>
      </c>
    </row>
    <row r="1277" spans="1:39">
      <c r="A1277" s="143" t="s">
        <v>2337</v>
      </c>
      <c r="B1277" s="144">
        <v>100</v>
      </c>
      <c r="C1277" s="145">
        <v>211.83699999999999</v>
      </c>
      <c r="D1277" s="145">
        <v>31.369</v>
      </c>
      <c r="E1277" s="145">
        <v>7.117</v>
      </c>
      <c r="F1277" s="145">
        <v>1.6779999999999999</v>
      </c>
      <c r="G1277" s="145">
        <v>2.1280000000000001</v>
      </c>
      <c r="H1277" s="145">
        <v>2.4780000000000002</v>
      </c>
      <c r="I1277" s="145">
        <v>2.0630000000000002</v>
      </c>
      <c r="J1277" s="145">
        <v>0.215</v>
      </c>
      <c r="K1277" s="145">
        <v>85</v>
      </c>
      <c r="L1277" s="145">
        <v>3.3919999999999999</v>
      </c>
      <c r="M1277" s="145">
        <v>0.13500000000000001</v>
      </c>
      <c r="N1277" s="145">
        <v>15.667</v>
      </c>
      <c r="O1277" s="145">
        <v>27.978000000000002</v>
      </c>
      <c r="P1277" s="145">
        <v>4.7E-2</v>
      </c>
      <c r="Q1277" s="145">
        <v>220.8</v>
      </c>
      <c r="R1277" s="145">
        <v>1.268</v>
      </c>
      <c r="S1277" s="145">
        <v>77.088999999999999</v>
      </c>
      <c r="T1277" s="145">
        <v>251.756</v>
      </c>
      <c r="U1277" s="145">
        <v>5.6000000000000001E-2</v>
      </c>
      <c r="V1277" s="145">
        <v>1.2609999999999999</v>
      </c>
      <c r="W1277" s="145">
        <v>9</v>
      </c>
      <c r="X1277" s="145">
        <v>0.1</v>
      </c>
      <c r="Y1277" s="145">
        <v>0.13800000000000001</v>
      </c>
      <c r="Z1277" s="146">
        <v>0.60199999999999998</v>
      </c>
      <c r="AA1277" s="145">
        <v>12.683</v>
      </c>
      <c r="AB1277" s="145" t="s">
        <v>400</v>
      </c>
      <c r="AC1277" s="145">
        <v>18.794</v>
      </c>
      <c r="AD1277" s="145">
        <v>0.34</v>
      </c>
      <c r="AE1277" s="145">
        <v>13.067</v>
      </c>
      <c r="AF1277" s="145">
        <v>0.2</v>
      </c>
      <c r="AG1277" s="145">
        <v>0.48199999999999998</v>
      </c>
      <c r="AH1277" s="145">
        <v>0.104</v>
      </c>
      <c r="AI1277" s="145">
        <v>333</v>
      </c>
      <c r="AJ1277" s="145">
        <v>27.081</v>
      </c>
      <c r="AK1277" s="145">
        <v>9</v>
      </c>
      <c r="AL1277" s="145">
        <v>1.4E-2</v>
      </c>
      <c r="AM1277" s="145" t="s">
        <v>400</v>
      </c>
    </row>
    <row r="1278" spans="1:39">
      <c r="A1278" s="143" t="s">
        <v>2338</v>
      </c>
      <c r="B1278" s="144">
        <v>100</v>
      </c>
      <c r="C1278" s="145">
        <v>195.65899999999999</v>
      </c>
      <c r="D1278" s="145">
        <v>30.91</v>
      </c>
      <c r="E1278" s="145">
        <v>7.0730000000000004</v>
      </c>
      <c r="F1278" s="145">
        <v>1.671</v>
      </c>
      <c r="G1278" s="145">
        <v>2.1240000000000001</v>
      </c>
      <c r="H1278" s="145">
        <v>2.46</v>
      </c>
      <c r="I1278" s="145">
        <v>2.0459999999999998</v>
      </c>
      <c r="J1278" s="145">
        <v>0.214</v>
      </c>
      <c r="K1278" s="145">
        <v>85</v>
      </c>
      <c r="L1278" s="145" t="s">
        <v>400</v>
      </c>
      <c r="M1278" s="145" t="s">
        <v>400</v>
      </c>
      <c r="N1278" s="145">
        <v>15</v>
      </c>
      <c r="O1278" s="145">
        <v>27</v>
      </c>
      <c r="P1278" s="145">
        <v>1.7000000000000001E-2</v>
      </c>
      <c r="Q1278" s="145">
        <v>216</v>
      </c>
      <c r="R1278" s="145">
        <v>1.0609999999999999</v>
      </c>
      <c r="S1278" s="145">
        <v>77</v>
      </c>
      <c r="T1278" s="145">
        <v>247</v>
      </c>
      <c r="U1278" s="145">
        <v>0.05</v>
      </c>
      <c r="V1278" s="145">
        <v>1.23</v>
      </c>
      <c r="W1278" s="145">
        <v>9</v>
      </c>
      <c r="X1278" s="145">
        <v>6.5000000000000002E-2</v>
      </c>
      <c r="Y1278" s="145">
        <v>0.11600000000000001</v>
      </c>
      <c r="Z1278" s="146">
        <v>0.6</v>
      </c>
      <c r="AA1278" s="145">
        <v>12.420999999999999</v>
      </c>
      <c r="AB1278" s="145" t="s">
        <v>400</v>
      </c>
      <c r="AC1278" s="145">
        <v>18.437999999999999</v>
      </c>
      <c r="AD1278" s="145">
        <v>0.34</v>
      </c>
      <c r="AE1278" s="145">
        <v>4</v>
      </c>
      <c r="AF1278" s="145">
        <v>0.2</v>
      </c>
      <c r="AG1278" s="145">
        <v>0.48</v>
      </c>
      <c r="AH1278" s="145">
        <v>0.104</v>
      </c>
      <c r="AI1278" s="145">
        <v>333</v>
      </c>
      <c r="AJ1278" s="145">
        <v>25.574999999999999</v>
      </c>
      <c r="AK1278" s="145">
        <v>9</v>
      </c>
      <c r="AL1278" s="145" t="s">
        <v>400</v>
      </c>
      <c r="AM1278" s="145" t="s">
        <v>400</v>
      </c>
    </row>
    <row r="1279" spans="1:39">
      <c r="A1279" s="143" t="s">
        <v>2339</v>
      </c>
      <c r="B1279" s="144">
        <v>100</v>
      </c>
      <c r="C1279" s="145">
        <v>143.19999999999999</v>
      </c>
      <c r="D1279" s="145">
        <v>24.992000000000001</v>
      </c>
      <c r="E1279" s="145">
        <v>3.6440000000000001</v>
      </c>
      <c r="F1279" s="145">
        <v>1.0209999999999999</v>
      </c>
      <c r="G1279" s="145">
        <v>1.2370000000000001</v>
      </c>
      <c r="H1279" s="145">
        <v>0.79900000000000004</v>
      </c>
      <c r="I1279" s="145">
        <v>0.60599999999999998</v>
      </c>
      <c r="J1279" s="145">
        <v>3.3000000000000002E-2</v>
      </c>
      <c r="K1279" s="145">
        <v>68</v>
      </c>
      <c r="L1279" s="145">
        <v>1.0760000000000001</v>
      </c>
      <c r="M1279" s="145">
        <v>0.3</v>
      </c>
      <c r="N1279" s="145">
        <v>14.6</v>
      </c>
      <c r="O1279" s="145">
        <v>24.8</v>
      </c>
      <c r="P1279" s="145">
        <v>3.5000000000000003E-2</v>
      </c>
      <c r="Q1279" s="145">
        <v>178</v>
      </c>
      <c r="R1279" s="145">
        <v>1.052</v>
      </c>
      <c r="S1279" s="145">
        <v>166.4</v>
      </c>
      <c r="T1279" s="145">
        <v>263.8</v>
      </c>
      <c r="U1279" s="145">
        <v>6.3E-2</v>
      </c>
      <c r="V1279" s="145">
        <v>1.024</v>
      </c>
      <c r="W1279" s="145">
        <v>7.2</v>
      </c>
      <c r="X1279" s="145">
        <v>5.7000000000000002E-2</v>
      </c>
      <c r="Y1279" s="145">
        <v>0.106</v>
      </c>
      <c r="Z1279" s="146">
        <v>0.499</v>
      </c>
      <c r="AA1279" s="145">
        <v>10.132</v>
      </c>
      <c r="AB1279" s="145">
        <v>1.4</v>
      </c>
      <c r="AC1279" s="145">
        <v>14.978</v>
      </c>
      <c r="AD1279" s="145">
        <v>0.27200000000000002</v>
      </c>
      <c r="AE1279" s="145">
        <v>5.4</v>
      </c>
      <c r="AF1279" s="145">
        <v>0.16</v>
      </c>
      <c r="AG1279" s="145">
        <v>0.5</v>
      </c>
      <c r="AH1279" s="145">
        <v>7.1999999999999995E-2</v>
      </c>
      <c r="AI1279" s="145">
        <v>333</v>
      </c>
      <c r="AJ1279" s="145">
        <v>19.559999999999999</v>
      </c>
      <c r="AK1279" s="145">
        <v>10.683</v>
      </c>
      <c r="AL1279" s="145">
        <v>0.85</v>
      </c>
      <c r="AM1279" s="145" t="s">
        <v>400</v>
      </c>
    </row>
    <row r="1280" spans="1:39">
      <c r="A1280" s="143" t="s">
        <v>2340</v>
      </c>
      <c r="B1280" s="144">
        <v>100</v>
      </c>
      <c r="C1280" s="145">
        <v>170.99</v>
      </c>
      <c r="D1280" s="145">
        <v>25.507000000000001</v>
      </c>
      <c r="E1280" s="145">
        <v>6.0970000000000004</v>
      </c>
      <c r="F1280" s="145">
        <v>2.548</v>
      </c>
      <c r="G1280" s="145">
        <v>1.869</v>
      </c>
      <c r="H1280" s="145">
        <v>0.89700000000000002</v>
      </c>
      <c r="I1280" s="145">
        <v>0.68200000000000005</v>
      </c>
      <c r="J1280" s="145">
        <v>5.3999999999999999E-2</v>
      </c>
      <c r="K1280" s="145">
        <v>74.832999999999998</v>
      </c>
      <c r="L1280" s="145">
        <v>1.851</v>
      </c>
      <c r="M1280" s="145">
        <v>4.2999999999999997E-2</v>
      </c>
      <c r="N1280" s="145">
        <v>34.878999999999998</v>
      </c>
      <c r="O1280" s="145">
        <v>23.911999999999999</v>
      </c>
      <c r="P1280" s="145">
        <v>2.4E-2</v>
      </c>
      <c r="Q1280" s="145">
        <v>192.49299999999999</v>
      </c>
      <c r="R1280" s="145">
        <v>0.91800000000000004</v>
      </c>
      <c r="S1280" s="145">
        <v>82.516999999999996</v>
      </c>
      <c r="T1280" s="145">
        <v>227.654</v>
      </c>
      <c r="U1280" s="145">
        <v>4.3999999999999997E-2</v>
      </c>
      <c r="V1280" s="145">
        <v>1.073</v>
      </c>
      <c r="W1280" s="145">
        <v>27.896999999999998</v>
      </c>
      <c r="X1280" s="145">
        <v>7.0999999999999994E-2</v>
      </c>
      <c r="Y1280" s="145">
        <v>0.13600000000000001</v>
      </c>
      <c r="Z1280" s="146">
        <v>0.48799999999999999</v>
      </c>
      <c r="AA1280" s="145">
        <v>10.032999999999999</v>
      </c>
      <c r="AB1280" s="145">
        <v>4.0000000000000001E-3</v>
      </c>
      <c r="AC1280" s="145">
        <v>15.121</v>
      </c>
      <c r="AD1280" s="145">
        <v>0.36199999999999999</v>
      </c>
      <c r="AE1280" s="145">
        <v>6.7960000000000003</v>
      </c>
      <c r="AF1280" s="145">
        <v>0.38700000000000001</v>
      </c>
      <c r="AG1280" s="145">
        <v>0.28100000000000003</v>
      </c>
      <c r="AH1280" s="145">
        <v>0.16900000000000001</v>
      </c>
      <c r="AI1280" s="145">
        <v>333</v>
      </c>
      <c r="AJ1280" s="145">
        <v>20.689</v>
      </c>
      <c r="AK1280" s="145">
        <v>28.280999999999999</v>
      </c>
      <c r="AL1280" s="145">
        <v>1.0329999999999999</v>
      </c>
      <c r="AM1280" s="145" t="s">
        <v>400</v>
      </c>
    </row>
    <row r="1281" spans="1:39">
      <c r="A1281" s="143" t="s">
        <v>2341</v>
      </c>
      <c r="B1281" s="144">
        <v>100</v>
      </c>
      <c r="C1281" s="145">
        <v>195.65899999999999</v>
      </c>
      <c r="D1281" s="145">
        <v>30.91</v>
      </c>
      <c r="E1281" s="145">
        <v>7.0730000000000004</v>
      </c>
      <c r="F1281" s="145">
        <v>1.671</v>
      </c>
      <c r="G1281" s="145">
        <v>2.1240000000000001</v>
      </c>
      <c r="H1281" s="145">
        <v>2.46</v>
      </c>
      <c r="I1281" s="145">
        <v>2.0459999999999998</v>
      </c>
      <c r="J1281" s="145">
        <v>0.214</v>
      </c>
      <c r="K1281" s="145">
        <v>85</v>
      </c>
      <c r="L1281" s="145" t="s">
        <v>400</v>
      </c>
      <c r="M1281" s="145" t="s">
        <v>400</v>
      </c>
      <c r="N1281" s="145">
        <v>15</v>
      </c>
      <c r="O1281" s="145">
        <v>27</v>
      </c>
      <c r="P1281" s="145">
        <v>1.7000000000000001E-2</v>
      </c>
      <c r="Q1281" s="145">
        <v>216</v>
      </c>
      <c r="R1281" s="145">
        <v>1.0609999999999999</v>
      </c>
      <c r="S1281" s="145">
        <v>77</v>
      </c>
      <c r="T1281" s="145">
        <v>247</v>
      </c>
      <c r="U1281" s="145">
        <v>0.05</v>
      </c>
      <c r="V1281" s="145">
        <v>1.23</v>
      </c>
      <c r="W1281" s="145">
        <v>9</v>
      </c>
      <c r="X1281" s="145">
        <v>6.5000000000000002E-2</v>
      </c>
      <c r="Y1281" s="145">
        <v>0.11600000000000001</v>
      </c>
      <c r="Z1281" s="146">
        <v>0.6</v>
      </c>
      <c r="AA1281" s="145">
        <v>12.420999999999999</v>
      </c>
      <c r="AB1281" s="145" t="s">
        <v>400</v>
      </c>
      <c r="AC1281" s="145">
        <v>18.437999999999999</v>
      </c>
      <c r="AD1281" s="145">
        <v>0.34</v>
      </c>
      <c r="AE1281" s="145">
        <v>4</v>
      </c>
      <c r="AF1281" s="145">
        <v>0.2</v>
      </c>
      <c r="AG1281" s="145">
        <v>0.48</v>
      </c>
      <c r="AH1281" s="145">
        <v>0.104</v>
      </c>
      <c r="AI1281" s="145">
        <v>333</v>
      </c>
      <c r="AJ1281" s="145">
        <v>25.574999999999999</v>
      </c>
      <c r="AK1281" s="145">
        <v>9</v>
      </c>
      <c r="AL1281" s="145" t="s">
        <v>400</v>
      </c>
      <c r="AM1281" s="145" t="s">
        <v>400</v>
      </c>
    </row>
    <row r="1282" spans="1:39">
      <c r="A1282" s="143" t="s">
        <v>2342</v>
      </c>
      <c r="B1282" s="144">
        <v>100</v>
      </c>
      <c r="C1282" s="145">
        <v>195.65899999999999</v>
      </c>
      <c r="D1282" s="145">
        <v>30.91</v>
      </c>
      <c r="E1282" s="145">
        <v>7.0730000000000004</v>
      </c>
      <c r="F1282" s="145">
        <v>1.671</v>
      </c>
      <c r="G1282" s="145">
        <v>2.1240000000000001</v>
      </c>
      <c r="H1282" s="145">
        <v>2.46</v>
      </c>
      <c r="I1282" s="145">
        <v>2.0459999999999998</v>
      </c>
      <c r="J1282" s="145">
        <v>0.214</v>
      </c>
      <c r="K1282" s="145">
        <v>85</v>
      </c>
      <c r="L1282" s="145" t="s">
        <v>400</v>
      </c>
      <c r="M1282" s="145" t="s">
        <v>400</v>
      </c>
      <c r="N1282" s="145">
        <v>15</v>
      </c>
      <c r="O1282" s="145">
        <v>27</v>
      </c>
      <c r="P1282" s="145">
        <v>1.7000000000000001E-2</v>
      </c>
      <c r="Q1282" s="145">
        <v>216</v>
      </c>
      <c r="R1282" s="145">
        <v>1.0609999999999999</v>
      </c>
      <c r="S1282" s="145">
        <v>77</v>
      </c>
      <c r="T1282" s="145">
        <v>247</v>
      </c>
      <c r="U1282" s="145">
        <v>0.05</v>
      </c>
      <c r="V1282" s="145">
        <v>1.23</v>
      </c>
      <c r="W1282" s="145">
        <v>9</v>
      </c>
      <c r="X1282" s="145">
        <v>6.5000000000000002E-2</v>
      </c>
      <c r="Y1282" s="145">
        <v>0.11600000000000001</v>
      </c>
      <c r="Z1282" s="146">
        <v>0.6</v>
      </c>
      <c r="AA1282" s="145">
        <v>12.420999999999999</v>
      </c>
      <c r="AB1282" s="145" t="s">
        <v>400</v>
      </c>
      <c r="AC1282" s="145">
        <v>18.437999999999999</v>
      </c>
      <c r="AD1282" s="145">
        <v>0.34</v>
      </c>
      <c r="AE1282" s="145">
        <v>4</v>
      </c>
      <c r="AF1282" s="145">
        <v>0.2</v>
      </c>
      <c r="AG1282" s="145">
        <v>0.48</v>
      </c>
      <c r="AH1282" s="145">
        <v>0.104</v>
      </c>
      <c r="AI1282" s="145">
        <v>333</v>
      </c>
      <c r="AJ1282" s="145">
        <v>25.574999999999999</v>
      </c>
      <c r="AK1282" s="145">
        <v>9</v>
      </c>
      <c r="AL1282" s="145" t="s">
        <v>400</v>
      </c>
      <c r="AM1282" s="145" t="s">
        <v>400</v>
      </c>
    </row>
    <row r="1283" spans="1:39">
      <c r="A1283" s="143" t="s">
        <v>2343</v>
      </c>
      <c r="B1283" s="144">
        <v>100</v>
      </c>
      <c r="C1283" s="145">
        <v>173</v>
      </c>
      <c r="D1283" s="145">
        <v>30.91</v>
      </c>
      <c r="E1283" s="145">
        <v>4.51</v>
      </c>
      <c r="F1283" s="145">
        <v>1.27</v>
      </c>
      <c r="G1283" s="145">
        <v>1.54</v>
      </c>
      <c r="H1283" s="145">
        <v>0.98</v>
      </c>
      <c r="I1283" s="145">
        <v>0.74</v>
      </c>
      <c r="J1283" s="145">
        <v>0.04</v>
      </c>
      <c r="K1283" s="145">
        <v>85</v>
      </c>
      <c r="L1283" s="145" t="s">
        <v>400</v>
      </c>
      <c r="M1283" s="145" t="s">
        <v>400</v>
      </c>
      <c r="N1283" s="145">
        <v>15</v>
      </c>
      <c r="O1283" s="145">
        <v>27</v>
      </c>
      <c r="P1283" s="145">
        <v>1.7000000000000001E-2</v>
      </c>
      <c r="Q1283" s="145">
        <v>216</v>
      </c>
      <c r="R1283" s="145">
        <v>1.06</v>
      </c>
      <c r="S1283" s="145">
        <v>77</v>
      </c>
      <c r="T1283" s="145">
        <v>247</v>
      </c>
      <c r="U1283" s="145">
        <v>0.05</v>
      </c>
      <c r="V1283" s="145">
        <v>1.23</v>
      </c>
      <c r="W1283" s="145">
        <v>9</v>
      </c>
      <c r="X1283" s="145">
        <v>6.5000000000000002E-2</v>
      </c>
      <c r="Y1283" s="145">
        <v>0.11600000000000001</v>
      </c>
      <c r="Z1283" s="146">
        <v>0.6</v>
      </c>
      <c r="AA1283" s="145">
        <v>12.420999999999999</v>
      </c>
      <c r="AB1283" s="145" t="s">
        <v>400</v>
      </c>
      <c r="AC1283" s="145">
        <v>18.437999999999999</v>
      </c>
      <c r="AD1283" s="145">
        <v>0.34</v>
      </c>
      <c r="AE1283" s="145">
        <v>4</v>
      </c>
      <c r="AF1283" s="145">
        <v>0.2</v>
      </c>
      <c r="AG1283" s="145">
        <v>0.27</v>
      </c>
      <c r="AH1283" s="145">
        <v>0.09</v>
      </c>
      <c r="AI1283" s="145">
        <v>333</v>
      </c>
      <c r="AJ1283" s="145">
        <v>24.4</v>
      </c>
      <c r="AK1283" s="145">
        <v>9</v>
      </c>
      <c r="AL1283" s="145" t="s">
        <v>400</v>
      </c>
      <c r="AM1283" s="145" t="s">
        <v>400</v>
      </c>
    </row>
    <row r="1284" spans="1:39">
      <c r="A1284" s="143" t="s">
        <v>2344</v>
      </c>
      <c r="B1284" s="144">
        <v>100</v>
      </c>
      <c r="C1284" s="145">
        <v>173</v>
      </c>
      <c r="D1284" s="145">
        <v>30.91</v>
      </c>
      <c r="E1284" s="145">
        <v>4.51</v>
      </c>
      <c r="F1284" s="145">
        <v>1.27</v>
      </c>
      <c r="G1284" s="145">
        <v>1.54</v>
      </c>
      <c r="H1284" s="145">
        <v>0.98</v>
      </c>
      <c r="I1284" s="145">
        <v>0.74</v>
      </c>
      <c r="J1284" s="145">
        <v>0.04</v>
      </c>
      <c r="K1284" s="145">
        <v>85</v>
      </c>
      <c r="L1284" s="145" t="s">
        <v>400</v>
      </c>
      <c r="M1284" s="145" t="s">
        <v>400</v>
      </c>
      <c r="N1284" s="145">
        <v>15</v>
      </c>
      <c r="O1284" s="145">
        <v>27</v>
      </c>
      <c r="P1284" s="145">
        <v>1.7000000000000001E-2</v>
      </c>
      <c r="Q1284" s="145">
        <v>216</v>
      </c>
      <c r="R1284" s="145">
        <v>1.06</v>
      </c>
      <c r="S1284" s="145">
        <v>77</v>
      </c>
      <c r="T1284" s="145">
        <v>247</v>
      </c>
      <c r="U1284" s="145">
        <v>0.05</v>
      </c>
      <c r="V1284" s="145">
        <v>1.23</v>
      </c>
      <c r="W1284" s="145">
        <v>9</v>
      </c>
      <c r="X1284" s="145">
        <v>6.5000000000000002E-2</v>
      </c>
      <c r="Y1284" s="145">
        <v>0.11600000000000001</v>
      </c>
      <c r="Z1284" s="146">
        <v>0.6</v>
      </c>
      <c r="AA1284" s="145">
        <v>12.420999999999999</v>
      </c>
      <c r="AB1284" s="145" t="s">
        <v>400</v>
      </c>
      <c r="AC1284" s="145">
        <v>18.437999999999999</v>
      </c>
      <c r="AD1284" s="145">
        <v>0.34</v>
      </c>
      <c r="AE1284" s="145">
        <v>4</v>
      </c>
      <c r="AF1284" s="145">
        <v>0.2</v>
      </c>
      <c r="AG1284" s="145">
        <v>0.27</v>
      </c>
      <c r="AH1284" s="145">
        <v>0.09</v>
      </c>
      <c r="AI1284" s="145">
        <v>333</v>
      </c>
      <c r="AJ1284" s="145">
        <v>24.4</v>
      </c>
      <c r="AK1284" s="145">
        <v>9</v>
      </c>
      <c r="AL1284" s="145" t="s">
        <v>400</v>
      </c>
      <c r="AM1284" s="145" t="s">
        <v>400</v>
      </c>
    </row>
    <row r="1285" spans="1:39">
      <c r="A1285" s="143" t="s">
        <v>2345</v>
      </c>
      <c r="B1285" s="144">
        <v>100</v>
      </c>
      <c r="C1285" s="145">
        <v>173</v>
      </c>
      <c r="D1285" s="145">
        <v>30.91</v>
      </c>
      <c r="E1285" s="145">
        <v>4.51</v>
      </c>
      <c r="F1285" s="145">
        <v>1.27</v>
      </c>
      <c r="G1285" s="145">
        <v>1.54</v>
      </c>
      <c r="H1285" s="145">
        <v>0.98</v>
      </c>
      <c r="I1285" s="145">
        <v>0.74</v>
      </c>
      <c r="J1285" s="145">
        <v>0.04</v>
      </c>
      <c r="K1285" s="145">
        <v>85</v>
      </c>
      <c r="L1285" s="145" t="s">
        <v>400</v>
      </c>
      <c r="M1285" s="145" t="s">
        <v>400</v>
      </c>
      <c r="N1285" s="145">
        <v>15</v>
      </c>
      <c r="O1285" s="145">
        <v>27</v>
      </c>
      <c r="P1285" s="145">
        <v>1.7000000000000001E-2</v>
      </c>
      <c r="Q1285" s="145">
        <v>216</v>
      </c>
      <c r="R1285" s="145">
        <v>1.06</v>
      </c>
      <c r="S1285" s="145">
        <v>77</v>
      </c>
      <c r="T1285" s="145">
        <v>247</v>
      </c>
      <c r="U1285" s="145">
        <v>0.05</v>
      </c>
      <c r="V1285" s="145">
        <v>1.23</v>
      </c>
      <c r="W1285" s="145">
        <v>9</v>
      </c>
      <c r="X1285" s="145">
        <v>6.5000000000000002E-2</v>
      </c>
      <c r="Y1285" s="145">
        <v>0.11600000000000001</v>
      </c>
      <c r="Z1285" s="146">
        <v>0.6</v>
      </c>
      <c r="AA1285" s="145">
        <v>12.420999999999999</v>
      </c>
      <c r="AB1285" s="145" t="s">
        <v>400</v>
      </c>
      <c r="AC1285" s="145">
        <v>18.437999999999999</v>
      </c>
      <c r="AD1285" s="145">
        <v>0.34</v>
      </c>
      <c r="AE1285" s="145">
        <v>4</v>
      </c>
      <c r="AF1285" s="145">
        <v>0.2</v>
      </c>
      <c r="AG1285" s="145">
        <v>0.27</v>
      </c>
      <c r="AH1285" s="145">
        <v>0.09</v>
      </c>
      <c r="AI1285" s="145">
        <v>333</v>
      </c>
      <c r="AJ1285" s="145">
        <v>24.4</v>
      </c>
      <c r="AK1285" s="145">
        <v>9</v>
      </c>
      <c r="AL1285" s="145" t="s">
        <v>400</v>
      </c>
      <c r="AM1285" s="145" t="s">
        <v>400</v>
      </c>
    </row>
    <row r="1286" spans="1:39">
      <c r="A1286" s="143" t="s">
        <v>2346</v>
      </c>
      <c r="B1286" s="144">
        <v>100</v>
      </c>
      <c r="C1286" s="145">
        <v>195.65899999999999</v>
      </c>
      <c r="D1286" s="145">
        <v>30.91</v>
      </c>
      <c r="E1286" s="145">
        <v>7.0730000000000004</v>
      </c>
      <c r="F1286" s="145">
        <v>1.671</v>
      </c>
      <c r="G1286" s="145">
        <v>2.1240000000000001</v>
      </c>
      <c r="H1286" s="145">
        <v>2.46</v>
      </c>
      <c r="I1286" s="145">
        <v>2.0459999999999998</v>
      </c>
      <c r="J1286" s="145">
        <v>0.214</v>
      </c>
      <c r="K1286" s="145">
        <v>85</v>
      </c>
      <c r="L1286" s="145" t="s">
        <v>400</v>
      </c>
      <c r="M1286" s="145" t="s">
        <v>400</v>
      </c>
      <c r="N1286" s="145">
        <v>15</v>
      </c>
      <c r="O1286" s="145">
        <v>27</v>
      </c>
      <c r="P1286" s="145">
        <v>1.7000000000000001E-2</v>
      </c>
      <c r="Q1286" s="145">
        <v>216</v>
      </c>
      <c r="R1286" s="145">
        <v>1.0609999999999999</v>
      </c>
      <c r="S1286" s="145">
        <v>77</v>
      </c>
      <c r="T1286" s="145">
        <v>247</v>
      </c>
      <c r="U1286" s="145">
        <v>0.05</v>
      </c>
      <c r="V1286" s="145">
        <v>1.23</v>
      </c>
      <c r="W1286" s="145">
        <v>9</v>
      </c>
      <c r="X1286" s="145">
        <v>6.5000000000000002E-2</v>
      </c>
      <c r="Y1286" s="145">
        <v>0.11600000000000001</v>
      </c>
      <c r="Z1286" s="146">
        <v>0.6</v>
      </c>
      <c r="AA1286" s="145">
        <v>12.420999999999999</v>
      </c>
      <c r="AB1286" s="145" t="s">
        <v>400</v>
      </c>
      <c r="AC1286" s="145">
        <v>18.437999999999999</v>
      </c>
      <c r="AD1286" s="145">
        <v>0.34</v>
      </c>
      <c r="AE1286" s="145">
        <v>4</v>
      </c>
      <c r="AF1286" s="145">
        <v>0.2</v>
      </c>
      <c r="AG1286" s="145">
        <v>0.48</v>
      </c>
      <c r="AH1286" s="145">
        <v>0.104</v>
      </c>
      <c r="AI1286" s="145">
        <v>333</v>
      </c>
      <c r="AJ1286" s="145">
        <v>25.574999999999999</v>
      </c>
      <c r="AK1286" s="145">
        <v>9</v>
      </c>
      <c r="AL1286" s="145" t="s">
        <v>400</v>
      </c>
      <c r="AM1286" s="145" t="s">
        <v>400</v>
      </c>
    </row>
    <row r="1287" spans="1:39">
      <c r="A1287" s="143" t="s">
        <v>2347</v>
      </c>
      <c r="B1287" s="144">
        <v>100</v>
      </c>
      <c r="C1287" s="145">
        <v>195.65899999999999</v>
      </c>
      <c r="D1287" s="145">
        <v>30.91</v>
      </c>
      <c r="E1287" s="145">
        <v>7.0730000000000004</v>
      </c>
      <c r="F1287" s="145">
        <v>1.671</v>
      </c>
      <c r="G1287" s="145">
        <v>2.1240000000000001</v>
      </c>
      <c r="H1287" s="145">
        <v>2.46</v>
      </c>
      <c r="I1287" s="145">
        <v>2.0459999999999998</v>
      </c>
      <c r="J1287" s="145">
        <v>0.214</v>
      </c>
      <c r="K1287" s="145">
        <v>85</v>
      </c>
      <c r="L1287" s="145" t="s">
        <v>400</v>
      </c>
      <c r="M1287" s="145" t="s">
        <v>400</v>
      </c>
      <c r="N1287" s="145">
        <v>15</v>
      </c>
      <c r="O1287" s="145">
        <v>27</v>
      </c>
      <c r="P1287" s="145">
        <v>1.7000000000000001E-2</v>
      </c>
      <c r="Q1287" s="145">
        <v>216</v>
      </c>
      <c r="R1287" s="145">
        <v>1.0609999999999999</v>
      </c>
      <c r="S1287" s="145">
        <v>77</v>
      </c>
      <c r="T1287" s="145">
        <v>247</v>
      </c>
      <c r="U1287" s="145">
        <v>0.05</v>
      </c>
      <c r="V1287" s="145">
        <v>1.23</v>
      </c>
      <c r="W1287" s="145">
        <v>9</v>
      </c>
      <c r="X1287" s="145">
        <v>6.5000000000000002E-2</v>
      </c>
      <c r="Y1287" s="145">
        <v>0.11600000000000001</v>
      </c>
      <c r="Z1287" s="146">
        <v>0.6</v>
      </c>
      <c r="AA1287" s="145">
        <v>12.420999999999999</v>
      </c>
      <c r="AB1287" s="145" t="s">
        <v>400</v>
      </c>
      <c r="AC1287" s="145">
        <v>18.437999999999999</v>
      </c>
      <c r="AD1287" s="145">
        <v>0.34</v>
      </c>
      <c r="AE1287" s="145">
        <v>4</v>
      </c>
      <c r="AF1287" s="145">
        <v>0.2</v>
      </c>
      <c r="AG1287" s="145">
        <v>0.48</v>
      </c>
      <c r="AH1287" s="145">
        <v>0.104</v>
      </c>
      <c r="AI1287" s="145">
        <v>333</v>
      </c>
      <c r="AJ1287" s="145">
        <v>25.574999999999999</v>
      </c>
      <c r="AK1287" s="145">
        <v>9</v>
      </c>
      <c r="AL1287" s="145" t="s">
        <v>400</v>
      </c>
      <c r="AM1287" s="145" t="s">
        <v>400</v>
      </c>
    </row>
    <row r="1288" spans="1:39">
      <c r="A1288" s="143" t="s">
        <v>2348</v>
      </c>
      <c r="B1288" s="144">
        <v>100</v>
      </c>
      <c r="C1288" s="145">
        <v>195.65899999999999</v>
      </c>
      <c r="D1288" s="145">
        <v>30.91</v>
      </c>
      <c r="E1288" s="145">
        <v>7.0730000000000004</v>
      </c>
      <c r="F1288" s="145">
        <v>1.671</v>
      </c>
      <c r="G1288" s="145">
        <v>2.1240000000000001</v>
      </c>
      <c r="H1288" s="145">
        <v>2.46</v>
      </c>
      <c r="I1288" s="145">
        <v>2.0459999999999998</v>
      </c>
      <c r="J1288" s="145">
        <v>0.214</v>
      </c>
      <c r="K1288" s="145">
        <v>85</v>
      </c>
      <c r="L1288" s="145" t="s">
        <v>400</v>
      </c>
      <c r="M1288" s="145" t="s">
        <v>400</v>
      </c>
      <c r="N1288" s="145">
        <v>15</v>
      </c>
      <c r="O1288" s="145">
        <v>27</v>
      </c>
      <c r="P1288" s="145">
        <v>1.7000000000000001E-2</v>
      </c>
      <c r="Q1288" s="145">
        <v>216</v>
      </c>
      <c r="R1288" s="145">
        <v>1.0609999999999999</v>
      </c>
      <c r="S1288" s="145">
        <v>77</v>
      </c>
      <c r="T1288" s="145">
        <v>247</v>
      </c>
      <c r="U1288" s="145">
        <v>0.05</v>
      </c>
      <c r="V1288" s="145">
        <v>1.23</v>
      </c>
      <c r="W1288" s="145">
        <v>9</v>
      </c>
      <c r="X1288" s="145">
        <v>6.5000000000000002E-2</v>
      </c>
      <c r="Y1288" s="145">
        <v>0.11600000000000001</v>
      </c>
      <c r="Z1288" s="146">
        <v>0.6</v>
      </c>
      <c r="AA1288" s="145">
        <v>12.420999999999999</v>
      </c>
      <c r="AB1288" s="145" t="s">
        <v>400</v>
      </c>
      <c r="AC1288" s="145">
        <v>18.437999999999999</v>
      </c>
      <c r="AD1288" s="145">
        <v>0.34</v>
      </c>
      <c r="AE1288" s="145">
        <v>4</v>
      </c>
      <c r="AF1288" s="145">
        <v>0.2</v>
      </c>
      <c r="AG1288" s="145">
        <v>0.48</v>
      </c>
      <c r="AH1288" s="145">
        <v>0.104</v>
      </c>
      <c r="AI1288" s="145">
        <v>333</v>
      </c>
      <c r="AJ1288" s="145">
        <v>25.574999999999999</v>
      </c>
      <c r="AK1288" s="145">
        <v>9</v>
      </c>
      <c r="AL1288" s="145" t="s">
        <v>400</v>
      </c>
      <c r="AM1288" s="145" t="s">
        <v>400</v>
      </c>
    </row>
    <row r="1289" spans="1:39">
      <c r="A1289" s="143" t="s">
        <v>2349</v>
      </c>
      <c r="B1289" s="144">
        <v>100</v>
      </c>
      <c r="C1289" s="145">
        <v>290</v>
      </c>
      <c r="D1289" s="145">
        <v>26.86</v>
      </c>
      <c r="E1289" s="145">
        <v>19.46</v>
      </c>
      <c r="F1289" s="145">
        <v>5.45</v>
      </c>
      <c r="G1289" s="145">
        <v>7.64</v>
      </c>
      <c r="H1289" s="145">
        <v>4.1399999999999997</v>
      </c>
      <c r="I1289" s="145">
        <v>3.57</v>
      </c>
      <c r="J1289" s="145">
        <v>0.15</v>
      </c>
      <c r="K1289" s="145">
        <v>84</v>
      </c>
      <c r="L1289" s="145" t="s">
        <v>400</v>
      </c>
      <c r="M1289" s="145" t="s">
        <v>400</v>
      </c>
      <c r="N1289" s="145">
        <v>15</v>
      </c>
      <c r="O1289" s="145">
        <v>19</v>
      </c>
      <c r="P1289" s="145">
        <v>1.7999999999999999E-2</v>
      </c>
      <c r="Q1289" s="145">
        <v>151</v>
      </c>
      <c r="R1289" s="145">
        <v>1.27</v>
      </c>
      <c r="S1289" s="145">
        <v>82</v>
      </c>
      <c r="T1289" s="145">
        <v>184</v>
      </c>
      <c r="U1289" s="145">
        <v>5.7000000000000002E-2</v>
      </c>
      <c r="V1289" s="145">
        <v>1.82</v>
      </c>
      <c r="W1289" s="145">
        <v>47</v>
      </c>
      <c r="X1289" s="145">
        <v>4.2000000000000003E-2</v>
      </c>
      <c r="Y1289" s="145">
        <v>0.128</v>
      </c>
      <c r="Z1289" s="146">
        <v>0.42</v>
      </c>
      <c r="AA1289" s="145">
        <v>6.6479999999999997</v>
      </c>
      <c r="AB1289" s="145" t="s">
        <v>400</v>
      </c>
      <c r="AC1289" s="145">
        <v>11.430999999999999</v>
      </c>
      <c r="AD1289" s="145">
        <v>0.28999999999999998</v>
      </c>
      <c r="AE1289" s="145">
        <v>3</v>
      </c>
      <c r="AF1289" s="145">
        <v>0.4</v>
      </c>
      <c r="AG1289" s="145">
        <v>0.27</v>
      </c>
      <c r="AH1289" s="145">
        <v>0.39</v>
      </c>
      <c r="AI1289" s="145">
        <v>333</v>
      </c>
      <c r="AJ1289" s="145">
        <v>22.2</v>
      </c>
      <c r="AK1289" s="145">
        <v>47</v>
      </c>
      <c r="AL1289" s="145" t="s">
        <v>400</v>
      </c>
      <c r="AM1289" s="145" t="s">
        <v>400</v>
      </c>
    </row>
    <row r="1290" spans="1:39">
      <c r="A1290" s="143" t="s">
        <v>2350</v>
      </c>
      <c r="B1290" s="144">
        <v>100</v>
      </c>
      <c r="C1290" s="145">
        <v>290</v>
      </c>
      <c r="D1290" s="145">
        <v>26.86</v>
      </c>
      <c r="E1290" s="145">
        <v>19.46</v>
      </c>
      <c r="F1290" s="145">
        <v>5.45</v>
      </c>
      <c r="G1290" s="145">
        <v>7.64</v>
      </c>
      <c r="H1290" s="145">
        <v>4.1399999999999997</v>
      </c>
      <c r="I1290" s="145">
        <v>3.57</v>
      </c>
      <c r="J1290" s="145">
        <v>0.15</v>
      </c>
      <c r="K1290" s="145">
        <v>84</v>
      </c>
      <c r="L1290" s="145" t="s">
        <v>400</v>
      </c>
      <c r="M1290" s="145" t="s">
        <v>400</v>
      </c>
      <c r="N1290" s="145">
        <v>15</v>
      </c>
      <c r="O1290" s="145">
        <v>19</v>
      </c>
      <c r="P1290" s="145">
        <v>1.7999999999999999E-2</v>
      </c>
      <c r="Q1290" s="145">
        <v>151</v>
      </c>
      <c r="R1290" s="145">
        <v>1.27</v>
      </c>
      <c r="S1290" s="145">
        <v>82</v>
      </c>
      <c r="T1290" s="145">
        <v>184</v>
      </c>
      <c r="U1290" s="145">
        <v>5.7000000000000002E-2</v>
      </c>
      <c r="V1290" s="145">
        <v>1.82</v>
      </c>
      <c r="W1290" s="145">
        <v>47</v>
      </c>
      <c r="X1290" s="145">
        <v>4.2000000000000003E-2</v>
      </c>
      <c r="Y1290" s="145">
        <v>0.128</v>
      </c>
      <c r="Z1290" s="146">
        <v>0.42</v>
      </c>
      <c r="AA1290" s="145">
        <v>6.6479999999999997</v>
      </c>
      <c r="AB1290" s="145" t="s">
        <v>400</v>
      </c>
      <c r="AC1290" s="145">
        <v>11.430999999999999</v>
      </c>
      <c r="AD1290" s="145">
        <v>0.28999999999999998</v>
      </c>
      <c r="AE1290" s="145">
        <v>3</v>
      </c>
      <c r="AF1290" s="145">
        <v>0.4</v>
      </c>
      <c r="AG1290" s="145">
        <v>0.27</v>
      </c>
      <c r="AH1290" s="145">
        <v>0.39</v>
      </c>
      <c r="AI1290" s="145">
        <v>333</v>
      </c>
      <c r="AJ1290" s="145">
        <v>22.2</v>
      </c>
      <c r="AK1290" s="145">
        <v>47</v>
      </c>
      <c r="AL1290" s="145" t="s">
        <v>400</v>
      </c>
      <c r="AM1290" s="145" t="s">
        <v>400</v>
      </c>
    </row>
    <row r="1291" spans="1:39">
      <c r="A1291" s="143" t="s">
        <v>2351</v>
      </c>
      <c r="B1291" s="144">
        <v>100</v>
      </c>
      <c r="C1291" s="145">
        <v>290</v>
      </c>
      <c r="D1291" s="145">
        <v>26.86</v>
      </c>
      <c r="E1291" s="145">
        <v>19.46</v>
      </c>
      <c r="F1291" s="145">
        <v>5.45</v>
      </c>
      <c r="G1291" s="145">
        <v>7.64</v>
      </c>
      <c r="H1291" s="145">
        <v>4.1399999999999997</v>
      </c>
      <c r="I1291" s="145">
        <v>3.57</v>
      </c>
      <c r="J1291" s="145">
        <v>0.15</v>
      </c>
      <c r="K1291" s="145">
        <v>84</v>
      </c>
      <c r="L1291" s="145" t="s">
        <v>400</v>
      </c>
      <c r="M1291" s="145" t="s">
        <v>400</v>
      </c>
      <c r="N1291" s="145">
        <v>15</v>
      </c>
      <c r="O1291" s="145">
        <v>19</v>
      </c>
      <c r="P1291" s="145">
        <v>1.7999999999999999E-2</v>
      </c>
      <c r="Q1291" s="145">
        <v>151</v>
      </c>
      <c r="R1291" s="145">
        <v>1.27</v>
      </c>
      <c r="S1291" s="145">
        <v>82</v>
      </c>
      <c r="T1291" s="145">
        <v>184</v>
      </c>
      <c r="U1291" s="145">
        <v>5.7000000000000002E-2</v>
      </c>
      <c r="V1291" s="145">
        <v>1.82</v>
      </c>
      <c r="W1291" s="145">
        <v>47</v>
      </c>
      <c r="X1291" s="145">
        <v>4.2000000000000003E-2</v>
      </c>
      <c r="Y1291" s="145">
        <v>0.128</v>
      </c>
      <c r="Z1291" s="146">
        <v>0.42</v>
      </c>
      <c r="AA1291" s="145">
        <v>6.6479999999999997</v>
      </c>
      <c r="AB1291" s="145" t="s">
        <v>400</v>
      </c>
      <c r="AC1291" s="145">
        <v>11.430999999999999</v>
      </c>
      <c r="AD1291" s="145">
        <v>0.28999999999999998</v>
      </c>
      <c r="AE1291" s="145">
        <v>3</v>
      </c>
      <c r="AF1291" s="145">
        <v>0.4</v>
      </c>
      <c r="AG1291" s="145">
        <v>0.27</v>
      </c>
      <c r="AH1291" s="145">
        <v>0.39</v>
      </c>
      <c r="AI1291" s="145">
        <v>333</v>
      </c>
      <c r="AJ1291" s="145">
        <v>22.2</v>
      </c>
      <c r="AK1291" s="145">
        <v>47</v>
      </c>
      <c r="AL1291" s="145" t="s">
        <v>400</v>
      </c>
      <c r="AM1291" s="145" t="s">
        <v>400</v>
      </c>
    </row>
    <row r="1292" spans="1:39">
      <c r="A1292" s="143" t="s">
        <v>2352</v>
      </c>
      <c r="B1292" s="144">
        <v>100</v>
      </c>
      <c r="C1292" s="145">
        <v>290</v>
      </c>
      <c r="D1292" s="145">
        <v>26.86</v>
      </c>
      <c r="E1292" s="145">
        <v>19.46</v>
      </c>
      <c r="F1292" s="145">
        <v>5.45</v>
      </c>
      <c r="G1292" s="145">
        <v>7.64</v>
      </c>
      <c r="H1292" s="145">
        <v>4.1399999999999997</v>
      </c>
      <c r="I1292" s="145">
        <v>3.57</v>
      </c>
      <c r="J1292" s="145">
        <v>0.15</v>
      </c>
      <c r="K1292" s="145">
        <v>84</v>
      </c>
      <c r="L1292" s="145" t="s">
        <v>400</v>
      </c>
      <c r="M1292" s="145" t="s">
        <v>400</v>
      </c>
      <c r="N1292" s="145">
        <v>15</v>
      </c>
      <c r="O1292" s="145">
        <v>19</v>
      </c>
      <c r="P1292" s="145">
        <v>1.7999999999999999E-2</v>
      </c>
      <c r="Q1292" s="145">
        <v>151</v>
      </c>
      <c r="R1292" s="145">
        <v>1.27</v>
      </c>
      <c r="S1292" s="145">
        <v>82</v>
      </c>
      <c r="T1292" s="145">
        <v>184</v>
      </c>
      <c r="U1292" s="145">
        <v>5.7000000000000002E-2</v>
      </c>
      <c r="V1292" s="145">
        <v>1.82</v>
      </c>
      <c r="W1292" s="145">
        <v>47</v>
      </c>
      <c r="X1292" s="145">
        <v>4.2000000000000003E-2</v>
      </c>
      <c r="Y1292" s="145">
        <v>0.128</v>
      </c>
      <c r="Z1292" s="146">
        <v>0.42</v>
      </c>
      <c r="AA1292" s="145">
        <v>6.6479999999999997</v>
      </c>
      <c r="AB1292" s="145" t="s">
        <v>400</v>
      </c>
      <c r="AC1292" s="145">
        <v>11.430999999999999</v>
      </c>
      <c r="AD1292" s="145">
        <v>0.28999999999999998</v>
      </c>
      <c r="AE1292" s="145">
        <v>3</v>
      </c>
      <c r="AF1292" s="145">
        <v>0.4</v>
      </c>
      <c r="AG1292" s="145">
        <v>0.27</v>
      </c>
      <c r="AH1292" s="145">
        <v>0.39</v>
      </c>
      <c r="AI1292" s="145">
        <v>333</v>
      </c>
      <c r="AJ1292" s="145">
        <v>22.2</v>
      </c>
      <c r="AK1292" s="145">
        <v>47</v>
      </c>
      <c r="AL1292" s="145" t="s">
        <v>400</v>
      </c>
      <c r="AM1292" s="145" t="s">
        <v>400</v>
      </c>
    </row>
    <row r="1293" spans="1:39">
      <c r="A1293" s="143" t="s">
        <v>2353</v>
      </c>
      <c r="B1293" s="144">
        <v>100</v>
      </c>
      <c r="C1293" s="145">
        <v>312.65899999999999</v>
      </c>
      <c r="D1293" s="145">
        <v>26.86</v>
      </c>
      <c r="E1293" s="145">
        <v>22.023</v>
      </c>
      <c r="F1293" s="145">
        <v>5.851</v>
      </c>
      <c r="G1293" s="145">
        <v>8.2240000000000002</v>
      </c>
      <c r="H1293" s="145">
        <v>5.62</v>
      </c>
      <c r="I1293" s="145">
        <v>4.8760000000000003</v>
      </c>
      <c r="J1293" s="145">
        <v>0.32400000000000001</v>
      </c>
      <c r="K1293" s="145">
        <v>84</v>
      </c>
      <c r="L1293" s="145" t="s">
        <v>400</v>
      </c>
      <c r="M1293" s="145" t="s">
        <v>400</v>
      </c>
      <c r="N1293" s="145">
        <v>15</v>
      </c>
      <c r="O1293" s="145">
        <v>19</v>
      </c>
      <c r="P1293" s="145">
        <v>1.7999999999999999E-2</v>
      </c>
      <c r="Q1293" s="145">
        <v>151</v>
      </c>
      <c r="R1293" s="145">
        <v>1.2709999999999999</v>
      </c>
      <c r="S1293" s="145">
        <v>82</v>
      </c>
      <c r="T1293" s="145">
        <v>184</v>
      </c>
      <c r="U1293" s="145">
        <v>5.7000000000000002E-2</v>
      </c>
      <c r="V1293" s="145">
        <v>1.82</v>
      </c>
      <c r="W1293" s="145">
        <v>47</v>
      </c>
      <c r="X1293" s="145">
        <v>4.2000000000000003E-2</v>
      </c>
      <c r="Y1293" s="145">
        <v>0.128</v>
      </c>
      <c r="Z1293" s="146">
        <v>0.42</v>
      </c>
      <c r="AA1293" s="145">
        <v>6.6479999999999997</v>
      </c>
      <c r="AB1293" s="145" t="s">
        <v>400</v>
      </c>
      <c r="AC1293" s="145">
        <v>11.430999999999999</v>
      </c>
      <c r="AD1293" s="145">
        <v>0.28999999999999998</v>
      </c>
      <c r="AE1293" s="145">
        <v>3</v>
      </c>
      <c r="AF1293" s="145">
        <v>0.4</v>
      </c>
      <c r="AG1293" s="145">
        <v>0.48</v>
      </c>
      <c r="AH1293" s="145">
        <v>0.40400000000000003</v>
      </c>
      <c r="AI1293" s="145">
        <v>333</v>
      </c>
      <c r="AJ1293" s="145">
        <v>23.375</v>
      </c>
      <c r="AK1293" s="145">
        <v>47</v>
      </c>
      <c r="AL1293" s="145" t="s">
        <v>400</v>
      </c>
      <c r="AM1293" s="145" t="s">
        <v>400</v>
      </c>
    </row>
    <row r="1294" spans="1:39">
      <c r="A1294" s="143" t="s">
        <v>2354</v>
      </c>
      <c r="B1294" s="144">
        <v>100</v>
      </c>
      <c r="C1294" s="145">
        <v>328.83699999999999</v>
      </c>
      <c r="D1294" s="145">
        <v>27.318999999999999</v>
      </c>
      <c r="E1294" s="145">
        <v>22.067</v>
      </c>
      <c r="F1294" s="145">
        <v>5.8579999999999997</v>
      </c>
      <c r="G1294" s="145">
        <v>8.2279999999999998</v>
      </c>
      <c r="H1294" s="145">
        <v>5.6379999999999999</v>
      </c>
      <c r="I1294" s="145">
        <v>4.8929999999999998</v>
      </c>
      <c r="J1294" s="145">
        <v>0.32500000000000001</v>
      </c>
      <c r="K1294" s="145">
        <v>84</v>
      </c>
      <c r="L1294" s="145">
        <v>3.3919999999999999</v>
      </c>
      <c r="M1294" s="145">
        <v>0.13500000000000001</v>
      </c>
      <c r="N1294" s="145">
        <v>15.667</v>
      </c>
      <c r="O1294" s="145">
        <v>19.978000000000002</v>
      </c>
      <c r="P1294" s="145">
        <v>4.8000000000000001E-2</v>
      </c>
      <c r="Q1294" s="145">
        <v>155.80000000000001</v>
      </c>
      <c r="R1294" s="145">
        <v>1.478</v>
      </c>
      <c r="S1294" s="145">
        <v>82.088999999999999</v>
      </c>
      <c r="T1294" s="145">
        <v>188.756</v>
      </c>
      <c r="U1294" s="145">
        <v>6.3E-2</v>
      </c>
      <c r="V1294" s="145">
        <v>1.851</v>
      </c>
      <c r="W1294" s="145">
        <v>47</v>
      </c>
      <c r="X1294" s="145">
        <v>7.6999999999999999E-2</v>
      </c>
      <c r="Y1294" s="145">
        <v>0.15</v>
      </c>
      <c r="Z1294" s="146">
        <v>0.42199999999999999</v>
      </c>
      <c r="AA1294" s="145">
        <v>6.91</v>
      </c>
      <c r="AB1294" s="145" t="s">
        <v>400</v>
      </c>
      <c r="AC1294" s="145">
        <v>11.788</v>
      </c>
      <c r="AD1294" s="145">
        <v>0.28999999999999998</v>
      </c>
      <c r="AE1294" s="145">
        <v>12.067</v>
      </c>
      <c r="AF1294" s="145">
        <v>0.4</v>
      </c>
      <c r="AG1294" s="145">
        <v>0.48199999999999998</v>
      </c>
      <c r="AH1294" s="145">
        <v>0.40400000000000003</v>
      </c>
      <c r="AI1294" s="145">
        <v>333</v>
      </c>
      <c r="AJ1294" s="145">
        <v>24.881</v>
      </c>
      <c r="AK1294" s="145">
        <v>47</v>
      </c>
      <c r="AL1294" s="145">
        <v>1.4E-2</v>
      </c>
      <c r="AM1294" s="145" t="s">
        <v>400</v>
      </c>
    </row>
    <row r="1295" spans="1:39">
      <c r="A1295" s="143" t="s">
        <v>2355</v>
      </c>
      <c r="B1295" s="144">
        <v>100</v>
      </c>
      <c r="C1295" s="145">
        <v>312.65899999999999</v>
      </c>
      <c r="D1295" s="145">
        <v>26.86</v>
      </c>
      <c r="E1295" s="145">
        <v>22.023</v>
      </c>
      <c r="F1295" s="145">
        <v>5.851</v>
      </c>
      <c r="G1295" s="145">
        <v>8.2240000000000002</v>
      </c>
      <c r="H1295" s="145">
        <v>5.62</v>
      </c>
      <c r="I1295" s="145">
        <v>4.8760000000000003</v>
      </c>
      <c r="J1295" s="145">
        <v>0.32400000000000001</v>
      </c>
      <c r="K1295" s="145">
        <v>84</v>
      </c>
      <c r="L1295" s="145" t="s">
        <v>400</v>
      </c>
      <c r="M1295" s="145" t="s">
        <v>400</v>
      </c>
      <c r="N1295" s="145">
        <v>15</v>
      </c>
      <c r="O1295" s="145">
        <v>19</v>
      </c>
      <c r="P1295" s="145">
        <v>1.7999999999999999E-2</v>
      </c>
      <c r="Q1295" s="145">
        <v>151</v>
      </c>
      <c r="R1295" s="145">
        <v>1.2709999999999999</v>
      </c>
      <c r="S1295" s="145">
        <v>82</v>
      </c>
      <c r="T1295" s="145">
        <v>184</v>
      </c>
      <c r="U1295" s="145">
        <v>5.7000000000000002E-2</v>
      </c>
      <c r="V1295" s="145">
        <v>1.82</v>
      </c>
      <c r="W1295" s="145">
        <v>47</v>
      </c>
      <c r="X1295" s="145">
        <v>4.2000000000000003E-2</v>
      </c>
      <c r="Y1295" s="145">
        <v>0.128</v>
      </c>
      <c r="Z1295" s="146">
        <v>0.42</v>
      </c>
      <c r="AA1295" s="145">
        <v>6.6479999999999997</v>
      </c>
      <c r="AB1295" s="145" t="s">
        <v>400</v>
      </c>
      <c r="AC1295" s="145">
        <v>11.430999999999999</v>
      </c>
      <c r="AD1295" s="145">
        <v>0.28999999999999998</v>
      </c>
      <c r="AE1295" s="145">
        <v>3</v>
      </c>
      <c r="AF1295" s="145">
        <v>0.4</v>
      </c>
      <c r="AG1295" s="145">
        <v>0.48</v>
      </c>
      <c r="AH1295" s="145">
        <v>0.40400000000000003</v>
      </c>
      <c r="AI1295" s="145">
        <v>333</v>
      </c>
      <c r="AJ1295" s="145">
        <v>23.375</v>
      </c>
      <c r="AK1295" s="145">
        <v>47</v>
      </c>
      <c r="AL1295" s="145" t="s">
        <v>400</v>
      </c>
      <c r="AM1295" s="145" t="s">
        <v>400</v>
      </c>
    </row>
    <row r="1296" spans="1:39">
      <c r="A1296" s="143" t="s">
        <v>2356</v>
      </c>
      <c r="B1296" s="144">
        <v>100</v>
      </c>
      <c r="C1296" s="145">
        <v>236.8</v>
      </c>
      <c r="D1296" s="145">
        <v>21.751999999999999</v>
      </c>
      <c r="E1296" s="145">
        <v>15.603999999999999</v>
      </c>
      <c r="F1296" s="145">
        <v>4.3650000000000002</v>
      </c>
      <c r="G1296" s="145">
        <v>6.117</v>
      </c>
      <c r="H1296" s="145">
        <v>3.327</v>
      </c>
      <c r="I1296" s="145">
        <v>2.87</v>
      </c>
      <c r="J1296" s="145">
        <v>0.121</v>
      </c>
      <c r="K1296" s="145">
        <v>67.2</v>
      </c>
      <c r="L1296" s="145">
        <v>1.0760000000000001</v>
      </c>
      <c r="M1296" s="145">
        <v>0.3</v>
      </c>
      <c r="N1296" s="145">
        <v>14.6</v>
      </c>
      <c r="O1296" s="145">
        <v>18.399999999999999</v>
      </c>
      <c r="P1296" s="145">
        <v>3.5999999999999997E-2</v>
      </c>
      <c r="Q1296" s="145">
        <v>126</v>
      </c>
      <c r="R1296" s="145">
        <v>1.22</v>
      </c>
      <c r="S1296" s="145">
        <v>170.4</v>
      </c>
      <c r="T1296" s="145">
        <v>213.4</v>
      </c>
      <c r="U1296" s="145">
        <v>6.9000000000000006E-2</v>
      </c>
      <c r="V1296" s="145">
        <v>1.496</v>
      </c>
      <c r="W1296" s="145">
        <v>37.6</v>
      </c>
      <c r="X1296" s="145">
        <v>3.7999999999999999E-2</v>
      </c>
      <c r="Y1296" s="145">
        <v>0.11600000000000001</v>
      </c>
      <c r="Z1296" s="145">
        <v>0.35499999999999998</v>
      </c>
      <c r="AA1296" s="145">
        <v>5.5129999999999999</v>
      </c>
      <c r="AB1296" s="145">
        <v>1.4</v>
      </c>
      <c r="AC1296" s="145">
        <v>9.3729999999999993</v>
      </c>
      <c r="AD1296" s="145">
        <v>0.23200000000000001</v>
      </c>
      <c r="AE1296" s="145">
        <v>4.5999999999999996</v>
      </c>
      <c r="AF1296" s="145">
        <v>0.32</v>
      </c>
      <c r="AG1296" s="145">
        <v>0.5</v>
      </c>
      <c r="AH1296" s="145">
        <v>0.312</v>
      </c>
      <c r="AI1296" s="145">
        <v>333</v>
      </c>
      <c r="AJ1296" s="145">
        <v>17.8</v>
      </c>
      <c r="AK1296" s="145">
        <v>41.082999999999998</v>
      </c>
      <c r="AL1296" s="145">
        <v>0.85</v>
      </c>
      <c r="AM1296" s="145" t="s">
        <v>400</v>
      </c>
    </row>
    <row r="1297" spans="1:39">
      <c r="A1297" s="143" t="s">
        <v>2357</v>
      </c>
      <c r="B1297" s="144">
        <v>100</v>
      </c>
      <c r="C1297" s="145">
        <v>312.65899999999999</v>
      </c>
      <c r="D1297" s="145">
        <v>26.86</v>
      </c>
      <c r="E1297" s="145">
        <v>22.023</v>
      </c>
      <c r="F1297" s="145">
        <v>5.851</v>
      </c>
      <c r="G1297" s="145">
        <v>8.2240000000000002</v>
      </c>
      <c r="H1297" s="145">
        <v>5.62</v>
      </c>
      <c r="I1297" s="145">
        <v>4.8760000000000003</v>
      </c>
      <c r="J1297" s="145">
        <v>0.32400000000000001</v>
      </c>
      <c r="K1297" s="145">
        <v>84</v>
      </c>
      <c r="L1297" s="145" t="s">
        <v>400</v>
      </c>
      <c r="M1297" s="145" t="s">
        <v>400</v>
      </c>
      <c r="N1297" s="145">
        <v>15</v>
      </c>
      <c r="O1297" s="145">
        <v>19</v>
      </c>
      <c r="P1297" s="145">
        <v>1.7999999999999999E-2</v>
      </c>
      <c r="Q1297" s="145">
        <v>151</v>
      </c>
      <c r="R1297" s="145">
        <v>1.2709999999999999</v>
      </c>
      <c r="S1297" s="145">
        <v>82</v>
      </c>
      <c r="T1297" s="145">
        <v>184</v>
      </c>
      <c r="U1297" s="145">
        <v>5.7000000000000002E-2</v>
      </c>
      <c r="V1297" s="145">
        <v>1.82</v>
      </c>
      <c r="W1297" s="145">
        <v>47</v>
      </c>
      <c r="X1297" s="145">
        <v>4.2000000000000003E-2</v>
      </c>
      <c r="Y1297" s="145">
        <v>0.128</v>
      </c>
      <c r="Z1297" s="146">
        <v>0.42</v>
      </c>
      <c r="AA1297" s="145">
        <v>6.6479999999999997</v>
      </c>
      <c r="AB1297" s="145" t="s">
        <v>400</v>
      </c>
      <c r="AC1297" s="145">
        <v>11.430999999999999</v>
      </c>
      <c r="AD1297" s="145">
        <v>0.28999999999999998</v>
      </c>
      <c r="AE1297" s="145">
        <v>3</v>
      </c>
      <c r="AF1297" s="145">
        <v>0.4</v>
      </c>
      <c r="AG1297" s="145">
        <v>0.48</v>
      </c>
      <c r="AH1297" s="145">
        <v>0.40400000000000003</v>
      </c>
      <c r="AI1297" s="145">
        <v>333</v>
      </c>
      <c r="AJ1297" s="145">
        <v>23.375</v>
      </c>
      <c r="AK1297" s="145">
        <v>47</v>
      </c>
      <c r="AL1297" s="145" t="s">
        <v>400</v>
      </c>
      <c r="AM1297" s="145" t="s">
        <v>400</v>
      </c>
    </row>
    <row r="1298" spans="1:39">
      <c r="A1298" s="143" t="s">
        <v>2358</v>
      </c>
      <c r="B1298" s="144">
        <v>100</v>
      </c>
      <c r="C1298" s="145">
        <v>213</v>
      </c>
      <c r="D1298" s="145">
        <v>27.73</v>
      </c>
      <c r="E1298" s="145">
        <v>10.5</v>
      </c>
      <c r="F1298" s="145">
        <v>3.28</v>
      </c>
      <c r="G1298" s="145">
        <v>3.04</v>
      </c>
      <c r="H1298" s="145">
        <v>2.91</v>
      </c>
      <c r="I1298" s="145">
        <v>2.4300000000000002</v>
      </c>
      <c r="J1298" s="145">
        <v>0.12</v>
      </c>
      <c r="K1298" s="145">
        <v>82</v>
      </c>
      <c r="L1298" s="145" t="s">
        <v>400</v>
      </c>
      <c r="M1298" s="145" t="s">
        <v>400</v>
      </c>
      <c r="N1298" s="145">
        <v>30</v>
      </c>
      <c r="O1298" s="145">
        <v>24</v>
      </c>
      <c r="P1298" s="145">
        <v>2.4E-2</v>
      </c>
      <c r="Q1298" s="145">
        <v>198</v>
      </c>
      <c r="R1298" s="145">
        <v>2.29</v>
      </c>
      <c r="S1298" s="145">
        <v>73</v>
      </c>
      <c r="T1298" s="145">
        <v>282</v>
      </c>
      <c r="U1298" s="145">
        <v>0.14299999999999999</v>
      </c>
      <c r="V1298" s="145">
        <v>4.22</v>
      </c>
      <c r="W1298" s="145">
        <v>20</v>
      </c>
      <c r="X1298" s="145">
        <v>5.6000000000000001E-2</v>
      </c>
      <c r="Y1298" s="145">
        <v>0.22700000000000001</v>
      </c>
      <c r="Z1298" s="146">
        <v>0.32</v>
      </c>
      <c r="AA1298" s="145">
        <v>3.6890000000000001</v>
      </c>
      <c r="AB1298" s="145" t="s">
        <v>400</v>
      </c>
      <c r="AC1298" s="145">
        <v>8.8559999999999999</v>
      </c>
      <c r="AD1298" s="145">
        <v>0.35</v>
      </c>
      <c r="AE1298" s="145">
        <v>9</v>
      </c>
      <c r="AF1298" s="145">
        <v>0.1</v>
      </c>
      <c r="AG1298" s="145">
        <v>0.27</v>
      </c>
      <c r="AH1298" s="145">
        <v>0.23</v>
      </c>
      <c r="AI1298" s="145">
        <v>333</v>
      </c>
      <c r="AJ1298" s="145">
        <v>38.6</v>
      </c>
      <c r="AK1298" s="145">
        <v>20</v>
      </c>
      <c r="AL1298" s="145" t="s">
        <v>400</v>
      </c>
      <c r="AM1298" s="145" t="s">
        <v>400</v>
      </c>
    </row>
    <row r="1299" spans="1:39">
      <c r="A1299" s="143" t="s">
        <v>2359</v>
      </c>
      <c r="B1299" s="144">
        <v>100</v>
      </c>
      <c r="C1299" s="145">
        <v>213</v>
      </c>
      <c r="D1299" s="145">
        <v>27.73</v>
      </c>
      <c r="E1299" s="145">
        <v>10.5</v>
      </c>
      <c r="F1299" s="145">
        <v>3.28</v>
      </c>
      <c r="G1299" s="145">
        <v>3.04</v>
      </c>
      <c r="H1299" s="145">
        <v>2.91</v>
      </c>
      <c r="I1299" s="145">
        <v>2.4300000000000002</v>
      </c>
      <c r="J1299" s="145">
        <v>0.12</v>
      </c>
      <c r="K1299" s="145">
        <v>82</v>
      </c>
      <c r="L1299" s="145" t="s">
        <v>400</v>
      </c>
      <c r="M1299" s="145" t="s">
        <v>400</v>
      </c>
      <c r="N1299" s="145">
        <v>30</v>
      </c>
      <c r="O1299" s="145">
        <v>24</v>
      </c>
      <c r="P1299" s="145">
        <v>2.4E-2</v>
      </c>
      <c r="Q1299" s="145">
        <v>198</v>
      </c>
      <c r="R1299" s="145">
        <v>2.29</v>
      </c>
      <c r="S1299" s="145">
        <v>73</v>
      </c>
      <c r="T1299" s="145">
        <v>282</v>
      </c>
      <c r="U1299" s="145">
        <v>0.14299999999999999</v>
      </c>
      <c r="V1299" s="145">
        <v>4.22</v>
      </c>
      <c r="W1299" s="145">
        <v>20</v>
      </c>
      <c r="X1299" s="145">
        <v>5.6000000000000001E-2</v>
      </c>
      <c r="Y1299" s="145">
        <v>0.22700000000000001</v>
      </c>
      <c r="Z1299" s="146">
        <v>0.32</v>
      </c>
      <c r="AA1299" s="145">
        <v>3.6890000000000001</v>
      </c>
      <c r="AB1299" s="145" t="s">
        <v>400</v>
      </c>
      <c r="AC1299" s="145">
        <v>8.8559999999999999</v>
      </c>
      <c r="AD1299" s="145">
        <v>0.35</v>
      </c>
      <c r="AE1299" s="145">
        <v>9</v>
      </c>
      <c r="AF1299" s="145">
        <v>0.1</v>
      </c>
      <c r="AG1299" s="145">
        <v>0.27</v>
      </c>
      <c r="AH1299" s="145">
        <v>0.23</v>
      </c>
      <c r="AI1299" s="145">
        <v>333</v>
      </c>
      <c r="AJ1299" s="145">
        <v>38.6</v>
      </c>
      <c r="AK1299" s="145">
        <v>20</v>
      </c>
      <c r="AL1299" s="145" t="s">
        <v>400</v>
      </c>
      <c r="AM1299" s="145" t="s">
        <v>400</v>
      </c>
    </row>
    <row r="1300" spans="1:39">
      <c r="A1300" s="143" t="s">
        <v>2360</v>
      </c>
      <c r="B1300" s="144">
        <v>100</v>
      </c>
      <c r="C1300" s="145">
        <v>213</v>
      </c>
      <c r="D1300" s="145">
        <v>27.73</v>
      </c>
      <c r="E1300" s="145">
        <v>10.5</v>
      </c>
      <c r="F1300" s="145">
        <v>3.28</v>
      </c>
      <c r="G1300" s="145">
        <v>3.04</v>
      </c>
      <c r="H1300" s="145">
        <v>2.91</v>
      </c>
      <c r="I1300" s="145">
        <v>2.4300000000000002</v>
      </c>
      <c r="J1300" s="145">
        <v>0.12</v>
      </c>
      <c r="K1300" s="145">
        <v>82</v>
      </c>
      <c r="L1300" s="145" t="s">
        <v>400</v>
      </c>
      <c r="M1300" s="145" t="s">
        <v>400</v>
      </c>
      <c r="N1300" s="145">
        <v>30</v>
      </c>
      <c r="O1300" s="145">
        <v>24</v>
      </c>
      <c r="P1300" s="145">
        <v>2.4E-2</v>
      </c>
      <c r="Q1300" s="145">
        <v>198</v>
      </c>
      <c r="R1300" s="145">
        <v>2.29</v>
      </c>
      <c r="S1300" s="145">
        <v>73</v>
      </c>
      <c r="T1300" s="145">
        <v>282</v>
      </c>
      <c r="U1300" s="145">
        <v>0.14299999999999999</v>
      </c>
      <c r="V1300" s="145">
        <v>4.22</v>
      </c>
      <c r="W1300" s="145">
        <v>20</v>
      </c>
      <c r="X1300" s="145">
        <v>5.6000000000000001E-2</v>
      </c>
      <c r="Y1300" s="145">
        <v>0.22700000000000001</v>
      </c>
      <c r="Z1300" s="146">
        <v>0.32</v>
      </c>
      <c r="AA1300" s="145">
        <v>3.6890000000000001</v>
      </c>
      <c r="AB1300" s="145" t="s">
        <v>400</v>
      </c>
      <c r="AC1300" s="145">
        <v>8.8559999999999999</v>
      </c>
      <c r="AD1300" s="145">
        <v>0.35</v>
      </c>
      <c r="AE1300" s="145">
        <v>9</v>
      </c>
      <c r="AF1300" s="145">
        <v>0.1</v>
      </c>
      <c r="AG1300" s="145">
        <v>0.27</v>
      </c>
      <c r="AH1300" s="145">
        <v>0.23</v>
      </c>
      <c r="AI1300" s="145">
        <v>333</v>
      </c>
      <c r="AJ1300" s="145">
        <v>38.6</v>
      </c>
      <c r="AK1300" s="145">
        <v>20</v>
      </c>
      <c r="AL1300" s="145" t="s">
        <v>400</v>
      </c>
      <c r="AM1300" s="145" t="s">
        <v>400</v>
      </c>
    </row>
    <row r="1301" spans="1:39">
      <c r="A1301" s="143" t="s">
        <v>2361</v>
      </c>
      <c r="B1301" s="144">
        <v>100</v>
      </c>
      <c r="C1301" s="145">
        <v>235.65899999999999</v>
      </c>
      <c r="D1301" s="145">
        <v>27.73</v>
      </c>
      <c r="E1301" s="145">
        <v>13.063000000000001</v>
      </c>
      <c r="F1301" s="145">
        <v>3.681</v>
      </c>
      <c r="G1301" s="145">
        <v>3.6240000000000001</v>
      </c>
      <c r="H1301" s="145">
        <v>4.3899999999999997</v>
      </c>
      <c r="I1301" s="145">
        <v>3.7360000000000002</v>
      </c>
      <c r="J1301" s="145">
        <v>0.29399999999999998</v>
      </c>
      <c r="K1301" s="145">
        <v>82</v>
      </c>
      <c r="L1301" s="145" t="s">
        <v>400</v>
      </c>
      <c r="M1301" s="145" t="s">
        <v>400</v>
      </c>
      <c r="N1301" s="145">
        <v>30</v>
      </c>
      <c r="O1301" s="145">
        <v>24</v>
      </c>
      <c r="P1301" s="145">
        <v>2.4E-2</v>
      </c>
      <c r="Q1301" s="145">
        <v>198</v>
      </c>
      <c r="R1301" s="145">
        <v>2.2909999999999999</v>
      </c>
      <c r="S1301" s="145">
        <v>73</v>
      </c>
      <c r="T1301" s="145">
        <v>282</v>
      </c>
      <c r="U1301" s="145">
        <v>0.14299999999999999</v>
      </c>
      <c r="V1301" s="145">
        <v>4.22</v>
      </c>
      <c r="W1301" s="145">
        <v>20</v>
      </c>
      <c r="X1301" s="145">
        <v>5.6000000000000001E-2</v>
      </c>
      <c r="Y1301" s="145">
        <v>0.22700000000000001</v>
      </c>
      <c r="Z1301" s="146">
        <v>0.32</v>
      </c>
      <c r="AA1301" s="145">
        <v>3.6890000000000001</v>
      </c>
      <c r="AB1301" s="145" t="s">
        <v>400</v>
      </c>
      <c r="AC1301" s="145">
        <v>8.8559999999999999</v>
      </c>
      <c r="AD1301" s="145">
        <v>0.35</v>
      </c>
      <c r="AE1301" s="145">
        <v>9</v>
      </c>
      <c r="AF1301" s="145">
        <v>0.1</v>
      </c>
      <c r="AG1301" s="145">
        <v>0.48</v>
      </c>
      <c r="AH1301" s="145">
        <v>0.24399999999999999</v>
      </c>
      <c r="AI1301" s="145">
        <v>333</v>
      </c>
      <c r="AJ1301" s="145">
        <v>39.774999999999999</v>
      </c>
      <c r="AK1301" s="145">
        <v>20</v>
      </c>
      <c r="AL1301" s="145" t="s">
        <v>400</v>
      </c>
      <c r="AM1301" s="145" t="s">
        <v>400</v>
      </c>
    </row>
    <row r="1302" spans="1:39">
      <c r="A1302" s="143" t="s">
        <v>2362</v>
      </c>
      <c r="B1302" s="144">
        <v>100</v>
      </c>
      <c r="C1302" s="145">
        <v>235.65899999999999</v>
      </c>
      <c r="D1302" s="145">
        <v>27.73</v>
      </c>
      <c r="E1302" s="145">
        <v>13.063000000000001</v>
      </c>
      <c r="F1302" s="145">
        <v>3.681</v>
      </c>
      <c r="G1302" s="145">
        <v>3.6240000000000001</v>
      </c>
      <c r="H1302" s="145">
        <v>4.3899999999999997</v>
      </c>
      <c r="I1302" s="145">
        <v>3.7360000000000002</v>
      </c>
      <c r="J1302" s="145">
        <v>0.29399999999999998</v>
      </c>
      <c r="K1302" s="145">
        <v>82</v>
      </c>
      <c r="L1302" s="145" t="s">
        <v>400</v>
      </c>
      <c r="M1302" s="145" t="s">
        <v>400</v>
      </c>
      <c r="N1302" s="145">
        <v>30</v>
      </c>
      <c r="O1302" s="145">
        <v>24</v>
      </c>
      <c r="P1302" s="145">
        <v>2.4E-2</v>
      </c>
      <c r="Q1302" s="145">
        <v>198</v>
      </c>
      <c r="R1302" s="145">
        <v>2.2909999999999999</v>
      </c>
      <c r="S1302" s="145">
        <v>73</v>
      </c>
      <c r="T1302" s="145">
        <v>282</v>
      </c>
      <c r="U1302" s="145">
        <v>0.14299999999999999</v>
      </c>
      <c r="V1302" s="145">
        <v>4.22</v>
      </c>
      <c r="W1302" s="145">
        <v>20</v>
      </c>
      <c r="X1302" s="145">
        <v>5.6000000000000001E-2</v>
      </c>
      <c r="Y1302" s="145">
        <v>0.22700000000000001</v>
      </c>
      <c r="Z1302" s="146">
        <v>0.32</v>
      </c>
      <c r="AA1302" s="145">
        <v>3.6890000000000001</v>
      </c>
      <c r="AB1302" s="145" t="s">
        <v>400</v>
      </c>
      <c r="AC1302" s="145">
        <v>8.8559999999999999</v>
      </c>
      <c r="AD1302" s="145">
        <v>0.35</v>
      </c>
      <c r="AE1302" s="145">
        <v>9</v>
      </c>
      <c r="AF1302" s="145">
        <v>0.1</v>
      </c>
      <c r="AG1302" s="145">
        <v>0.48</v>
      </c>
      <c r="AH1302" s="145">
        <v>0.24399999999999999</v>
      </c>
      <c r="AI1302" s="145">
        <v>333</v>
      </c>
      <c r="AJ1302" s="145">
        <v>39.774999999999999</v>
      </c>
      <c r="AK1302" s="145">
        <v>20</v>
      </c>
      <c r="AL1302" s="145" t="s">
        <v>400</v>
      </c>
      <c r="AM1302" s="145" t="s">
        <v>400</v>
      </c>
    </row>
    <row r="1303" spans="1:39">
      <c r="A1303" s="143" t="s">
        <v>2363</v>
      </c>
      <c r="B1303" s="144">
        <v>100</v>
      </c>
      <c r="C1303" s="145">
        <v>175.2</v>
      </c>
      <c r="D1303" s="145">
        <v>22.448</v>
      </c>
      <c r="E1303" s="145">
        <v>8.4359999999999999</v>
      </c>
      <c r="F1303" s="145">
        <v>2.629</v>
      </c>
      <c r="G1303" s="145">
        <v>2.4369999999999998</v>
      </c>
      <c r="H1303" s="145">
        <v>2.343</v>
      </c>
      <c r="I1303" s="145">
        <v>1.958</v>
      </c>
      <c r="J1303" s="145">
        <v>9.7000000000000003E-2</v>
      </c>
      <c r="K1303" s="145">
        <v>65.599999999999994</v>
      </c>
      <c r="L1303" s="145">
        <v>1.0760000000000001</v>
      </c>
      <c r="M1303" s="145">
        <v>0.3</v>
      </c>
      <c r="N1303" s="145">
        <v>26.6</v>
      </c>
      <c r="O1303" s="145">
        <v>22.4</v>
      </c>
      <c r="P1303" s="145">
        <v>4.1000000000000002E-2</v>
      </c>
      <c r="Q1303" s="145">
        <v>163.6</v>
      </c>
      <c r="R1303" s="145">
        <v>2.036</v>
      </c>
      <c r="S1303" s="145">
        <v>163.19999999999999</v>
      </c>
      <c r="T1303" s="145">
        <v>291.8</v>
      </c>
      <c r="U1303" s="145">
        <v>0.13800000000000001</v>
      </c>
      <c r="V1303" s="145">
        <v>3.4159999999999999</v>
      </c>
      <c r="W1303" s="145">
        <v>16</v>
      </c>
      <c r="X1303" s="145">
        <v>0.05</v>
      </c>
      <c r="Y1303" s="145">
        <v>0.19500000000000001</v>
      </c>
      <c r="Z1303" s="145">
        <v>0.27500000000000002</v>
      </c>
      <c r="AA1303" s="145">
        <v>3.1459999999999999</v>
      </c>
      <c r="AB1303" s="145">
        <v>1.4</v>
      </c>
      <c r="AC1303" s="145">
        <v>7.3129999999999997</v>
      </c>
      <c r="AD1303" s="145">
        <v>0.28000000000000003</v>
      </c>
      <c r="AE1303" s="145">
        <v>9.4</v>
      </c>
      <c r="AF1303" s="145">
        <v>0.08</v>
      </c>
      <c r="AG1303" s="145">
        <v>0.5</v>
      </c>
      <c r="AH1303" s="145">
        <v>0.184</v>
      </c>
      <c r="AI1303" s="145">
        <v>333</v>
      </c>
      <c r="AJ1303" s="145">
        <v>30.92</v>
      </c>
      <c r="AK1303" s="145">
        <v>19.483000000000001</v>
      </c>
      <c r="AL1303" s="145">
        <v>0.85</v>
      </c>
      <c r="AM1303" s="145" t="s">
        <v>400</v>
      </c>
    </row>
    <row r="1304" spans="1:39">
      <c r="A1304" s="143" t="s">
        <v>2364</v>
      </c>
      <c r="B1304" s="144">
        <v>100</v>
      </c>
      <c r="C1304" s="145">
        <v>300</v>
      </c>
      <c r="D1304" s="145">
        <v>25.95</v>
      </c>
      <c r="E1304" s="145">
        <v>20.97</v>
      </c>
      <c r="F1304" s="145">
        <v>5.82</v>
      </c>
      <c r="G1304" s="145">
        <v>8.2899999999999991</v>
      </c>
      <c r="H1304" s="145">
        <v>4.62</v>
      </c>
      <c r="I1304" s="145">
        <v>4.04</v>
      </c>
      <c r="J1304" s="145">
        <v>0.18</v>
      </c>
      <c r="K1304" s="145">
        <v>88</v>
      </c>
      <c r="L1304" s="145" t="s">
        <v>400</v>
      </c>
      <c r="M1304" s="145" t="s">
        <v>400</v>
      </c>
      <c r="N1304" s="145">
        <v>21</v>
      </c>
      <c r="O1304" s="145">
        <v>20</v>
      </c>
      <c r="P1304" s="145">
        <v>2.1999999999999999E-2</v>
      </c>
      <c r="Q1304" s="145">
        <v>154</v>
      </c>
      <c r="R1304" s="145">
        <v>1.42</v>
      </c>
      <c r="S1304" s="145">
        <v>87</v>
      </c>
      <c r="T1304" s="145">
        <v>210</v>
      </c>
      <c r="U1304" s="145">
        <v>7.5999999999999998E-2</v>
      </c>
      <c r="V1304" s="145">
        <v>2.25</v>
      </c>
      <c r="W1304" s="145">
        <v>105</v>
      </c>
      <c r="X1304" s="145">
        <v>6.0999999999999999E-2</v>
      </c>
      <c r="Y1304" s="145">
        <v>0.19500000000000001</v>
      </c>
      <c r="Z1304" s="146">
        <v>0.27</v>
      </c>
      <c r="AA1304" s="145">
        <v>6.718</v>
      </c>
      <c r="AB1304" s="145" t="s">
        <v>400</v>
      </c>
      <c r="AC1304" s="145">
        <v>11.417999999999999</v>
      </c>
      <c r="AD1304" s="145">
        <v>0.27</v>
      </c>
      <c r="AE1304" s="145">
        <v>6</v>
      </c>
      <c r="AF1304" s="145">
        <v>0.2</v>
      </c>
      <c r="AG1304" s="145">
        <v>0.27</v>
      </c>
      <c r="AH1304" s="145">
        <v>0.45400000000000001</v>
      </c>
      <c r="AI1304" s="145">
        <v>333</v>
      </c>
      <c r="AJ1304" s="145">
        <v>22.5</v>
      </c>
      <c r="AK1304" s="145">
        <v>105</v>
      </c>
      <c r="AL1304" s="145" t="s">
        <v>400</v>
      </c>
      <c r="AM1304" s="145" t="s">
        <v>400</v>
      </c>
    </row>
    <row r="1305" spans="1:39">
      <c r="A1305" s="143" t="s">
        <v>2365</v>
      </c>
      <c r="B1305" s="144">
        <v>100</v>
      </c>
      <c r="C1305" s="145">
        <v>300</v>
      </c>
      <c r="D1305" s="145">
        <v>25.95</v>
      </c>
      <c r="E1305" s="145">
        <v>20.97</v>
      </c>
      <c r="F1305" s="145">
        <v>5.82</v>
      </c>
      <c r="G1305" s="145">
        <v>8.2899999999999991</v>
      </c>
      <c r="H1305" s="145">
        <v>4.62</v>
      </c>
      <c r="I1305" s="145">
        <v>4.04</v>
      </c>
      <c r="J1305" s="145">
        <v>0.18</v>
      </c>
      <c r="K1305" s="145">
        <v>88</v>
      </c>
      <c r="L1305" s="145" t="s">
        <v>400</v>
      </c>
      <c r="M1305" s="145" t="s">
        <v>400</v>
      </c>
      <c r="N1305" s="145">
        <v>21</v>
      </c>
      <c r="O1305" s="145">
        <v>20</v>
      </c>
      <c r="P1305" s="145">
        <v>2.1999999999999999E-2</v>
      </c>
      <c r="Q1305" s="145">
        <v>154</v>
      </c>
      <c r="R1305" s="145">
        <v>1.42</v>
      </c>
      <c r="S1305" s="145">
        <v>87</v>
      </c>
      <c r="T1305" s="145">
        <v>210</v>
      </c>
      <c r="U1305" s="145">
        <v>7.5999999999999998E-2</v>
      </c>
      <c r="V1305" s="145">
        <v>2.25</v>
      </c>
      <c r="W1305" s="145">
        <v>105</v>
      </c>
      <c r="X1305" s="145">
        <v>6.0999999999999999E-2</v>
      </c>
      <c r="Y1305" s="145">
        <v>0.19500000000000001</v>
      </c>
      <c r="Z1305" s="146">
        <v>0.27</v>
      </c>
      <c r="AA1305" s="145">
        <v>6.718</v>
      </c>
      <c r="AB1305" s="145" t="s">
        <v>400</v>
      </c>
      <c r="AC1305" s="145">
        <v>11.417999999999999</v>
      </c>
      <c r="AD1305" s="145">
        <v>0.27</v>
      </c>
      <c r="AE1305" s="145">
        <v>6</v>
      </c>
      <c r="AF1305" s="145">
        <v>0.2</v>
      </c>
      <c r="AG1305" s="145">
        <v>0.27</v>
      </c>
      <c r="AH1305" s="145">
        <v>0.45400000000000001</v>
      </c>
      <c r="AI1305" s="145">
        <v>333</v>
      </c>
      <c r="AJ1305" s="145">
        <v>22.5</v>
      </c>
      <c r="AK1305" s="145">
        <v>105</v>
      </c>
      <c r="AL1305" s="145" t="s">
        <v>400</v>
      </c>
      <c r="AM1305" s="145" t="s">
        <v>400</v>
      </c>
    </row>
    <row r="1306" spans="1:39">
      <c r="A1306" s="143" t="s">
        <v>2366</v>
      </c>
      <c r="B1306" s="144">
        <v>100</v>
      </c>
      <c r="C1306" s="145">
        <v>322.65899999999999</v>
      </c>
      <c r="D1306" s="145">
        <v>25.95</v>
      </c>
      <c r="E1306" s="145">
        <v>23.533000000000001</v>
      </c>
      <c r="F1306" s="145">
        <v>6.2210000000000001</v>
      </c>
      <c r="G1306" s="145">
        <v>8.8740000000000006</v>
      </c>
      <c r="H1306" s="145">
        <v>6.1</v>
      </c>
      <c r="I1306" s="145">
        <v>5.3460000000000001</v>
      </c>
      <c r="J1306" s="145">
        <v>0.35399999999999998</v>
      </c>
      <c r="K1306" s="145">
        <v>88</v>
      </c>
      <c r="L1306" s="145" t="s">
        <v>400</v>
      </c>
      <c r="M1306" s="145" t="s">
        <v>400</v>
      </c>
      <c r="N1306" s="145">
        <v>21</v>
      </c>
      <c r="O1306" s="145">
        <v>20</v>
      </c>
      <c r="P1306" s="145">
        <v>2.1999999999999999E-2</v>
      </c>
      <c r="Q1306" s="145">
        <v>154</v>
      </c>
      <c r="R1306" s="145">
        <v>1.421</v>
      </c>
      <c r="S1306" s="145">
        <v>87</v>
      </c>
      <c r="T1306" s="145">
        <v>210</v>
      </c>
      <c r="U1306" s="145">
        <v>7.5999999999999998E-2</v>
      </c>
      <c r="V1306" s="145">
        <v>2.25</v>
      </c>
      <c r="W1306" s="145">
        <v>105</v>
      </c>
      <c r="X1306" s="145">
        <v>6.0999999999999999E-2</v>
      </c>
      <c r="Y1306" s="145">
        <v>0.19500000000000001</v>
      </c>
      <c r="Z1306" s="146">
        <v>0.27</v>
      </c>
      <c r="AA1306" s="145">
        <v>6.718</v>
      </c>
      <c r="AB1306" s="145" t="s">
        <v>400</v>
      </c>
      <c r="AC1306" s="145">
        <v>11.417999999999999</v>
      </c>
      <c r="AD1306" s="145">
        <v>0.27</v>
      </c>
      <c r="AE1306" s="145">
        <v>6</v>
      </c>
      <c r="AF1306" s="145">
        <v>0.2</v>
      </c>
      <c r="AG1306" s="145">
        <v>0.48</v>
      </c>
      <c r="AH1306" s="145">
        <v>0.46800000000000003</v>
      </c>
      <c r="AI1306" s="145">
        <v>333</v>
      </c>
      <c r="AJ1306" s="145">
        <v>23.675000000000001</v>
      </c>
      <c r="AK1306" s="145">
        <v>105</v>
      </c>
      <c r="AL1306" s="145" t="s">
        <v>400</v>
      </c>
      <c r="AM1306" s="145" t="s">
        <v>400</v>
      </c>
    </row>
    <row r="1307" spans="1:39">
      <c r="A1307" s="143" t="s">
        <v>2367</v>
      </c>
      <c r="B1307" s="144">
        <v>100</v>
      </c>
      <c r="C1307" s="145">
        <v>322.65899999999999</v>
      </c>
      <c r="D1307" s="145">
        <v>25.95</v>
      </c>
      <c r="E1307" s="145">
        <v>23.533000000000001</v>
      </c>
      <c r="F1307" s="145">
        <v>6.2210000000000001</v>
      </c>
      <c r="G1307" s="145">
        <v>8.8740000000000006</v>
      </c>
      <c r="H1307" s="145">
        <v>6.1</v>
      </c>
      <c r="I1307" s="145">
        <v>5.3460000000000001</v>
      </c>
      <c r="J1307" s="145">
        <v>0.35399999999999998</v>
      </c>
      <c r="K1307" s="145">
        <v>88</v>
      </c>
      <c r="L1307" s="145" t="s">
        <v>400</v>
      </c>
      <c r="M1307" s="145" t="s">
        <v>400</v>
      </c>
      <c r="N1307" s="145">
        <v>21</v>
      </c>
      <c r="O1307" s="145">
        <v>20</v>
      </c>
      <c r="P1307" s="145">
        <v>2.1999999999999999E-2</v>
      </c>
      <c r="Q1307" s="145">
        <v>154</v>
      </c>
      <c r="R1307" s="145">
        <v>1.421</v>
      </c>
      <c r="S1307" s="145">
        <v>87</v>
      </c>
      <c r="T1307" s="145">
        <v>210</v>
      </c>
      <c r="U1307" s="145">
        <v>7.5999999999999998E-2</v>
      </c>
      <c r="V1307" s="145">
        <v>2.25</v>
      </c>
      <c r="W1307" s="145">
        <v>105</v>
      </c>
      <c r="X1307" s="145">
        <v>6.0999999999999999E-2</v>
      </c>
      <c r="Y1307" s="145">
        <v>0.19500000000000001</v>
      </c>
      <c r="Z1307" s="146">
        <v>0.27</v>
      </c>
      <c r="AA1307" s="145">
        <v>6.718</v>
      </c>
      <c r="AB1307" s="145" t="s">
        <v>400</v>
      </c>
      <c r="AC1307" s="145">
        <v>11.417999999999999</v>
      </c>
      <c r="AD1307" s="145">
        <v>0.27</v>
      </c>
      <c r="AE1307" s="145">
        <v>6</v>
      </c>
      <c r="AF1307" s="145">
        <v>0.2</v>
      </c>
      <c r="AG1307" s="145">
        <v>0.48</v>
      </c>
      <c r="AH1307" s="145">
        <v>0.46800000000000003</v>
      </c>
      <c r="AI1307" s="145">
        <v>333</v>
      </c>
      <c r="AJ1307" s="145">
        <v>23.675000000000001</v>
      </c>
      <c r="AK1307" s="145">
        <v>105</v>
      </c>
      <c r="AL1307" s="145" t="s">
        <v>400</v>
      </c>
      <c r="AM1307" s="145" t="s">
        <v>400</v>
      </c>
    </row>
    <row r="1308" spans="1:39">
      <c r="A1308" s="143" t="s">
        <v>2368</v>
      </c>
      <c r="B1308" s="144">
        <v>100</v>
      </c>
      <c r="C1308" s="145">
        <v>272.58999999999997</v>
      </c>
      <c r="D1308" s="145">
        <v>21.539000000000001</v>
      </c>
      <c r="E1308" s="145">
        <v>19.265000000000001</v>
      </c>
      <c r="F1308" s="145">
        <v>6.1879999999999997</v>
      </c>
      <c r="G1308" s="145">
        <v>7.2690000000000001</v>
      </c>
      <c r="H1308" s="145">
        <v>3.8090000000000002</v>
      </c>
      <c r="I1308" s="145">
        <v>3.3220000000000001</v>
      </c>
      <c r="J1308" s="145">
        <v>0.16600000000000001</v>
      </c>
      <c r="K1308" s="145">
        <v>77.233000000000004</v>
      </c>
      <c r="L1308" s="145">
        <v>1.851</v>
      </c>
      <c r="M1308" s="145">
        <v>4.2999999999999997E-2</v>
      </c>
      <c r="N1308" s="145">
        <v>39.679000000000002</v>
      </c>
      <c r="O1308" s="145">
        <v>18.312000000000001</v>
      </c>
      <c r="P1308" s="145">
        <v>2.8000000000000001E-2</v>
      </c>
      <c r="Q1308" s="145">
        <v>142.893</v>
      </c>
      <c r="R1308" s="145">
        <v>1.206</v>
      </c>
      <c r="S1308" s="145">
        <v>90.516999999999996</v>
      </c>
      <c r="T1308" s="145">
        <v>198.054</v>
      </c>
      <c r="U1308" s="145">
        <v>6.5000000000000002E-2</v>
      </c>
      <c r="V1308" s="145">
        <v>1.889</v>
      </c>
      <c r="W1308" s="145">
        <v>104.697</v>
      </c>
      <c r="X1308" s="145">
        <v>6.7000000000000004E-2</v>
      </c>
      <c r="Y1308" s="145">
        <v>0.19900000000000001</v>
      </c>
      <c r="Z1308" s="145">
        <v>0.224</v>
      </c>
      <c r="AA1308" s="145">
        <v>5.47</v>
      </c>
      <c r="AB1308" s="145">
        <v>4.0000000000000001E-3</v>
      </c>
      <c r="AC1308" s="145">
        <v>9.5050000000000008</v>
      </c>
      <c r="AD1308" s="145">
        <v>0.30599999999999999</v>
      </c>
      <c r="AE1308" s="145">
        <v>8.3960000000000008</v>
      </c>
      <c r="AF1308" s="145">
        <v>0.38700000000000001</v>
      </c>
      <c r="AG1308" s="145">
        <v>0.28100000000000003</v>
      </c>
      <c r="AH1308" s="145">
        <v>0.46</v>
      </c>
      <c r="AI1308" s="145">
        <v>333</v>
      </c>
      <c r="AJ1308" s="145">
        <v>19.169</v>
      </c>
      <c r="AK1308" s="145">
        <v>105.081</v>
      </c>
      <c r="AL1308" s="145">
        <v>1.0329999999999999</v>
      </c>
      <c r="AM1308" s="145" t="s">
        <v>400</v>
      </c>
    </row>
    <row r="1309" spans="1:39">
      <c r="A1309" s="143" t="s">
        <v>2369</v>
      </c>
      <c r="B1309" s="144">
        <v>100</v>
      </c>
      <c r="C1309" s="145">
        <v>215</v>
      </c>
      <c r="D1309" s="145">
        <v>19.399999999999999</v>
      </c>
      <c r="E1309" s="145">
        <v>14.6</v>
      </c>
      <c r="F1309" s="145">
        <v>3.92</v>
      </c>
      <c r="G1309" s="145">
        <v>5.5</v>
      </c>
      <c r="H1309" s="145">
        <v>2.98</v>
      </c>
      <c r="I1309" s="145">
        <v>2.57</v>
      </c>
      <c r="J1309" s="145">
        <v>0.108</v>
      </c>
      <c r="K1309" s="145">
        <v>84</v>
      </c>
      <c r="L1309" s="145">
        <v>0.2</v>
      </c>
      <c r="M1309" s="145" t="s">
        <v>400</v>
      </c>
      <c r="N1309" s="145">
        <v>88</v>
      </c>
      <c r="O1309" s="145">
        <v>5</v>
      </c>
      <c r="P1309" s="145">
        <v>1.6E-2</v>
      </c>
      <c r="Q1309" s="145">
        <v>83</v>
      </c>
      <c r="R1309" s="145">
        <v>0.91</v>
      </c>
      <c r="S1309" s="145">
        <v>67</v>
      </c>
      <c r="T1309" s="145">
        <v>31</v>
      </c>
      <c r="U1309" s="145">
        <v>0.10199999999999999</v>
      </c>
      <c r="V1309" s="145">
        <v>0.69</v>
      </c>
      <c r="W1309" s="145">
        <v>30</v>
      </c>
      <c r="X1309" s="145">
        <v>0.06</v>
      </c>
      <c r="Y1309" s="145">
        <v>0.2</v>
      </c>
      <c r="Z1309" s="146">
        <v>0.01</v>
      </c>
      <c r="AA1309" s="145">
        <v>0.4</v>
      </c>
      <c r="AB1309" s="145" t="s">
        <v>400</v>
      </c>
      <c r="AC1309" s="145">
        <v>4</v>
      </c>
      <c r="AD1309" s="145">
        <v>0.47</v>
      </c>
      <c r="AE1309" s="145">
        <v>86</v>
      </c>
      <c r="AF1309" s="145">
        <v>0.14899999999999999</v>
      </c>
      <c r="AG1309" s="145">
        <v>0.27</v>
      </c>
      <c r="AH1309" s="145">
        <v>0.28699999999999998</v>
      </c>
      <c r="AI1309" s="145">
        <v>333</v>
      </c>
      <c r="AJ1309" s="145">
        <v>3.6</v>
      </c>
      <c r="AK1309" s="145">
        <v>30</v>
      </c>
      <c r="AL1309" s="145" t="s">
        <v>400</v>
      </c>
      <c r="AM1309" s="145" t="s">
        <v>400</v>
      </c>
    </row>
    <row r="1310" spans="1:39">
      <c r="A1310" s="143" t="s">
        <v>2370</v>
      </c>
      <c r="B1310" s="144">
        <v>100</v>
      </c>
      <c r="C1310" s="145">
        <v>215</v>
      </c>
      <c r="D1310" s="145">
        <v>19.399999999999999</v>
      </c>
      <c r="E1310" s="145">
        <v>14.6</v>
      </c>
      <c r="F1310" s="145">
        <v>3.92</v>
      </c>
      <c r="G1310" s="145">
        <v>5.5</v>
      </c>
      <c r="H1310" s="145">
        <v>2.98</v>
      </c>
      <c r="I1310" s="145">
        <v>2.57</v>
      </c>
      <c r="J1310" s="145">
        <v>0.108</v>
      </c>
      <c r="K1310" s="145">
        <v>84</v>
      </c>
      <c r="L1310" s="145">
        <v>0.2</v>
      </c>
      <c r="M1310" s="145" t="s">
        <v>400</v>
      </c>
      <c r="N1310" s="145">
        <v>88</v>
      </c>
      <c r="O1310" s="145">
        <v>5</v>
      </c>
      <c r="P1310" s="145">
        <v>1.6E-2</v>
      </c>
      <c r="Q1310" s="145">
        <v>83</v>
      </c>
      <c r="R1310" s="145">
        <v>0.91</v>
      </c>
      <c r="S1310" s="145">
        <v>67</v>
      </c>
      <c r="T1310" s="145">
        <v>31</v>
      </c>
      <c r="U1310" s="145">
        <v>0.10199999999999999</v>
      </c>
      <c r="V1310" s="145">
        <v>0.69</v>
      </c>
      <c r="W1310" s="145">
        <v>30</v>
      </c>
      <c r="X1310" s="145">
        <v>0.06</v>
      </c>
      <c r="Y1310" s="145">
        <v>0.2</v>
      </c>
      <c r="Z1310" s="146">
        <v>0.01</v>
      </c>
      <c r="AA1310" s="145">
        <v>0.4</v>
      </c>
      <c r="AB1310" s="145" t="s">
        <v>400</v>
      </c>
      <c r="AC1310" s="145">
        <v>4</v>
      </c>
      <c r="AD1310" s="145">
        <v>0.47</v>
      </c>
      <c r="AE1310" s="145">
        <v>86</v>
      </c>
      <c r="AF1310" s="145">
        <v>0.14899999999999999</v>
      </c>
      <c r="AG1310" s="145">
        <v>0.27</v>
      </c>
      <c r="AH1310" s="145">
        <v>0.28699999999999998</v>
      </c>
      <c r="AI1310" s="145">
        <v>333</v>
      </c>
      <c r="AJ1310" s="145">
        <v>3.6</v>
      </c>
      <c r="AK1310" s="145">
        <v>30</v>
      </c>
      <c r="AL1310" s="145" t="s">
        <v>400</v>
      </c>
      <c r="AM1310" s="145" t="s">
        <v>400</v>
      </c>
    </row>
    <row r="1311" spans="1:39">
      <c r="A1311" s="143" t="s">
        <v>2371</v>
      </c>
      <c r="B1311" s="144">
        <v>100</v>
      </c>
      <c r="C1311" s="145">
        <v>215</v>
      </c>
      <c r="D1311" s="145">
        <v>19.399999999999999</v>
      </c>
      <c r="E1311" s="145">
        <v>14.6</v>
      </c>
      <c r="F1311" s="145">
        <v>3.92</v>
      </c>
      <c r="G1311" s="145">
        <v>5.5</v>
      </c>
      <c r="H1311" s="145">
        <v>2.98</v>
      </c>
      <c r="I1311" s="145">
        <v>2.57</v>
      </c>
      <c r="J1311" s="145">
        <v>0.108</v>
      </c>
      <c r="K1311" s="145">
        <v>84</v>
      </c>
      <c r="L1311" s="145">
        <v>0.2</v>
      </c>
      <c r="M1311" s="145" t="s">
        <v>400</v>
      </c>
      <c r="N1311" s="145">
        <v>88</v>
      </c>
      <c r="O1311" s="145">
        <v>5</v>
      </c>
      <c r="P1311" s="145">
        <v>1.6E-2</v>
      </c>
      <c r="Q1311" s="145">
        <v>83</v>
      </c>
      <c r="R1311" s="145">
        <v>0.91</v>
      </c>
      <c r="S1311" s="145">
        <v>67</v>
      </c>
      <c r="T1311" s="145">
        <v>31</v>
      </c>
      <c r="U1311" s="145">
        <v>0.10199999999999999</v>
      </c>
      <c r="V1311" s="145">
        <v>0.69</v>
      </c>
      <c r="W1311" s="145">
        <v>30</v>
      </c>
      <c r="X1311" s="145">
        <v>0.06</v>
      </c>
      <c r="Y1311" s="145">
        <v>0.2</v>
      </c>
      <c r="Z1311" s="146">
        <v>0.01</v>
      </c>
      <c r="AA1311" s="145">
        <v>0.4</v>
      </c>
      <c r="AB1311" s="145" t="s">
        <v>400</v>
      </c>
      <c r="AC1311" s="145">
        <v>4</v>
      </c>
      <c r="AD1311" s="145">
        <v>0.47</v>
      </c>
      <c r="AE1311" s="145">
        <v>86</v>
      </c>
      <c r="AF1311" s="145">
        <v>0.14899999999999999</v>
      </c>
      <c r="AG1311" s="145">
        <v>0.27</v>
      </c>
      <c r="AH1311" s="145">
        <v>0.28699999999999998</v>
      </c>
      <c r="AI1311" s="145">
        <v>333</v>
      </c>
      <c r="AJ1311" s="145">
        <v>3.6</v>
      </c>
      <c r="AK1311" s="145">
        <v>30</v>
      </c>
      <c r="AL1311" s="145" t="s">
        <v>400</v>
      </c>
      <c r="AM1311" s="145" t="s">
        <v>400</v>
      </c>
    </row>
    <row r="1312" spans="1:39">
      <c r="A1312" s="143" t="s">
        <v>2372</v>
      </c>
      <c r="B1312" s="144">
        <v>100</v>
      </c>
      <c r="C1312" s="145">
        <v>237.65899999999999</v>
      </c>
      <c r="D1312" s="145">
        <v>19.399999999999999</v>
      </c>
      <c r="E1312" s="145">
        <v>17.163</v>
      </c>
      <c r="F1312" s="145">
        <v>4.3209999999999997</v>
      </c>
      <c r="G1312" s="145">
        <v>6.0839999999999996</v>
      </c>
      <c r="H1312" s="145">
        <v>4.46</v>
      </c>
      <c r="I1312" s="145">
        <v>3.8759999999999999</v>
      </c>
      <c r="J1312" s="145">
        <v>0.28199999999999997</v>
      </c>
      <c r="K1312" s="145">
        <v>84</v>
      </c>
      <c r="L1312" s="145">
        <v>0.2</v>
      </c>
      <c r="M1312" s="145" t="s">
        <v>400</v>
      </c>
      <c r="N1312" s="145">
        <v>88</v>
      </c>
      <c r="O1312" s="145">
        <v>5</v>
      </c>
      <c r="P1312" s="145">
        <v>1.6E-2</v>
      </c>
      <c r="Q1312" s="145">
        <v>83</v>
      </c>
      <c r="R1312" s="145">
        <v>0.91100000000000003</v>
      </c>
      <c r="S1312" s="145">
        <v>67</v>
      </c>
      <c r="T1312" s="145">
        <v>31</v>
      </c>
      <c r="U1312" s="145">
        <v>0.10199999999999999</v>
      </c>
      <c r="V1312" s="145">
        <v>0.69</v>
      </c>
      <c r="W1312" s="145">
        <v>30</v>
      </c>
      <c r="X1312" s="145">
        <v>0.06</v>
      </c>
      <c r="Y1312" s="145">
        <v>0.2</v>
      </c>
      <c r="Z1312" s="146">
        <v>0.01</v>
      </c>
      <c r="AA1312" s="145">
        <v>0.4</v>
      </c>
      <c r="AB1312" s="145" t="s">
        <v>400</v>
      </c>
      <c r="AC1312" s="145">
        <v>4</v>
      </c>
      <c r="AD1312" s="145">
        <v>0.47</v>
      </c>
      <c r="AE1312" s="145">
        <v>86</v>
      </c>
      <c r="AF1312" s="145">
        <v>0.14899999999999999</v>
      </c>
      <c r="AG1312" s="145">
        <v>0.48</v>
      </c>
      <c r="AH1312" s="145">
        <v>0.30099999999999999</v>
      </c>
      <c r="AI1312" s="145">
        <v>333</v>
      </c>
      <c r="AJ1312" s="145">
        <v>4.7750000000000004</v>
      </c>
      <c r="AK1312" s="145">
        <v>30</v>
      </c>
      <c r="AL1312" s="145" t="s">
        <v>400</v>
      </c>
      <c r="AM1312" s="145" t="s">
        <v>400</v>
      </c>
    </row>
    <row r="1313" spans="1:39">
      <c r="A1313" s="143" t="s">
        <v>2373</v>
      </c>
      <c r="B1313" s="144">
        <v>100</v>
      </c>
      <c r="C1313" s="145">
        <v>237.65899999999999</v>
      </c>
      <c r="D1313" s="145">
        <v>19.399999999999999</v>
      </c>
      <c r="E1313" s="145">
        <v>17.163</v>
      </c>
      <c r="F1313" s="145">
        <v>4.3209999999999997</v>
      </c>
      <c r="G1313" s="145">
        <v>6.0839999999999996</v>
      </c>
      <c r="H1313" s="145">
        <v>4.46</v>
      </c>
      <c r="I1313" s="145">
        <v>3.8759999999999999</v>
      </c>
      <c r="J1313" s="145">
        <v>0.28199999999999997</v>
      </c>
      <c r="K1313" s="145">
        <v>84</v>
      </c>
      <c r="L1313" s="145">
        <v>0.2</v>
      </c>
      <c r="M1313" s="145" t="s">
        <v>400</v>
      </c>
      <c r="N1313" s="145">
        <v>88</v>
      </c>
      <c r="O1313" s="145">
        <v>5</v>
      </c>
      <c r="P1313" s="145">
        <v>1.6E-2</v>
      </c>
      <c r="Q1313" s="145">
        <v>83</v>
      </c>
      <c r="R1313" s="145">
        <v>0.91100000000000003</v>
      </c>
      <c r="S1313" s="145">
        <v>67</v>
      </c>
      <c r="T1313" s="145">
        <v>31</v>
      </c>
      <c r="U1313" s="145">
        <v>0.10199999999999999</v>
      </c>
      <c r="V1313" s="145">
        <v>0.69</v>
      </c>
      <c r="W1313" s="145">
        <v>30</v>
      </c>
      <c r="X1313" s="145">
        <v>0.06</v>
      </c>
      <c r="Y1313" s="145">
        <v>0.2</v>
      </c>
      <c r="Z1313" s="146">
        <v>0.01</v>
      </c>
      <c r="AA1313" s="145">
        <v>0.4</v>
      </c>
      <c r="AB1313" s="145" t="s">
        <v>400</v>
      </c>
      <c r="AC1313" s="145">
        <v>4</v>
      </c>
      <c r="AD1313" s="145">
        <v>0.47</v>
      </c>
      <c r="AE1313" s="145">
        <v>86</v>
      </c>
      <c r="AF1313" s="145">
        <v>0.14899999999999999</v>
      </c>
      <c r="AG1313" s="145">
        <v>0.48</v>
      </c>
      <c r="AH1313" s="145">
        <v>0.30099999999999999</v>
      </c>
      <c r="AI1313" s="145">
        <v>333</v>
      </c>
      <c r="AJ1313" s="145">
        <v>4.7750000000000004</v>
      </c>
      <c r="AK1313" s="145">
        <v>30</v>
      </c>
      <c r="AL1313" s="145" t="s">
        <v>400</v>
      </c>
      <c r="AM1313" s="145" t="s">
        <v>400</v>
      </c>
    </row>
    <row r="1314" spans="1:39">
      <c r="A1314" s="143" t="s">
        <v>2374</v>
      </c>
      <c r="B1314" s="144">
        <v>100</v>
      </c>
      <c r="C1314" s="145">
        <v>176.8</v>
      </c>
      <c r="D1314" s="145">
        <v>15.784000000000001</v>
      </c>
      <c r="E1314" s="145">
        <v>11.715999999999999</v>
      </c>
      <c r="F1314" s="145">
        <v>3.141</v>
      </c>
      <c r="G1314" s="145">
        <v>4.4050000000000002</v>
      </c>
      <c r="H1314" s="145">
        <v>2.399</v>
      </c>
      <c r="I1314" s="145">
        <v>2.0699999999999998</v>
      </c>
      <c r="J1314" s="145">
        <v>8.6999999999999994E-2</v>
      </c>
      <c r="K1314" s="145">
        <v>67.2</v>
      </c>
      <c r="L1314" s="145">
        <v>1.236</v>
      </c>
      <c r="M1314" s="145">
        <v>0.3</v>
      </c>
      <c r="N1314" s="145">
        <v>73</v>
      </c>
      <c r="O1314" s="145">
        <v>7.2</v>
      </c>
      <c r="P1314" s="145">
        <v>3.4000000000000002E-2</v>
      </c>
      <c r="Q1314" s="145">
        <v>71.599999999999994</v>
      </c>
      <c r="R1314" s="145">
        <v>0.93200000000000005</v>
      </c>
      <c r="S1314" s="145">
        <v>158.4</v>
      </c>
      <c r="T1314" s="145">
        <v>91</v>
      </c>
      <c r="U1314" s="145">
        <v>0.105</v>
      </c>
      <c r="V1314" s="145">
        <v>0.59199999999999997</v>
      </c>
      <c r="W1314" s="145">
        <v>24</v>
      </c>
      <c r="X1314" s="145">
        <v>5.2999999999999999E-2</v>
      </c>
      <c r="Y1314" s="145">
        <v>0.17299999999999999</v>
      </c>
      <c r="Z1314" s="145">
        <v>2.7E-2</v>
      </c>
      <c r="AA1314" s="145">
        <v>0.51500000000000001</v>
      </c>
      <c r="AB1314" s="145">
        <v>1.4</v>
      </c>
      <c r="AC1314" s="145">
        <v>3.4279999999999999</v>
      </c>
      <c r="AD1314" s="145">
        <v>0.376</v>
      </c>
      <c r="AE1314" s="145">
        <v>71</v>
      </c>
      <c r="AF1314" s="145">
        <v>0.11899999999999999</v>
      </c>
      <c r="AG1314" s="145">
        <v>0.5</v>
      </c>
      <c r="AH1314" s="145">
        <v>0.23</v>
      </c>
      <c r="AI1314" s="145">
        <v>333</v>
      </c>
      <c r="AJ1314" s="145">
        <v>2.92</v>
      </c>
      <c r="AK1314" s="145">
        <v>27.483000000000001</v>
      </c>
      <c r="AL1314" s="145">
        <v>0.85</v>
      </c>
      <c r="AM1314" s="145" t="s">
        <v>400</v>
      </c>
    </row>
    <row r="1315" spans="1:39">
      <c r="A1315" s="143" t="s">
        <v>2375</v>
      </c>
      <c r="B1315" s="144">
        <v>100</v>
      </c>
      <c r="C1315" s="145">
        <v>237.65899999999999</v>
      </c>
      <c r="D1315" s="145">
        <v>19.399999999999999</v>
      </c>
      <c r="E1315" s="145">
        <v>17.163</v>
      </c>
      <c r="F1315" s="145">
        <v>4.3209999999999997</v>
      </c>
      <c r="G1315" s="145">
        <v>6.0839999999999996</v>
      </c>
      <c r="H1315" s="145">
        <v>4.46</v>
      </c>
      <c r="I1315" s="145">
        <v>3.8759999999999999</v>
      </c>
      <c r="J1315" s="145">
        <v>0.28199999999999997</v>
      </c>
      <c r="K1315" s="145">
        <v>84</v>
      </c>
      <c r="L1315" s="145">
        <v>0.2</v>
      </c>
      <c r="M1315" s="145" t="s">
        <v>400</v>
      </c>
      <c r="N1315" s="145">
        <v>88</v>
      </c>
      <c r="O1315" s="145">
        <v>5</v>
      </c>
      <c r="P1315" s="145">
        <v>1.6E-2</v>
      </c>
      <c r="Q1315" s="145">
        <v>83</v>
      </c>
      <c r="R1315" s="145">
        <v>0.91100000000000003</v>
      </c>
      <c r="S1315" s="145">
        <v>67</v>
      </c>
      <c r="T1315" s="145">
        <v>31</v>
      </c>
      <c r="U1315" s="145">
        <v>0.10199999999999999</v>
      </c>
      <c r="V1315" s="145">
        <v>0.69</v>
      </c>
      <c r="W1315" s="145">
        <v>30</v>
      </c>
      <c r="X1315" s="145">
        <v>0.06</v>
      </c>
      <c r="Y1315" s="145">
        <v>0.2</v>
      </c>
      <c r="Z1315" s="146">
        <v>0.01</v>
      </c>
      <c r="AA1315" s="145">
        <v>0.4</v>
      </c>
      <c r="AB1315" s="145" t="s">
        <v>400</v>
      </c>
      <c r="AC1315" s="145">
        <v>4</v>
      </c>
      <c r="AD1315" s="145">
        <v>0.47</v>
      </c>
      <c r="AE1315" s="145">
        <v>86</v>
      </c>
      <c r="AF1315" s="145">
        <v>0.14899999999999999</v>
      </c>
      <c r="AG1315" s="145">
        <v>0.48</v>
      </c>
      <c r="AH1315" s="145">
        <v>0.30099999999999999</v>
      </c>
      <c r="AI1315" s="145">
        <v>333</v>
      </c>
      <c r="AJ1315" s="145">
        <v>4.7750000000000004</v>
      </c>
      <c r="AK1315" s="145">
        <v>30</v>
      </c>
      <c r="AL1315" s="145" t="s">
        <v>400</v>
      </c>
      <c r="AM1315" s="145" t="s">
        <v>400</v>
      </c>
    </row>
    <row r="1316" spans="1:39">
      <c r="A1316" s="143" t="s">
        <v>2376</v>
      </c>
      <c r="B1316" s="144">
        <v>100</v>
      </c>
      <c r="C1316" s="145">
        <v>167</v>
      </c>
      <c r="D1316" s="145">
        <v>24.46</v>
      </c>
      <c r="E1316" s="145">
        <v>6.51</v>
      </c>
      <c r="F1316" s="145">
        <v>2.06</v>
      </c>
      <c r="G1316" s="145">
        <v>1.4159999999999999</v>
      </c>
      <c r="H1316" s="145">
        <v>1.988</v>
      </c>
      <c r="I1316" s="145">
        <v>0.71899999999999997</v>
      </c>
      <c r="J1316" s="145" t="s">
        <v>400</v>
      </c>
      <c r="K1316" s="145">
        <v>563</v>
      </c>
      <c r="L1316" s="145">
        <v>0.87</v>
      </c>
      <c r="M1316" s="145" t="s">
        <v>400</v>
      </c>
      <c r="N1316" s="145">
        <v>11</v>
      </c>
      <c r="O1316" s="145">
        <v>25</v>
      </c>
      <c r="P1316" s="145">
        <v>0.35899999999999999</v>
      </c>
      <c r="Q1316" s="145">
        <v>405</v>
      </c>
      <c r="R1316" s="145">
        <v>11.63</v>
      </c>
      <c r="S1316" s="145">
        <v>76</v>
      </c>
      <c r="T1316" s="145">
        <v>263</v>
      </c>
      <c r="U1316" s="145">
        <v>0.496</v>
      </c>
      <c r="V1316" s="145">
        <v>3.98</v>
      </c>
      <c r="W1316" s="145">
        <v>3978</v>
      </c>
      <c r="X1316" s="145">
        <v>0.29099999999999998</v>
      </c>
      <c r="Y1316" s="145">
        <v>1.9930000000000001</v>
      </c>
      <c r="Z1316" s="146">
        <v>0.755</v>
      </c>
      <c r="AA1316" s="145">
        <v>11.045</v>
      </c>
      <c r="AB1316" s="145">
        <v>27.9</v>
      </c>
      <c r="AC1316" s="145">
        <v>15.178000000000001</v>
      </c>
      <c r="AD1316" s="145">
        <v>16.850000000000001</v>
      </c>
      <c r="AE1316" s="145">
        <v>578</v>
      </c>
      <c r="AF1316" s="145">
        <v>0.2</v>
      </c>
      <c r="AG1316" s="145">
        <v>0.82</v>
      </c>
      <c r="AH1316" s="145">
        <v>0.09</v>
      </c>
      <c r="AI1316" s="145">
        <v>333</v>
      </c>
      <c r="AJ1316" s="145">
        <v>82.4</v>
      </c>
      <c r="AK1316" s="145">
        <v>3981.4169999999999</v>
      </c>
      <c r="AL1316" s="145" t="s">
        <v>400</v>
      </c>
      <c r="AM1316" s="145" t="s">
        <v>400</v>
      </c>
    </row>
    <row r="1317" spans="1:39">
      <c r="A1317" s="143" t="s">
        <v>2377</v>
      </c>
      <c r="B1317" s="144">
        <v>100</v>
      </c>
      <c r="C1317" s="145">
        <v>167</v>
      </c>
      <c r="D1317" s="145">
        <v>24.46</v>
      </c>
      <c r="E1317" s="145">
        <v>6.51</v>
      </c>
      <c r="F1317" s="145">
        <v>2.06</v>
      </c>
      <c r="G1317" s="145">
        <v>1.4159999999999999</v>
      </c>
      <c r="H1317" s="145">
        <v>1.988</v>
      </c>
      <c r="I1317" s="145">
        <v>0.71899999999999997</v>
      </c>
      <c r="J1317" s="145" t="s">
        <v>400</v>
      </c>
      <c r="K1317" s="145">
        <v>563</v>
      </c>
      <c r="L1317" s="145">
        <v>0.87</v>
      </c>
      <c r="M1317" s="145" t="s">
        <v>400</v>
      </c>
      <c r="N1317" s="145">
        <v>11</v>
      </c>
      <c r="O1317" s="145">
        <v>25</v>
      </c>
      <c r="P1317" s="145">
        <v>0.35899999999999999</v>
      </c>
      <c r="Q1317" s="145">
        <v>405</v>
      </c>
      <c r="R1317" s="145">
        <v>11.63</v>
      </c>
      <c r="S1317" s="145">
        <v>76</v>
      </c>
      <c r="T1317" s="145">
        <v>263</v>
      </c>
      <c r="U1317" s="145">
        <v>0.496</v>
      </c>
      <c r="V1317" s="145">
        <v>3.98</v>
      </c>
      <c r="W1317" s="145">
        <v>3978</v>
      </c>
      <c r="X1317" s="145">
        <v>0.29099999999999998</v>
      </c>
      <c r="Y1317" s="145">
        <v>1.9930000000000001</v>
      </c>
      <c r="Z1317" s="146">
        <v>0.755</v>
      </c>
      <c r="AA1317" s="145">
        <v>11.045</v>
      </c>
      <c r="AB1317" s="145">
        <v>27.9</v>
      </c>
      <c r="AC1317" s="145">
        <v>15.178000000000001</v>
      </c>
      <c r="AD1317" s="145">
        <v>16.850000000000001</v>
      </c>
      <c r="AE1317" s="145">
        <v>578</v>
      </c>
      <c r="AF1317" s="145">
        <v>0.2</v>
      </c>
      <c r="AG1317" s="145">
        <v>0.82</v>
      </c>
      <c r="AH1317" s="145">
        <v>0.09</v>
      </c>
      <c r="AI1317" s="145">
        <v>333</v>
      </c>
      <c r="AJ1317" s="145">
        <v>82.4</v>
      </c>
      <c r="AK1317" s="145">
        <v>3981.4169999999999</v>
      </c>
      <c r="AL1317" s="145" t="s">
        <v>400</v>
      </c>
      <c r="AM1317" s="145" t="s">
        <v>400</v>
      </c>
    </row>
    <row r="1318" spans="1:39">
      <c r="A1318" s="143" t="s">
        <v>2378</v>
      </c>
      <c r="B1318" s="144">
        <v>100</v>
      </c>
      <c r="C1318" s="145">
        <v>189.65899999999999</v>
      </c>
      <c r="D1318" s="145">
        <v>24.46</v>
      </c>
      <c r="E1318" s="145">
        <v>9.0730000000000004</v>
      </c>
      <c r="F1318" s="145">
        <v>2.4609999999999999</v>
      </c>
      <c r="G1318" s="145">
        <v>2</v>
      </c>
      <c r="H1318" s="145">
        <v>3.468</v>
      </c>
      <c r="I1318" s="145">
        <v>2.0249999999999999</v>
      </c>
      <c r="J1318" s="145">
        <v>0.17399999999999999</v>
      </c>
      <c r="K1318" s="145">
        <v>563</v>
      </c>
      <c r="L1318" s="145">
        <v>0.87</v>
      </c>
      <c r="M1318" s="145" t="s">
        <v>400</v>
      </c>
      <c r="N1318" s="145">
        <v>11</v>
      </c>
      <c r="O1318" s="145">
        <v>25</v>
      </c>
      <c r="P1318" s="145">
        <v>0.35899999999999999</v>
      </c>
      <c r="Q1318" s="145">
        <v>405</v>
      </c>
      <c r="R1318" s="145">
        <v>11.631</v>
      </c>
      <c r="S1318" s="145">
        <v>76</v>
      </c>
      <c r="T1318" s="145">
        <v>263</v>
      </c>
      <c r="U1318" s="145">
        <v>0.496</v>
      </c>
      <c r="V1318" s="145">
        <v>3.98</v>
      </c>
      <c r="W1318" s="145">
        <v>3978</v>
      </c>
      <c r="X1318" s="145">
        <v>0.29099999999999998</v>
      </c>
      <c r="Y1318" s="145">
        <v>1.9930000000000001</v>
      </c>
      <c r="Z1318" s="146">
        <v>0.755</v>
      </c>
      <c r="AA1318" s="145">
        <v>11.045</v>
      </c>
      <c r="AB1318" s="145">
        <v>27.9</v>
      </c>
      <c r="AC1318" s="145">
        <v>15.178000000000001</v>
      </c>
      <c r="AD1318" s="145">
        <v>16.850000000000001</v>
      </c>
      <c r="AE1318" s="145">
        <v>578</v>
      </c>
      <c r="AF1318" s="145">
        <v>0.2</v>
      </c>
      <c r="AG1318" s="145">
        <v>1.03</v>
      </c>
      <c r="AH1318" s="145">
        <v>0.104</v>
      </c>
      <c r="AI1318" s="145">
        <v>333</v>
      </c>
      <c r="AJ1318" s="145">
        <v>83.575000000000003</v>
      </c>
      <c r="AK1318" s="145">
        <v>3981.4169999999999</v>
      </c>
      <c r="AL1318" s="145" t="s">
        <v>400</v>
      </c>
      <c r="AM1318" s="145" t="s">
        <v>400</v>
      </c>
    </row>
    <row r="1319" spans="1:39">
      <c r="A1319" s="143" t="s">
        <v>2379</v>
      </c>
      <c r="B1319" s="144">
        <v>100</v>
      </c>
      <c r="C1319" s="145">
        <v>138.4</v>
      </c>
      <c r="D1319" s="145">
        <v>19.832000000000001</v>
      </c>
      <c r="E1319" s="145">
        <v>5.2439999999999998</v>
      </c>
      <c r="F1319" s="145">
        <v>1.653</v>
      </c>
      <c r="G1319" s="145">
        <v>1.1379999999999999</v>
      </c>
      <c r="H1319" s="145">
        <v>1.605</v>
      </c>
      <c r="I1319" s="145">
        <v>0.58899999999999997</v>
      </c>
      <c r="J1319" s="145">
        <v>1E-3</v>
      </c>
      <c r="K1319" s="145">
        <v>450.4</v>
      </c>
      <c r="L1319" s="145">
        <v>1.772</v>
      </c>
      <c r="M1319" s="145">
        <v>0.3</v>
      </c>
      <c r="N1319" s="145">
        <v>11.4</v>
      </c>
      <c r="O1319" s="145">
        <v>23.2</v>
      </c>
      <c r="P1319" s="145">
        <v>0.309</v>
      </c>
      <c r="Q1319" s="145">
        <v>329.2</v>
      </c>
      <c r="R1319" s="145">
        <v>9.5079999999999991</v>
      </c>
      <c r="S1319" s="145">
        <v>165.6</v>
      </c>
      <c r="T1319" s="145">
        <v>276.60000000000002</v>
      </c>
      <c r="U1319" s="145">
        <v>0.42</v>
      </c>
      <c r="V1319" s="145">
        <v>3.2240000000000002</v>
      </c>
      <c r="W1319" s="145">
        <v>3182.4</v>
      </c>
      <c r="X1319" s="145">
        <v>0.23799999999999999</v>
      </c>
      <c r="Y1319" s="145">
        <v>1.6080000000000001</v>
      </c>
      <c r="Z1319" s="145">
        <v>0.623</v>
      </c>
      <c r="AA1319" s="145">
        <v>9.0310000000000006</v>
      </c>
      <c r="AB1319" s="145">
        <v>23.72</v>
      </c>
      <c r="AC1319" s="145">
        <v>12.371</v>
      </c>
      <c r="AD1319" s="145">
        <v>13.48</v>
      </c>
      <c r="AE1319" s="145">
        <v>464.6</v>
      </c>
      <c r="AF1319" s="145">
        <v>0.16</v>
      </c>
      <c r="AG1319" s="145">
        <v>0.94</v>
      </c>
      <c r="AH1319" s="145">
        <v>7.1999999999999995E-2</v>
      </c>
      <c r="AI1319" s="145">
        <v>333</v>
      </c>
      <c r="AJ1319" s="145">
        <v>65.959999999999994</v>
      </c>
      <c r="AK1319" s="145">
        <v>3188.6170000000002</v>
      </c>
      <c r="AL1319" s="145">
        <v>0.85</v>
      </c>
      <c r="AM1319" s="145" t="s">
        <v>400</v>
      </c>
    </row>
    <row r="1320" spans="1:39">
      <c r="A1320" s="143" t="s">
        <v>2380</v>
      </c>
      <c r="B1320" s="144">
        <v>100</v>
      </c>
      <c r="C1320" s="145">
        <v>31.471</v>
      </c>
      <c r="D1320" s="145">
        <v>1.6120000000000001</v>
      </c>
      <c r="E1320" s="145">
        <v>1.0640000000000001</v>
      </c>
      <c r="F1320" s="145">
        <v>0.309</v>
      </c>
      <c r="G1320" s="145">
        <v>0.44700000000000001</v>
      </c>
      <c r="H1320" s="145">
        <v>0.22800000000000001</v>
      </c>
      <c r="I1320" s="145">
        <v>0.20599999999999999</v>
      </c>
      <c r="J1320" s="145">
        <v>1.2999999999999999E-2</v>
      </c>
      <c r="K1320" s="145">
        <v>3.194</v>
      </c>
      <c r="L1320" s="145">
        <v>3.637</v>
      </c>
      <c r="M1320" s="145">
        <v>0.128</v>
      </c>
      <c r="N1320" s="145">
        <v>5.22</v>
      </c>
      <c r="O1320" s="145">
        <v>3.2549999999999999</v>
      </c>
      <c r="P1320" s="145">
        <v>8.3000000000000004E-2</v>
      </c>
      <c r="Q1320" s="145">
        <v>18.477</v>
      </c>
      <c r="R1320" s="145">
        <v>0.23699999999999999</v>
      </c>
      <c r="S1320" s="145">
        <v>343.654</v>
      </c>
      <c r="T1320" s="145">
        <v>37.023000000000003</v>
      </c>
      <c r="U1320" s="145">
        <v>2.7E-2</v>
      </c>
      <c r="V1320" s="145">
        <v>0.153</v>
      </c>
      <c r="W1320" s="145">
        <v>0.46899999999999997</v>
      </c>
      <c r="X1320" s="145">
        <v>2.4E-2</v>
      </c>
      <c r="Y1320" s="145">
        <v>1.4E-2</v>
      </c>
      <c r="Z1320" s="146">
        <v>3.1E-2</v>
      </c>
      <c r="AA1320" s="145">
        <v>0.75</v>
      </c>
      <c r="AB1320" s="145">
        <v>0.105</v>
      </c>
      <c r="AC1320" s="145">
        <v>1.016</v>
      </c>
      <c r="AD1320" s="145">
        <v>3.1E-2</v>
      </c>
      <c r="AE1320" s="145">
        <v>6.0449999999999999</v>
      </c>
      <c r="AF1320" s="145">
        <v>1.2E-2</v>
      </c>
      <c r="AG1320" s="145">
        <v>6.6000000000000003E-2</v>
      </c>
      <c r="AH1320" s="145">
        <v>1.7000000000000001E-2</v>
      </c>
      <c r="AI1320" s="145" t="s">
        <v>400</v>
      </c>
      <c r="AJ1320" s="145">
        <v>1.55</v>
      </c>
      <c r="AK1320" s="145">
        <v>25.419</v>
      </c>
      <c r="AL1320" s="145">
        <v>0.105</v>
      </c>
      <c r="AM1320" s="145" t="s">
        <v>400</v>
      </c>
    </row>
    <row r="1321" spans="1:39">
      <c r="A1321" s="143" t="s">
        <v>2381</v>
      </c>
      <c r="B1321" s="144">
        <v>100</v>
      </c>
      <c r="C1321" s="145">
        <v>146</v>
      </c>
      <c r="D1321" s="145">
        <v>30.39</v>
      </c>
      <c r="E1321" s="145">
        <v>2.68</v>
      </c>
      <c r="F1321" s="145">
        <v>0.67</v>
      </c>
      <c r="G1321" s="145">
        <v>0.52800000000000002</v>
      </c>
      <c r="H1321" s="145">
        <v>0.35299999999999998</v>
      </c>
      <c r="I1321" s="145">
        <v>0.223</v>
      </c>
      <c r="J1321" s="145">
        <v>7.0000000000000001E-3</v>
      </c>
      <c r="K1321" s="145">
        <v>370</v>
      </c>
      <c r="L1321" s="145" t="s">
        <v>400</v>
      </c>
      <c r="M1321" s="145" t="s">
        <v>400</v>
      </c>
      <c r="N1321" s="145">
        <v>17</v>
      </c>
      <c r="O1321" s="145">
        <v>3</v>
      </c>
      <c r="P1321" s="145">
        <v>7.3999999999999996E-2</v>
      </c>
      <c r="Q1321" s="145">
        <v>189</v>
      </c>
      <c r="R1321" s="145">
        <v>3.19</v>
      </c>
      <c r="S1321" s="145">
        <v>56</v>
      </c>
      <c r="T1321" s="145">
        <v>179</v>
      </c>
      <c r="U1321" s="145">
        <v>0.161</v>
      </c>
      <c r="V1321" s="145">
        <v>4.42</v>
      </c>
      <c r="W1321" s="145" t="s">
        <v>400</v>
      </c>
      <c r="X1321" s="145">
        <v>2.5999999999999999E-2</v>
      </c>
      <c r="Y1321" s="145">
        <v>0.21</v>
      </c>
      <c r="Z1321" s="146">
        <v>7.0999999999999994E-2</v>
      </c>
      <c r="AA1321" s="145">
        <v>3.12</v>
      </c>
      <c r="AB1321" s="145" t="s">
        <v>400</v>
      </c>
      <c r="AC1321" s="145">
        <v>8.8699999999999992</v>
      </c>
      <c r="AD1321" s="145">
        <v>1.04</v>
      </c>
      <c r="AE1321" s="145">
        <v>5</v>
      </c>
      <c r="AF1321" s="145">
        <v>0.2</v>
      </c>
      <c r="AG1321" s="145">
        <v>0.2</v>
      </c>
      <c r="AH1321" s="145">
        <v>0.13</v>
      </c>
      <c r="AI1321" s="145">
        <v>333</v>
      </c>
      <c r="AJ1321" s="145">
        <v>41.1</v>
      </c>
      <c r="AK1321" s="145" t="s">
        <v>400</v>
      </c>
      <c r="AL1321" s="145" t="s">
        <v>400</v>
      </c>
      <c r="AM1321" s="145" t="s">
        <v>400</v>
      </c>
    </row>
    <row r="1322" spans="1:39">
      <c r="A1322" s="143" t="s">
        <v>2382</v>
      </c>
      <c r="B1322" s="144">
        <v>100</v>
      </c>
      <c r="C1322" s="145">
        <v>146</v>
      </c>
      <c r="D1322" s="145">
        <v>30.39</v>
      </c>
      <c r="E1322" s="145">
        <v>2.68</v>
      </c>
      <c r="F1322" s="145">
        <v>0.67</v>
      </c>
      <c r="G1322" s="145">
        <v>0.52800000000000002</v>
      </c>
      <c r="H1322" s="145">
        <v>0.35299999999999998</v>
      </c>
      <c r="I1322" s="145">
        <v>0.223</v>
      </c>
      <c r="J1322" s="145">
        <v>7.0000000000000001E-3</v>
      </c>
      <c r="K1322" s="145">
        <v>370</v>
      </c>
      <c r="L1322" s="145" t="s">
        <v>400</v>
      </c>
      <c r="M1322" s="145" t="s">
        <v>400</v>
      </c>
      <c r="N1322" s="145">
        <v>17</v>
      </c>
      <c r="O1322" s="145">
        <v>3</v>
      </c>
      <c r="P1322" s="145">
        <v>7.3999999999999996E-2</v>
      </c>
      <c r="Q1322" s="145">
        <v>189</v>
      </c>
      <c r="R1322" s="145">
        <v>3.19</v>
      </c>
      <c r="S1322" s="145">
        <v>56</v>
      </c>
      <c r="T1322" s="145">
        <v>179</v>
      </c>
      <c r="U1322" s="145">
        <v>0.161</v>
      </c>
      <c r="V1322" s="145">
        <v>4.42</v>
      </c>
      <c r="W1322" s="145" t="s">
        <v>400</v>
      </c>
      <c r="X1322" s="145">
        <v>2.5999999999999999E-2</v>
      </c>
      <c r="Y1322" s="145">
        <v>0.21</v>
      </c>
      <c r="Z1322" s="146">
        <v>7.0999999999999994E-2</v>
      </c>
      <c r="AA1322" s="145">
        <v>3.12</v>
      </c>
      <c r="AB1322" s="145" t="s">
        <v>400</v>
      </c>
      <c r="AC1322" s="145">
        <v>8.8699999999999992</v>
      </c>
      <c r="AD1322" s="145">
        <v>1.04</v>
      </c>
      <c r="AE1322" s="145">
        <v>5</v>
      </c>
      <c r="AF1322" s="145">
        <v>0.2</v>
      </c>
      <c r="AG1322" s="145">
        <v>0.2</v>
      </c>
      <c r="AH1322" s="145">
        <v>0.13</v>
      </c>
      <c r="AI1322" s="145">
        <v>333</v>
      </c>
      <c r="AJ1322" s="145">
        <v>41.1</v>
      </c>
      <c r="AK1322" s="145" t="s">
        <v>400</v>
      </c>
      <c r="AL1322" s="145" t="s">
        <v>400</v>
      </c>
      <c r="AM1322" s="145" t="s">
        <v>400</v>
      </c>
    </row>
    <row r="1323" spans="1:39">
      <c r="A1323" s="143" t="s">
        <v>2383</v>
      </c>
      <c r="B1323" s="144">
        <v>100</v>
      </c>
      <c r="C1323" s="145">
        <v>168.65899999999999</v>
      </c>
      <c r="D1323" s="145">
        <v>30.39</v>
      </c>
      <c r="E1323" s="145">
        <v>5.2430000000000003</v>
      </c>
      <c r="F1323" s="145">
        <v>1.071</v>
      </c>
      <c r="G1323" s="145">
        <v>1.1120000000000001</v>
      </c>
      <c r="H1323" s="145">
        <v>1.833</v>
      </c>
      <c r="I1323" s="145">
        <v>1.5289999999999999</v>
      </c>
      <c r="J1323" s="145">
        <v>0.18099999999999999</v>
      </c>
      <c r="K1323" s="145">
        <v>370</v>
      </c>
      <c r="L1323" s="145" t="s">
        <v>400</v>
      </c>
      <c r="M1323" s="145" t="s">
        <v>400</v>
      </c>
      <c r="N1323" s="145">
        <v>17</v>
      </c>
      <c r="O1323" s="145">
        <v>3</v>
      </c>
      <c r="P1323" s="145">
        <v>7.3999999999999996E-2</v>
      </c>
      <c r="Q1323" s="145">
        <v>189</v>
      </c>
      <c r="R1323" s="145">
        <v>3.1909999999999998</v>
      </c>
      <c r="S1323" s="145">
        <v>56</v>
      </c>
      <c r="T1323" s="145">
        <v>179</v>
      </c>
      <c r="U1323" s="145">
        <v>0.161</v>
      </c>
      <c r="V1323" s="145">
        <v>4.42</v>
      </c>
      <c r="W1323" s="145" t="s">
        <v>400</v>
      </c>
      <c r="X1323" s="145">
        <v>2.5999999999999999E-2</v>
      </c>
      <c r="Y1323" s="145">
        <v>0.21</v>
      </c>
      <c r="Z1323" s="146">
        <v>7.0999999999999994E-2</v>
      </c>
      <c r="AA1323" s="145">
        <v>3.12</v>
      </c>
      <c r="AB1323" s="145" t="s">
        <v>400</v>
      </c>
      <c r="AC1323" s="145">
        <v>8.8699999999999992</v>
      </c>
      <c r="AD1323" s="145">
        <v>1.04</v>
      </c>
      <c r="AE1323" s="145">
        <v>5</v>
      </c>
      <c r="AF1323" s="145">
        <v>0.2</v>
      </c>
      <c r="AG1323" s="145">
        <v>0.41</v>
      </c>
      <c r="AH1323" s="145">
        <v>0.14399999999999999</v>
      </c>
      <c r="AI1323" s="145">
        <v>333</v>
      </c>
      <c r="AJ1323" s="145">
        <v>42.274999999999999</v>
      </c>
      <c r="AK1323" s="145" t="s">
        <v>400</v>
      </c>
      <c r="AL1323" s="145" t="s">
        <v>400</v>
      </c>
      <c r="AM1323" s="145" t="s">
        <v>400</v>
      </c>
    </row>
    <row r="1324" spans="1:39">
      <c r="A1324" s="143" t="s">
        <v>2384</v>
      </c>
      <c r="B1324" s="144">
        <v>100</v>
      </c>
      <c r="C1324" s="145">
        <v>168.65899999999999</v>
      </c>
      <c r="D1324" s="145">
        <v>30.39</v>
      </c>
      <c r="E1324" s="145">
        <v>5.2430000000000003</v>
      </c>
      <c r="F1324" s="145">
        <v>1.071</v>
      </c>
      <c r="G1324" s="145">
        <v>1.1120000000000001</v>
      </c>
      <c r="H1324" s="145">
        <v>1.833</v>
      </c>
      <c r="I1324" s="145">
        <v>1.5289999999999999</v>
      </c>
      <c r="J1324" s="145">
        <v>0.18099999999999999</v>
      </c>
      <c r="K1324" s="145">
        <v>370</v>
      </c>
      <c r="L1324" s="145" t="s">
        <v>400</v>
      </c>
      <c r="M1324" s="145" t="s">
        <v>400</v>
      </c>
      <c r="N1324" s="145">
        <v>17</v>
      </c>
      <c r="O1324" s="145">
        <v>3</v>
      </c>
      <c r="P1324" s="145">
        <v>7.3999999999999996E-2</v>
      </c>
      <c r="Q1324" s="145">
        <v>189</v>
      </c>
      <c r="R1324" s="145">
        <v>3.1909999999999998</v>
      </c>
      <c r="S1324" s="145">
        <v>56</v>
      </c>
      <c r="T1324" s="145">
        <v>179</v>
      </c>
      <c r="U1324" s="145">
        <v>0.161</v>
      </c>
      <c r="V1324" s="145">
        <v>4.42</v>
      </c>
      <c r="W1324" s="145" t="s">
        <v>400</v>
      </c>
      <c r="X1324" s="145">
        <v>2.5999999999999999E-2</v>
      </c>
      <c r="Y1324" s="145">
        <v>0.21</v>
      </c>
      <c r="Z1324" s="146">
        <v>7.0999999999999994E-2</v>
      </c>
      <c r="AA1324" s="145">
        <v>3.12</v>
      </c>
      <c r="AB1324" s="145" t="s">
        <v>400</v>
      </c>
      <c r="AC1324" s="145">
        <v>8.8699999999999992</v>
      </c>
      <c r="AD1324" s="145">
        <v>1.04</v>
      </c>
      <c r="AE1324" s="145">
        <v>5</v>
      </c>
      <c r="AF1324" s="145">
        <v>0.2</v>
      </c>
      <c r="AG1324" s="145">
        <v>0.41</v>
      </c>
      <c r="AH1324" s="145">
        <v>0.14399999999999999</v>
      </c>
      <c r="AI1324" s="145">
        <v>333</v>
      </c>
      <c r="AJ1324" s="145">
        <v>42.274999999999999</v>
      </c>
      <c r="AK1324" s="145" t="s">
        <v>400</v>
      </c>
      <c r="AL1324" s="145" t="s">
        <v>400</v>
      </c>
      <c r="AM1324" s="145" t="s">
        <v>400</v>
      </c>
    </row>
    <row r="1325" spans="1:39">
      <c r="A1325" s="143" t="s">
        <v>2385</v>
      </c>
      <c r="B1325" s="144">
        <v>100</v>
      </c>
      <c r="C1325" s="145">
        <v>121.6</v>
      </c>
      <c r="D1325" s="145">
        <v>24.576000000000001</v>
      </c>
      <c r="E1325" s="145">
        <v>2.1800000000000002</v>
      </c>
      <c r="F1325" s="145">
        <v>0.54100000000000004</v>
      </c>
      <c r="G1325" s="145">
        <v>0.42799999999999999</v>
      </c>
      <c r="H1325" s="145">
        <v>0.29699999999999999</v>
      </c>
      <c r="I1325" s="145">
        <v>0.192</v>
      </c>
      <c r="J1325" s="145">
        <v>6.0000000000000001E-3</v>
      </c>
      <c r="K1325" s="145">
        <v>296</v>
      </c>
      <c r="L1325" s="145">
        <v>1.0760000000000001</v>
      </c>
      <c r="M1325" s="145">
        <v>0.3</v>
      </c>
      <c r="N1325" s="145">
        <v>16.2</v>
      </c>
      <c r="O1325" s="145">
        <v>5.6</v>
      </c>
      <c r="P1325" s="145">
        <v>8.1000000000000003E-2</v>
      </c>
      <c r="Q1325" s="145">
        <v>156.4</v>
      </c>
      <c r="R1325" s="145">
        <v>2.7559999999999998</v>
      </c>
      <c r="S1325" s="145">
        <v>149.6</v>
      </c>
      <c r="T1325" s="145">
        <v>209.4</v>
      </c>
      <c r="U1325" s="145">
        <v>0.152</v>
      </c>
      <c r="V1325" s="145">
        <v>3.5760000000000001</v>
      </c>
      <c r="W1325" s="145" t="s">
        <v>400</v>
      </c>
      <c r="X1325" s="145">
        <v>2.5999999999999999E-2</v>
      </c>
      <c r="Y1325" s="145">
        <v>0.18099999999999999</v>
      </c>
      <c r="Z1325" s="145">
        <v>7.5999999999999998E-2</v>
      </c>
      <c r="AA1325" s="145">
        <v>2.6909999999999998</v>
      </c>
      <c r="AB1325" s="145">
        <v>1.4</v>
      </c>
      <c r="AC1325" s="145">
        <v>7.3239999999999998</v>
      </c>
      <c r="AD1325" s="145">
        <v>0.83199999999999996</v>
      </c>
      <c r="AE1325" s="145">
        <v>6.2</v>
      </c>
      <c r="AF1325" s="145">
        <v>0.16</v>
      </c>
      <c r="AG1325" s="145">
        <v>0.44400000000000001</v>
      </c>
      <c r="AH1325" s="145">
        <v>0.104</v>
      </c>
      <c r="AI1325" s="145">
        <v>333</v>
      </c>
      <c r="AJ1325" s="145">
        <v>32.92</v>
      </c>
      <c r="AK1325" s="145">
        <v>3.4830000000000001</v>
      </c>
      <c r="AL1325" s="145">
        <v>0.85</v>
      </c>
      <c r="AM1325" s="145" t="s">
        <v>400</v>
      </c>
    </row>
    <row r="1326" spans="1:39">
      <c r="A1326" s="143" t="s">
        <v>2386</v>
      </c>
      <c r="B1326" s="144">
        <v>100</v>
      </c>
      <c r="C1326" s="145">
        <v>149.38999999999999</v>
      </c>
      <c r="D1326" s="145">
        <v>25.091000000000001</v>
      </c>
      <c r="E1326" s="145">
        <v>4.633</v>
      </c>
      <c r="F1326" s="145">
        <v>2.0680000000000001</v>
      </c>
      <c r="G1326" s="145">
        <v>1.0589999999999999</v>
      </c>
      <c r="H1326" s="145">
        <v>0.39500000000000002</v>
      </c>
      <c r="I1326" s="145">
        <v>0.26900000000000002</v>
      </c>
      <c r="J1326" s="145">
        <v>2.8000000000000001E-2</v>
      </c>
      <c r="K1326" s="145">
        <v>302.83300000000003</v>
      </c>
      <c r="L1326" s="145">
        <v>1.851</v>
      </c>
      <c r="M1326" s="145">
        <v>4.2999999999999997E-2</v>
      </c>
      <c r="N1326" s="145">
        <v>36.478999999999999</v>
      </c>
      <c r="O1326" s="145">
        <v>4.7119999999999997</v>
      </c>
      <c r="P1326" s="145">
        <v>6.9000000000000006E-2</v>
      </c>
      <c r="Q1326" s="145">
        <v>170.893</v>
      </c>
      <c r="R1326" s="145">
        <v>2.6219999999999999</v>
      </c>
      <c r="S1326" s="145">
        <v>65.716999999999999</v>
      </c>
      <c r="T1326" s="145">
        <v>173.25399999999999</v>
      </c>
      <c r="U1326" s="145">
        <v>0.13300000000000001</v>
      </c>
      <c r="V1326" s="145">
        <v>3.625</v>
      </c>
      <c r="W1326" s="145">
        <v>20.696999999999999</v>
      </c>
      <c r="X1326" s="145">
        <v>3.9E-2</v>
      </c>
      <c r="Y1326" s="145">
        <v>0.21099999999999999</v>
      </c>
      <c r="Z1326" s="145">
        <v>6.5000000000000002E-2</v>
      </c>
      <c r="AA1326" s="145">
        <v>2.5920000000000001</v>
      </c>
      <c r="AB1326" s="145">
        <v>4.0000000000000001E-3</v>
      </c>
      <c r="AC1326" s="145">
        <v>7.4669999999999996</v>
      </c>
      <c r="AD1326" s="145">
        <v>0.92200000000000004</v>
      </c>
      <c r="AE1326" s="145">
        <v>7.5960000000000001</v>
      </c>
      <c r="AF1326" s="145">
        <v>0.38700000000000001</v>
      </c>
      <c r="AG1326" s="145">
        <v>0.22500000000000001</v>
      </c>
      <c r="AH1326" s="145">
        <v>0.20100000000000001</v>
      </c>
      <c r="AI1326" s="145">
        <v>333</v>
      </c>
      <c r="AJ1326" s="145">
        <v>34.048999999999999</v>
      </c>
      <c r="AK1326" s="145">
        <v>21.081</v>
      </c>
      <c r="AL1326" s="145">
        <v>1.0329999999999999</v>
      </c>
      <c r="AM1326" s="145" t="s">
        <v>400</v>
      </c>
    </row>
    <row r="1327" spans="1:39">
      <c r="A1327" s="143" t="s">
        <v>2387</v>
      </c>
      <c r="B1327" s="144">
        <v>100</v>
      </c>
      <c r="C1327" s="145">
        <v>168.65899999999999</v>
      </c>
      <c r="D1327" s="145">
        <v>30.39</v>
      </c>
      <c r="E1327" s="145">
        <v>5.2430000000000003</v>
      </c>
      <c r="F1327" s="145">
        <v>1.071</v>
      </c>
      <c r="G1327" s="145">
        <v>1.1120000000000001</v>
      </c>
      <c r="H1327" s="145">
        <v>1.833</v>
      </c>
      <c r="I1327" s="145">
        <v>1.5289999999999999</v>
      </c>
      <c r="J1327" s="145">
        <v>0.18099999999999999</v>
      </c>
      <c r="K1327" s="145">
        <v>370</v>
      </c>
      <c r="L1327" s="145" t="s">
        <v>400</v>
      </c>
      <c r="M1327" s="145" t="s">
        <v>400</v>
      </c>
      <c r="N1327" s="145">
        <v>17</v>
      </c>
      <c r="O1327" s="145">
        <v>3</v>
      </c>
      <c r="P1327" s="145">
        <v>7.3999999999999996E-2</v>
      </c>
      <c r="Q1327" s="145">
        <v>189</v>
      </c>
      <c r="R1327" s="145">
        <v>3.1909999999999998</v>
      </c>
      <c r="S1327" s="145">
        <v>56</v>
      </c>
      <c r="T1327" s="145">
        <v>179</v>
      </c>
      <c r="U1327" s="145">
        <v>0.161</v>
      </c>
      <c r="V1327" s="145">
        <v>4.42</v>
      </c>
      <c r="W1327" s="145" t="s">
        <v>400</v>
      </c>
      <c r="X1327" s="145">
        <v>2.5999999999999999E-2</v>
      </c>
      <c r="Y1327" s="145">
        <v>0.21</v>
      </c>
      <c r="Z1327" s="146">
        <v>7.0999999999999994E-2</v>
      </c>
      <c r="AA1327" s="145">
        <v>3.12</v>
      </c>
      <c r="AB1327" s="145" t="s">
        <v>400</v>
      </c>
      <c r="AC1327" s="145">
        <v>8.8699999999999992</v>
      </c>
      <c r="AD1327" s="145">
        <v>1.04</v>
      </c>
      <c r="AE1327" s="145">
        <v>5</v>
      </c>
      <c r="AF1327" s="145">
        <v>0.2</v>
      </c>
      <c r="AG1327" s="145">
        <v>0.41</v>
      </c>
      <c r="AH1327" s="145">
        <v>0.14399999999999999</v>
      </c>
      <c r="AI1327" s="145">
        <v>333</v>
      </c>
      <c r="AJ1327" s="145">
        <v>42.274999999999999</v>
      </c>
      <c r="AK1327" s="145" t="s">
        <v>400</v>
      </c>
      <c r="AL1327" s="145" t="s">
        <v>400</v>
      </c>
      <c r="AM1327" s="145" t="s">
        <v>400</v>
      </c>
    </row>
    <row r="1328" spans="1:39">
      <c r="A1328" s="143" t="s">
        <v>2388</v>
      </c>
      <c r="B1328" s="144">
        <v>100</v>
      </c>
      <c r="C1328" s="145">
        <v>31.471</v>
      </c>
      <c r="D1328" s="145">
        <v>1.6120000000000001</v>
      </c>
      <c r="E1328" s="145">
        <v>1.0640000000000001</v>
      </c>
      <c r="F1328" s="145">
        <v>0.309</v>
      </c>
      <c r="G1328" s="145">
        <v>0.44700000000000001</v>
      </c>
      <c r="H1328" s="145">
        <v>0.22800000000000001</v>
      </c>
      <c r="I1328" s="145">
        <v>0.20599999999999999</v>
      </c>
      <c r="J1328" s="145">
        <v>1.2999999999999999E-2</v>
      </c>
      <c r="K1328" s="145">
        <v>3.194</v>
      </c>
      <c r="L1328" s="145">
        <v>3.637</v>
      </c>
      <c r="M1328" s="145">
        <v>0.128</v>
      </c>
      <c r="N1328" s="145">
        <v>5.22</v>
      </c>
      <c r="O1328" s="145">
        <v>3.2549999999999999</v>
      </c>
      <c r="P1328" s="145">
        <v>8.3000000000000004E-2</v>
      </c>
      <c r="Q1328" s="145">
        <v>18.477</v>
      </c>
      <c r="R1328" s="145">
        <v>0.23699999999999999</v>
      </c>
      <c r="S1328" s="145">
        <v>343.654</v>
      </c>
      <c r="T1328" s="145">
        <v>37.023000000000003</v>
      </c>
      <c r="U1328" s="145">
        <v>2.7E-2</v>
      </c>
      <c r="V1328" s="145">
        <v>0.153</v>
      </c>
      <c r="W1328" s="145">
        <v>0.46899999999999997</v>
      </c>
      <c r="X1328" s="145">
        <v>2.4E-2</v>
      </c>
      <c r="Y1328" s="145">
        <v>1.4E-2</v>
      </c>
      <c r="Z1328" s="146">
        <v>3.1E-2</v>
      </c>
      <c r="AA1328" s="145">
        <v>0.75</v>
      </c>
      <c r="AB1328" s="145">
        <v>0.105</v>
      </c>
      <c r="AC1328" s="145">
        <v>1.016</v>
      </c>
      <c r="AD1328" s="145">
        <v>3.1E-2</v>
      </c>
      <c r="AE1328" s="145">
        <v>6.0449999999999999</v>
      </c>
      <c r="AF1328" s="145">
        <v>1.2E-2</v>
      </c>
      <c r="AG1328" s="145">
        <v>6.6000000000000003E-2</v>
      </c>
      <c r="AH1328" s="145">
        <v>1.7000000000000001E-2</v>
      </c>
      <c r="AI1328" s="145" t="s">
        <v>400</v>
      </c>
      <c r="AJ1328" s="145">
        <v>1.55</v>
      </c>
      <c r="AK1328" s="145">
        <v>25.419</v>
      </c>
      <c r="AL1328" s="145">
        <v>0.105</v>
      </c>
      <c r="AM1328" s="145" t="s">
        <v>400</v>
      </c>
    </row>
    <row r="1329" spans="1:39">
      <c r="A1329" s="143" t="s">
        <v>2389</v>
      </c>
      <c r="B1329" s="144">
        <v>100</v>
      </c>
      <c r="C1329" s="145">
        <v>185</v>
      </c>
      <c r="D1329" s="145">
        <v>26.41</v>
      </c>
      <c r="E1329" s="145">
        <v>7.92</v>
      </c>
      <c r="F1329" s="145">
        <v>2.2599999999999998</v>
      </c>
      <c r="G1329" s="145">
        <v>2.0099999999999998</v>
      </c>
      <c r="H1329" s="145">
        <v>2.2999999999999998</v>
      </c>
      <c r="I1329" s="145">
        <v>1.62</v>
      </c>
      <c r="J1329" s="145">
        <v>0.06</v>
      </c>
      <c r="K1329" s="145">
        <v>242</v>
      </c>
      <c r="L1329" s="145">
        <v>0.1</v>
      </c>
      <c r="M1329" s="145" t="s">
        <v>400</v>
      </c>
      <c r="N1329" s="145">
        <v>19</v>
      </c>
      <c r="O1329" s="145">
        <v>20</v>
      </c>
      <c r="P1329" s="145">
        <v>0.107</v>
      </c>
      <c r="Q1329" s="145">
        <v>199</v>
      </c>
      <c r="R1329" s="145">
        <v>9.0299999999999994</v>
      </c>
      <c r="S1329" s="145">
        <v>48</v>
      </c>
      <c r="T1329" s="145">
        <v>132</v>
      </c>
      <c r="U1329" s="145">
        <v>0.502</v>
      </c>
      <c r="V1329" s="145">
        <v>7.3</v>
      </c>
      <c r="W1329" s="145">
        <v>8</v>
      </c>
      <c r="X1329" s="145">
        <v>7.0000000000000007E-2</v>
      </c>
      <c r="Y1329" s="145">
        <v>0.74099999999999999</v>
      </c>
      <c r="Z1329" s="146">
        <v>0.32</v>
      </c>
      <c r="AA1329" s="145">
        <v>2.8029999999999999</v>
      </c>
      <c r="AB1329" s="145">
        <v>1.8</v>
      </c>
      <c r="AC1329" s="145">
        <v>8.4359999999999999</v>
      </c>
      <c r="AD1329" s="145">
        <v>7.29</v>
      </c>
      <c r="AE1329" s="145">
        <v>80</v>
      </c>
      <c r="AF1329" s="145">
        <v>0.2</v>
      </c>
      <c r="AG1329" s="145">
        <v>1.19</v>
      </c>
      <c r="AH1329" s="145" t="s">
        <v>400</v>
      </c>
      <c r="AI1329" s="145">
        <v>333</v>
      </c>
      <c r="AJ1329" s="145">
        <v>8</v>
      </c>
      <c r="AK1329" s="145">
        <v>8</v>
      </c>
      <c r="AL1329" s="145" t="s">
        <v>400</v>
      </c>
      <c r="AM1329" s="145" t="s">
        <v>400</v>
      </c>
    </row>
    <row r="1330" spans="1:39">
      <c r="A1330" s="143" t="s">
        <v>2390</v>
      </c>
      <c r="B1330" s="144">
        <v>100</v>
      </c>
      <c r="C1330" s="145">
        <v>185</v>
      </c>
      <c r="D1330" s="145">
        <v>26.41</v>
      </c>
      <c r="E1330" s="145">
        <v>7.92</v>
      </c>
      <c r="F1330" s="145">
        <v>2.2599999999999998</v>
      </c>
      <c r="G1330" s="145">
        <v>2.0099999999999998</v>
      </c>
      <c r="H1330" s="145">
        <v>2.2999999999999998</v>
      </c>
      <c r="I1330" s="145">
        <v>1.62</v>
      </c>
      <c r="J1330" s="145">
        <v>0.06</v>
      </c>
      <c r="K1330" s="145">
        <v>242</v>
      </c>
      <c r="L1330" s="145">
        <v>0.1</v>
      </c>
      <c r="M1330" s="145" t="s">
        <v>400</v>
      </c>
      <c r="N1330" s="145">
        <v>19</v>
      </c>
      <c r="O1330" s="145">
        <v>20</v>
      </c>
      <c r="P1330" s="145">
        <v>0.107</v>
      </c>
      <c r="Q1330" s="145">
        <v>199</v>
      </c>
      <c r="R1330" s="145">
        <v>9.0299999999999994</v>
      </c>
      <c r="S1330" s="145">
        <v>48</v>
      </c>
      <c r="T1330" s="145">
        <v>132</v>
      </c>
      <c r="U1330" s="145">
        <v>0.502</v>
      </c>
      <c r="V1330" s="145">
        <v>7.3</v>
      </c>
      <c r="W1330" s="145">
        <v>8</v>
      </c>
      <c r="X1330" s="145">
        <v>7.0000000000000007E-2</v>
      </c>
      <c r="Y1330" s="145">
        <v>0.74099999999999999</v>
      </c>
      <c r="Z1330" s="146">
        <v>0.32</v>
      </c>
      <c r="AA1330" s="145">
        <v>2.8029999999999999</v>
      </c>
      <c r="AB1330" s="145">
        <v>1.8</v>
      </c>
      <c r="AC1330" s="145">
        <v>8.4359999999999999</v>
      </c>
      <c r="AD1330" s="145">
        <v>7.29</v>
      </c>
      <c r="AE1330" s="145">
        <v>80</v>
      </c>
      <c r="AF1330" s="145">
        <v>0.2</v>
      </c>
      <c r="AG1330" s="145">
        <v>1.19</v>
      </c>
      <c r="AH1330" s="145" t="s">
        <v>400</v>
      </c>
      <c r="AI1330" s="145">
        <v>333</v>
      </c>
      <c r="AJ1330" s="145">
        <v>8</v>
      </c>
      <c r="AK1330" s="145">
        <v>8</v>
      </c>
      <c r="AL1330" s="145" t="s">
        <v>400</v>
      </c>
      <c r="AM1330" s="145" t="s">
        <v>400</v>
      </c>
    </row>
    <row r="1331" spans="1:39">
      <c r="A1331" s="143" t="s">
        <v>2391</v>
      </c>
      <c r="B1331" s="144">
        <v>100</v>
      </c>
      <c r="C1331" s="145">
        <v>185</v>
      </c>
      <c r="D1331" s="145">
        <v>26.41</v>
      </c>
      <c r="E1331" s="145">
        <v>7.92</v>
      </c>
      <c r="F1331" s="145">
        <v>2.2599999999999998</v>
      </c>
      <c r="G1331" s="145">
        <v>2.0099999999999998</v>
      </c>
      <c r="H1331" s="145">
        <v>2.2999999999999998</v>
      </c>
      <c r="I1331" s="145">
        <v>1.62</v>
      </c>
      <c r="J1331" s="145">
        <v>0.06</v>
      </c>
      <c r="K1331" s="145">
        <v>242</v>
      </c>
      <c r="L1331" s="145">
        <v>0.1</v>
      </c>
      <c r="M1331" s="145" t="s">
        <v>400</v>
      </c>
      <c r="N1331" s="145">
        <v>19</v>
      </c>
      <c r="O1331" s="145">
        <v>20</v>
      </c>
      <c r="P1331" s="145">
        <v>0.107</v>
      </c>
      <c r="Q1331" s="145">
        <v>199</v>
      </c>
      <c r="R1331" s="145">
        <v>9.0299999999999994</v>
      </c>
      <c r="S1331" s="145">
        <v>48</v>
      </c>
      <c r="T1331" s="145">
        <v>132</v>
      </c>
      <c r="U1331" s="145">
        <v>0.502</v>
      </c>
      <c r="V1331" s="145">
        <v>7.3</v>
      </c>
      <c r="W1331" s="145">
        <v>8</v>
      </c>
      <c r="X1331" s="145">
        <v>7.0000000000000007E-2</v>
      </c>
      <c r="Y1331" s="145">
        <v>0.74099999999999999</v>
      </c>
      <c r="Z1331" s="146">
        <v>0.32</v>
      </c>
      <c r="AA1331" s="145">
        <v>2.8029999999999999</v>
      </c>
      <c r="AB1331" s="145">
        <v>1.8</v>
      </c>
      <c r="AC1331" s="145">
        <v>8.4359999999999999</v>
      </c>
      <c r="AD1331" s="145">
        <v>7.29</v>
      </c>
      <c r="AE1331" s="145">
        <v>80</v>
      </c>
      <c r="AF1331" s="145">
        <v>0.2</v>
      </c>
      <c r="AG1331" s="145">
        <v>1.19</v>
      </c>
      <c r="AH1331" s="145" t="s">
        <v>400</v>
      </c>
      <c r="AI1331" s="145">
        <v>333</v>
      </c>
      <c r="AJ1331" s="145">
        <v>8</v>
      </c>
      <c r="AK1331" s="145">
        <v>8</v>
      </c>
      <c r="AL1331" s="145" t="s">
        <v>400</v>
      </c>
      <c r="AM1331" s="145" t="s">
        <v>400</v>
      </c>
    </row>
    <row r="1332" spans="1:39">
      <c r="A1332" s="143" t="s">
        <v>2392</v>
      </c>
      <c r="B1332" s="144">
        <v>100</v>
      </c>
      <c r="C1332" s="145">
        <v>207.65899999999999</v>
      </c>
      <c r="D1332" s="145">
        <v>26.41</v>
      </c>
      <c r="E1332" s="145">
        <v>10.483000000000001</v>
      </c>
      <c r="F1332" s="145">
        <v>2.661</v>
      </c>
      <c r="G1332" s="145">
        <v>2.5939999999999999</v>
      </c>
      <c r="H1332" s="145">
        <v>3.78</v>
      </c>
      <c r="I1332" s="145">
        <v>2.9260000000000002</v>
      </c>
      <c r="J1332" s="145">
        <v>0.23400000000000001</v>
      </c>
      <c r="K1332" s="145">
        <v>242</v>
      </c>
      <c r="L1332" s="145">
        <v>0.1</v>
      </c>
      <c r="M1332" s="145" t="s">
        <v>400</v>
      </c>
      <c r="N1332" s="145">
        <v>19</v>
      </c>
      <c r="O1332" s="145">
        <v>20</v>
      </c>
      <c r="P1332" s="145">
        <v>0.107</v>
      </c>
      <c r="Q1332" s="145">
        <v>199</v>
      </c>
      <c r="R1332" s="145">
        <v>9.0310000000000006</v>
      </c>
      <c r="S1332" s="145">
        <v>48</v>
      </c>
      <c r="T1332" s="145">
        <v>132</v>
      </c>
      <c r="U1332" s="145">
        <v>0.502</v>
      </c>
      <c r="V1332" s="145">
        <v>7.3</v>
      </c>
      <c r="W1332" s="145">
        <v>8</v>
      </c>
      <c r="X1332" s="145">
        <v>7.0000000000000007E-2</v>
      </c>
      <c r="Y1332" s="145">
        <v>0.74099999999999999</v>
      </c>
      <c r="Z1332" s="146">
        <v>0.32</v>
      </c>
      <c r="AA1332" s="145">
        <v>2.8029999999999999</v>
      </c>
      <c r="AB1332" s="145">
        <v>1.8</v>
      </c>
      <c r="AC1332" s="145">
        <v>8.4359999999999999</v>
      </c>
      <c r="AD1332" s="145">
        <v>7.29</v>
      </c>
      <c r="AE1332" s="145">
        <v>80</v>
      </c>
      <c r="AF1332" s="145">
        <v>0.2</v>
      </c>
      <c r="AG1332" s="145">
        <v>1.4</v>
      </c>
      <c r="AH1332" s="145">
        <v>1.4E-2</v>
      </c>
      <c r="AI1332" s="145">
        <v>333</v>
      </c>
      <c r="AJ1332" s="145">
        <v>9.1750000000000007</v>
      </c>
      <c r="AK1332" s="145">
        <v>8</v>
      </c>
      <c r="AL1332" s="145" t="s">
        <v>400</v>
      </c>
      <c r="AM1332" s="145" t="s">
        <v>400</v>
      </c>
    </row>
    <row r="1333" spans="1:39">
      <c r="A1333" s="143" t="s">
        <v>2393</v>
      </c>
      <c r="B1333" s="144">
        <v>100</v>
      </c>
      <c r="C1333" s="145">
        <v>185</v>
      </c>
      <c r="D1333" s="145">
        <v>26.41</v>
      </c>
      <c r="E1333" s="145">
        <v>7.92</v>
      </c>
      <c r="F1333" s="145">
        <v>2.2599999999999998</v>
      </c>
      <c r="G1333" s="145">
        <v>2.0099999999999998</v>
      </c>
      <c r="H1333" s="145">
        <v>2.2999999999999998</v>
      </c>
      <c r="I1333" s="145">
        <v>1.62</v>
      </c>
      <c r="J1333" s="145">
        <v>0.06</v>
      </c>
      <c r="K1333" s="145">
        <v>242</v>
      </c>
      <c r="L1333" s="145">
        <v>0.1</v>
      </c>
      <c r="M1333" s="145" t="s">
        <v>400</v>
      </c>
      <c r="N1333" s="145">
        <v>19</v>
      </c>
      <c r="O1333" s="145">
        <v>20</v>
      </c>
      <c r="P1333" s="145">
        <v>0.107</v>
      </c>
      <c r="Q1333" s="145">
        <v>199</v>
      </c>
      <c r="R1333" s="145">
        <v>9.0299999999999994</v>
      </c>
      <c r="S1333" s="145">
        <v>48</v>
      </c>
      <c r="T1333" s="145">
        <v>132</v>
      </c>
      <c r="U1333" s="145">
        <v>0.502</v>
      </c>
      <c r="V1333" s="145">
        <v>7.3</v>
      </c>
      <c r="W1333" s="145">
        <v>8</v>
      </c>
      <c r="X1333" s="145">
        <v>7.0000000000000007E-2</v>
      </c>
      <c r="Y1333" s="145">
        <v>0.74099999999999999</v>
      </c>
      <c r="Z1333" s="146">
        <v>0.32</v>
      </c>
      <c r="AA1333" s="145">
        <v>2.8029999999999999</v>
      </c>
      <c r="AB1333" s="145">
        <v>1.8</v>
      </c>
      <c r="AC1333" s="145">
        <v>8.4359999999999999</v>
      </c>
      <c r="AD1333" s="145">
        <v>7.29</v>
      </c>
      <c r="AE1333" s="145">
        <v>80</v>
      </c>
      <c r="AF1333" s="145">
        <v>0.2</v>
      </c>
      <c r="AG1333" s="145">
        <v>1.19</v>
      </c>
      <c r="AH1333" s="145" t="s">
        <v>400</v>
      </c>
      <c r="AI1333" s="145">
        <v>333</v>
      </c>
      <c r="AJ1333" s="145">
        <v>8</v>
      </c>
      <c r="AK1333" s="145">
        <v>8</v>
      </c>
      <c r="AL1333" s="145" t="s">
        <v>400</v>
      </c>
      <c r="AM1333" s="145" t="s">
        <v>400</v>
      </c>
    </row>
    <row r="1334" spans="1:39">
      <c r="A1334" s="143" t="s">
        <v>2394</v>
      </c>
      <c r="B1334" s="144">
        <v>100</v>
      </c>
      <c r="C1334" s="145">
        <v>167</v>
      </c>
      <c r="D1334" s="145">
        <v>24.46</v>
      </c>
      <c r="E1334" s="145">
        <v>6.51</v>
      </c>
      <c r="F1334" s="145">
        <v>2.06</v>
      </c>
      <c r="G1334" s="145">
        <v>1.4159999999999999</v>
      </c>
      <c r="H1334" s="145">
        <v>1.988</v>
      </c>
      <c r="I1334" s="145">
        <v>0.71899999999999997</v>
      </c>
      <c r="J1334" s="145" t="s">
        <v>400</v>
      </c>
      <c r="K1334" s="145">
        <v>563</v>
      </c>
      <c r="L1334" s="145">
        <v>0.87</v>
      </c>
      <c r="M1334" s="145" t="s">
        <v>400</v>
      </c>
      <c r="N1334" s="145">
        <v>11</v>
      </c>
      <c r="O1334" s="145">
        <v>25</v>
      </c>
      <c r="P1334" s="145">
        <v>0.35899999999999999</v>
      </c>
      <c r="Q1334" s="145">
        <v>405</v>
      </c>
      <c r="R1334" s="145">
        <v>11.63</v>
      </c>
      <c r="S1334" s="145">
        <v>76</v>
      </c>
      <c r="T1334" s="145">
        <v>263</v>
      </c>
      <c r="U1334" s="145">
        <v>0.496</v>
      </c>
      <c r="V1334" s="145">
        <v>3.98</v>
      </c>
      <c r="W1334" s="145">
        <v>3978</v>
      </c>
      <c r="X1334" s="145">
        <v>0.29099999999999998</v>
      </c>
      <c r="Y1334" s="145">
        <v>1.9930000000000001</v>
      </c>
      <c r="Z1334" s="146">
        <v>0.755</v>
      </c>
      <c r="AA1334" s="145">
        <v>11.045</v>
      </c>
      <c r="AB1334" s="145">
        <v>27.9</v>
      </c>
      <c r="AC1334" s="145">
        <v>15.178000000000001</v>
      </c>
      <c r="AD1334" s="145">
        <v>16.850000000000001</v>
      </c>
      <c r="AE1334" s="145">
        <v>578</v>
      </c>
      <c r="AF1334" s="145">
        <v>0.2</v>
      </c>
      <c r="AG1334" s="145">
        <v>0.82</v>
      </c>
      <c r="AH1334" s="145">
        <v>0.09</v>
      </c>
      <c r="AI1334" s="145">
        <v>333</v>
      </c>
      <c r="AJ1334" s="145">
        <v>82.4</v>
      </c>
      <c r="AK1334" s="145">
        <v>3981.4169999999999</v>
      </c>
      <c r="AL1334" s="145" t="s">
        <v>400</v>
      </c>
      <c r="AM1334" s="145" t="s">
        <v>400</v>
      </c>
    </row>
    <row r="1335" spans="1:39">
      <c r="A1335" s="143" t="s">
        <v>2395</v>
      </c>
      <c r="B1335" s="144">
        <v>100</v>
      </c>
      <c r="C1335" s="145">
        <v>167</v>
      </c>
      <c r="D1335" s="145">
        <v>24.46</v>
      </c>
      <c r="E1335" s="145">
        <v>6.51</v>
      </c>
      <c r="F1335" s="145">
        <v>2.06</v>
      </c>
      <c r="G1335" s="145">
        <v>1.4159999999999999</v>
      </c>
      <c r="H1335" s="145">
        <v>1.988</v>
      </c>
      <c r="I1335" s="145">
        <v>0.71899999999999997</v>
      </c>
      <c r="J1335" s="145" t="s">
        <v>400</v>
      </c>
      <c r="K1335" s="145">
        <v>563</v>
      </c>
      <c r="L1335" s="145">
        <v>0.87</v>
      </c>
      <c r="M1335" s="145" t="s">
        <v>400</v>
      </c>
      <c r="N1335" s="145">
        <v>11</v>
      </c>
      <c r="O1335" s="145">
        <v>25</v>
      </c>
      <c r="P1335" s="145">
        <v>0.35899999999999999</v>
      </c>
      <c r="Q1335" s="145">
        <v>405</v>
      </c>
      <c r="R1335" s="145">
        <v>11.63</v>
      </c>
      <c r="S1335" s="145">
        <v>76</v>
      </c>
      <c r="T1335" s="145">
        <v>263</v>
      </c>
      <c r="U1335" s="145">
        <v>0.496</v>
      </c>
      <c r="V1335" s="145">
        <v>3.98</v>
      </c>
      <c r="W1335" s="145">
        <v>3978</v>
      </c>
      <c r="X1335" s="145">
        <v>0.29099999999999998</v>
      </c>
      <c r="Y1335" s="145">
        <v>1.9930000000000001</v>
      </c>
      <c r="Z1335" s="146">
        <v>0.755</v>
      </c>
      <c r="AA1335" s="145">
        <v>11.045</v>
      </c>
      <c r="AB1335" s="145">
        <v>27.9</v>
      </c>
      <c r="AC1335" s="145">
        <v>15.178000000000001</v>
      </c>
      <c r="AD1335" s="145">
        <v>16.850000000000001</v>
      </c>
      <c r="AE1335" s="145">
        <v>578</v>
      </c>
      <c r="AF1335" s="145">
        <v>0.2</v>
      </c>
      <c r="AG1335" s="145">
        <v>0.82</v>
      </c>
      <c r="AH1335" s="145">
        <v>0.09</v>
      </c>
      <c r="AI1335" s="145">
        <v>333</v>
      </c>
      <c r="AJ1335" s="145">
        <v>82.4</v>
      </c>
      <c r="AK1335" s="145">
        <v>3981.4169999999999</v>
      </c>
      <c r="AL1335" s="145" t="s">
        <v>400</v>
      </c>
      <c r="AM1335" s="145" t="s">
        <v>400</v>
      </c>
    </row>
    <row r="1336" spans="1:39">
      <c r="A1336" s="143" t="s">
        <v>2396</v>
      </c>
      <c r="B1336" s="144">
        <v>100</v>
      </c>
      <c r="C1336" s="145">
        <v>189.65899999999999</v>
      </c>
      <c r="D1336" s="145">
        <v>24.46</v>
      </c>
      <c r="E1336" s="145">
        <v>9.0730000000000004</v>
      </c>
      <c r="F1336" s="145">
        <v>2.4609999999999999</v>
      </c>
      <c r="G1336" s="145">
        <v>2</v>
      </c>
      <c r="H1336" s="145">
        <v>3.468</v>
      </c>
      <c r="I1336" s="145">
        <v>2.0249999999999999</v>
      </c>
      <c r="J1336" s="145">
        <v>0.17399999999999999</v>
      </c>
      <c r="K1336" s="145">
        <v>563</v>
      </c>
      <c r="L1336" s="145">
        <v>0.87</v>
      </c>
      <c r="M1336" s="145" t="s">
        <v>400</v>
      </c>
      <c r="N1336" s="145">
        <v>11</v>
      </c>
      <c r="O1336" s="145">
        <v>25</v>
      </c>
      <c r="P1336" s="145">
        <v>0.35899999999999999</v>
      </c>
      <c r="Q1336" s="145">
        <v>405</v>
      </c>
      <c r="R1336" s="145">
        <v>11.631</v>
      </c>
      <c r="S1336" s="145">
        <v>76</v>
      </c>
      <c r="T1336" s="145">
        <v>263</v>
      </c>
      <c r="U1336" s="145">
        <v>0.496</v>
      </c>
      <c r="V1336" s="145">
        <v>3.98</v>
      </c>
      <c r="W1336" s="145">
        <v>3978</v>
      </c>
      <c r="X1336" s="145">
        <v>0.29099999999999998</v>
      </c>
      <c r="Y1336" s="145">
        <v>1.9930000000000001</v>
      </c>
      <c r="Z1336" s="146">
        <v>0.755</v>
      </c>
      <c r="AA1336" s="145">
        <v>11.045</v>
      </c>
      <c r="AB1336" s="145">
        <v>27.9</v>
      </c>
      <c r="AC1336" s="145">
        <v>15.178000000000001</v>
      </c>
      <c r="AD1336" s="145">
        <v>16.850000000000001</v>
      </c>
      <c r="AE1336" s="145">
        <v>578</v>
      </c>
      <c r="AF1336" s="145">
        <v>0.2</v>
      </c>
      <c r="AG1336" s="145">
        <v>1.03</v>
      </c>
      <c r="AH1336" s="145">
        <v>0.104</v>
      </c>
      <c r="AI1336" s="145">
        <v>333</v>
      </c>
      <c r="AJ1336" s="145">
        <v>83.575000000000003</v>
      </c>
      <c r="AK1336" s="145">
        <v>3981.4169999999999</v>
      </c>
      <c r="AL1336" s="145" t="s">
        <v>400</v>
      </c>
      <c r="AM1336" s="145" t="s">
        <v>400</v>
      </c>
    </row>
    <row r="1337" spans="1:39">
      <c r="A1337" s="143" t="s">
        <v>2397</v>
      </c>
      <c r="B1337" s="144">
        <v>100</v>
      </c>
      <c r="C1337" s="145">
        <v>31.471</v>
      </c>
      <c r="D1337" s="145">
        <v>1.6120000000000001</v>
      </c>
      <c r="E1337" s="145">
        <v>1.0640000000000001</v>
      </c>
      <c r="F1337" s="145">
        <v>0.309</v>
      </c>
      <c r="G1337" s="145">
        <v>0.44700000000000001</v>
      </c>
      <c r="H1337" s="145">
        <v>0.22800000000000001</v>
      </c>
      <c r="I1337" s="145">
        <v>0.20599999999999999</v>
      </c>
      <c r="J1337" s="145">
        <v>1.2999999999999999E-2</v>
      </c>
      <c r="K1337" s="145">
        <v>3.194</v>
      </c>
      <c r="L1337" s="145">
        <v>3.637</v>
      </c>
      <c r="M1337" s="145">
        <v>0.128</v>
      </c>
      <c r="N1337" s="145">
        <v>5.22</v>
      </c>
      <c r="O1337" s="145">
        <v>3.2549999999999999</v>
      </c>
      <c r="P1337" s="145">
        <v>8.3000000000000004E-2</v>
      </c>
      <c r="Q1337" s="145">
        <v>18.477</v>
      </c>
      <c r="R1337" s="145">
        <v>0.23699999999999999</v>
      </c>
      <c r="S1337" s="145">
        <v>343.654</v>
      </c>
      <c r="T1337" s="145">
        <v>37.023000000000003</v>
      </c>
      <c r="U1337" s="145">
        <v>2.7E-2</v>
      </c>
      <c r="V1337" s="145">
        <v>0.153</v>
      </c>
      <c r="W1337" s="145">
        <v>0.46899999999999997</v>
      </c>
      <c r="X1337" s="145">
        <v>2.4E-2</v>
      </c>
      <c r="Y1337" s="145">
        <v>1.4E-2</v>
      </c>
      <c r="Z1337" s="146">
        <v>3.1E-2</v>
      </c>
      <c r="AA1337" s="145">
        <v>0.75</v>
      </c>
      <c r="AB1337" s="145">
        <v>0.105</v>
      </c>
      <c r="AC1337" s="145">
        <v>1.016</v>
      </c>
      <c r="AD1337" s="145">
        <v>3.1E-2</v>
      </c>
      <c r="AE1337" s="145">
        <v>6.0449999999999999</v>
      </c>
      <c r="AF1337" s="145">
        <v>1.2E-2</v>
      </c>
      <c r="AG1337" s="145">
        <v>6.6000000000000003E-2</v>
      </c>
      <c r="AH1337" s="145">
        <v>1.7000000000000001E-2</v>
      </c>
      <c r="AI1337" s="145" t="s">
        <v>400</v>
      </c>
      <c r="AJ1337" s="145">
        <v>1.55</v>
      </c>
      <c r="AK1337" s="145">
        <v>25.419</v>
      </c>
      <c r="AL1337" s="145">
        <v>0.105</v>
      </c>
      <c r="AM1337" s="145" t="s">
        <v>400</v>
      </c>
    </row>
    <row r="1338" spans="1:39">
      <c r="A1338" s="143" t="s">
        <v>2398</v>
      </c>
      <c r="B1338" s="144">
        <v>100</v>
      </c>
      <c r="C1338" s="145">
        <v>207</v>
      </c>
      <c r="D1338" s="145">
        <v>26.934999999999999</v>
      </c>
      <c r="E1338" s="145">
        <v>10.234999999999999</v>
      </c>
      <c r="F1338" s="145">
        <v>3.04</v>
      </c>
      <c r="G1338" s="145">
        <v>3.48</v>
      </c>
      <c r="H1338" s="145">
        <v>2.5150000000000001</v>
      </c>
      <c r="I1338" s="145">
        <v>2.13</v>
      </c>
      <c r="J1338" s="145">
        <v>0.1</v>
      </c>
      <c r="K1338" s="145">
        <v>78</v>
      </c>
      <c r="L1338" s="145" t="s">
        <v>400</v>
      </c>
      <c r="M1338" s="145" t="s">
        <v>400</v>
      </c>
      <c r="N1338" s="145">
        <v>21.5</v>
      </c>
      <c r="O1338" s="145">
        <v>22</v>
      </c>
      <c r="P1338" s="145">
        <v>2.1000000000000001E-2</v>
      </c>
      <c r="Q1338" s="145">
        <v>172</v>
      </c>
      <c r="R1338" s="145">
        <v>1.635</v>
      </c>
      <c r="S1338" s="145">
        <v>68</v>
      </c>
      <c r="T1338" s="145">
        <v>224.5</v>
      </c>
      <c r="U1338" s="145">
        <v>9.4E-2</v>
      </c>
      <c r="V1338" s="145">
        <v>2.68</v>
      </c>
      <c r="W1338" s="145">
        <v>24.5</v>
      </c>
      <c r="X1338" s="145">
        <v>4.9000000000000002E-2</v>
      </c>
      <c r="Y1338" s="145">
        <v>0.17</v>
      </c>
      <c r="Z1338" s="146">
        <v>0.29499999999999998</v>
      </c>
      <c r="AA1338" s="145">
        <v>5.3120000000000003</v>
      </c>
      <c r="AB1338" s="145" t="s">
        <v>400</v>
      </c>
      <c r="AC1338" s="145">
        <v>10.345000000000001</v>
      </c>
      <c r="AD1338" s="145">
        <v>0.27500000000000002</v>
      </c>
      <c r="AE1338" s="145">
        <v>6</v>
      </c>
      <c r="AF1338" s="145">
        <v>0.15</v>
      </c>
      <c r="AG1338" s="145">
        <v>0.24</v>
      </c>
      <c r="AH1338" s="145">
        <v>0.215</v>
      </c>
      <c r="AI1338" s="145">
        <v>333</v>
      </c>
      <c r="AJ1338" s="145">
        <v>29.9</v>
      </c>
      <c r="AK1338" s="145">
        <v>24.5</v>
      </c>
      <c r="AL1338" s="145" t="s">
        <v>400</v>
      </c>
      <c r="AM1338" s="145" t="s">
        <v>400</v>
      </c>
    </row>
    <row r="1339" spans="1:39">
      <c r="A1339" s="143" t="s">
        <v>2399</v>
      </c>
      <c r="B1339" s="144">
        <v>100</v>
      </c>
      <c r="C1339" s="145">
        <v>207</v>
      </c>
      <c r="D1339" s="145">
        <v>26.934999999999999</v>
      </c>
      <c r="E1339" s="145">
        <v>10.234999999999999</v>
      </c>
      <c r="F1339" s="145">
        <v>3.04</v>
      </c>
      <c r="G1339" s="145">
        <v>3.48</v>
      </c>
      <c r="H1339" s="145">
        <v>2.5150000000000001</v>
      </c>
      <c r="I1339" s="145">
        <v>2.13</v>
      </c>
      <c r="J1339" s="145">
        <v>0.1</v>
      </c>
      <c r="K1339" s="145">
        <v>78</v>
      </c>
      <c r="L1339" s="145" t="s">
        <v>400</v>
      </c>
      <c r="M1339" s="145" t="s">
        <v>400</v>
      </c>
      <c r="N1339" s="145">
        <v>21.5</v>
      </c>
      <c r="O1339" s="145">
        <v>22</v>
      </c>
      <c r="P1339" s="145">
        <v>2.1000000000000001E-2</v>
      </c>
      <c r="Q1339" s="145">
        <v>172</v>
      </c>
      <c r="R1339" s="145">
        <v>1.635</v>
      </c>
      <c r="S1339" s="145">
        <v>68</v>
      </c>
      <c r="T1339" s="145">
        <v>224.5</v>
      </c>
      <c r="U1339" s="145">
        <v>9.4E-2</v>
      </c>
      <c r="V1339" s="145">
        <v>2.68</v>
      </c>
      <c r="W1339" s="145">
        <v>24.5</v>
      </c>
      <c r="X1339" s="145">
        <v>4.9000000000000002E-2</v>
      </c>
      <c r="Y1339" s="145">
        <v>0.17</v>
      </c>
      <c r="Z1339" s="146">
        <v>0.29499999999999998</v>
      </c>
      <c r="AA1339" s="145">
        <v>5.3120000000000003</v>
      </c>
      <c r="AB1339" s="145" t="s">
        <v>400</v>
      </c>
      <c r="AC1339" s="145">
        <v>10.345000000000001</v>
      </c>
      <c r="AD1339" s="145">
        <v>0.27500000000000002</v>
      </c>
      <c r="AE1339" s="145">
        <v>6</v>
      </c>
      <c r="AF1339" s="145">
        <v>0.15</v>
      </c>
      <c r="AG1339" s="145">
        <v>0.24</v>
      </c>
      <c r="AH1339" s="145">
        <v>0.215</v>
      </c>
      <c r="AI1339" s="145">
        <v>333</v>
      </c>
      <c r="AJ1339" s="145">
        <v>29.9</v>
      </c>
      <c r="AK1339" s="145">
        <v>24.5</v>
      </c>
      <c r="AL1339" s="145" t="s">
        <v>400</v>
      </c>
      <c r="AM1339" s="145" t="s">
        <v>400</v>
      </c>
    </row>
    <row r="1340" spans="1:39">
      <c r="A1340" s="143" t="s">
        <v>2400</v>
      </c>
      <c r="B1340" s="144">
        <v>100</v>
      </c>
      <c r="C1340" s="145">
        <v>229.65899999999999</v>
      </c>
      <c r="D1340" s="145">
        <v>26.934999999999999</v>
      </c>
      <c r="E1340" s="145">
        <v>12.798</v>
      </c>
      <c r="F1340" s="145">
        <v>3.4409999999999998</v>
      </c>
      <c r="G1340" s="145">
        <v>4.0640000000000001</v>
      </c>
      <c r="H1340" s="145">
        <v>3.9950000000000001</v>
      </c>
      <c r="I1340" s="145">
        <v>3.4359999999999999</v>
      </c>
      <c r="J1340" s="145">
        <v>0.27400000000000002</v>
      </c>
      <c r="K1340" s="145">
        <v>78</v>
      </c>
      <c r="L1340" s="145" t="s">
        <v>400</v>
      </c>
      <c r="M1340" s="145" t="s">
        <v>400</v>
      </c>
      <c r="N1340" s="145">
        <v>21.5</v>
      </c>
      <c r="O1340" s="145">
        <v>22</v>
      </c>
      <c r="P1340" s="145">
        <v>2.1000000000000001E-2</v>
      </c>
      <c r="Q1340" s="145">
        <v>172</v>
      </c>
      <c r="R1340" s="145">
        <v>1.6359999999999999</v>
      </c>
      <c r="S1340" s="145">
        <v>68</v>
      </c>
      <c r="T1340" s="145">
        <v>224.5</v>
      </c>
      <c r="U1340" s="145">
        <v>9.4E-2</v>
      </c>
      <c r="V1340" s="145">
        <v>2.68</v>
      </c>
      <c r="W1340" s="145">
        <v>24.5</v>
      </c>
      <c r="X1340" s="145">
        <v>4.9000000000000002E-2</v>
      </c>
      <c r="Y1340" s="145">
        <v>0.17</v>
      </c>
      <c r="Z1340" s="146">
        <v>0.29499999999999998</v>
      </c>
      <c r="AA1340" s="145">
        <v>5.3120000000000003</v>
      </c>
      <c r="AB1340" s="145" t="s">
        <v>400</v>
      </c>
      <c r="AC1340" s="145">
        <v>10.345000000000001</v>
      </c>
      <c r="AD1340" s="145">
        <v>0.27500000000000002</v>
      </c>
      <c r="AE1340" s="145">
        <v>6</v>
      </c>
      <c r="AF1340" s="145">
        <v>0.15</v>
      </c>
      <c r="AG1340" s="145">
        <v>0.45</v>
      </c>
      <c r="AH1340" s="145">
        <v>0.22900000000000001</v>
      </c>
      <c r="AI1340" s="145">
        <v>333</v>
      </c>
      <c r="AJ1340" s="145">
        <v>31.074999999999999</v>
      </c>
      <c r="AK1340" s="145">
        <v>24.5</v>
      </c>
      <c r="AL1340" s="145" t="s">
        <v>400</v>
      </c>
      <c r="AM1340" s="145" t="s">
        <v>400</v>
      </c>
    </row>
    <row r="1341" spans="1:39">
      <c r="A1341" s="143" t="s">
        <v>2401</v>
      </c>
      <c r="B1341" s="144">
        <v>100</v>
      </c>
      <c r="C1341" s="145">
        <v>229.65899999999999</v>
      </c>
      <c r="D1341" s="145">
        <v>26.934999999999999</v>
      </c>
      <c r="E1341" s="145">
        <v>12.798</v>
      </c>
      <c r="F1341" s="145">
        <v>3.4409999999999998</v>
      </c>
      <c r="G1341" s="145">
        <v>4.0640000000000001</v>
      </c>
      <c r="H1341" s="145">
        <v>3.9950000000000001</v>
      </c>
      <c r="I1341" s="145">
        <v>3.4359999999999999</v>
      </c>
      <c r="J1341" s="145">
        <v>0.27400000000000002</v>
      </c>
      <c r="K1341" s="145">
        <v>78</v>
      </c>
      <c r="L1341" s="145" t="s">
        <v>400</v>
      </c>
      <c r="M1341" s="145" t="s">
        <v>400</v>
      </c>
      <c r="N1341" s="145">
        <v>21.5</v>
      </c>
      <c r="O1341" s="145">
        <v>22</v>
      </c>
      <c r="P1341" s="145">
        <v>2.1000000000000001E-2</v>
      </c>
      <c r="Q1341" s="145">
        <v>172</v>
      </c>
      <c r="R1341" s="145">
        <v>1.6359999999999999</v>
      </c>
      <c r="S1341" s="145">
        <v>68</v>
      </c>
      <c r="T1341" s="145">
        <v>224.5</v>
      </c>
      <c r="U1341" s="145">
        <v>9.4E-2</v>
      </c>
      <c r="V1341" s="145">
        <v>2.68</v>
      </c>
      <c r="W1341" s="145">
        <v>24.5</v>
      </c>
      <c r="X1341" s="145">
        <v>4.9000000000000002E-2</v>
      </c>
      <c r="Y1341" s="145">
        <v>0.17</v>
      </c>
      <c r="Z1341" s="146">
        <v>0.29499999999999998</v>
      </c>
      <c r="AA1341" s="145">
        <v>5.3120000000000003</v>
      </c>
      <c r="AB1341" s="145" t="s">
        <v>400</v>
      </c>
      <c r="AC1341" s="145">
        <v>10.345000000000001</v>
      </c>
      <c r="AD1341" s="145">
        <v>0.27500000000000002</v>
      </c>
      <c r="AE1341" s="145">
        <v>6</v>
      </c>
      <c r="AF1341" s="145">
        <v>0.15</v>
      </c>
      <c r="AG1341" s="145">
        <v>0.45</v>
      </c>
      <c r="AH1341" s="145">
        <v>0.22900000000000001</v>
      </c>
      <c r="AI1341" s="145">
        <v>333</v>
      </c>
      <c r="AJ1341" s="145">
        <v>31.074999999999999</v>
      </c>
      <c r="AK1341" s="145">
        <v>24.5</v>
      </c>
      <c r="AL1341" s="145" t="s">
        <v>400</v>
      </c>
      <c r="AM1341" s="145" t="s">
        <v>400</v>
      </c>
    </row>
    <row r="1342" spans="1:39">
      <c r="A1342" s="143" t="s">
        <v>2402</v>
      </c>
      <c r="B1342" s="144">
        <v>100</v>
      </c>
      <c r="C1342" s="145">
        <v>140</v>
      </c>
      <c r="D1342" s="145">
        <v>30.19</v>
      </c>
      <c r="E1342" s="145">
        <v>1.18</v>
      </c>
      <c r="F1342" s="145">
        <v>0.38</v>
      </c>
      <c r="G1342" s="145">
        <v>0.21</v>
      </c>
      <c r="H1342" s="145">
        <v>0.31</v>
      </c>
      <c r="I1342" s="145">
        <v>0.21</v>
      </c>
      <c r="J1342" s="145">
        <v>0.01</v>
      </c>
      <c r="K1342" s="145">
        <v>86</v>
      </c>
      <c r="L1342" s="145" t="s">
        <v>400</v>
      </c>
      <c r="M1342" s="145" t="s">
        <v>400</v>
      </c>
      <c r="N1342" s="145">
        <v>15</v>
      </c>
      <c r="O1342" s="145">
        <v>28</v>
      </c>
      <c r="P1342" s="145">
        <v>2.5000000000000001E-2</v>
      </c>
      <c r="Q1342" s="145">
        <v>216</v>
      </c>
      <c r="R1342" s="145">
        <v>1.57</v>
      </c>
      <c r="S1342" s="145">
        <v>56</v>
      </c>
      <c r="T1342" s="145">
        <v>277</v>
      </c>
      <c r="U1342" s="145">
        <v>8.5999999999999993E-2</v>
      </c>
      <c r="V1342" s="145">
        <v>2.08</v>
      </c>
      <c r="W1342" s="145" t="s">
        <v>400</v>
      </c>
      <c r="X1342" s="145">
        <v>4.1000000000000002E-2</v>
      </c>
      <c r="Y1342" s="145">
        <v>0.13600000000000001</v>
      </c>
      <c r="Z1342" s="146">
        <v>0.56999999999999995</v>
      </c>
      <c r="AA1342" s="145">
        <v>6.9359999999999999</v>
      </c>
      <c r="AB1342" s="145" t="s">
        <v>400</v>
      </c>
      <c r="AC1342" s="145">
        <v>12.653</v>
      </c>
      <c r="AD1342" s="145">
        <v>0.39</v>
      </c>
      <c r="AE1342" s="145">
        <v>6</v>
      </c>
      <c r="AF1342" s="145">
        <v>0.4</v>
      </c>
      <c r="AG1342" s="145">
        <v>0.21</v>
      </c>
      <c r="AH1342" s="145">
        <v>0.02</v>
      </c>
      <c r="AI1342" s="146">
        <v>333</v>
      </c>
      <c r="AJ1342" s="145">
        <v>32.1</v>
      </c>
      <c r="AK1342" s="145" t="s">
        <v>400</v>
      </c>
      <c r="AL1342" s="145" t="s">
        <v>400</v>
      </c>
      <c r="AM1342" s="145" t="s">
        <v>400</v>
      </c>
    </row>
    <row r="1343" spans="1:39">
      <c r="A1343" s="143" t="s">
        <v>2403</v>
      </c>
      <c r="B1343" s="144">
        <v>100</v>
      </c>
      <c r="C1343" s="145">
        <v>140</v>
      </c>
      <c r="D1343" s="145">
        <v>30.19</v>
      </c>
      <c r="E1343" s="145">
        <v>1.18</v>
      </c>
      <c r="F1343" s="145">
        <v>0.38</v>
      </c>
      <c r="G1343" s="145">
        <v>0.21</v>
      </c>
      <c r="H1343" s="145">
        <v>0.31</v>
      </c>
      <c r="I1343" s="145">
        <v>0.21</v>
      </c>
      <c r="J1343" s="145">
        <v>0.01</v>
      </c>
      <c r="K1343" s="145">
        <v>86</v>
      </c>
      <c r="L1343" s="145" t="s">
        <v>400</v>
      </c>
      <c r="M1343" s="145" t="s">
        <v>400</v>
      </c>
      <c r="N1343" s="145">
        <v>15</v>
      </c>
      <c r="O1343" s="145">
        <v>28</v>
      </c>
      <c r="P1343" s="145">
        <v>2.5000000000000001E-2</v>
      </c>
      <c r="Q1343" s="145">
        <v>216</v>
      </c>
      <c r="R1343" s="145">
        <v>1.57</v>
      </c>
      <c r="S1343" s="145">
        <v>56</v>
      </c>
      <c r="T1343" s="145">
        <v>277</v>
      </c>
      <c r="U1343" s="145">
        <v>8.5999999999999993E-2</v>
      </c>
      <c r="V1343" s="145">
        <v>2.08</v>
      </c>
      <c r="W1343" s="145" t="s">
        <v>400</v>
      </c>
      <c r="X1343" s="145">
        <v>4.1000000000000002E-2</v>
      </c>
      <c r="Y1343" s="145">
        <v>0.13600000000000001</v>
      </c>
      <c r="Z1343" s="146">
        <v>0.56999999999999995</v>
      </c>
      <c r="AA1343" s="145">
        <v>6.9359999999999999</v>
      </c>
      <c r="AB1343" s="145" t="s">
        <v>400</v>
      </c>
      <c r="AC1343" s="145">
        <v>12.653</v>
      </c>
      <c r="AD1343" s="145">
        <v>0.39</v>
      </c>
      <c r="AE1343" s="145">
        <v>6</v>
      </c>
      <c r="AF1343" s="145">
        <v>0.4</v>
      </c>
      <c r="AG1343" s="145">
        <v>0.21</v>
      </c>
      <c r="AH1343" s="145">
        <v>0.02</v>
      </c>
      <c r="AI1343" s="146">
        <v>333</v>
      </c>
      <c r="AJ1343" s="145">
        <v>32.1</v>
      </c>
      <c r="AK1343" s="145" t="s">
        <v>400</v>
      </c>
      <c r="AL1343" s="145" t="s">
        <v>400</v>
      </c>
      <c r="AM1343" s="145" t="s">
        <v>400</v>
      </c>
    </row>
    <row r="1344" spans="1:39">
      <c r="A1344" s="143" t="s">
        <v>2404</v>
      </c>
      <c r="B1344" s="144">
        <v>100</v>
      </c>
      <c r="C1344" s="145">
        <v>140</v>
      </c>
      <c r="D1344" s="145">
        <v>30.19</v>
      </c>
      <c r="E1344" s="145">
        <v>1.18</v>
      </c>
      <c r="F1344" s="145">
        <v>0.38</v>
      </c>
      <c r="G1344" s="145">
        <v>0.21</v>
      </c>
      <c r="H1344" s="145">
        <v>0.31</v>
      </c>
      <c r="I1344" s="145">
        <v>0.21</v>
      </c>
      <c r="J1344" s="145">
        <v>0.01</v>
      </c>
      <c r="K1344" s="145">
        <v>86</v>
      </c>
      <c r="L1344" s="145" t="s">
        <v>400</v>
      </c>
      <c r="M1344" s="145" t="s">
        <v>400</v>
      </c>
      <c r="N1344" s="145">
        <v>15</v>
      </c>
      <c r="O1344" s="145">
        <v>28</v>
      </c>
      <c r="P1344" s="145">
        <v>2.5000000000000001E-2</v>
      </c>
      <c r="Q1344" s="145">
        <v>216</v>
      </c>
      <c r="R1344" s="145">
        <v>1.57</v>
      </c>
      <c r="S1344" s="145">
        <v>56</v>
      </c>
      <c r="T1344" s="145">
        <v>277</v>
      </c>
      <c r="U1344" s="145">
        <v>8.5999999999999993E-2</v>
      </c>
      <c r="V1344" s="145">
        <v>2.08</v>
      </c>
      <c r="W1344" s="145" t="s">
        <v>400</v>
      </c>
      <c r="X1344" s="145">
        <v>4.1000000000000002E-2</v>
      </c>
      <c r="Y1344" s="145">
        <v>0.13600000000000001</v>
      </c>
      <c r="Z1344" s="146">
        <v>0.56999999999999995</v>
      </c>
      <c r="AA1344" s="145">
        <v>6.9359999999999999</v>
      </c>
      <c r="AB1344" s="145" t="s">
        <v>400</v>
      </c>
      <c r="AC1344" s="145">
        <v>12.653</v>
      </c>
      <c r="AD1344" s="145">
        <v>0.39</v>
      </c>
      <c r="AE1344" s="145">
        <v>6</v>
      </c>
      <c r="AF1344" s="145">
        <v>0.4</v>
      </c>
      <c r="AG1344" s="145">
        <v>0.21</v>
      </c>
      <c r="AH1344" s="145">
        <v>0.02</v>
      </c>
      <c r="AI1344" s="146">
        <v>333</v>
      </c>
      <c r="AJ1344" s="145">
        <v>32.1</v>
      </c>
      <c r="AK1344" s="145" t="s">
        <v>400</v>
      </c>
      <c r="AL1344" s="145" t="s">
        <v>400</v>
      </c>
      <c r="AM1344" s="145" t="s">
        <v>400</v>
      </c>
    </row>
    <row r="1345" spans="1:39">
      <c r="A1345" s="143" t="s">
        <v>2405</v>
      </c>
      <c r="B1345" s="144">
        <v>100</v>
      </c>
      <c r="C1345" s="145">
        <v>140</v>
      </c>
      <c r="D1345" s="145">
        <v>30.19</v>
      </c>
      <c r="E1345" s="145">
        <v>1.18</v>
      </c>
      <c r="F1345" s="145">
        <v>0.38</v>
      </c>
      <c r="G1345" s="145">
        <v>0.21</v>
      </c>
      <c r="H1345" s="145">
        <v>0.31</v>
      </c>
      <c r="I1345" s="145">
        <v>0.21</v>
      </c>
      <c r="J1345" s="145">
        <v>0.01</v>
      </c>
      <c r="K1345" s="145">
        <v>86</v>
      </c>
      <c r="L1345" s="145" t="s">
        <v>400</v>
      </c>
      <c r="M1345" s="145" t="s">
        <v>400</v>
      </c>
      <c r="N1345" s="145">
        <v>15</v>
      </c>
      <c r="O1345" s="145">
        <v>28</v>
      </c>
      <c r="P1345" s="145">
        <v>2.5000000000000001E-2</v>
      </c>
      <c r="Q1345" s="145">
        <v>216</v>
      </c>
      <c r="R1345" s="145">
        <v>1.57</v>
      </c>
      <c r="S1345" s="145">
        <v>56</v>
      </c>
      <c r="T1345" s="145">
        <v>277</v>
      </c>
      <c r="U1345" s="145">
        <v>8.5999999999999993E-2</v>
      </c>
      <c r="V1345" s="145">
        <v>2.08</v>
      </c>
      <c r="W1345" s="145" t="s">
        <v>400</v>
      </c>
      <c r="X1345" s="145">
        <v>4.1000000000000002E-2</v>
      </c>
      <c r="Y1345" s="145">
        <v>0.13600000000000001</v>
      </c>
      <c r="Z1345" s="146">
        <v>0.56999999999999995</v>
      </c>
      <c r="AA1345" s="145">
        <v>6.9359999999999999</v>
      </c>
      <c r="AB1345" s="145" t="s">
        <v>400</v>
      </c>
      <c r="AC1345" s="145">
        <v>12.653</v>
      </c>
      <c r="AD1345" s="145">
        <v>0.39</v>
      </c>
      <c r="AE1345" s="145">
        <v>6</v>
      </c>
      <c r="AF1345" s="145">
        <v>0.4</v>
      </c>
      <c r="AG1345" s="145">
        <v>0.21</v>
      </c>
      <c r="AH1345" s="145">
        <v>0.02</v>
      </c>
      <c r="AI1345" s="146">
        <v>333</v>
      </c>
      <c r="AJ1345" s="145">
        <v>32.1</v>
      </c>
      <c r="AK1345" s="145" t="s">
        <v>400</v>
      </c>
      <c r="AL1345" s="145" t="s">
        <v>400</v>
      </c>
      <c r="AM1345" s="145" t="s">
        <v>400</v>
      </c>
    </row>
    <row r="1346" spans="1:39">
      <c r="A1346" s="143" t="s">
        <v>2406</v>
      </c>
      <c r="B1346" s="144">
        <v>100</v>
      </c>
      <c r="C1346" s="145">
        <v>162.65899999999999</v>
      </c>
      <c r="D1346" s="145">
        <v>30.19</v>
      </c>
      <c r="E1346" s="145">
        <v>3.7429999999999999</v>
      </c>
      <c r="F1346" s="145">
        <v>0.78100000000000003</v>
      </c>
      <c r="G1346" s="145">
        <v>0.79400000000000004</v>
      </c>
      <c r="H1346" s="145">
        <v>1.79</v>
      </c>
      <c r="I1346" s="145">
        <v>1.516</v>
      </c>
      <c r="J1346" s="145">
        <v>0.184</v>
      </c>
      <c r="K1346" s="145">
        <v>86</v>
      </c>
      <c r="L1346" s="145" t="s">
        <v>400</v>
      </c>
      <c r="M1346" s="145" t="s">
        <v>400</v>
      </c>
      <c r="N1346" s="145">
        <v>15</v>
      </c>
      <c r="O1346" s="145">
        <v>28</v>
      </c>
      <c r="P1346" s="145">
        <v>2.5000000000000001E-2</v>
      </c>
      <c r="Q1346" s="145">
        <v>216</v>
      </c>
      <c r="R1346" s="145">
        <v>1.571</v>
      </c>
      <c r="S1346" s="145">
        <v>56</v>
      </c>
      <c r="T1346" s="145">
        <v>277</v>
      </c>
      <c r="U1346" s="145">
        <v>8.5999999999999993E-2</v>
      </c>
      <c r="V1346" s="145">
        <v>2.08</v>
      </c>
      <c r="W1346" s="145" t="s">
        <v>400</v>
      </c>
      <c r="X1346" s="145">
        <v>4.1000000000000002E-2</v>
      </c>
      <c r="Y1346" s="145">
        <v>0.13600000000000001</v>
      </c>
      <c r="Z1346" s="146">
        <v>0.56999999999999995</v>
      </c>
      <c r="AA1346" s="145">
        <v>6.9359999999999999</v>
      </c>
      <c r="AB1346" s="145" t="s">
        <v>400</v>
      </c>
      <c r="AC1346" s="145">
        <v>12.653</v>
      </c>
      <c r="AD1346" s="145">
        <v>0.39</v>
      </c>
      <c r="AE1346" s="145">
        <v>6</v>
      </c>
      <c r="AF1346" s="145">
        <v>0.4</v>
      </c>
      <c r="AG1346" s="145">
        <v>0.42</v>
      </c>
      <c r="AH1346" s="145">
        <v>3.4000000000000002E-2</v>
      </c>
      <c r="AI1346" s="146">
        <v>333</v>
      </c>
      <c r="AJ1346" s="145">
        <v>33.274999999999999</v>
      </c>
      <c r="AK1346" s="145" t="s">
        <v>400</v>
      </c>
      <c r="AL1346" s="145" t="s">
        <v>400</v>
      </c>
      <c r="AM1346" s="145" t="s">
        <v>400</v>
      </c>
    </row>
    <row r="1347" spans="1:39">
      <c r="A1347" s="143" t="s">
        <v>2407</v>
      </c>
      <c r="B1347" s="144">
        <v>100</v>
      </c>
      <c r="C1347" s="145">
        <v>162.65899999999999</v>
      </c>
      <c r="D1347" s="145">
        <v>30.19</v>
      </c>
      <c r="E1347" s="145">
        <v>3.7429999999999999</v>
      </c>
      <c r="F1347" s="145">
        <v>0.78100000000000003</v>
      </c>
      <c r="G1347" s="145">
        <v>0.79400000000000004</v>
      </c>
      <c r="H1347" s="145">
        <v>1.79</v>
      </c>
      <c r="I1347" s="145">
        <v>1.516</v>
      </c>
      <c r="J1347" s="145">
        <v>0.184</v>
      </c>
      <c r="K1347" s="145">
        <v>86</v>
      </c>
      <c r="L1347" s="145" t="s">
        <v>400</v>
      </c>
      <c r="M1347" s="145" t="s">
        <v>400</v>
      </c>
      <c r="N1347" s="145">
        <v>15</v>
      </c>
      <c r="O1347" s="145">
        <v>28</v>
      </c>
      <c r="P1347" s="145">
        <v>2.5000000000000001E-2</v>
      </c>
      <c r="Q1347" s="145">
        <v>216</v>
      </c>
      <c r="R1347" s="145">
        <v>1.571</v>
      </c>
      <c r="S1347" s="145">
        <v>56</v>
      </c>
      <c r="T1347" s="145">
        <v>277</v>
      </c>
      <c r="U1347" s="145">
        <v>8.5999999999999993E-2</v>
      </c>
      <c r="V1347" s="145">
        <v>2.08</v>
      </c>
      <c r="W1347" s="145" t="s">
        <v>400</v>
      </c>
      <c r="X1347" s="145">
        <v>4.1000000000000002E-2</v>
      </c>
      <c r="Y1347" s="145">
        <v>0.13600000000000001</v>
      </c>
      <c r="Z1347" s="146">
        <v>0.56999999999999995</v>
      </c>
      <c r="AA1347" s="145">
        <v>6.9359999999999999</v>
      </c>
      <c r="AB1347" s="145" t="s">
        <v>400</v>
      </c>
      <c r="AC1347" s="145">
        <v>12.653</v>
      </c>
      <c r="AD1347" s="145">
        <v>0.39</v>
      </c>
      <c r="AE1347" s="145">
        <v>6</v>
      </c>
      <c r="AF1347" s="145">
        <v>0.4</v>
      </c>
      <c r="AG1347" s="145">
        <v>0.42</v>
      </c>
      <c r="AH1347" s="145">
        <v>3.4000000000000002E-2</v>
      </c>
      <c r="AI1347" s="146">
        <v>333</v>
      </c>
      <c r="AJ1347" s="145">
        <v>33.274999999999999</v>
      </c>
      <c r="AK1347" s="145" t="s">
        <v>400</v>
      </c>
      <c r="AL1347" s="145" t="s">
        <v>400</v>
      </c>
      <c r="AM1347" s="145" t="s">
        <v>400</v>
      </c>
    </row>
    <row r="1348" spans="1:39">
      <c r="A1348" s="143" t="s">
        <v>2408</v>
      </c>
      <c r="B1348" s="144">
        <v>100</v>
      </c>
      <c r="C1348" s="145">
        <v>140</v>
      </c>
      <c r="D1348" s="145">
        <v>30.19</v>
      </c>
      <c r="E1348" s="145">
        <v>1.18</v>
      </c>
      <c r="F1348" s="145">
        <v>0.38</v>
      </c>
      <c r="G1348" s="145">
        <v>0.21</v>
      </c>
      <c r="H1348" s="145">
        <v>0.31</v>
      </c>
      <c r="I1348" s="145">
        <v>0.21</v>
      </c>
      <c r="J1348" s="145">
        <v>0.01</v>
      </c>
      <c r="K1348" s="145">
        <v>86</v>
      </c>
      <c r="L1348" s="145" t="s">
        <v>400</v>
      </c>
      <c r="M1348" s="145" t="s">
        <v>400</v>
      </c>
      <c r="N1348" s="145">
        <v>15</v>
      </c>
      <c r="O1348" s="145">
        <v>28</v>
      </c>
      <c r="P1348" s="145">
        <v>2.5000000000000001E-2</v>
      </c>
      <c r="Q1348" s="145">
        <v>216</v>
      </c>
      <c r="R1348" s="145">
        <v>1.57</v>
      </c>
      <c r="S1348" s="145">
        <v>56</v>
      </c>
      <c r="T1348" s="145">
        <v>277</v>
      </c>
      <c r="U1348" s="145">
        <v>8.5999999999999993E-2</v>
      </c>
      <c r="V1348" s="145">
        <v>2.08</v>
      </c>
      <c r="W1348" s="145" t="s">
        <v>400</v>
      </c>
      <c r="X1348" s="145">
        <v>4.1000000000000002E-2</v>
      </c>
      <c r="Y1348" s="145">
        <v>0.13600000000000001</v>
      </c>
      <c r="Z1348" s="146">
        <v>0.56999999999999995</v>
      </c>
      <c r="AA1348" s="145">
        <v>6.9359999999999999</v>
      </c>
      <c r="AB1348" s="145" t="s">
        <v>400</v>
      </c>
      <c r="AC1348" s="145">
        <v>12.653</v>
      </c>
      <c r="AD1348" s="145">
        <v>0.39</v>
      </c>
      <c r="AE1348" s="145">
        <v>6</v>
      </c>
      <c r="AF1348" s="145">
        <v>0.4</v>
      </c>
      <c r="AG1348" s="145">
        <v>0.21</v>
      </c>
      <c r="AH1348" s="145">
        <v>0.02</v>
      </c>
      <c r="AI1348" s="146">
        <v>333</v>
      </c>
      <c r="AJ1348" s="145">
        <v>32.1</v>
      </c>
      <c r="AK1348" s="145" t="s">
        <v>400</v>
      </c>
      <c r="AL1348" s="145" t="s">
        <v>400</v>
      </c>
      <c r="AM1348" s="145" t="s">
        <v>400</v>
      </c>
    </row>
    <row r="1349" spans="1:39">
      <c r="A1349" s="143" t="s">
        <v>2409</v>
      </c>
      <c r="B1349" s="144">
        <v>100</v>
      </c>
      <c r="C1349" s="145">
        <v>229</v>
      </c>
      <c r="D1349" s="145">
        <v>27.38</v>
      </c>
      <c r="E1349" s="145">
        <v>12.43</v>
      </c>
      <c r="F1349" s="145">
        <v>3.39</v>
      </c>
      <c r="G1349" s="145">
        <v>4.66</v>
      </c>
      <c r="H1349" s="145">
        <v>2.94</v>
      </c>
      <c r="I1349" s="145">
        <v>2.4900000000000002</v>
      </c>
      <c r="J1349" s="145">
        <v>0.16</v>
      </c>
      <c r="K1349" s="145">
        <v>81</v>
      </c>
      <c r="L1349" s="145" t="s">
        <v>400</v>
      </c>
      <c r="M1349" s="145" t="s">
        <v>400</v>
      </c>
      <c r="N1349" s="145">
        <v>24</v>
      </c>
      <c r="O1349" s="145">
        <v>25</v>
      </c>
      <c r="P1349" s="145">
        <v>0.02</v>
      </c>
      <c r="Q1349" s="145">
        <v>197</v>
      </c>
      <c r="R1349" s="145">
        <v>1.46</v>
      </c>
      <c r="S1349" s="145">
        <v>61</v>
      </c>
      <c r="T1349" s="145">
        <v>266</v>
      </c>
      <c r="U1349" s="145">
        <v>5.6000000000000001E-2</v>
      </c>
      <c r="V1349" s="145">
        <v>2.1</v>
      </c>
      <c r="W1349" s="145">
        <v>34</v>
      </c>
      <c r="X1349" s="145">
        <v>0.05</v>
      </c>
      <c r="Y1349" s="145">
        <v>0.13400000000000001</v>
      </c>
      <c r="Z1349" s="146">
        <v>0.42</v>
      </c>
      <c r="AA1349" s="145">
        <v>5.7320000000000002</v>
      </c>
      <c r="AB1349" s="145" t="s">
        <v>400</v>
      </c>
      <c r="AC1349" s="145">
        <v>10.648999999999999</v>
      </c>
      <c r="AD1349" s="145">
        <v>0.34</v>
      </c>
      <c r="AE1349" s="145">
        <v>6</v>
      </c>
      <c r="AF1349" s="145">
        <v>0.4</v>
      </c>
      <c r="AG1349" s="145">
        <v>0.17</v>
      </c>
      <c r="AH1349" s="145">
        <v>0.25</v>
      </c>
      <c r="AI1349" s="145">
        <v>333</v>
      </c>
      <c r="AJ1349" s="145">
        <v>29.9</v>
      </c>
      <c r="AK1349" s="145">
        <v>34</v>
      </c>
      <c r="AL1349" s="145" t="s">
        <v>400</v>
      </c>
      <c r="AM1349" s="145" t="s">
        <v>400</v>
      </c>
    </row>
    <row r="1350" spans="1:39">
      <c r="A1350" s="143" t="s">
        <v>2410</v>
      </c>
      <c r="B1350" s="144">
        <v>100</v>
      </c>
      <c r="C1350" s="145">
        <v>229</v>
      </c>
      <c r="D1350" s="145">
        <v>27.38</v>
      </c>
      <c r="E1350" s="145">
        <v>12.43</v>
      </c>
      <c r="F1350" s="145">
        <v>3.39</v>
      </c>
      <c r="G1350" s="145">
        <v>4.66</v>
      </c>
      <c r="H1350" s="145">
        <v>2.94</v>
      </c>
      <c r="I1350" s="145">
        <v>2.4900000000000002</v>
      </c>
      <c r="J1350" s="145">
        <v>0.16</v>
      </c>
      <c r="K1350" s="145">
        <v>81</v>
      </c>
      <c r="L1350" s="145" t="s">
        <v>400</v>
      </c>
      <c r="M1350" s="145" t="s">
        <v>400</v>
      </c>
      <c r="N1350" s="145">
        <v>24</v>
      </c>
      <c r="O1350" s="145">
        <v>25</v>
      </c>
      <c r="P1350" s="145">
        <v>0.02</v>
      </c>
      <c r="Q1350" s="145">
        <v>197</v>
      </c>
      <c r="R1350" s="145">
        <v>1.46</v>
      </c>
      <c r="S1350" s="145">
        <v>61</v>
      </c>
      <c r="T1350" s="145">
        <v>266</v>
      </c>
      <c r="U1350" s="145">
        <v>5.6000000000000001E-2</v>
      </c>
      <c r="V1350" s="145">
        <v>2.1</v>
      </c>
      <c r="W1350" s="145">
        <v>34</v>
      </c>
      <c r="X1350" s="145">
        <v>0.05</v>
      </c>
      <c r="Y1350" s="145">
        <v>0.13400000000000001</v>
      </c>
      <c r="Z1350" s="146">
        <v>0.42</v>
      </c>
      <c r="AA1350" s="145">
        <v>5.7320000000000002</v>
      </c>
      <c r="AB1350" s="145" t="s">
        <v>400</v>
      </c>
      <c r="AC1350" s="145">
        <v>10.648999999999999</v>
      </c>
      <c r="AD1350" s="145">
        <v>0.34</v>
      </c>
      <c r="AE1350" s="145">
        <v>6</v>
      </c>
      <c r="AF1350" s="145">
        <v>0.4</v>
      </c>
      <c r="AG1350" s="145">
        <v>0.17</v>
      </c>
      <c r="AH1350" s="145">
        <v>0.25</v>
      </c>
      <c r="AI1350" s="145">
        <v>333</v>
      </c>
      <c r="AJ1350" s="145">
        <v>29.9</v>
      </c>
      <c r="AK1350" s="145">
        <v>34</v>
      </c>
      <c r="AL1350" s="145" t="s">
        <v>400</v>
      </c>
      <c r="AM1350" s="145" t="s">
        <v>400</v>
      </c>
    </row>
    <row r="1351" spans="1:39">
      <c r="A1351" s="143" t="s">
        <v>2411</v>
      </c>
      <c r="B1351" s="144">
        <v>100</v>
      </c>
      <c r="C1351" s="145">
        <v>207</v>
      </c>
      <c r="D1351" s="145">
        <v>26.934999999999999</v>
      </c>
      <c r="E1351" s="145">
        <v>10.234999999999999</v>
      </c>
      <c r="F1351" s="145">
        <v>3.04</v>
      </c>
      <c r="G1351" s="145">
        <v>3.48</v>
      </c>
      <c r="H1351" s="145">
        <v>2.5150000000000001</v>
      </c>
      <c r="I1351" s="145">
        <v>2.13</v>
      </c>
      <c r="J1351" s="145">
        <v>0.1</v>
      </c>
      <c r="K1351" s="145">
        <v>78</v>
      </c>
      <c r="L1351" s="145" t="s">
        <v>400</v>
      </c>
      <c r="M1351" s="145" t="s">
        <v>400</v>
      </c>
      <c r="N1351" s="145">
        <v>21.5</v>
      </c>
      <c r="O1351" s="145">
        <v>22</v>
      </c>
      <c r="P1351" s="145">
        <v>2.1000000000000001E-2</v>
      </c>
      <c r="Q1351" s="145">
        <v>172</v>
      </c>
      <c r="R1351" s="145">
        <v>1.635</v>
      </c>
      <c r="S1351" s="145">
        <v>68</v>
      </c>
      <c r="T1351" s="145">
        <v>224.5</v>
      </c>
      <c r="U1351" s="145">
        <v>9.4E-2</v>
      </c>
      <c r="V1351" s="145">
        <v>2.68</v>
      </c>
      <c r="W1351" s="145">
        <v>24.5</v>
      </c>
      <c r="X1351" s="145">
        <v>4.9000000000000002E-2</v>
      </c>
      <c r="Y1351" s="145">
        <v>0.17</v>
      </c>
      <c r="Z1351" s="146">
        <v>0.29499999999999998</v>
      </c>
      <c r="AA1351" s="145">
        <v>5.3120000000000003</v>
      </c>
      <c r="AB1351" s="145" t="s">
        <v>400</v>
      </c>
      <c r="AC1351" s="145">
        <v>10.345000000000001</v>
      </c>
      <c r="AD1351" s="145">
        <v>0.27500000000000002</v>
      </c>
      <c r="AE1351" s="145">
        <v>6</v>
      </c>
      <c r="AF1351" s="145">
        <v>0.15</v>
      </c>
      <c r="AG1351" s="145">
        <v>0.24</v>
      </c>
      <c r="AH1351" s="145">
        <v>0.215</v>
      </c>
      <c r="AI1351" s="145">
        <v>333</v>
      </c>
      <c r="AJ1351" s="145">
        <v>29.9</v>
      </c>
      <c r="AK1351" s="145">
        <v>24.5</v>
      </c>
      <c r="AL1351" s="145" t="s">
        <v>400</v>
      </c>
      <c r="AM1351" s="145" t="s">
        <v>400</v>
      </c>
    </row>
    <row r="1352" spans="1:39">
      <c r="A1352" s="143" t="s">
        <v>2412</v>
      </c>
      <c r="B1352" s="144">
        <v>100</v>
      </c>
      <c r="C1352" s="145">
        <v>207</v>
      </c>
      <c r="D1352" s="145">
        <v>26.934999999999999</v>
      </c>
      <c r="E1352" s="145">
        <v>10.234999999999999</v>
      </c>
      <c r="F1352" s="145">
        <v>3.04</v>
      </c>
      <c r="G1352" s="145">
        <v>3.48</v>
      </c>
      <c r="H1352" s="145">
        <v>2.5150000000000001</v>
      </c>
      <c r="I1352" s="145">
        <v>2.13</v>
      </c>
      <c r="J1352" s="145">
        <v>0.1</v>
      </c>
      <c r="K1352" s="145">
        <v>78</v>
      </c>
      <c r="L1352" s="145" t="s">
        <v>400</v>
      </c>
      <c r="M1352" s="145" t="s">
        <v>400</v>
      </c>
      <c r="N1352" s="145">
        <v>21.5</v>
      </c>
      <c r="O1352" s="145">
        <v>22</v>
      </c>
      <c r="P1352" s="145">
        <v>2.1000000000000001E-2</v>
      </c>
      <c r="Q1352" s="145">
        <v>172</v>
      </c>
      <c r="R1352" s="145">
        <v>1.635</v>
      </c>
      <c r="S1352" s="145">
        <v>68</v>
      </c>
      <c r="T1352" s="145">
        <v>224.5</v>
      </c>
      <c r="U1352" s="145">
        <v>9.4E-2</v>
      </c>
      <c r="V1352" s="145">
        <v>2.68</v>
      </c>
      <c r="W1352" s="145">
        <v>24.5</v>
      </c>
      <c r="X1352" s="145">
        <v>4.9000000000000002E-2</v>
      </c>
      <c r="Y1352" s="145">
        <v>0.17</v>
      </c>
      <c r="Z1352" s="146">
        <v>0.29499999999999998</v>
      </c>
      <c r="AA1352" s="145">
        <v>5.3120000000000003</v>
      </c>
      <c r="AB1352" s="145" t="s">
        <v>400</v>
      </c>
      <c r="AC1352" s="145">
        <v>10.345000000000001</v>
      </c>
      <c r="AD1352" s="145">
        <v>0.27500000000000002</v>
      </c>
      <c r="AE1352" s="145">
        <v>6</v>
      </c>
      <c r="AF1352" s="145">
        <v>0.15</v>
      </c>
      <c r="AG1352" s="145">
        <v>0.24</v>
      </c>
      <c r="AH1352" s="145">
        <v>0.215</v>
      </c>
      <c r="AI1352" s="145">
        <v>333</v>
      </c>
      <c r="AJ1352" s="145">
        <v>29.9</v>
      </c>
      <c r="AK1352" s="145">
        <v>24.5</v>
      </c>
      <c r="AL1352" s="145" t="s">
        <v>400</v>
      </c>
      <c r="AM1352" s="145" t="s">
        <v>400</v>
      </c>
    </row>
    <row r="1353" spans="1:39">
      <c r="A1353" s="143" t="s">
        <v>2413</v>
      </c>
      <c r="B1353" s="144">
        <v>100</v>
      </c>
      <c r="C1353" s="145">
        <v>207</v>
      </c>
      <c r="D1353" s="145">
        <v>26.934999999999999</v>
      </c>
      <c r="E1353" s="145">
        <v>10.234999999999999</v>
      </c>
      <c r="F1353" s="145">
        <v>3.04</v>
      </c>
      <c r="G1353" s="145">
        <v>3.48</v>
      </c>
      <c r="H1353" s="145">
        <v>2.5150000000000001</v>
      </c>
      <c r="I1353" s="145">
        <v>2.13</v>
      </c>
      <c r="J1353" s="145">
        <v>0.1</v>
      </c>
      <c r="K1353" s="145">
        <v>78</v>
      </c>
      <c r="L1353" s="145" t="s">
        <v>400</v>
      </c>
      <c r="M1353" s="145" t="s">
        <v>400</v>
      </c>
      <c r="N1353" s="145">
        <v>21.5</v>
      </c>
      <c r="O1353" s="145">
        <v>22</v>
      </c>
      <c r="P1353" s="145">
        <v>2.1000000000000001E-2</v>
      </c>
      <c r="Q1353" s="145">
        <v>172</v>
      </c>
      <c r="R1353" s="145">
        <v>1.635</v>
      </c>
      <c r="S1353" s="145">
        <v>68</v>
      </c>
      <c r="T1353" s="145">
        <v>224.5</v>
      </c>
      <c r="U1353" s="145">
        <v>9.4E-2</v>
      </c>
      <c r="V1353" s="145">
        <v>2.68</v>
      </c>
      <c r="W1353" s="145">
        <v>24.5</v>
      </c>
      <c r="X1353" s="145">
        <v>4.9000000000000002E-2</v>
      </c>
      <c r="Y1353" s="145">
        <v>0.17</v>
      </c>
      <c r="Z1353" s="146">
        <v>0.29499999999999998</v>
      </c>
      <c r="AA1353" s="145">
        <v>5.3120000000000003</v>
      </c>
      <c r="AB1353" s="145" t="s">
        <v>400</v>
      </c>
      <c r="AC1353" s="145">
        <v>10.345000000000001</v>
      </c>
      <c r="AD1353" s="145">
        <v>0.27500000000000002</v>
      </c>
      <c r="AE1353" s="145">
        <v>6</v>
      </c>
      <c r="AF1353" s="145">
        <v>0.15</v>
      </c>
      <c r="AG1353" s="145">
        <v>0.24</v>
      </c>
      <c r="AH1353" s="145">
        <v>0.215</v>
      </c>
      <c r="AI1353" s="145">
        <v>333</v>
      </c>
      <c r="AJ1353" s="145">
        <v>29.9</v>
      </c>
      <c r="AK1353" s="145">
        <v>24.5</v>
      </c>
      <c r="AL1353" s="145" t="s">
        <v>400</v>
      </c>
      <c r="AM1353" s="145" t="s">
        <v>400</v>
      </c>
    </row>
    <row r="1354" spans="1:39">
      <c r="A1354" s="143" t="s">
        <v>2414</v>
      </c>
      <c r="B1354" s="144">
        <v>100</v>
      </c>
      <c r="C1354" s="145">
        <v>178</v>
      </c>
      <c r="D1354" s="145">
        <v>22.62</v>
      </c>
      <c r="E1354" s="145">
        <v>9.02</v>
      </c>
      <c r="F1354" s="145">
        <v>3.12</v>
      </c>
      <c r="G1354" s="145">
        <v>4.4400000000000004</v>
      </c>
      <c r="H1354" s="145">
        <v>1.41</v>
      </c>
      <c r="I1354" s="145">
        <v>1.17</v>
      </c>
      <c r="J1354" s="145">
        <v>0.24</v>
      </c>
      <c r="K1354" s="145">
        <v>59</v>
      </c>
      <c r="L1354" s="145" t="s">
        <v>400</v>
      </c>
      <c r="M1354" s="145" t="s">
        <v>400</v>
      </c>
      <c r="N1354" s="145">
        <v>8</v>
      </c>
      <c r="O1354" s="145">
        <v>22</v>
      </c>
      <c r="P1354" s="145">
        <v>4.1000000000000002E-2</v>
      </c>
      <c r="Q1354" s="145">
        <v>281</v>
      </c>
      <c r="R1354" s="145">
        <v>1.34</v>
      </c>
      <c r="S1354" s="145">
        <v>1500</v>
      </c>
      <c r="T1354" s="145">
        <v>409</v>
      </c>
      <c r="U1354" s="145">
        <v>0.14499999999999999</v>
      </c>
      <c r="V1354" s="145">
        <v>2.4700000000000002</v>
      </c>
      <c r="W1354" s="145" t="s">
        <v>400</v>
      </c>
      <c r="X1354" s="145">
        <v>0.73</v>
      </c>
      <c r="Y1354" s="145">
        <v>0.33</v>
      </c>
      <c r="Z1354" s="146">
        <v>0.31</v>
      </c>
      <c r="AA1354" s="145">
        <v>6.15</v>
      </c>
      <c r="AB1354" s="145" t="s">
        <v>400</v>
      </c>
      <c r="AC1354" s="145">
        <v>10.117000000000001</v>
      </c>
      <c r="AD1354" s="145">
        <v>0.7</v>
      </c>
      <c r="AE1354" s="145">
        <v>3</v>
      </c>
      <c r="AF1354" s="145">
        <v>0.8</v>
      </c>
      <c r="AG1354" s="145">
        <v>0.31</v>
      </c>
      <c r="AH1354" s="145">
        <v>2.7E-2</v>
      </c>
      <c r="AI1354" s="145" t="s">
        <v>400</v>
      </c>
      <c r="AJ1354" s="145">
        <v>19.8</v>
      </c>
      <c r="AK1354" s="145" t="s">
        <v>400</v>
      </c>
      <c r="AL1354" s="145" t="s">
        <v>400</v>
      </c>
      <c r="AM1354" s="145" t="s">
        <v>400</v>
      </c>
    </row>
    <row r="1355" spans="1:39">
      <c r="A1355" s="143" t="s">
        <v>2415</v>
      </c>
      <c r="B1355" s="144">
        <v>100</v>
      </c>
      <c r="C1355" s="145">
        <v>219</v>
      </c>
      <c r="D1355" s="145">
        <v>23.9</v>
      </c>
      <c r="E1355" s="145">
        <v>13</v>
      </c>
      <c r="F1355" s="145">
        <v>3.7389999999999999</v>
      </c>
      <c r="G1355" s="145">
        <v>5.4619999999999997</v>
      </c>
      <c r="H1355" s="145">
        <v>2.7330000000000001</v>
      </c>
      <c r="I1355" s="145">
        <v>2.3239999999999998</v>
      </c>
      <c r="J1355" s="145">
        <v>9.6000000000000002E-2</v>
      </c>
      <c r="K1355" s="145">
        <v>116</v>
      </c>
      <c r="L1355" s="145" t="s">
        <v>400</v>
      </c>
      <c r="M1355" s="145" t="s">
        <v>400</v>
      </c>
      <c r="N1355" s="145">
        <v>17</v>
      </c>
      <c r="O1355" s="145">
        <v>26</v>
      </c>
      <c r="P1355" s="145">
        <v>1.7000000000000001E-2</v>
      </c>
      <c r="Q1355" s="145">
        <v>332</v>
      </c>
      <c r="R1355" s="145">
        <v>5.91</v>
      </c>
      <c r="S1355" s="145">
        <v>57</v>
      </c>
      <c r="T1355" s="145">
        <v>256</v>
      </c>
      <c r="U1355" s="145">
        <v>0.76300000000000001</v>
      </c>
      <c r="V1355" s="145">
        <v>3.83</v>
      </c>
      <c r="W1355" s="145">
        <v>28</v>
      </c>
      <c r="X1355" s="145">
        <v>0.28000000000000003</v>
      </c>
      <c r="Y1355" s="145">
        <v>0.35</v>
      </c>
      <c r="Z1355" s="145">
        <v>0.56999999999999995</v>
      </c>
      <c r="AA1355" s="145">
        <v>7.6</v>
      </c>
      <c r="AB1355" s="145">
        <v>2.9</v>
      </c>
      <c r="AC1355" s="145">
        <v>13.382999999999999</v>
      </c>
      <c r="AD1355" s="145">
        <v>0.41</v>
      </c>
      <c r="AE1355" s="145">
        <v>6</v>
      </c>
      <c r="AF1355" s="145" t="s">
        <v>400</v>
      </c>
      <c r="AG1355" s="145">
        <v>0.06</v>
      </c>
      <c r="AH1355" s="145">
        <v>0.25700000000000001</v>
      </c>
      <c r="AI1355" s="145">
        <v>333</v>
      </c>
      <c r="AJ1355" s="145">
        <v>20.100000000000001</v>
      </c>
      <c r="AK1355" s="145">
        <v>28</v>
      </c>
      <c r="AL1355" s="145" t="s">
        <v>400</v>
      </c>
      <c r="AM1355" s="145" t="s">
        <v>400</v>
      </c>
    </row>
    <row r="1356" spans="1:39">
      <c r="A1356" s="143" t="s">
        <v>2416</v>
      </c>
      <c r="B1356" s="144">
        <v>100</v>
      </c>
      <c r="C1356" s="145">
        <v>273.01600000000002</v>
      </c>
      <c r="D1356" s="145">
        <v>16.236999999999998</v>
      </c>
      <c r="E1356" s="145">
        <v>15.63</v>
      </c>
      <c r="F1356" s="145">
        <v>3.6190000000000002</v>
      </c>
      <c r="G1356" s="145">
        <v>7.431</v>
      </c>
      <c r="H1356" s="145">
        <v>2.5720000000000001</v>
      </c>
      <c r="I1356" s="145">
        <v>2.3410000000000002</v>
      </c>
      <c r="J1356" s="145">
        <v>0.13700000000000001</v>
      </c>
      <c r="K1356" s="145">
        <v>39.844000000000001</v>
      </c>
      <c r="L1356" s="145">
        <v>15.912000000000001</v>
      </c>
      <c r="M1356" s="145">
        <v>0.64300000000000002</v>
      </c>
      <c r="N1356" s="145">
        <v>9.8450000000000006</v>
      </c>
      <c r="O1356" s="145">
        <v>17.73</v>
      </c>
      <c r="P1356" s="145">
        <v>0.107</v>
      </c>
      <c r="Q1356" s="145">
        <v>121.51600000000001</v>
      </c>
      <c r="R1356" s="145">
        <v>1.36</v>
      </c>
      <c r="S1356" s="145">
        <v>704.38</v>
      </c>
      <c r="T1356" s="145">
        <v>138.84100000000001</v>
      </c>
      <c r="U1356" s="145">
        <v>4.7E-2</v>
      </c>
      <c r="V1356" s="145">
        <v>0.71099999999999997</v>
      </c>
      <c r="W1356" s="145">
        <v>4.2190000000000003</v>
      </c>
      <c r="X1356" s="145">
        <v>0.16700000000000001</v>
      </c>
      <c r="Y1356" s="145">
        <v>0.14199999999999999</v>
      </c>
      <c r="Z1356" s="146">
        <v>0.29899999999999999</v>
      </c>
      <c r="AA1356" s="145">
        <v>6.8920000000000003</v>
      </c>
      <c r="AB1356" s="145" t="s">
        <v>400</v>
      </c>
      <c r="AC1356" s="145">
        <v>10.018000000000001</v>
      </c>
      <c r="AD1356" s="145">
        <v>0.159</v>
      </c>
      <c r="AE1356" s="145">
        <v>35</v>
      </c>
      <c r="AF1356" s="145">
        <v>9.4E-2</v>
      </c>
      <c r="AG1356" s="145">
        <v>1.087</v>
      </c>
      <c r="AH1356" s="145">
        <v>3.008</v>
      </c>
      <c r="AI1356" s="145" t="s">
        <v>400</v>
      </c>
      <c r="AJ1356" s="145">
        <v>16.445</v>
      </c>
      <c r="AK1356" s="145">
        <v>4.8879999999999999</v>
      </c>
      <c r="AL1356" s="145">
        <v>0.14299999999999999</v>
      </c>
      <c r="AM1356" s="145" t="s">
        <v>400</v>
      </c>
    </row>
    <row r="1357" spans="1:39">
      <c r="A1357" s="143" t="s">
        <v>2417</v>
      </c>
      <c r="B1357" s="144">
        <v>100</v>
      </c>
      <c r="C1357" s="145">
        <v>273.01600000000002</v>
      </c>
      <c r="D1357" s="145">
        <v>16.236999999999998</v>
      </c>
      <c r="E1357" s="145">
        <v>15.63</v>
      </c>
      <c r="F1357" s="145">
        <v>3.6190000000000002</v>
      </c>
      <c r="G1357" s="145">
        <v>7.431</v>
      </c>
      <c r="H1357" s="145">
        <v>2.5720000000000001</v>
      </c>
      <c r="I1357" s="145">
        <v>2.3410000000000002</v>
      </c>
      <c r="J1357" s="145">
        <v>0.13700000000000001</v>
      </c>
      <c r="K1357" s="145">
        <v>39.844000000000001</v>
      </c>
      <c r="L1357" s="145">
        <v>15.912000000000001</v>
      </c>
      <c r="M1357" s="145">
        <v>0.64300000000000002</v>
      </c>
      <c r="N1357" s="145">
        <v>9.8450000000000006</v>
      </c>
      <c r="O1357" s="145">
        <v>17.73</v>
      </c>
      <c r="P1357" s="145">
        <v>0.107</v>
      </c>
      <c r="Q1357" s="145">
        <v>121.51600000000001</v>
      </c>
      <c r="R1357" s="145">
        <v>1.36</v>
      </c>
      <c r="S1357" s="145">
        <v>704.38</v>
      </c>
      <c r="T1357" s="145">
        <v>138.84100000000001</v>
      </c>
      <c r="U1357" s="145">
        <v>4.7E-2</v>
      </c>
      <c r="V1357" s="145">
        <v>0.71099999999999997</v>
      </c>
      <c r="W1357" s="145">
        <v>4.2190000000000003</v>
      </c>
      <c r="X1357" s="145">
        <v>0.16700000000000001</v>
      </c>
      <c r="Y1357" s="145">
        <v>0.14199999999999999</v>
      </c>
      <c r="Z1357" s="146">
        <v>0.29899999999999999</v>
      </c>
      <c r="AA1357" s="145">
        <v>6.8920000000000003</v>
      </c>
      <c r="AB1357" s="145" t="s">
        <v>400</v>
      </c>
      <c r="AC1357" s="145">
        <v>10.018000000000001</v>
      </c>
      <c r="AD1357" s="145">
        <v>0.159</v>
      </c>
      <c r="AE1357" s="145">
        <v>35</v>
      </c>
      <c r="AF1357" s="145">
        <v>9.4E-2</v>
      </c>
      <c r="AG1357" s="145">
        <v>1.087</v>
      </c>
      <c r="AH1357" s="145">
        <v>3.008</v>
      </c>
      <c r="AI1357" s="145" t="s">
        <v>400</v>
      </c>
      <c r="AJ1357" s="145">
        <v>16.445</v>
      </c>
      <c r="AK1357" s="145">
        <v>4.8879999999999999</v>
      </c>
      <c r="AL1357" s="145">
        <v>0.14299999999999999</v>
      </c>
      <c r="AM1357" s="145" t="s">
        <v>400</v>
      </c>
    </row>
    <row r="1358" spans="1:39">
      <c r="A1358" s="143" t="s">
        <v>2418</v>
      </c>
      <c r="B1358" s="144">
        <v>100</v>
      </c>
      <c r="C1358" s="145">
        <v>273.01600000000002</v>
      </c>
      <c r="D1358" s="145">
        <v>16.236999999999998</v>
      </c>
      <c r="E1358" s="145">
        <v>15.63</v>
      </c>
      <c r="F1358" s="145">
        <v>3.6190000000000002</v>
      </c>
      <c r="G1358" s="145">
        <v>7.431</v>
      </c>
      <c r="H1358" s="145">
        <v>2.5720000000000001</v>
      </c>
      <c r="I1358" s="145">
        <v>2.3410000000000002</v>
      </c>
      <c r="J1358" s="145">
        <v>0.13700000000000001</v>
      </c>
      <c r="K1358" s="145">
        <v>39.844000000000001</v>
      </c>
      <c r="L1358" s="145">
        <v>15.912000000000001</v>
      </c>
      <c r="M1358" s="145">
        <v>0.64300000000000002</v>
      </c>
      <c r="N1358" s="145">
        <v>9.8450000000000006</v>
      </c>
      <c r="O1358" s="145">
        <v>17.73</v>
      </c>
      <c r="P1358" s="145">
        <v>0.107</v>
      </c>
      <c r="Q1358" s="145">
        <v>121.51600000000001</v>
      </c>
      <c r="R1358" s="145">
        <v>1.36</v>
      </c>
      <c r="S1358" s="145">
        <v>704.38</v>
      </c>
      <c r="T1358" s="145">
        <v>138.84100000000001</v>
      </c>
      <c r="U1358" s="145">
        <v>4.7E-2</v>
      </c>
      <c r="V1358" s="145">
        <v>0.71099999999999997</v>
      </c>
      <c r="W1358" s="145">
        <v>4.2190000000000003</v>
      </c>
      <c r="X1358" s="145">
        <v>0.16700000000000001</v>
      </c>
      <c r="Y1358" s="145">
        <v>0.14199999999999999</v>
      </c>
      <c r="Z1358" s="146">
        <v>0.29899999999999999</v>
      </c>
      <c r="AA1358" s="145">
        <v>6.8920000000000003</v>
      </c>
      <c r="AB1358" s="145" t="s">
        <v>400</v>
      </c>
      <c r="AC1358" s="145">
        <v>10.018000000000001</v>
      </c>
      <c r="AD1358" s="145">
        <v>0.159</v>
      </c>
      <c r="AE1358" s="145">
        <v>35</v>
      </c>
      <c r="AF1358" s="145">
        <v>9.4E-2</v>
      </c>
      <c r="AG1358" s="145">
        <v>1.087</v>
      </c>
      <c r="AH1358" s="145">
        <v>3.008</v>
      </c>
      <c r="AI1358" s="145" t="s">
        <v>400</v>
      </c>
      <c r="AJ1358" s="145">
        <v>16.445</v>
      </c>
      <c r="AK1358" s="145">
        <v>4.8879999999999999</v>
      </c>
      <c r="AL1358" s="145">
        <v>0.14299999999999999</v>
      </c>
      <c r="AM1358" s="145" t="s">
        <v>400</v>
      </c>
    </row>
    <row r="1359" spans="1:39">
      <c r="A1359" s="143" t="s">
        <v>2419</v>
      </c>
      <c r="B1359" s="144">
        <v>100</v>
      </c>
      <c r="C1359" s="145">
        <v>273.01600000000002</v>
      </c>
      <c r="D1359" s="145">
        <v>16.236999999999998</v>
      </c>
      <c r="E1359" s="145">
        <v>15.63</v>
      </c>
      <c r="F1359" s="145">
        <v>3.6190000000000002</v>
      </c>
      <c r="G1359" s="145">
        <v>7.431</v>
      </c>
      <c r="H1359" s="145">
        <v>2.5720000000000001</v>
      </c>
      <c r="I1359" s="145">
        <v>2.3410000000000002</v>
      </c>
      <c r="J1359" s="145">
        <v>0.13700000000000001</v>
      </c>
      <c r="K1359" s="145">
        <v>39.844000000000001</v>
      </c>
      <c r="L1359" s="145">
        <v>15.912000000000001</v>
      </c>
      <c r="M1359" s="145">
        <v>0.64300000000000002</v>
      </c>
      <c r="N1359" s="145">
        <v>9.8450000000000006</v>
      </c>
      <c r="O1359" s="145">
        <v>17.73</v>
      </c>
      <c r="P1359" s="145">
        <v>0.107</v>
      </c>
      <c r="Q1359" s="145">
        <v>121.51600000000001</v>
      </c>
      <c r="R1359" s="145">
        <v>1.36</v>
      </c>
      <c r="S1359" s="145">
        <v>704.38</v>
      </c>
      <c r="T1359" s="145">
        <v>138.84100000000001</v>
      </c>
      <c r="U1359" s="145">
        <v>4.7E-2</v>
      </c>
      <c r="V1359" s="145">
        <v>0.71099999999999997</v>
      </c>
      <c r="W1359" s="145">
        <v>4.2190000000000003</v>
      </c>
      <c r="X1359" s="145">
        <v>0.16700000000000001</v>
      </c>
      <c r="Y1359" s="145">
        <v>0.14199999999999999</v>
      </c>
      <c r="Z1359" s="146">
        <v>0.29899999999999999</v>
      </c>
      <c r="AA1359" s="145">
        <v>6.8920000000000003</v>
      </c>
      <c r="AB1359" s="145" t="s">
        <v>400</v>
      </c>
      <c r="AC1359" s="145">
        <v>10.018000000000001</v>
      </c>
      <c r="AD1359" s="145">
        <v>0.159</v>
      </c>
      <c r="AE1359" s="145">
        <v>35</v>
      </c>
      <c r="AF1359" s="145">
        <v>9.4E-2</v>
      </c>
      <c r="AG1359" s="145">
        <v>1.087</v>
      </c>
      <c r="AH1359" s="145">
        <v>3.008</v>
      </c>
      <c r="AI1359" s="145" t="s">
        <v>400</v>
      </c>
      <c r="AJ1359" s="145">
        <v>16.445</v>
      </c>
      <c r="AK1359" s="145">
        <v>4.8879999999999999</v>
      </c>
      <c r="AL1359" s="145">
        <v>0.14299999999999999</v>
      </c>
      <c r="AM1359" s="145" t="s">
        <v>400</v>
      </c>
    </row>
    <row r="1360" spans="1:39">
      <c r="A1360" s="143" t="s">
        <v>2420</v>
      </c>
      <c r="B1360" s="144">
        <v>100</v>
      </c>
      <c r="C1360" s="145">
        <v>273.01600000000002</v>
      </c>
      <c r="D1360" s="145">
        <v>16.236999999999998</v>
      </c>
      <c r="E1360" s="145">
        <v>15.63</v>
      </c>
      <c r="F1360" s="145">
        <v>3.6190000000000002</v>
      </c>
      <c r="G1360" s="145">
        <v>7.431</v>
      </c>
      <c r="H1360" s="145">
        <v>2.5720000000000001</v>
      </c>
      <c r="I1360" s="145">
        <v>2.3410000000000002</v>
      </c>
      <c r="J1360" s="145">
        <v>0.13700000000000001</v>
      </c>
      <c r="K1360" s="145">
        <v>39.844000000000001</v>
      </c>
      <c r="L1360" s="145">
        <v>15.912000000000001</v>
      </c>
      <c r="M1360" s="145">
        <v>0.64300000000000002</v>
      </c>
      <c r="N1360" s="145">
        <v>9.8450000000000006</v>
      </c>
      <c r="O1360" s="145">
        <v>17.73</v>
      </c>
      <c r="P1360" s="145">
        <v>0.107</v>
      </c>
      <c r="Q1360" s="145">
        <v>121.51600000000001</v>
      </c>
      <c r="R1360" s="145">
        <v>1.36</v>
      </c>
      <c r="S1360" s="145">
        <v>704.38</v>
      </c>
      <c r="T1360" s="145">
        <v>138.84100000000001</v>
      </c>
      <c r="U1360" s="145">
        <v>4.7E-2</v>
      </c>
      <c r="V1360" s="145">
        <v>0.71099999999999997</v>
      </c>
      <c r="W1360" s="145">
        <v>4.2190000000000003</v>
      </c>
      <c r="X1360" s="145">
        <v>0.16700000000000001</v>
      </c>
      <c r="Y1360" s="145">
        <v>0.14199999999999999</v>
      </c>
      <c r="Z1360" s="146">
        <v>0.29899999999999999</v>
      </c>
      <c r="AA1360" s="145">
        <v>6.8920000000000003</v>
      </c>
      <c r="AB1360" s="145" t="s">
        <v>400</v>
      </c>
      <c r="AC1360" s="145">
        <v>10.018000000000001</v>
      </c>
      <c r="AD1360" s="145">
        <v>0.159</v>
      </c>
      <c r="AE1360" s="145">
        <v>35</v>
      </c>
      <c r="AF1360" s="145">
        <v>9.4E-2</v>
      </c>
      <c r="AG1360" s="145">
        <v>1.087</v>
      </c>
      <c r="AH1360" s="145">
        <v>3.008</v>
      </c>
      <c r="AI1360" s="145" t="s">
        <v>400</v>
      </c>
      <c r="AJ1360" s="145">
        <v>16.445</v>
      </c>
      <c r="AK1360" s="145">
        <v>4.8879999999999999</v>
      </c>
      <c r="AL1360" s="145">
        <v>0.14299999999999999</v>
      </c>
      <c r="AM1360" s="145" t="s">
        <v>400</v>
      </c>
    </row>
    <row r="1361" spans="1:39">
      <c r="A1361" s="143" t="s">
        <v>2421</v>
      </c>
      <c r="B1361" s="144">
        <v>100</v>
      </c>
      <c r="C1361" s="145">
        <v>211.83699999999999</v>
      </c>
      <c r="D1361" s="145">
        <v>31.369</v>
      </c>
      <c r="E1361" s="145">
        <v>7.117</v>
      </c>
      <c r="F1361" s="145">
        <v>1.6779999999999999</v>
      </c>
      <c r="G1361" s="145">
        <v>2.1280000000000001</v>
      </c>
      <c r="H1361" s="145">
        <v>2.4780000000000002</v>
      </c>
      <c r="I1361" s="145">
        <v>2.0630000000000002</v>
      </c>
      <c r="J1361" s="145">
        <v>0.215</v>
      </c>
      <c r="K1361" s="145">
        <v>85</v>
      </c>
      <c r="L1361" s="145">
        <v>3.3919999999999999</v>
      </c>
      <c r="M1361" s="145">
        <v>0.13500000000000001</v>
      </c>
      <c r="N1361" s="145">
        <v>15.667</v>
      </c>
      <c r="O1361" s="145">
        <v>27.978000000000002</v>
      </c>
      <c r="P1361" s="145">
        <v>4.7E-2</v>
      </c>
      <c r="Q1361" s="145">
        <v>220.8</v>
      </c>
      <c r="R1361" s="145">
        <v>1.268</v>
      </c>
      <c r="S1361" s="145">
        <v>77.088999999999999</v>
      </c>
      <c r="T1361" s="145">
        <v>251.756</v>
      </c>
      <c r="U1361" s="145">
        <v>5.6000000000000001E-2</v>
      </c>
      <c r="V1361" s="145">
        <v>1.2609999999999999</v>
      </c>
      <c r="W1361" s="145">
        <v>9</v>
      </c>
      <c r="X1361" s="145">
        <v>0.1</v>
      </c>
      <c r="Y1361" s="145">
        <v>0.13800000000000001</v>
      </c>
      <c r="Z1361" s="146">
        <v>0.60199999999999998</v>
      </c>
      <c r="AA1361" s="145">
        <v>12.683</v>
      </c>
      <c r="AB1361" s="145" t="s">
        <v>400</v>
      </c>
      <c r="AC1361" s="145">
        <v>18.794</v>
      </c>
      <c r="AD1361" s="145">
        <v>0.34</v>
      </c>
      <c r="AE1361" s="145">
        <v>13.067</v>
      </c>
      <c r="AF1361" s="145">
        <v>0.2</v>
      </c>
      <c r="AG1361" s="145">
        <v>0.48199999999999998</v>
      </c>
      <c r="AH1361" s="145">
        <v>0.104</v>
      </c>
      <c r="AI1361" s="145">
        <v>333</v>
      </c>
      <c r="AJ1361" s="145">
        <v>27.081</v>
      </c>
      <c r="AK1361" s="145">
        <v>9</v>
      </c>
      <c r="AL1361" s="145">
        <v>1.4E-2</v>
      </c>
      <c r="AM1361" s="145" t="s">
        <v>400</v>
      </c>
    </row>
    <row r="1362" spans="1:39">
      <c r="A1362" s="143" t="s">
        <v>2422</v>
      </c>
      <c r="B1362" s="144">
        <v>100</v>
      </c>
      <c r="C1362" s="145">
        <v>211.83699999999999</v>
      </c>
      <c r="D1362" s="145">
        <v>31.369</v>
      </c>
      <c r="E1362" s="145">
        <v>7.117</v>
      </c>
      <c r="F1362" s="145">
        <v>1.6779999999999999</v>
      </c>
      <c r="G1362" s="145">
        <v>2.1280000000000001</v>
      </c>
      <c r="H1362" s="145">
        <v>2.4780000000000002</v>
      </c>
      <c r="I1362" s="145">
        <v>2.0630000000000002</v>
      </c>
      <c r="J1362" s="145">
        <v>0.215</v>
      </c>
      <c r="K1362" s="145">
        <v>85</v>
      </c>
      <c r="L1362" s="145">
        <v>3.3919999999999999</v>
      </c>
      <c r="M1362" s="145">
        <v>0.13500000000000001</v>
      </c>
      <c r="N1362" s="145">
        <v>15.667</v>
      </c>
      <c r="O1362" s="145">
        <v>27.978000000000002</v>
      </c>
      <c r="P1362" s="145">
        <v>4.7E-2</v>
      </c>
      <c r="Q1362" s="145">
        <v>220.8</v>
      </c>
      <c r="R1362" s="145">
        <v>1.268</v>
      </c>
      <c r="S1362" s="145">
        <v>77.088999999999999</v>
      </c>
      <c r="T1362" s="145">
        <v>251.756</v>
      </c>
      <c r="U1362" s="145">
        <v>5.6000000000000001E-2</v>
      </c>
      <c r="V1362" s="145">
        <v>1.2609999999999999</v>
      </c>
      <c r="W1362" s="145">
        <v>9</v>
      </c>
      <c r="X1362" s="145">
        <v>0.1</v>
      </c>
      <c r="Y1362" s="145">
        <v>0.13800000000000001</v>
      </c>
      <c r="Z1362" s="146">
        <v>0.60199999999999998</v>
      </c>
      <c r="AA1362" s="145">
        <v>12.683</v>
      </c>
      <c r="AB1362" s="145" t="s">
        <v>400</v>
      </c>
      <c r="AC1362" s="145">
        <v>18.794</v>
      </c>
      <c r="AD1362" s="145">
        <v>0.34</v>
      </c>
      <c r="AE1362" s="145">
        <v>13.067</v>
      </c>
      <c r="AF1362" s="145">
        <v>0.2</v>
      </c>
      <c r="AG1362" s="145">
        <v>0.48199999999999998</v>
      </c>
      <c r="AH1362" s="145">
        <v>0.104</v>
      </c>
      <c r="AI1362" s="145">
        <v>333</v>
      </c>
      <c r="AJ1362" s="145">
        <v>27.081</v>
      </c>
      <c r="AK1362" s="145">
        <v>9</v>
      </c>
      <c r="AL1362" s="145">
        <v>1.4E-2</v>
      </c>
      <c r="AM1362" s="145" t="s">
        <v>400</v>
      </c>
    </row>
    <row r="1363" spans="1:39">
      <c r="A1363" s="143" t="s">
        <v>2423</v>
      </c>
      <c r="B1363" s="144">
        <v>100</v>
      </c>
      <c r="C1363" s="145">
        <v>211.83699999999999</v>
      </c>
      <c r="D1363" s="145">
        <v>31.369</v>
      </c>
      <c r="E1363" s="145">
        <v>7.117</v>
      </c>
      <c r="F1363" s="145">
        <v>1.6779999999999999</v>
      </c>
      <c r="G1363" s="145">
        <v>2.1280000000000001</v>
      </c>
      <c r="H1363" s="145">
        <v>2.4780000000000002</v>
      </c>
      <c r="I1363" s="145">
        <v>2.0630000000000002</v>
      </c>
      <c r="J1363" s="145">
        <v>0.215</v>
      </c>
      <c r="K1363" s="145">
        <v>85</v>
      </c>
      <c r="L1363" s="145">
        <v>3.3919999999999999</v>
      </c>
      <c r="M1363" s="145">
        <v>0.13500000000000001</v>
      </c>
      <c r="N1363" s="145">
        <v>15.667</v>
      </c>
      <c r="O1363" s="145">
        <v>27.978000000000002</v>
      </c>
      <c r="P1363" s="145">
        <v>4.7E-2</v>
      </c>
      <c r="Q1363" s="145">
        <v>220.8</v>
      </c>
      <c r="R1363" s="145">
        <v>1.268</v>
      </c>
      <c r="S1363" s="145">
        <v>77.088999999999999</v>
      </c>
      <c r="T1363" s="145">
        <v>251.756</v>
      </c>
      <c r="U1363" s="145">
        <v>5.6000000000000001E-2</v>
      </c>
      <c r="V1363" s="145">
        <v>1.2609999999999999</v>
      </c>
      <c r="W1363" s="145">
        <v>9</v>
      </c>
      <c r="X1363" s="145">
        <v>0.1</v>
      </c>
      <c r="Y1363" s="145">
        <v>0.13800000000000001</v>
      </c>
      <c r="Z1363" s="146">
        <v>0.60199999999999998</v>
      </c>
      <c r="AA1363" s="145">
        <v>12.683</v>
      </c>
      <c r="AB1363" s="145" t="s">
        <v>400</v>
      </c>
      <c r="AC1363" s="145">
        <v>18.794</v>
      </c>
      <c r="AD1363" s="145">
        <v>0.34</v>
      </c>
      <c r="AE1363" s="145">
        <v>13.067</v>
      </c>
      <c r="AF1363" s="145">
        <v>0.2</v>
      </c>
      <c r="AG1363" s="145">
        <v>0.48199999999999998</v>
      </c>
      <c r="AH1363" s="145">
        <v>0.104</v>
      </c>
      <c r="AI1363" s="145">
        <v>333</v>
      </c>
      <c r="AJ1363" s="145">
        <v>27.081</v>
      </c>
      <c r="AK1363" s="145">
        <v>9</v>
      </c>
      <c r="AL1363" s="145">
        <v>1.4E-2</v>
      </c>
      <c r="AM1363" s="145" t="s">
        <v>400</v>
      </c>
    </row>
    <row r="1364" spans="1:39">
      <c r="A1364" s="143" t="s">
        <v>2424</v>
      </c>
      <c r="B1364" s="144">
        <v>100</v>
      </c>
      <c r="C1364" s="145">
        <v>211.83699999999999</v>
      </c>
      <c r="D1364" s="145">
        <v>31.369</v>
      </c>
      <c r="E1364" s="145">
        <v>7.117</v>
      </c>
      <c r="F1364" s="145">
        <v>1.6779999999999999</v>
      </c>
      <c r="G1364" s="145">
        <v>2.1280000000000001</v>
      </c>
      <c r="H1364" s="145">
        <v>2.4780000000000002</v>
      </c>
      <c r="I1364" s="145">
        <v>2.0630000000000002</v>
      </c>
      <c r="J1364" s="145">
        <v>0.215</v>
      </c>
      <c r="K1364" s="145">
        <v>85</v>
      </c>
      <c r="L1364" s="145">
        <v>3.3919999999999999</v>
      </c>
      <c r="M1364" s="145">
        <v>0.13500000000000001</v>
      </c>
      <c r="N1364" s="145">
        <v>15.667</v>
      </c>
      <c r="O1364" s="145">
        <v>27.978000000000002</v>
      </c>
      <c r="P1364" s="145">
        <v>4.7E-2</v>
      </c>
      <c r="Q1364" s="145">
        <v>220.8</v>
      </c>
      <c r="R1364" s="145">
        <v>1.268</v>
      </c>
      <c r="S1364" s="145">
        <v>77.088999999999999</v>
      </c>
      <c r="T1364" s="145">
        <v>251.756</v>
      </c>
      <c r="U1364" s="145">
        <v>5.6000000000000001E-2</v>
      </c>
      <c r="V1364" s="145">
        <v>1.2609999999999999</v>
      </c>
      <c r="W1364" s="145">
        <v>9</v>
      </c>
      <c r="X1364" s="145">
        <v>0.1</v>
      </c>
      <c r="Y1364" s="145">
        <v>0.13800000000000001</v>
      </c>
      <c r="Z1364" s="146">
        <v>0.60199999999999998</v>
      </c>
      <c r="AA1364" s="145">
        <v>12.683</v>
      </c>
      <c r="AB1364" s="145" t="s">
        <v>400</v>
      </c>
      <c r="AC1364" s="145">
        <v>18.794</v>
      </c>
      <c r="AD1364" s="145">
        <v>0.34</v>
      </c>
      <c r="AE1364" s="145">
        <v>13.067</v>
      </c>
      <c r="AF1364" s="145">
        <v>0.2</v>
      </c>
      <c r="AG1364" s="145">
        <v>0.48199999999999998</v>
      </c>
      <c r="AH1364" s="145">
        <v>0.104</v>
      </c>
      <c r="AI1364" s="145">
        <v>333</v>
      </c>
      <c r="AJ1364" s="145">
        <v>27.081</v>
      </c>
      <c r="AK1364" s="145">
        <v>9</v>
      </c>
      <c r="AL1364" s="145">
        <v>1.4E-2</v>
      </c>
      <c r="AM1364" s="145" t="s">
        <v>400</v>
      </c>
    </row>
    <row r="1365" spans="1:39">
      <c r="A1365" s="143" t="s">
        <v>2425</v>
      </c>
      <c r="B1365" s="144">
        <v>100</v>
      </c>
      <c r="C1365" s="145">
        <v>211.83699999999999</v>
      </c>
      <c r="D1365" s="145">
        <v>31.369</v>
      </c>
      <c r="E1365" s="145">
        <v>7.117</v>
      </c>
      <c r="F1365" s="145">
        <v>1.6779999999999999</v>
      </c>
      <c r="G1365" s="145">
        <v>2.1280000000000001</v>
      </c>
      <c r="H1365" s="145">
        <v>2.4780000000000002</v>
      </c>
      <c r="I1365" s="145">
        <v>2.0630000000000002</v>
      </c>
      <c r="J1365" s="145">
        <v>0.215</v>
      </c>
      <c r="K1365" s="145">
        <v>85</v>
      </c>
      <c r="L1365" s="145">
        <v>3.3919999999999999</v>
      </c>
      <c r="M1365" s="145">
        <v>0.13500000000000001</v>
      </c>
      <c r="N1365" s="145">
        <v>15.667</v>
      </c>
      <c r="O1365" s="145">
        <v>27.978000000000002</v>
      </c>
      <c r="P1365" s="145">
        <v>4.7E-2</v>
      </c>
      <c r="Q1365" s="145">
        <v>220.8</v>
      </c>
      <c r="R1365" s="145">
        <v>1.268</v>
      </c>
      <c r="S1365" s="145">
        <v>77.088999999999999</v>
      </c>
      <c r="T1365" s="145">
        <v>251.756</v>
      </c>
      <c r="U1365" s="145">
        <v>5.6000000000000001E-2</v>
      </c>
      <c r="V1365" s="145">
        <v>1.2609999999999999</v>
      </c>
      <c r="W1365" s="145">
        <v>9</v>
      </c>
      <c r="X1365" s="145">
        <v>0.1</v>
      </c>
      <c r="Y1365" s="145">
        <v>0.13800000000000001</v>
      </c>
      <c r="Z1365" s="146">
        <v>0.60199999999999998</v>
      </c>
      <c r="AA1365" s="145">
        <v>12.683</v>
      </c>
      <c r="AB1365" s="145" t="s">
        <v>400</v>
      </c>
      <c r="AC1365" s="145">
        <v>18.794</v>
      </c>
      <c r="AD1365" s="145">
        <v>0.34</v>
      </c>
      <c r="AE1365" s="145">
        <v>13.067</v>
      </c>
      <c r="AF1365" s="145">
        <v>0.2</v>
      </c>
      <c r="AG1365" s="145">
        <v>0.48199999999999998</v>
      </c>
      <c r="AH1365" s="145">
        <v>0.104</v>
      </c>
      <c r="AI1365" s="145">
        <v>333</v>
      </c>
      <c r="AJ1365" s="145">
        <v>27.081</v>
      </c>
      <c r="AK1365" s="145">
        <v>9</v>
      </c>
      <c r="AL1365" s="145">
        <v>1.4E-2</v>
      </c>
      <c r="AM1365" s="145" t="s">
        <v>400</v>
      </c>
    </row>
    <row r="1366" spans="1:39">
      <c r="A1366" s="143" t="s">
        <v>2426</v>
      </c>
      <c r="B1366" s="144">
        <v>100</v>
      </c>
      <c r="C1366" s="145">
        <v>211.83699999999999</v>
      </c>
      <c r="D1366" s="145">
        <v>31.369</v>
      </c>
      <c r="E1366" s="145">
        <v>7.117</v>
      </c>
      <c r="F1366" s="145">
        <v>1.6779999999999999</v>
      </c>
      <c r="G1366" s="145">
        <v>2.1280000000000001</v>
      </c>
      <c r="H1366" s="145">
        <v>2.4780000000000002</v>
      </c>
      <c r="I1366" s="145">
        <v>2.0630000000000002</v>
      </c>
      <c r="J1366" s="145">
        <v>0.215</v>
      </c>
      <c r="K1366" s="145">
        <v>85</v>
      </c>
      <c r="L1366" s="145">
        <v>3.3919999999999999</v>
      </c>
      <c r="M1366" s="145">
        <v>0.13500000000000001</v>
      </c>
      <c r="N1366" s="145">
        <v>15.667</v>
      </c>
      <c r="O1366" s="145">
        <v>27.978000000000002</v>
      </c>
      <c r="P1366" s="145">
        <v>4.7E-2</v>
      </c>
      <c r="Q1366" s="145">
        <v>220.8</v>
      </c>
      <c r="R1366" s="145">
        <v>1.268</v>
      </c>
      <c r="S1366" s="145">
        <v>77.088999999999999</v>
      </c>
      <c r="T1366" s="145">
        <v>251.756</v>
      </c>
      <c r="U1366" s="145">
        <v>5.6000000000000001E-2</v>
      </c>
      <c r="V1366" s="145">
        <v>1.2609999999999999</v>
      </c>
      <c r="W1366" s="145">
        <v>9</v>
      </c>
      <c r="X1366" s="145">
        <v>0.1</v>
      </c>
      <c r="Y1366" s="145">
        <v>0.13800000000000001</v>
      </c>
      <c r="Z1366" s="146">
        <v>0.60199999999999998</v>
      </c>
      <c r="AA1366" s="145">
        <v>12.683</v>
      </c>
      <c r="AB1366" s="145" t="s">
        <v>400</v>
      </c>
      <c r="AC1366" s="145">
        <v>18.794</v>
      </c>
      <c r="AD1366" s="145">
        <v>0.34</v>
      </c>
      <c r="AE1366" s="145">
        <v>13.067</v>
      </c>
      <c r="AF1366" s="145">
        <v>0.2</v>
      </c>
      <c r="AG1366" s="145">
        <v>0.48199999999999998</v>
      </c>
      <c r="AH1366" s="145">
        <v>0.104</v>
      </c>
      <c r="AI1366" s="145">
        <v>333</v>
      </c>
      <c r="AJ1366" s="145">
        <v>27.081</v>
      </c>
      <c r="AK1366" s="145">
        <v>9</v>
      </c>
      <c r="AL1366" s="145">
        <v>1.4E-2</v>
      </c>
      <c r="AM1366" s="145" t="s">
        <v>400</v>
      </c>
    </row>
    <row r="1367" spans="1:39">
      <c r="A1367" s="143" t="s">
        <v>2427</v>
      </c>
      <c r="B1367" s="144">
        <v>100</v>
      </c>
      <c r="C1367" s="145">
        <v>269.65899999999999</v>
      </c>
      <c r="D1367" s="145">
        <v>32.4</v>
      </c>
      <c r="E1367" s="145">
        <v>14.663</v>
      </c>
      <c r="F1367" s="145">
        <v>3.9180000000000001</v>
      </c>
      <c r="G1367" s="145">
        <v>6.2110000000000003</v>
      </c>
      <c r="H1367" s="145">
        <v>3.0169999999999999</v>
      </c>
      <c r="I1367" s="145">
        <v>2.3610000000000002</v>
      </c>
      <c r="J1367" s="145">
        <v>0.30399999999999999</v>
      </c>
      <c r="K1367" s="145">
        <v>89</v>
      </c>
      <c r="L1367" s="145" t="s">
        <v>400</v>
      </c>
      <c r="M1367" s="145" t="s">
        <v>400</v>
      </c>
      <c r="N1367" s="145">
        <v>16</v>
      </c>
      <c r="O1367" s="145">
        <v>22</v>
      </c>
      <c r="P1367" s="145">
        <v>2.5999999999999999E-2</v>
      </c>
      <c r="Q1367" s="145">
        <v>242</v>
      </c>
      <c r="R1367" s="145">
        <v>1.431</v>
      </c>
      <c r="S1367" s="145">
        <v>43</v>
      </c>
      <c r="T1367" s="145">
        <v>271</v>
      </c>
      <c r="U1367" s="145">
        <v>8.4000000000000005E-2</v>
      </c>
      <c r="V1367" s="145">
        <v>1.37</v>
      </c>
      <c r="W1367" s="145">
        <v>57</v>
      </c>
      <c r="X1367" s="145">
        <v>7.0000000000000007E-2</v>
      </c>
      <c r="Y1367" s="145">
        <v>0.18</v>
      </c>
      <c r="Z1367" s="146">
        <v>0.75</v>
      </c>
      <c r="AA1367" s="145">
        <v>7.53</v>
      </c>
      <c r="AB1367" s="145">
        <v>2.2999999999999998</v>
      </c>
      <c r="AC1367" s="145">
        <v>15.047000000000001</v>
      </c>
      <c r="AD1367" s="145">
        <v>0.72</v>
      </c>
      <c r="AE1367" s="145">
        <v>5</v>
      </c>
      <c r="AF1367" s="145">
        <v>0.23899999999999999</v>
      </c>
      <c r="AG1367" s="145">
        <v>0.48</v>
      </c>
      <c r="AH1367" s="145">
        <v>0.27700000000000002</v>
      </c>
      <c r="AI1367" s="145">
        <v>333</v>
      </c>
      <c r="AJ1367" s="145">
        <v>21.875</v>
      </c>
      <c r="AK1367" s="145">
        <v>57</v>
      </c>
      <c r="AL1367" s="145" t="s">
        <v>400</v>
      </c>
      <c r="AM1367" s="145" t="s">
        <v>400</v>
      </c>
    </row>
    <row r="1368" spans="1:39">
      <c r="A1368" s="143" t="s">
        <v>2428</v>
      </c>
      <c r="B1368" s="144">
        <v>100</v>
      </c>
      <c r="C1368" s="145">
        <v>290</v>
      </c>
      <c r="D1368" s="145">
        <v>26.86</v>
      </c>
      <c r="E1368" s="145">
        <v>19.46</v>
      </c>
      <c r="F1368" s="145">
        <v>5.45</v>
      </c>
      <c r="G1368" s="145">
        <v>7.64</v>
      </c>
      <c r="H1368" s="145">
        <v>4.1399999999999997</v>
      </c>
      <c r="I1368" s="145">
        <v>3.57</v>
      </c>
      <c r="J1368" s="145">
        <v>0.15</v>
      </c>
      <c r="K1368" s="145">
        <v>84</v>
      </c>
      <c r="L1368" s="145" t="s">
        <v>400</v>
      </c>
      <c r="M1368" s="145" t="s">
        <v>400</v>
      </c>
      <c r="N1368" s="145">
        <v>15</v>
      </c>
      <c r="O1368" s="145">
        <v>19</v>
      </c>
      <c r="P1368" s="145">
        <v>1.7999999999999999E-2</v>
      </c>
      <c r="Q1368" s="145">
        <v>151</v>
      </c>
      <c r="R1368" s="145">
        <v>1.27</v>
      </c>
      <c r="S1368" s="145">
        <v>82</v>
      </c>
      <c r="T1368" s="145">
        <v>184</v>
      </c>
      <c r="U1368" s="145">
        <v>5.7000000000000002E-2</v>
      </c>
      <c r="V1368" s="145">
        <v>1.82</v>
      </c>
      <c r="W1368" s="145">
        <v>47</v>
      </c>
      <c r="X1368" s="145">
        <v>4.2000000000000003E-2</v>
      </c>
      <c r="Y1368" s="145">
        <v>0.128</v>
      </c>
      <c r="Z1368" s="146">
        <v>0.42</v>
      </c>
      <c r="AA1368" s="145">
        <v>6.6479999999999997</v>
      </c>
      <c r="AB1368" s="145" t="s">
        <v>400</v>
      </c>
      <c r="AC1368" s="145">
        <v>11.430999999999999</v>
      </c>
      <c r="AD1368" s="145">
        <v>0.28999999999999998</v>
      </c>
      <c r="AE1368" s="145">
        <v>3</v>
      </c>
      <c r="AF1368" s="145">
        <v>0.4</v>
      </c>
      <c r="AG1368" s="145">
        <v>0.27</v>
      </c>
      <c r="AH1368" s="145">
        <v>0.39</v>
      </c>
      <c r="AI1368" s="145">
        <v>333</v>
      </c>
      <c r="AJ1368" s="145">
        <v>22.2</v>
      </c>
      <c r="AK1368" s="145">
        <v>47</v>
      </c>
      <c r="AL1368" s="145" t="s">
        <v>400</v>
      </c>
      <c r="AM1368" s="145" t="s">
        <v>400</v>
      </c>
    </row>
    <row r="1369" spans="1:39">
      <c r="A1369" s="143" t="s">
        <v>2429</v>
      </c>
      <c r="B1369" s="144">
        <v>100</v>
      </c>
      <c r="C1369" s="145">
        <v>290</v>
      </c>
      <c r="D1369" s="145">
        <v>26.86</v>
      </c>
      <c r="E1369" s="145">
        <v>19.46</v>
      </c>
      <c r="F1369" s="145">
        <v>5.45</v>
      </c>
      <c r="G1369" s="145">
        <v>7.64</v>
      </c>
      <c r="H1369" s="145">
        <v>4.1399999999999997</v>
      </c>
      <c r="I1369" s="145">
        <v>3.57</v>
      </c>
      <c r="J1369" s="145">
        <v>0.15</v>
      </c>
      <c r="K1369" s="145">
        <v>84</v>
      </c>
      <c r="L1369" s="145" t="s">
        <v>400</v>
      </c>
      <c r="M1369" s="145" t="s">
        <v>400</v>
      </c>
      <c r="N1369" s="145">
        <v>15</v>
      </c>
      <c r="O1369" s="145">
        <v>19</v>
      </c>
      <c r="P1369" s="145">
        <v>1.7999999999999999E-2</v>
      </c>
      <c r="Q1369" s="145">
        <v>151</v>
      </c>
      <c r="R1369" s="145">
        <v>1.27</v>
      </c>
      <c r="S1369" s="145">
        <v>82</v>
      </c>
      <c r="T1369" s="145">
        <v>184</v>
      </c>
      <c r="U1369" s="145">
        <v>5.7000000000000002E-2</v>
      </c>
      <c r="V1369" s="145">
        <v>1.82</v>
      </c>
      <c r="W1369" s="145">
        <v>47</v>
      </c>
      <c r="X1369" s="145">
        <v>4.2000000000000003E-2</v>
      </c>
      <c r="Y1369" s="145">
        <v>0.128</v>
      </c>
      <c r="Z1369" s="146">
        <v>0.42</v>
      </c>
      <c r="AA1369" s="145">
        <v>6.6479999999999997</v>
      </c>
      <c r="AB1369" s="145" t="s">
        <v>400</v>
      </c>
      <c r="AC1369" s="145">
        <v>11.430999999999999</v>
      </c>
      <c r="AD1369" s="145">
        <v>0.28999999999999998</v>
      </c>
      <c r="AE1369" s="145">
        <v>3</v>
      </c>
      <c r="AF1369" s="145">
        <v>0.4</v>
      </c>
      <c r="AG1369" s="145">
        <v>0.27</v>
      </c>
      <c r="AH1369" s="145">
        <v>0.39</v>
      </c>
      <c r="AI1369" s="145">
        <v>333</v>
      </c>
      <c r="AJ1369" s="145">
        <v>22.2</v>
      </c>
      <c r="AK1369" s="145">
        <v>47</v>
      </c>
      <c r="AL1369" s="145" t="s">
        <v>400</v>
      </c>
      <c r="AM1369" s="145" t="s">
        <v>400</v>
      </c>
    </row>
    <row r="1370" spans="1:39">
      <c r="A1370" s="143" t="s">
        <v>2430</v>
      </c>
      <c r="B1370" s="144">
        <v>100</v>
      </c>
      <c r="C1370" s="145">
        <v>312.65899999999999</v>
      </c>
      <c r="D1370" s="145">
        <v>26.86</v>
      </c>
      <c r="E1370" s="145">
        <v>22.023</v>
      </c>
      <c r="F1370" s="145">
        <v>5.851</v>
      </c>
      <c r="G1370" s="145">
        <v>8.2240000000000002</v>
      </c>
      <c r="H1370" s="145">
        <v>5.62</v>
      </c>
      <c r="I1370" s="145">
        <v>4.8760000000000003</v>
      </c>
      <c r="J1370" s="145">
        <v>0.32400000000000001</v>
      </c>
      <c r="K1370" s="145">
        <v>84</v>
      </c>
      <c r="L1370" s="145" t="s">
        <v>400</v>
      </c>
      <c r="M1370" s="145" t="s">
        <v>400</v>
      </c>
      <c r="N1370" s="145">
        <v>15</v>
      </c>
      <c r="O1370" s="145">
        <v>19</v>
      </c>
      <c r="P1370" s="145">
        <v>1.7999999999999999E-2</v>
      </c>
      <c r="Q1370" s="145">
        <v>151</v>
      </c>
      <c r="R1370" s="145">
        <v>1.2709999999999999</v>
      </c>
      <c r="S1370" s="145">
        <v>82</v>
      </c>
      <c r="T1370" s="145">
        <v>184</v>
      </c>
      <c r="U1370" s="145">
        <v>5.7000000000000002E-2</v>
      </c>
      <c r="V1370" s="145">
        <v>1.82</v>
      </c>
      <c r="W1370" s="145">
        <v>47</v>
      </c>
      <c r="X1370" s="145">
        <v>4.2000000000000003E-2</v>
      </c>
      <c r="Y1370" s="145">
        <v>0.128</v>
      </c>
      <c r="Z1370" s="146">
        <v>0.42</v>
      </c>
      <c r="AA1370" s="145">
        <v>6.6479999999999997</v>
      </c>
      <c r="AB1370" s="145" t="s">
        <v>400</v>
      </c>
      <c r="AC1370" s="145">
        <v>11.430999999999999</v>
      </c>
      <c r="AD1370" s="145">
        <v>0.28999999999999998</v>
      </c>
      <c r="AE1370" s="145">
        <v>3</v>
      </c>
      <c r="AF1370" s="145">
        <v>0.4</v>
      </c>
      <c r="AG1370" s="145">
        <v>0.48</v>
      </c>
      <c r="AH1370" s="145">
        <v>0.40400000000000003</v>
      </c>
      <c r="AI1370" s="145">
        <v>333</v>
      </c>
      <c r="AJ1370" s="145">
        <v>23.375</v>
      </c>
      <c r="AK1370" s="145">
        <v>47</v>
      </c>
      <c r="AL1370" s="145" t="s">
        <v>400</v>
      </c>
      <c r="AM1370" s="145" t="s">
        <v>400</v>
      </c>
    </row>
    <row r="1371" spans="1:39">
      <c r="A1371" s="143" t="s">
        <v>2431</v>
      </c>
      <c r="B1371" s="144">
        <v>100</v>
      </c>
      <c r="C1371" s="145">
        <v>155</v>
      </c>
      <c r="D1371" s="145">
        <v>12.58</v>
      </c>
      <c r="E1371" s="145">
        <v>10.61</v>
      </c>
      <c r="F1371" s="145">
        <v>3.2669999999999999</v>
      </c>
      <c r="G1371" s="145">
        <v>4.077</v>
      </c>
      <c r="H1371" s="145">
        <v>1.4139999999999999</v>
      </c>
      <c r="I1371" s="145">
        <v>1.1879999999999999</v>
      </c>
      <c r="J1371" s="145">
        <v>3.5000000000000003E-2</v>
      </c>
      <c r="K1371" s="145">
        <v>424</v>
      </c>
      <c r="L1371" s="145">
        <v>1.1200000000000001</v>
      </c>
      <c r="M1371" s="145" t="s">
        <v>400</v>
      </c>
      <c r="N1371" s="145">
        <v>50</v>
      </c>
      <c r="O1371" s="145">
        <v>10</v>
      </c>
      <c r="P1371" s="145">
        <v>2.5999999999999999E-2</v>
      </c>
      <c r="Q1371" s="145">
        <v>172</v>
      </c>
      <c r="R1371" s="145">
        <v>1.19</v>
      </c>
      <c r="S1371" s="145">
        <v>124</v>
      </c>
      <c r="T1371" s="145">
        <v>126</v>
      </c>
      <c r="U1371" s="145">
        <v>1.2999999999999999E-2</v>
      </c>
      <c r="V1371" s="145">
        <v>1.05</v>
      </c>
      <c r="W1371" s="145">
        <v>168</v>
      </c>
      <c r="X1371" s="145">
        <v>6.6000000000000003E-2</v>
      </c>
      <c r="Y1371" s="145">
        <v>0.51300000000000001</v>
      </c>
      <c r="Z1371" s="146">
        <v>0.121</v>
      </c>
      <c r="AA1371" s="145">
        <v>6.4000000000000001E-2</v>
      </c>
      <c r="AB1371" s="145" t="s">
        <v>400</v>
      </c>
      <c r="AC1371" s="145">
        <v>2.6139999999999999</v>
      </c>
      <c r="AD1371" s="145">
        <v>1.1100000000000001</v>
      </c>
      <c r="AE1371" s="145">
        <v>44</v>
      </c>
      <c r="AF1371" s="145">
        <v>1.28</v>
      </c>
      <c r="AG1371" s="145">
        <v>1.03</v>
      </c>
      <c r="AH1371" s="145" t="s">
        <v>400</v>
      </c>
      <c r="AI1371" s="145" t="s">
        <v>400</v>
      </c>
      <c r="AJ1371" s="145">
        <v>30.8</v>
      </c>
      <c r="AK1371" s="145">
        <v>169.333</v>
      </c>
      <c r="AL1371" s="145">
        <v>1.22</v>
      </c>
      <c r="AM1371" s="145" t="s">
        <v>400</v>
      </c>
    </row>
    <row r="1372" spans="1:39">
      <c r="A1372" s="143" t="s">
        <v>2432</v>
      </c>
      <c r="B1372" s="144">
        <v>100</v>
      </c>
      <c r="C1372" s="145">
        <v>155</v>
      </c>
      <c r="D1372" s="145">
        <v>12.58</v>
      </c>
      <c r="E1372" s="145">
        <v>10.61</v>
      </c>
      <c r="F1372" s="145">
        <v>3.2669999999999999</v>
      </c>
      <c r="G1372" s="145">
        <v>4.077</v>
      </c>
      <c r="H1372" s="145">
        <v>1.4139999999999999</v>
      </c>
      <c r="I1372" s="145">
        <v>1.1879999999999999</v>
      </c>
      <c r="J1372" s="145">
        <v>3.5000000000000003E-2</v>
      </c>
      <c r="K1372" s="145">
        <v>424</v>
      </c>
      <c r="L1372" s="145">
        <v>1.1200000000000001</v>
      </c>
      <c r="M1372" s="145" t="s">
        <v>400</v>
      </c>
      <c r="N1372" s="145">
        <v>50</v>
      </c>
      <c r="O1372" s="145">
        <v>10</v>
      </c>
      <c r="P1372" s="145">
        <v>2.5999999999999999E-2</v>
      </c>
      <c r="Q1372" s="145">
        <v>172</v>
      </c>
      <c r="R1372" s="145">
        <v>1.19</v>
      </c>
      <c r="S1372" s="145">
        <v>124</v>
      </c>
      <c r="T1372" s="145">
        <v>126</v>
      </c>
      <c r="U1372" s="145">
        <v>1.2999999999999999E-2</v>
      </c>
      <c r="V1372" s="145">
        <v>1.05</v>
      </c>
      <c r="W1372" s="145">
        <v>168</v>
      </c>
      <c r="X1372" s="145">
        <v>6.6000000000000003E-2</v>
      </c>
      <c r="Y1372" s="145">
        <v>0.51300000000000001</v>
      </c>
      <c r="Z1372" s="146">
        <v>0.121</v>
      </c>
      <c r="AA1372" s="145">
        <v>6.4000000000000001E-2</v>
      </c>
      <c r="AB1372" s="145" t="s">
        <v>400</v>
      </c>
      <c r="AC1372" s="145">
        <v>2.6139999999999999</v>
      </c>
      <c r="AD1372" s="145">
        <v>1.1100000000000001</v>
      </c>
      <c r="AE1372" s="145">
        <v>44</v>
      </c>
      <c r="AF1372" s="145">
        <v>1.28</v>
      </c>
      <c r="AG1372" s="145">
        <v>1.03</v>
      </c>
      <c r="AH1372" s="145" t="s">
        <v>400</v>
      </c>
      <c r="AI1372" s="145" t="s">
        <v>400</v>
      </c>
      <c r="AJ1372" s="145">
        <v>30.8</v>
      </c>
      <c r="AK1372" s="145">
        <v>169.333</v>
      </c>
      <c r="AL1372" s="145">
        <v>1.22</v>
      </c>
      <c r="AM1372" s="145" t="s">
        <v>400</v>
      </c>
    </row>
    <row r="1373" spans="1:39">
      <c r="A1373" s="143" t="s">
        <v>2433</v>
      </c>
      <c r="B1373" s="144">
        <v>100</v>
      </c>
      <c r="C1373" s="145">
        <v>155</v>
      </c>
      <c r="D1373" s="145">
        <v>12.58</v>
      </c>
      <c r="E1373" s="145">
        <v>10.61</v>
      </c>
      <c r="F1373" s="145">
        <v>3.2669999999999999</v>
      </c>
      <c r="G1373" s="145">
        <v>4.077</v>
      </c>
      <c r="H1373" s="145">
        <v>1.4139999999999999</v>
      </c>
      <c r="I1373" s="145">
        <v>1.1879999999999999</v>
      </c>
      <c r="J1373" s="145">
        <v>3.5000000000000003E-2</v>
      </c>
      <c r="K1373" s="145">
        <v>424</v>
      </c>
      <c r="L1373" s="145">
        <v>1.1200000000000001</v>
      </c>
      <c r="M1373" s="145" t="s">
        <v>400</v>
      </c>
      <c r="N1373" s="145">
        <v>50</v>
      </c>
      <c r="O1373" s="145">
        <v>10</v>
      </c>
      <c r="P1373" s="145">
        <v>2.5999999999999999E-2</v>
      </c>
      <c r="Q1373" s="145">
        <v>172</v>
      </c>
      <c r="R1373" s="145">
        <v>1.19</v>
      </c>
      <c r="S1373" s="145">
        <v>124</v>
      </c>
      <c r="T1373" s="145">
        <v>126</v>
      </c>
      <c r="U1373" s="145">
        <v>1.2999999999999999E-2</v>
      </c>
      <c r="V1373" s="145">
        <v>1.05</v>
      </c>
      <c r="W1373" s="145">
        <v>168</v>
      </c>
      <c r="X1373" s="145">
        <v>6.6000000000000003E-2</v>
      </c>
      <c r="Y1373" s="145">
        <v>0.51300000000000001</v>
      </c>
      <c r="Z1373" s="146">
        <v>0.121</v>
      </c>
      <c r="AA1373" s="145">
        <v>6.4000000000000001E-2</v>
      </c>
      <c r="AB1373" s="145" t="s">
        <v>400</v>
      </c>
      <c r="AC1373" s="145">
        <v>2.6139999999999999</v>
      </c>
      <c r="AD1373" s="145">
        <v>1.1100000000000001</v>
      </c>
      <c r="AE1373" s="145">
        <v>44</v>
      </c>
      <c r="AF1373" s="145">
        <v>1.28</v>
      </c>
      <c r="AG1373" s="145">
        <v>1.03</v>
      </c>
      <c r="AH1373" s="145" t="s">
        <v>400</v>
      </c>
      <c r="AI1373" s="145" t="s">
        <v>400</v>
      </c>
      <c r="AJ1373" s="145">
        <v>30.8</v>
      </c>
      <c r="AK1373" s="145">
        <v>169.333</v>
      </c>
      <c r="AL1373" s="145">
        <v>1.22</v>
      </c>
      <c r="AM1373" s="145" t="s">
        <v>400</v>
      </c>
    </row>
    <row r="1374" spans="1:39">
      <c r="A1374" s="143" t="s">
        <v>2434</v>
      </c>
      <c r="B1374" s="144">
        <v>100</v>
      </c>
      <c r="C1374" s="145">
        <v>222.59100000000001</v>
      </c>
      <c r="D1374" s="145">
        <v>13.673999999999999</v>
      </c>
      <c r="E1374" s="145">
        <v>17.654</v>
      </c>
      <c r="F1374" s="145">
        <v>4.5090000000000003</v>
      </c>
      <c r="G1374" s="145">
        <v>5.8259999999999996</v>
      </c>
      <c r="H1374" s="145">
        <v>5.0709999999999997</v>
      </c>
      <c r="I1374" s="145">
        <v>4.41</v>
      </c>
      <c r="J1374" s="145">
        <v>0.45400000000000001</v>
      </c>
      <c r="K1374" s="145">
        <v>460.87</v>
      </c>
      <c r="L1374" s="145">
        <v>1.2170000000000001</v>
      </c>
      <c r="M1374" s="145" t="s">
        <v>400</v>
      </c>
      <c r="N1374" s="145">
        <v>54.347999999999999</v>
      </c>
      <c r="O1374" s="145">
        <v>10.87</v>
      </c>
      <c r="P1374" s="145">
        <v>2.8000000000000001E-2</v>
      </c>
      <c r="Q1374" s="145">
        <v>186.95699999999999</v>
      </c>
      <c r="R1374" s="145">
        <v>1.2969999999999999</v>
      </c>
      <c r="S1374" s="145">
        <v>134.78299999999999</v>
      </c>
      <c r="T1374" s="145">
        <v>136.95699999999999</v>
      </c>
      <c r="U1374" s="145">
        <v>1.4E-2</v>
      </c>
      <c r="V1374" s="145">
        <v>1.1419999999999999</v>
      </c>
      <c r="W1374" s="145">
        <v>182.60900000000001</v>
      </c>
      <c r="X1374" s="145">
        <v>7.1999999999999995E-2</v>
      </c>
      <c r="Y1374" s="145">
        <v>0.55800000000000005</v>
      </c>
      <c r="Z1374" s="146">
        <v>0.13200000000000001</v>
      </c>
      <c r="AA1374" s="145">
        <v>7.0000000000000007E-2</v>
      </c>
      <c r="AB1374" s="145" t="s">
        <v>400</v>
      </c>
      <c r="AC1374" s="145">
        <v>2.8410000000000002</v>
      </c>
      <c r="AD1374" s="145">
        <v>1.2070000000000001</v>
      </c>
      <c r="AE1374" s="145">
        <v>47.826000000000001</v>
      </c>
      <c r="AF1374" s="145">
        <v>1.391</v>
      </c>
      <c r="AG1374" s="145">
        <v>1.62</v>
      </c>
      <c r="AH1374" s="145">
        <v>3.3000000000000002E-2</v>
      </c>
      <c r="AI1374" s="145">
        <v>205</v>
      </c>
      <c r="AJ1374" s="145">
        <v>36.283999999999999</v>
      </c>
      <c r="AK1374" s="145">
        <v>184.05799999999999</v>
      </c>
      <c r="AL1374" s="145">
        <v>1.3260000000000001</v>
      </c>
      <c r="AM1374" s="145" t="s">
        <v>400</v>
      </c>
    </row>
    <row r="1375" spans="1:39">
      <c r="A1375" s="143" t="s">
        <v>2435</v>
      </c>
      <c r="B1375" s="144">
        <v>100</v>
      </c>
      <c r="C1375" s="145">
        <v>155</v>
      </c>
      <c r="D1375" s="145">
        <v>12.58</v>
      </c>
      <c r="E1375" s="145">
        <v>10.61</v>
      </c>
      <c r="F1375" s="145">
        <v>3.2669999999999999</v>
      </c>
      <c r="G1375" s="145">
        <v>4.077</v>
      </c>
      <c r="H1375" s="145">
        <v>1.4139999999999999</v>
      </c>
      <c r="I1375" s="145">
        <v>1.1879999999999999</v>
      </c>
      <c r="J1375" s="145">
        <v>3.5000000000000003E-2</v>
      </c>
      <c r="K1375" s="145">
        <v>424</v>
      </c>
      <c r="L1375" s="145">
        <v>1.1200000000000001</v>
      </c>
      <c r="M1375" s="145" t="s">
        <v>400</v>
      </c>
      <c r="N1375" s="145">
        <v>50</v>
      </c>
      <c r="O1375" s="145">
        <v>10</v>
      </c>
      <c r="P1375" s="145">
        <v>2.5999999999999999E-2</v>
      </c>
      <c r="Q1375" s="145">
        <v>172</v>
      </c>
      <c r="R1375" s="145">
        <v>1.19</v>
      </c>
      <c r="S1375" s="145">
        <v>124</v>
      </c>
      <c r="T1375" s="145">
        <v>126</v>
      </c>
      <c r="U1375" s="145">
        <v>1.2999999999999999E-2</v>
      </c>
      <c r="V1375" s="145">
        <v>1.05</v>
      </c>
      <c r="W1375" s="145">
        <v>168</v>
      </c>
      <c r="X1375" s="145">
        <v>6.6000000000000003E-2</v>
      </c>
      <c r="Y1375" s="145">
        <v>0.51300000000000001</v>
      </c>
      <c r="Z1375" s="146">
        <v>0.121</v>
      </c>
      <c r="AA1375" s="145">
        <v>6.4000000000000001E-2</v>
      </c>
      <c r="AB1375" s="145" t="s">
        <v>400</v>
      </c>
      <c r="AC1375" s="145">
        <v>2.6139999999999999</v>
      </c>
      <c r="AD1375" s="145">
        <v>1.1100000000000001</v>
      </c>
      <c r="AE1375" s="145">
        <v>44</v>
      </c>
      <c r="AF1375" s="145">
        <v>1.28</v>
      </c>
      <c r="AG1375" s="145">
        <v>1.03</v>
      </c>
      <c r="AH1375" s="145" t="s">
        <v>400</v>
      </c>
      <c r="AI1375" s="145" t="s">
        <v>400</v>
      </c>
      <c r="AJ1375" s="145">
        <v>30.8</v>
      </c>
      <c r="AK1375" s="145">
        <v>169.333</v>
      </c>
      <c r="AL1375" s="145">
        <v>1.22</v>
      </c>
      <c r="AM1375" s="145" t="s">
        <v>400</v>
      </c>
    </row>
    <row r="1376" spans="1:39">
      <c r="A1376" s="143" t="s">
        <v>2436</v>
      </c>
      <c r="B1376" s="144">
        <v>100</v>
      </c>
      <c r="C1376" s="145">
        <v>155</v>
      </c>
      <c r="D1376" s="145">
        <v>12.58</v>
      </c>
      <c r="E1376" s="145">
        <v>10.61</v>
      </c>
      <c r="F1376" s="145">
        <v>3.2669999999999999</v>
      </c>
      <c r="G1376" s="145">
        <v>4.077</v>
      </c>
      <c r="H1376" s="145">
        <v>1.4139999999999999</v>
      </c>
      <c r="I1376" s="145">
        <v>1.1879999999999999</v>
      </c>
      <c r="J1376" s="145">
        <v>3.5000000000000003E-2</v>
      </c>
      <c r="K1376" s="145">
        <v>424</v>
      </c>
      <c r="L1376" s="145">
        <v>1.1200000000000001</v>
      </c>
      <c r="M1376" s="145" t="s">
        <v>400</v>
      </c>
      <c r="N1376" s="145">
        <v>50</v>
      </c>
      <c r="O1376" s="145">
        <v>10</v>
      </c>
      <c r="P1376" s="145">
        <v>2.5999999999999999E-2</v>
      </c>
      <c r="Q1376" s="145">
        <v>172</v>
      </c>
      <c r="R1376" s="145">
        <v>1.19</v>
      </c>
      <c r="S1376" s="145">
        <v>124</v>
      </c>
      <c r="T1376" s="145">
        <v>126</v>
      </c>
      <c r="U1376" s="145">
        <v>1.2999999999999999E-2</v>
      </c>
      <c r="V1376" s="145">
        <v>1.05</v>
      </c>
      <c r="W1376" s="145">
        <v>168</v>
      </c>
      <c r="X1376" s="145">
        <v>6.6000000000000003E-2</v>
      </c>
      <c r="Y1376" s="145">
        <v>0.51300000000000001</v>
      </c>
      <c r="Z1376" s="146">
        <v>0.121</v>
      </c>
      <c r="AA1376" s="145">
        <v>6.4000000000000001E-2</v>
      </c>
      <c r="AB1376" s="145" t="s">
        <v>400</v>
      </c>
      <c r="AC1376" s="145">
        <v>2.6139999999999999</v>
      </c>
      <c r="AD1376" s="145">
        <v>1.1100000000000001</v>
      </c>
      <c r="AE1376" s="145">
        <v>44</v>
      </c>
      <c r="AF1376" s="145">
        <v>1.28</v>
      </c>
      <c r="AG1376" s="145">
        <v>1.03</v>
      </c>
      <c r="AH1376" s="145" t="s">
        <v>400</v>
      </c>
      <c r="AI1376" s="145" t="s">
        <v>400</v>
      </c>
      <c r="AJ1376" s="145">
        <v>30.8</v>
      </c>
      <c r="AK1376" s="145">
        <v>169.333</v>
      </c>
      <c r="AL1376" s="145">
        <v>1.22</v>
      </c>
      <c r="AM1376" s="145" t="s">
        <v>400</v>
      </c>
    </row>
    <row r="1377" spans="1:39">
      <c r="A1377" s="143" t="s">
        <v>2437</v>
      </c>
      <c r="B1377" s="144">
        <v>100</v>
      </c>
      <c r="C1377" s="145">
        <v>222.59100000000001</v>
      </c>
      <c r="D1377" s="145">
        <v>13.673999999999999</v>
      </c>
      <c r="E1377" s="145">
        <v>17.654</v>
      </c>
      <c r="F1377" s="145">
        <v>4.5090000000000003</v>
      </c>
      <c r="G1377" s="145">
        <v>5.8259999999999996</v>
      </c>
      <c r="H1377" s="145">
        <v>5.0709999999999997</v>
      </c>
      <c r="I1377" s="145">
        <v>4.41</v>
      </c>
      <c r="J1377" s="145">
        <v>0.45400000000000001</v>
      </c>
      <c r="K1377" s="145">
        <v>460.87</v>
      </c>
      <c r="L1377" s="145">
        <v>1.2170000000000001</v>
      </c>
      <c r="M1377" s="145" t="s">
        <v>400</v>
      </c>
      <c r="N1377" s="145">
        <v>54.347999999999999</v>
      </c>
      <c r="O1377" s="145">
        <v>10.87</v>
      </c>
      <c r="P1377" s="145">
        <v>2.8000000000000001E-2</v>
      </c>
      <c r="Q1377" s="145">
        <v>186.95699999999999</v>
      </c>
      <c r="R1377" s="145">
        <v>1.2969999999999999</v>
      </c>
      <c r="S1377" s="145">
        <v>134.78299999999999</v>
      </c>
      <c r="T1377" s="145">
        <v>136.95699999999999</v>
      </c>
      <c r="U1377" s="145">
        <v>1.4E-2</v>
      </c>
      <c r="V1377" s="145">
        <v>1.1419999999999999</v>
      </c>
      <c r="W1377" s="145">
        <v>182.60900000000001</v>
      </c>
      <c r="X1377" s="145">
        <v>7.1999999999999995E-2</v>
      </c>
      <c r="Y1377" s="145">
        <v>0.55800000000000005</v>
      </c>
      <c r="Z1377" s="146">
        <v>0.13200000000000001</v>
      </c>
      <c r="AA1377" s="145">
        <v>7.0000000000000007E-2</v>
      </c>
      <c r="AB1377" s="145" t="s">
        <v>400</v>
      </c>
      <c r="AC1377" s="145">
        <v>2.8410000000000002</v>
      </c>
      <c r="AD1377" s="145">
        <v>1.2070000000000001</v>
      </c>
      <c r="AE1377" s="145">
        <v>47.826000000000001</v>
      </c>
      <c r="AF1377" s="145">
        <v>1.391</v>
      </c>
      <c r="AG1377" s="145">
        <v>1.62</v>
      </c>
      <c r="AH1377" s="145">
        <v>3.3000000000000002E-2</v>
      </c>
      <c r="AI1377" s="145">
        <v>205</v>
      </c>
      <c r="AJ1377" s="145">
        <v>36.283999999999999</v>
      </c>
      <c r="AK1377" s="145">
        <v>184.05799999999999</v>
      </c>
      <c r="AL1377" s="145">
        <v>1.3260000000000001</v>
      </c>
      <c r="AM1377" s="145" t="s">
        <v>400</v>
      </c>
    </row>
    <row r="1378" spans="1:39">
      <c r="A1378" s="143" t="s">
        <v>2438</v>
      </c>
      <c r="B1378" s="144">
        <v>100</v>
      </c>
      <c r="C1378" s="145">
        <v>214.18100000000001</v>
      </c>
      <c r="D1378" s="145">
        <v>13.728</v>
      </c>
      <c r="E1378" s="145">
        <v>16.702999999999999</v>
      </c>
      <c r="F1378" s="145">
        <v>6.8250000000000002</v>
      </c>
      <c r="G1378" s="145">
        <v>5.7709999999999999</v>
      </c>
      <c r="H1378" s="145">
        <v>1.7310000000000001</v>
      </c>
      <c r="I1378" s="145">
        <v>1.4650000000000001</v>
      </c>
      <c r="J1378" s="145">
        <v>5.8000000000000003E-2</v>
      </c>
      <c r="K1378" s="145">
        <v>474.57400000000001</v>
      </c>
      <c r="L1378" s="145">
        <v>1.2210000000000001</v>
      </c>
      <c r="M1378" s="145" t="s">
        <v>400</v>
      </c>
      <c r="N1378" s="145">
        <v>55.878</v>
      </c>
      <c r="O1378" s="145">
        <v>10.997</v>
      </c>
      <c r="P1378" s="145">
        <v>2.8000000000000001E-2</v>
      </c>
      <c r="Q1378" s="145">
        <v>188.48599999999999</v>
      </c>
      <c r="R1378" s="145">
        <v>1.2949999999999999</v>
      </c>
      <c r="S1378" s="145">
        <v>171.49700000000001</v>
      </c>
      <c r="T1378" s="145">
        <v>138.48599999999999</v>
      </c>
      <c r="U1378" s="145">
        <v>1.4E-2</v>
      </c>
      <c r="V1378" s="145">
        <v>1.147</v>
      </c>
      <c r="W1378" s="145">
        <v>225.37899999999999</v>
      </c>
      <c r="X1378" s="145">
        <v>7.1999999999999995E-2</v>
      </c>
      <c r="Y1378" s="145">
        <v>0.56000000000000005</v>
      </c>
      <c r="Z1378" s="146">
        <v>0.13200000000000001</v>
      </c>
      <c r="AA1378" s="145">
        <v>7.1999999999999995E-2</v>
      </c>
      <c r="AB1378" s="145" t="s">
        <v>400</v>
      </c>
      <c r="AC1378" s="145">
        <v>2.8570000000000002</v>
      </c>
      <c r="AD1378" s="145">
        <v>1.2170000000000001</v>
      </c>
      <c r="AE1378" s="145">
        <v>48.017000000000003</v>
      </c>
      <c r="AF1378" s="145">
        <v>1.4810000000000001</v>
      </c>
      <c r="AG1378" s="145">
        <v>1.2669999999999999</v>
      </c>
      <c r="AH1378" s="145">
        <v>0.20899999999999999</v>
      </c>
      <c r="AI1378" s="145">
        <v>205</v>
      </c>
      <c r="AJ1378" s="145">
        <v>33.542000000000002</v>
      </c>
      <c r="AK1378" s="145">
        <v>227.667</v>
      </c>
      <c r="AL1378" s="145">
        <v>1.3320000000000001</v>
      </c>
      <c r="AM1378" s="145" t="s">
        <v>400</v>
      </c>
    </row>
    <row r="1379" spans="1:39">
      <c r="A1379" s="143" t="s">
        <v>2439</v>
      </c>
      <c r="B1379" s="144">
        <v>100</v>
      </c>
      <c r="C1379" s="145">
        <v>155</v>
      </c>
      <c r="D1379" s="145">
        <v>12.58</v>
      </c>
      <c r="E1379" s="145">
        <v>10.61</v>
      </c>
      <c r="F1379" s="145">
        <v>3.2669999999999999</v>
      </c>
      <c r="G1379" s="145">
        <v>4.077</v>
      </c>
      <c r="H1379" s="145">
        <v>1.4139999999999999</v>
      </c>
      <c r="I1379" s="145">
        <v>1.1879999999999999</v>
      </c>
      <c r="J1379" s="145">
        <v>3.5000000000000003E-2</v>
      </c>
      <c r="K1379" s="145">
        <v>424</v>
      </c>
      <c r="L1379" s="145">
        <v>1.1200000000000001</v>
      </c>
      <c r="M1379" s="145" t="s">
        <v>400</v>
      </c>
      <c r="N1379" s="145">
        <v>50</v>
      </c>
      <c r="O1379" s="145">
        <v>10</v>
      </c>
      <c r="P1379" s="145">
        <v>2.5999999999999999E-2</v>
      </c>
      <c r="Q1379" s="145">
        <v>172</v>
      </c>
      <c r="R1379" s="145">
        <v>1.19</v>
      </c>
      <c r="S1379" s="145">
        <v>124</v>
      </c>
      <c r="T1379" s="145">
        <v>126</v>
      </c>
      <c r="U1379" s="145">
        <v>1.2999999999999999E-2</v>
      </c>
      <c r="V1379" s="145">
        <v>1.05</v>
      </c>
      <c r="W1379" s="145">
        <v>168</v>
      </c>
      <c r="X1379" s="145">
        <v>6.6000000000000003E-2</v>
      </c>
      <c r="Y1379" s="145">
        <v>0.51300000000000001</v>
      </c>
      <c r="Z1379" s="146">
        <v>0.121</v>
      </c>
      <c r="AA1379" s="145">
        <v>6.4000000000000001E-2</v>
      </c>
      <c r="AB1379" s="145" t="s">
        <v>400</v>
      </c>
      <c r="AC1379" s="145">
        <v>2.6139999999999999</v>
      </c>
      <c r="AD1379" s="145">
        <v>1.1100000000000001</v>
      </c>
      <c r="AE1379" s="145">
        <v>44</v>
      </c>
      <c r="AF1379" s="145">
        <v>1.28</v>
      </c>
      <c r="AG1379" s="145">
        <v>1.03</v>
      </c>
      <c r="AH1379" s="145" t="s">
        <v>400</v>
      </c>
      <c r="AI1379" s="145" t="s">
        <v>400</v>
      </c>
      <c r="AJ1379" s="145">
        <v>30.8</v>
      </c>
      <c r="AK1379" s="145">
        <v>169.333</v>
      </c>
      <c r="AL1379" s="145">
        <v>1.22</v>
      </c>
      <c r="AM1379" s="145" t="s">
        <v>400</v>
      </c>
    </row>
    <row r="1380" spans="1:39">
      <c r="A1380" s="143" t="s">
        <v>2440</v>
      </c>
      <c r="B1380" s="144">
        <v>100</v>
      </c>
      <c r="C1380" s="145">
        <v>155</v>
      </c>
      <c r="D1380" s="145">
        <v>12.58</v>
      </c>
      <c r="E1380" s="145">
        <v>10.61</v>
      </c>
      <c r="F1380" s="145">
        <v>3.2669999999999999</v>
      </c>
      <c r="G1380" s="145">
        <v>4.077</v>
      </c>
      <c r="H1380" s="145">
        <v>1.4139999999999999</v>
      </c>
      <c r="I1380" s="145">
        <v>1.1879999999999999</v>
      </c>
      <c r="J1380" s="145">
        <v>3.5000000000000003E-2</v>
      </c>
      <c r="K1380" s="145">
        <v>424</v>
      </c>
      <c r="L1380" s="145">
        <v>1.1200000000000001</v>
      </c>
      <c r="M1380" s="145" t="s">
        <v>400</v>
      </c>
      <c r="N1380" s="145">
        <v>50</v>
      </c>
      <c r="O1380" s="145">
        <v>10</v>
      </c>
      <c r="P1380" s="145">
        <v>2.5999999999999999E-2</v>
      </c>
      <c r="Q1380" s="145">
        <v>172</v>
      </c>
      <c r="R1380" s="145">
        <v>1.19</v>
      </c>
      <c r="S1380" s="145">
        <v>124</v>
      </c>
      <c r="T1380" s="145">
        <v>126</v>
      </c>
      <c r="U1380" s="145">
        <v>1.2999999999999999E-2</v>
      </c>
      <c r="V1380" s="145">
        <v>1.05</v>
      </c>
      <c r="W1380" s="145">
        <v>168</v>
      </c>
      <c r="X1380" s="145">
        <v>6.6000000000000003E-2</v>
      </c>
      <c r="Y1380" s="145">
        <v>0.51300000000000001</v>
      </c>
      <c r="Z1380" s="146">
        <v>0.121</v>
      </c>
      <c r="AA1380" s="145">
        <v>6.4000000000000001E-2</v>
      </c>
      <c r="AB1380" s="145" t="s">
        <v>400</v>
      </c>
      <c r="AC1380" s="145">
        <v>2.6139999999999999</v>
      </c>
      <c r="AD1380" s="145">
        <v>1.1100000000000001</v>
      </c>
      <c r="AE1380" s="145">
        <v>44</v>
      </c>
      <c r="AF1380" s="145">
        <v>1.28</v>
      </c>
      <c r="AG1380" s="145">
        <v>1.03</v>
      </c>
      <c r="AH1380" s="145" t="s">
        <v>400</v>
      </c>
      <c r="AI1380" s="145" t="s">
        <v>400</v>
      </c>
      <c r="AJ1380" s="145">
        <v>30.8</v>
      </c>
      <c r="AK1380" s="145">
        <v>169.333</v>
      </c>
      <c r="AL1380" s="145">
        <v>1.22</v>
      </c>
      <c r="AM1380" s="145" t="s">
        <v>400</v>
      </c>
    </row>
    <row r="1381" spans="1:39">
      <c r="A1381" s="143" t="s">
        <v>2441</v>
      </c>
      <c r="B1381" s="144">
        <v>100</v>
      </c>
      <c r="C1381" s="145">
        <v>155</v>
      </c>
      <c r="D1381" s="145">
        <v>12.58</v>
      </c>
      <c r="E1381" s="145">
        <v>10.61</v>
      </c>
      <c r="F1381" s="145">
        <v>3.2669999999999999</v>
      </c>
      <c r="G1381" s="145">
        <v>4.077</v>
      </c>
      <c r="H1381" s="145">
        <v>1.4139999999999999</v>
      </c>
      <c r="I1381" s="145">
        <v>1.1879999999999999</v>
      </c>
      <c r="J1381" s="145">
        <v>3.5000000000000003E-2</v>
      </c>
      <c r="K1381" s="145">
        <v>424</v>
      </c>
      <c r="L1381" s="145">
        <v>1.1200000000000001</v>
      </c>
      <c r="M1381" s="145" t="s">
        <v>400</v>
      </c>
      <c r="N1381" s="145">
        <v>50</v>
      </c>
      <c r="O1381" s="145">
        <v>10</v>
      </c>
      <c r="P1381" s="145">
        <v>2.5999999999999999E-2</v>
      </c>
      <c r="Q1381" s="145">
        <v>172</v>
      </c>
      <c r="R1381" s="145">
        <v>1.19</v>
      </c>
      <c r="S1381" s="145">
        <v>124</v>
      </c>
      <c r="T1381" s="145">
        <v>126</v>
      </c>
      <c r="U1381" s="145">
        <v>1.2999999999999999E-2</v>
      </c>
      <c r="V1381" s="145">
        <v>1.05</v>
      </c>
      <c r="W1381" s="145">
        <v>168</v>
      </c>
      <c r="X1381" s="145">
        <v>6.6000000000000003E-2</v>
      </c>
      <c r="Y1381" s="145">
        <v>0.51300000000000001</v>
      </c>
      <c r="Z1381" s="146">
        <v>0.121</v>
      </c>
      <c r="AA1381" s="145">
        <v>6.4000000000000001E-2</v>
      </c>
      <c r="AB1381" s="145" t="s">
        <v>400</v>
      </c>
      <c r="AC1381" s="145">
        <v>2.6139999999999999</v>
      </c>
      <c r="AD1381" s="145">
        <v>1.1100000000000001</v>
      </c>
      <c r="AE1381" s="145">
        <v>44</v>
      </c>
      <c r="AF1381" s="145">
        <v>1.28</v>
      </c>
      <c r="AG1381" s="145">
        <v>1.03</v>
      </c>
      <c r="AH1381" s="145" t="s">
        <v>400</v>
      </c>
      <c r="AI1381" s="145" t="s">
        <v>400</v>
      </c>
      <c r="AJ1381" s="145">
        <v>30.8</v>
      </c>
      <c r="AK1381" s="145">
        <v>169.333</v>
      </c>
      <c r="AL1381" s="145">
        <v>1.22</v>
      </c>
      <c r="AM1381" s="145" t="s">
        <v>400</v>
      </c>
    </row>
    <row r="1382" spans="1:39">
      <c r="A1382" s="143" t="s">
        <v>2442</v>
      </c>
      <c r="B1382" s="144">
        <v>100</v>
      </c>
      <c r="C1382" s="145">
        <v>155</v>
      </c>
      <c r="D1382" s="145">
        <v>12.58</v>
      </c>
      <c r="E1382" s="145">
        <v>10.61</v>
      </c>
      <c r="F1382" s="145">
        <v>3.2669999999999999</v>
      </c>
      <c r="G1382" s="145">
        <v>4.077</v>
      </c>
      <c r="H1382" s="145">
        <v>1.4139999999999999</v>
      </c>
      <c r="I1382" s="145">
        <v>1.1879999999999999</v>
      </c>
      <c r="J1382" s="145">
        <v>3.5000000000000003E-2</v>
      </c>
      <c r="K1382" s="145">
        <v>424</v>
      </c>
      <c r="L1382" s="145">
        <v>1.1200000000000001</v>
      </c>
      <c r="M1382" s="145" t="s">
        <v>400</v>
      </c>
      <c r="N1382" s="145">
        <v>50</v>
      </c>
      <c r="O1382" s="145">
        <v>10</v>
      </c>
      <c r="P1382" s="145">
        <v>2.5999999999999999E-2</v>
      </c>
      <c r="Q1382" s="145">
        <v>172</v>
      </c>
      <c r="R1382" s="145">
        <v>1.19</v>
      </c>
      <c r="S1382" s="145">
        <v>124</v>
      </c>
      <c r="T1382" s="145">
        <v>126</v>
      </c>
      <c r="U1382" s="145">
        <v>1.2999999999999999E-2</v>
      </c>
      <c r="V1382" s="145">
        <v>1.05</v>
      </c>
      <c r="W1382" s="145">
        <v>168</v>
      </c>
      <c r="X1382" s="145">
        <v>6.6000000000000003E-2</v>
      </c>
      <c r="Y1382" s="145">
        <v>0.51300000000000001</v>
      </c>
      <c r="Z1382" s="146">
        <v>0.121</v>
      </c>
      <c r="AA1382" s="145">
        <v>6.4000000000000001E-2</v>
      </c>
      <c r="AB1382" s="145" t="s">
        <v>400</v>
      </c>
      <c r="AC1382" s="145">
        <v>2.6139999999999999</v>
      </c>
      <c r="AD1382" s="145">
        <v>1.1100000000000001</v>
      </c>
      <c r="AE1382" s="145">
        <v>44</v>
      </c>
      <c r="AF1382" s="145">
        <v>1.28</v>
      </c>
      <c r="AG1382" s="145">
        <v>1.03</v>
      </c>
      <c r="AH1382" s="145" t="s">
        <v>400</v>
      </c>
      <c r="AI1382" s="145" t="s">
        <v>400</v>
      </c>
      <c r="AJ1382" s="145">
        <v>30.8</v>
      </c>
      <c r="AK1382" s="145">
        <v>169.333</v>
      </c>
      <c r="AL1382" s="145">
        <v>1.22</v>
      </c>
      <c r="AM1382" s="145" t="s">
        <v>400</v>
      </c>
    </row>
    <row r="1383" spans="1:39">
      <c r="A1383" s="143" t="s">
        <v>2443</v>
      </c>
      <c r="B1383" s="144">
        <v>100</v>
      </c>
      <c r="C1383" s="145">
        <v>155</v>
      </c>
      <c r="D1383" s="145">
        <v>12.58</v>
      </c>
      <c r="E1383" s="145">
        <v>10.61</v>
      </c>
      <c r="F1383" s="145">
        <v>3.2669999999999999</v>
      </c>
      <c r="G1383" s="145">
        <v>4.077</v>
      </c>
      <c r="H1383" s="145">
        <v>1.4139999999999999</v>
      </c>
      <c r="I1383" s="145">
        <v>1.1879999999999999</v>
      </c>
      <c r="J1383" s="145">
        <v>3.5000000000000003E-2</v>
      </c>
      <c r="K1383" s="145">
        <v>424</v>
      </c>
      <c r="L1383" s="145">
        <v>1.1200000000000001</v>
      </c>
      <c r="M1383" s="145" t="s">
        <v>400</v>
      </c>
      <c r="N1383" s="145">
        <v>50</v>
      </c>
      <c r="O1383" s="145">
        <v>10</v>
      </c>
      <c r="P1383" s="145">
        <v>2.5999999999999999E-2</v>
      </c>
      <c r="Q1383" s="145">
        <v>172</v>
      </c>
      <c r="R1383" s="145">
        <v>1.19</v>
      </c>
      <c r="S1383" s="145">
        <v>124</v>
      </c>
      <c r="T1383" s="145">
        <v>126</v>
      </c>
      <c r="U1383" s="145">
        <v>1.2999999999999999E-2</v>
      </c>
      <c r="V1383" s="145">
        <v>1.05</v>
      </c>
      <c r="W1383" s="145">
        <v>168</v>
      </c>
      <c r="X1383" s="145">
        <v>6.6000000000000003E-2</v>
      </c>
      <c r="Y1383" s="145">
        <v>0.51300000000000001</v>
      </c>
      <c r="Z1383" s="146">
        <v>0.121</v>
      </c>
      <c r="AA1383" s="145">
        <v>6.4000000000000001E-2</v>
      </c>
      <c r="AB1383" s="145" t="s">
        <v>400</v>
      </c>
      <c r="AC1383" s="145">
        <v>2.6139999999999999</v>
      </c>
      <c r="AD1383" s="145">
        <v>1.1100000000000001</v>
      </c>
      <c r="AE1383" s="145">
        <v>44</v>
      </c>
      <c r="AF1383" s="145">
        <v>1.28</v>
      </c>
      <c r="AG1383" s="145">
        <v>1.03</v>
      </c>
      <c r="AH1383" s="145" t="s">
        <v>400</v>
      </c>
      <c r="AI1383" s="145" t="s">
        <v>400</v>
      </c>
      <c r="AJ1383" s="145">
        <v>30.8</v>
      </c>
      <c r="AK1383" s="145">
        <v>169.333</v>
      </c>
      <c r="AL1383" s="145">
        <v>1.22</v>
      </c>
      <c r="AM1383" s="145" t="s">
        <v>400</v>
      </c>
    </row>
    <row r="1384" spans="1:39">
      <c r="A1384" s="143" t="s">
        <v>2444</v>
      </c>
      <c r="B1384" s="144">
        <v>100</v>
      </c>
      <c r="C1384" s="145">
        <v>155</v>
      </c>
      <c r="D1384" s="145">
        <v>12.58</v>
      </c>
      <c r="E1384" s="145">
        <v>10.61</v>
      </c>
      <c r="F1384" s="145">
        <v>3.2669999999999999</v>
      </c>
      <c r="G1384" s="145">
        <v>4.077</v>
      </c>
      <c r="H1384" s="145">
        <v>1.4139999999999999</v>
      </c>
      <c r="I1384" s="145">
        <v>1.1879999999999999</v>
      </c>
      <c r="J1384" s="145">
        <v>3.5000000000000003E-2</v>
      </c>
      <c r="K1384" s="145">
        <v>424</v>
      </c>
      <c r="L1384" s="145">
        <v>1.1200000000000001</v>
      </c>
      <c r="M1384" s="145" t="s">
        <v>400</v>
      </c>
      <c r="N1384" s="145">
        <v>50</v>
      </c>
      <c r="O1384" s="145">
        <v>10</v>
      </c>
      <c r="P1384" s="145">
        <v>2.5999999999999999E-2</v>
      </c>
      <c r="Q1384" s="145">
        <v>172</v>
      </c>
      <c r="R1384" s="145">
        <v>1.19</v>
      </c>
      <c r="S1384" s="145">
        <v>124</v>
      </c>
      <c r="T1384" s="145">
        <v>126</v>
      </c>
      <c r="U1384" s="145">
        <v>1.2999999999999999E-2</v>
      </c>
      <c r="V1384" s="145">
        <v>1.05</v>
      </c>
      <c r="W1384" s="145">
        <v>168</v>
      </c>
      <c r="X1384" s="145">
        <v>6.6000000000000003E-2</v>
      </c>
      <c r="Y1384" s="145">
        <v>0.51300000000000001</v>
      </c>
      <c r="Z1384" s="146">
        <v>0.121</v>
      </c>
      <c r="AA1384" s="145">
        <v>6.4000000000000001E-2</v>
      </c>
      <c r="AB1384" s="145" t="s">
        <v>400</v>
      </c>
      <c r="AC1384" s="145">
        <v>2.6139999999999999</v>
      </c>
      <c r="AD1384" s="145">
        <v>1.1100000000000001</v>
      </c>
      <c r="AE1384" s="145">
        <v>44</v>
      </c>
      <c r="AF1384" s="145">
        <v>1.28</v>
      </c>
      <c r="AG1384" s="145">
        <v>1.03</v>
      </c>
      <c r="AH1384" s="145" t="s">
        <v>400</v>
      </c>
      <c r="AI1384" s="145" t="s">
        <v>400</v>
      </c>
      <c r="AJ1384" s="145">
        <v>30.8</v>
      </c>
      <c r="AK1384" s="145">
        <v>169.333</v>
      </c>
      <c r="AL1384" s="145">
        <v>1.22</v>
      </c>
      <c r="AM1384" s="145" t="s">
        <v>400</v>
      </c>
    </row>
    <row r="1385" spans="1:39">
      <c r="A1385" s="143" t="s">
        <v>2445</v>
      </c>
      <c r="B1385" s="144">
        <v>100</v>
      </c>
      <c r="C1385" s="145">
        <v>222.59100000000001</v>
      </c>
      <c r="D1385" s="145">
        <v>13.673999999999999</v>
      </c>
      <c r="E1385" s="145">
        <v>17.654</v>
      </c>
      <c r="F1385" s="145">
        <v>4.5090000000000003</v>
      </c>
      <c r="G1385" s="145">
        <v>5.8259999999999996</v>
      </c>
      <c r="H1385" s="145">
        <v>5.0709999999999997</v>
      </c>
      <c r="I1385" s="145">
        <v>4.41</v>
      </c>
      <c r="J1385" s="145">
        <v>0.45400000000000001</v>
      </c>
      <c r="K1385" s="145">
        <v>460.87</v>
      </c>
      <c r="L1385" s="145">
        <v>1.2170000000000001</v>
      </c>
      <c r="M1385" s="145" t="s">
        <v>400</v>
      </c>
      <c r="N1385" s="145">
        <v>54.347999999999999</v>
      </c>
      <c r="O1385" s="145">
        <v>10.87</v>
      </c>
      <c r="P1385" s="145">
        <v>2.8000000000000001E-2</v>
      </c>
      <c r="Q1385" s="145">
        <v>186.95699999999999</v>
      </c>
      <c r="R1385" s="145">
        <v>1.2969999999999999</v>
      </c>
      <c r="S1385" s="145">
        <v>134.78299999999999</v>
      </c>
      <c r="T1385" s="145">
        <v>136.95699999999999</v>
      </c>
      <c r="U1385" s="145">
        <v>1.4E-2</v>
      </c>
      <c r="V1385" s="145">
        <v>1.1419999999999999</v>
      </c>
      <c r="W1385" s="145">
        <v>182.60900000000001</v>
      </c>
      <c r="X1385" s="145">
        <v>7.1999999999999995E-2</v>
      </c>
      <c r="Y1385" s="145">
        <v>0.55800000000000005</v>
      </c>
      <c r="Z1385" s="146">
        <v>0.13200000000000001</v>
      </c>
      <c r="AA1385" s="145">
        <v>7.0000000000000007E-2</v>
      </c>
      <c r="AB1385" s="145" t="s">
        <v>400</v>
      </c>
      <c r="AC1385" s="145">
        <v>2.8410000000000002</v>
      </c>
      <c r="AD1385" s="145">
        <v>1.2070000000000001</v>
      </c>
      <c r="AE1385" s="145">
        <v>47.826000000000001</v>
      </c>
      <c r="AF1385" s="145">
        <v>1.391</v>
      </c>
      <c r="AG1385" s="145">
        <v>1.62</v>
      </c>
      <c r="AH1385" s="145">
        <v>3.3000000000000002E-2</v>
      </c>
      <c r="AI1385" s="145">
        <v>205</v>
      </c>
      <c r="AJ1385" s="145">
        <v>36.283999999999999</v>
      </c>
      <c r="AK1385" s="145">
        <v>184.05799999999999</v>
      </c>
      <c r="AL1385" s="145">
        <v>1.3260000000000001</v>
      </c>
      <c r="AM1385" s="145" t="s">
        <v>400</v>
      </c>
    </row>
    <row r="1386" spans="1:39">
      <c r="A1386" s="143" t="s">
        <v>2446</v>
      </c>
      <c r="B1386" s="144">
        <v>100</v>
      </c>
      <c r="C1386" s="145">
        <v>155</v>
      </c>
      <c r="D1386" s="145">
        <v>12.58</v>
      </c>
      <c r="E1386" s="145">
        <v>10.61</v>
      </c>
      <c r="F1386" s="145">
        <v>3.2669999999999999</v>
      </c>
      <c r="G1386" s="145">
        <v>4.077</v>
      </c>
      <c r="H1386" s="145">
        <v>1.4139999999999999</v>
      </c>
      <c r="I1386" s="145">
        <v>1.1879999999999999</v>
      </c>
      <c r="J1386" s="145">
        <v>3.5000000000000003E-2</v>
      </c>
      <c r="K1386" s="145">
        <v>424</v>
      </c>
      <c r="L1386" s="145">
        <v>1.1200000000000001</v>
      </c>
      <c r="M1386" s="145" t="s">
        <v>400</v>
      </c>
      <c r="N1386" s="145">
        <v>50</v>
      </c>
      <c r="O1386" s="145">
        <v>10</v>
      </c>
      <c r="P1386" s="145">
        <v>2.5999999999999999E-2</v>
      </c>
      <c r="Q1386" s="145">
        <v>172</v>
      </c>
      <c r="R1386" s="145">
        <v>1.19</v>
      </c>
      <c r="S1386" s="145">
        <v>124</v>
      </c>
      <c r="T1386" s="145">
        <v>126</v>
      </c>
      <c r="U1386" s="145">
        <v>1.2999999999999999E-2</v>
      </c>
      <c r="V1386" s="145">
        <v>1.05</v>
      </c>
      <c r="W1386" s="145">
        <v>168</v>
      </c>
      <c r="X1386" s="145">
        <v>6.6000000000000003E-2</v>
      </c>
      <c r="Y1386" s="145">
        <v>0.51300000000000001</v>
      </c>
      <c r="Z1386" s="146">
        <v>0.121</v>
      </c>
      <c r="AA1386" s="145">
        <v>6.4000000000000001E-2</v>
      </c>
      <c r="AB1386" s="145" t="s">
        <v>400</v>
      </c>
      <c r="AC1386" s="145">
        <v>2.6139999999999999</v>
      </c>
      <c r="AD1386" s="145">
        <v>1.1100000000000001</v>
      </c>
      <c r="AE1386" s="145">
        <v>44</v>
      </c>
      <c r="AF1386" s="145">
        <v>1.28</v>
      </c>
      <c r="AG1386" s="145">
        <v>1.03</v>
      </c>
      <c r="AH1386" s="145" t="s">
        <v>400</v>
      </c>
      <c r="AI1386" s="145" t="s">
        <v>400</v>
      </c>
      <c r="AJ1386" s="145">
        <v>30.8</v>
      </c>
      <c r="AK1386" s="145">
        <v>169.333</v>
      </c>
      <c r="AL1386" s="145">
        <v>1.22</v>
      </c>
      <c r="AM1386" s="145" t="s">
        <v>400</v>
      </c>
    </row>
    <row r="1387" spans="1:39">
      <c r="A1387" s="143" t="s">
        <v>2447</v>
      </c>
      <c r="B1387" s="144">
        <v>100</v>
      </c>
      <c r="C1387" s="145">
        <v>155</v>
      </c>
      <c r="D1387" s="145">
        <v>12.58</v>
      </c>
      <c r="E1387" s="145">
        <v>10.61</v>
      </c>
      <c r="F1387" s="145">
        <v>3.2669999999999999</v>
      </c>
      <c r="G1387" s="145">
        <v>4.077</v>
      </c>
      <c r="H1387" s="145">
        <v>1.4139999999999999</v>
      </c>
      <c r="I1387" s="145">
        <v>1.1879999999999999</v>
      </c>
      <c r="J1387" s="145">
        <v>3.5000000000000003E-2</v>
      </c>
      <c r="K1387" s="145">
        <v>424</v>
      </c>
      <c r="L1387" s="145">
        <v>1.1200000000000001</v>
      </c>
      <c r="M1387" s="145" t="s">
        <v>400</v>
      </c>
      <c r="N1387" s="145">
        <v>50</v>
      </c>
      <c r="O1387" s="145">
        <v>10</v>
      </c>
      <c r="P1387" s="145">
        <v>2.5999999999999999E-2</v>
      </c>
      <c r="Q1387" s="145">
        <v>172</v>
      </c>
      <c r="R1387" s="145">
        <v>1.19</v>
      </c>
      <c r="S1387" s="145">
        <v>124</v>
      </c>
      <c r="T1387" s="145">
        <v>126</v>
      </c>
      <c r="U1387" s="145">
        <v>1.2999999999999999E-2</v>
      </c>
      <c r="V1387" s="145">
        <v>1.05</v>
      </c>
      <c r="W1387" s="145">
        <v>168</v>
      </c>
      <c r="X1387" s="145">
        <v>6.6000000000000003E-2</v>
      </c>
      <c r="Y1387" s="145">
        <v>0.51300000000000001</v>
      </c>
      <c r="Z1387" s="146">
        <v>0.121</v>
      </c>
      <c r="AA1387" s="145">
        <v>6.4000000000000001E-2</v>
      </c>
      <c r="AB1387" s="145" t="s">
        <v>400</v>
      </c>
      <c r="AC1387" s="145">
        <v>2.6139999999999999</v>
      </c>
      <c r="AD1387" s="145">
        <v>1.1100000000000001</v>
      </c>
      <c r="AE1387" s="145">
        <v>44</v>
      </c>
      <c r="AF1387" s="145">
        <v>1.28</v>
      </c>
      <c r="AG1387" s="145">
        <v>1.03</v>
      </c>
      <c r="AH1387" s="145" t="s">
        <v>400</v>
      </c>
      <c r="AI1387" s="145" t="s">
        <v>400</v>
      </c>
      <c r="AJ1387" s="145">
        <v>30.8</v>
      </c>
      <c r="AK1387" s="145">
        <v>169.333</v>
      </c>
      <c r="AL1387" s="145">
        <v>1.22</v>
      </c>
      <c r="AM1387" s="145" t="s">
        <v>400</v>
      </c>
    </row>
    <row r="1388" spans="1:39">
      <c r="A1388" s="143" t="s">
        <v>2448</v>
      </c>
      <c r="B1388" s="144">
        <v>100</v>
      </c>
      <c r="C1388" s="145">
        <v>247</v>
      </c>
      <c r="D1388" s="145">
        <v>32.4</v>
      </c>
      <c r="E1388" s="145">
        <v>12.1</v>
      </c>
      <c r="F1388" s="145">
        <v>3.5169999999999999</v>
      </c>
      <c r="G1388" s="145">
        <v>5.6269999999999998</v>
      </c>
      <c r="H1388" s="145">
        <v>1.5369999999999999</v>
      </c>
      <c r="I1388" s="145">
        <v>1.0549999999999999</v>
      </c>
      <c r="J1388" s="145">
        <v>0.13</v>
      </c>
      <c r="K1388" s="145">
        <v>89</v>
      </c>
      <c r="L1388" s="145" t="s">
        <v>400</v>
      </c>
      <c r="M1388" s="145" t="s">
        <v>400</v>
      </c>
      <c r="N1388" s="145">
        <v>16</v>
      </c>
      <c r="O1388" s="145">
        <v>22</v>
      </c>
      <c r="P1388" s="145">
        <v>2.5999999999999999E-2</v>
      </c>
      <c r="Q1388" s="145">
        <v>242</v>
      </c>
      <c r="R1388" s="145">
        <v>1.43</v>
      </c>
      <c r="S1388" s="145">
        <v>43</v>
      </c>
      <c r="T1388" s="145">
        <v>271</v>
      </c>
      <c r="U1388" s="145">
        <v>8.4000000000000005E-2</v>
      </c>
      <c r="V1388" s="145">
        <v>1.37</v>
      </c>
      <c r="W1388" s="145">
        <v>57</v>
      </c>
      <c r="X1388" s="145">
        <v>7.0000000000000007E-2</v>
      </c>
      <c r="Y1388" s="145">
        <v>0.18</v>
      </c>
      <c r="Z1388" s="145">
        <v>0.75</v>
      </c>
      <c r="AA1388" s="145">
        <v>7.53</v>
      </c>
      <c r="AB1388" s="145">
        <v>2.2999999999999998</v>
      </c>
      <c r="AC1388" s="145">
        <v>15.047000000000001</v>
      </c>
      <c r="AD1388" s="145">
        <v>0.72</v>
      </c>
      <c r="AE1388" s="145">
        <v>5</v>
      </c>
      <c r="AF1388" s="145">
        <v>0.23899999999999999</v>
      </c>
      <c r="AG1388" s="145">
        <v>0.27</v>
      </c>
      <c r="AH1388" s="145">
        <v>0.26300000000000001</v>
      </c>
      <c r="AI1388" s="145">
        <v>333</v>
      </c>
      <c r="AJ1388" s="145">
        <v>20.7</v>
      </c>
      <c r="AK1388" s="145">
        <v>57</v>
      </c>
      <c r="AL1388" s="145" t="s">
        <v>400</v>
      </c>
      <c r="AM1388" s="145" t="s">
        <v>400</v>
      </c>
    </row>
    <row r="1389" spans="1:39">
      <c r="A1389" s="143" t="s">
        <v>2449</v>
      </c>
      <c r="B1389" s="144">
        <v>100</v>
      </c>
      <c r="C1389" s="145">
        <v>247</v>
      </c>
      <c r="D1389" s="145">
        <v>32.4</v>
      </c>
      <c r="E1389" s="145">
        <v>12.1</v>
      </c>
      <c r="F1389" s="145">
        <v>3.5169999999999999</v>
      </c>
      <c r="G1389" s="145">
        <v>5.6269999999999998</v>
      </c>
      <c r="H1389" s="145">
        <v>1.5369999999999999</v>
      </c>
      <c r="I1389" s="145">
        <v>1.0549999999999999</v>
      </c>
      <c r="J1389" s="145">
        <v>0.13</v>
      </c>
      <c r="K1389" s="145">
        <v>89</v>
      </c>
      <c r="L1389" s="145" t="s">
        <v>400</v>
      </c>
      <c r="M1389" s="145" t="s">
        <v>400</v>
      </c>
      <c r="N1389" s="145">
        <v>16</v>
      </c>
      <c r="O1389" s="145">
        <v>22</v>
      </c>
      <c r="P1389" s="145">
        <v>2.5999999999999999E-2</v>
      </c>
      <c r="Q1389" s="145">
        <v>242</v>
      </c>
      <c r="R1389" s="145">
        <v>1.43</v>
      </c>
      <c r="S1389" s="145">
        <v>43</v>
      </c>
      <c r="T1389" s="145">
        <v>271</v>
      </c>
      <c r="U1389" s="145">
        <v>8.4000000000000005E-2</v>
      </c>
      <c r="V1389" s="145">
        <v>1.37</v>
      </c>
      <c r="W1389" s="145">
        <v>57</v>
      </c>
      <c r="X1389" s="145">
        <v>7.0000000000000007E-2</v>
      </c>
      <c r="Y1389" s="145">
        <v>0.18</v>
      </c>
      <c r="Z1389" s="145">
        <v>0.75</v>
      </c>
      <c r="AA1389" s="145">
        <v>7.53</v>
      </c>
      <c r="AB1389" s="145">
        <v>2.2999999999999998</v>
      </c>
      <c r="AC1389" s="145">
        <v>15.047000000000001</v>
      </c>
      <c r="AD1389" s="145">
        <v>0.72</v>
      </c>
      <c r="AE1389" s="145">
        <v>5</v>
      </c>
      <c r="AF1389" s="145">
        <v>0.23899999999999999</v>
      </c>
      <c r="AG1389" s="145">
        <v>0.27</v>
      </c>
      <c r="AH1389" s="145">
        <v>0.26300000000000001</v>
      </c>
      <c r="AI1389" s="145">
        <v>333</v>
      </c>
      <c r="AJ1389" s="145">
        <v>20.7</v>
      </c>
      <c r="AK1389" s="145">
        <v>57</v>
      </c>
      <c r="AL1389" s="145" t="s">
        <v>400</v>
      </c>
      <c r="AM1389" s="145" t="s">
        <v>400</v>
      </c>
    </row>
    <row r="1390" spans="1:39">
      <c r="A1390" s="143" t="s">
        <v>2450</v>
      </c>
      <c r="B1390" s="144">
        <v>100</v>
      </c>
      <c r="C1390" s="145">
        <v>247</v>
      </c>
      <c r="D1390" s="145">
        <v>32.4</v>
      </c>
      <c r="E1390" s="145">
        <v>12.1</v>
      </c>
      <c r="F1390" s="145">
        <v>3.5169999999999999</v>
      </c>
      <c r="G1390" s="145">
        <v>5.6269999999999998</v>
      </c>
      <c r="H1390" s="145">
        <v>1.5369999999999999</v>
      </c>
      <c r="I1390" s="145">
        <v>1.0549999999999999</v>
      </c>
      <c r="J1390" s="145">
        <v>0.13</v>
      </c>
      <c r="K1390" s="145">
        <v>89</v>
      </c>
      <c r="L1390" s="145" t="s">
        <v>400</v>
      </c>
      <c r="M1390" s="145" t="s">
        <v>400</v>
      </c>
      <c r="N1390" s="145">
        <v>16</v>
      </c>
      <c r="O1390" s="145">
        <v>22</v>
      </c>
      <c r="P1390" s="145">
        <v>2.5999999999999999E-2</v>
      </c>
      <c r="Q1390" s="145">
        <v>242</v>
      </c>
      <c r="R1390" s="145">
        <v>1.43</v>
      </c>
      <c r="S1390" s="145">
        <v>43</v>
      </c>
      <c r="T1390" s="145">
        <v>271</v>
      </c>
      <c r="U1390" s="145">
        <v>8.4000000000000005E-2</v>
      </c>
      <c r="V1390" s="145">
        <v>1.37</v>
      </c>
      <c r="W1390" s="145">
        <v>57</v>
      </c>
      <c r="X1390" s="145">
        <v>7.0000000000000007E-2</v>
      </c>
      <c r="Y1390" s="145">
        <v>0.18</v>
      </c>
      <c r="Z1390" s="145">
        <v>0.75</v>
      </c>
      <c r="AA1390" s="145">
        <v>7.53</v>
      </c>
      <c r="AB1390" s="145">
        <v>2.2999999999999998</v>
      </c>
      <c r="AC1390" s="145">
        <v>15.047000000000001</v>
      </c>
      <c r="AD1390" s="145">
        <v>0.72</v>
      </c>
      <c r="AE1390" s="145">
        <v>5</v>
      </c>
      <c r="AF1390" s="145">
        <v>0.23899999999999999</v>
      </c>
      <c r="AG1390" s="145">
        <v>0.27</v>
      </c>
      <c r="AH1390" s="145">
        <v>0.26300000000000001</v>
      </c>
      <c r="AI1390" s="145">
        <v>333</v>
      </c>
      <c r="AJ1390" s="145">
        <v>20.7</v>
      </c>
      <c r="AK1390" s="145">
        <v>57</v>
      </c>
      <c r="AL1390" s="145" t="s">
        <v>400</v>
      </c>
      <c r="AM1390" s="145" t="s">
        <v>400</v>
      </c>
    </row>
    <row r="1391" spans="1:39">
      <c r="A1391" s="143" t="s">
        <v>2451</v>
      </c>
      <c r="B1391" s="144">
        <v>100</v>
      </c>
      <c r="C1391" s="145">
        <v>247</v>
      </c>
      <c r="D1391" s="145">
        <v>32.4</v>
      </c>
      <c r="E1391" s="145">
        <v>12.1</v>
      </c>
      <c r="F1391" s="145">
        <v>3.5169999999999999</v>
      </c>
      <c r="G1391" s="145">
        <v>5.6269999999999998</v>
      </c>
      <c r="H1391" s="145">
        <v>1.5369999999999999</v>
      </c>
      <c r="I1391" s="145">
        <v>1.0549999999999999</v>
      </c>
      <c r="J1391" s="145">
        <v>0.13</v>
      </c>
      <c r="K1391" s="145">
        <v>89</v>
      </c>
      <c r="L1391" s="145" t="s">
        <v>400</v>
      </c>
      <c r="M1391" s="145" t="s">
        <v>400</v>
      </c>
      <c r="N1391" s="145">
        <v>16</v>
      </c>
      <c r="O1391" s="145">
        <v>22</v>
      </c>
      <c r="P1391" s="145">
        <v>2.5999999999999999E-2</v>
      </c>
      <c r="Q1391" s="145">
        <v>242</v>
      </c>
      <c r="R1391" s="145">
        <v>1.43</v>
      </c>
      <c r="S1391" s="145">
        <v>43</v>
      </c>
      <c r="T1391" s="145">
        <v>271</v>
      </c>
      <c r="U1391" s="145">
        <v>8.4000000000000005E-2</v>
      </c>
      <c r="V1391" s="145">
        <v>1.37</v>
      </c>
      <c r="W1391" s="145">
        <v>57</v>
      </c>
      <c r="X1391" s="145">
        <v>7.0000000000000007E-2</v>
      </c>
      <c r="Y1391" s="145">
        <v>0.18</v>
      </c>
      <c r="Z1391" s="145">
        <v>0.75</v>
      </c>
      <c r="AA1391" s="145">
        <v>7.53</v>
      </c>
      <c r="AB1391" s="145">
        <v>2.2999999999999998</v>
      </c>
      <c r="AC1391" s="145">
        <v>15.047000000000001</v>
      </c>
      <c r="AD1391" s="145">
        <v>0.72</v>
      </c>
      <c r="AE1391" s="145">
        <v>5</v>
      </c>
      <c r="AF1391" s="145">
        <v>0.23899999999999999</v>
      </c>
      <c r="AG1391" s="145">
        <v>0.27</v>
      </c>
      <c r="AH1391" s="145">
        <v>0.26300000000000001</v>
      </c>
      <c r="AI1391" s="145">
        <v>333</v>
      </c>
      <c r="AJ1391" s="145">
        <v>20.7</v>
      </c>
      <c r="AK1391" s="145">
        <v>57</v>
      </c>
      <c r="AL1391" s="145" t="s">
        <v>400</v>
      </c>
      <c r="AM1391" s="145" t="s">
        <v>400</v>
      </c>
    </row>
    <row r="1392" spans="1:39">
      <c r="A1392" s="143" t="s">
        <v>2452</v>
      </c>
      <c r="B1392" s="144">
        <v>100</v>
      </c>
      <c r="C1392" s="145">
        <v>269.65899999999999</v>
      </c>
      <c r="D1392" s="145">
        <v>32.4</v>
      </c>
      <c r="E1392" s="145">
        <v>14.663</v>
      </c>
      <c r="F1392" s="145">
        <v>3.9180000000000001</v>
      </c>
      <c r="G1392" s="145">
        <v>6.2110000000000003</v>
      </c>
      <c r="H1392" s="145">
        <v>3.0169999999999999</v>
      </c>
      <c r="I1392" s="145">
        <v>2.3610000000000002</v>
      </c>
      <c r="J1392" s="145">
        <v>0.30399999999999999</v>
      </c>
      <c r="K1392" s="145">
        <v>89</v>
      </c>
      <c r="L1392" s="145" t="s">
        <v>400</v>
      </c>
      <c r="M1392" s="145" t="s">
        <v>400</v>
      </c>
      <c r="N1392" s="145">
        <v>16</v>
      </c>
      <c r="O1392" s="145">
        <v>22</v>
      </c>
      <c r="P1392" s="145">
        <v>2.5999999999999999E-2</v>
      </c>
      <c r="Q1392" s="145">
        <v>242</v>
      </c>
      <c r="R1392" s="145">
        <v>1.431</v>
      </c>
      <c r="S1392" s="145">
        <v>43</v>
      </c>
      <c r="T1392" s="145">
        <v>271</v>
      </c>
      <c r="U1392" s="145">
        <v>8.4000000000000005E-2</v>
      </c>
      <c r="V1392" s="145">
        <v>1.37</v>
      </c>
      <c r="W1392" s="145">
        <v>57</v>
      </c>
      <c r="X1392" s="145">
        <v>7.0000000000000007E-2</v>
      </c>
      <c r="Y1392" s="145">
        <v>0.18</v>
      </c>
      <c r="Z1392" s="145">
        <v>0.75</v>
      </c>
      <c r="AA1392" s="145">
        <v>7.53</v>
      </c>
      <c r="AB1392" s="145">
        <v>2.2999999999999998</v>
      </c>
      <c r="AC1392" s="145">
        <v>15.047000000000001</v>
      </c>
      <c r="AD1392" s="145">
        <v>0.72</v>
      </c>
      <c r="AE1392" s="145">
        <v>5</v>
      </c>
      <c r="AF1392" s="145">
        <v>0.23899999999999999</v>
      </c>
      <c r="AG1392" s="145">
        <v>0.48</v>
      </c>
      <c r="AH1392" s="145">
        <v>0.27700000000000002</v>
      </c>
      <c r="AI1392" s="145">
        <v>333</v>
      </c>
      <c r="AJ1392" s="145">
        <v>21.875</v>
      </c>
      <c r="AK1392" s="145">
        <v>57</v>
      </c>
      <c r="AL1392" s="145" t="s">
        <v>400</v>
      </c>
      <c r="AM1392" s="145" t="s">
        <v>400</v>
      </c>
    </row>
    <row r="1393" spans="1:39">
      <c r="A1393" s="143" t="s">
        <v>2453</v>
      </c>
      <c r="B1393" s="144">
        <v>100</v>
      </c>
      <c r="C1393" s="145">
        <v>239</v>
      </c>
      <c r="D1393" s="145">
        <v>27.3</v>
      </c>
      <c r="E1393" s="145">
        <v>13.6</v>
      </c>
      <c r="F1393" s="145">
        <v>3.79</v>
      </c>
      <c r="G1393" s="145">
        <v>5.34</v>
      </c>
      <c r="H1393" s="145">
        <v>2.97</v>
      </c>
      <c r="I1393" s="145">
        <v>2.57</v>
      </c>
      <c r="J1393" s="145">
        <v>0.11</v>
      </c>
      <c r="K1393" s="145">
        <v>88</v>
      </c>
      <c r="L1393" s="145" t="s">
        <v>400</v>
      </c>
      <c r="M1393" s="145" t="s">
        <v>400</v>
      </c>
      <c r="N1393" s="145">
        <v>15</v>
      </c>
      <c r="O1393" s="145">
        <v>23</v>
      </c>
      <c r="P1393" s="145">
        <v>0.02</v>
      </c>
      <c r="Q1393" s="145">
        <v>182</v>
      </c>
      <c r="R1393" s="145">
        <v>1.26</v>
      </c>
      <c r="S1393" s="145">
        <v>82</v>
      </c>
      <c r="T1393" s="145">
        <v>223</v>
      </c>
      <c r="U1393" s="145">
        <v>6.6000000000000003E-2</v>
      </c>
      <c r="V1393" s="145">
        <v>1.94</v>
      </c>
      <c r="W1393" s="145">
        <v>48</v>
      </c>
      <c r="X1393" s="145">
        <v>6.3E-2</v>
      </c>
      <c r="Y1393" s="145">
        <v>0.16800000000000001</v>
      </c>
      <c r="Z1393" s="146">
        <v>0.4</v>
      </c>
      <c r="AA1393" s="145">
        <v>8.4870000000000001</v>
      </c>
      <c r="AB1393" s="145" t="s">
        <v>400</v>
      </c>
      <c r="AC1393" s="145">
        <v>13.57</v>
      </c>
      <c r="AD1393" s="145">
        <v>0.3</v>
      </c>
      <c r="AE1393" s="145">
        <v>5</v>
      </c>
      <c r="AF1393" s="145">
        <v>0.3</v>
      </c>
      <c r="AG1393" s="145">
        <v>0.27</v>
      </c>
      <c r="AH1393" s="145">
        <v>0.45</v>
      </c>
      <c r="AI1393" s="145">
        <v>333</v>
      </c>
      <c r="AJ1393" s="145">
        <v>23.9</v>
      </c>
      <c r="AK1393" s="145">
        <v>48</v>
      </c>
      <c r="AL1393" s="145" t="s">
        <v>400</v>
      </c>
      <c r="AM1393" s="145" t="s">
        <v>400</v>
      </c>
    </row>
    <row r="1394" spans="1:39">
      <c r="A1394" s="143" t="s">
        <v>2454</v>
      </c>
      <c r="B1394" s="144">
        <v>100</v>
      </c>
      <c r="C1394" s="145">
        <v>201</v>
      </c>
      <c r="D1394" s="145">
        <v>26.14</v>
      </c>
      <c r="E1394" s="145">
        <v>9.9700000000000006</v>
      </c>
      <c r="F1394" s="145">
        <v>2.8</v>
      </c>
      <c r="G1394" s="145">
        <v>3.92</v>
      </c>
      <c r="H1394" s="145">
        <v>2.12</v>
      </c>
      <c r="I1394" s="145">
        <v>1.83</v>
      </c>
      <c r="J1394" s="145">
        <v>0.08</v>
      </c>
      <c r="K1394" s="145">
        <v>74</v>
      </c>
      <c r="L1394" s="145" t="s">
        <v>400</v>
      </c>
      <c r="M1394" s="145" t="s">
        <v>400</v>
      </c>
      <c r="N1394" s="145">
        <v>13</v>
      </c>
      <c r="O1394" s="145">
        <v>20</v>
      </c>
      <c r="P1394" s="145">
        <v>1.7999999999999999E-2</v>
      </c>
      <c r="Q1394" s="145">
        <v>146</v>
      </c>
      <c r="R1394" s="145">
        <v>0.98</v>
      </c>
      <c r="S1394" s="145">
        <v>63</v>
      </c>
      <c r="T1394" s="145">
        <v>167</v>
      </c>
      <c r="U1394" s="145">
        <v>4.3999999999999997E-2</v>
      </c>
      <c r="V1394" s="145">
        <v>1.1399999999999999</v>
      </c>
      <c r="W1394" s="145">
        <v>29</v>
      </c>
      <c r="X1394" s="145">
        <v>4.1000000000000002E-2</v>
      </c>
      <c r="Y1394" s="145">
        <v>0.112</v>
      </c>
      <c r="Z1394" s="146">
        <v>0.27</v>
      </c>
      <c r="AA1394" s="145">
        <v>6.9349999999999996</v>
      </c>
      <c r="AB1394" s="145" t="s">
        <v>400</v>
      </c>
      <c r="AC1394" s="145">
        <v>11.835000000000001</v>
      </c>
      <c r="AD1394" s="145">
        <v>0.2</v>
      </c>
      <c r="AE1394" s="145">
        <v>3</v>
      </c>
      <c r="AF1394" s="145">
        <v>0.2</v>
      </c>
      <c r="AG1394" s="145">
        <v>0.21</v>
      </c>
      <c r="AH1394" s="145">
        <v>0.2</v>
      </c>
      <c r="AI1394" s="145">
        <v>333</v>
      </c>
      <c r="AJ1394" s="145">
        <v>21.2</v>
      </c>
      <c r="AK1394" s="145">
        <v>29</v>
      </c>
      <c r="AL1394" s="145" t="s">
        <v>400</v>
      </c>
      <c r="AM1394" s="145" t="s">
        <v>400</v>
      </c>
    </row>
    <row r="1395" spans="1:39">
      <c r="A1395" s="143" t="s">
        <v>2455</v>
      </c>
      <c r="B1395" s="144">
        <v>100</v>
      </c>
      <c r="C1395" s="145">
        <v>201</v>
      </c>
      <c r="D1395" s="145">
        <v>26.14</v>
      </c>
      <c r="E1395" s="145">
        <v>9.9700000000000006</v>
      </c>
      <c r="F1395" s="145">
        <v>2.8</v>
      </c>
      <c r="G1395" s="145">
        <v>3.92</v>
      </c>
      <c r="H1395" s="145">
        <v>2.12</v>
      </c>
      <c r="I1395" s="145">
        <v>1.83</v>
      </c>
      <c r="J1395" s="145">
        <v>0.08</v>
      </c>
      <c r="K1395" s="145">
        <v>74</v>
      </c>
      <c r="L1395" s="145" t="s">
        <v>400</v>
      </c>
      <c r="M1395" s="145" t="s">
        <v>400</v>
      </c>
      <c r="N1395" s="145">
        <v>13</v>
      </c>
      <c r="O1395" s="145">
        <v>20</v>
      </c>
      <c r="P1395" s="145">
        <v>1.7999999999999999E-2</v>
      </c>
      <c r="Q1395" s="145">
        <v>146</v>
      </c>
      <c r="R1395" s="145">
        <v>0.98</v>
      </c>
      <c r="S1395" s="145">
        <v>63</v>
      </c>
      <c r="T1395" s="145">
        <v>167</v>
      </c>
      <c r="U1395" s="145">
        <v>4.3999999999999997E-2</v>
      </c>
      <c r="V1395" s="145">
        <v>1.1399999999999999</v>
      </c>
      <c r="W1395" s="145">
        <v>29</v>
      </c>
      <c r="X1395" s="145">
        <v>4.1000000000000002E-2</v>
      </c>
      <c r="Y1395" s="145">
        <v>0.112</v>
      </c>
      <c r="Z1395" s="146">
        <v>0.27</v>
      </c>
      <c r="AA1395" s="145">
        <v>6.9349999999999996</v>
      </c>
      <c r="AB1395" s="145" t="s">
        <v>400</v>
      </c>
      <c r="AC1395" s="145">
        <v>11.835000000000001</v>
      </c>
      <c r="AD1395" s="145">
        <v>0.2</v>
      </c>
      <c r="AE1395" s="145">
        <v>3</v>
      </c>
      <c r="AF1395" s="145">
        <v>0.2</v>
      </c>
      <c r="AG1395" s="145">
        <v>0.21</v>
      </c>
      <c r="AH1395" s="145">
        <v>0.2</v>
      </c>
      <c r="AI1395" s="145">
        <v>333</v>
      </c>
      <c r="AJ1395" s="145">
        <v>21.2</v>
      </c>
      <c r="AK1395" s="145">
        <v>29</v>
      </c>
      <c r="AL1395" s="145" t="s">
        <v>400</v>
      </c>
      <c r="AM1395" s="145" t="s">
        <v>400</v>
      </c>
    </row>
    <row r="1396" spans="1:39">
      <c r="A1396" s="143" t="s">
        <v>2456</v>
      </c>
      <c r="B1396" s="144">
        <v>100</v>
      </c>
      <c r="C1396" s="145">
        <v>223.65899999999999</v>
      </c>
      <c r="D1396" s="145">
        <v>26.14</v>
      </c>
      <c r="E1396" s="145">
        <v>12.532999999999999</v>
      </c>
      <c r="F1396" s="145">
        <v>3.2010000000000001</v>
      </c>
      <c r="G1396" s="145">
        <v>4.5039999999999996</v>
      </c>
      <c r="H1396" s="145">
        <v>3.6</v>
      </c>
      <c r="I1396" s="145">
        <v>3.1360000000000001</v>
      </c>
      <c r="J1396" s="145">
        <v>0.254</v>
      </c>
      <c r="K1396" s="145">
        <v>74</v>
      </c>
      <c r="L1396" s="145" t="s">
        <v>400</v>
      </c>
      <c r="M1396" s="145" t="s">
        <v>400</v>
      </c>
      <c r="N1396" s="145">
        <v>13</v>
      </c>
      <c r="O1396" s="145">
        <v>20</v>
      </c>
      <c r="P1396" s="145">
        <v>1.7999999999999999E-2</v>
      </c>
      <c r="Q1396" s="145">
        <v>146</v>
      </c>
      <c r="R1396" s="145">
        <v>0.98099999999999998</v>
      </c>
      <c r="S1396" s="145">
        <v>63</v>
      </c>
      <c r="T1396" s="145">
        <v>167</v>
      </c>
      <c r="U1396" s="145">
        <v>4.3999999999999997E-2</v>
      </c>
      <c r="V1396" s="145">
        <v>1.1399999999999999</v>
      </c>
      <c r="W1396" s="145">
        <v>29</v>
      </c>
      <c r="X1396" s="145">
        <v>4.1000000000000002E-2</v>
      </c>
      <c r="Y1396" s="145">
        <v>0.112</v>
      </c>
      <c r="Z1396" s="146">
        <v>0.27</v>
      </c>
      <c r="AA1396" s="145">
        <v>6.9349999999999996</v>
      </c>
      <c r="AB1396" s="145" t="s">
        <v>400</v>
      </c>
      <c r="AC1396" s="145">
        <v>11.835000000000001</v>
      </c>
      <c r="AD1396" s="145">
        <v>0.2</v>
      </c>
      <c r="AE1396" s="145">
        <v>3</v>
      </c>
      <c r="AF1396" s="145">
        <v>0.2</v>
      </c>
      <c r="AG1396" s="145">
        <v>0.42</v>
      </c>
      <c r="AH1396" s="145">
        <v>0.214</v>
      </c>
      <c r="AI1396" s="145">
        <v>333</v>
      </c>
      <c r="AJ1396" s="145">
        <v>22.375</v>
      </c>
      <c r="AK1396" s="145">
        <v>29</v>
      </c>
      <c r="AL1396" s="145" t="s">
        <v>400</v>
      </c>
      <c r="AM1396" s="145" t="s">
        <v>400</v>
      </c>
    </row>
    <row r="1397" spans="1:39">
      <c r="A1397" s="143" t="s">
        <v>2457</v>
      </c>
      <c r="B1397" s="144">
        <v>100</v>
      </c>
      <c r="C1397" s="145">
        <v>201</v>
      </c>
      <c r="D1397" s="145">
        <v>26.14</v>
      </c>
      <c r="E1397" s="145">
        <v>9.9700000000000006</v>
      </c>
      <c r="F1397" s="145">
        <v>2.8</v>
      </c>
      <c r="G1397" s="145">
        <v>3.92</v>
      </c>
      <c r="H1397" s="145">
        <v>2.12</v>
      </c>
      <c r="I1397" s="145">
        <v>1.83</v>
      </c>
      <c r="J1397" s="145">
        <v>0.08</v>
      </c>
      <c r="K1397" s="145">
        <v>74</v>
      </c>
      <c r="L1397" s="145" t="s">
        <v>400</v>
      </c>
      <c r="M1397" s="145" t="s">
        <v>400</v>
      </c>
      <c r="N1397" s="145">
        <v>13</v>
      </c>
      <c r="O1397" s="145">
        <v>20</v>
      </c>
      <c r="P1397" s="145">
        <v>1.7999999999999999E-2</v>
      </c>
      <c r="Q1397" s="145">
        <v>146</v>
      </c>
      <c r="R1397" s="145">
        <v>0.98</v>
      </c>
      <c r="S1397" s="145">
        <v>63</v>
      </c>
      <c r="T1397" s="145">
        <v>167</v>
      </c>
      <c r="U1397" s="145">
        <v>4.3999999999999997E-2</v>
      </c>
      <c r="V1397" s="145">
        <v>1.1399999999999999</v>
      </c>
      <c r="W1397" s="145">
        <v>29</v>
      </c>
      <c r="X1397" s="145">
        <v>4.1000000000000002E-2</v>
      </c>
      <c r="Y1397" s="145">
        <v>0.112</v>
      </c>
      <c r="Z1397" s="146">
        <v>0.27</v>
      </c>
      <c r="AA1397" s="145">
        <v>6.9349999999999996</v>
      </c>
      <c r="AB1397" s="145" t="s">
        <v>400</v>
      </c>
      <c r="AC1397" s="145">
        <v>11.835000000000001</v>
      </c>
      <c r="AD1397" s="145">
        <v>0.2</v>
      </c>
      <c r="AE1397" s="145">
        <v>3</v>
      </c>
      <c r="AF1397" s="145">
        <v>0.2</v>
      </c>
      <c r="AG1397" s="145">
        <v>0.21</v>
      </c>
      <c r="AH1397" s="145">
        <v>0.2</v>
      </c>
      <c r="AI1397" s="145">
        <v>333</v>
      </c>
      <c r="AJ1397" s="145">
        <v>21.2</v>
      </c>
      <c r="AK1397" s="145">
        <v>29</v>
      </c>
      <c r="AL1397" s="145" t="s">
        <v>400</v>
      </c>
      <c r="AM1397" s="145" t="s">
        <v>400</v>
      </c>
    </row>
    <row r="1398" spans="1:39">
      <c r="A1398" s="143" t="s">
        <v>2458</v>
      </c>
      <c r="B1398" s="144">
        <v>100</v>
      </c>
      <c r="C1398" s="145">
        <v>201</v>
      </c>
      <c r="D1398" s="145">
        <v>26.14</v>
      </c>
      <c r="E1398" s="145">
        <v>9.9700000000000006</v>
      </c>
      <c r="F1398" s="145">
        <v>2.8</v>
      </c>
      <c r="G1398" s="145">
        <v>3.92</v>
      </c>
      <c r="H1398" s="145">
        <v>2.12</v>
      </c>
      <c r="I1398" s="145">
        <v>1.83</v>
      </c>
      <c r="J1398" s="145">
        <v>0.08</v>
      </c>
      <c r="K1398" s="145">
        <v>74</v>
      </c>
      <c r="L1398" s="145" t="s">
        <v>400</v>
      </c>
      <c r="M1398" s="145" t="s">
        <v>400</v>
      </c>
      <c r="N1398" s="145">
        <v>13</v>
      </c>
      <c r="O1398" s="145">
        <v>20</v>
      </c>
      <c r="P1398" s="145">
        <v>1.7999999999999999E-2</v>
      </c>
      <c r="Q1398" s="145">
        <v>146</v>
      </c>
      <c r="R1398" s="145">
        <v>0.98</v>
      </c>
      <c r="S1398" s="145">
        <v>63</v>
      </c>
      <c r="T1398" s="145">
        <v>167</v>
      </c>
      <c r="U1398" s="145">
        <v>4.3999999999999997E-2</v>
      </c>
      <c r="V1398" s="145">
        <v>1.1399999999999999</v>
      </c>
      <c r="W1398" s="145">
        <v>29</v>
      </c>
      <c r="X1398" s="145">
        <v>4.1000000000000002E-2</v>
      </c>
      <c r="Y1398" s="145">
        <v>0.112</v>
      </c>
      <c r="Z1398" s="146">
        <v>0.27</v>
      </c>
      <c r="AA1398" s="145">
        <v>6.9349999999999996</v>
      </c>
      <c r="AB1398" s="145" t="s">
        <v>400</v>
      </c>
      <c r="AC1398" s="145">
        <v>11.835000000000001</v>
      </c>
      <c r="AD1398" s="145">
        <v>0.2</v>
      </c>
      <c r="AE1398" s="145">
        <v>3</v>
      </c>
      <c r="AF1398" s="145">
        <v>0.2</v>
      </c>
      <c r="AG1398" s="145">
        <v>0.21</v>
      </c>
      <c r="AH1398" s="145">
        <v>0.2</v>
      </c>
      <c r="AI1398" s="145">
        <v>333</v>
      </c>
      <c r="AJ1398" s="145">
        <v>21.2</v>
      </c>
      <c r="AK1398" s="145">
        <v>29</v>
      </c>
      <c r="AL1398" s="145" t="s">
        <v>400</v>
      </c>
      <c r="AM1398" s="145" t="s">
        <v>400</v>
      </c>
    </row>
    <row r="1399" spans="1:39">
      <c r="A1399" s="143" t="s">
        <v>2459</v>
      </c>
      <c r="B1399" s="144">
        <v>100</v>
      </c>
      <c r="C1399" s="145">
        <v>223.65899999999999</v>
      </c>
      <c r="D1399" s="145">
        <v>26.14</v>
      </c>
      <c r="E1399" s="145">
        <v>12.532999999999999</v>
      </c>
      <c r="F1399" s="145">
        <v>3.2010000000000001</v>
      </c>
      <c r="G1399" s="145">
        <v>4.5039999999999996</v>
      </c>
      <c r="H1399" s="145">
        <v>3.6</v>
      </c>
      <c r="I1399" s="145">
        <v>3.1360000000000001</v>
      </c>
      <c r="J1399" s="145">
        <v>0.254</v>
      </c>
      <c r="K1399" s="145">
        <v>74</v>
      </c>
      <c r="L1399" s="145" t="s">
        <v>400</v>
      </c>
      <c r="M1399" s="145" t="s">
        <v>400</v>
      </c>
      <c r="N1399" s="145">
        <v>13</v>
      </c>
      <c r="O1399" s="145">
        <v>20</v>
      </c>
      <c r="P1399" s="145">
        <v>1.7999999999999999E-2</v>
      </c>
      <c r="Q1399" s="145">
        <v>146</v>
      </c>
      <c r="R1399" s="145">
        <v>0.98099999999999998</v>
      </c>
      <c r="S1399" s="145">
        <v>63</v>
      </c>
      <c r="T1399" s="145">
        <v>167</v>
      </c>
      <c r="U1399" s="145">
        <v>4.3999999999999997E-2</v>
      </c>
      <c r="V1399" s="145">
        <v>1.1399999999999999</v>
      </c>
      <c r="W1399" s="145">
        <v>29</v>
      </c>
      <c r="X1399" s="145">
        <v>4.1000000000000002E-2</v>
      </c>
      <c r="Y1399" s="145">
        <v>0.112</v>
      </c>
      <c r="Z1399" s="146">
        <v>0.27</v>
      </c>
      <c r="AA1399" s="145">
        <v>6.9349999999999996</v>
      </c>
      <c r="AB1399" s="145" t="s">
        <v>400</v>
      </c>
      <c r="AC1399" s="145">
        <v>11.835000000000001</v>
      </c>
      <c r="AD1399" s="145">
        <v>0.2</v>
      </c>
      <c r="AE1399" s="145">
        <v>3</v>
      </c>
      <c r="AF1399" s="145">
        <v>0.2</v>
      </c>
      <c r="AG1399" s="145">
        <v>0.42</v>
      </c>
      <c r="AH1399" s="145">
        <v>0.214</v>
      </c>
      <c r="AI1399" s="145">
        <v>333</v>
      </c>
      <c r="AJ1399" s="145">
        <v>22.375</v>
      </c>
      <c r="AK1399" s="145">
        <v>29</v>
      </c>
      <c r="AL1399" s="145" t="s">
        <v>400</v>
      </c>
      <c r="AM1399" s="145" t="s">
        <v>400</v>
      </c>
    </row>
    <row r="1400" spans="1:39">
      <c r="A1400" s="143" t="s">
        <v>2460</v>
      </c>
      <c r="B1400" s="144">
        <v>100</v>
      </c>
      <c r="C1400" s="145">
        <v>140</v>
      </c>
      <c r="D1400" s="145">
        <v>30.19</v>
      </c>
      <c r="E1400" s="145">
        <v>1.18</v>
      </c>
      <c r="F1400" s="145">
        <v>0.38</v>
      </c>
      <c r="G1400" s="145">
        <v>0.21</v>
      </c>
      <c r="H1400" s="145">
        <v>0.31</v>
      </c>
      <c r="I1400" s="145">
        <v>0.21</v>
      </c>
      <c r="J1400" s="145">
        <v>0.01</v>
      </c>
      <c r="K1400" s="145">
        <v>86</v>
      </c>
      <c r="L1400" s="145" t="s">
        <v>400</v>
      </c>
      <c r="M1400" s="145" t="s">
        <v>400</v>
      </c>
      <c r="N1400" s="145">
        <v>15</v>
      </c>
      <c r="O1400" s="145">
        <v>28</v>
      </c>
      <c r="P1400" s="145">
        <v>2.5000000000000001E-2</v>
      </c>
      <c r="Q1400" s="145">
        <v>216</v>
      </c>
      <c r="R1400" s="145">
        <v>1.57</v>
      </c>
      <c r="S1400" s="145">
        <v>56</v>
      </c>
      <c r="T1400" s="145">
        <v>277</v>
      </c>
      <c r="U1400" s="145">
        <v>8.5999999999999993E-2</v>
      </c>
      <c r="V1400" s="145">
        <v>2.08</v>
      </c>
      <c r="W1400" s="145" t="s">
        <v>400</v>
      </c>
      <c r="X1400" s="145">
        <v>4.1000000000000002E-2</v>
      </c>
      <c r="Y1400" s="145">
        <v>0.13600000000000001</v>
      </c>
      <c r="Z1400" s="146">
        <v>0.56999999999999995</v>
      </c>
      <c r="AA1400" s="145">
        <v>6.9359999999999999</v>
      </c>
      <c r="AB1400" s="145" t="s">
        <v>400</v>
      </c>
      <c r="AC1400" s="145">
        <v>12.653</v>
      </c>
      <c r="AD1400" s="145">
        <v>0.39</v>
      </c>
      <c r="AE1400" s="145">
        <v>6</v>
      </c>
      <c r="AF1400" s="145">
        <v>0.4</v>
      </c>
      <c r="AG1400" s="145">
        <v>0.21</v>
      </c>
      <c r="AH1400" s="145">
        <v>0.02</v>
      </c>
      <c r="AI1400" s="146">
        <v>333</v>
      </c>
      <c r="AJ1400" s="145">
        <v>32.1</v>
      </c>
      <c r="AK1400" s="145" t="s">
        <v>400</v>
      </c>
      <c r="AL1400" s="145" t="s">
        <v>400</v>
      </c>
      <c r="AM1400" s="145" t="s">
        <v>400</v>
      </c>
    </row>
    <row r="1401" spans="1:39">
      <c r="A1401" s="143" t="s">
        <v>2461</v>
      </c>
      <c r="B1401" s="144">
        <v>100</v>
      </c>
      <c r="C1401" s="145">
        <v>140</v>
      </c>
      <c r="D1401" s="145">
        <v>30.19</v>
      </c>
      <c r="E1401" s="145">
        <v>1.18</v>
      </c>
      <c r="F1401" s="145">
        <v>0.38</v>
      </c>
      <c r="G1401" s="145">
        <v>0.21</v>
      </c>
      <c r="H1401" s="145">
        <v>0.31</v>
      </c>
      <c r="I1401" s="145">
        <v>0.21</v>
      </c>
      <c r="J1401" s="145">
        <v>0.01</v>
      </c>
      <c r="K1401" s="145">
        <v>86</v>
      </c>
      <c r="L1401" s="145" t="s">
        <v>400</v>
      </c>
      <c r="M1401" s="145" t="s">
        <v>400</v>
      </c>
      <c r="N1401" s="145">
        <v>15</v>
      </c>
      <c r="O1401" s="145">
        <v>28</v>
      </c>
      <c r="P1401" s="145">
        <v>2.5000000000000001E-2</v>
      </c>
      <c r="Q1401" s="145">
        <v>216</v>
      </c>
      <c r="R1401" s="145">
        <v>1.57</v>
      </c>
      <c r="S1401" s="145">
        <v>56</v>
      </c>
      <c r="T1401" s="145">
        <v>277</v>
      </c>
      <c r="U1401" s="145">
        <v>8.5999999999999993E-2</v>
      </c>
      <c r="V1401" s="145">
        <v>2.08</v>
      </c>
      <c r="W1401" s="145" t="s">
        <v>400</v>
      </c>
      <c r="X1401" s="145">
        <v>4.1000000000000002E-2</v>
      </c>
      <c r="Y1401" s="145">
        <v>0.13600000000000001</v>
      </c>
      <c r="Z1401" s="146">
        <v>0.56999999999999995</v>
      </c>
      <c r="AA1401" s="145">
        <v>6.9359999999999999</v>
      </c>
      <c r="AB1401" s="145" t="s">
        <v>400</v>
      </c>
      <c r="AC1401" s="145">
        <v>12.653</v>
      </c>
      <c r="AD1401" s="145">
        <v>0.39</v>
      </c>
      <c r="AE1401" s="145">
        <v>6</v>
      </c>
      <c r="AF1401" s="145">
        <v>0.4</v>
      </c>
      <c r="AG1401" s="145">
        <v>0.21</v>
      </c>
      <c r="AH1401" s="145">
        <v>0.02</v>
      </c>
      <c r="AI1401" s="146">
        <v>333</v>
      </c>
      <c r="AJ1401" s="145">
        <v>32.1</v>
      </c>
      <c r="AK1401" s="145" t="s">
        <v>400</v>
      </c>
      <c r="AL1401" s="145" t="s">
        <v>400</v>
      </c>
      <c r="AM1401" s="145" t="s">
        <v>400</v>
      </c>
    </row>
    <row r="1402" spans="1:39">
      <c r="A1402" s="143" t="s">
        <v>2462</v>
      </c>
      <c r="B1402" s="144">
        <v>100</v>
      </c>
      <c r="C1402" s="145">
        <v>140</v>
      </c>
      <c r="D1402" s="145">
        <v>30.19</v>
      </c>
      <c r="E1402" s="145">
        <v>1.18</v>
      </c>
      <c r="F1402" s="145">
        <v>0.38</v>
      </c>
      <c r="G1402" s="145">
        <v>0.21</v>
      </c>
      <c r="H1402" s="145">
        <v>0.31</v>
      </c>
      <c r="I1402" s="145">
        <v>0.21</v>
      </c>
      <c r="J1402" s="145">
        <v>0.01</v>
      </c>
      <c r="K1402" s="145">
        <v>86</v>
      </c>
      <c r="L1402" s="145" t="s">
        <v>400</v>
      </c>
      <c r="M1402" s="145" t="s">
        <v>400</v>
      </c>
      <c r="N1402" s="145">
        <v>15</v>
      </c>
      <c r="O1402" s="145">
        <v>28</v>
      </c>
      <c r="P1402" s="145">
        <v>2.5000000000000001E-2</v>
      </c>
      <c r="Q1402" s="145">
        <v>216</v>
      </c>
      <c r="R1402" s="145">
        <v>1.57</v>
      </c>
      <c r="S1402" s="145">
        <v>56</v>
      </c>
      <c r="T1402" s="145">
        <v>277</v>
      </c>
      <c r="U1402" s="145">
        <v>8.5999999999999993E-2</v>
      </c>
      <c r="V1402" s="145">
        <v>2.08</v>
      </c>
      <c r="W1402" s="145" t="s">
        <v>400</v>
      </c>
      <c r="X1402" s="145">
        <v>4.1000000000000002E-2</v>
      </c>
      <c r="Y1402" s="145">
        <v>0.13600000000000001</v>
      </c>
      <c r="Z1402" s="146">
        <v>0.56999999999999995</v>
      </c>
      <c r="AA1402" s="145">
        <v>6.9359999999999999</v>
      </c>
      <c r="AB1402" s="145" t="s">
        <v>400</v>
      </c>
      <c r="AC1402" s="145">
        <v>12.653</v>
      </c>
      <c r="AD1402" s="145">
        <v>0.39</v>
      </c>
      <c r="AE1402" s="145">
        <v>6</v>
      </c>
      <c r="AF1402" s="145">
        <v>0.4</v>
      </c>
      <c r="AG1402" s="145">
        <v>0.21</v>
      </c>
      <c r="AH1402" s="145">
        <v>0.02</v>
      </c>
      <c r="AI1402" s="146">
        <v>333</v>
      </c>
      <c r="AJ1402" s="145">
        <v>32.1</v>
      </c>
      <c r="AK1402" s="145" t="s">
        <v>400</v>
      </c>
      <c r="AL1402" s="145" t="s">
        <v>400</v>
      </c>
      <c r="AM1402" s="145" t="s">
        <v>400</v>
      </c>
    </row>
    <row r="1403" spans="1:39">
      <c r="A1403" s="143" t="s">
        <v>2463</v>
      </c>
      <c r="B1403" s="144">
        <v>100</v>
      </c>
      <c r="C1403" s="145">
        <v>239</v>
      </c>
      <c r="D1403" s="145">
        <v>27.3</v>
      </c>
      <c r="E1403" s="145">
        <v>13.6</v>
      </c>
      <c r="F1403" s="145">
        <v>3.79</v>
      </c>
      <c r="G1403" s="145">
        <v>5.34</v>
      </c>
      <c r="H1403" s="145">
        <v>2.97</v>
      </c>
      <c r="I1403" s="145">
        <v>2.57</v>
      </c>
      <c r="J1403" s="145">
        <v>0.11</v>
      </c>
      <c r="K1403" s="145">
        <v>88</v>
      </c>
      <c r="L1403" s="145" t="s">
        <v>400</v>
      </c>
      <c r="M1403" s="145" t="s">
        <v>400</v>
      </c>
      <c r="N1403" s="145">
        <v>15</v>
      </c>
      <c r="O1403" s="145">
        <v>23</v>
      </c>
      <c r="P1403" s="145">
        <v>0.02</v>
      </c>
      <c r="Q1403" s="145">
        <v>182</v>
      </c>
      <c r="R1403" s="145">
        <v>1.26</v>
      </c>
      <c r="S1403" s="145">
        <v>82</v>
      </c>
      <c r="T1403" s="145">
        <v>223</v>
      </c>
      <c r="U1403" s="145">
        <v>6.6000000000000003E-2</v>
      </c>
      <c r="V1403" s="145">
        <v>1.94</v>
      </c>
      <c r="W1403" s="145">
        <v>48</v>
      </c>
      <c r="X1403" s="145">
        <v>6.3E-2</v>
      </c>
      <c r="Y1403" s="145">
        <v>0.16800000000000001</v>
      </c>
      <c r="Z1403" s="146">
        <v>0.4</v>
      </c>
      <c r="AA1403" s="145">
        <v>8.4870000000000001</v>
      </c>
      <c r="AB1403" s="145" t="s">
        <v>400</v>
      </c>
      <c r="AC1403" s="145">
        <v>13.57</v>
      </c>
      <c r="AD1403" s="145">
        <v>0.3</v>
      </c>
      <c r="AE1403" s="145">
        <v>5</v>
      </c>
      <c r="AF1403" s="145">
        <v>0.3</v>
      </c>
      <c r="AG1403" s="145">
        <v>0.27</v>
      </c>
      <c r="AH1403" s="145">
        <v>0.45</v>
      </c>
      <c r="AI1403" s="145">
        <v>333</v>
      </c>
      <c r="AJ1403" s="145">
        <v>23.9</v>
      </c>
      <c r="AK1403" s="145">
        <v>48</v>
      </c>
      <c r="AL1403" s="145" t="s">
        <v>400</v>
      </c>
      <c r="AM1403" s="145" t="s">
        <v>400</v>
      </c>
    </row>
    <row r="1404" spans="1:39">
      <c r="A1404" s="143" t="s">
        <v>2464</v>
      </c>
      <c r="B1404" s="144">
        <v>100</v>
      </c>
      <c r="C1404" s="145">
        <v>239</v>
      </c>
      <c r="D1404" s="145">
        <v>27.3</v>
      </c>
      <c r="E1404" s="145">
        <v>13.6</v>
      </c>
      <c r="F1404" s="145">
        <v>3.79</v>
      </c>
      <c r="G1404" s="145">
        <v>5.34</v>
      </c>
      <c r="H1404" s="145">
        <v>2.97</v>
      </c>
      <c r="I1404" s="145">
        <v>2.57</v>
      </c>
      <c r="J1404" s="145">
        <v>0.11</v>
      </c>
      <c r="K1404" s="145">
        <v>88</v>
      </c>
      <c r="L1404" s="145" t="s">
        <v>400</v>
      </c>
      <c r="M1404" s="145" t="s">
        <v>400</v>
      </c>
      <c r="N1404" s="145">
        <v>15</v>
      </c>
      <c r="O1404" s="145">
        <v>23</v>
      </c>
      <c r="P1404" s="145">
        <v>0.02</v>
      </c>
      <c r="Q1404" s="145">
        <v>182</v>
      </c>
      <c r="R1404" s="145">
        <v>1.26</v>
      </c>
      <c r="S1404" s="145">
        <v>82</v>
      </c>
      <c r="T1404" s="145">
        <v>223</v>
      </c>
      <c r="U1404" s="145">
        <v>6.6000000000000003E-2</v>
      </c>
      <c r="V1404" s="145">
        <v>1.94</v>
      </c>
      <c r="W1404" s="145">
        <v>48</v>
      </c>
      <c r="X1404" s="145">
        <v>6.3E-2</v>
      </c>
      <c r="Y1404" s="145">
        <v>0.16800000000000001</v>
      </c>
      <c r="Z1404" s="146">
        <v>0.4</v>
      </c>
      <c r="AA1404" s="145">
        <v>8.4870000000000001</v>
      </c>
      <c r="AB1404" s="145" t="s">
        <v>400</v>
      </c>
      <c r="AC1404" s="145">
        <v>13.57</v>
      </c>
      <c r="AD1404" s="145">
        <v>0.3</v>
      </c>
      <c r="AE1404" s="145">
        <v>5</v>
      </c>
      <c r="AF1404" s="145">
        <v>0.3</v>
      </c>
      <c r="AG1404" s="145">
        <v>0.27</v>
      </c>
      <c r="AH1404" s="145">
        <v>0.45</v>
      </c>
      <c r="AI1404" s="145">
        <v>333</v>
      </c>
      <c r="AJ1404" s="145">
        <v>23.9</v>
      </c>
      <c r="AK1404" s="145">
        <v>48</v>
      </c>
      <c r="AL1404" s="145" t="s">
        <v>400</v>
      </c>
      <c r="AM1404" s="145" t="s">
        <v>400</v>
      </c>
    </row>
    <row r="1405" spans="1:39">
      <c r="A1405" s="143" t="s">
        <v>2465</v>
      </c>
      <c r="B1405" s="144">
        <v>100</v>
      </c>
      <c r="C1405" s="145">
        <v>173</v>
      </c>
      <c r="D1405" s="145">
        <v>30.91</v>
      </c>
      <c r="E1405" s="145">
        <v>4.51</v>
      </c>
      <c r="F1405" s="145">
        <v>1.27</v>
      </c>
      <c r="G1405" s="145">
        <v>1.54</v>
      </c>
      <c r="H1405" s="145">
        <v>0.98</v>
      </c>
      <c r="I1405" s="145">
        <v>0.74</v>
      </c>
      <c r="J1405" s="145">
        <v>0.04</v>
      </c>
      <c r="K1405" s="145">
        <v>85</v>
      </c>
      <c r="L1405" s="145" t="s">
        <v>400</v>
      </c>
      <c r="M1405" s="145" t="s">
        <v>400</v>
      </c>
      <c r="N1405" s="145">
        <v>15</v>
      </c>
      <c r="O1405" s="145">
        <v>27</v>
      </c>
      <c r="P1405" s="145">
        <v>1.7000000000000001E-2</v>
      </c>
      <c r="Q1405" s="145">
        <v>216</v>
      </c>
      <c r="R1405" s="145">
        <v>1.06</v>
      </c>
      <c r="S1405" s="145">
        <v>77</v>
      </c>
      <c r="T1405" s="145">
        <v>247</v>
      </c>
      <c r="U1405" s="145">
        <v>0.05</v>
      </c>
      <c r="V1405" s="145">
        <v>1.23</v>
      </c>
      <c r="W1405" s="145">
        <v>9</v>
      </c>
      <c r="X1405" s="145">
        <v>6.5000000000000002E-2</v>
      </c>
      <c r="Y1405" s="145">
        <v>0.11600000000000001</v>
      </c>
      <c r="Z1405" s="146">
        <v>0.6</v>
      </c>
      <c r="AA1405" s="145">
        <v>12.420999999999999</v>
      </c>
      <c r="AB1405" s="145" t="s">
        <v>400</v>
      </c>
      <c r="AC1405" s="145">
        <v>18.437999999999999</v>
      </c>
      <c r="AD1405" s="145">
        <v>0.34</v>
      </c>
      <c r="AE1405" s="145">
        <v>4</v>
      </c>
      <c r="AF1405" s="145">
        <v>0.2</v>
      </c>
      <c r="AG1405" s="145">
        <v>0.27</v>
      </c>
      <c r="AH1405" s="145">
        <v>0.09</v>
      </c>
      <c r="AI1405" s="145">
        <v>333</v>
      </c>
      <c r="AJ1405" s="145">
        <v>24.4</v>
      </c>
      <c r="AK1405" s="145">
        <v>9</v>
      </c>
      <c r="AL1405" s="145" t="s">
        <v>400</v>
      </c>
      <c r="AM1405" s="145" t="s">
        <v>400</v>
      </c>
    </row>
    <row r="1406" spans="1:39">
      <c r="A1406" s="143" t="s">
        <v>2466</v>
      </c>
      <c r="B1406" s="144">
        <v>100</v>
      </c>
      <c r="C1406" s="145">
        <v>173</v>
      </c>
      <c r="D1406" s="145">
        <v>30.91</v>
      </c>
      <c r="E1406" s="145">
        <v>4.51</v>
      </c>
      <c r="F1406" s="145">
        <v>1.27</v>
      </c>
      <c r="G1406" s="145">
        <v>1.54</v>
      </c>
      <c r="H1406" s="145">
        <v>0.98</v>
      </c>
      <c r="I1406" s="145">
        <v>0.74</v>
      </c>
      <c r="J1406" s="145">
        <v>0.04</v>
      </c>
      <c r="K1406" s="145">
        <v>85</v>
      </c>
      <c r="L1406" s="145" t="s">
        <v>400</v>
      </c>
      <c r="M1406" s="145" t="s">
        <v>400</v>
      </c>
      <c r="N1406" s="145">
        <v>15</v>
      </c>
      <c r="O1406" s="145">
        <v>27</v>
      </c>
      <c r="P1406" s="145">
        <v>1.7000000000000001E-2</v>
      </c>
      <c r="Q1406" s="145">
        <v>216</v>
      </c>
      <c r="R1406" s="145">
        <v>1.06</v>
      </c>
      <c r="S1406" s="145">
        <v>77</v>
      </c>
      <c r="T1406" s="145">
        <v>247</v>
      </c>
      <c r="U1406" s="145">
        <v>0.05</v>
      </c>
      <c r="V1406" s="145">
        <v>1.23</v>
      </c>
      <c r="W1406" s="145">
        <v>9</v>
      </c>
      <c r="X1406" s="145">
        <v>6.5000000000000002E-2</v>
      </c>
      <c r="Y1406" s="145">
        <v>0.11600000000000001</v>
      </c>
      <c r="Z1406" s="146">
        <v>0.6</v>
      </c>
      <c r="AA1406" s="145">
        <v>12.420999999999999</v>
      </c>
      <c r="AB1406" s="145" t="s">
        <v>400</v>
      </c>
      <c r="AC1406" s="145">
        <v>18.437999999999999</v>
      </c>
      <c r="AD1406" s="145">
        <v>0.34</v>
      </c>
      <c r="AE1406" s="145">
        <v>4</v>
      </c>
      <c r="AF1406" s="145">
        <v>0.2</v>
      </c>
      <c r="AG1406" s="145">
        <v>0.27</v>
      </c>
      <c r="AH1406" s="145">
        <v>0.09</v>
      </c>
      <c r="AI1406" s="145">
        <v>333</v>
      </c>
      <c r="AJ1406" s="145">
        <v>24.4</v>
      </c>
      <c r="AK1406" s="145">
        <v>9</v>
      </c>
      <c r="AL1406" s="145" t="s">
        <v>400</v>
      </c>
      <c r="AM1406" s="145" t="s">
        <v>400</v>
      </c>
    </row>
    <row r="1407" spans="1:39">
      <c r="A1407" s="143" t="s">
        <v>2467</v>
      </c>
      <c r="B1407" s="144">
        <v>100</v>
      </c>
      <c r="C1407" s="145">
        <v>195.65899999999999</v>
      </c>
      <c r="D1407" s="145">
        <v>30.91</v>
      </c>
      <c r="E1407" s="145">
        <v>7.0730000000000004</v>
      </c>
      <c r="F1407" s="145">
        <v>1.671</v>
      </c>
      <c r="G1407" s="145">
        <v>2.1240000000000001</v>
      </c>
      <c r="H1407" s="145">
        <v>2.46</v>
      </c>
      <c r="I1407" s="145">
        <v>2.0459999999999998</v>
      </c>
      <c r="J1407" s="145">
        <v>0.214</v>
      </c>
      <c r="K1407" s="145">
        <v>85</v>
      </c>
      <c r="L1407" s="145" t="s">
        <v>400</v>
      </c>
      <c r="M1407" s="145" t="s">
        <v>400</v>
      </c>
      <c r="N1407" s="145">
        <v>15</v>
      </c>
      <c r="O1407" s="145">
        <v>27</v>
      </c>
      <c r="P1407" s="145">
        <v>1.7000000000000001E-2</v>
      </c>
      <c r="Q1407" s="145">
        <v>216</v>
      </c>
      <c r="R1407" s="145">
        <v>1.0609999999999999</v>
      </c>
      <c r="S1407" s="145">
        <v>77</v>
      </c>
      <c r="T1407" s="145">
        <v>247</v>
      </c>
      <c r="U1407" s="145">
        <v>0.05</v>
      </c>
      <c r="V1407" s="145">
        <v>1.23</v>
      </c>
      <c r="W1407" s="145">
        <v>9</v>
      </c>
      <c r="X1407" s="145">
        <v>6.5000000000000002E-2</v>
      </c>
      <c r="Y1407" s="145">
        <v>0.11600000000000001</v>
      </c>
      <c r="Z1407" s="146">
        <v>0.6</v>
      </c>
      <c r="AA1407" s="145">
        <v>12.420999999999999</v>
      </c>
      <c r="AB1407" s="145" t="s">
        <v>400</v>
      </c>
      <c r="AC1407" s="145">
        <v>18.437999999999999</v>
      </c>
      <c r="AD1407" s="145">
        <v>0.34</v>
      </c>
      <c r="AE1407" s="145">
        <v>4</v>
      </c>
      <c r="AF1407" s="145">
        <v>0.2</v>
      </c>
      <c r="AG1407" s="145">
        <v>0.48</v>
      </c>
      <c r="AH1407" s="145">
        <v>0.104</v>
      </c>
      <c r="AI1407" s="145">
        <v>333</v>
      </c>
      <c r="AJ1407" s="145">
        <v>25.574999999999999</v>
      </c>
      <c r="AK1407" s="145">
        <v>9</v>
      </c>
      <c r="AL1407" s="145" t="s">
        <v>400</v>
      </c>
      <c r="AM1407" s="145" t="s">
        <v>400</v>
      </c>
    </row>
    <row r="1408" spans="1:39">
      <c r="A1408" s="143" t="s">
        <v>2468</v>
      </c>
      <c r="B1408" s="144">
        <v>100</v>
      </c>
      <c r="C1408" s="145">
        <v>211.83699999999999</v>
      </c>
      <c r="D1408" s="145">
        <v>31.369</v>
      </c>
      <c r="E1408" s="145">
        <v>7.117</v>
      </c>
      <c r="F1408" s="145">
        <v>1.6779999999999999</v>
      </c>
      <c r="G1408" s="145">
        <v>2.1280000000000001</v>
      </c>
      <c r="H1408" s="145">
        <v>2.4780000000000002</v>
      </c>
      <c r="I1408" s="145">
        <v>2.0630000000000002</v>
      </c>
      <c r="J1408" s="145">
        <v>0.215</v>
      </c>
      <c r="K1408" s="145">
        <v>85</v>
      </c>
      <c r="L1408" s="145">
        <v>3.3919999999999999</v>
      </c>
      <c r="M1408" s="145">
        <v>0.13500000000000001</v>
      </c>
      <c r="N1408" s="145">
        <v>15.667</v>
      </c>
      <c r="O1408" s="145">
        <v>27.978000000000002</v>
      </c>
      <c r="P1408" s="145">
        <v>4.7E-2</v>
      </c>
      <c r="Q1408" s="145">
        <v>220.8</v>
      </c>
      <c r="R1408" s="145">
        <v>1.268</v>
      </c>
      <c r="S1408" s="145">
        <v>77.088999999999999</v>
      </c>
      <c r="T1408" s="145">
        <v>251.756</v>
      </c>
      <c r="U1408" s="145">
        <v>5.6000000000000001E-2</v>
      </c>
      <c r="V1408" s="145">
        <v>1.2609999999999999</v>
      </c>
      <c r="W1408" s="145">
        <v>9</v>
      </c>
      <c r="X1408" s="145">
        <v>0.1</v>
      </c>
      <c r="Y1408" s="145">
        <v>0.13800000000000001</v>
      </c>
      <c r="Z1408" s="146">
        <v>0.60199999999999998</v>
      </c>
      <c r="AA1408" s="145">
        <v>12.683</v>
      </c>
      <c r="AB1408" s="145" t="s">
        <v>400</v>
      </c>
      <c r="AC1408" s="145">
        <v>18.794</v>
      </c>
      <c r="AD1408" s="145">
        <v>0.34</v>
      </c>
      <c r="AE1408" s="145">
        <v>13.067</v>
      </c>
      <c r="AF1408" s="145">
        <v>0.2</v>
      </c>
      <c r="AG1408" s="145">
        <v>0.48199999999999998</v>
      </c>
      <c r="AH1408" s="145">
        <v>0.104</v>
      </c>
      <c r="AI1408" s="145">
        <v>333</v>
      </c>
      <c r="AJ1408" s="145">
        <v>27.081</v>
      </c>
      <c r="AK1408" s="145">
        <v>9</v>
      </c>
      <c r="AL1408" s="145">
        <v>1.4E-2</v>
      </c>
      <c r="AM1408" s="145" t="s">
        <v>400</v>
      </c>
    </row>
    <row r="1409" spans="1:39">
      <c r="A1409" s="143" t="s">
        <v>2469</v>
      </c>
      <c r="B1409" s="144">
        <v>100</v>
      </c>
      <c r="C1409" s="145">
        <v>60.024999999999999</v>
      </c>
      <c r="D1409" s="145">
        <v>3.2210000000000001</v>
      </c>
      <c r="E1409" s="145">
        <v>3.2509999999999999</v>
      </c>
      <c r="F1409" s="145">
        <v>1.8660000000000001</v>
      </c>
      <c r="G1409" s="145">
        <v>0.81200000000000006</v>
      </c>
      <c r="H1409" s="145">
        <v>0.19500000000000001</v>
      </c>
      <c r="I1409" s="145">
        <v>0.12</v>
      </c>
      <c r="J1409" s="145">
        <v>7.4999999999999997E-2</v>
      </c>
      <c r="K1409" s="145">
        <v>10.004</v>
      </c>
      <c r="L1409" s="145">
        <v>4.5220000000000002</v>
      </c>
      <c r="M1409" s="145" t="s">
        <v>400</v>
      </c>
      <c r="N1409" s="145">
        <v>113.047</v>
      </c>
      <c r="O1409" s="145">
        <v>10.004</v>
      </c>
      <c r="P1409" s="145">
        <v>3.0000000000000001E-3</v>
      </c>
      <c r="Q1409" s="145">
        <v>91.037999999999997</v>
      </c>
      <c r="R1409" s="145">
        <v>0.03</v>
      </c>
      <c r="S1409" s="145">
        <v>40.017000000000003</v>
      </c>
      <c r="T1409" s="145">
        <v>143.059</v>
      </c>
      <c r="U1409" s="145">
        <v>1.0999999999999999E-2</v>
      </c>
      <c r="V1409" s="145">
        <v>0.4</v>
      </c>
      <c r="W1409" s="145">
        <v>28.012</v>
      </c>
      <c r="X1409" s="145">
        <v>4.3999999999999997E-2</v>
      </c>
      <c r="Y1409" s="145">
        <v>0.183</v>
      </c>
      <c r="Z1409" s="146">
        <v>3.5999999999999997E-2</v>
      </c>
      <c r="AA1409" s="145">
        <v>0.107</v>
      </c>
      <c r="AB1409" s="145" t="s">
        <v>400</v>
      </c>
      <c r="AC1409" s="145">
        <v>1.3580000000000001</v>
      </c>
      <c r="AD1409" s="145">
        <v>0.44</v>
      </c>
      <c r="AE1409" s="145">
        <v>5.0019999999999998</v>
      </c>
      <c r="AF1409" s="145">
        <v>1</v>
      </c>
      <c r="AG1409" s="145">
        <v>0.06</v>
      </c>
      <c r="AH1409" s="145">
        <v>0.11600000000000001</v>
      </c>
      <c r="AI1409" s="145" t="s">
        <v>400</v>
      </c>
      <c r="AJ1409" s="145">
        <v>3.702</v>
      </c>
      <c r="AK1409" s="145">
        <v>28.428000000000001</v>
      </c>
      <c r="AL1409" s="145">
        <v>5.2619999999999996</v>
      </c>
      <c r="AM1409" s="145" t="s">
        <v>400</v>
      </c>
    </row>
    <row r="1410" spans="1:39">
      <c r="A1410" s="143" t="s">
        <v>2470</v>
      </c>
      <c r="B1410" s="144">
        <v>100</v>
      </c>
      <c r="C1410" s="145">
        <v>60.024999999999999</v>
      </c>
      <c r="D1410" s="145">
        <v>3.2210000000000001</v>
      </c>
      <c r="E1410" s="145">
        <v>3.2509999999999999</v>
      </c>
      <c r="F1410" s="145">
        <v>1.8660000000000001</v>
      </c>
      <c r="G1410" s="145">
        <v>0.81200000000000006</v>
      </c>
      <c r="H1410" s="145">
        <v>0.19500000000000001</v>
      </c>
      <c r="I1410" s="145">
        <v>0.12</v>
      </c>
      <c r="J1410" s="145">
        <v>7.4999999999999997E-2</v>
      </c>
      <c r="K1410" s="145">
        <v>10.004</v>
      </c>
      <c r="L1410" s="145">
        <v>4.5220000000000002</v>
      </c>
      <c r="M1410" s="145" t="s">
        <v>400</v>
      </c>
      <c r="N1410" s="145">
        <v>113.047</v>
      </c>
      <c r="O1410" s="145">
        <v>10.004</v>
      </c>
      <c r="P1410" s="145">
        <v>3.0000000000000001E-3</v>
      </c>
      <c r="Q1410" s="145">
        <v>91.037999999999997</v>
      </c>
      <c r="R1410" s="145">
        <v>0.03</v>
      </c>
      <c r="S1410" s="145">
        <v>40.017000000000003</v>
      </c>
      <c r="T1410" s="145">
        <v>143.059</v>
      </c>
      <c r="U1410" s="145">
        <v>1.0999999999999999E-2</v>
      </c>
      <c r="V1410" s="145">
        <v>0.4</v>
      </c>
      <c r="W1410" s="145">
        <v>28.012</v>
      </c>
      <c r="X1410" s="145">
        <v>4.3999999999999997E-2</v>
      </c>
      <c r="Y1410" s="145">
        <v>0.183</v>
      </c>
      <c r="Z1410" s="146">
        <v>3.5999999999999997E-2</v>
      </c>
      <c r="AA1410" s="145">
        <v>0.107</v>
      </c>
      <c r="AB1410" s="145" t="s">
        <v>400</v>
      </c>
      <c r="AC1410" s="145">
        <v>1.3580000000000001</v>
      </c>
      <c r="AD1410" s="145">
        <v>0.44</v>
      </c>
      <c r="AE1410" s="145">
        <v>5.0019999999999998</v>
      </c>
      <c r="AF1410" s="145" t="s">
        <v>400</v>
      </c>
      <c r="AG1410" s="145">
        <v>0.06</v>
      </c>
      <c r="AH1410" s="145">
        <v>0.11600000000000001</v>
      </c>
      <c r="AI1410" s="145" t="s">
        <v>400</v>
      </c>
      <c r="AJ1410" s="145">
        <v>3.702</v>
      </c>
      <c r="AK1410" s="145">
        <v>28.428000000000001</v>
      </c>
      <c r="AL1410" s="145">
        <v>5.2619999999999996</v>
      </c>
      <c r="AM1410" s="145" t="s">
        <v>400</v>
      </c>
    </row>
    <row r="1411" spans="1:39">
      <c r="A1411" s="143" t="s">
        <v>2471</v>
      </c>
      <c r="B1411" s="144">
        <v>100</v>
      </c>
      <c r="C1411" s="145">
        <v>69.028999999999996</v>
      </c>
      <c r="D1411" s="145">
        <v>3.5609999999999999</v>
      </c>
      <c r="E1411" s="145">
        <v>4.1420000000000003</v>
      </c>
      <c r="F1411" s="145">
        <v>2.6680000000000001</v>
      </c>
      <c r="G1411" s="145">
        <v>1.109</v>
      </c>
      <c r="H1411" s="145">
        <v>0.14899999999999999</v>
      </c>
      <c r="I1411" s="145">
        <v>0.109</v>
      </c>
      <c r="J1411" s="145">
        <v>0.04</v>
      </c>
      <c r="K1411" s="145">
        <v>11.005000000000001</v>
      </c>
      <c r="L1411" s="145">
        <v>4.452</v>
      </c>
      <c r="M1411" s="145" t="s">
        <v>400</v>
      </c>
      <c r="N1411" s="145">
        <v>134.05600000000001</v>
      </c>
      <c r="O1411" s="145">
        <v>14.006</v>
      </c>
      <c r="P1411" s="145">
        <v>1.7999999999999999E-2</v>
      </c>
      <c r="Q1411" s="145">
        <v>111.04600000000001</v>
      </c>
      <c r="R1411" s="145">
        <v>0.05</v>
      </c>
      <c r="S1411" s="145">
        <v>50.021000000000001</v>
      </c>
      <c r="T1411" s="145">
        <v>204.08500000000001</v>
      </c>
      <c r="U1411" s="145">
        <v>4.5999999999999999E-2</v>
      </c>
      <c r="V1411" s="145">
        <v>0.3</v>
      </c>
      <c r="W1411" s="145">
        <v>56.023000000000003</v>
      </c>
      <c r="X1411" s="145">
        <v>4.8000000000000001E-2</v>
      </c>
      <c r="Y1411" s="145">
        <v>0.13800000000000001</v>
      </c>
      <c r="Z1411" s="146">
        <v>4.5999999999999999E-2</v>
      </c>
      <c r="AA1411" s="145">
        <v>0.27700000000000002</v>
      </c>
      <c r="AB1411" s="145">
        <v>1.3009999999999999</v>
      </c>
      <c r="AC1411" s="145">
        <v>1.0109999999999999</v>
      </c>
      <c r="AD1411" s="145">
        <v>7.0000000000000007E-2</v>
      </c>
      <c r="AE1411" s="145">
        <v>1</v>
      </c>
      <c r="AF1411" s="145">
        <v>0.3</v>
      </c>
      <c r="AG1411" s="145">
        <v>7.0000000000000007E-2</v>
      </c>
      <c r="AH1411" s="145">
        <v>8.8999999999999996E-2</v>
      </c>
      <c r="AI1411" s="145" t="s">
        <v>400</v>
      </c>
      <c r="AJ1411" s="145">
        <v>1.401</v>
      </c>
      <c r="AK1411" s="145">
        <v>56.606999999999999</v>
      </c>
      <c r="AL1411" s="145">
        <v>4.452</v>
      </c>
      <c r="AM1411" s="145" t="s">
        <v>400</v>
      </c>
    </row>
    <row r="1412" spans="1:39">
      <c r="A1412" s="143" t="s">
        <v>2472</v>
      </c>
      <c r="B1412" s="144">
        <v>100</v>
      </c>
      <c r="C1412" s="145">
        <v>480</v>
      </c>
      <c r="D1412" s="145">
        <v>25.76</v>
      </c>
      <c r="E1412" s="145">
        <v>26</v>
      </c>
      <c r="F1412" s="145">
        <v>14.92</v>
      </c>
      <c r="G1412" s="145">
        <v>6.4960000000000004</v>
      </c>
      <c r="H1412" s="145">
        <v>1.56</v>
      </c>
      <c r="I1412" s="145">
        <v>0.96</v>
      </c>
      <c r="J1412" s="145">
        <v>0.6</v>
      </c>
      <c r="K1412" s="145">
        <v>80</v>
      </c>
      <c r="L1412" s="145">
        <v>36.159999999999997</v>
      </c>
      <c r="M1412" s="145" t="s">
        <v>400</v>
      </c>
      <c r="N1412" s="145">
        <v>904</v>
      </c>
      <c r="O1412" s="145">
        <v>80</v>
      </c>
      <c r="P1412" s="145">
        <v>2.4E-2</v>
      </c>
      <c r="Q1412" s="145">
        <v>728</v>
      </c>
      <c r="R1412" s="145">
        <v>0.24</v>
      </c>
      <c r="S1412" s="145">
        <v>320</v>
      </c>
      <c r="T1412" s="145">
        <v>1144</v>
      </c>
      <c r="U1412" s="145">
        <v>8.7999999999999995E-2</v>
      </c>
      <c r="V1412" s="145">
        <v>3.2</v>
      </c>
      <c r="W1412" s="145">
        <v>224</v>
      </c>
      <c r="X1412" s="145">
        <v>0.35199999999999998</v>
      </c>
      <c r="Y1412" s="145">
        <v>1.464</v>
      </c>
      <c r="Z1412" s="146">
        <v>0.28799999999999998</v>
      </c>
      <c r="AA1412" s="145">
        <v>0.85599999999999998</v>
      </c>
      <c r="AB1412" s="145" t="s">
        <v>400</v>
      </c>
      <c r="AC1412" s="145">
        <v>10.856</v>
      </c>
      <c r="AD1412" s="145">
        <v>3.52</v>
      </c>
      <c r="AE1412" s="145">
        <v>40</v>
      </c>
      <c r="AF1412" s="145">
        <v>8</v>
      </c>
      <c r="AG1412" s="145">
        <v>0.48</v>
      </c>
      <c r="AH1412" s="145">
        <v>0.92800000000000005</v>
      </c>
      <c r="AI1412" s="145" t="s">
        <v>400</v>
      </c>
      <c r="AJ1412" s="145">
        <v>29.6</v>
      </c>
      <c r="AK1412" s="145">
        <v>227.333</v>
      </c>
      <c r="AL1412" s="145">
        <v>42.08</v>
      </c>
      <c r="AM1412" s="145" t="s">
        <v>400</v>
      </c>
    </row>
    <row r="1413" spans="1:39">
      <c r="A1413" s="143" t="s">
        <v>2473</v>
      </c>
      <c r="B1413" s="144">
        <v>100</v>
      </c>
      <c r="C1413" s="145">
        <v>358</v>
      </c>
      <c r="D1413" s="145">
        <v>35.1</v>
      </c>
      <c r="E1413" s="145">
        <v>0.72</v>
      </c>
      <c r="F1413" s="145">
        <v>0.46700000000000003</v>
      </c>
      <c r="G1413" s="145">
        <v>0.187</v>
      </c>
      <c r="H1413" s="145">
        <v>2.8000000000000001E-2</v>
      </c>
      <c r="I1413" s="145">
        <v>1.7999999999999999E-2</v>
      </c>
      <c r="J1413" s="145">
        <v>1.0999999999999999E-2</v>
      </c>
      <c r="K1413" s="145">
        <v>18</v>
      </c>
      <c r="L1413" s="145">
        <v>52.19</v>
      </c>
      <c r="M1413" s="145" t="s">
        <v>400</v>
      </c>
      <c r="N1413" s="145">
        <v>1231</v>
      </c>
      <c r="O1413" s="145">
        <v>117</v>
      </c>
      <c r="P1413" s="145">
        <v>0.02</v>
      </c>
      <c r="Q1413" s="145">
        <v>985</v>
      </c>
      <c r="R1413" s="145">
        <v>0.31</v>
      </c>
      <c r="S1413" s="145">
        <v>549</v>
      </c>
      <c r="T1413" s="145">
        <v>1705</v>
      </c>
      <c r="U1413" s="145">
        <v>4.1000000000000002E-2</v>
      </c>
      <c r="V1413" s="145">
        <v>4.41</v>
      </c>
      <c r="W1413" s="145">
        <v>709</v>
      </c>
      <c r="X1413" s="145">
        <v>0.41299999999999998</v>
      </c>
      <c r="Y1413" s="145">
        <v>1.744</v>
      </c>
      <c r="Z1413" s="146">
        <v>0.34499999999999997</v>
      </c>
      <c r="AA1413" s="145">
        <v>0.89100000000000001</v>
      </c>
      <c r="AB1413" s="145">
        <v>5.6</v>
      </c>
      <c r="AC1413" s="145">
        <v>9.141</v>
      </c>
      <c r="AD1413" s="145">
        <v>3.99</v>
      </c>
      <c r="AE1413" s="145">
        <v>50</v>
      </c>
      <c r="AF1413" s="145">
        <v>11</v>
      </c>
      <c r="AG1413" s="145">
        <v>0.01</v>
      </c>
      <c r="AH1413" s="145">
        <v>2.5999999999999999E-2</v>
      </c>
      <c r="AI1413" s="145" t="s">
        <v>400</v>
      </c>
      <c r="AJ1413" s="145">
        <v>27.3</v>
      </c>
      <c r="AK1413" s="145">
        <v>709.08299999999997</v>
      </c>
      <c r="AL1413" s="145">
        <v>50.51</v>
      </c>
      <c r="AM1413" s="145" t="s">
        <v>400</v>
      </c>
    </row>
    <row r="1414" spans="1:39">
      <c r="A1414" s="143" t="s">
        <v>2474</v>
      </c>
      <c r="B1414" s="144">
        <v>100</v>
      </c>
      <c r="C1414" s="145">
        <v>480</v>
      </c>
      <c r="D1414" s="145">
        <v>25.76</v>
      </c>
      <c r="E1414" s="145">
        <v>26</v>
      </c>
      <c r="F1414" s="145">
        <v>14.92</v>
      </c>
      <c r="G1414" s="145">
        <v>6.4960000000000004</v>
      </c>
      <c r="H1414" s="145">
        <v>1.56</v>
      </c>
      <c r="I1414" s="145">
        <v>0.96</v>
      </c>
      <c r="J1414" s="145">
        <v>0.6</v>
      </c>
      <c r="K1414" s="145">
        <v>80</v>
      </c>
      <c r="L1414" s="145">
        <v>36.159999999999997</v>
      </c>
      <c r="M1414" s="145" t="s">
        <v>400</v>
      </c>
      <c r="N1414" s="145">
        <v>904</v>
      </c>
      <c r="O1414" s="145">
        <v>80</v>
      </c>
      <c r="P1414" s="145">
        <v>2.4E-2</v>
      </c>
      <c r="Q1414" s="145">
        <v>728</v>
      </c>
      <c r="R1414" s="145">
        <v>0.24</v>
      </c>
      <c r="S1414" s="145">
        <v>320</v>
      </c>
      <c r="T1414" s="145">
        <v>1144</v>
      </c>
      <c r="U1414" s="145">
        <v>8.7999999999999995E-2</v>
      </c>
      <c r="V1414" s="145">
        <v>3.2</v>
      </c>
      <c r="W1414" s="145">
        <v>224</v>
      </c>
      <c r="X1414" s="145">
        <v>0.35199999999999998</v>
      </c>
      <c r="Y1414" s="145">
        <v>1.464</v>
      </c>
      <c r="Z1414" s="146">
        <v>0.28799999999999998</v>
      </c>
      <c r="AA1414" s="145">
        <v>0.85599999999999998</v>
      </c>
      <c r="AB1414" s="145" t="s">
        <v>400</v>
      </c>
      <c r="AC1414" s="145">
        <v>10.856</v>
      </c>
      <c r="AD1414" s="145">
        <v>3.52</v>
      </c>
      <c r="AE1414" s="145">
        <v>40</v>
      </c>
      <c r="AF1414" s="145">
        <v>8</v>
      </c>
      <c r="AG1414" s="145">
        <v>0.48</v>
      </c>
      <c r="AH1414" s="145">
        <v>0.92800000000000005</v>
      </c>
      <c r="AI1414" s="145" t="s">
        <v>400</v>
      </c>
      <c r="AJ1414" s="145">
        <v>29.6</v>
      </c>
      <c r="AK1414" s="145">
        <v>227.333</v>
      </c>
      <c r="AL1414" s="145">
        <v>42.08</v>
      </c>
      <c r="AM1414" s="145" t="s">
        <v>400</v>
      </c>
    </row>
    <row r="1415" spans="1:39">
      <c r="A1415" s="143" t="s">
        <v>2475</v>
      </c>
      <c r="B1415" s="144">
        <v>100</v>
      </c>
      <c r="C1415" s="145">
        <v>319.69499999999999</v>
      </c>
      <c r="D1415" s="145">
        <v>7.8780000000000001</v>
      </c>
      <c r="E1415" s="145">
        <v>8.6649999999999991</v>
      </c>
      <c r="F1415" s="145">
        <v>5.4640000000000004</v>
      </c>
      <c r="G1415" s="145">
        <v>2.4169999999999998</v>
      </c>
      <c r="H1415" s="145">
        <v>0.33600000000000002</v>
      </c>
      <c r="I1415" s="145">
        <v>0.215</v>
      </c>
      <c r="J1415" s="145">
        <v>0.121</v>
      </c>
      <c r="K1415" s="145">
        <v>33.862000000000002</v>
      </c>
      <c r="L1415" s="145">
        <v>54.179000000000002</v>
      </c>
      <c r="M1415" s="145" t="s">
        <v>400</v>
      </c>
      <c r="N1415" s="145">
        <v>282.846</v>
      </c>
      <c r="O1415" s="145">
        <v>25.893999999999998</v>
      </c>
      <c r="P1415" s="145">
        <v>6.0000000000000001E-3</v>
      </c>
      <c r="Q1415" s="145">
        <v>251.97200000000001</v>
      </c>
      <c r="R1415" s="145">
        <v>0.189</v>
      </c>
      <c r="S1415" s="145">
        <v>126.48399999999999</v>
      </c>
      <c r="T1415" s="145">
        <v>369.49200000000002</v>
      </c>
      <c r="U1415" s="145">
        <v>1.4999999999999999E-2</v>
      </c>
      <c r="V1415" s="145">
        <v>0.93600000000000005</v>
      </c>
      <c r="W1415" s="145">
        <v>72.703000000000003</v>
      </c>
      <c r="X1415" s="145">
        <v>0.09</v>
      </c>
      <c r="Y1415" s="145">
        <v>0.41399999999999998</v>
      </c>
      <c r="Z1415" s="146">
        <v>5.0999999999999997E-2</v>
      </c>
      <c r="AA1415" s="145">
        <v>0.20899999999999999</v>
      </c>
      <c r="AB1415" s="145">
        <v>2.589</v>
      </c>
      <c r="AC1415" s="145">
        <v>2.0680000000000001</v>
      </c>
      <c r="AD1415" s="145">
        <v>0.438</v>
      </c>
      <c r="AE1415" s="145">
        <v>10.955</v>
      </c>
      <c r="AF1415" s="145">
        <v>0.129</v>
      </c>
      <c r="AG1415" s="145">
        <v>0.159</v>
      </c>
      <c r="AH1415" s="145">
        <v>0.309</v>
      </c>
      <c r="AI1415" s="145" t="s">
        <v>400</v>
      </c>
      <c r="AJ1415" s="145">
        <v>14.74</v>
      </c>
      <c r="AK1415" s="145">
        <v>73.864999999999995</v>
      </c>
      <c r="AL1415" s="145">
        <v>52.511000000000003</v>
      </c>
      <c r="AM1415" s="145">
        <v>43.015000000000001</v>
      </c>
    </row>
    <row r="1416" spans="1:39">
      <c r="A1416" s="143" t="s">
        <v>2476</v>
      </c>
      <c r="B1416" s="144">
        <v>100</v>
      </c>
      <c r="C1416" s="145">
        <v>319.69499999999999</v>
      </c>
      <c r="D1416" s="145">
        <v>7.8780000000000001</v>
      </c>
      <c r="E1416" s="145">
        <v>8.6649999999999991</v>
      </c>
      <c r="F1416" s="145">
        <v>5.4640000000000004</v>
      </c>
      <c r="G1416" s="145">
        <v>2.4169999999999998</v>
      </c>
      <c r="H1416" s="145">
        <v>0.33600000000000002</v>
      </c>
      <c r="I1416" s="145">
        <v>0.215</v>
      </c>
      <c r="J1416" s="145">
        <v>0.121</v>
      </c>
      <c r="K1416" s="145">
        <v>33.862000000000002</v>
      </c>
      <c r="L1416" s="145">
        <v>54.179000000000002</v>
      </c>
      <c r="M1416" s="145" t="s">
        <v>400</v>
      </c>
      <c r="N1416" s="145">
        <v>282.846</v>
      </c>
      <c r="O1416" s="145">
        <v>25.893999999999998</v>
      </c>
      <c r="P1416" s="145">
        <v>6.0000000000000001E-3</v>
      </c>
      <c r="Q1416" s="145">
        <v>251.97200000000001</v>
      </c>
      <c r="R1416" s="145">
        <v>0.189</v>
      </c>
      <c r="S1416" s="145">
        <v>126.48399999999999</v>
      </c>
      <c r="T1416" s="145">
        <v>369.49200000000002</v>
      </c>
      <c r="U1416" s="145">
        <v>1.4999999999999999E-2</v>
      </c>
      <c r="V1416" s="145">
        <v>0.93600000000000005</v>
      </c>
      <c r="W1416" s="145">
        <v>72.703000000000003</v>
      </c>
      <c r="X1416" s="145">
        <v>0.09</v>
      </c>
      <c r="Y1416" s="145">
        <v>0.41399999999999998</v>
      </c>
      <c r="Z1416" s="146">
        <v>5.0999999999999997E-2</v>
      </c>
      <c r="AA1416" s="145">
        <v>0.20899999999999999</v>
      </c>
      <c r="AB1416" s="145">
        <v>2.589</v>
      </c>
      <c r="AC1416" s="145">
        <v>2.0680000000000001</v>
      </c>
      <c r="AD1416" s="145">
        <v>0.438</v>
      </c>
      <c r="AE1416" s="145">
        <v>10.955</v>
      </c>
      <c r="AF1416" s="145">
        <v>0.129</v>
      </c>
      <c r="AG1416" s="145">
        <v>0.159</v>
      </c>
      <c r="AH1416" s="145">
        <v>0.309</v>
      </c>
      <c r="AI1416" s="145" t="s">
        <v>400</v>
      </c>
      <c r="AJ1416" s="145">
        <v>14.74</v>
      </c>
      <c r="AK1416" s="145">
        <v>73.864999999999995</v>
      </c>
      <c r="AL1416" s="145">
        <v>52.511000000000003</v>
      </c>
      <c r="AM1416" s="145">
        <v>43.015000000000001</v>
      </c>
    </row>
    <row r="1417" spans="1:39">
      <c r="A1417" s="143" t="s">
        <v>2477</v>
      </c>
      <c r="B1417" s="144">
        <v>100</v>
      </c>
      <c r="C1417" s="145">
        <v>292</v>
      </c>
      <c r="D1417" s="145">
        <v>2.17</v>
      </c>
      <c r="E1417" s="145">
        <v>30.91</v>
      </c>
      <c r="F1417" s="145">
        <v>19.337</v>
      </c>
      <c r="G1417" s="145">
        <v>9.093</v>
      </c>
      <c r="H1417" s="145">
        <v>0.88400000000000001</v>
      </c>
      <c r="I1417" s="145">
        <v>0.61799999999999999</v>
      </c>
      <c r="J1417" s="145">
        <v>0.26600000000000001</v>
      </c>
      <c r="K1417" s="145">
        <v>111</v>
      </c>
      <c r="L1417" s="145">
        <v>2.96</v>
      </c>
      <c r="M1417" s="145" t="s">
        <v>400</v>
      </c>
      <c r="N1417" s="145">
        <v>69</v>
      </c>
      <c r="O1417" s="145">
        <v>7</v>
      </c>
      <c r="P1417" s="145">
        <v>1E-3</v>
      </c>
      <c r="Q1417" s="145">
        <v>61</v>
      </c>
      <c r="R1417" s="145">
        <v>0.03</v>
      </c>
      <c r="S1417" s="145">
        <v>34</v>
      </c>
      <c r="T1417" s="145">
        <v>97</v>
      </c>
      <c r="U1417" s="145">
        <v>7.0000000000000001E-3</v>
      </c>
      <c r="V1417" s="145">
        <v>0.25</v>
      </c>
      <c r="W1417" s="145">
        <v>274</v>
      </c>
      <c r="X1417" s="145">
        <v>2.4E-2</v>
      </c>
      <c r="Y1417" s="145">
        <v>0.125</v>
      </c>
      <c r="Z1417" s="146">
        <v>2.8000000000000001E-2</v>
      </c>
      <c r="AA1417" s="145">
        <v>4.2000000000000003E-2</v>
      </c>
      <c r="AB1417" s="145">
        <v>0.6</v>
      </c>
      <c r="AC1417" s="145">
        <v>0.55900000000000005</v>
      </c>
      <c r="AD1417" s="145">
        <v>0.2</v>
      </c>
      <c r="AE1417" s="145">
        <v>4</v>
      </c>
      <c r="AF1417" s="145">
        <v>1.1000000000000001</v>
      </c>
      <c r="AG1417" s="145">
        <v>0.88</v>
      </c>
      <c r="AH1417" s="145">
        <v>1.1000000000000001</v>
      </c>
      <c r="AI1417" s="145" t="s">
        <v>400</v>
      </c>
      <c r="AJ1417" s="145">
        <v>0.5</v>
      </c>
      <c r="AK1417" s="145">
        <v>279</v>
      </c>
      <c r="AL1417" s="145">
        <v>2.8</v>
      </c>
      <c r="AM1417" s="145" t="s">
        <v>400</v>
      </c>
    </row>
    <row r="1418" spans="1:39">
      <c r="A1418" s="143" t="s">
        <v>2478</v>
      </c>
      <c r="B1418" s="144">
        <v>100</v>
      </c>
      <c r="C1418" s="145">
        <v>276.39</v>
      </c>
      <c r="D1418" s="145">
        <v>2.93</v>
      </c>
      <c r="E1418" s="145">
        <v>24.57</v>
      </c>
      <c r="F1418" s="145">
        <v>15.36</v>
      </c>
      <c r="G1418" s="145">
        <v>7.22</v>
      </c>
      <c r="H1418" s="145">
        <v>0.71</v>
      </c>
      <c r="I1418" s="145">
        <v>0.5</v>
      </c>
      <c r="J1418" s="145">
        <v>0.21</v>
      </c>
      <c r="K1418" s="145">
        <v>88.14</v>
      </c>
      <c r="L1418" s="145">
        <v>12.36</v>
      </c>
      <c r="M1418" s="145" t="s">
        <v>400</v>
      </c>
      <c r="N1418" s="145">
        <v>55.66</v>
      </c>
      <c r="O1418" s="145">
        <v>6.78</v>
      </c>
      <c r="P1418" s="145" t="s">
        <v>400</v>
      </c>
      <c r="Q1418" s="145">
        <v>50.1</v>
      </c>
      <c r="R1418" s="145">
        <v>0.03</v>
      </c>
      <c r="S1418" s="145">
        <v>45.52</v>
      </c>
      <c r="T1418" s="145">
        <v>95.31</v>
      </c>
      <c r="U1418" s="145">
        <v>0.01</v>
      </c>
      <c r="V1418" s="145">
        <v>0.2</v>
      </c>
      <c r="W1418" s="145">
        <v>217.56</v>
      </c>
      <c r="X1418" s="145">
        <v>0.02</v>
      </c>
      <c r="Y1418" s="145">
        <v>0.15</v>
      </c>
      <c r="Z1418" s="145">
        <v>0.02</v>
      </c>
      <c r="AA1418" s="145">
        <v>0.05</v>
      </c>
      <c r="AB1418" s="145">
        <v>0.48</v>
      </c>
      <c r="AC1418" s="145">
        <v>0.69</v>
      </c>
      <c r="AD1418" s="145">
        <v>0.17</v>
      </c>
      <c r="AE1418" s="145">
        <v>3.62</v>
      </c>
      <c r="AF1418" s="145">
        <v>0.87</v>
      </c>
      <c r="AG1418" s="145">
        <v>0.7</v>
      </c>
      <c r="AH1418" s="145">
        <v>0.87</v>
      </c>
      <c r="AI1418" s="145" t="s">
        <v>400</v>
      </c>
      <c r="AJ1418" s="145">
        <v>2.68</v>
      </c>
      <c r="AK1418" s="145">
        <v>221.53</v>
      </c>
      <c r="AL1418" s="145">
        <v>11.9</v>
      </c>
      <c r="AM1418" s="145">
        <v>9.93</v>
      </c>
    </row>
    <row r="1419" spans="1:39">
      <c r="A1419" s="143" t="s">
        <v>2479</v>
      </c>
      <c r="B1419" s="144">
        <v>100</v>
      </c>
      <c r="C1419" s="145">
        <v>98.694000000000003</v>
      </c>
      <c r="D1419" s="145">
        <v>3.46</v>
      </c>
      <c r="E1419" s="145">
        <v>3.4660000000000002</v>
      </c>
      <c r="F1419" s="145">
        <v>1.976</v>
      </c>
      <c r="G1419" s="145">
        <v>0.86299999999999999</v>
      </c>
      <c r="H1419" s="145">
        <v>0.218</v>
      </c>
      <c r="I1419" s="145">
        <v>0.13400000000000001</v>
      </c>
      <c r="J1419" s="145">
        <v>8.4000000000000005E-2</v>
      </c>
      <c r="K1419" s="145">
        <v>10.587999999999999</v>
      </c>
      <c r="L1419" s="145">
        <v>14.62</v>
      </c>
      <c r="M1419" s="145">
        <v>2.1320000000000001</v>
      </c>
      <c r="N1419" s="145">
        <v>120.929</v>
      </c>
      <c r="O1419" s="145">
        <v>11.518000000000001</v>
      </c>
      <c r="P1419" s="145">
        <v>3.1E-2</v>
      </c>
      <c r="Q1419" s="145">
        <v>98.070999999999998</v>
      </c>
      <c r="R1419" s="145">
        <v>9.2999999999999999E-2</v>
      </c>
      <c r="S1419" s="145">
        <v>44.776000000000003</v>
      </c>
      <c r="T1419" s="145">
        <v>162.435</v>
      </c>
      <c r="U1419" s="145">
        <v>0.02</v>
      </c>
      <c r="V1419" s="145">
        <v>0.439</v>
      </c>
      <c r="W1419" s="145">
        <v>29.646999999999998</v>
      </c>
      <c r="X1419" s="145">
        <v>4.8000000000000001E-2</v>
      </c>
      <c r="Y1419" s="145">
        <v>0.19700000000000001</v>
      </c>
      <c r="Z1419" s="146">
        <v>4.2000000000000003E-2</v>
      </c>
      <c r="AA1419" s="145">
        <v>0.14099999999999999</v>
      </c>
      <c r="AB1419" s="145">
        <v>4.1509999999999998</v>
      </c>
      <c r="AC1419" s="145">
        <v>1.474</v>
      </c>
      <c r="AD1419" s="145">
        <v>0.46600000000000003</v>
      </c>
      <c r="AE1419" s="145">
        <v>7</v>
      </c>
      <c r="AF1419" s="145">
        <v>6.4000000000000001E-2</v>
      </c>
      <c r="AG1419" s="145">
        <v>8.3000000000000004E-2</v>
      </c>
      <c r="AH1419" s="145">
        <v>0.123</v>
      </c>
      <c r="AI1419" s="145" t="s">
        <v>400</v>
      </c>
      <c r="AJ1419" s="145">
        <v>3.988</v>
      </c>
      <c r="AK1419" s="145">
        <v>30.131</v>
      </c>
      <c r="AL1419" s="145">
        <v>13.055999999999999</v>
      </c>
      <c r="AM1419" s="145">
        <v>7.0570000000000004</v>
      </c>
    </row>
    <row r="1420" spans="1:39">
      <c r="A1420" s="143" t="s">
        <v>2480</v>
      </c>
      <c r="B1420" s="144">
        <v>100</v>
      </c>
      <c r="C1420" s="145">
        <v>56</v>
      </c>
      <c r="D1420" s="145">
        <v>5.73</v>
      </c>
      <c r="E1420" s="145">
        <v>0.18</v>
      </c>
      <c r="F1420" s="145">
        <v>0.11600000000000001</v>
      </c>
      <c r="G1420" s="145">
        <v>4.9000000000000002E-2</v>
      </c>
      <c r="H1420" s="145">
        <v>5.0000000000000001E-3</v>
      </c>
      <c r="I1420" s="145">
        <v>4.0000000000000001E-3</v>
      </c>
      <c r="J1420" s="145">
        <v>1E-3</v>
      </c>
      <c r="K1420" s="145">
        <v>2</v>
      </c>
      <c r="L1420" s="145">
        <v>7.68</v>
      </c>
      <c r="M1420" s="145" t="s">
        <v>400</v>
      </c>
      <c r="N1420" s="145">
        <v>199</v>
      </c>
      <c r="O1420" s="145">
        <v>19</v>
      </c>
      <c r="P1420" s="145">
        <v>5.0000000000000001E-3</v>
      </c>
      <c r="Q1420" s="145">
        <v>157</v>
      </c>
      <c r="R1420" s="145">
        <v>0.09</v>
      </c>
      <c r="S1420" s="145">
        <v>77</v>
      </c>
      <c r="T1420" s="145">
        <v>255</v>
      </c>
      <c r="U1420" s="145">
        <v>1.4999999999999999E-2</v>
      </c>
      <c r="V1420" s="145">
        <v>0.97</v>
      </c>
      <c r="W1420" s="145">
        <v>2</v>
      </c>
      <c r="X1420" s="145">
        <v>4.8000000000000001E-2</v>
      </c>
      <c r="Y1420" s="145">
        <v>0.23400000000000001</v>
      </c>
      <c r="Z1420" s="146">
        <v>5.2999999999999999E-2</v>
      </c>
      <c r="AA1420" s="145">
        <v>0.124</v>
      </c>
      <c r="AB1420" s="145">
        <v>0.9</v>
      </c>
      <c r="AC1420" s="145">
        <v>0.65700000000000003</v>
      </c>
      <c r="AD1420" s="145">
        <v>0.61</v>
      </c>
      <c r="AE1420" s="145">
        <v>12</v>
      </c>
      <c r="AF1420" s="145" t="s">
        <v>400</v>
      </c>
      <c r="AG1420" s="145" t="s">
        <v>400</v>
      </c>
      <c r="AH1420" s="145" t="s">
        <v>400</v>
      </c>
      <c r="AI1420" s="145" t="s">
        <v>400</v>
      </c>
      <c r="AJ1420" s="145">
        <v>3.6</v>
      </c>
      <c r="AK1420" s="145">
        <v>2</v>
      </c>
      <c r="AL1420" s="145">
        <v>5.61</v>
      </c>
      <c r="AM1420" s="145" t="s">
        <v>400</v>
      </c>
    </row>
    <row r="1421" spans="1:39">
      <c r="A1421" s="143" t="s">
        <v>2481</v>
      </c>
      <c r="B1421" s="144">
        <v>100</v>
      </c>
      <c r="C1421" s="145">
        <v>61</v>
      </c>
      <c r="D1421" s="145">
        <v>3.47</v>
      </c>
      <c r="E1421" s="145">
        <v>3.25</v>
      </c>
      <c r="F1421" s="145">
        <v>2.0960000000000001</v>
      </c>
      <c r="G1421" s="145">
        <v>0.89300000000000002</v>
      </c>
      <c r="H1421" s="145">
        <v>9.1999999999999998E-2</v>
      </c>
      <c r="I1421" s="145">
        <v>6.5000000000000002E-2</v>
      </c>
      <c r="J1421" s="145">
        <v>2.7E-2</v>
      </c>
      <c r="K1421" s="145">
        <v>13</v>
      </c>
      <c r="L1421" s="145">
        <v>4.66</v>
      </c>
      <c r="M1421" s="145" t="s">
        <v>400</v>
      </c>
      <c r="N1421" s="145">
        <v>121</v>
      </c>
      <c r="O1421" s="145">
        <v>12</v>
      </c>
      <c r="P1421" s="145">
        <v>4.0000000000000001E-3</v>
      </c>
      <c r="Q1421" s="145">
        <v>95</v>
      </c>
      <c r="R1421" s="145">
        <v>0.05</v>
      </c>
      <c r="S1421" s="145">
        <v>46</v>
      </c>
      <c r="T1421" s="145">
        <v>155</v>
      </c>
      <c r="U1421" s="145">
        <v>8.9999999999999993E-3</v>
      </c>
      <c r="V1421" s="145">
        <v>0.59</v>
      </c>
      <c r="W1421" s="145">
        <v>27</v>
      </c>
      <c r="X1421" s="145">
        <v>2.9000000000000001E-2</v>
      </c>
      <c r="Y1421" s="145">
        <v>0.14199999999999999</v>
      </c>
      <c r="Z1421" s="146">
        <v>3.2000000000000001E-2</v>
      </c>
      <c r="AA1421" s="145">
        <v>7.4999999999999997E-2</v>
      </c>
      <c r="AB1421" s="145">
        <v>0.5</v>
      </c>
      <c r="AC1421" s="145">
        <v>0.40799999999999997</v>
      </c>
      <c r="AD1421" s="145">
        <v>0.37</v>
      </c>
      <c r="AE1421" s="145">
        <v>7</v>
      </c>
      <c r="AF1421" s="145">
        <v>0.04</v>
      </c>
      <c r="AG1421" s="145">
        <v>8.6999999999999994E-2</v>
      </c>
      <c r="AH1421" s="145">
        <v>7.0000000000000007E-2</v>
      </c>
      <c r="AI1421" s="145" t="s">
        <v>400</v>
      </c>
      <c r="AJ1421" s="145">
        <v>2.2000000000000002</v>
      </c>
      <c r="AK1421" s="145">
        <v>27.417000000000002</v>
      </c>
      <c r="AL1421" s="145">
        <v>3.39</v>
      </c>
      <c r="AM1421" s="145" t="s">
        <v>400</v>
      </c>
    </row>
    <row r="1422" spans="1:39">
      <c r="A1422" s="143" t="s">
        <v>2482</v>
      </c>
      <c r="B1422" s="144">
        <v>100</v>
      </c>
      <c r="C1422" s="145">
        <v>69.3</v>
      </c>
      <c r="D1422" s="145">
        <v>3.0329999999999999</v>
      </c>
      <c r="E1422" s="145">
        <v>7.1999999999999995E-2</v>
      </c>
      <c r="F1422" s="145">
        <v>4.5999999999999999E-2</v>
      </c>
      <c r="G1422" s="145">
        <v>1.9E-2</v>
      </c>
      <c r="H1422" s="145">
        <v>3.0000000000000001E-3</v>
      </c>
      <c r="I1422" s="145">
        <v>2E-3</v>
      </c>
      <c r="J1422" s="145">
        <v>1E-3</v>
      </c>
      <c r="K1422" s="145">
        <v>1.8</v>
      </c>
      <c r="L1422" s="145">
        <v>14.462</v>
      </c>
      <c r="M1422" s="145" t="s">
        <v>400</v>
      </c>
      <c r="N1422" s="145">
        <v>112.6</v>
      </c>
      <c r="O1422" s="145">
        <v>9.9</v>
      </c>
      <c r="P1422" s="145">
        <v>3.0000000000000001E-3</v>
      </c>
      <c r="Q1422" s="145">
        <v>90.9</v>
      </c>
      <c r="R1422" s="145">
        <v>2.8000000000000001E-2</v>
      </c>
      <c r="S1422" s="145">
        <v>37.799999999999997</v>
      </c>
      <c r="T1422" s="145">
        <v>140.6</v>
      </c>
      <c r="U1422" s="145">
        <v>1.2E-2</v>
      </c>
      <c r="V1422" s="145">
        <v>0.378</v>
      </c>
      <c r="W1422" s="145">
        <v>54.9</v>
      </c>
      <c r="X1422" s="145">
        <v>4.1000000000000002E-2</v>
      </c>
      <c r="Y1422" s="145">
        <v>0.16600000000000001</v>
      </c>
      <c r="Z1422" s="145">
        <v>3.3000000000000002E-2</v>
      </c>
      <c r="AA1422" s="145">
        <v>8.5000000000000006E-2</v>
      </c>
      <c r="AB1422" s="145" t="s">
        <v>400</v>
      </c>
      <c r="AC1422" s="145">
        <v>0.68500000000000005</v>
      </c>
      <c r="AD1422" s="145">
        <v>0.47699999999999998</v>
      </c>
      <c r="AE1422" s="145">
        <v>4.5</v>
      </c>
      <c r="AF1422" s="145">
        <v>0.92300000000000004</v>
      </c>
      <c r="AG1422" s="145">
        <v>8.9999999999999993E-3</v>
      </c>
      <c r="AH1422" s="145">
        <v>3.0000000000000001E-3</v>
      </c>
      <c r="AI1422" s="145" t="s">
        <v>400</v>
      </c>
      <c r="AJ1422" s="145">
        <v>2.85</v>
      </c>
      <c r="AK1422" s="145">
        <v>54.9</v>
      </c>
      <c r="AL1422" s="145">
        <v>14.571999999999999</v>
      </c>
      <c r="AM1422" s="145">
        <v>9.9979999999999993</v>
      </c>
    </row>
    <row r="1423" spans="1:39">
      <c r="A1423" s="143" t="s">
        <v>2483</v>
      </c>
      <c r="B1423" s="144">
        <v>100</v>
      </c>
      <c r="C1423" s="145">
        <v>91.13</v>
      </c>
      <c r="D1423" s="145">
        <v>2.78</v>
      </c>
      <c r="E1423" s="145">
        <v>1.1499999999999999</v>
      </c>
      <c r="F1423" s="145">
        <v>0.7</v>
      </c>
      <c r="G1423" s="145">
        <v>0.3</v>
      </c>
      <c r="H1423" s="145">
        <v>0.05</v>
      </c>
      <c r="I1423" s="145">
        <v>0.04</v>
      </c>
      <c r="J1423" s="145">
        <v>0.02</v>
      </c>
      <c r="K1423" s="145">
        <v>4.04</v>
      </c>
      <c r="L1423" s="145">
        <v>18.03</v>
      </c>
      <c r="M1423" s="145">
        <v>0.14000000000000001</v>
      </c>
      <c r="N1423" s="145">
        <v>97.17</v>
      </c>
      <c r="O1423" s="145">
        <v>9.5399999999999991</v>
      </c>
      <c r="P1423" s="145">
        <v>0.02</v>
      </c>
      <c r="Q1423" s="145">
        <v>76.47</v>
      </c>
      <c r="R1423" s="145">
        <v>0.06</v>
      </c>
      <c r="S1423" s="145">
        <v>36.450000000000003</v>
      </c>
      <c r="T1423" s="145">
        <v>128.47</v>
      </c>
      <c r="U1423" s="145">
        <v>0.01</v>
      </c>
      <c r="V1423" s="145">
        <v>0.45</v>
      </c>
      <c r="W1423" s="145">
        <v>10.1</v>
      </c>
      <c r="X1423" s="145">
        <v>0.03</v>
      </c>
      <c r="Y1423" s="145">
        <v>0.12</v>
      </c>
      <c r="Z1423" s="145">
        <v>0.03</v>
      </c>
      <c r="AA1423" s="145">
        <v>0.08</v>
      </c>
      <c r="AB1423" s="145">
        <v>0.89</v>
      </c>
      <c r="AC1423" s="145">
        <v>0.48</v>
      </c>
      <c r="AD1423" s="145">
        <v>0.31</v>
      </c>
      <c r="AE1423" s="145">
        <v>5.9</v>
      </c>
      <c r="AF1423" s="145">
        <v>0.01</v>
      </c>
      <c r="AG1423" s="145">
        <v>0.04</v>
      </c>
      <c r="AH1423" s="145">
        <v>0.03</v>
      </c>
      <c r="AI1423" s="145" t="s">
        <v>400</v>
      </c>
      <c r="AJ1423" s="145">
        <v>2.0499999999999998</v>
      </c>
      <c r="AK1423" s="145">
        <v>10.31</v>
      </c>
      <c r="AL1423" s="145">
        <v>16.75</v>
      </c>
      <c r="AM1423" s="145">
        <v>13.57</v>
      </c>
    </row>
    <row r="1424" spans="1:39">
      <c r="A1424" s="143" t="s">
        <v>2484</v>
      </c>
      <c r="B1424" s="144">
        <v>100</v>
      </c>
      <c r="C1424" s="145">
        <v>50.225999999999999</v>
      </c>
      <c r="D1424" s="145">
        <v>3.3149999999999999</v>
      </c>
      <c r="E1424" s="145">
        <v>1.9790000000000001</v>
      </c>
      <c r="F1424" s="145">
        <v>1.2629999999999999</v>
      </c>
      <c r="G1424" s="145">
        <v>0.56299999999999994</v>
      </c>
      <c r="H1424" s="145">
        <v>7.2999999999999995E-2</v>
      </c>
      <c r="I1424" s="145">
        <v>6.2E-2</v>
      </c>
      <c r="J1424" s="145">
        <v>8.0000000000000002E-3</v>
      </c>
      <c r="K1424" s="145">
        <v>8.0359999999999996</v>
      </c>
      <c r="L1424" s="145">
        <v>4.7009999999999996</v>
      </c>
      <c r="M1424" s="145" t="s">
        <v>400</v>
      </c>
      <c r="N1424" s="145">
        <v>117.52800000000001</v>
      </c>
      <c r="O1424" s="145">
        <v>11.05</v>
      </c>
      <c r="P1424" s="145">
        <v>3.0000000000000001E-3</v>
      </c>
      <c r="Q1424" s="145">
        <v>94.424000000000007</v>
      </c>
      <c r="R1424" s="145">
        <v>0.03</v>
      </c>
      <c r="S1424" s="145">
        <v>41.185000000000002</v>
      </c>
      <c r="T1424" s="145">
        <v>150.67699999999999</v>
      </c>
      <c r="U1424" s="145">
        <v>1.2E-2</v>
      </c>
      <c r="V1424" s="145">
        <v>0.432</v>
      </c>
      <c r="W1424" s="145">
        <v>55.247999999999998</v>
      </c>
      <c r="X1424" s="145">
        <v>3.9E-2</v>
      </c>
      <c r="Y1424" s="145">
        <v>0.186</v>
      </c>
      <c r="Z1424" s="146">
        <v>3.7999999999999999E-2</v>
      </c>
      <c r="AA1424" s="145">
        <v>9.1999999999999998E-2</v>
      </c>
      <c r="AB1424" s="145">
        <v>0.20100000000000001</v>
      </c>
      <c r="AC1424" s="145">
        <v>0.76200000000000001</v>
      </c>
      <c r="AD1424" s="145">
        <v>0.46200000000000002</v>
      </c>
      <c r="AE1424" s="145">
        <v>5.0229999999999997</v>
      </c>
      <c r="AF1424" s="145">
        <v>1.08</v>
      </c>
      <c r="AG1424" s="145">
        <v>0.03</v>
      </c>
      <c r="AH1424" s="145">
        <v>8.5000000000000006E-2</v>
      </c>
      <c r="AI1424" s="145" t="s">
        <v>400</v>
      </c>
      <c r="AJ1424" s="145">
        <v>2.5110000000000001</v>
      </c>
      <c r="AK1424" s="145">
        <v>55.5</v>
      </c>
      <c r="AL1424" s="145">
        <v>5.093</v>
      </c>
      <c r="AM1424" s="145" t="s">
        <v>400</v>
      </c>
    </row>
    <row r="1425" spans="1:39">
      <c r="A1425" s="143" t="s">
        <v>2485</v>
      </c>
      <c r="B1425" s="144">
        <v>100</v>
      </c>
      <c r="C1425" s="145">
        <v>61</v>
      </c>
      <c r="D1425" s="145">
        <v>3.47</v>
      </c>
      <c r="E1425" s="145">
        <v>3.25</v>
      </c>
      <c r="F1425" s="145">
        <v>2.0960000000000001</v>
      </c>
      <c r="G1425" s="145">
        <v>0.89300000000000002</v>
      </c>
      <c r="H1425" s="145">
        <v>9.1999999999999998E-2</v>
      </c>
      <c r="I1425" s="145">
        <v>6.5000000000000002E-2</v>
      </c>
      <c r="J1425" s="145">
        <v>2.7E-2</v>
      </c>
      <c r="K1425" s="145">
        <v>13</v>
      </c>
      <c r="L1425" s="145">
        <v>4.66</v>
      </c>
      <c r="M1425" s="145" t="s">
        <v>400</v>
      </c>
      <c r="N1425" s="145">
        <v>121</v>
      </c>
      <c r="O1425" s="145">
        <v>12</v>
      </c>
      <c r="P1425" s="145">
        <v>4.0000000000000001E-3</v>
      </c>
      <c r="Q1425" s="145">
        <v>95</v>
      </c>
      <c r="R1425" s="145">
        <v>0.05</v>
      </c>
      <c r="S1425" s="145">
        <v>46</v>
      </c>
      <c r="T1425" s="145">
        <v>155</v>
      </c>
      <c r="U1425" s="145">
        <v>8.9999999999999993E-3</v>
      </c>
      <c r="V1425" s="145">
        <v>0.59</v>
      </c>
      <c r="W1425" s="145">
        <v>27</v>
      </c>
      <c r="X1425" s="145">
        <v>2.9000000000000001E-2</v>
      </c>
      <c r="Y1425" s="145">
        <v>0.14199999999999999</v>
      </c>
      <c r="Z1425" s="146">
        <v>3.2000000000000001E-2</v>
      </c>
      <c r="AA1425" s="145">
        <v>7.4999999999999997E-2</v>
      </c>
      <c r="AB1425" s="145">
        <v>0.5</v>
      </c>
      <c r="AC1425" s="145">
        <v>0.40799999999999997</v>
      </c>
      <c r="AD1425" s="145">
        <v>0.37</v>
      </c>
      <c r="AE1425" s="145">
        <v>7</v>
      </c>
      <c r="AF1425" s="145">
        <v>0.04</v>
      </c>
      <c r="AG1425" s="145">
        <v>8.6999999999999994E-2</v>
      </c>
      <c r="AH1425" s="145">
        <v>7.0000000000000007E-2</v>
      </c>
      <c r="AI1425" s="145" t="s">
        <v>400</v>
      </c>
      <c r="AJ1425" s="145">
        <v>2.2000000000000002</v>
      </c>
      <c r="AK1425" s="145">
        <v>27.417000000000002</v>
      </c>
      <c r="AL1425" s="145">
        <v>3.39</v>
      </c>
      <c r="AM1425" s="145" t="s">
        <v>400</v>
      </c>
    </row>
    <row r="1426" spans="1:39">
      <c r="A1426" s="143" t="s">
        <v>2486</v>
      </c>
      <c r="B1426" s="144">
        <v>100</v>
      </c>
      <c r="C1426" s="145">
        <v>717</v>
      </c>
      <c r="D1426" s="145">
        <v>0.85</v>
      </c>
      <c r="E1426" s="145">
        <v>81.11</v>
      </c>
      <c r="F1426" s="145">
        <v>51.37</v>
      </c>
      <c r="G1426" s="145">
        <v>21.02</v>
      </c>
      <c r="H1426" s="145">
        <v>3.04</v>
      </c>
      <c r="I1426" s="145">
        <v>2.73</v>
      </c>
      <c r="J1426" s="145">
        <v>0.32</v>
      </c>
      <c r="K1426" s="145">
        <v>215</v>
      </c>
      <c r="L1426" s="145">
        <v>0.06</v>
      </c>
      <c r="M1426" s="145" t="s">
        <v>400</v>
      </c>
      <c r="N1426" s="145">
        <v>24</v>
      </c>
      <c r="O1426" s="145">
        <v>2</v>
      </c>
      <c r="P1426" s="145" t="s">
        <v>400</v>
      </c>
      <c r="Q1426" s="145">
        <v>24</v>
      </c>
      <c r="R1426" s="145">
        <v>0.02</v>
      </c>
      <c r="S1426" s="145">
        <v>576</v>
      </c>
      <c r="T1426" s="145">
        <v>24</v>
      </c>
      <c r="U1426" s="145" t="s">
        <v>400</v>
      </c>
      <c r="V1426" s="145">
        <v>0.09</v>
      </c>
      <c r="W1426" s="145">
        <v>671</v>
      </c>
      <c r="X1426" s="145">
        <v>0.01</v>
      </c>
      <c r="Y1426" s="145">
        <v>0.03</v>
      </c>
      <c r="Z1426" s="145" t="s">
        <v>400</v>
      </c>
      <c r="AA1426" s="145">
        <v>0.04</v>
      </c>
      <c r="AB1426" s="145" t="s">
        <v>400</v>
      </c>
      <c r="AC1426" s="145">
        <v>0.24</v>
      </c>
      <c r="AD1426" s="145">
        <v>0.17</v>
      </c>
      <c r="AE1426" s="145">
        <v>3</v>
      </c>
      <c r="AF1426" s="145">
        <v>1.4</v>
      </c>
      <c r="AG1426" s="145">
        <v>2.3199999999999998</v>
      </c>
      <c r="AH1426" s="145">
        <v>3.28</v>
      </c>
      <c r="AI1426" s="145" t="s">
        <v>400</v>
      </c>
      <c r="AJ1426" s="145">
        <v>1</v>
      </c>
      <c r="AK1426" s="145">
        <v>684.17</v>
      </c>
      <c r="AL1426" s="145">
        <v>0.1</v>
      </c>
      <c r="AM1426" s="145" t="s">
        <v>400</v>
      </c>
    </row>
    <row r="1427" spans="1:39">
      <c r="A1427" s="143" t="s">
        <v>2487</v>
      </c>
      <c r="B1427" s="144">
        <v>100</v>
      </c>
      <c r="C1427" s="145">
        <v>717</v>
      </c>
      <c r="D1427" s="145">
        <v>0.85</v>
      </c>
      <c r="E1427" s="145">
        <v>81.11</v>
      </c>
      <c r="F1427" s="145">
        <v>51.37</v>
      </c>
      <c r="G1427" s="145">
        <v>21.02</v>
      </c>
      <c r="H1427" s="145">
        <v>3.04</v>
      </c>
      <c r="I1427" s="145">
        <v>2.73</v>
      </c>
      <c r="J1427" s="145">
        <v>0.32</v>
      </c>
      <c r="K1427" s="145">
        <v>215</v>
      </c>
      <c r="L1427" s="145">
        <v>0.06</v>
      </c>
      <c r="M1427" s="145" t="s">
        <v>400</v>
      </c>
      <c r="N1427" s="145">
        <v>24</v>
      </c>
      <c r="O1427" s="145">
        <v>2</v>
      </c>
      <c r="P1427" s="145" t="s">
        <v>400</v>
      </c>
      <c r="Q1427" s="145">
        <v>24</v>
      </c>
      <c r="R1427" s="145">
        <v>0.02</v>
      </c>
      <c r="S1427" s="145">
        <v>576</v>
      </c>
      <c r="T1427" s="145">
        <v>24</v>
      </c>
      <c r="U1427" s="145" t="s">
        <v>400</v>
      </c>
      <c r="V1427" s="145">
        <v>0.09</v>
      </c>
      <c r="W1427" s="145">
        <v>671</v>
      </c>
      <c r="X1427" s="145">
        <v>0.01</v>
      </c>
      <c r="Y1427" s="145">
        <v>0.03</v>
      </c>
      <c r="Z1427" s="145" t="s">
        <v>400</v>
      </c>
      <c r="AA1427" s="145">
        <v>0.04</v>
      </c>
      <c r="AB1427" s="145" t="s">
        <v>400</v>
      </c>
      <c r="AC1427" s="145">
        <v>0.24</v>
      </c>
      <c r="AD1427" s="145">
        <v>0.17</v>
      </c>
      <c r="AE1427" s="145">
        <v>3</v>
      </c>
      <c r="AF1427" s="145">
        <v>1.4</v>
      </c>
      <c r="AG1427" s="145">
        <v>2.3199999999999998</v>
      </c>
      <c r="AH1427" s="145">
        <v>3.28</v>
      </c>
      <c r="AI1427" s="145" t="s">
        <v>400</v>
      </c>
      <c r="AJ1427" s="145">
        <v>1</v>
      </c>
      <c r="AK1427" s="145">
        <v>684.17</v>
      </c>
      <c r="AL1427" s="145">
        <v>0.1</v>
      </c>
      <c r="AM1427" s="145" t="s">
        <v>400</v>
      </c>
    </row>
    <row r="1428" spans="1:39">
      <c r="A1428" s="143" t="s">
        <v>2488</v>
      </c>
      <c r="B1428" s="144">
        <v>100</v>
      </c>
      <c r="C1428" s="145">
        <v>719</v>
      </c>
      <c r="D1428" s="145">
        <v>0.9</v>
      </c>
      <c r="E1428" s="145">
        <v>80.5</v>
      </c>
      <c r="F1428" s="145">
        <v>16.7</v>
      </c>
      <c r="G1428" s="145">
        <v>39.299999999999997</v>
      </c>
      <c r="H1428" s="145">
        <v>20.9</v>
      </c>
      <c r="I1428" s="145">
        <v>19.399999999999999</v>
      </c>
      <c r="J1428" s="145">
        <v>1.5</v>
      </c>
      <c r="K1428" s="145" t="s">
        <v>400</v>
      </c>
      <c r="L1428" s="145">
        <v>0.9</v>
      </c>
      <c r="M1428" s="145" t="s">
        <v>400</v>
      </c>
      <c r="N1428" s="145">
        <v>30</v>
      </c>
      <c r="O1428" s="145">
        <v>3</v>
      </c>
      <c r="P1428" s="145" t="s">
        <v>400</v>
      </c>
      <c r="Q1428" s="145">
        <v>23</v>
      </c>
      <c r="R1428" s="145" t="s">
        <v>400</v>
      </c>
      <c r="S1428" s="145">
        <v>943</v>
      </c>
      <c r="T1428" s="145">
        <v>42</v>
      </c>
      <c r="U1428" s="145">
        <v>0.04</v>
      </c>
      <c r="V1428" s="145">
        <v>0.2</v>
      </c>
      <c r="W1428" s="145">
        <v>820</v>
      </c>
      <c r="X1428" s="145">
        <v>0.01</v>
      </c>
      <c r="Y1428" s="145">
        <v>0.04</v>
      </c>
      <c r="Z1428" s="145">
        <v>0.01</v>
      </c>
      <c r="AA1428" s="145">
        <v>0.02</v>
      </c>
      <c r="AB1428" s="145">
        <v>0.2</v>
      </c>
      <c r="AC1428" s="145">
        <v>0.22</v>
      </c>
      <c r="AD1428" s="145">
        <v>0.1</v>
      </c>
      <c r="AE1428" s="145">
        <v>1</v>
      </c>
      <c r="AF1428" s="145" t="s">
        <v>400</v>
      </c>
      <c r="AG1428" s="145">
        <v>3.1</v>
      </c>
      <c r="AH1428" s="145">
        <v>25.84</v>
      </c>
      <c r="AI1428" s="145" t="s">
        <v>400</v>
      </c>
      <c r="AJ1428" s="145" t="s">
        <v>400</v>
      </c>
      <c r="AK1428" s="145">
        <v>860.42</v>
      </c>
      <c r="AL1428" s="145">
        <v>0.9</v>
      </c>
      <c r="AM1428" s="145" t="s">
        <v>400</v>
      </c>
    </row>
    <row r="1429" spans="1:39">
      <c r="A1429" s="143" t="s">
        <v>2489</v>
      </c>
      <c r="B1429" s="144">
        <v>100</v>
      </c>
      <c r="C1429" s="145">
        <v>302</v>
      </c>
      <c r="D1429" s="145">
        <v>25.96</v>
      </c>
      <c r="E1429" s="145">
        <v>20.03</v>
      </c>
      <c r="F1429" s="145">
        <v>12.67</v>
      </c>
      <c r="G1429" s="145">
        <v>5.73</v>
      </c>
      <c r="H1429" s="145">
        <v>0.63</v>
      </c>
      <c r="I1429" s="145">
        <v>0.45</v>
      </c>
      <c r="J1429" s="145">
        <v>0.18</v>
      </c>
      <c r="K1429" s="145">
        <v>54</v>
      </c>
      <c r="L1429" s="145">
        <v>3.83</v>
      </c>
      <c r="M1429" s="145" t="s">
        <v>400</v>
      </c>
      <c r="N1429" s="145">
        <v>731</v>
      </c>
      <c r="O1429" s="145">
        <v>26</v>
      </c>
      <c r="P1429" s="145">
        <v>0.01</v>
      </c>
      <c r="Q1429" s="145">
        <v>524</v>
      </c>
      <c r="R1429" s="145">
        <v>0.25</v>
      </c>
      <c r="S1429" s="145">
        <v>528</v>
      </c>
      <c r="T1429" s="145">
        <v>95</v>
      </c>
      <c r="U1429" s="145">
        <v>0.03</v>
      </c>
      <c r="V1429" s="145">
        <v>3.13</v>
      </c>
      <c r="W1429" s="145">
        <v>133</v>
      </c>
      <c r="X1429" s="145">
        <v>0.1</v>
      </c>
      <c r="Y1429" s="145">
        <v>0.33</v>
      </c>
      <c r="Z1429" s="145">
        <v>0.08</v>
      </c>
      <c r="AA1429" s="145">
        <v>0.12</v>
      </c>
      <c r="AB1429" s="145" t="s">
        <v>400</v>
      </c>
      <c r="AC1429" s="145">
        <v>10.17</v>
      </c>
      <c r="AD1429" s="145">
        <v>2.31</v>
      </c>
      <c r="AE1429" s="145">
        <v>10</v>
      </c>
      <c r="AF1429" s="145">
        <v>0.16</v>
      </c>
      <c r="AG1429" s="145">
        <v>0.37</v>
      </c>
      <c r="AH1429" s="145">
        <v>0.41</v>
      </c>
      <c r="AI1429" s="145" t="s">
        <v>400</v>
      </c>
      <c r="AJ1429" s="145">
        <v>16.3</v>
      </c>
      <c r="AK1429" s="145">
        <v>136.66999999999999</v>
      </c>
      <c r="AL1429" s="145">
        <v>0.78</v>
      </c>
      <c r="AM1429" s="145" t="s">
        <v>400</v>
      </c>
    </row>
    <row r="1430" spans="1:39">
      <c r="A1430" s="143" t="s">
        <v>2490</v>
      </c>
      <c r="B1430" s="144">
        <v>100</v>
      </c>
      <c r="C1430" s="145">
        <v>302</v>
      </c>
      <c r="D1430" s="145">
        <v>25.96</v>
      </c>
      <c r="E1430" s="145">
        <v>20.03</v>
      </c>
      <c r="F1430" s="145">
        <v>12.67</v>
      </c>
      <c r="G1430" s="145">
        <v>5.73</v>
      </c>
      <c r="H1430" s="145">
        <v>0.63</v>
      </c>
      <c r="I1430" s="145">
        <v>0.45</v>
      </c>
      <c r="J1430" s="145">
        <v>0.18</v>
      </c>
      <c r="K1430" s="145">
        <v>54</v>
      </c>
      <c r="L1430" s="145">
        <v>3.83</v>
      </c>
      <c r="M1430" s="145" t="s">
        <v>400</v>
      </c>
      <c r="N1430" s="145">
        <v>731</v>
      </c>
      <c r="O1430" s="145">
        <v>26</v>
      </c>
      <c r="P1430" s="145">
        <v>0.01</v>
      </c>
      <c r="Q1430" s="145">
        <v>524</v>
      </c>
      <c r="R1430" s="145">
        <v>0.25</v>
      </c>
      <c r="S1430" s="145">
        <v>528</v>
      </c>
      <c r="T1430" s="145">
        <v>95</v>
      </c>
      <c r="U1430" s="145">
        <v>0.03</v>
      </c>
      <c r="V1430" s="145">
        <v>3.13</v>
      </c>
      <c r="W1430" s="145">
        <v>133</v>
      </c>
      <c r="X1430" s="145">
        <v>0.1</v>
      </c>
      <c r="Y1430" s="145">
        <v>0.33</v>
      </c>
      <c r="Z1430" s="145">
        <v>0.08</v>
      </c>
      <c r="AA1430" s="145">
        <v>0.12</v>
      </c>
      <c r="AB1430" s="145" t="s">
        <v>400</v>
      </c>
      <c r="AC1430" s="145">
        <v>10.17</v>
      </c>
      <c r="AD1430" s="145">
        <v>2.31</v>
      </c>
      <c r="AE1430" s="145">
        <v>10</v>
      </c>
      <c r="AF1430" s="145">
        <v>0.16</v>
      </c>
      <c r="AG1430" s="145">
        <v>0.37</v>
      </c>
      <c r="AH1430" s="145">
        <v>0.41</v>
      </c>
      <c r="AI1430" s="145" t="s">
        <v>400</v>
      </c>
      <c r="AJ1430" s="145">
        <v>16.3</v>
      </c>
      <c r="AK1430" s="145">
        <v>136.66999999999999</v>
      </c>
      <c r="AL1430" s="145">
        <v>0.78</v>
      </c>
      <c r="AM1430" s="145" t="s">
        <v>400</v>
      </c>
    </row>
    <row r="1431" spans="1:39">
      <c r="A1431" s="143" t="s">
        <v>2491</v>
      </c>
      <c r="B1431" s="144">
        <v>100</v>
      </c>
      <c r="C1431" s="145">
        <v>302</v>
      </c>
      <c r="D1431" s="145">
        <v>25.96</v>
      </c>
      <c r="E1431" s="145">
        <v>20.03</v>
      </c>
      <c r="F1431" s="145">
        <v>12.67</v>
      </c>
      <c r="G1431" s="145">
        <v>5.73</v>
      </c>
      <c r="H1431" s="145">
        <v>0.63</v>
      </c>
      <c r="I1431" s="145">
        <v>0.45</v>
      </c>
      <c r="J1431" s="145">
        <v>0.18</v>
      </c>
      <c r="K1431" s="145">
        <v>54</v>
      </c>
      <c r="L1431" s="145">
        <v>3.83</v>
      </c>
      <c r="M1431" s="145" t="s">
        <v>400</v>
      </c>
      <c r="N1431" s="145">
        <v>731</v>
      </c>
      <c r="O1431" s="145">
        <v>26</v>
      </c>
      <c r="P1431" s="145">
        <v>0.01</v>
      </c>
      <c r="Q1431" s="145">
        <v>524</v>
      </c>
      <c r="R1431" s="145">
        <v>0.25</v>
      </c>
      <c r="S1431" s="145">
        <v>528</v>
      </c>
      <c r="T1431" s="145">
        <v>95</v>
      </c>
      <c r="U1431" s="145">
        <v>0.03</v>
      </c>
      <c r="V1431" s="145">
        <v>3.13</v>
      </c>
      <c r="W1431" s="145">
        <v>133</v>
      </c>
      <c r="X1431" s="145">
        <v>0.1</v>
      </c>
      <c r="Y1431" s="145">
        <v>0.33</v>
      </c>
      <c r="Z1431" s="145">
        <v>0.08</v>
      </c>
      <c r="AA1431" s="145">
        <v>0.12</v>
      </c>
      <c r="AB1431" s="145" t="s">
        <v>400</v>
      </c>
      <c r="AC1431" s="145">
        <v>10.17</v>
      </c>
      <c r="AD1431" s="145">
        <v>2.31</v>
      </c>
      <c r="AE1431" s="145">
        <v>10</v>
      </c>
      <c r="AF1431" s="145">
        <v>0.16</v>
      </c>
      <c r="AG1431" s="145">
        <v>0.37</v>
      </c>
      <c r="AH1431" s="145">
        <v>0.41</v>
      </c>
      <c r="AI1431" s="145" t="s">
        <v>400</v>
      </c>
      <c r="AJ1431" s="145">
        <v>16.3</v>
      </c>
      <c r="AK1431" s="145">
        <v>136.66999999999999</v>
      </c>
      <c r="AL1431" s="145">
        <v>0.78</v>
      </c>
      <c r="AM1431" s="145" t="s">
        <v>400</v>
      </c>
    </row>
    <row r="1432" spans="1:39">
      <c r="A1432" s="143" t="s">
        <v>2492</v>
      </c>
      <c r="B1432" s="144">
        <v>100</v>
      </c>
      <c r="C1432" s="145">
        <v>318</v>
      </c>
      <c r="D1432" s="145">
        <v>21.6</v>
      </c>
      <c r="E1432" s="145">
        <v>24.64</v>
      </c>
      <c r="F1432" s="145">
        <v>15.561</v>
      </c>
      <c r="G1432" s="145">
        <v>7.0270000000000001</v>
      </c>
      <c r="H1432" s="145">
        <v>0.77800000000000002</v>
      </c>
      <c r="I1432" s="145">
        <v>0.56599999999999995</v>
      </c>
      <c r="J1432" s="145">
        <v>0.21199999999999999</v>
      </c>
      <c r="K1432" s="145">
        <v>89</v>
      </c>
      <c r="L1432" s="145">
        <v>2.4700000000000002</v>
      </c>
      <c r="M1432" s="145" t="s">
        <v>400</v>
      </c>
      <c r="N1432" s="145">
        <v>575</v>
      </c>
      <c r="O1432" s="145">
        <v>21</v>
      </c>
      <c r="P1432" s="145">
        <v>8.9999999999999993E-3</v>
      </c>
      <c r="Q1432" s="145">
        <v>412</v>
      </c>
      <c r="R1432" s="145">
        <v>0.2</v>
      </c>
      <c r="S1432" s="145">
        <v>415</v>
      </c>
      <c r="T1432" s="145">
        <v>75</v>
      </c>
      <c r="U1432" s="145">
        <v>2.1999999999999999E-2</v>
      </c>
      <c r="V1432" s="145">
        <v>2.46</v>
      </c>
      <c r="W1432" s="145">
        <v>192</v>
      </c>
      <c r="X1432" s="145">
        <v>1.6E-2</v>
      </c>
      <c r="Y1432" s="145">
        <v>0.27</v>
      </c>
      <c r="Z1432" s="146">
        <v>6.2E-2</v>
      </c>
      <c r="AA1432" s="145">
        <v>9.4E-2</v>
      </c>
      <c r="AB1432" s="145" t="s">
        <v>400</v>
      </c>
      <c r="AC1432" s="145">
        <v>5.1269999999999998</v>
      </c>
      <c r="AD1432" s="145">
        <v>0.73</v>
      </c>
      <c r="AE1432" s="145">
        <v>8</v>
      </c>
      <c r="AF1432" s="145">
        <v>0.16</v>
      </c>
      <c r="AG1432" s="145">
        <v>0.21</v>
      </c>
      <c r="AH1432" s="145">
        <v>0.59</v>
      </c>
      <c r="AI1432" s="145" t="s">
        <v>400</v>
      </c>
      <c r="AJ1432" s="145">
        <v>16.100000000000001</v>
      </c>
      <c r="AK1432" s="145">
        <v>197.25</v>
      </c>
      <c r="AL1432" s="145">
        <v>2.4700000000000002</v>
      </c>
      <c r="AM1432" s="145" t="s">
        <v>400</v>
      </c>
    </row>
    <row r="1433" spans="1:39">
      <c r="A1433" s="143" t="s">
        <v>2493</v>
      </c>
      <c r="B1433" s="144">
        <v>100</v>
      </c>
      <c r="C1433" s="145">
        <v>318</v>
      </c>
      <c r="D1433" s="145">
        <v>21.6</v>
      </c>
      <c r="E1433" s="145">
        <v>24.64</v>
      </c>
      <c r="F1433" s="145">
        <v>15.561</v>
      </c>
      <c r="G1433" s="145">
        <v>7.0270000000000001</v>
      </c>
      <c r="H1433" s="145">
        <v>0.77800000000000002</v>
      </c>
      <c r="I1433" s="145">
        <v>0.56599999999999995</v>
      </c>
      <c r="J1433" s="145">
        <v>0.21199999999999999</v>
      </c>
      <c r="K1433" s="145">
        <v>89</v>
      </c>
      <c r="L1433" s="145">
        <v>2.4700000000000002</v>
      </c>
      <c r="M1433" s="145" t="s">
        <v>400</v>
      </c>
      <c r="N1433" s="145">
        <v>575</v>
      </c>
      <c r="O1433" s="145">
        <v>21</v>
      </c>
      <c r="P1433" s="145">
        <v>8.9999999999999993E-3</v>
      </c>
      <c r="Q1433" s="145">
        <v>412</v>
      </c>
      <c r="R1433" s="145">
        <v>0.2</v>
      </c>
      <c r="S1433" s="145">
        <v>415</v>
      </c>
      <c r="T1433" s="145">
        <v>75</v>
      </c>
      <c r="U1433" s="145">
        <v>2.1999999999999999E-2</v>
      </c>
      <c r="V1433" s="145">
        <v>2.46</v>
      </c>
      <c r="W1433" s="145">
        <v>192</v>
      </c>
      <c r="X1433" s="145">
        <v>1.6E-2</v>
      </c>
      <c r="Y1433" s="145">
        <v>0.27</v>
      </c>
      <c r="Z1433" s="146">
        <v>6.2E-2</v>
      </c>
      <c r="AA1433" s="145">
        <v>9.4E-2</v>
      </c>
      <c r="AB1433" s="145" t="s">
        <v>400</v>
      </c>
      <c r="AC1433" s="145">
        <v>5.1269999999999998</v>
      </c>
      <c r="AD1433" s="145">
        <v>0.73</v>
      </c>
      <c r="AE1433" s="145">
        <v>8</v>
      </c>
      <c r="AF1433" s="145">
        <v>0.16</v>
      </c>
      <c r="AG1433" s="145">
        <v>0.21</v>
      </c>
      <c r="AH1433" s="145">
        <v>0.59</v>
      </c>
      <c r="AI1433" s="145" t="s">
        <v>400</v>
      </c>
      <c r="AJ1433" s="145">
        <v>16.100000000000001</v>
      </c>
      <c r="AK1433" s="145">
        <v>197.25</v>
      </c>
      <c r="AL1433" s="145">
        <v>2.4700000000000002</v>
      </c>
      <c r="AM1433" s="145" t="s">
        <v>400</v>
      </c>
    </row>
    <row r="1434" spans="1:39">
      <c r="A1434" s="143" t="s">
        <v>2494</v>
      </c>
      <c r="B1434" s="144">
        <v>100</v>
      </c>
      <c r="C1434" s="145">
        <v>318</v>
      </c>
      <c r="D1434" s="145">
        <v>21.6</v>
      </c>
      <c r="E1434" s="145">
        <v>24.64</v>
      </c>
      <c r="F1434" s="145">
        <v>15.561</v>
      </c>
      <c r="G1434" s="145">
        <v>7.0270000000000001</v>
      </c>
      <c r="H1434" s="145">
        <v>0.77800000000000002</v>
      </c>
      <c r="I1434" s="145">
        <v>0.56599999999999995</v>
      </c>
      <c r="J1434" s="145">
        <v>0.21199999999999999</v>
      </c>
      <c r="K1434" s="145">
        <v>89</v>
      </c>
      <c r="L1434" s="145">
        <v>2.4700000000000002</v>
      </c>
      <c r="M1434" s="145" t="s">
        <v>400</v>
      </c>
      <c r="N1434" s="145">
        <v>575</v>
      </c>
      <c r="O1434" s="145">
        <v>21</v>
      </c>
      <c r="P1434" s="145">
        <v>8.9999999999999993E-3</v>
      </c>
      <c r="Q1434" s="145">
        <v>412</v>
      </c>
      <c r="R1434" s="145">
        <v>0.2</v>
      </c>
      <c r="S1434" s="145">
        <v>415</v>
      </c>
      <c r="T1434" s="145">
        <v>75</v>
      </c>
      <c r="U1434" s="145">
        <v>2.1999999999999999E-2</v>
      </c>
      <c r="V1434" s="145">
        <v>2.46</v>
      </c>
      <c r="W1434" s="145">
        <v>192</v>
      </c>
      <c r="X1434" s="145">
        <v>1.6E-2</v>
      </c>
      <c r="Y1434" s="145">
        <v>0.27</v>
      </c>
      <c r="Z1434" s="146">
        <v>6.2E-2</v>
      </c>
      <c r="AA1434" s="145">
        <v>9.4E-2</v>
      </c>
      <c r="AB1434" s="145" t="s">
        <v>400</v>
      </c>
      <c r="AC1434" s="145">
        <v>5.1269999999999998</v>
      </c>
      <c r="AD1434" s="145">
        <v>0.73</v>
      </c>
      <c r="AE1434" s="145">
        <v>8</v>
      </c>
      <c r="AF1434" s="145">
        <v>0.16</v>
      </c>
      <c r="AG1434" s="145">
        <v>0.21</v>
      </c>
      <c r="AH1434" s="145">
        <v>0.59</v>
      </c>
      <c r="AI1434" s="145" t="s">
        <v>400</v>
      </c>
      <c r="AJ1434" s="145">
        <v>16.100000000000001</v>
      </c>
      <c r="AK1434" s="145">
        <v>197.25</v>
      </c>
      <c r="AL1434" s="145">
        <v>2.4700000000000002</v>
      </c>
      <c r="AM1434" s="145" t="s">
        <v>400</v>
      </c>
    </row>
    <row r="1435" spans="1:39">
      <c r="A1435" s="143" t="s">
        <v>2495</v>
      </c>
      <c r="B1435" s="144">
        <v>100</v>
      </c>
      <c r="C1435" s="145">
        <v>318</v>
      </c>
      <c r="D1435" s="145">
        <v>21.6</v>
      </c>
      <c r="E1435" s="145">
        <v>24.64</v>
      </c>
      <c r="F1435" s="145">
        <v>15.561</v>
      </c>
      <c r="G1435" s="145">
        <v>7.0270000000000001</v>
      </c>
      <c r="H1435" s="145">
        <v>0.77800000000000002</v>
      </c>
      <c r="I1435" s="145">
        <v>0.56599999999999995</v>
      </c>
      <c r="J1435" s="145">
        <v>0.21199999999999999</v>
      </c>
      <c r="K1435" s="145">
        <v>89</v>
      </c>
      <c r="L1435" s="145">
        <v>2.4700000000000002</v>
      </c>
      <c r="M1435" s="145" t="s">
        <v>400</v>
      </c>
      <c r="N1435" s="145">
        <v>575</v>
      </c>
      <c r="O1435" s="145">
        <v>21</v>
      </c>
      <c r="P1435" s="145">
        <v>8.9999999999999993E-3</v>
      </c>
      <c r="Q1435" s="145">
        <v>412</v>
      </c>
      <c r="R1435" s="145">
        <v>0.2</v>
      </c>
      <c r="S1435" s="145">
        <v>415</v>
      </c>
      <c r="T1435" s="145">
        <v>75</v>
      </c>
      <c r="U1435" s="145">
        <v>2.1999999999999999E-2</v>
      </c>
      <c r="V1435" s="145">
        <v>2.46</v>
      </c>
      <c r="W1435" s="145">
        <v>192</v>
      </c>
      <c r="X1435" s="145">
        <v>1.6E-2</v>
      </c>
      <c r="Y1435" s="145">
        <v>0.27</v>
      </c>
      <c r="Z1435" s="146">
        <v>6.2E-2</v>
      </c>
      <c r="AA1435" s="145">
        <v>9.4E-2</v>
      </c>
      <c r="AB1435" s="145" t="s">
        <v>400</v>
      </c>
      <c r="AC1435" s="145">
        <v>5.1269999999999998</v>
      </c>
      <c r="AD1435" s="145">
        <v>0.73</v>
      </c>
      <c r="AE1435" s="145">
        <v>8</v>
      </c>
      <c r="AF1435" s="145">
        <v>0.16</v>
      </c>
      <c r="AG1435" s="145">
        <v>0.21</v>
      </c>
      <c r="AH1435" s="145">
        <v>0.59</v>
      </c>
      <c r="AI1435" s="145" t="s">
        <v>400</v>
      </c>
      <c r="AJ1435" s="145">
        <v>16.100000000000001</v>
      </c>
      <c r="AK1435" s="145">
        <v>197.25</v>
      </c>
      <c r="AL1435" s="145">
        <v>2.4700000000000002</v>
      </c>
      <c r="AM1435" s="145" t="s">
        <v>400</v>
      </c>
    </row>
    <row r="1436" spans="1:39">
      <c r="A1436" s="143" t="s">
        <v>2496</v>
      </c>
      <c r="B1436" s="144">
        <v>100</v>
      </c>
      <c r="C1436" s="145">
        <v>356</v>
      </c>
      <c r="D1436" s="145">
        <v>24.94</v>
      </c>
      <c r="E1436" s="145">
        <v>27.44</v>
      </c>
      <c r="F1436" s="145">
        <v>17.614000000000001</v>
      </c>
      <c r="G1436" s="145">
        <v>7.7469999999999999</v>
      </c>
      <c r="H1436" s="145">
        <v>0.65700000000000003</v>
      </c>
      <c r="I1436" s="145">
        <v>0.26300000000000001</v>
      </c>
      <c r="J1436" s="145">
        <v>0.39400000000000002</v>
      </c>
      <c r="K1436" s="145">
        <v>114</v>
      </c>
      <c r="L1436" s="145">
        <v>2.2200000000000002</v>
      </c>
      <c r="M1436" s="145" t="s">
        <v>400</v>
      </c>
      <c r="N1436" s="145">
        <v>700</v>
      </c>
      <c r="O1436" s="145">
        <v>29</v>
      </c>
      <c r="P1436" s="145">
        <v>1.0999999999999999E-2</v>
      </c>
      <c r="Q1436" s="145">
        <v>546</v>
      </c>
      <c r="R1436" s="145">
        <v>0.24</v>
      </c>
      <c r="S1436" s="145">
        <v>819</v>
      </c>
      <c r="T1436" s="145">
        <v>121</v>
      </c>
      <c r="U1436" s="145">
        <v>3.5999999999999997E-2</v>
      </c>
      <c r="V1436" s="145">
        <v>3.9</v>
      </c>
      <c r="W1436" s="145">
        <v>164</v>
      </c>
      <c r="X1436" s="145">
        <v>0.03</v>
      </c>
      <c r="Y1436" s="145">
        <v>0.33400000000000002</v>
      </c>
      <c r="Z1436" s="146">
        <v>0.08</v>
      </c>
      <c r="AA1436" s="145">
        <v>6.3E-2</v>
      </c>
      <c r="AB1436" s="145" t="s">
        <v>400</v>
      </c>
      <c r="AC1436" s="145">
        <v>5.93</v>
      </c>
      <c r="AD1436" s="145">
        <v>1.54</v>
      </c>
      <c r="AE1436" s="145">
        <v>21</v>
      </c>
      <c r="AF1436" s="145">
        <v>0.24</v>
      </c>
      <c r="AG1436" s="145">
        <v>0.24</v>
      </c>
      <c r="AH1436" s="145">
        <v>0.65700000000000003</v>
      </c>
      <c r="AI1436" s="145" t="s">
        <v>400</v>
      </c>
      <c r="AJ1436" s="145">
        <v>14.5</v>
      </c>
      <c r="AK1436" s="145">
        <v>164.833</v>
      </c>
      <c r="AL1436" s="145">
        <v>2.2200000000000002</v>
      </c>
      <c r="AM1436" s="145" t="s">
        <v>400</v>
      </c>
    </row>
    <row r="1437" spans="1:39">
      <c r="A1437" s="143" t="s">
        <v>2497</v>
      </c>
      <c r="B1437" s="144">
        <v>100</v>
      </c>
      <c r="C1437" s="145">
        <v>240</v>
      </c>
      <c r="D1437" s="145">
        <v>17.600000000000001</v>
      </c>
      <c r="E1437" s="145">
        <v>14.1</v>
      </c>
      <c r="F1437" s="145">
        <v>8.85</v>
      </c>
      <c r="G1437" s="145">
        <v>4.13</v>
      </c>
      <c r="H1437" s="145">
        <v>0.41</v>
      </c>
      <c r="I1437" s="145">
        <v>0.27</v>
      </c>
      <c r="J1437" s="145">
        <v>0.15</v>
      </c>
      <c r="K1437" s="145">
        <v>53</v>
      </c>
      <c r="L1437" s="145">
        <v>10.6</v>
      </c>
      <c r="M1437" s="145" t="s">
        <v>400</v>
      </c>
      <c r="N1437" s="145">
        <v>529</v>
      </c>
      <c r="O1437" s="145">
        <v>33</v>
      </c>
      <c r="P1437" s="145">
        <v>0.01</v>
      </c>
      <c r="Q1437" s="145">
        <v>829</v>
      </c>
      <c r="R1437" s="145">
        <v>0.2</v>
      </c>
      <c r="S1437" s="145">
        <v>1587</v>
      </c>
      <c r="T1437" s="145">
        <v>330</v>
      </c>
      <c r="U1437" s="145">
        <v>0.03</v>
      </c>
      <c r="V1437" s="145">
        <v>2.36</v>
      </c>
      <c r="W1437" s="145">
        <v>247</v>
      </c>
      <c r="X1437" s="145">
        <v>7.0000000000000007E-2</v>
      </c>
      <c r="Y1437" s="145">
        <v>0.48</v>
      </c>
      <c r="Z1437" s="145">
        <v>0.08</v>
      </c>
      <c r="AA1437" s="145">
        <v>0.18</v>
      </c>
      <c r="AB1437" s="145" t="s">
        <v>400</v>
      </c>
      <c r="AC1437" s="145">
        <v>4.43</v>
      </c>
      <c r="AD1437" s="145">
        <v>1.1100000000000001</v>
      </c>
      <c r="AE1437" s="145">
        <v>18</v>
      </c>
      <c r="AF1437" s="145">
        <v>0.11</v>
      </c>
      <c r="AG1437" s="145">
        <v>0.27</v>
      </c>
      <c r="AH1437" s="145">
        <v>0.78</v>
      </c>
      <c r="AI1437" s="145" t="s">
        <v>400</v>
      </c>
      <c r="AJ1437" s="145">
        <v>12.4</v>
      </c>
      <c r="AK1437" s="145">
        <v>253.83</v>
      </c>
      <c r="AL1437" s="145">
        <v>10.6</v>
      </c>
      <c r="AM1437" s="145" t="s">
        <v>400</v>
      </c>
    </row>
    <row r="1438" spans="1:39">
      <c r="A1438" s="143" t="s">
        <v>2498</v>
      </c>
      <c r="B1438" s="144">
        <v>100</v>
      </c>
      <c r="C1438" s="145">
        <v>318</v>
      </c>
      <c r="D1438" s="145">
        <v>21.6</v>
      </c>
      <c r="E1438" s="145">
        <v>24.64</v>
      </c>
      <c r="F1438" s="145">
        <v>15.561</v>
      </c>
      <c r="G1438" s="145">
        <v>7.0270000000000001</v>
      </c>
      <c r="H1438" s="145">
        <v>0.77800000000000002</v>
      </c>
      <c r="I1438" s="145">
        <v>0.56599999999999995</v>
      </c>
      <c r="J1438" s="145">
        <v>0.21199999999999999</v>
      </c>
      <c r="K1438" s="145">
        <v>89</v>
      </c>
      <c r="L1438" s="145">
        <v>2.4700000000000002</v>
      </c>
      <c r="M1438" s="145" t="s">
        <v>400</v>
      </c>
      <c r="N1438" s="145">
        <v>575</v>
      </c>
      <c r="O1438" s="145">
        <v>21</v>
      </c>
      <c r="P1438" s="145">
        <v>8.9999999999999993E-3</v>
      </c>
      <c r="Q1438" s="145">
        <v>412</v>
      </c>
      <c r="R1438" s="145">
        <v>0.2</v>
      </c>
      <c r="S1438" s="145">
        <v>415</v>
      </c>
      <c r="T1438" s="145">
        <v>75</v>
      </c>
      <c r="U1438" s="145">
        <v>2.1999999999999999E-2</v>
      </c>
      <c r="V1438" s="145">
        <v>2.46</v>
      </c>
      <c r="W1438" s="145">
        <v>192</v>
      </c>
      <c r="X1438" s="145">
        <v>1.6E-2</v>
      </c>
      <c r="Y1438" s="145">
        <v>0.27</v>
      </c>
      <c r="Z1438" s="146">
        <v>6.2E-2</v>
      </c>
      <c r="AA1438" s="145">
        <v>9.4E-2</v>
      </c>
      <c r="AB1438" s="145" t="s">
        <v>400</v>
      </c>
      <c r="AC1438" s="145">
        <v>5.1269999999999998</v>
      </c>
      <c r="AD1438" s="145">
        <v>0.73</v>
      </c>
      <c r="AE1438" s="145">
        <v>8</v>
      </c>
      <c r="AF1438" s="145">
        <v>0.16</v>
      </c>
      <c r="AG1438" s="145">
        <v>0.21</v>
      </c>
      <c r="AH1438" s="145">
        <v>0.59</v>
      </c>
      <c r="AI1438" s="145" t="s">
        <v>400</v>
      </c>
      <c r="AJ1438" s="145">
        <v>16.100000000000001</v>
      </c>
      <c r="AK1438" s="145">
        <v>197.25</v>
      </c>
      <c r="AL1438" s="145">
        <v>2.4700000000000002</v>
      </c>
      <c r="AM1438" s="145" t="s">
        <v>400</v>
      </c>
    </row>
    <row r="1439" spans="1:39">
      <c r="A1439" s="143" t="s">
        <v>2499</v>
      </c>
      <c r="B1439" s="144">
        <v>100</v>
      </c>
      <c r="C1439" s="145">
        <v>240</v>
      </c>
      <c r="D1439" s="145">
        <v>17.600000000000001</v>
      </c>
      <c r="E1439" s="145">
        <v>14.1</v>
      </c>
      <c r="F1439" s="145">
        <v>8.85</v>
      </c>
      <c r="G1439" s="145">
        <v>4.13</v>
      </c>
      <c r="H1439" s="145">
        <v>0.41</v>
      </c>
      <c r="I1439" s="145">
        <v>0.27</v>
      </c>
      <c r="J1439" s="145">
        <v>0.15</v>
      </c>
      <c r="K1439" s="145">
        <v>53</v>
      </c>
      <c r="L1439" s="145">
        <v>10.6</v>
      </c>
      <c r="M1439" s="145" t="s">
        <v>400</v>
      </c>
      <c r="N1439" s="145">
        <v>529</v>
      </c>
      <c r="O1439" s="145">
        <v>33</v>
      </c>
      <c r="P1439" s="145">
        <v>0.01</v>
      </c>
      <c r="Q1439" s="145">
        <v>829</v>
      </c>
      <c r="R1439" s="145">
        <v>0.2</v>
      </c>
      <c r="S1439" s="145">
        <v>1587</v>
      </c>
      <c r="T1439" s="145">
        <v>330</v>
      </c>
      <c r="U1439" s="145">
        <v>0.03</v>
      </c>
      <c r="V1439" s="145">
        <v>2.36</v>
      </c>
      <c r="W1439" s="145">
        <v>247</v>
      </c>
      <c r="X1439" s="145">
        <v>7.0000000000000007E-2</v>
      </c>
      <c r="Y1439" s="145">
        <v>0.48</v>
      </c>
      <c r="Z1439" s="145">
        <v>0.08</v>
      </c>
      <c r="AA1439" s="145">
        <v>0.18</v>
      </c>
      <c r="AB1439" s="145" t="s">
        <v>400</v>
      </c>
      <c r="AC1439" s="145">
        <v>4.43</v>
      </c>
      <c r="AD1439" s="145">
        <v>1.1100000000000001</v>
      </c>
      <c r="AE1439" s="145">
        <v>18</v>
      </c>
      <c r="AF1439" s="145">
        <v>0.11</v>
      </c>
      <c r="AG1439" s="145">
        <v>0.27</v>
      </c>
      <c r="AH1439" s="145">
        <v>0.78</v>
      </c>
      <c r="AI1439" s="145" t="s">
        <v>400</v>
      </c>
      <c r="AJ1439" s="145">
        <v>12.4</v>
      </c>
      <c r="AK1439" s="145">
        <v>253.83</v>
      </c>
      <c r="AL1439" s="145">
        <v>10.6</v>
      </c>
      <c r="AM1439" s="145" t="s">
        <v>400</v>
      </c>
    </row>
    <row r="1440" spans="1:39">
      <c r="A1440" s="143" t="s">
        <v>2500</v>
      </c>
      <c r="B1440" s="144">
        <v>100</v>
      </c>
      <c r="C1440" s="145">
        <v>373</v>
      </c>
      <c r="D1440" s="145">
        <v>24.48</v>
      </c>
      <c r="E1440" s="145">
        <v>30.28</v>
      </c>
      <c r="F1440" s="145">
        <v>19.065999999999999</v>
      </c>
      <c r="G1440" s="145">
        <v>8.7509999999999994</v>
      </c>
      <c r="H1440" s="145">
        <v>0.89900000000000002</v>
      </c>
      <c r="I1440" s="145">
        <v>0.63700000000000001</v>
      </c>
      <c r="J1440" s="145">
        <v>0.26100000000000001</v>
      </c>
      <c r="K1440" s="145">
        <v>89</v>
      </c>
      <c r="L1440" s="145">
        <v>0.68</v>
      </c>
      <c r="M1440" s="145" t="s">
        <v>400</v>
      </c>
      <c r="N1440" s="145">
        <v>746</v>
      </c>
      <c r="O1440" s="145">
        <v>27</v>
      </c>
      <c r="P1440" s="145">
        <v>1.0999999999999999E-2</v>
      </c>
      <c r="Q1440" s="145">
        <v>444</v>
      </c>
      <c r="R1440" s="145">
        <v>0.72</v>
      </c>
      <c r="S1440" s="145">
        <v>536</v>
      </c>
      <c r="T1440" s="145">
        <v>81</v>
      </c>
      <c r="U1440" s="145">
        <v>3.2000000000000001E-2</v>
      </c>
      <c r="V1440" s="145">
        <v>3</v>
      </c>
      <c r="W1440" s="145">
        <v>192</v>
      </c>
      <c r="X1440" s="145">
        <v>1.4999999999999999E-2</v>
      </c>
      <c r="Y1440" s="145">
        <v>0.39</v>
      </c>
      <c r="Z1440" s="146">
        <v>7.9000000000000001E-2</v>
      </c>
      <c r="AA1440" s="145">
        <v>9.2999999999999999E-2</v>
      </c>
      <c r="AB1440" s="145" t="s">
        <v>400</v>
      </c>
      <c r="AC1440" s="145">
        <v>5.343</v>
      </c>
      <c r="AD1440" s="145">
        <v>0.83</v>
      </c>
      <c r="AE1440" s="145">
        <v>18</v>
      </c>
      <c r="AF1440" s="145">
        <v>0.24</v>
      </c>
      <c r="AG1440" s="145">
        <v>0.26</v>
      </c>
      <c r="AH1440" s="145">
        <v>0.72499999999999998</v>
      </c>
      <c r="AI1440" s="145" t="s">
        <v>400</v>
      </c>
      <c r="AJ1440" s="145">
        <v>14.5</v>
      </c>
      <c r="AK1440" s="145">
        <v>198.5</v>
      </c>
      <c r="AL1440" s="145">
        <v>0.68</v>
      </c>
      <c r="AM1440" s="145" t="s">
        <v>400</v>
      </c>
    </row>
    <row r="1441" spans="1:39">
      <c r="A1441" s="143" t="s">
        <v>2501</v>
      </c>
      <c r="B1441" s="144">
        <v>100</v>
      </c>
      <c r="C1441" s="145">
        <v>240</v>
      </c>
      <c r="D1441" s="145">
        <v>17.600000000000001</v>
      </c>
      <c r="E1441" s="145">
        <v>14.1</v>
      </c>
      <c r="F1441" s="145">
        <v>8.85</v>
      </c>
      <c r="G1441" s="145">
        <v>4.13</v>
      </c>
      <c r="H1441" s="145">
        <v>0.41</v>
      </c>
      <c r="I1441" s="145">
        <v>0.27</v>
      </c>
      <c r="J1441" s="145">
        <v>0.15</v>
      </c>
      <c r="K1441" s="145">
        <v>53</v>
      </c>
      <c r="L1441" s="145">
        <v>10.6</v>
      </c>
      <c r="M1441" s="145" t="s">
        <v>400</v>
      </c>
      <c r="N1441" s="145">
        <v>529</v>
      </c>
      <c r="O1441" s="145">
        <v>33</v>
      </c>
      <c r="P1441" s="145">
        <v>0.01</v>
      </c>
      <c r="Q1441" s="145">
        <v>829</v>
      </c>
      <c r="R1441" s="145">
        <v>0.2</v>
      </c>
      <c r="S1441" s="145">
        <v>1587</v>
      </c>
      <c r="T1441" s="145">
        <v>330</v>
      </c>
      <c r="U1441" s="145">
        <v>0.03</v>
      </c>
      <c r="V1441" s="145">
        <v>2.36</v>
      </c>
      <c r="W1441" s="145">
        <v>247</v>
      </c>
      <c r="X1441" s="145">
        <v>7.0000000000000007E-2</v>
      </c>
      <c r="Y1441" s="145">
        <v>0.48</v>
      </c>
      <c r="Z1441" s="145">
        <v>0.08</v>
      </c>
      <c r="AA1441" s="145">
        <v>0.18</v>
      </c>
      <c r="AB1441" s="145" t="s">
        <v>400</v>
      </c>
      <c r="AC1441" s="145">
        <v>4.43</v>
      </c>
      <c r="AD1441" s="145">
        <v>1.1100000000000001</v>
      </c>
      <c r="AE1441" s="145">
        <v>18</v>
      </c>
      <c r="AF1441" s="145">
        <v>0.11</v>
      </c>
      <c r="AG1441" s="145">
        <v>0.27</v>
      </c>
      <c r="AH1441" s="145">
        <v>0.78</v>
      </c>
      <c r="AI1441" s="145" t="s">
        <v>400</v>
      </c>
      <c r="AJ1441" s="145">
        <v>12.4</v>
      </c>
      <c r="AK1441" s="145">
        <v>253.83</v>
      </c>
      <c r="AL1441" s="145">
        <v>10.6</v>
      </c>
      <c r="AM1441" s="145" t="s">
        <v>400</v>
      </c>
    </row>
    <row r="1442" spans="1:39">
      <c r="A1442" s="143" t="s">
        <v>2502</v>
      </c>
      <c r="B1442" s="144">
        <v>100</v>
      </c>
      <c r="C1442" s="145">
        <v>174</v>
      </c>
      <c r="D1442" s="145">
        <v>11.26</v>
      </c>
      <c r="E1442" s="145">
        <v>12.98</v>
      </c>
      <c r="F1442" s="145">
        <v>8.3000000000000007</v>
      </c>
      <c r="G1442" s="145">
        <v>3.63</v>
      </c>
      <c r="H1442" s="145">
        <v>0.39</v>
      </c>
      <c r="I1442" s="145">
        <v>0.27</v>
      </c>
      <c r="J1442" s="145">
        <v>0.11</v>
      </c>
      <c r="K1442" s="145">
        <v>51</v>
      </c>
      <c r="L1442" s="145">
        <v>3.04</v>
      </c>
      <c r="M1442" s="145" t="s">
        <v>400</v>
      </c>
      <c r="N1442" s="145">
        <v>207</v>
      </c>
      <c r="O1442" s="145">
        <v>11</v>
      </c>
      <c r="P1442" s="145">
        <v>0.01</v>
      </c>
      <c r="Q1442" s="145">
        <v>158</v>
      </c>
      <c r="R1442" s="145">
        <v>0.38</v>
      </c>
      <c r="S1442" s="145">
        <v>84</v>
      </c>
      <c r="T1442" s="145">
        <v>105</v>
      </c>
      <c r="U1442" s="145">
        <v>0.02</v>
      </c>
      <c r="V1442" s="145">
        <v>1.1599999999999999</v>
      </c>
      <c r="W1442" s="145">
        <v>117</v>
      </c>
      <c r="X1442" s="145">
        <v>0.01</v>
      </c>
      <c r="Y1442" s="145">
        <v>0.2</v>
      </c>
      <c r="Z1442" s="145">
        <v>0.04</v>
      </c>
      <c r="AA1442" s="145">
        <v>0.1</v>
      </c>
      <c r="AB1442" s="145" t="s">
        <v>400</v>
      </c>
      <c r="AC1442" s="145">
        <v>2.19</v>
      </c>
      <c r="AD1442" s="145">
        <v>0.34</v>
      </c>
      <c r="AE1442" s="145">
        <v>12</v>
      </c>
      <c r="AF1442" s="145">
        <v>0.11</v>
      </c>
      <c r="AG1442" s="145">
        <v>0.11</v>
      </c>
      <c r="AH1442" s="145">
        <v>0.39</v>
      </c>
      <c r="AI1442" s="145" t="s">
        <v>400</v>
      </c>
      <c r="AJ1442" s="145">
        <v>14.5</v>
      </c>
      <c r="AK1442" s="145">
        <v>119.75</v>
      </c>
      <c r="AL1442" s="145">
        <v>2.08</v>
      </c>
      <c r="AM1442" s="145" t="s">
        <v>400</v>
      </c>
    </row>
    <row r="1443" spans="1:39">
      <c r="A1443" s="143" t="s">
        <v>2503</v>
      </c>
      <c r="B1443" s="144">
        <v>100</v>
      </c>
      <c r="C1443" s="145">
        <v>64.051000000000002</v>
      </c>
      <c r="D1443" s="145">
        <v>3.6829999999999998</v>
      </c>
      <c r="E1443" s="145">
        <v>1.6459999999999999</v>
      </c>
      <c r="F1443" s="145">
        <v>0.23799999999999999</v>
      </c>
      <c r="G1443" s="145">
        <v>0.36399999999999999</v>
      </c>
      <c r="H1443" s="145">
        <v>0.92900000000000005</v>
      </c>
      <c r="I1443" s="145">
        <v>0.81899999999999995</v>
      </c>
      <c r="J1443" s="145">
        <v>0.11</v>
      </c>
      <c r="K1443" s="145" t="s">
        <v>400</v>
      </c>
      <c r="L1443" s="145">
        <v>9.0649999999999995</v>
      </c>
      <c r="M1443" s="145">
        <v>1.101</v>
      </c>
      <c r="N1443" s="145">
        <v>26.346</v>
      </c>
      <c r="O1443" s="145">
        <v>23.425999999999998</v>
      </c>
      <c r="P1443" s="145">
        <v>0.16200000000000001</v>
      </c>
      <c r="Q1443" s="145">
        <v>68.933999999999997</v>
      </c>
      <c r="R1443" s="145">
        <v>1.0409999999999999</v>
      </c>
      <c r="S1443" s="145">
        <v>57.598999999999997</v>
      </c>
      <c r="T1443" s="145">
        <v>127.026</v>
      </c>
      <c r="U1443" s="145">
        <v>9.5000000000000001E-2</v>
      </c>
      <c r="V1443" s="145">
        <v>0.22500000000000001</v>
      </c>
      <c r="W1443" s="145" t="s">
        <v>400</v>
      </c>
      <c r="X1443" s="145">
        <v>0.03</v>
      </c>
      <c r="Y1443" s="145">
        <v>9.1999999999999998E-2</v>
      </c>
      <c r="Z1443" s="146">
        <v>9.4E-2</v>
      </c>
      <c r="AA1443" s="145">
        <v>0.89800000000000002</v>
      </c>
      <c r="AB1443" s="145">
        <v>0.312</v>
      </c>
      <c r="AC1443" s="145">
        <v>1.7649999999999999</v>
      </c>
      <c r="AD1443" s="145" t="s">
        <v>400</v>
      </c>
      <c r="AE1443" s="145">
        <v>11.129</v>
      </c>
      <c r="AF1443" s="145" t="s">
        <v>400</v>
      </c>
      <c r="AG1443" s="145">
        <v>6.4000000000000001E-2</v>
      </c>
      <c r="AH1443" s="145" t="s">
        <v>400</v>
      </c>
      <c r="AI1443" s="145" t="s">
        <v>400</v>
      </c>
      <c r="AJ1443" s="145">
        <v>2.589</v>
      </c>
      <c r="AK1443" s="145">
        <v>7.5999999999999998E-2</v>
      </c>
      <c r="AL1443" s="145">
        <v>3.7909999999999999</v>
      </c>
      <c r="AM1443" s="145">
        <v>7.2430000000000003</v>
      </c>
    </row>
    <row r="1444" spans="1:39">
      <c r="A1444" s="143" t="s">
        <v>2504</v>
      </c>
      <c r="B1444" s="144">
        <v>100</v>
      </c>
      <c r="C1444" s="145">
        <v>54</v>
      </c>
      <c r="D1444" s="145">
        <v>3.27</v>
      </c>
      <c r="E1444" s="145">
        <v>1.75</v>
      </c>
      <c r="F1444" s="145">
        <v>0.20499999999999999</v>
      </c>
      <c r="G1444" s="145">
        <v>0.40100000000000002</v>
      </c>
      <c r="H1444" s="145">
        <v>0.96099999999999997</v>
      </c>
      <c r="I1444" s="145">
        <v>0.58399999999999996</v>
      </c>
      <c r="J1444" s="145">
        <v>7.4999999999999997E-2</v>
      </c>
      <c r="K1444" s="145" t="s">
        <v>400</v>
      </c>
      <c r="L1444" s="145">
        <v>6.28</v>
      </c>
      <c r="M1444" s="145">
        <v>0.6</v>
      </c>
      <c r="N1444" s="145">
        <v>25</v>
      </c>
      <c r="O1444" s="145">
        <v>25</v>
      </c>
      <c r="P1444" s="145">
        <v>0.223</v>
      </c>
      <c r="Q1444" s="145">
        <v>52</v>
      </c>
      <c r="R1444" s="145">
        <v>0.64</v>
      </c>
      <c r="S1444" s="145">
        <v>51</v>
      </c>
      <c r="T1444" s="145">
        <v>118</v>
      </c>
      <c r="U1444" s="145">
        <v>0.128</v>
      </c>
      <c r="V1444" s="145">
        <v>0.12</v>
      </c>
      <c r="W1444" s="145" t="s">
        <v>400</v>
      </c>
      <c r="X1444" s="145">
        <v>0.06</v>
      </c>
      <c r="Y1444" s="145">
        <v>6.9000000000000006E-2</v>
      </c>
      <c r="Z1444" s="146">
        <v>7.6999999999999999E-2</v>
      </c>
      <c r="AA1444" s="145">
        <v>0.51300000000000001</v>
      </c>
      <c r="AB1444" s="145" t="s">
        <v>400</v>
      </c>
      <c r="AC1444" s="145">
        <v>1.1459999999999999</v>
      </c>
      <c r="AD1444" s="145" t="s">
        <v>400</v>
      </c>
      <c r="AE1444" s="145">
        <v>18</v>
      </c>
      <c r="AF1444" s="145" t="s">
        <v>400</v>
      </c>
      <c r="AG1444" s="145">
        <v>0.11</v>
      </c>
      <c r="AH1444" s="145" t="s">
        <v>400</v>
      </c>
      <c r="AI1444" s="145" t="s">
        <v>400</v>
      </c>
      <c r="AJ1444" s="145">
        <v>4.8</v>
      </c>
      <c r="AK1444" s="145">
        <v>0.16700000000000001</v>
      </c>
      <c r="AL1444" s="145">
        <v>3.1960000000000002</v>
      </c>
      <c r="AM1444" s="145">
        <v>4.0910000000000002</v>
      </c>
    </row>
    <row r="1445" spans="1:39">
      <c r="A1445" s="143" t="s">
        <v>2505</v>
      </c>
      <c r="B1445" s="144">
        <v>100</v>
      </c>
      <c r="C1445" s="145">
        <v>431</v>
      </c>
      <c r="D1445" s="145">
        <v>38.46</v>
      </c>
      <c r="E1445" s="145">
        <v>28.61</v>
      </c>
      <c r="F1445" s="145">
        <v>17.3</v>
      </c>
      <c r="G1445" s="145">
        <v>8.3800000000000008</v>
      </c>
      <c r="H1445" s="145">
        <v>1.17</v>
      </c>
      <c r="I1445" s="145">
        <v>0.94</v>
      </c>
      <c r="J1445" s="145">
        <v>0.19</v>
      </c>
      <c r="K1445" s="145">
        <v>88</v>
      </c>
      <c r="L1445" s="145">
        <v>4.0599999999999996</v>
      </c>
      <c r="M1445" s="145" t="s">
        <v>400</v>
      </c>
      <c r="N1445" s="145">
        <v>1109</v>
      </c>
      <c r="O1445" s="145">
        <v>38</v>
      </c>
      <c r="P1445" s="145">
        <v>0.09</v>
      </c>
      <c r="Q1445" s="145">
        <v>729</v>
      </c>
      <c r="R1445" s="145">
        <v>0.9</v>
      </c>
      <c r="S1445" s="145">
        <v>1529</v>
      </c>
      <c r="T1445" s="145">
        <v>125</v>
      </c>
      <c r="U1445" s="145">
        <v>0.24</v>
      </c>
      <c r="V1445" s="145">
        <v>3.87</v>
      </c>
      <c r="W1445" s="145">
        <v>117</v>
      </c>
      <c r="X1445" s="145">
        <v>0.03</v>
      </c>
      <c r="Y1445" s="145">
        <v>0.49</v>
      </c>
      <c r="Z1445" s="145">
        <v>0.05</v>
      </c>
      <c r="AA1445" s="145">
        <v>0.11</v>
      </c>
      <c r="AB1445" s="145" t="s">
        <v>400</v>
      </c>
      <c r="AC1445" s="145">
        <v>8.75</v>
      </c>
      <c r="AD1445" s="145">
        <v>2.2599999999999998</v>
      </c>
      <c r="AE1445" s="145">
        <v>10</v>
      </c>
      <c r="AF1445" s="145">
        <v>0.81</v>
      </c>
      <c r="AG1445" s="145">
        <v>0.26</v>
      </c>
      <c r="AH1445" s="145">
        <v>0.72</v>
      </c>
      <c r="AI1445" s="145" t="s">
        <v>400</v>
      </c>
      <c r="AJ1445" s="145">
        <v>17.7</v>
      </c>
      <c r="AK1445" s="145">
        <v>119.58</v>
      </c>
      <c r="AL1445" s="145">
        <v>0.9</v>
      </c>
      <c r="AM1445" s="145" t="s">
        <v>400</v>
      </c>
    </row>
    <row r="1446" spans="1:39">
      <c r="A1446" s="143" t="s">
        <v>2506</v>
      </c>
      <c r="B1446" s="144">
        <v>100</v>
      </c>
      <c r="C1446" s="145">
        <v>351</v>
      </c>
      <c r="D1446" s="145">
        <v>25.58</v>
      </c>
      <c r="E1446" s="145">
        <v>26.62</v>
      </c>
      <c r="F1446" s="145">
        <v>17.077999999999999</v>
      </c>
      <c r="G1446" s="145">
        <v>7.3929999999999998</v>
      </c>
      <c r="H1446" s="145">
        <v>0.76900000000000002</v>
      </c>
      <c r="I1446" s="145">
        <v>0.49399999999999999</v>
      </c>
      <c r="J1446" s="145">
        <v>0.27500000000000002</v>
      </c>
      <c r="K1446" s="145">
        <v>69</v>
      </c>
      <c r="L1446" s="145">
        <v>2.14</v>
      </c>
      <c r="M1446" s="145" t="s">
        <v>400</v>
      </c>
      <c r="N1446" s="145">
        <v>756</v>
      </c>
      <c r="O1446" s="145">
        <v>28</v>
      </c>
      <c r="P1446" s="145">
        <v>0.01</v>
      </c>
      <c r="Q1446" s="145">
        <v>496</v>
      </c>
      <c r="R1446" s="145">
        <v>0.52</v>
      </c>
      <c r="S1446" s="145">
        <v>876</v>
      </c>
      <c r="T1446" s="145">
        <v>138</v>
      </c>
      <c r="U1446" s="145">
        <v>2.5999999999999999E-2</v>
      </c>
      <c r="V1446" s="145">
        <v>3.23</v>
      </c>
      <c r="W1446" s="145">
        <v>230</v>
      </c>
      <c r="X1446" s="145">
        <v>1.9E-2</v>
      </c>
      <c r="Y1446" s="145">
        <v>0.32100000000000001</v>
      </c>
      <c r="Z1446" s="146">
        <v>7.2999999999999995E-2</v>
      </c>
      <c r="AA1446" s="145">
        <v>0.156</v>
      </c>
      <c r="AB1446" s="145" t="s">
        <v>400</v>
      </c>
      <c r="AC1446" s="145">
        <v>5.9059999999999997</v>
      </c>
      <c r="AD1446" s="145">
        <v>1.46</v>
      </c>
      <c r="AE1446" s="145">
        <v>10</v>
      </c>
      <c r="AF1446" s="145">
        <v>0.9</v>
      </c>
      <c r="AG1446" s="145">
        <v>0.23</v>
      </c>
      <c r="AH1446" s="145">
        <v>0.63700000000000001</v>
      </c>
      <c r="AI1446" s="145" t="s">
        <v>400</v>
      </c>
      <c r="AJ1446" s="145">
        <v>14.5</v>
      </c>
      <c r="AK1446" s="145">
        <v>235.667</v>
      </c>
      <c r="AL1446" s="145">
        <v>2.14</v>
      </c>
      <c r="AM1446" s="145" t="s">
        <v>400</v>
      </c>
    </row>
    <row r="1447" spans="1:39">
      <c r="A1447" s="143" t="s">
        <v>2507</v>
      </c>
      <c r="B1447" s="144">
        <v>100</v>
      </c>
      <c r="C1447" s="145">
        <v>349</v>
      </c>
      <c r="D1447" s="145">
        <v>7.55</v>
      </c>
      <c r="E1447" s="145">
        <v>34.869999999999997</v>
      </c>
      <c r="F1447" s="145">
        <v>21.966000000000001</v>
      </c>
      <c r="G1447" s="145">
        <v>9.8379999999999992</v>
      </c>
      <c r="H1447" s="145">
        <v>1.2649999999999999</v>
      </c>
      <c r="I1447" s="145">
        <v>0.77400000000000002</v>
      </c>
      <c r="J1447" s="145">
        <v>0.49099999999999999</v>
      </c>
      <c r="K1447" s="145">
        <v>110</v>
      </c>
      <c r="L1447" s="145">
        <v>2.66</v>
      </c>
      <c r="M1447" s="145" t="s">
        <v>400</v>
      </c>
      <c r="N1447" s="145">
        <v>80</v>
      </c>
      <c r="O1447" s="145">
        <v>6</v>
      </c>
      <c r="P1447" s="145">
        <v>4.0000000000000001E-3</v>
      </c>
      <c r="Q1447" s="145">
        <v>104</v>
      </c>
      <c r="R1447" s="145">
        <v>1.2</v>
      </c>
      <c r="S1447" s="145">
        <v>296</v>
      </c>
      <c r="T1447" s="145">
        <v>119</v>
      </c>
      <c r="U1447" s="145">
        <v>1.6E-2</v>
      </c>
      <c r="V1447" s="145">
        <v>0.54</v>
      </c>
      <c r="W1447" s="145">
        <v>359</v>
      </c>
      <c r="X1447" s="145">
        <v>1.7000000000000001E-2</v>
      </c>
      <c r="Y1447" s="145">
        <v>0.19700000000000001</v>
      </c>
      <c r="Z1447" s="146">
        <v>4.7E-2</v>
      </c>
      <c r="AA1447" s="145">
        <v>0.10100000000000001</v>
      </c>
      <c r="AB1447" s="145" t="s">
        <v>400</v>
      </c>
      <c r="AC1447" s="145">
        <v>1.218</v>
      </c>
      <c r="AD1447" s="145">
        <v>0.42</v>
      </c>
      <c r="AE1447" s="145">
        <v>13</v>
      </c>
      <c r="AF1447" s="145">
        <v>0.27</v>
      </c>
      <c r="AG1447" s="145">
        <v>0.3</v>
      </c>
      <c r="AH1447" s="145">
        <v>1.04</v>
      </c>
      <c r="AI1447" s="145" t="s">
        <v>400</v>
      </c>
      <c r="AJ1447" s="145">
        <v>2.4</v>
      </c>
      <c r="AK1447" s="145">
        <v>366.41699999999997</v>
      </c>
      <c r="AL1447" s="145">
        <v>1.7</v>
      </c>
      <c r="AM1447" s="145" t="s">
        <v>400</v>
      </c>
    </row>
    <row r="1448" spans="1:39">
      <c r="A1448" s="143" t="s">
        <v>2508</v>
      </c>
      <c r="B1448" s="144">
        <v>100</v>
      </c>
      <c r="C1448" s="145">
        <v>231</v>
      </c>
      <c r="D1448" s="145">
        <v>10.6</v>
      </c>
      <c r="E1448" s="145">
        <v>17.600000000000001</v>
      </c>
      <c r="F1448" s="145">
        <v>11.09</v>
      </c>
      <c r="G1448" s="145">
        <v>4.97</v>
      </c>
      <c r="H1448" s="145">
        <v>0.64</v>
      </c>
      <c r="I1448" s="145">
        <v>0.39</v>
      </c>
      <c r="J1448" s="145">
        <v>0.25</v>
      </c>
      <c r="K1448" s="145">
        <v>56</v>
      </c>
      <c r="L1448" s="145">
        <v>7</v>
      </c>
      <c r="M1448" s="145" t="s">
        <v>400</v>
      </c>
      <c r="N1448" s="145">
        <v>112</v>
      </c>
      <c r="O1448" s="145">
        <v>8</v>
      </c>
      <c r="P1448" s="145">
        <v>0.01</v>
      </c>
      <c r="Q1448" s="145">
        <v>146</v>
      </c>
      <c r="R1448" s="145">
        <v>1.68</v>
      </c>
      <c r="S1448" s="145">
        <v>296</v>
      </c>
      <c r="T1448" s="145">
        <v>167</v>
      </c>
      <c r="U1448" s="145">
        <v>0.02</v>
      </c>
      <c r="V1448" s="145">
        <v>0.76</v>
      </c>
      <c r="W1448" s="145">
        <v>352</v>
      </c>
      <c r="X1448" s="145">
        <v>0.02</v>
      </c>
      <c r="Y1448" s="145">
        <v>0.28000000000000003</v>
      </c>
      <c r="Z1448" s="145">
        <v>7.0000000000000007E-2</v>
      </c>
      <c r="AA1448" s="145">
        <v>0.14000000000000001</v>
      </c>
      <c r="AB1448" s="145" t="s">
        <v>400</v>
      </c>
      <c r="AC1448" s="145">
        <v>3.51</v>
      </c>
      <c r="AD1448" s="145">
        <v>0.6</v>
      </c>
      <c r="AE1448" s="145">
        <v>18</v>
      </c>
      <c r="AF1448" s="145">
        <v>0.57999999999999996</v>
      </c>
      <c r="AG1448" s="145">
        <v>0.15</v>
      </c>
      <c r="AH1448" s="145">
        <v>0.5</v>
      </c>
      <c r="AI1448" s="145" t="s">
        <v>400</v>
      </c>
      <c r="AJ1448" s="145">
        <v>4</v>
      </c>
      <c r="AK1448" s="145">
        <v>355.75</v>
      </c>
      <c r="AL1448" s="145">
        <v>7</v>
      </c>
      <c r="AM1448" s="145" t="s">
        <v>400</v>
      </c>
    </row>
    <row r="1449" spans="1:39">
      <c r="A1449" s="143" t="s">
        <v>2509</v>
      </c>
      <c r="B1449" s="144">
        <v>100</v>
      </c>
      <c r="C1449" s="145">
        <v>231</v>
      </c>
      <c r="D1449" s="145">
        <v>10.6</v>
      </c>
      <c r="E1449" s="145">
        <v>17.600000000000001</v>
      </c>
      <c r="F1449" s="145">
        <v>11.09</v>
      </c>
      <c r="G1449" s="145">
        <v>4.97</v>
      </c>
      <c r="H1449" s="145">
        <v>0.64</v>
      </c>
      <c r="I1449" s="145">
        <v>0.39</v>
      </c>
      <c r="J1449" s="145">
        <v>0.25</v>
      </c>
      <c r="K1449" s="145">
        <v>56</v>
      </c>
      <c r="L1449" s="145">
        <v>7</v>
      </c>
      <c r="M1449" s="145" t="s">
        <v>400</v>
      </c>
      <c r="N1449" s="145">
        <v>112</v>
      </c>
      <c r="O1449" s="145">
        <v>8</v>
      </c>
      <c r="P1449" s="145">
        <v>0.01</v>
      </c>
      <c r="Q1449" s="145">
        <v>146</v>
      </c>
      <c r="R1449" s="145">
        <v>1.68</v>
      </c>
      <c r="S1449" s="145">
        <v>296</v>
      </c>
      <c r="T1449" s="145">
        <v>167</v>
      </c>
      <c r="U1449" s="145">
        <v>0.02</v>
      </c>
      <c r="V1449" s="145">
        <v>0.76</v>
      </c>
      <c r="W1449" s="145">
        <v>352</v>
      </c>
      <c r="X1449" s="145">
        <v>0.02</v>
      </c>
      <c r="Y1449" s="145">
        <v>0.28000000000000003</v>
      </c>
      <c r="Z1449" s="145">
        <v>7.0000000000000007E-2</v>
      </c>
      <c r="AA1449" s="145">
        <v>0.14000000000000001</v>
      </c>
      <c r="AB1449" s="145" t="s">
        <v>400</v>
      </c>
      <c r="AC1449" s="145">
        <v>3.51</v>
      </c>
      <c r="AD1449" s="145">
        <v>0.6</v>
      </c>
      <c r="AE1449" s="145">
        <v>18</v>
      </c>
      <c r="AF1449" s="145">
        <v>0.57999999999999996</v>
      </c>
      <c r="AG1449" s="145">
        <v>0.15</v>
      </c>
      <c r="AH1449" s="145">
        <v>0.5</v>
      </c>
      <c r="AI1449" s="145" t="s">
        <v>400</v>
      </c>
      <c r="AJ1449" s="145">
        <v>4</v>
      </c>
      <c r="AK1449" s="145">
        <v>355.75</v>
      </c>
      <c r="AL1449" s="145">
        <v>7</v>
      </c>
      <c r="AM1449" s="145" t="s">
        <v>400</v>
      </c>
    </row>
    <row r="1450" spans="1:39">
      <c r="A1450" s="143" t="s">
        <v>2510</v>
      </c>
      <c r="B1450" s="144">
        <v>100</v>
      </c>
      <c r="C1450" s="145">
        <v>375</v>
      </c>
      <c r="D1450" s="145">
        <v>22.15</v>
      </c>
      <c r="E1450" s="145">
        <v>31.25</v>
      </c>
      <c r="F1450" s="145">
        <v>19.690000000000001</v>
      </c>
      <c r="G1450" s="145">
        <v>8.9499999999999993</v>
      </c>
      <c r="H1450" s="145">
        <v>0.99</v>
      </c>
      <c r="I1450" s="145">
        <v>0.61</v>
      </c>
      <c r="J1450" s="145">
        <v>0.38</v>
      </c>
      <c r="K1450" s="145">
        <v>94</v>
      </c>
      <c r="L1450" s="145">
        <v>1.6</v>
      </c>
      <c r="M1450" s="145" t="s">
        <v>400</v>
      </c>
      <c r="N1450" s="145">
        <v>552</v>
      </c>
      <c r="O1450" s="145">
        <v>27</v>
      </c>
      <c r="P1450" s="145">
        <v>0.01</v>
      </c>
      <c r="Q1450" s="145">
        <v>513</v>
      </c>
      <c r="R1450" s="145">
        <v>0.19</v>
      </c>
      <c r="S1450" s="145">
        <v>1489</v>
      </c>
      <c r="T1450" s="145">
        <v>169</v>
      </c>
      <c r="U1450" s="145">
        <v>0.02</v>
      </c>
      <c r="V1450" s="145">
        <v>2.84</v>
      </c>
      <c r="W1450" s="145">
        <v>247</v>
      </c>
      <c r="X1450" s="145">
        <v>0.03</v>
      </c>
      <c r="Y1450" s="145">
        <v>0.35</v>
      </c>
      <c r="Z1450" s="145">
        <v>7.0000000000000007E-2</v>
      </c>
      <c r="AA1450" s="145">
        <v>7.0000000000000007E-2</v>
      </c>
      <c r="AB1450" s="145" t="s">
        <v>400</v>
      </c>
      <c r="AC1450" s="145">
        <v>5.45</v>
      </c>
      <c r="AD1450" s="145">
        <v>0.7</v>
      </c>
      <c r="AE1450" s="145">
        <v>8</v>
      </c>
      <c r="AF1450" s="145">
        <v>0.21</v>
      </c>
      <c r="AG1450" s="145">
        <v>0.27</v>
      </c>
      <c r="AH1450" s="145">
        <v>0.76</v>
      </c>
      <c r="AI1450" s="145" t="s">
        <v>400</v>
      </c>
      <c r="AJ1450" s="145">
        <v>14.4</v>
      </c>
      <c r="AK1450" s="145">
        <v>253.83</v>
      </c>
      <c r="AL1450" s="145">
        <v>1.29</v>
      </c>
      <c r="AM1450" s="145" t="s">
        <v>400</v>
      </c>
    </row>
    <row r="1451" spans="1:39">
      <c r="A1451" s="143" t="s">
        <v>2511</v>
      </c>
      <c r="B1451" s="144">
        <v>100</v>
      </c>
      <c r="C1451" s="145">
        <v>83.322000000000003</v>
      </c>
      <c r="D1451" s="145">
        <v>3.1819999999999999</v>
      </c>
      <c r="E1451" s="145">
        <v>3.403</v>
      </c>
      <c r="F1451" s="145">
        <v>2.1120000000000001</v>
      </c>
      <c r="G1451" s="145">
        <v>0.99399999999999999</v>
      </c>
      <c r="H1451" s="145">
        <v>0.124</v>
      </c>
      <c r="I1451" s="145">
        <v>7.8E-2</v>
      </c>
      <c r="J1451" s="145">
        <v>4.5999999999999999E-2</v>
      </c>
      <c r="K1451" s="145">
        <v>12.047000000000001</v>
      </c>
      <c r="L1451" s="145">
        <v>10.38</v>
      </c>
      <c r="M1451" s="145">
        <v>0.80300000000000005</v>
      </c>
      <c r="N1451" s="145">
        <v>112.435</v>
      </c>
      <c r="O1451" s="145">
        <v>13.05</v>
      </c>
      <c r="P1451" s="145">
        <v>7.6999999999999999E-2</v>
      </c>
      <c r="Q1451" s="145">
        <v>101.392</v>
      </c>
      <c r="R1451" s="145">
        <v>0.24099999999999999</v>
      </c>
      <c r="S1451" s="145">
        <v>60.232999999999997</v>
      </c>
      <c r="T1451" s="145">
        <v>167.648</v>
      </c>
      <c r="U1451" s="145">
        <v>6.5000000000000002E-2</v>
      </c>
      <c r="V1451" s="145">
        <v>0.41199999999999998</v>
      </c>
      <c r="W1451" s="145">
        <v>26.100999999999999</v>
      </c>
      <c r="X1451" s="145">
        <v>3.6999999999999998E-2</v>
      </c>
      <c r="Y1451" s="145">
        <v>0.16300000000000001</v>
      </c>
      <c r="Z1451" s="146">
        <v>0.04</v>
      </c>
      <c r="AA1451" s="145">
        <v>0.125</v>
      </c>
      <c r="AB1451" s="145">
        <v>0.90300000000000002</v>
      </c>
      <c r="AC1451" s="145">
        <v>0.878</v>
      </c>
      <c r="AD1451" s="145">
        <v>0.33100000000000002</v>
      </c>
      <c r="AE1451" s="145">
        <v>5.0190000000000001</v>
      </c>
      <c r="AF1451" s="145">
        <v>1.004</v>
      </c>
      <c r="AG1451" s="145">
        <v>0.06</v>
      </c>
      <c r="AH1451" s="145">
        <v>0.121</v>
      </c>
      <c r="AI1451" s="145" t="s">
        <v>400</v>
      </c>
      <c r="AJ1451" s="145">
        <v>1.907</v>
      </c>
      <c r="AK1451" s="145">
        <v>26.518999999999998</v>
      </c>
      <c r="AL1451" s="145">
        <v>10.135999999999999</v>
      </c>
      <c r="AM1451" s="145">
        <v>5.0890000000000004</v>
      </c>
    </row>
    <row r="1452" spans="1:39">
      <c r="A1452" s="143" t="s">
        <v>2512</v>
      </c>
      <c r="B1452" s="144">
        <v>100</v>
      </c>
      <c r="C1452" s="145">
        <v>83.322000000000003</v>
      </c>
      <c r="D1452" s="145">
        <v>3.1819999999999999</v>
      </c>
      <c r="E1452" s="145">
        <v>3.403</v>
      </c>
      <c r="F1452" s="145">
        <v>2.1120000000000001</v>
      </c>
      <c r="G1452" s="145">
        <v>0.99399999999999999</v>
      </c>
      <c r="H1452" s="145">
        <v>0.124</v>
      </c>
      <c r="I1452" s="145">
        <v>7.8E-2</v>
      </c>
      <c r="J1452" s="145">
        <v>4.5999999999999999E-2</v>
      </c>
      <c r="K1452" s="145">
        <v>12.047000000000001</v>
      </c>
      <c r="L1452" s="145">
        <v>10.38</v>
      </c>
      <c r="M1452" s="145">
        <v>0.80300000000000005</v>
      </c>
      <c r="N1452" s="145">
        <v>112.435</v>
      </c>
      <c r="O1452" s="145">
        <v>13.05</v>
      </c>
      <c r="P1452" s="145">
        <v>7.6999999999999999E-2</v>
      </c>
      <c r="Q1452" s="145">
        <v>101.392</v>
      </c>
      <c r="R1452" s="145">
        <v>0.24099999999999999</v>
      </c>
      <c r="S1452" s="145">
        <v>60.232999999999997</v>
      </c>
      <c r="T1452" s="145">
        <v>167.648</v>
      </c>
      <c r="U1452" s="145">
        <v>6.5000000000000002E-2</v>
      </c>
      <c r="V1452" s="145">
        <v>0.41199999999999998</v>
      </c>
      <c r="W1452" s="145">
        <v>26.100999999999999</v>
      </c>
      <c r="X1452" s="145">
        <v>3.6999999999999998E-2</v>
      </c>
      <c r="Y1452" s="145">
        <v>0.16300000000000001</v>
      </c>
      <c r="Z1452" s="146">
        <v>0.04</v>
      </c>
      <c r="AA1452" s="145">
        <v>0.125</v>
      </c>
      <c r="AB1452" s="145">
        <v>0.90300000000000002</v>
      </c>
      <c r="AC1452" s="145">
        <v>0.878</v>
      </c>
      <c r="AD1452" s="145">
        <v>0.33100000000000002</v>
      </c>
      <c r="AE1452" s="145">
        <v>5.0190000000000001</v>
      </c>
      <c r="AF1452" s="145">
        <v>1.004</v>
      </c>
      <c r="AG1452" s="145">
        <v>0.06</v>
      </c>
      <c r="AH1452" s="145">
        <v>0.121</v>
      </c>
      <c r="AI1452" s="145" t="s">
        <v>400</v>
      </c>
      <c r="AJ1452" s="145">
        <v>1.907</v>
      </c>
      <c r="AK1452" s="145">
        <v>26.518999999999998</v>
      </c>
      <c r="AL1452" s="145">
        <v>10.135999999999999</v>
      </c>
      <c r="AM1452" s="145">
        <v>5.0890000000000004</v>
      </c>
    </row>
    <row r="1453" spans="1:39">
      <c r="A1453" s="143" t="s">
        <v>2513</v>
      </c>
      <c r="B1453" s="144">
        <v>100</v>
      </c>
      <c r="C1453" s="145">
        <v>83.322000000000003</v>
      </c>
      <c r="D1453" s="145">
        <v>3.1819999999999999</v>
      </c>
      <c r="E1453" s="145">
        <v>3.403</v>
      </c>
      <c r="F1453" s="145">
        <v>2.1120000000000001</v>
      </c>
      <c r="G1453" s="145">
        <v>0.99399999999999999</v>
      </c>
      <c r="H1453" s="145">
        <v>0.124</v>
      </c>
      <c r="I1453" s="145">
        <v>7.8E-2</v>
      </c>
      <c r="J1453" s="145">
        <v>4.5999999999999999E-2</v>
      </c>
      <c r="K1453" s="145">
        <v>12.047000000000001</v>
      </c>
      <c r="L1453" s="145">
        <v>10.38</v>
      </c>
      <c r="M1453" s="145">
        <v>0.80300000000000005</v>
      </c>
      <c r="N1453" s="145">
        <v>112.435</v>
      </c>
      <c r="O1453" s="145">
        <v>13.05</v>
      </c>
      <c r="P1453" s="145">
        <v>7.6999999999999999E-2</v>
      </c>
      <c r="Q1453" s="145">
        <v>101.392</v>
      </c>
      <c r="R1453" s="145">
        <v>0.24099999999999999</v>
      </c>
      <c r="S1453" s="145">
        <v>60.232999999999997</v>
      </c>
      <c r="T1453" s="145">
        <v>167.648</v>
      </c>
      <c r="U1453" s="145">
        <v>6.5000000000000002E-2</v>
      </c>
      <c r="V1453" s="145">
        <v>0.41199999999999998</v>
      </c>
      <c r="W1453" s="145">
        <v>26.100999999999999</v>
      </c>
      <c r="X1453" s="145">
        <v>3.6999999999999998E-2</v>
      </c>
      <c r="Y1453" s="145">
        <v>0.16300000000000001</v>
      </c>
      <c r="Z1453" s="146">
        <v>0.04</v>
      </c>
      <c r="AA1453" s="145">
        <v>0.125</v>
      </c>
      <c r="AB1453" s="145">
        <v>0.90300000000000002</v>
      </c>
      <c r="AC1453" s="145">
        <v>0.878</v>
      </c>
      <c r="AD1453" s="145">
        <v>0.33100000000000002</v>
      </c>
      <c r="AE1453" s="145">
        <v>5.0190000000000001</v>
      </c>
      <c r="AF1453" s="145">
        <v>1.004</v>
      </c>
      <c r="AG1453" s="145">
        <v>0.06</v>
      </c>
      <c r="AH1453" s="145">
        <v>0.121</v>
      </c>
      <c r="AI1453" s="145" t="s">
        <v>400</v>
      </c>
      <c r="AJ1453" s="145">
        <v>1.907</v>
      </c>
      <c r="AK1453" s="145">
        <v>26.518999999999998</v>
      </c>
      <c r="AL1453" s="145">
        <v>10.135999999999999</v>
      </c>
      <c r="AM1453" s="145">
        <v>5.0890000000000004</v>
      </c>
    </row>
    <row r="1454" spans="1:39">
      <c r="A1454" s="143" t="s">
        <v>2514</v>
      </c>
      <c r="B1454" s="144">
        <v>100</v>
      </c>
      <c r="C1454" s="145">
        <v>83.322000000000003</v>
      </c>
      <c r="D1454" s="145">
        <v>3.1819999999999999</v>
      </c>
      <c r="E1454" s="145">
        <v>3.403</v>
      </c>
      <c r="F1454" s="145">
        <v>2.1120000000000001</v>
      </c>
      <c r="G1454" s="145">
        <v>0.99399999999999999</v>
      </c>
      <c r="H1454" s="145">
        <v>0.124</v>
      </c>
      <c r="I1454" s="145">
        <v>7.8E-2</v>
      </c>
      <c r="J1454" s="145">
        <v>4.5999999999999999E-2</v>
      </c>
      <c r="K1454" s="145">
        <v>12.047000000000001</v>
      </c>
      <c r="L1454" s="145">
        <v>10.38</v>
      </c>
      <c r="M1454" s="145">
        <v>0.80300000000000005</v>
      </c>
      <c r="N1454" s="145">
        <v>112.435</v>
      </c>
      <c r="O1454" s="145">
        <v>13.05</v>
      </c>
      <c r="P1454" s="145">
        <v>7.6999999999999999E-2</v>
      </c>
      <c r="Q1454" s="145">
        <v>101.392</v>
      </c>
      <c r="R1454" s="145">
        <v>0.24099999999999999</v>
      </c>
      <c r="S1454" s="145">
        <v>60.232999999999997</v>
      </c>
      <c r="T1454" s="145">
        <v>167.648</v>
      </c>
      <c r="U1454" s="145">
        <v>6.5000000000000002E-2</v>
      </c>
      <c r="V1454" s="145">
        <v>0.41199999999999998</v>
      </c>
      <c r="W1454" s="145">
        <v>26.100999999999999</v>
      </c>
      <c r="X1454" s="145">
        <v>3.6999999999999998E-2</v>
      </c>
      <c r="Y1454" s="145">
        <v>0.16300000000000001</v>
      </c>
      <c r="Z1454" s="146">
        <v>0.04</v>
      </c>
      <c r="AA1454" s="145">
        <v>0.125</v>
      </c>
      <c r="AB1454" s="145">
        <v>0.90300000000000002</v>
      </c>
      <c r="AC1454" s="145">
        <v>0.878</v>
      </c>
      <c r="AD1454" s="145">
        <v>0.33100000000000002</v>
      </c>
      <c r="AE1454" s="145">
        <v>5.0190000000000001</v>
      </c>
      <c r="AF1454" s="145">
        <v>1.004</v>
      </c>
      <c r="AG1454" s="145">
        <v>0.06</v>
      </c>
      <c r="AH1454" s="145">
        <v>0.121</v>
      </c>
      <c r="AI1454" s="145" t="s">
        <v>400</v>
      </c>
      <c r="AJ1454" s="145">
        <v>1.907</v>
      </c>
      <c r="AK1454" s="145">
        <v>26.518999999999998</v>
      </c>
      <c r="AL1454" s="145">
        <v>10.135999999999999</v>
      </c>
      <c r="AM1454" s="145">
        <v>5.0890000000000004</v>
      </c>
    </row>
    <row r="1455" spans="1:39">
      <c r="A1455" s="143" t="s">
        <v>2515</v>
      </c>
      <c r="B1455" s="144">
        <v>100</v>
      </c>
      <c r="C1455" s="145">
        <v>195</v>
      </c>
      <c r="D1455" s="145">
        <v>2.7</v>
      </c>
      <c r="E1455" s="145">
        <v>19.309999999999999</v>
      </c>
      <c r="F1455" s="145">
        <v>12.02</v>
      </c>
      <c r="G1455" s="145">
        <v>5.577</v>
      </c>
      <c r="H1455" s="145">
        <v>0.71699999999999997</v>
      </c>
      <c r="I1455" s="145">
        <v>0.436</v>
      </c>
      <c r="J1455" s="145">
        <v>0.28100000000000003</v>
      </c>
      <c r="K1455" s="145">
        <v>66</v>
      </c>
      <c r="L1455" s="145">
        <v>3.66</v>
      </c>
      <c r="M1455" s="145" t="s">
        <v>400</v>
      </c>
      <c r="N1455" s="145">
        <v>96</v>
      </c>
      <c r="O1455" s="145">
        <v>9</v>
      </c>
      <c r="P1455" s="145">
        <v>1E-3</v>
      </c>
      <c r="Q1455" s="145">
        <v>80</v>
      </c>
      <c r="R1455" s="145">
        <v>0.04</v>
      </c>
      <c r="S1455" s="145">
        <v>40</v>
      </c>
      <c r="T1455" s="145">
        <v>122</v>
      </c>
      <c r="U1455" s="145">
        <v>8.0000000000000002E-3</v>
      </c>
      <c r="V1455" s="145">
        <v>0.27</v>
      </c>
      <c r="W1455" s="145">
        <v>178</v>
      </c>
      <c r="X1455" s="145">
        <v>3.2000000000000001E-2</v>
      </c>
      <c r="Y1455" s="145">
        <v>0.14799999999999999</v>
      </c>
      <c r="Z1455" s="146">
        <v>3.2000000000000001E-2</v>
      </c>
      <c r="AA1455" s="145">
        <v>5.7000000000000002E-2</v>
      </c>
      <c r="AB1455" s="145">
        <v>0.8</v>
      </c>
      <c r="AC1455" s="145">
        <v>0.69</v>
      </c>
      <c r="AD1455" s="145">
        <v>0.22</v>
      </c>
      <c r="AE1455" s="145">
        <v>2</v>
      </c>
      <c r="AF1455" s="145">
        <v>0.67800000000000005</v>
      </c>
      <c r="AG1455" s="145">
        <v>0.55000000000000004</v>
      </c>
      <c r="AH1455" s="145">
        <v>0.68700000000000006</v>
      </c>
      <c r="AI1455" s="145" t="s">
        <v>400</v>
      </c>
      <c r="AJ1455" s="145">
        <v>0.6</v>
      </c>
      <c r="AK1455" s="145">
        <v>181.083</v>
      </c>
      <c r="AL1455" s="145">
        <v>3.7</v>
      </c>
      <c r="AM1455" s="145" t="s">
        <v>400</v>
      </c>
    </row>
    <row r="1456" spans="1:39">
      <c r="A1456" s="143" t="s">
        <v>2516</v>
      </c>
      <c r="B1456" s="144">
        <v>100</v>
      </c>
      <c r="C1456" s="145">
        <v>353</v>
      </c>
      <c r="D1456" s="145">
        <v>21.4</v>
      </c>
      <c r="E1456" s="145">
        <v>28.74</v>
      </c>
      <c r="F1456" s="145">
        <v>18.669</v>
      </c>
      <c r="G1456" s="145">
        <v>7.7779999999999996</v>
      </c>
      <c r="H1456" s="145">
        <v>0.8</v>
      </c>
      <c r="I1456" s="145">
        <v>0.53600000000000003</v>
      </c>
      <c r="J1456" s="145">
        <v>0.26400000000000001</v>
      </c>
      <c r="K1456" s="145">
        <v>75</v>
      </c>
      <c r="L1456" s="145">
        <v>2.34</v>
      </c>
      <c r="M1456" s="145" t="s">
        <v>400</v>
      </c>
      <c r="N1456" s="145">
        <v>528</v>
      </c>
      <c r="O1456" s="145">
        <v>23</v>
      </c>
      <c r="P1456" s="145">
        <v>8.9999999999999993E-3</v>
      </c>
      <c r="Q1456" s="145">
        <v>387</v>
      </c>
      <c r="R1456" s="145">
        <v>0.31</v>
      </c>
      <c r="S1456" s="145">
        <v>1395</v>
      </c>
      <c r="T1456" s="145">
        <v>256</v>
      </c>
      <c r="U1456" s="145">
        <v>0.04</v>
      </c>
      <c r="V1456" s="145">
        <v>2.66</v>
      </c>
      <c r="W1456" s="145">
        <v>192</v>
      </c>
      <c r="X1456" s="145">
        <v>2.9000000000000001E-2</v>
      </c>
      <c r="Y1456" s="145">
        <v>0.38200000000000001</v>
      </c>
      <c r="Z1456" s="146">
        <v>0.16600000000000001</v>
      </c>
      <c r="AA1456" s="145">
        <v>1.016</v>
      </c>
      <c r="AB1456" s="145" t="s">
        <v>400</v>
      </c>
      <c r="AC1456" s="145">
        <v>6.2160000000000002</v>
      </c>
      <c r="AD1456" s="145">
        <v>1.22</v>
      </c>
      <c r="AE1456" s="145">
        <v>36</v>
      </c>
      <c r="AF1456" s="145">
        <v>0.23</v>
      </c>
      <c r="AG1456" s="145">
        <v>0.25</v>
      </c>
      <c r="AH1456" s="145">
        <v>0.69</v>
      </c>
      <c r="AI1456" s="145" t="s">
        <v>400</v>
      </c>
      <c r="AJ1456" s="145">
        <v>14.5</v>
      </c>
      <c r="AK1456" s="145">
        <v>198.167</v>
      </c>
      <c r="AL1456" s="145">
        <v>2.34</v>
      </c>
      <c r="AM1456" s="145" t="s">
        <v>400</v>
      </c>
    </row>
    <row r="1457" spans="1:39">
      <c r="A1457" s="143" t="s">
        <v>2517</v>
      </c>
      <c r="B1457" s="144">
        <v>100</v>
      </c>
      <c r="C1457" s="145">
        <v>61</v>
      </c>
      <c r="D1457" s="145">
        <v>6.55</v>
      </c>
      <c r="E1457" s="145">
        <v>3.69</v>
      </c>
      <c r="F1457" s="145">
        <v>0.53</v>
      </c>
      <c r="G1457" s="145">
        <v>0.81</v>
      </c>
      <c r="H1457" s="145">
        <v>2.08</v>
      </c>
      <c r="I1457" s="145">
        <v>1.84</v>
      </c>
      <c r="J1457" s="145">
        <v>0.25</v>
      </c>
      <c r="K1457" s="145" t="s">
        <v>400</v>
      </c>
      <c r="L1457" s="145">
        <v>1.8</v>
      </c>
      <c r="M1457" s="145">
        <v>0.2</v>
      </c>
      <c r="N1457" s="145">
        <v>111</v>
      </c>
      <c r="O1457" s="145">
        <v>27</v>
      </c>
      <c r="P1457" s="145">
        <v>0.39</v>
      </c>
      <c r="Q1457" s="145">
        <v>92</v>
      </c>
      <c r="R1457" s="145">
        <v>1.1100000000000001</v>
      </c>
      <c r="S1457" s="145">
        <v>8</v>
      </c>
      <c r="T1457" s="145">
        <v>120</v>
      </c>
      <c r="U1457" s="145">
        <v>0.16</v>
      </c>
      <c r="V1457" s="145">
        <v>0.64</v>
      </c>
      <c r="W1457" s="145" t="s">
        <v>400</v>
      </c>
      <c r="X1457" s="145">
        <v>0.05</v>
      </c>
      <c r="Y1457" s="145">
        <v>0.04</v>
      </c>
      <c r="Z1457" s="145">
        <v>0.05</v>
      </c>
      <c r="AA1457" s="145">
        <v>0.54</v>
      </c>
      <c r="AB1457" s="145">
        <v>0.2</v>
      </c>
      <c r="AC1457" s="145">
        <v>2.2400000000000002</v>
      </c>
      <c r="AD1457" s="145" t="s">
        <v>400</v>
      </c>
      <c r="AE1457" s="145">
        <v>44</v>
      </c>
      <c r="AF1457" s="145" t="s">
        <v>400</v>
      </c>
      <c r="AG1457" s="145">
        <v>0.01</v>
      </c>
      <c r="AH1457" s="145" t="s">
        <v>400</v>
      </c>
      <c r="AI1457" s="145" t="s">
        <v>400</v>
      </c>
      <c r="AJ1457" s="145">
        <v>8.9</v>
      </c>
      <c r="AK1457" s="145">
        <v>0.33</v>
      </c>
      <c r="AL1457" s="145">
        <v>0.2</v>
      </c>
      <c r="AM1457" s="145" t="s">
        <v>400</v>
      </c>
    </row>
    <row r="1458" spans="1:39">
      <c r="A1458" s="143" t="s">
        <v>2518</v>
      </c>
      <c r="B1458" s="144">
        <v>100</v>
      </c>
      <c r="C1458" s="145">
        <v>408.33100000000002</v>
      </c>
      <c r="D1458" s="145">
        <v>32.847999999999999</v>
      </c>
      <c r="E1458" s="145">
        <v>13.215999999999999</v>
      </c>
      <c r="F1458" s="145">
        <v>1.9119999999999999</v>
      </c>
      <c r="G1458" s="145">
        <v>2.915</v>
      </c>
      <c r="H1458" s="145">
        <v>7.4550000000000001</v>
      </c>
      <c r="I1458" s="145">
        <v>6.5720000000000001</v>
      </c>
      <c r="J1458" s="145">
        <v>0.88100000000000001</v>
      </c>
      <c r="K1458" s="145" t="s">
        <v>400</v>
      </c>
      <c r="L1458" s="145">
        <v>42.128</v>
      </c>
      <c r="M1458" s="145">
        <v>9.1839999999999993</v>
      </c>
      <c r="N1458" s="145">
        <v>182.41</v>
      </c>
      <c r="O1458" s="145">
        <v>150.63999999999999</v>
      </c>
      <c r="P1458" s="145">
        <v>1.373</v>
      </c>
      <c r="Q1458" s="145">
        <v>484.31299999999999</v>
      </c>
      <c r="R1458" s="145">
        <v>8.9380000000000006</v>
      </c>
      <c r="S1458" s="145">
        <v>1263.1279999999999</v>
      </c>
      <c r="T1458" s="145">
        <v>1003.193</v>
      </c>
      <c r="U1458" s="145">
        <v>0.78</v>
      </c>
      <c r="V1458" s="145">
        <v>2.0529999999999999</v>
      </c>
      <c r="W1458" s="145" t="s">
        <v>400</v>
      </c>
      <c r="X1458" s="145">
        <v>0.253</v>
      </c>
      <c r="Y1458" s="145">
        <v>0.53400000000000003</v>
      </c>
      <c r="Z1458" s="146">
        <v>0.51</v>
      </c>
      <c r="AA1458" s="145">
        <v>2.9209999999999998</v>
      </c>
      <c r="AB1458" s="145">
        <v>2.6440000000000001</v>
      </c>
      <c r="AC1458" s="145">
        <v>10.619</v>
      </c>
      <c r="AD1458" s="145" t="s">
        <v>400</v>
      </c>
      <c r="AE1458" s="145">
        <v>96.381</v>
      </c>
      <c r="AF1458" s="145" t="s">
        <v>400</v>
      </c>
      <c r="AG1458" s="145">
        <v>0.52300000000000002</v>
      </c>
      <c r="AH1458" s="145" t="s">
        <v>400</v>
      </c>
      <c r="AI1458" s="145" t="s">
        <v>400</v>
      </c>
      <c r="AJ1458" s="145">
        <v>14.92</v>
      </c>
      <c r="AK1458" s="145">
        <v>0.61099999999999999</v>
      </c>
      <c r="AL1458" s="145">
        <v>15.986000000000001</v>
      </c>
      <c r="AM1458" s="145">
        <v>23.420999999999999</v>
      </c>
    </row>
    <row r="1459" spans="1:39">
      <c r="A1459" s="143" t="s">
        <v>2519</v>
      </c>
      <c r="B1459" s="144">
        <v>100</v>
      </c>
      <c r="C1459" s="145">
        <v>34.154000000000003</v>
      </c>
      <c r="D1459" s="145">
        <v>3.3849999999999998</v>
      </c>
      <c r="E1459" s="145">
        <v>0.08</v>
      </c>
      <c r="F1459" s="145">
        <v>5.0999999999999997E-2</v>
      </c>
      <c r="G1459" s="145">
        <v>2.1000000000000001E-2</v>
      </c>
      <c r="H1459" s="145">
        <v>3.0000000000000001E-3</v>
      </c>
      <c r="I1459" s="145">
        <v>2E-3</v>
      </c>
      <c r="J1459" s="145">
        <v>1E-3</v>
      </c>
      <c r="K1459" s="145">
        <v>2.0089999999999999</v>
      </c>
      <c r="L1459" s="145">
        <v>4.9820000000000002</v>
      </c>
      <c r="M1459" s="145" t="s">
        <v>400</v>
      </c>
      <c r="N1459" s="145">
        <v>125.56399999999999</v>
      </c>
      <c r="O1459" s="145">
        <v>11.05</v>
      </c>
      <c r="P1459" s="145">
        <v>3.0000000000000001E-3</v>
      </c>
      <c r="Q1459" s="145">
        <v>101.456</v>
      </c>
      <c r="R1459" s="145">
        <v>0.03</v>
      </c>
      <c r="S1459" s="145">
        <v>42.19</v>
      </c>
      <c r="T1459" s="145">
        <v>156.70400000000001</v>
      </c>
      <c r="U1459" s="145">
        <v>1.2999999999999999E-2</v>
      </c>
      <c r="V1459" s="145">
        <v>0.42199999999999999</v>
      </c>
      <c r="W1459" s="145">
        <v>61.274999999999999</v>
      </c>
      <c r="X1459" s="145">
        <v>4.4999999999999998E-2</v>
      </c>
      <c r="Y1459" s="145">
        <v>0.183</v>
      </c>
      <c r="Z1459" s="146">
        <v>3.6999999999999998E-2</v>
      </c>
      <c r="AA1459" s="145">
        <v>9.4E-2</v>
      </c>
      <c r="AB1459" s="145" t="s">
        <v>400</v>
      </c>
      <c r="AC1459" s="145">
        <v>0.76400000000000001</v>
      </c>
      <c r="AD1459" s="145">
        <v>0.53200000000000003</v>
      </c>
      <c r="AE1459" s="145">
        <v>5.0229999999999997</v>
      </c>
      <c r="AF1459" s="145">
        <v>1.03</v>
      </c>
      <c r="AG1459" s="145">
        <v>0.01</v>
      </c>
      <c r="AH1459" s="145">
        <v>3.0000000000000001E-3</v>
      </c>
      <c r="AI1459" s="145" t="s">
        <v>400</v>
      </c>
      <c r="AJ1459" s="145">
        <v>3.1139999999999999</v>
      </c>
      <c r="AK1459" s="145">
        <v>61.274999999999999</v>
      </c>
      <c r="AL1459" s="145">
        <v>5.1130000000000004</v>
      </c>
      <c r="AM1459" s="145" t="s">
        <v>400</v>
      </c>
    </row>
    <row r="1460" spans="1:39">
      <c r="A1460" s="143" t="s">
        <v>2520</v>
      </c>
      <c r="B1460" s="144">
        <v>100</v>
      </c>
      <c r="C1460" s="145">
        <v>42</v>
      </c>
      <c r="D1460" s="145">
        <v>3.37</v>
      </c>
      <c r="E1460" s="145">
        <v>0.97</v>
      </c>
      <c r="F1460" s="145">
        <v>0.63300000000000001</v>
      </c>
      <c r="G1460" s="145">
        <v>0.27700000000000002</v>
      </c>
      <c r="H1460" s="145">
        <v>3.5000000000000003E-2</v>
      </c>
      <c r="I1460" s="145">
        <v>0.03</v>
      </c>
      <c r="J1460" s="145">
        <v>4.0000000000000001E-3</v>
      </c>
      <c r="K1460" s="145">
        <v>5</v>
      </c>
      <c r="L1460" s="145">
        <v>4.99</v>
      </c>
      <c r="M1460" s="145" t="s">
        <v>400</v>
      </c>
      <c r="N1460" s="145">
        <v>119</v>
      </c>
      <c r="O1460" s="145">
        <v>11</v>
      </c>
      <c r="P1460" s="145">
        <v>3.0000000000000001E-3</v>
      </c>
      <c r="Q1460" s="145">
        <v>95</v>
      </c>
      <c r="R1460" s="145">
        <v>0.03</v>
      </c>
      <c r="S1460" s="145">
        <v>44</v>
      </c>
      <c r="T1460" s="145">
        <v>150</v>
      </c>
      <c r="U1460" s="145">
        <v>0.01</v>
      </c>
      <c r="V1460" s="145">
        <v>0.42</v>
      </c>
      <c r="W1460" s="145">
        <v>58</v>
      </c>
      <c r="X1460" s="145">
        <v>0.02</v>
      </c>
      <c r="Y1460" s="145">
        <v>0.185</v>
      </c>
      <c r="Z1460" s="146">
        <v>3.6999999999999998E-2</v>
      </c>
      <c r="AA1460" s="145">
        <v>9.2999999999999999E-2</v>
      </c>
      <c r="AB1460" s="145" t="s">
        <v>400</v>
      </c>
      <c r="AC1460" s="145">
        <v>0.76</v>
      </c>
      <c r="AD1460" s="145">
        <v>0.44</v>
      </c>
      <c r="AE1460" s="145">
        <v>5</v>
      </c>
      <c r="AF1460" s="145">
        <v>1.3</v>
      </c>
      <c r="AG1460" s="145">
        <v>0.01</v>
      </c>
      <c r="AH1460" s="145">
        <v>0.04</v>
      </c>
      <c r="AI1460" s="145" t="s">
        <v>400</v>
      </c>
      <c r="AJ1460" s="145">
        <v>3.3</v>
      </c>
      <c r="AK1460" s="145">
        <v>58.167000000000002</v>
      </c>
      <c r="AL1460" s="145">
        <v>5.2</v>
      </c>
      <c r="AM1460" s="145" t="s">
        <v>400</v>
      </c>
    </row>
    <row r="1461" spans="1:39">
      <c r="A1461" s="143" t="s">
        <v>2521</v>
      </c>
      <c r="B1461" s="144">
        <v>100</v>
      </c>
      <c r="C1461" s="145">
        <v>60.024999999999999</v>
      </c>
      <c r="D1461" s="145">
        <v>3.2210000000000001</v>
      </c>
      <c r="E1461" s="145">
        <v>3.2509999999999999</v>
      </c>
      <c r="F1461" s="145">
        <v>1.8660000000000001</v>
      </c>
      <c r="G1461" s="145">
        <v>0.81200000000000006</v>
      </c>
      <c r="H1461" s="145">
        <v>0.19500000000000001</v>
      </c>
      <c r="I1461" s="145">
        <v>0.12</v>
      </c>
      <c r="J1461" s="145">
        <v>7.4999999999999997E-2</v>
      </c>
      <c r="K1461" s="145">
        <v>10.004</v>
      </c>
      <c r="L1461" s="145">
        <v>4.5220000000000002</v>
      </c>
      <c r="M1461" s="145" t="s">
        <v>400</v>
      </c>
      <c r="N1461" s="145">
        <v>113.047</v>
      </c>
      <c r="O1461" s="145">
        <v>10.004</v>
      </c>
      <c r="P1461" s="145">
        <v>3.0000000000000001E-3</v>
      </c>
      <c r="Q1461" s="145">
        <v>91.037999999999997</v>
      </c>
      <c r="R1461" s="145">
        <v>0.03</v>
      </c>
      <c r="S1461" s="145">
        <v>40.017000000000003</v>
      </c>
      <c r="T1461" s="145">
        <v>143.059</v>
      </c>
      <c r="U1461" s="145">
        <v>1.0999999999999999E-2</v>
      </c>
      <c r="V1461" s="145">
        <v>0.4</v>
      </c>
      <c r="W1461" s="145">
        <v>28.012</v>
      </c>
      <c r="X1461" s="145">
        <v>4.3999999999999997E-2</v>
      </c>
      <c r="Y1461" s="145">
        <v>0.183</v>
      </c>
      <c r="Z1461" s="146">
        <v>3.5999999999999997E-2</v>
      </c>
      <c r="AA1461" s="145">
        <v>0.107</v>
      </c>
      <c r="AB1461" s="145" t="s">
        <v>400</v>
      </c>
      <c r="AC1461" s="145">
        <v>1.3580000000000001</v>
      </c>
      <c r="AD1461" s="145">
        <v>0.44</v>
      </c>
      <c r="AE1461" s="145">
        <v>5.0019999999999998</v>
      </c>
      <c r="AF1461" s="145">
        <v>1</v>
      </c>
      <c r="AG1461" s="145">
        <v>0.06</v>
      </c>
      <c r="AH1461" s="145">
        <v>0.11600000000000001</v>
      </c>
      <c r="AI1461" s="145" t="s">
        <v>400</v>
      </c>
      <c r="AJ1461" s="145">
        <v>3.702</v>
      </c>
      <c r="AK1461" s="145">
        <v>28.428000000000001</v>
      </c>
      <c r="AL1461" s="145">
        <v>5.2619999999999996</v>
      </c>
      <c r="AM1461" s="145" t="s">
        <v>400</v>
      </c>
    </row>
    <row r="1462" spans="1:39">
      <c r="A1462" s="143" t="s">
        <v>2522</v>
      </c>
      <c r="B1462" s="144">
        <v>100</v>
      </c>
      <c r="C1462" s="145">
        <v>102</v>
      </c>
      <c r="D1462" s="145">
        <v>4.37</v>
      </c>
      <c r="E1462" s="145">
        <v>1.08</v>
      </c>
      <c r="F1462" s="145">
        <v>0.69699999999999995</v>
      </c>
      <c r="G1462" s="145">
        <v>0.29699999999999999</v>
      </c>
      <c r="H1462" s="145">
        <v>3.1E-2</v>
      </c>
      <c r="I1462" s="145">
        <v>2.1999999999999999E-2</v>
      </c>
      <c r="J1462" s="145">
        <v>8.9999999999999993E-3</v>
      </c>
      <c r="K1462" s="145">
        <v>4</v>
      </c>
      <c r="L1462" s="145">
        <v>19.05</v>
      </c>
      <c r="M1462" s="145">
        <v>0.29499999999999998</v>
      </c>
      <c r="N1462" s="145">
        <v>152</v>
      </c>
      <c r="O1462" s="145">
        <v>15</v>
      </c>
      <c r="P1462" s="145">
        <v>6.5000000000000002E-2</v>
      </c>
      <c r="Q1462" s="145">
        <v>119</v>
      </c>
      <c r="R1462" s="145">
        <v>7.0000000000000007E-2</v>
      </c>
      <c r="S1462" s="145">
        <v>58</v>
      </c>
      <c r="T1462" s="145">
        <v>195</v>
      </c>
      <c r="U1462" s="145">
        <v>0.08</v>
      </c>
      <c r="V1462" s="145">
        <v>0.74</v>
      </c>
      <c r="W1462" s="145">
        <v>10</v>
      </c>
      <c r="X1462" s="145">
        <v>3.6999999999999998E-2</v>
      </c>
      <c r="Y1462" s="145">
        <v>0.17799999999999999</v>
      </c>
      <c r="Z1462" s="146">
        <v>0.04</v>
      </c>
      <c r="AA1462" s="145">
        <v>9.5000000000000001E-2</v>
      </c>
      <c r="AB1462" s="145">
        <v>0.7</v>
      </c>
      <c r="AC1462" s="145">
        <v>0.51200000000000001</v>
      </c>
      <c r="AD1462" s="145">
        <v>0.47</v>
      </c>
      <c r="AE1462" s="145">
        <v>9</v>
      </c>
      <c r="AF1462" s="145">
        <v>0.01</v>
      </c>
      <c r="AG1462" s="145">
        <v>0.02</v>
      </c>
      <c r="AH1462" s="145">
        <v>0.03</v>
      </c>
      <c r="AI1462" s="145" t="s">
        <v>400</v>
      </c>
      <c r="AJ1462" s="145">
        <v>3.1</v>
      </c>
      <c r="AK1462" s="145">
        <v>10.167</v>
      </c>
      <c r="AL1462" s="145">
        <v>16.41</v>
      </c>
      <c r="AM1462" s="145">
        <v>13.003</v>
      </c>
    </row>
    <row r="1463" spans="1:39">
      <c r="A1463" s="143" t="s">
        <v>2523</v>
      </c>
      <c r="B1463" s="144">
        <v>100</v>
      </c>
      <c r="C1463" s="145">
        <v>51.353999999999999</v>
      </c>
      <c r="D1463" s="145">
        <v>3.1120000000000001</v>
      </c>
      <c r="E1463" s="145">
        <v>2.6539999999999999</v>
      </c>
      <c r="F1463" s="145">
        <v>1.6539999999999999</v>
      </c>
      <c r="G1463" s="145">
        <v>0.77800000000000002</v>
      </c>
      <c r="H1463" s="145">
        <v>8.2000000000000003E-2</v>
      </c>
      <c r="I1463" s="145">
        <v>5.7000000000000002E-2</v>
      </c>
      <c r="J1463" s="145">
        <v>2.5000000000000001E-2</v>
      </c>
      <c r="K1463" s="145">
        <v>10.289</v>
      </c>
      <c r="L1463" s="145">
        <v>3.88</v>
      </c>
      <c r="M1463" s="145">
        <v>8.2000000000000003E-2</v>
      </c>
      <c r="N1463" s="145">
        <v>66.706999999999994</v>
      </c>
      <c r="O1463" s="145">
        <v>6.6859999999999999</v>
      </c>
      <c r="P1463" s="145">
        <v>1.7000000000000001E-2</v>
      </c>
      <c r="Q1463" s="145">
        <v>59.002000000000002</v>
      </c>
      <c r="R1463" s="145">
        <v>5.8000000000000003E-2</v>
      </c>
      <c r="S1463" s="145">
        <v>33.450000000000003</v>
      </c>
      <c r="T1463" s="145">
        <v>85.590999999999994</v>
      </c>
      <c r="U1463" s="145">
        <v>3.1E-2</v>
      </c>
      <c r="V1463" s="145">
        <v>0.27500000000000002</v>
      </c>
      <c r="W1463" s="145">
        <v>50.436999999999998</v>
      </c>
      <c r="X1463" s="145">
        <v>2.9000000000000001E-2</v>
      </c>
      <c r="Y1463" s="145">
        <v>0.114</v>
      </c>
      <c r="Z1463" s="146">
        <v>2.5999999999999999E-2</v>
      </c>
      <c r="AA1463" s="145">
        <v>7.0999999999999994E-2</v>
      </c>
      <c r="AB1463" s="145">
        <v>2.14</v>
      </c>
      <c r="AC1463" s="145">
        <v>0.60599999999999998</v>
      </c>
      <c r="AD1463" s="145">
        <v>0.27400000000000002</v>
      </c>
      <c r="AE1463" s="145">
        <v>4.0060000000000002</v>
      </c>
      <c r="AF1463" s="145">
        <v>0.54100000000000004</v>
      </c>
      <c r="AG1463" s="145">
        <v>8.7999999999999995E-2</v>
      </c>
      <c r="AH1463" s="145">
        <v>9.2999999999999999E-2</v>
      </c>
      <c r="AI1463" s="145" t="s">
        <v>400</v>
      </c>
      <c r="AJ1463" s="145">
        <v>2.11</v>
      </c>
      <c r="AK1463" s="145">
        <v>50.878999999999998</v>
      </c>
      <c r="AL1463" s="145">
        <v>2.9119999999999999</v>
      </c>
      <c r="AM1463" s="145" t="s">
        <v>400</v>
      </c>
    </row>
    <row r="1464" spans="1:39">
      <c r="A1464" s="143" t="s">
        <v>2524</v>
      </c>
      <c r="B1464" s="144">
        <v>100</v>
      </c>
      <c r="C1464" s="145">
        <v>253.685</v>
      </c>
      <c r="D1464" s="145">
        <v>7.8E-2</v>
      </c>
      <c r="E1464" s="145">
        <v>28.524000000000001</v>
      </c>
      <c r="F1464" s="145">
        <v>7.6349999999999998</v>
      </c>
      <c r="G1464" s="145">
        <v>17.477</v>
      </c>
      <c r="H1464" s="145">
        <v>2.1739999999999999</v>
      </c>
      <c r="I1464" s="145">
        <v>2.117</v>
      </c>
      <c r="J1464" s="145">
        <v>5.7000000000000002E-2</v>
      </c>
      <c r="K1464" s="145" t="s">
        <v>400</v>
      </c>
      <c r="L1464" s="145">
        <v>0.26700000000000002</v>
      </c>
      <c r="M1464" s="145" t="s">
        <v>400</v>
      </c>
      <c r="N1464" s="145">
        <v>2.3959999999999999</v>
      </c>
      <c r="O1464" s="145">
        <v>0.65400000000000003</v>
      </c>
      <c r="P1464" s="145">
        <v>1E-3</v>
      </c>
      <c r="Q1464" s="145">
        <v>1.7789999999999999</v>
      </c>
      <c r="R1464" s="145">
        <v>1E-3</v>
      </c>
      <c r="S1464" s="145">
        <v>500.56700000000001</v>
      </c>
      <c r="T1464" s="145">
        <v>6.0730000000000004</v>
      </c>
      <c r="U1464" s="145">
        <v>1.4E-2</v>
      </c>
      <c r="V1464" s="145">
        <v>7.0999999999999994E-2</v>
      </c>
      <c r="W1464" s="145">
        <v>804</v>
      </c>
      <c r="X1464" s="145" t="s">
        <v>400</v>
      </c>
      <c r="Y1464" s="145" t="s">
        <v>400</v>
      </c>
      <c r="Z1464" s="146" t="s">
        <v>400</v>
      </c>
      <c r="AA1464" s="145" t="s">
        <v>400</v>
      </c>
      <c r="AB1464" s="145">
        <v>3.5999999999999997E-2</v>
      </c>
      <c r="AC1464" s="145">
        <v>1.7999999999999999E-2</v>
      </c>
      <c r="AD1464" s="145">
        <v>2.8000000000000001E-2</v>
      </c>
      <c r="AE1464" s="145">
        <v>0.35599999999999998</v>
      </c>
      <c r="AF1464" s="145" t="s">
        <v>400</v>
      </c>
      <c r="AG1464" s="145">
        <v>1.637</v>
      </c>
      <c r="AH1464" s="145">
        <v>3.5369999999999999</v>
      </c>
      <c r="AI1464" s="145" t="s">
        <v>400</v>
      </c>
      <c r="AJ1464" s="145" t="s">
        <v>400</v>
      </c>
      <c r="AK1464" s="145">
        <v>848.66700000000003</v>
      </c>
      <c r="AL1464" s="145">
        <v>0.32</v>
      </c>
      <c r="AM1464" s="145" t="s">
        <v>400</v>
      </c>
    </row>
    <row r="1465" spans="1:39">
      <c r="A1465" s="143" t="s">
        <v>2525</v>
      </c>
      <c r="B1465" s="144">
        <v>100</v>
      </c>
      <c r="C1465" s="145">
        <v>60.024999999999999</v>
      </c>
      <c r="D1465" s="145">
        <v>3.2210000000000001</v>
      </c>
      <c r="E1465" s="145">
        <v>3.2509999999999999</v>
      </c>
      <c r="F1465" s="145">
        <v>1.8660000000000001</v>
      </c>
      <c r="G1465" s="145">
        <v>0.81200000000000006</v>
      </c>
      <c r="H1465" s="145">
        <v>0.19500000000000001</v>
      </c>
      <c r="I1465" s="145">
        <v>0.12</v>
      </c>
      <c r="J1465" s="145">
        <v>7.4999999999999997E-2</v>
      </c>
      <c r="K1465" s="145">
        <v>10.004</v>
      </c>
      <c r="L1465" s="145">
        <v>4.5220000000000002</v>
      </c>
      <c r="M1465" s="145" t="s">
        <v>400</v>
      </c>
      <c r="N1465" s="145">
        <v>113.047</v>
      </c>
      <c r="O1465" s="145">
        <v>10.004</v>
      </c>
      <c r="P1465" s="145">
        <v>3.0000000000000001E-3</v>
      </c>
      <c r="Q1465" s="145">
        <v>91.037999999999997</v>
      </c>
      <c r="R1465" s="145">
        <v>0.03</v>
      </c>
      <c r="S1465" s="145">
        <v>40.017000000000003</v>
      </c>
      <c r="T1465" s="145">
        <v>143.059</v>
      </c>
      <c r="U1465" s="145">
        <v>1.0999999999999999E-2</v>
      </c>
      <c r="V1465" s="145">
        <v>0.4</v>
      </c>
      <c r="W1465" s="145">
        <v>28.012</v>
      </c>
      <c r="X1465" s="145">
        <v>4.3999999999999997E-2</v>
      </c>
      <c r="Y1465" s="145">
        <v>0.183</v>
      </c>
      <c r="Z1465" s="146">
        <v>3.5999999999999997E-2</v>
      </c>
      <c r="AA1465" s="145">
        <v>0.107</v>
      </c>
      <c r="AB1465" s="145" t="s">
        <v>400</v>
      </c>
      <c r="AC1465" s="145">
        <v>1.3580000000000001</v>
      </c>
      <c r="AD1465" s="145">
        <v>0.44</v>
      </c>
      <c r="AE1465" s="145">
        <v>5.0019999999999998</v>
      </c>
      <c r="AF1465" s="145">
        <v>1</v>
      </c>
      <c r="AG1465" s="145">
        <v>0.06</v>
      </c>
      <c r="AH1465" s="145">
        <v>0.11600000000000001</v>
      </c>
      <c r="AI1465" s="145" t="s">
        <v>400</v>
      </c>
      <c r="AJ1465" s="145">
        <v>3.702</v>
      </c>
      <c r="AK1465" s="145">
        <v>28.428000000000001</v>
      </c>
      <c r="AL1465" s="145">
        <v>5.2619999999999996</v>
      </c>
      <c r="AM1465" s="145" t="s">
        <v>400</v>
      </c>
    </row>
    <row r="1466" spans="1:39">
      <c r="A1466" s="143" t="s">
        <v>2526</v>
      </c>
      <c r="B1466" s="144">
        <v>100</v>
      </c>
      <c r="C1466" s="145">
        <v>60.024999999999999</v>
      </c>
      <c r="D1466" s="145">
        <v>3.2210000000000001</v>
      </c>
      <c r="E1466" s="145">
        <v>3.2509999999999999</v>
      </c>
      <c r="F1466" s="145">
        <v>1.8660000000000001</v>
      </c>
      <c r="G1466" s="145">
        <v>0.81200000000000006</v>
      </c>
      <c r="H1466" s="145">
        <v>0.19500000000000001</v>
      </c>
      <c r="I1466" s="145">
        <v>0.12</v>
      </c>
      <c r="J1466" s="145">
        <v>7.4999999999999997E-2</v>
      </c>
      <c r="K1466" s="145">
        <v>10.004</v>
      </c>
      <c r="L1466" s="145">
        <v>4.5220000000000002</v>
      </c>
      <c r="M1466" s="145" t="s">
        <v>400</v>
      </c>
      <c r="N1466" s="145">
        <v>113.047</v>
      </c>
      <c r="O1466" s="145">
        <v>10.004</v>
      </c>
      <c r="P1466" s="145">
        <v>3.0000000000000001E-3</v>
      </c>
      <c r="Q1466" s="145">
        <v>91.037999999999997</v>
      </c>
      <c r="R1466" s="145">
        <v>0.03</v>
      </c>
      <c r="S1466" s="145">
        <v>40.017000000000003</v>
      </c>
      <c r="T1466" s="145">
        <v>143.059</v>
      </c>
      <c r="U1466" s="145">
        <v>1.0999999999999999E-2</v>
      </c>
      <c r="V1466" s="145">
        <v>0.4</v>
      </c>
      <c r="W1466" s="145">
        <v>28.012</v>
      </c>
      <c r="X1466" s="145">
        <v>4.3999999999999997E-2</v>
      </c>
      <c r="Y1466" s="145">
        <v>0.183</v>
      </c>
      <c r="Z1466" s="146">
        <v>3.5999999999999997E-2</v>
      </c>
      <c r="AA1466" s="145">
        <v>0.107</v>
      </c>
      <c r="AB1466" s="145" t="s">
        <v>400</v>
      </c>
      <c r="AC1466" s="145">
        <v>1.3580000000000001</v>
      </c>
      <c r="AD1466" s="145">
        <v>0.44</v>
      </c>
      <c r="AE1466" s="145">
        <v>5.0019999999999998</v>
      </c>
      <c r="AF1466" s="145" t="s">
        <v>400</v>
      </c>
      <c r="AG1466" s="145">
        <v>0.06</v>
      </c>
      <c r="AH1466" s="145">
        <v>0.11600000000000001</v>
      </c>
      <c r="AI1466" s="145" t="s">
        <v>400</v>
      </c>
      <c r="AJ1466" s="145">
        <v>3.702</v>
      </c>
      <c r="AK1466" s="145">
        <v>28.428000000000001</v>
      </c>
      <c r="AL1466" s="145">
        <v>5.2619999999999996</v>
      </c>
      <c r="AM1466" s="145" t="s">
        <v>400</v>
      </c>
    </row>
    <row r="1467" spans="1:39">
      <c r="A1467" s="143" t="s">
        <v>2527</v>
      </c>
      <c r="B1467" s="144">
        <v>100</v>
      </c>
      <c r="C1467" s="145">
        <v>42</v>
      </c>
      <c r="D1467" s="145">
        <v>3.37</v>
      </c>
      <c r="E1467" s="145">
        <v>0.97</v>
      </c>
      <c r="F1467" s="145">
        <v>0.63300000000000001</v>
      </c>
      <c r="G1467" s="145">
        <v>0.27700000000000002</v>
      </c>
      <c r="H1467" s="145">
        <v>3.5000000000000003E-2</v>
      </c>
      <c r="I1467" s="145">
        <v>0.03</v>
      </c>
      <c r="J1467" s="145">
        <v>4.0000000000000001E-3</v>
      </c>
      <c r="K1467" s="145">
        <v>5</v>
      </c>
      <c r="L1467" s="145">
        <v>4.99</v>
      </c>
      <c r="M1467" s="145" t="s">
        <v>400</v>
      </c>
      <c r="N1467" s="145">
        <v>119</v>
      </c>
      <c r="O1467" s="145">
        <v>11</v>
      </c>
      <c r="P1467" s="145">
        <v>3.0000000000000001E-3</v>
      </c>
      <c r="Q1467" s="145">
        <v>95</v>
      </c>
      <c r="R1467" s="145">
        <v>0.03</v>
      </c>
      <c r="S1467" s="145">
        <v>44</v>
      </c>
      <c r="T1467" s="145">
        <v>150</v>
      </c>
      <c r="U1467" s="145">
        <v>0.01</v>
      </c>
      <c r="V1467" s="145">
        <v>0.42</v>
      </c>
      <c r="W1467" s="145">
        <v>58</v>
      </c>
      <c r="X1467" s="145">
        <v>0.02</v>
      </c>
      <c r="Y1467" s="145">
        <v>0.185</v>
      </c>
      <c r="Z1467" s="146">
        <v>3.6999999999999998E-2</v>
      </c>
      <c r="AA1467" s="145">
        <v>9.2999999999999999E-2</v>
      </c>
      <c r="AB1467" s="145" t="s">
        <v>400</v>
      </c>
      <c r="AC1467" s="145">
        <v>0.76</v>
      </c>
      <c r="AD1467" s="145">
        <v>0.44</v>
      </c>
      <c r="AE1467" s="145">
        <v>5</v>
      </c>
      <c r="AF1467" s="145">
        <v>1.3</v>
      </c>
      <c r="AG1467" s="145">
        <v>0.01</v>
      </c>
      <c r="AH1467" s="145">
        <v>0.04</v>
      </c>
      <c r="AI1467" s="145" t="s">
        <v>400</v>
      </c>
      <c r="AJ1467" s="145">
        <v>3.3</v>
      </c>
      <c r="AK1467" s="145">
        <v>58.167000000000002</v>
      </c>
      <c r="AL1467" s="145">
        <v>5.2</v>
      </c>
      <c r="AM1467" s="145" t="s">
        <v>400</v>
      </c>
    </row>
    <row r="1468" spans="1:39">
      <c r="A1468" s="143" t="s">
        <v>2528</v>
      </c>
      <c r="B1468" s="144">
        <v>100</v>
      </c>
      <c r="C1468" s="145">
        <v>292</v>
      </c>
      <c r="D1468" s="145">
        <v>2.17</v>
      </c>
      <c r="E1468" s="145">
        <v>30.91</v>
      </c>
      <c r="F1468" s="145">
        <v>19.337</v>
      </c>
      <c r="G1468" s="145">
        <v>9.093</v>
      </c>
      <c r="H1468" s="145">
        <v>0.88400000000000001</v>
      </c>
      <c r="I1468" s="145">
        <v>0.61799999999999999</v>
      </c>
      <c r="J1468" s="145">
        <v>0.26600000000000001</v>
      </c>
      <c r="K1468" s="145">
        <v>111</v>
      </c>
      <c r="L1468" s="145">
        <v>2.96</v>
      </c>
      <c r="M1468" s="145" t="s">
        <v>400</v>
      </c>
      <c r="N1468" s="145">
        <v>69</v>
      </c>
      <c r="O1468" s="145">
        <v>7</v>
      </c>
      <c r="P1468" s="145">
        <v>1E-3</v>
      </c>
      <c r="Q1468" s="145">
        <v>61</v>
      </c>
      <c r="R1468" s="145">
        <v>0.03</v>
      </c>
      <c r="S1468" s="145">
        <v>34</v>
      </c>
      <c r="T1468" s="145">
        <v>97</v>
      </c>
      <c r="U1468" s="145">
        <v>7.0000000000000001E-3</v>
      </c>
      <c r="V1468" s="145">
        <v>0.25</v>
      </c>
      <c r="W1468" s="145">
        <v>274</v>
      </c>
      <c r="X1468" s="145">
        <v>2.4E-2</v>
      </c>
      <c r="Y1468" s="145">
        <v>0.125</v>
      </c>
      <c r="Z1468" s="146">
        <v>2.8000000000000001E-2</v>
      </c>
      <c r="AA1468" s="145">
        <v>4.2000000000000003E-2</v>
      </c>
      <c r="AB1468" s="145">
        <v>0.6</v>
      </c>
      <c r="AC1468" s="145">
        <v>0.55900000000000005</v>
      </c>
      <c r="AD1468" s="145">
        <v>0.2</v>
      </c>
      <c r="AE1468" s="145">
        <v>4</v>
      </c>
      <c r="AF1468" s="145">
        <v>1.1000000000000001</v>
      </c>
      <c r="AG1468" s="145">
        <v>0.88</v>
      </c>
      <c r="AH1468" s="145">
        <v>1.1000000000000001</v>
      </c>
      <c r="AI1468" s="146" t="s">
        <v>400</v>
      </c>
      <c r="AJ1468" s="145">
        <v>0.5</v>
      </c>
      <c r="AK1468" s="145">
        <v>279</v>
      </c>
      <c r="AL1468" s="145">
        <v>2.8</v>
      </c>
      <c r="AM1468" s="145" t="s">
        <v>400</v>
      </c>
    </row>
    <row r="1469" spans="1:39">
      <c r="A1469" s="143" t="s">
        <v>2529</v>
      </c>
      <c r="B1469" s="144">
        <v>100</v>
      </c>
      <c r="C1469" s="145">
        <v>98.694000000000003</v>
      </c>
      <c r="D1469" s="145">
        <v>3.46</v>
      </c>
      <c r="E1469" s="145">
        <v>3.4660000000000002</v>
      </c>
      <c r="F1469" s="145">
        <v>1.976</v>
      </c>
      <c r="G1469" s="145">
        <v>0.86299999999999999</v>
      </c>
      <c r="H1469" s="145">
        <v>0.218</v>
      </c>
      <c r="I1469" s="145">
        <v>0.13400000000000001</v>
      </c>
      <c r="J1469" s="145">
        <v>8.4000000000000005E-2</v>
      </c>
      <c r="K1469" s="145">
        <v>10.587999999999999</v>
      </c>
      <c r="L1469" s="145">
        <v>14.62</v>
      </c>
      <c r="M1469" s="145">
        <v>2.1320000000000001</v>
      </c>
      <c r="N1469" s="145">
        <v>120.929</v>
      </c>
      <c r="O1469" s="145">
        <v>11.518000000000001</v>
      </c>
      <c r="P1469" s="145">
        <v>3.1E-2</v>
      </c>
      <c r="Q1469" s="145">
        <v>98.070999999999998</v>
      </c>
      <c r="R1469" s="145">
        <v>9.2999999999999999E-2</v>
      </c>
      <c r="S1469" s="145">
        <v>44.776000000000003</v>
      </c>
      <c r="T1469" s="145">
        <v>162.435</v>
      </c>
      <c r="U1469" s="145">
        <v>0.02</v>
      </c>
      <c r="V1469" s="145">
        <v>0.439</v>
      </c>
      <c r="W1469" s="145">
        <v>29.646999999999998</v>
      </c>
      <c r="X1469" s="145">
        <v>4.8000000000000001E-2</v>
      </c>
      <c r="Y1469" s="145">
        <v>0.19700000000000001</v>
      </c>
      <c r="Z1469" s="146">
        <v>4.2000000000000003E-2</v>
      </c>
      <c r="AA1469" s="145">
        <v>0.14099999999999999</v>
      </c>
      <c r="AB1469" s="145">
        <v>4.1509999999999998</v>
      </c>
      <c r="AC1469" s="145">
        <v>1.474</v>
      </c>
      <c r="AD1469" s="145">
        <v>0.46600000000000003</v>
      </c>
      <c r="AE1469" s="145">
        <v>7</v>
      </c>
      <c r="AF1469" s="145">
        <v>6.4000000000000001E-2</v>
      </c>
      <c r="AG1469" s="145">
        <v>8.3000000000000004E-2</v>
      </c>
      <c r="AH1469" s="145">
        <v>0.123</v>
      </c>
      <c r="AI1469" s="145" t="s">
        <v>400</v>
      </c>
      <c r="AJ1469" s="145">
        <v>3.988</v>
      </c>
      <c r="AK1469" s="145">
        <v>30.131</v>
      </c>
      <c r="AL1469" s="145">
        <v>13.055999999999999</v>
      </c>
      <c r="AM1469" s="145">
        <v>7.0570000000000004</v>
      </c>
    </row>
    <row r="1470" spans="1:39">
      <c r="A1470" s="143" t="s">
        <v>2530</v>
      </c>
      <c r="B1470" s="144">
        <v>100</v>
      </c>
      <c r="C1470" s="145">
        <v>95</v>
      </c>
      <c r="D1470" s="145">
        <v>4.4000000000000004</v>
      </c>
      <c r="E1470" s="145">
        <v>0.2</v>
      </c>
      <c r="F1470" s="145">
        <v>0.11899999999999999</v>
      </c>
      <c r="G1470" s="145">
        <v>0.05</v>
      </c>
      <c r="H1470" s="145">
        <v>1.6E-2</v>
      </c>
      <c r="I1470" s="145">
        <v>0.01</v>
      </c>
      <c r="J1470" s="145">
        <v>6.0000000000000001E-3</v>
      </c>
      <c r="K1470" s="145">
        <v>2</v>
      </c>
      <c r="L1470" s="145">
        <v>19</v>
      </c>
      <c r="M1470" s="145" t="s">
        <v>400</v>
      </c>
      <c r="N1470" s="145">
        <v>152</v>
      </c>
      <c r="O1470" s="145">
        <v>15</v>
      </c>
      <c r="P1470" s="145">
        <v>3.5000000000000003E-2</v>
      </c>
      <c r="Q1470" s="145">
        <v>119</v>
      </c>
      <c r="R1470" s="145">
        <v>7.0000000000000007E-2</v>
      </c>
      <c r="S1470" s="145">
        <v>58</v>
      </c>
      <c r="T1470" s="145">
        <v>194</v>
      </c>
      <c r="U1470" s="145">
        <v>1.0999999999999999E-2</v>
      </c>
      <c r="V1470" s="145">
        <v>0.74</v>
      </c>
      <c r="W1470" s="145">
        <v>2</v>
      </c>
      <c r="X1470" s="145">
        <v>0.04</v>
      </c>
      <c r="Y1470" s="145">
        <v>0.18</v>
      </c>
      <c r="Z1470" s="146">
        <v>0.04</v>
      </c>
      <c r="AA1470" s="145">
        <v>0.1</v>
      </c>
      <c r="AB1470" s="145">
        <v>0.7</v>
      </c>
      <c r="AC1470" s="145">
        <v>0.56699999999999995</v>
      </c>
      <c r="AD1470" s="145">
        <v>0.47</v>
      </c>
      <c r="AE1470" s="145">
        <v>9</v>
      </c>
      <c r="AF1470" s="145" t="s">
        <v>400</v>
      </c>
      <c r="AG1470" s="145">
        <v>0.06</v>
      </c>
      <c r="AH1470" s="145">
        <v>5.0000000000000001E-3</v>
      </c>
      <c r="AI1470" s="145" t="s">
        <v>400</v>
      </c>
      <c r="AJ1470" s="145">
        <v>6</v>
      </c>
      <c r="AK1470" s="145">
        <v>2.3330000000000002</v>
      </c>
      <c r="AL1470" s="145">
        <v>18.542000000000002</v>
      </c>
      <c r="AM1470" s="145">
        <v>11.782</v>
      </c>
    </row>
    <row r="1471" spans="1:39">
      <c r="A1471" s="143" t="s">
        <v>2531</v>
      </c>
      <c r="B1471" s="144">
        <v>100</v>
      </c>
      <c r="C1471" s="145">
        <v>61</v>
      </c>
      <c r="D1471" s="145">
        <v>3.47</v>
      </c>
      <c r="E1471" s="145">
        <v>3.25</v>
      </c>
      <c r="F1471" s="145">
        <v>2.0960000000000001</v>
      </c>
      <c r="G1471" s="145">
        <v>0.89300000000000002</v>
      </c>
      <c r="H1471" s="145">
        <v>9.1999999999999998E-2</v>
      </c>
      <c r="I1471" s="145">
        <v>6.5000000000000002E-2</v>
      </c>
      <c r="J1471" s="145">
        <v>2.7E-2</v>
      </c>
      <c r="K1471" s="145">
        <v>13</v>
      </c>
      <c r="L1471" s="145">
        <v>4.66</v>
      </c>
      <c r="M1471" s="145" t="s">
        <v>400</v>
      </c>
      <c r="N1471" s="145">
        <v>121</v>
      </c>
      <c r="O1471" s="145">
        <v>12</v>
      </c>
      <c r="P1471" s="145">
        <v>4.0000000000000001E-3</v>
      </c>
      <c r="Q1471" s="145">
        <v>95</v>
      </c>
      <c r="R1471" s="145">
        <v>0.05</v>
      </c>
      <c r="S1471" s="145">
        <v>46</v>
      </c>
      <c r="T1471" s="145">
        <v>155</v>
      </c>
      <c r="U1471" s="145">
        <v>8.9999999999999993E-3</v>
      </c>
      <c r="V1471" s="145">
        <v>0.59</v>
      </c>
      <c r="W1471" s="145">
        <v>27</v>
      </c>
      <c r="X1471" s="145">
        <v>2.9000000000000001E-2</v>
      </c>
      <c r="Y1471" s="145">
        <v>0.14199999999999999</v>
      </c>
      <c r="Z1471" s="146">
        <v>3.2000000000000001E-2</v>
      </c>
      <c r="AA1471" s="145">
        <v>7.4999999999999997E-2</v>
      </c>
      <c r="AB1471" s="145">
        <v>0.5</v>
      </c>
      <c r="AC1471" s="145">
        <v>0.40799999999999997</v>
      </c>
      <c r="AD1471" s="145">
        <v>0.37</v>
      </c>
      <c r="AE1471" s="145">
        <v>7</v>
      </c>
      <c r="AF1471" s="145">
        <v>0.04</v>
      </c>
      <c r="AG1471" s="145">
        <v>8.6999999999999994E-2</v>
      </c>
      <c r="AH1471" s="145">
        <v>7.0000000000000007E-2</v>
      </c>
      <c r="AI1471" s="145" t="s">
        <v>400</v>
      </c>
      <c r="AJ1471" s="145">
        <v>2.2000000000000002</v>
      </c>
      <c r="AK1471" s="145">
        <v>27.417000000000002</v>
      </c>
      <c r="AL1471" s="145">
        <v>3.39</v>
      </c>
      <c r="AM1471" s="145" t="s">
        <v>400</v>
      </c>
    </row>
    <row r="1472" spans="1:39">
      <c r="A1472" s="143" t="s">
        <v>2532</v>
      </c>
      <c r="B1472" s="144">
        <v>100</v>
      </c>
      <c r="C1472" s="145">
        <v>302</v>
      </c>
      <c r="D1472" s="145">
        <v>25.96</v>
      </c>
      <c r="E1472" s="145">
        <v>20.03</v>
      </c>
      <c r="F1472" s="145">
        <v>12.67</v>
      </c>
      <c r="G1472" s="145">
        <v>5.73</v>
      </c>
      <c r="H1472" s="145">
        <v>0.626</v>
      </c>
      <c r="I1472" s="145">
        <v>0.44500000000000001</v>
      </c>
      <c r="J1472" s="145">
        <v>0.182</v>
      </c>
      <c r="K1472" s="145">
        <v>54</v>
      </c>
      <c r="L1472" s="145">
        <v>3.83</v>
      </c>
      <c r="M1472" s="145" t="s">
        <v>400</v>
      </c>
      <c r="N1472" s="145">
        <v>731</v>
      </c>
      <c r="O1472" s="145">
        <v>26</v>
      </c>
      <c r="P1472" s="145">
        <v>1.0999999999999999E-2</v>
      </c>
      <c r="Q1472" s="145">
        <v>524</v>
      </c>
      <c r="R1472" s="145">
        <v>0.25</v>
      </c>
      <c r="S1472" s="145">
        <v>16</v>
      </c>
      <c r="T1472" s="145">
        <v>95</v>
      </c>
      <c r="U1472" s="145">
        <v>2.7E-2</v>
      </c>
      <c r="V1472" s="145">
        <v>3.13</v>
      </c>
      <c r="W1472" s="145">
        <v>133</v>
      </c>
      <c r="X1472" s="145">
        <v>0.10100000000000001</v>
      </c>
      <c r="Y1472" s="145">
        <v>0.32900000000000001</v>
      </c>
      <c r="Z1472" s="146">
        <v>7.9000000000000001E-2</v>
      </c>
      <c r="AA1472" s="145">
        <v>0.11899999999999999</v>
      </c>
      <c r="AB1472" s="145" t="s">
        <v>400</v>
      </c>
      <c r="AC1472" s="145">
        <v>10.169</v>
      </c>
      <c r="AD1472" s="145">
        <v>2.31</v>
      </c>
      <c r="AE1472" s="145">
        <v>10</v>
      </c>
      <c r="AF1472" s="145">
        <v>0.16</v>
      </c>
      <c r="AG1472" s="145">
        <v>0.37</v>
      </c>
      <c r="AH1472" s="145">
        <v>0.41</v>
      </c>
      <c r="AI1472" s="145" t="s">
        <v>400</v>
      </c>
      <c r="AJ1472" s="145">
        <v>16.3</v>
      </c>
      <c r="AK1472" s="145">
        <v>136.667</v>
      </c>
      <c r="AL1472" s="145">
        <v>0.78</v>
      </c>
      <c r="AM1472" s="145" t="s">
        <v>400</v>
      </c>
    </row>
    <row r="1473" spans="1:39">
      <c r="A1473" s="143" t="s">
        <v>2533</v>
      </c>
      <c r="B1473" s="144">
        <v>100</v>
      </c>
      <c r="C1473" s="145">
        <v>302</v>
      </c>
      <c r="D1473" s="145">
        <v>25.96</v>
      </c>
      <c r="E1473" s="145">
        <v>20.03</v>
      </c>
      <c r="F1473" s="145">
        <v>12.67</v>
      </c>
      <c r="G1473" s="145">
        <v>5.73</v>
      </c>
      <c r="H1473" s="145">
        <v>0.626</v>
      </c>
      <c r="I1473" s="145">
        <v>0.44500000000000001</v>
      </c>
      <c r="J1473" s="145">
        <v>0.182</v>
      </c>
      <c r="K1473" s="145">
        <v>54</v>
      </c>
      <c r="L1473" s="145">
        <v>3.83</v>
      </c>
      <c r="M1473" s="145" t="s">
        <v>400</v>
      </c>
      <c r="N1473" s="145">
        <v>731</v>
      </c>
      <c r="O1473" s="145">
        <v>26</v>
      </c>
      <c r="P1473" s="145">
        <v>1.0999999999999999E-2</v>
      </c>
      <c r="Q1473" s="145">
        <v>524</v>
      </c>
      <c r="R1473" s="145">
        <v>0.25</v>
      </c>
      <c r="S1473" s="145">
        <v>16</v>
      </c>
      <c r="T1473" s="145">
        <v>95</v>
      </c>
      <c r="U1473" s="145">
        <v>2.7E-2</v>
      </c>
      <c r="V1473" s="145">
        <v>3.13</v>
      </c>
      <c r="W1473" s="145">
        <v>133</v>
      </c>
      <c r="X1473" s="145">
        <v>0.10100000000000001</v>
      </c>
      <c r="Y1473" s="145">
        <v>0.32900000000000001</v>
      </c>
      <c r="Z1473" s="146">
        <v>7.9000000000000001E-2</v>
      </c>
      <c r="AA1473" s="145">
        <v>0.11899999999999999</v>
      </c>
      <c r="AB1473" s="145" t="s">
        <v>400</v>
      </c>
      <c r="AC1473" s="145">
        <v>10.169</v>
      </c>
      <c r="AD1473" s="145">
        <v>2.31</v>
      </c>
      <c r="AE1473" s="145">
        <v>10</v>
      </c>
      <c r="AF1473" s="145">
        <v>0.16</v>
      </c>
      <c r="AG1473" s="145">
        <v>0.37</v>
      </c>
      <c r="AH1473" s="145">
        <v>0.41</v>
      </c>
      <c r="AI1473" s="145" t="s">
        <v>400</v>
      </c>
      <c r="AJ1473" s="145">
        <v>16.3</v>
      </c>
      <c r="AK1473" s="145">
        <v>136.667</v>
      </c>
      <c r="AL1473" s="145">
        <v>0.78</v>
      </c>
      <c r="AM1473" s="145" t="s">
        <v>400</v>
      </c>
    </row>
    <row r="1474" spans="1:39">
      <c r="A1474" s="143" t="s">
        <v>2534</v>
      </c>
      <c r="B1474" s="144">
        <v>100</v>
      </c>
      <c r="C1474" s="145">
        <v>53.204999999999998</v>
      </c>
      <c r="D1474" s="145">
        <v>2.5579999999999998</v>
      </c>
      <c r="E1474" s="145">
        <v>1.028</v>
      </c>
      <c r="F1474" s="145">
        <v>0.14899999999999999</v>
      </c>
      <c r="G1474" s="145">
        <v>0.22700000000000001</v>
      </c>
      <c r="H1474" s="145">
        <v>0.58099999999999996</v>
      </c>
      <c r="I1474" s="145">
        <v>0.51200000000000001</v>
      </c>
      <c r="J1474" s="145">
        <v>6.9000000000000006E-2</v>
      </c>
      <c r="K1474" s="145" t="s">
        <v>400</v>
      </c>
      <c r="L1474" s="145">
        <v>8.6210000000000004</v>
      </c>
      <c r="M1474" s="145">
        <v>0.68799999999999994</v>
      </c>
      <c r="N1474" s="145">
        <v>19.652000000000001</v>
      </c>
      <c r="O1474" s="145">
        <v>17.774999999999999</v>
      </c>
      <c r="P1474" s="145">
        <v>0.105</v>
      </c>
      <c r="Q1474" s="145">
        <v>52.854999999999997</v>
      </c>
      <c r="R1474" s="145">
        <v>0.69</v>
      </c>
      <c r="S1474" s="145">
        <v>49.552999999999997</v>
      </c>
      <c r="T1474" s="145">
        <v>92.634</v>
      </c>
      <c r="U1474" s="145">
        <v>6.8000000000000005E-2</v>
      </c>
      <c r="V1474" s="145">
        <v>0.14699999999999999</v>
      </c>
      <c r="W1474" s="145" t="s">
        <v>400</v>
      </c>
      <c r="X1474" s="145">
        <v>1.9E-2</v>
      </c>
      <c r="Y1474" s="145">
        <v>7.3999999999999996E-2</v>
      </c>
      <c r="Z1474" s="146">
        <v>7.9000000000000001E-2</v>
      </c>
      <c r="AA1474" s="145">
        <v>0.89800000000000002</v>
      </c>
      <c r="AB1474" s="145">
        <v>0.19500000000000001</v>
      </c>
      <c r="AC1474" s="145">
        <v>1.4910000000000001</v>
      </c>
      <c r="AD1474" s="145" t="s">
        <v>400</v>
      </c>
      <c r="AE1474" s="145">
        <v>7.45</v>
      </c>
      <c r="AF1474" s="145" t="s">
        <v>400</v>
      </c>
      <c r="AG1474" s="145">
        <v>0.04</v>
      </c>
      <c r="AH1474" s="145" t="s">
        <v>400</v>
      </c>
      <c r="AI1474" s="145" t="s">
        <v>400</v>
      </c>
      <c r="AJ1474" s="145">
        <v>2.1280000000000001</v>
      </c>
      <c r="AK1474" s="145">
        <v>4.8000000000000001E-2</v>
      </c>
      <c r="AL1474" s="145">
        <v>3.8559999999999999</v>
      </c>
      <c r="AM1474" s="145">
        <v>7.4820000000000002</v>
      </c>
    </row>
    <row r="1475" spans="1:39">
      <c r="A1475" s="143" t="s">
        <v>2535</v>
      </c>
      <c r="B1475" s="144">
        <v>100</v>
      </c>
      <c r="C1475" s="145">
        <v>39.369999999999997</v>
      </c>
      <c r="D1475" s="145">
        <v>1.9850000000000001</v>
      </c>
      <c r="E1475" s="145">
        <v>0.82299999999999995</v>
      </c>
      <c r="F1475" s="145">
        <v>0.11899999999999999</v>
      </c>
      <c r="G1475" s="145">
        <v>0.182</v>
      </c>
      <c r="H1475" s="145">
        <v>0.46500000000000002</v>
      </c>
      <c r="I1475" s="145">
        <v>0.41</v>
      </c>
      <c r="J1475" s="145">
        <v>5.5E-2</v>
      </c>
      <c r="K1475" s="145" t="s">
        <v>400</v>
      </c>
      <c r="L1475" s="145">
        <v>6.1779999999999999</v>
      </c>
      <c r="M1475" s="145">
        <v>0.55100000000000005</v>
      </c>
      <c r="N1475" s="145">
        <v>15.53</v>
      </c>
      <c r="O1475" s="145">
        <v>13.597</v>
      </c>
      <c r="P1475" s="145">
        <v>8.3000000000000004E-2</v>
      </c>
      <c r="Q1475" s="145">
        <v>39.921999999999997</v>
      </c>
      <c r="R1475" s="145">
        <v>0.54300000000000004</v>
      </c>
      <c r="S1475" s="145">
        <v>49.271999999999998</v>
      </c>
      <c r="T1475" s="145">
        <v>70.918999999999997</v>
      </c>
      <c r="U1475" s="145">
        <v>5.1999999999999998E-2</v>
      </c>
      <c r="V1475" s="145">
        <v>0.11600000000000001</v>
      </c>
      <c r="W1475" s="145" t="s">
        <v>400</v>
      </c>
      <c r="X1475" s="145">
        <v>1.4999999999999999E-2</v>
      </c>
      <c r="Y1475" s="145">
        <v>5.5E-2</v>
      </c>
      <c r="Z1475" s="146">
        <v>5.8000000000000003E-2</v>
      </c>
      <c r="AA1475" s="145">
        <v>0.63600000000000001</v>
      </c>
      <c r="AB1475" s="145">
        <v>0.156</v>
      </c>
      <c r="AC1475" s="145">
        <v>1.099</v>
      </c>
      <c r="AD1475" s="145" t="s">
        <v>400</v>
      </c>
      <c r="AE1475" s="145">
        <v>5.843</v>
      </c>
      <c r="AF1475" s="145" t="s">
        <v>400</v>
      </c>
      <c r="AG1475" s="145">
        <v>3.2000000000000001E-2</v>
      </c>
      <c r="AH1475" s="145" t="s">
        <v>400</v>
      </c>
      <c r="AI1475" s="145" t="s">
        <v>400</v>
      </c>
      <c r="AJ1475" s="145">
        <v>1.579</v>
      </c>
      <c r="AK1475" s="145">
        <v>3.7999999999999999E-2</v>
      </c>
      <c r="AL1475" s="145">
        <v>2.7229999999999999</v>
      </c>
      <c r="AM1475" s="145">
        <v>5.2670000000000003</v>
      </c>
    </row>
    <row r="1476" spans="1:39">
      <c r="A1476" s="143" t="s">
        <v>2536</v>
      </c>
      <c r="B1476" s="144">
        <v>100</v>
      </c>
      <c r="C1476" s="145">
        <v>59</v>
      </c>
      <c r="D1476" s="145">
        <v>2.6</v>
      </c>
      <c r="E1476" s="145">
        <v>1.4</v>
      </c>
      <c r="F1476" s="145">
        <v>0.84099999999999997</v>
      </c>
      <c r="G1476" s="145">
        <v>0.38400000000000001</v>
      </c>
      <c r="H1476" s="145">
        <v>5.1999999999999998E-2</v>
      </c>
      <c r="I1476" s="145">
        <v>3.2000000000000001E-2</v>
      </c>
      <c r="J1476" s="145">
        <v>0.02</v>
      </c>
      <c r="K1476" s="145">
        <v>5</v>
      </c>
      <c r="L1476" s="145">
        <v>9</v>
      </c>
      <c r="M1476" s="145" t="s">
        <v>400</v>
      </c>
      <c r="N1476" s="145">
        <v>96</v>
      </c>
      <c r="O1476" s="145">
        <v>16</v>
      </c>
      <c r="P1476" s="145">
        <v>2E-3</v>
      </c>
      <c r="Q1476" s="145">
        <v>151</v>
      </c>
      <c r="R1476" s="145" t="s">
        <v>400</v>
      </c>
      <c r="S1476" s="145">
        <v>144</v>
      </c>
      <c r="T1476" s="145">
        <v>206</v>
      </c>
      <c r="U1476" s="145">
        <v>1.6E-2</v>
      </c>
      <c r="V1476" s="145">
        <v>0.81</v>
      </c>
      <c r="W1476" s="145">
        <v>12</v>
      </c>
      <c r="X1476" s="145">
        <v>5.6000000000000001E-2</v>
      </c>
      <c r="Y1476" s="145">
        <v>0.23699999999999999</v>
      </c>
      <c r="Z1476" s="146">
        <v>6.2E-2</v>
      </c>
      <c r="AA1476" s="145">
        <v>0.124</v>
      </c>
      <c r="AB1476" s="145">
        <v>0.7</v>
      </c>
      <c r="AC1476" s="145">
        <v>0.64100000000000001</v>
      </c>
      <c r="AD1476" s="145">
        <v>0.52</v>
      </c>
      <c r="AE1476" s="145">
        <v>4</v>
      </c>
      <c r="AF1476" s="145">
        <v>4.7E-2</v>
      </c>
      <c r="AG1476" s="145">
        <v>0.04</v>
      </c>
      <c r="AH1476" s="145">
        <v>5.5E-2</v>
      </c>
      <c r="AI1476" s="145" t="s">
        <v>400</v>
      </c>
      <c r="AJ1476" s="145">
        <v>2.9</v>
      </c>
      <c r="AK1476" s="145">
        <v>12.25</v>
      </c>
      <c r="AL1476" s="145">
        <v>5.6539999999999999</v>
      </c>
      <c r="AM1476" s="145">
        <v>5.2149999999999999</v>
      </c>
    </row>
    <row r="1477" spans="1:39">
      <c r="A1477" s="143" t="s">
        <v>2537</v>
      </c>
      <c r="B1477" s="144">
        <v>100</v>
      </c>
      <c r="C1477" s="145">
        <v>297.29500000000002</v>
      </c>
      <c r="D1477" s="145">
        <v>24.486000000000001</v>
      </c>
      <c r="E1477" s="145">
        <v>21.36</v>
      </c>
      <c r="F1477" s="145">
        <v>13.593</v>
      </c>
      <c r="G1477" s="145">
        <v>6.0529999999999999</v>
      </c>
      <c r="H1477" s="145">
        <v>0.60799999999999998</v>
      </c>
      <c r="I1477" s="145">
        <v>0.373</v>
      </c>
      <c r="J1477" s="145">
        <v>0.23599999999999999</v>
      </c>
      <c r="K1477" s="145">
        <v>67.2</v>
      </c>
      <c r="L1477" s="145">
        <v>1.2190000000000001</v>
      </c>
      <c r="M1477" s="145" t="s">
        <v>400</v>
      </c>
      <c r="N1477" s="145">
        <v>704.83799999999997</v>
      </c>
      <c r="O1477" s="145">
        <v>18.044</v>
      </c>
      <c r="P1477" s="145">
        <v>8.0000000000000002E-3</v>
      </c>
      <c r="Q1477" s="145">
        <v>276.48</v>
      </c>
      <c r="R1477" s="145">
        <v>0.439</v>
      </c>
      <c r="S1477" s="145">
        <v>847.56700000000001</v>
      </c>
      <c r="T1477" s="145">
        <v>62.813000000000002</v>
      </c>
      <c r="U1477" s="145">
        <v>0.02</v>
      </c>
      <c r="V1477" s="145">
        <v>1.992</v>
      </c>
      <c r="W1477" s="145">
        <v>279.12</v>
      </c>
      <c r="X1477" s="145">
        <v>1.7000000000000001E-2</v>
      </c>
      <c r="Y1477" s="145">
        <v>0.24</v>
      </c>
      <c r="Z1477" s="146">
        <v>4.7E-2</v>
      </c>
      <c r="AA1477" s="145">
        <v>5.0999999999999997E-2</v>
      </c>
      <c r="AB1477" s="145" t="s">
        <v>400</v>
      </c>
      <c r="AC1477" s="145">
        <v>5.1980000000000004</v>
      </c>
      <c r="AD1477" s="145">
        <v>0.53100000000000003</v>
      </c>
      <c r="AE1477" s="145">
        <v>11.52</v>
      </c>
      <c r="AF1477" s="145">
        <v>0.112</v>
      </c>
      <c r="AG1477" s="145">
        <v>0.186</v>
      </c>
      <c r="AH1477" s="145">
        <v>0.50600000000000001</v>
      </c>
      <c r="AI1477" s="145" t="s">
        <v>400</v>
      </c>
      <c r="AJ1477" s="145">
        <v>8.8970000000000002</v>
      </c>
      <c r="AK1477" s="145">
        <v>283.65300000000002</v>
      </c>
      <c r="AL1477" s="145">
        <v>1.373</v>
      </c>
      <c r="AM1477" s="145" t="s">
        <v>400</v>
      </c>
    </row>
    <row r="1478" spans="1:39">
      <c r="A1478" s="143" t="s">
        <v>2538</v>
      </c>
      <c r="B1478" s="144">
        <v>100</v>
      </c>
      <c r="C1478" s="145">
        <v>90</v>
      </c>
      <c r="D1478" s="145">
        <v>13.74</v>
      </c>
      <c r="E1478" s="145">
        <v>1.93</v>
      </c>
      <c r="F1478" s="145">
        <v>1.2210000000000001</v>
      </c>
      <c r="G1478" s="145">
        <v>0.55000000000000004</v>
      </c>
      <c r="H1478" s="145">
        <v>5.8999999999999997E-2</v>
      </c>
      <c r="I1478" s="145">
        <v>4.2000000000000003E-2</v>
      </c>
      <c r="J1478" s="145">
        <v>1.7000000000000001E-2</v>
      </c>
      <c r="K1478" s="145">
        <v>8</v>
      </c>
      <c r="L1478" s="145">
        <v>3.63</v>
      </c>
      <c r="M1478" s="145" t="s">
        <v>400</v>
      </c>
      <c r="N1478" s="145">
        <v>69</v>
      </c>
      <c r="O1478" s="145">
        <v>6</v>
      </c>
      <c r="P1478" s="145">
        <v>3.0000000000000001E-3</v>
      </c>
      <c r="Q1478" s="145">
        <v>151</v>
      </c>
      <c r="R1478" s="145">
        <v>0.16</v>
      </c>
      <c r="S1478" s="145">
        <v>406</v>
      </c>
      <c r="T1478" s="145">
        <v>96</v>
      </c>
      <c r="U1478" s="145">
        <v>2.8000000000000001E-2</v>
      </c>
      <c r="V1478" s="145">
        <v>0.42</v>
      </c>
      <c r="W1478" s="145">
        <v>21</v>
      </c>
      <c r="X1478" s="145">
        <v>2.4E-2</v>
      </c>
      <c r="Y1478" s="145">
        <v>0.185</v>
      </c>
      <c r="Z1478" s="146">
        <v>7.5999999999999998E-2</v>
      </c>
      <c r="AA1478" s="145">
        <v>0.14399999999999999</v>
      </c>
      <c r="AB1478" s="145" t="s">
        <v>400</v>
      </c>
      <c r="AC1478" s="145">
        <v>2.694</v>
      </c>
      <c r="AD1478" s="145">
        <v>0.71</v>
      </c>
      <c r="AE1478" s="145">
        <v>13</v>
      </c>
      <c r="AF1478" s="145">
        <v>0.01</v>
      </c>
      <c r="AG1478" s="145">
        <v>0.02</v>
      </c>
      <c r="AH1478" s="145">
        <v>0.06</v>
      </c>
      <c r="AI1478" s="145" t="s">
        <v>400</v>
      </c>
      <c r="AJ1478" s="145">
        <v>10.199999999999999</v>
      </c>
      <c r="AK1478" s="145">
        <v>21.417000000000002</v>
      </c>
      <c r="AL1478" s="145">
        <v>3.6</v>
      </c>
      <c r="AM1478" s="145" t="s">
        <v>400</v>
      </c>
    </row>
    <row r="1479" spans="1:39">
      <c r="A1479" s="143" t="s">
        <v>2539</v>
      </c>
      <c r="B1479" s="144">
        <v>100</v>
      </c>
      <c r="C1479" s="145">
        <v>297.29500000000002</v>
      </c>
      <c r="D1479" s="145">
        <v>24.486000000000001</v>
      </c>
      <c r="E1479" s="145">
        <v>21.36</v>
      </c>
      <c r="F1479" s="145">
        <v>13.593</v>
      </c>
      <c r="G1479" s="145">
        <v>6.0529999999999999</v>
      </c>
      <c r="H1479" s="145">
        <v>0.60799999999999998</v>
      </c>
      <c r="I1479" s="145">
        <v>0.373</v>
      </c>
      <c r="J1479" s="145">
        <v>0.23599999999999999</v>
      </c>
      <c r="K1479" s="145">
        <v>67.2</v>
      </c>
      <c r="L1479" s="145">
        <v>1.2190000000000001</v>
      </c>
      <c r="M1479" s="145" t="s">
        <v>400</v>
      </c>
      <c r="N1479" s="145">
        <v>704.83799999999997</v>
      </c>
      <c r="O1479" s="145">
        <v>18.044</v>
      </c>
      <c r="P1479" s="145">
        <v>8.0000000000000002E-3</v>
      </c>
      <c r="Q1479" s="145">
        <v>276.48</v>
      </c>
      <c r="R1479" s="145">
        <v>0.439</v>
      </c>
      <c r="S1479" s="145">
        <v>847.56700000000001</v>
      </c>
      <c r="T1479" s="145">
        <v>62.813000000000002</v>
      </c>
      <c r="U1479" s="145">
        <v>0.02</v>
      </c>
      <c r="V1479" s="145">
        <v>1.992</v>
      </c>
      <c r="W1479" s="145">
        <v>279.12</v>
      </c>
      <c r="X1479" s="145">
        <v>1.7000000000000001E-2</v>
      </c>
      <c r="Y1479" s="145">
        <v>0.24</v>
      </c>
      <c r="Z1479" s="146">
        <v>4.7E-2</v>
      </c>
      <c r="AA1479" s="145">
        <v>5.0999999999999997E-2</v>
      </c>
      <c r="AB1479" s="145" t="s">
        <v>400</v>
      </c>
      <c r="AC1479" s="145">
        <v>5.1980000000000004</v>
      </c>
      <c r="AD1479" s="145">
        <v>0.53100000000000003</v>
      </c>
      <c r="AE1479" s="145">
        <v>11.52</v>
      </c>
      <c r="AF1479" s="145">
        <v>0.112</v>
      </c>
      <c r="AG1479" s="145">
        <v>0.186</v>
      </c>
      <c r="AH1479" s="145">
        <v>0.50600000000000001</v>
      </c>
      <c r="AI1479" s="145" t="s">
        <v>400</v>
      </c>
      <c r="AJ1479" s="145">
        <v>8.8970000000000002</v>
      </c>
      <c r="AK1479" s="145">
        <v>283.65300000000002</v>
      </c>
      <c r="AL1479" s="145">
        <v>1.373</v>
      </c>
      <c r="AM1479" s="145" t="s">
        <v>400</v>
      </c>
    </row>
    <row r="1480" spans="1:39">
      <c r="A1480" s="143" t="s">
        <v>2540</v>
      </c>
      <c r="B1480" s="144">
        <v>100</v>
      </c>
      <c r="C1480" s="145">
        <v>92.691999999999993</v>
      </c>
      <c r="D1480" s="145">
        <v>14.558</v>
      </c>
      <c r="E1480" s="145">
        <v>0.28499999999999998</v>
      </c>
      <c r="F1480" s="145">
        <v>0.17899999999999999</v>
      </c>
      <c r="G1480" s="145">
        <v>8.1000000000000003E-2</v>
      </c>
      <c r="H1480" s="145">
        <v>0.01</v>
      </c>
      <c r="I1480" s="145">
        <v>8.0000000000000002E-3</v>
      </c>
      <c r="J1480" s="145">
        <v>3.0000000000000001E-3</v>
      </c>
      <c r="K1480" s="145">
        <v>10.395</v>
      </c>
      <c r="L1480" s="145">
        <v>7.0839999999999996</v>
      </c>
      <c r="M1480" s="145" t="s">
        <v>400</v>
      </c>
      <c r="N1480" s="145">
        <v>181.101</v>
      </c>
      <c r="O1480" s="145">
        <v>17.655999999999999</v>
      </c>
      <c r="P1480" s="145">
        <v>3.0000000000000001E-3</v>
      </c>
      <c r="Q1480" s="145">
        <v>119.48399999999999</v>
      </c>
      <c r="R1480" s="145">
        <v>0.106</v>
      </c>
      <c r="S1480" s="145">
        <v>83.873000000000005</v>
      </c>
      <c r="T1480" s="145">
        <v>201.447</v>
      </c>
      <c r="U1480" s="145">
        <v>5.0000000000000001E-3</v>
      </c>
      <c r="V1480" s="145">
        <v>0.55500000000000005</v>
      </c>
      <c r="W1480" s="145">
        <v>1.484</v>
      </c>
      <c r="X1480" s="145">
        <v>5.5E-2</v>
      </c>
      <c r="Y1480" s="145">
        <v>0.184</v>
      </c>
      <c r="Z1480" s="146">
        <v>5.3999999999999999E-2</v>
      </c>
      <c r="AA1480" s="145">
        <v>0.10299999999999999</v>
      </c>
      <c r="AB1480" s="145">
        <v>7.4999999999999997E-2</v>
      </c>
      <c r="AC1480" s="145">
        <v>3.1890000000000001</v>
      </c>
      <c r="AD1480" s="145">
        <v>0.246</v>
      </c>
      <c r="AE1480" s="145">
        <v>3.1040000000000001</v>
      </c>
      <c r="AF1480" s="145" t="s">
        <v>400</v>
      </c>
      <c r="AG1480" s="145">
        <v>1E-3</v>
      </c>
      <c r="AH1480" s="145">
        <v>1E-3</v>
      </c>
      <c r="AI1480" s="145" t="s">
        <v>400</v>
      </c>
      <c r="AJ1480" s="145">
        <v>2.5099999999999998</v>
      </c>
      <c r="AK1480" s="145">
        <v>1.4910000000000001</v>
      </c>
      <c r="AL1480" s="145">
        <v>7.1139999999999999</v>
      </c>
      <c r="AM1480" s="145" t="s">
        <v>400</v>
      </c>
    </row>
    <row r="1481" spans="1:39">
      <c r="A1481" s="143" t="s">
        <v>2541</v>
      </c>
      <c r="B1481" s="144">
        <v>100</v>
      </c>
      <c r="C1481" s="145">
        <v>265</v>
      </c>
      <c r="D1481" s="145">
        <v>20</v>
      </c>
      <c r="E1481" s="145">
        <v>20</v>
      </c>
      <c r="F1481" s="145">
        <v>13.317</v>
      </c>
      <c r="G1481" s="145">
        <v>6.0979999999999999</v>
      </c>
      <c r="H1481" s="145">
        <v>0.46200000000000002</v>
      </c>
      <c r="I1481" s="145">
        <v>0.221</v>
      </c>
      <c r="J1481" s="145">
        <v>0.24099999999999999</v>
      </c>
      <c r="K1481" s="145">
        <v>88</v>
      </c>
      <c r="L1481" s="145">
        <v>1.37</v>
      </c>
      <c r="M1481" s="145" t="s">
        <v>400</v>
      </c>
      <c r="N1481" s="145">
        <v>1109</v>
      </c>
      <c r="O1481" s="145">
        <v>38</v>
      </c>
      <c r="P1481" s="145">
        <v>8.5000000000000006E-2</v>
      </c>
      <c r="Q1481" s="145">
        <v>729</v>
      </c>
      <c r="R1481" s="145">
        <v>0.9</v>
      </c>
      <c r="S1481" s="145">
        <v>1529</v>
      </c>
      <c r="T1481" s="145">
        <v>125</v>
      </c>
      <c r="U1481" s="145">
        <v>0.23799999999999999</v>
      </c>
      <c r="V1481" s="145">
        <v>3.87</v>
      </c>
      <c r="W1481" s="145">
        <v>156</v>
      </c>
      <c r="X1481" s="145">
        <v>2.9000000000000001E-2</v>
      </c>
      <c r="Y1481" s="145">
        <v>0.48599999999999999</v>
      </c>
      <c r="Z1481" s="146">
        <v>4.9000000000000002E-2</v>
      </c>
      <c r="AA1481" s="145">
        <v>0.114</v>
      </c>
      <c r="AB1481" s="145" t="s">
        <v>400</v>
      </c>
      <c r="AC1481" s="145">
        <v>4.2309999999999999</v>
      </c>
      <c r="AD1481" s="145">
        <v>2.2599999999999998</v>
      </c>
      <c r="AE1481" s="145">
        <v>10</v>
      </c>
      <c r="AF1481" s="145">
        <v>0.48699999999999999</v>
      </c>
      <c r="AG1481" s="145">
        <v>0.17</v>
      </c>
      <c r="AH1481" s="145">
        <v>0.57099999999999995</v>
      </c>
      <c r="AI1481" s="145" t="s">
        <v>400</v>
      </c>
      <c r="AJ1481" s="145">
        <v>17.7</v>
      </c>
      <c r="AK1481" s="145">
        <v>160.25</v>
      </c>
      <c r="AL1481" s="145">
        <v>1.37</v>
      </c>
      <c r="AM1481" s="145" t="s">
        <v>400</v>
      </c>
    </row>
    <row r="1482" spans="1:39">
      <c r="A1482" s="143" t="s">
        <v>2542</v>
      </c>
      <c r="B1482" s="144">
        <v>100</v>
      </c>
      <c r="C1482" s="145">
        <v>231</v>
      </c>
      <c r="D1482" s="145">
        <v>10.6</v>
      </c>
      <c r="E1482" s="145">
        <v>17.600000000000001</v>
      </c>
      <c r="F1482" s="145">
        <v>11.089</v>
      </c>
      <c r="G1482" s="145">
        <v>4.9669999999999996</v>
      </c>
      <c r="H1482" s="145">
        <v>0.63600000000000001</v>
      </c>
      <c r="I1482" s="145">
        <v>0.38900000000000001</v>
      </c>
      <c r="J1482" s="145">
        <v>0.247</v>
      </c>
      <c r="K1482" s="145">
        <v>56</v>
      </c>
      <c r="L1482" s="145">
        <v>7</v>
      </c>
      <c r="M1482" s="145" t="s">
        <v>400</v>
      </c>
      <c r="N1482" s="145">
        <v>112</v>
      </c>
      <c r="O1482" s="145">
        <v>8</v>
      </c>
      <c r="P1482" s="145">
        <v>5.0000000000000001E-3</v>
      </c>
      <c r="Q1482" s="145">
        <v>146</v>
      </c>
      <c r="R1482" s="145">
        <v>1.68</v>
      </c>
      <c r="S1482" s="145">
        <v>296</v>
      </c>
      <c r="T1482" s="145">
        <v>167</v>
      </c>
      <c r="U1482" s="145">
        <v>2.1999999999999999E-2</v>
      </c>
      <c r="V1482" s="145">
        <v>0.76</v>
      </c>
      <c r="W1482" s="145">
        <v>352</v>
      </c>
      <c r="X1482" s="145">
        <v>0.02</v>
      </c>
      <c r="Y1482" s="145">
        <v>0.28000000000000003</v>
      </c>
      <c r="Z1482" s="146">
        <v>7.0000000000000007E-2</v>
      </c>
      <c r="AA1482" s="145">
        <v>0.14000000000000001</v>
      </c>
      <c r="AB1482" s="145" t="s">
        <v>400</v>
      </c>
      <c r="AC1482" s="145">
        <v>3.5070000000000001</v>
      </c>
      <c r="AD1482" s="145">
        <v>0.6</v>
      </c>
      <c r="AE1482" s="145">
        <v>18</v>
      </c>
      <c r="AF1482" s="145">
        <v>0.57999999999999996</v>
      </c>
      <c r="AG1482" s="145">
        <v>0.15</v>
      </c>
      <c r="AH1482" s="145">
        <v>0.499</v>
      </c>
      <c r="AI1482" s="145" t="s">
        <v>400</v>
      </c>
      <c r="AJ1482" s="145">
        <v>4</v>
      </c>
      <c r="AK1482" s="145">
        <v>355.75</v>
      </c>
      <c r="AL1482" s="145">
        <v>7</v>
      </c>
      <c r="AM1482" s="145" t="s">
        <v>400</v>
      </c>
    </row>
    <row r="1483" spans="1:39">
      <c r="A1483" s="143" t="s">
        <v>2543</v>
      </c>
      <c r="B1483" s="144">
        <v>100</v>
      </c>
      <c r="C1483" s="145">
        <v>231</v>
      </c>
      <c r="D1483" s="145">
        <v>10.6</v>
      </c>
      <c r="E1483" s="145">
        <v>17.600000000000001</v>
      </c>
      <c r="F1483" s="145">
        <v>11.089</v>
      </c>
      <c r="G1483" s="145">
        <v>4.9669999999999996</v>
      </c>
      <c r="H1483" s="145">
        <v>0.63600000000000001</v>
      </c>
      <c r="I1483" s="145">
        <v>0.38900000000000001</v>
      </c>
      <c r="J1483" s="145">
        <v>0.247</v>
      </c>
      <c r="K1483" s="145">
        <v>56</v>
      </c>
      <c r="L1483" s="145">
        <v>7</v>
      </c>
      <c r="M1483" s="145" t="s">
        <v>400</v>
      </c>
      <c r="N1483" s="145">
        <v>112</v>
      </c>
      <c r="O1483" s="145">
        <v>8</v>
      </c>
      <c r="P1483" s="145">
        <v>5.0000000000000001E-3</v>
      </c>
      <c r="Q1483" s="145">
        <v>146</v>
      </c>
      <c r="R1483" s="145">
        <v>1.68</v>
      </c>
      <c r="S1483" s="145">
        <v>296</v>
      </c>
      <c r="T1483" s="145">
        <v>167</v>
      </c>
      <c r="U1483" s="145">
        <v>2.1999999999999999E-2</v>
      </c>
      <c r="V1483" s="145">
        <v>0.76</v>
      </c>
      <c r="W1483" s="145">
        <v>352</v>
      </c>
      <c r="X1483" s="145">
        <v>0.02</v>
      </c>
      <c r="Y1483" s="145">
        <v>0.28000000000000003</v>
      </c>
      <c r="Z1483" s="146">
        <v>7.0000000000000007E-2</v>
      </c>
      <c r="AA1483" s="145">
        <v>0.14000000000000001</v>
      </c>
      <c r="AB1483" s="145" t="s">
        <v>400</v>
      </c>
      <c r="AC1483" s="145">
        <v>3.5070000000000001</v>
      </c>
      <c r="AD1483" s="145">
        <v>0.6</v>
      </c>
      <c r="AE1483" s="145">
        <v>18</v>
      </c>
      <c r="AF1483" s="145">
        <v>0.57999999999999996</v>
      </c>
      <c r="AG1483" s="145">
        <v>0.15</v>
      </c>
      <c r="AH1483" s="145">
        <v>0.499</v>
      </c>
      <c r="AI1483" s="145" t="s">
        <v>400</v>
      </c>
      <c r="AJ1483" s="145">
        <v>4</v>
      </c>
      <c r="AK1483" s="145">
        <v>355.75</v>
      </c>
      <c r="AL1483" s="145">
        <v>7</v>
      </c>
      <c r="AM1483" s="145" t="s">
        <v>400</v>
      </c>
    </row>
    <row r="1484" spans="1:39">
      <c r="A1484" s="143" t="s">
        <v>2544</v>
      </c>
      <c r="B1484" s="144">
        <v>100</v>
      </c>
      <c r="C1484" s="145">
        <v>90</v>
      </c>
      <c r="D1484" s="145">
        <v>13.74</v>
      </c>
      <c r="E1484" s="145">
        <v>1.93</v>
      </c>
      <c r="F1484" s="145">
        <v>1.2210000000000001</v>
      </c>
      <c r="G1484" s="145">
        <v>0.55000000000000004</v>
      </c>
      <c r="H1484" s="145">
        <v>5.8999999999999997E-2</v>
      </c>
      <c r="I1484" s="145">
        <v>4.2000000000000003E-2</v>
      </c>
      <c r="J1484" s="145">
        <v>1.7000000000000001E-2</v>
      </c>
      <c r="K1484" s="145">
        <v>8</v>
      </c>
      <c r="L1484" s="145">
        <v>3.63</v>
      </c>
      <c r="M1484" s="145" t="s">
        <v>400</v>
      </c>
      <c r="N1484" s="145">
        <v>69</v>
      </c>
      <c r="O1484" s="145">
        <v>6</v>
      </c>
      <c r="P1484" s="145">
        <v>3.0000000000000001E-3</v>
      </c>
      <c r="Q1484" s="145">
        <v>151</v>
      </c>
      <c r="R1484" s="145">
        <v>0.16</v>
      </c>
      <c r="S1484" s="145">
        <v>406</v>
      </c>
      <c r="T1484" s="145">
        <v>96</v>
      </c>
      <c r="U1484" s="145">
        <v>2.8000000000000001E-2</v>
      </c>
      <c r="V1484" s="145">
        <v>0.42</v>
      </c>
      <c r="W1484" s="145">
        <v>21</v>
      </c>
      <c r="X1484" s="145">
        <v>2.4E-2</v>
      </c>
      <c r="Y1484" s="145">
        <v>0.185</v>
      </c>
      <c r="Z1484" s="146">
        <v>7.5999999999999998E-2</v>
      </c>
      <c r="AA1484" s="145">
        <v>0.14399999999999999</v>
      </c>
      <c r="AB1484" s="145" t="s">
        <v>400</v>
      </c>
      <c r="AC1484" s="145">
        <v>2.694</v>
      </c>
      <c r="AD1484" s="145">
        <v>0.71</v>
      </c>
      <c r="AE1484" s="145">
        <v>13</v>
      </c>
      <c r="AF1484" s="145">
        <v>0.01</v>
      </c>
      <c r="AG1484" s="145">
        <v>0.02</v>
      </c>
      <c r="AH1484" s="145">
        <v>0.06</v>
      </c>
      <c r="AI1484" s="145" t="s">
        <v>400</v>
      </c>
      <c r="AJ1484" s="145">
        <v>10.199999999999999</v>
      </c>
      <c r="AK1484" s="145">
        <v>21.417000000000002</v>
      </c>
      <c r="AL1484" s="145">
        <v>3.6</v>
      </c>
      <c r="AM1484" s="145" t="s">
        <v>400</v>
      </c>
    </row>
    <row r="1485" spans="1:39">
      <c r="A1485" s="143" t="s">
        <v>2545</v>
      </c>
      <c r="B1485" s="144">
        <v>100</v>
      </c>
      <c r="C1485" s="145">
        <v>63</v>
      </c>
      <c r="D1485" s="145">
        <v>3.24</v>
      </c>
      <c r="E1485" s="145">
        <v>1</v>
      </c>
      <c r="F1485" s="145">
        <v>0.61599999999999999</v>
      </c>
      <c r="G1485" s="145">
        <v>0.3</v>
      </c>
      <c r="H1485" s="145">
        <v>3.5000000000000003E-2</v>
      </c>
      <c r="I1485" s="145">
        <v>2.4E-2</v>
      </c>
      <c r="J1485" s="145">
        <v>1.0999999999999999E-2</v>
      </c>
      <c r="K1485" s="145">
        <v>3</v>
      </c>
      <c r="L1485" s="145">
        <v>10.44</v>
      </c>
      <c r="M1485" s="145">
        <v>0.5</v>
      </c>
      <c r="N1485" s="145">
        <v>115</v>
      </c>
      <c r="O1485" s="145">
        <v>13</v>
      </c>
      <c r="P1485" s="145">
        <v>7.6999999999999999E-2</v>
      </c>
      <c r="Q1485" s="145">
        <v>103</v>
      </c>
      <c r="R1485" s="145">
        <v>0.24</v>
      </c>
      <c r="S1485" s="145">
        <v>61</v>
      </c>
      <c r="T1485" s="145">
        <v>170</v>
      </c>
      <c r="U1485" s="145">
        <v>6.5000000000000002E-2</v>
      </c>
      <c r="V1485" s="145">
        <v>0.41</v>
      </c>
      <c r="W1485" s="145">
        <v>58</v>
      </c>
      <c r="X1485" s="145">
        <v>3.7999999999999999E-2</v>
      </c>
      <c r="Y1485" s="145">
        <v>0.16600000000000001</v>
      </c>
      <c r="Z1485" s="146">
        <v>4.1000000000000002E-2</v>
      </c>
      <c r="AA1485" s="145">
        <v>0.127</v>
      </c>
      <c r="AB1485" s="145">
        <v>0.9</v>
      </c>
      <c r="AC1485" s="145">
        <v>0.89400000000000002</v>
      </c>
      <c r="AD1485" s="145">
        <v>0.34</v>
      </c>
      <c r="AE1485" s="145">
        <v>5</v>
      </c>
      <c r="AF1485" s="145">
        <v>1</v>
      </c>
      <c r="AG1485" s="145">
        <v>0.02</v>
      </c>
      <c r="AH1485" s="145">
        <v>3.5999999999999997E-2</v>
      </c>
      <c r="AI1485" s="145" t="s">
        <v>400</v>
      </c>
      <c r="AJ1485" s="145">
        <v>1.9</v>
      </c>
      <c r="AK1485" s="145">
        <v>58.167000000000002</v>
      </c>
      <c r="AL1485" s="145">
        <v>10.42</v>
      </c>
      <c r="AM1485" s="145">
        <v>5.9989999999999997</v>
      </c>
    </row>
    <row r="1486" spans="1:39">
      <c r="A1486" s="143" t="s">
        <v>2546</v>
      </c>
      <c r="B1486" s="144">
        <v>100</v>
      </c>
      <c r="C1486" s="145">
        <v>63</v>
      </c>
      <c r="D1486" s="145">
        <v>3.24</v>
      </c>
      <c r="E1486" s="145">
        <v>1</v>
      </c>
      <c r="F1486" s="145">
        <v>0.61599999999999999</v>
      </c>
      <c r="G1486" s="145">
        <v>0.3</v>
      </c>
      <c r="H1486" s="145">
        <v>3.5000000000000003E-2</v>
      </c>
      <c r="I1486" s="145">
        <v>2.4E-2</v>
      </c>
      <c r="J1486" s="145">
        <v>1.0999999999999999E-2</v>
      </c>
      <c r="K1486" s="145">
        <v>3</v>
      </c>
      <c r="L1486" s="145">
        <v>10.44</v>
      </c>
      <c r="M1486" s="145">
        <v>0.5</v>
      </c>
      <c r="N1486" s="145">
        <v>115</v>
      </c>
      <c r="O1486" s="145">
        <v>13</v>
      </c>
      <c r="P1486" s="145">
        <v>7.6999999999999999E-2</v>
      </c>
      <c r="Q1486" s="145">
        <v>103</v>
      </c>
      <c r="R1486" s="145">
        <v>0.24</v>
      </c>
      <c r="S1486" s="145">
        <v>61</v>
      </c>
      <c r="T1486" s="145">
        <v>170</v>
      </c>
      <c r="U1486" s="145">
        <v>6.5000000000000002E-2</v>
      </c>
      <c r="V1486" s="145">
        <v>0.41</v>
      </c>
      <c r="W1486" s="145">
        <v>58</v>
      </c>
      <c r="X1486" s="145">
        <v>3.7999999999999999E-2</v>
      </c>
      <c r="Y1486" s="145">
        <v>0.16600000000000001</v>
      </c>
      <c r="Z1486" s="146">
        <v>4.1000000000000002E-2</v>
      </c>
      <c r="AA1486" s="145">
        <v>0.127</v>
      </c>
      <c r="AB1486" s="145">
        <v>0.9</v>
      </c>
      <c r="AC1486" s="145">
        <v>0.89400000000000002</v>
      </c>
      <c r="AD1486" s="145">
        <v>0.34</v>
      </c>
      <c r="AE1486" s="145">
        <v>5</v>
      </c>
      <c r="AF1486" s="145">
        <v>1</v>
      </c>
      <c r="AG1486" s="145">
        <v>0.02</v>
      </c>
      <c r="AH1486" s="145">
        <v>3.5999999999999997E-2</v>
      </c>
      <c r="AI1486" s="145" t="s">
        <v>400</v>
      </c>
      <c r="AJ1486" s="145">
        <v>1.9</v>
      </c>
      <c r="AK1486" s="145">
        <v>58.167000000000002</v>
      </c>
      <c r="AL1486" s="145">
        <v>10.42</v>
      </c>
      <c r="AM1486" s="145">
        <v>5.9989999999999997</v>
      </c>
    </row>
    <row r="1487" spans="1:39">
      <c r="A1487" s="143" t="s">
        <v>2547</v>
      </c>
      <c r="B1487" s="144">
        <v>100</v>
      </c>
      <c r="C1487" s="145">
        <v>73.289000000000001</v>
      </c>
      <c r="D1487" s="145">
        <v>3.4820000000000002</v>
      </c>
      <c r="E1487" s="145">
        <v>3.51</v>
      </c>
      <c r="F1487" s="145">
        <v>2.0070000000000001</v>
      </c>
      <c r="G1487" s="145">
        <v>0.90100000000000002</v>
      </c>
      <c r="H1487" s="145">
        <v>0.214</v>
      </c>
      <c r="I1487" s="145">
        <v>0.14000000000000001</v>
      </c>
      <c r="J1487" s="145">
        <v>7.3999999999999996E-2</v>
      </c>
      <c r="K1487" s="145">
        <v>9.5920000000000005</v>
      </c>
      <c r="L1487" s="145">
        <v>7.0869999999999997</v>
      </c>
      <c r="M1487" s="145">
        <v>0.39300000000000002</v>
      </c>
      <c r="N1487" s="145">
        <v>147.691</v>
      </c>
      <c r="O1487" s="145">
        <v>17.763999999999999</v>
      </c>
      <c r="P1487" s="145">
        <v>8.2000000000000003E-2</v>
      </c>
      <c r="Q1487" s="145">
        <v>115.693</v>
      </c>
      <c r="R1487" s="145">
        <v>0.17</v>
      </c>
      <c r="S1487" s="145">
        <v>71.792000000000002</v>
      </c>
      <c r="T1487" s="145">
        <v>188.48699999999999</v>
      </c>
      <c r="U1487" s="145">
        <v>8.8999999999999996E-2</v>
      </c>
      <c r="V1487" s="145">
        <v>0.97299999999999998</v>
      </c>
      <c r="W1487" s="145">
        <v>26.856999999999999</v>
      </c>
      <c r="X1487" s="145">
        <v>5.2999999999999999E-2</v>
      </c>
      <c r="Y1487" s="145">
        <v>0.21</v>
      </c>
      <c r="Z1487" s="146">
        <v>0.113</v>
      </c>
      <c r="AA1487" s="145">
        <v>0.14299999999999999</v>
      </c>
      <c r="AB1487" s="145">
        <v>2.359</v>
      </c>
      <c r="AC1487" s="145">
        <v>1.454</v>
      </c>
      <c r="AD1487" s="145">
        <v>0.46100000000000002</v>
      </c>
      <c r="AE1487" s="145">
        <v>5.6609999999999996</v>
      </c>
      <c r="AF1487" s="145">
        <v>0.95899999999999996</v>
      </c>
      <c r="AG1487" s="145">
        <v>6.6000000000000003E-2</v>
      </c>
      <c r="AH1487" s="145">
        <v>0.111</v>
      </c>
      <c r="AI1487" s="145" t="s">
        <v>400</v>
      </c>
      <c r="AJ1487" s="145">
        <v>4.1180000000000003</v>
      </c>
      <c r="AK1487" s="145">
        <v>27.256</v>
      </c>
      <c r="AL1487" s="145">
        <v>6.2370000000000001</v>
      </c>
      <c r="AM1487" s="145" t="s">
        <v>400</v>
      </c>
    </row>
    <row r="1488" spans="1:39">
      <c r="A1488" s="143" t="s">
        <v>2548</v>
      </c>
      <c r="B1488" s="144">
        <v>100</v>
      </c>
      <c r="C1488" s="145">
        <v>73.289000000000001</v>
      </c>
      <c r="D1488" s="145">
        <v>3.4820000000000002</v>
      </c>
      <c r="E1488" s="145">
        <v>3.51</v>
      </c>
      <c r="F1488" s="145">
        <v>2.0070000000000001</v>
      </c>
      <c r="G1488" s="145">
        <v>0.90100000000000002</v>
      </c>
      <c r="H1488" s="145">
        <v>0.214</v>
      </c>
      <c r="I1488" s="145">
        <v>0.14000000000000001</v>
      </c>
      <c r="J1488" s="145">
        <v>7.3999999999999996E-2</v>
      </c>
      <c r="K1488" s="145">
        <v>9.5920000000000005</v>
      </c>
      <c r="L1488" s="145">
        <v>7.0869999999999997</v>
      </c>
      <c r="M1488" s="145">
        <v>0.39300000000000002</v>
      </c>
      <c r="N1488" s="145">
        <v>147.691</v>
      </c>
      <c r="O1488" s="145">
        <v>17.763999999999999</v>
      </c>
      <c r="P1488" s="145">
        <v>8.2000000000000003E-2</v>
      </c>
      <c r="Q1488" s="145">
        <v>115.693</v>
      </c>
      <c r="R1488" s="145">
        <v>0.17</v>
      </c>
      <c r="S1488" s="145">
        <v>71.792000000000002</v>
      </c>
      <c r="T1488" s="145">
        <v>188.48699999999999</v>
      </c>
      <c r="U1488" s="145">
        <v>8.8999999999999996E-2</v>
      </c>
      <c r="V1488" s="145">
        <v>0.97299999999999998</v>
      </c>
      <c r="W1488" s="145">
        <v>26.856999999999999</v>
      </c>
      <c r="X1488" s="145">
        <v>5.2999999999999999E-2</v>
      </c>
      <c r="Y1488" s="145">
        <v>0.21</v>
      </c>
      <c r="Z1488" s="146">
        <v>0.113</v>
      </c>
      <c r="AA1488" s="145">
        <v>0.14299999999999999</v>
      </c>
      <c r="AB1488" s="145">
        <v>2.359</v>
      </c>
      <c r="AC1488" s="145">
        <v>1.454</v>
      </c>
      <c r="AD1488" s="145">
        <v>0.46100000000000002</v>
      </c>
      <c r="AE1488" s="145">
        <v>5.6609999999999996</v>
      </c>
      <c r="AF1488" s="145">
        <v>0.95899999999999996</v>
      </c>
      <c r="AG1488" s="145">
        <v>6.6000000000000003E-2</v>
      </c>
      <c r="AH1488" s="145">
        <v>0.111</v>
      </c>
      <c r="AI1488" s="145" t="s">
        <v>400</v>
      </c>
      <c r="AJ1488" s="145">
        <v>4.1180000000000003</v>
      </c>
      <c r="AK1488" s="145">
        <v>27.256</v>
      </c>
      <c r="AL1488" s="145">
        <v>6.2370000000000001</v>
      </c>
      <c r="AM1488" s="145" t="s">
        <v>400</v>
      </c>
    </row>
    <row r="1489" spans="1:39">
      <c r="A1489" s="143" t="s">
        <v>2549</v>
      </c>
      <c r="B1489" s="144">
        <v>100</v>
      </c>
      <c r="C1489" s="145">
        <v>73.289000000000001</v>
      </c>
      <c r="D1489" s="145">
        <v>3.4820000000000002</v>
      </c>
      <c r="E1489" s="145">
        <v>3.51</v>
      </c>
      <c r="F1489" s="145">
        <v>2.0070000000000001</v>
      </c>
      <c r="G1489" s="145">
        <v>0.90100000000000002</v>
      </c>
      <c r="H1489" s="145">
        <v>0.214</v>
      </c>
      <c r="I1489" s="145">
        <v>0.14000000000000001</v>
      </c>
      <c r="J1489" s="145">
        <v>7.3999999999999996E-2</v>
      </c>
      <c r="K1489" s="145">
        <v>9.5920000000000005</v>
      </c>
      <c r="L1489" s="145">
        <v>7.0869999999999997</v>
      </c>
      <c r="M1489" s="145">
        <v>0.39300000000000002</v>
      </c>
      <c r="N1489" s="145">
        <v>147.691</v>
      </c>
      <c r="O1489" s="145">
        <v>17.763999999999999</v>
      </c>
      <c r="P1489" s="145">
        <v>8.2000000000000003E-2</v>
      </c>
      <c r="Q1489" s="145">
        <v>115.693</v>
      </c>
      <c r="R1489" s="145">
        <v>0.17</v>
      </c>
      <c r="S1489" s="145">
        <v>71.792000000000002</v>
      </c>
      <c r="T1489" s="145">
        <v>188.48699999999999</v>
      </c>
      <c r="U1489" s="145">
        <v>8.8999999999999996E-2</v>
      </c>
      <c r="V1489" s="145">
        <v>0.97299999999999998</v>
      </c>
      <c r="W1489" s="145">
        <v>26.856999999999999</v>
      </c>
      <c r="X1489" s="145">
        <v>5.2999999999999999E-2</v>
      </c>
      <c r="Y1489" s="145">
        <v>0.21</v>
      </c>
      <c r="Z1489" s="146">
        <v>0.113</v>
      </c>
      <c r="AA1489" s="145">
        <v>0.14299999999999999</v>
      </c>
      <c r="AB1489" s="145">
        <v>2.359</v>
      </c>
      <c r="AC1489" s="145">
        <v>1.454</v>
      </c>
      <c r="AD1489" s="145">
        <v>0.46100000000000002</v>
      </c>
      <c r="AE1489" s="145">
        <v>5.6609999999999996</v>
      </c>
      <c r="AF1489" s="145">
        <v>0.95899999999999996</v>
      </c>
      <c r="AG1489" s="145">
        <v>6.6000000000000003E-2</v>
      </c>
      <c r="AH1489" s="145">
        <v>0.111</v>
      </c>
      <c r="AI1489" s="145" t="s">
        <v>400</v>
      </c>
      <c r="AJ1489" s="145">
        <v>4.1180000000000003</v>
      </c>
      <c r="AK1489" s="145">
        <v>27.256</v>
      </c>
      <c r="AL1489" s="145">
        <v>6.2370000000000001</v>
      </c>
      <c r="AM1489" s="145" t="s">
        <v>400</v>
      </c>
    </row>
    <row r="1490" spans="1:39">
      <c r="A1490" s="143" t="s">
        <v>2550</v>
      </c>
      <c r="B1490" s="144">
        <v>100</v>
      </c>
      <c r="C1490" s="145">
        <v>379.57900000000001</v>
      </c>
      <c r="D1490" s="145">
        <v>32.936</v>
      </c>
      <c r="E1490" s="145">
        <v>2.8</v>
      </c>
      <c r="F1490" s="145">
        <v>0.40200000000000002</v>
      </c>
      <c r="G1490" s="145">
        <v>0.61299999999999999</v>
      </c>
      <c r="H1490" s="145">
        <v>1.5680000000000001</v>
      </c>
      <c r="I1490" s="145">
        <v>1.3819999999999999</v>
      </c>
      <c r="J1490" s="145">
        <v>0.185</v>
      </c>
      <c r="K1490" s="145" t="s">
        <v>400</v>
      </c>
      <c r="L1490" s="145">
        <v>59.915999999999997</v>
      </c>
      <c r="M1490" s="145">
        <v>2.3959999999999999</v>
      </c>
      <c r="N1490" s="145">
        <v>1576.5530000000001</v>
      </c>
      <c r="O1490" s="145">
        <v>37.637</v>
      </c>
      <c r="P1490" s="145">
        <v>0.71799999999999997</v>
      </c>
      <c r="Q1490" s="145">
        <v>318.37</v>
      </c>
      <c r="R1490" s="145">
        <v>6.1210000000000004</v>
      </c>
      <c r="S1490" s="145">
        <v>622.024</v>
      </c>
      <c r="T1490" s="145">
        <v>656.745</v>
      </c>
      <c r="U1490" s="145">
        <v>0.628</v>
      </c>
      <c r="V1490" s="145">
        <v>1.619</v>
      </c>
      <c r="W1490" s="145">
        <v>789.47400000000005</v>
      </c>
      <c r="X1490" s="145">
        <v>0.10100000000000001</v>
      </c>
      <c r="Y1490" s="145">
        <v>0.12</v>
      </c>
      <c r="Z1490" s="146">
        <v>0.1</v>
      </c>
      <c r="AA1490" s="145">
        <v>0.57399999999999995</v>
      </c>
      <c r="AB1490" s="145">
        <v>32.078000000000003</v>
      </c>
      <c r="AC1490" s="145">
        <v>7.665</v>
      </c>
      <c r="AD1490" s="145">
        <v>3.1579999999999999</v>
      </c>
      <c r="AE1490" s="145">
        <v>71.748000000000005</v>
      </c>
      <c r="AF1490" s="145">
        <v>13.157999999999999</v>
      </c>
      <c r="AG1490" s="145">
        <v>10.576000000000001</v>
      </c>
      <c r="AH1490" s="145" t="s">
        <v>400</v>
      </c>
      <c r="AI1490" s="145" t="s">
        <v>400</v>
      </c>
      <c r="AJ1490" s="145">
        <v>6.548</v>
      </c>
      <c r="AK1490" s="145">
        <v>789.596</v>
      </c>
      <c r="AL1490" s="145">
        <v>25.198</v>
      </c>
      <c r="AM1490" s="145">
        <v>23.678999999999998</v>
      </c>
    </row>
    <row r="1491" spans="1:39">
      <c r="A1491" s="143" t="s">
        <v>2551</v>
      </c>
      <c r="B1491" s="144">
        <v>100</v>
      </c>
      <c r="C1491" s="145">
        <v>405</v>
      </c>
      <c r="D1491" s="145">
        <v>3.3</v>
      </c>
      <c r="E1491" s="145">
        <v>3.1</v>
      </c>
      <c r="F1491" s="145">
        <v>1.8340000000000001</v>
      </c>
      <c r="G1491" s="145">
        <v>1.0089999999999999</v>
      </c>
      <c r="H1491" s="145">
        <v>9.0999999999999998E-2</v>
      </c>
      <c r="I1491" s="145">
        <v>8.1000000000000003E-2</v>
      </c>
      <c r="J1491" s="145">
        <v>0.01</v>
      </c>
      <c r="K1491" s="145" t="s">
        <v>400</v>
      </c>
      <c r="L1491" s="145">
        <v>90.9</v>
      </c>
      <c r="M1491" s="145">
        <v>4.8</v>
      </c>
      <c r="N1491" s="145">
        <v>37</v>
      </c>
      <c r="O1491" s="145">
        <v>98</v>
      </c>
      <c r="P1491" s="145">
        <v>0.70699999999999996</v>
      </c>
      <c r="Q1491" s="145">
        <v>128</v>
      </c>
      <c r="R1491" s="145">
        <v>3.14</v>
      </c>
      <c r="S1491" s="145">
        <v>210</v>
      </c>
      <c r="T1491" s="145">
        <v>591</v>
      </c>
      <c r="U1491" s="145">
        <v>0.70499999999999996</v>
      </c>
      <c r="V1491" s="145">
        <v>1.55</v>
      </c>
      <c r="W1491" s="145" t="s">
        <v>400</v>
      </c>
      <c r="X1491" s="145">
        <v>3.2000000000000001E-2</v>
      </c>
      <c r="Y1491" s="145">
        <v>0.14599999999999999</v>
      </c>
      <c r="Z1491" s="145">
        <v>0.01</v>
      </c>
      <c r="AA1491" s="145">
        <v>0.51100000000000001</v>
      </c>
      <c r="AB1491" s="145">
        <v>0.7</v>
      </c>
      <c r="AC1491" s="145">
        <v>1.2609999999999999</v>
      </c>
      <c r="AD1491" s="145" t="s">
        <v>400</v>
      </c>
      <c r="AE1491" s="145">
        <v>5</v>
      </c>
      <c r="AF1491" s="145" t="s">
        <v>400</v>
      </c>
      <c r="AG1491" s="145">
        <v>0.37</v>
      </c>
      <c r="AH1491" s="145" t="s">
        <v>400</v>
      </c>
      <c r="AI1491" s="145" t="s">
        <v>400</v>
      </c>
      <c r="AJ1491" s="145">
        <v>2.6</v>
      </c>
      <c r="AK1491" s="145" t="s">
        <v>400</v>
      </c>
      <c r="AL1491" s="145">
        <v>75.790000000000006</v>
      </c>
      <c r="AM1491" s="145">
        <v>79.563999999999993</v>
      </c>
    </row>
    <row r="1492" spans="1:39">
      <c r="A1492" s="143" t="s">
        <v>2552</v>
      </c>
      <c r="B1492" s="144">
        <v>100</v>
      </c>
      <c r="C1492" s="145">
        <v>347.315</v>
      </c>
      <c r="D1492" s="145">
        <v>0.41199999999999998</v>
      </c>
      <c r="E1492" s="145">
        <v>39.29</v>
      </c>
      <c r="F1492" s="145">
        <v>24.882999999999999</v>
      </c>
      <c r="G1492" s="145">
        <v>10.183</v>
      </c>
      <c r="H1492" s="145">
        <v>1.474</v>
      </c>
      <c r="I1492" s="145">
        <v>1.321</v>
      </c>
      <c r="J1492" s="145">
        <v>0.153</v>
      </c>
      <c r="K1492" s="145">
        <v>104.146</v>
      </c>
      <c r="L1492" s="145">
        <v>2.9000000000000001E-2</v>
      </c>
      <c r="M1492" s="145" t="s">
        <v>400</v>
      </c>
      <c r="N1492" s="145">
        <v>12.654</v>
      </c>
      <c r="O1492" s="145">
        <v>1.206</v>
      </c>
      <c r="P1492" s="145">
        <v>2E-3</v>
      </c>
      <c r="Q1492" s="145">
        <v>11.625999999999999</v>
      </c>
      <c r="R1492" s="145">
        <v>0.01</v>
      </c>
      <c r="S1492" s="145">
        <v>36.643999999999998</v>
      </c>
      <c r="T1492" s="145">
        <v>11.632</v>
      </c>
      <c r="U1492" s="145">
        <v>8.0000000000000002E-3</v>
      </c>
      <c r="V1492" s="145">
        <v>4.3999999999999997E-2</v>
      </c>
      <c r="W1492" s="145">
        <v>325.03199999999998</v>
      </c>
      <c r="X1492" s="145">
        <v>2E-3</v>
      </c>
      <c r="Y1492" s="145">
        <v>1.6E-2</v>
      </c>
      <c r="Z1492" s="146">
        <v>1E-3</v>
      </c>
      <c r="AA1492" s="145">
        <v>0.02</v>
      </c>
      <c r="AB1492" s="145" t="s">
        <v>400</v>
      </c>
      <c r="AC1492" s="145">
        <v>0.11700000000000001</v>
      </c>
      <c r="AD1492" s="145">
        <v>8.2000000000000003E-2</v>
      </c>
      <c r="AE1492" s="145">
        <v>1.4530000000000001</v>
      </c>
      <c r="AF1492" s="145">
        <v>0.67800000000000005</v>
      </c>
      <c r="AG1492" s="145">
        <v>1.1240000000000001</v>
      </c>
      <c r="AH1492" s="145">
        <v>1.5880000000000001</v>
      </c>
      <c r="AI1492" s="145" t="s">
        <v>400</v>
      </c>
      <c r="AJ1492" s="145">
        <v>0.48399999999999999</v>
      </c>
      <c r="AK1492" s="145">
        <v>449.41</v>
      </c>
      <c r="AL1492" s="145">
        <v>4.8000000000000001E-2</v>
      </c>
      <c r="AM1492" s="145" t="s">
        <v>400</v>
      </c>
    </row>
    <row r="1493" spans="1:39">
      <c r="A1493" s="143" t="s">
        <v>2553</v>
      </c>
      <c r="B1493" s="144">
        <v>100</v>
      </c>
      <c r="C1493" s="145">
        <v>240</v>
      </c>
      <c r="D1493" s="145">
        <v>17.600000000000001</v>
      </c>
      <c r="E1493" s="145">
        <v>14.1</v>
      </c>
      <c r="F1493" s="145">
        <v>8.85</v>
      </c>
      <c r="G1493" s="145">
        <v>4.13</v>
      </c>
      <c r="H1493" s="145">
        <v>0.41</v>
      </c>
      <c r="I1493" s="145">
        <v>0.27</v>
      </c>
      <c r="J1493" s="145">
        <v>0.15</v>
      </c>
      <c r="K1493" s="145">
        <v>53</v>
      </c>
      <c r="L1493" s="145">
        <v>10.6</v>
      </c>
      <c r="M1493" s="145" t="s">
        <v>400</v>
      </c>
      <c r="N1493" s="145">
        <v>529</v>
      </c>
      <c r="O1493" s="145">
        <v>33</v>
      </c>
      <c r="P1493" s="145">
        <v>0.01</v>
      </c>
      <c r="Q1493" s="145">
        <v>829</v>
      </c>
      <c r="R1493" s="145">
        <v>0.2</v>
      </c>
      <c r="S1493" s="145">
        <v>1587</v>
      </c>
      <c r="T1493" s="145">
        <v>330</v>
      </c>
      <c r="U1493" s="145">
        <v>0.03</v>
      </c>
      <c r="V1493" s="145">
        <v>2.36</v>
      </c>
      <c r="W1493" s="145">
        <v>247</v>
      </c>
      <c r="X1493" s="145">
        <v>7.0000000000000007E-2</v>
      </c>
      <c r="Y1493" s="145">
        <v>0.48</v>
      </c>
      <c r="Z1493" s="145">
        <v>0.08</v>
      </c>
      <c r="AA1493" s="145">
        <v>0.18</v>
      </c>
      <c r="AB1493" s="145" t="s">
        <v>400</v>
      </c>
      <c r="AC1493" s="145">
        <v>4.43</v>
      </c>
      <c r="AD1493" s="145">
        <v>1.1100000000000001</v>
      </c>
      <c r="AE1493" s="145">
        <v>18</v>
      </c>
      <c r="AF1493" s="145">
        <v>0.11</v>
      </c>
      <c r="AG1493" s="145">
        <v>0.27</v>
      </c>
      <c r="AH1493" s="145">
        <v>0.78</v>
      </c>
      <c r="AI1493" s="145" t="s">
        <v>400</v>
      </c>
      <c r="AJ1493" s="145">
        <v>12.4</v>
      </c>
      <c r="AK1493" s="145">
        <v>253.83</v>
      </c>
      <c r="AL1493" s="145">
        <v>10.6</v>
      </c>
      <c r="AM1493" s="145" t="s">
        <v>400</v>
      </c>
    </row>
    <row r="1494" spans="1:39">
      <c r="A1494" s="143" t="s">
        <v>2554</v>
      </c>
      <c r="B1494" s="144">
        <v>100</v>
      </c>
      <c r="C1494" s="145">
        <v>373</v>
      </c>
      <c r="D1494" s="145">
        <v>24.48</v>
      </c>
      <c r="E1494" s="145">
        <v>30.28</v>
      </c>
      <c r="F1494" s="145">
        <v>19.065999999999999</v>
      </c>
      <c r="G1494" s="145">
        <v>8.7509999999999994</v>
      </c>
      <c r="H1494" s="145">
        <v>0.89900000000000002</v>
      </c>
      <c r="I1494" s="145">
        <v>0.63700000000000001</v>
      </c>
      <c r="J1494" s="145">
        <v>0.26100000000000001</v>
      </c>
      <c r="K1494" s="145">
        <v>89</v>
      </c>
      <c r="L1494" s="145">
        <v>0.68</v>
      </c>
      <c r="M1494" s="145" t="s">
        <v>400</v>
      </c>
      <c r="N1494" s="145">
        <v>746</v>
      </c>
      <c r="O1494" s="145">
        <v>27</v>
      </c>
      <c r="P1494" s="145">
        <v>1.0999999999999999E-2</v>
      </c>
      <c r="Q1494" s="145">
        <v>444</v>
      </c>
      <c r="R1494" s="145">
        <v>0.72</v>
      </c>
      <c r="S1494" s="145">
        <v>536</v>
      </c>
      <c r="T1494" s="145">
        <v>81</v>
      </c>
      <c r="U1494" s="145">
        <v>3.2000000000000001E-2</v>
      </c>
      <c r="V1494" s="145">
        <v>3</v>
      </c>
      <c r="W1494" s="145">
        <v>192</v>
      </c>
      <c r="X1494" s="145">
        <v>1.4999999999999999E-2</v>
      </c>
      <c r="Y1494" s="145">
        <v>0.39</v>
      </c>
      <c r="Z1494" s="146">
        <v>7.9000000000000001E-2</v>
      </c>
      <c r="AA1494" s="145">
        <v>9.2999999999999999E-2</v>
      </c>
      <c r="AB1494" s="145" t="s">
        <v>400</v>
      </c>
      <c r="AC1494" s="145">
        <v>5.343</v>
      </c>
      <c r="AD1494" s="145">
        <v>0.83</v>
      </c>
      <c r="AE1494" s="145">
        <v>18</v>
      </c>
      <c r="AF1494" s="145">
        <v>0.24</v>
      </c>
      <c r="AG1494" s="145">
        <v>0.26</v>
      </c>
      <c r="AH1494" s="145">
        <v>0.72499999999999998</v>
      </c>
      <c r="AI1494" s="145" t="s">
        <v>400</v>
      </c>
      <c r="AJ1494" s="145">
        <v>14.5</v>
      </c>
      <c r="AK1494" s="145">
        <v>198.5</v>
      </c>
      <c r="AL1494" s="145">
        <v>0.68</v>
      </c>
      <c r="AM1494" s="145" t="s">
        <v>400</v>
      </c>
    </row>
    <row r="1495" spans="1:39">
      <c r="A1495" s="143" t="s">
        <v>2555</v>
      </c>
      <c r="B1495" s="144">
        <v>100</v>
      </c>
      <c r="C1495" s="145">
        <v>279</v>
      </c>
      <c r="D1495" s="145">
        <v>9.5</v>
      </c>
      <c r="E1495" s="145">
        <v>4.33</v>
      </c>
      <c r="F1495" s="145">
        <v>1.0920000000000001</v>
      </c>
      <c r="G1495" s="145">
        <v>1.1120000000000001</v>
      </c>
      <c r="H1495" s="145">
        <v>1.968</v>
      </c>
      <c r="I1495" s="145">
        <v>1.762</v>
      </c>
      <c r="J1495" s="145">
        <v>0.20599999999999999</v>
      </c>
      <c r="K1495" s="145" t="s">
        <v>400</v>
      </c>
      <c r="L1495" s="145">
        <v>49.45</v>
      </c>
      <c r="M1495" s="145">
        <v>2.1</v>
      </c>
      <c r="N1495" s="145">
        <v>138</v>
      </c>
      <c r="O1495" s="145">
        <v>21</v>
      </c>
      <c r="P1495" s="145">
        <v>0.27200000000000002</v>
      </c>
      <c r="Q1495" s="145">
        <v>62</v>
      </c>
      <c r="R1495" s="145">
        <v>3.32</v>
      </c>
      <c r="S1495" s="145">
        <v>479</v>
      </c>
      <c r="T1495" s="145">
        <v>94</v>
      </c>
      <c r="U1495" s="145">
        <v>0.22</v>
      </c>
      <c r="V1495" s="145">
        <v>0.66</v>
      </c>
      <c r="W1495" s="145" t="s">
        <v>400</v>
      </c>
      <c r="X1495" s="145">
        <v>0.4</v>
      </c>
      <c r="Y1495" s="145">
        <v>0.318</v>
      </c>
      <c r="Z1495" s="146">
        <v>7.0999999999999994E-2</v>
      </c>
      <c r="AA1495" s="145">
        <v>4.1539999999999999</v>
      </c>
      <c r="AB1495" s="145" t="s">
        <v>400</v>
      </c>
      <c r="AC1495" s="145">
        <v>5.8710000000000004</v>
      </c>
      <c r="AD1495" s="145">
        <v>0.2</v>
      </c>
      <c r="AE1495" s="145">
        <v>170</v>
      </c>
      <c r="AF1495" s="145" t="s">
        <v>400</v>
      </c>
      <c r="AG1495" s="145">
        <v>7.0000000000000007E-2</v>
      </c>
      <c r="AH1495" s="145">
        <v>0.69</v>
      </c>
      <c r="AI1495" s="145" t="s">
        <v>400</v>
      </c>
      <c r="AJ1495" s="145">
        <v>19.5</v>
      </c>
      <c r="AK1495" s="145" t="s">
        <v>400</v>
      </c>
      <c r="AL1495" s="145">
        <v>6.28</v>
      </c>
      <c r="AM1495" s="145">
        <v>6.3070000000000004</v>
      </c>
    </row>
    <row r="1496" spans="1:39">
      <c r="A1496" s="143" t="s">
        <v>2556</v>
      </c>
      <c r="B1496" s="144">
        <v>100</v>
      </c>
      <c r="C1496" s="145">
        <v>300</v>
      </c>
      <c r="D1496" s="145">
        <v>8</v>
      </c>
      <c r="E1496" s="145">
        <v>3.1</v>
      </c>
      <c r="F1496" s="145">
        <v>1</v>
      </c>
      <c r="G1496" s="145">
        <v>0.9</v>
      </c>
      <c r="H1496" s="145">
        <v>0.7</v>
      </c>
      <c r="I1496" s="145">
        <v>0.7</v>
      </c>
      <c r="J1496" s="145">
        <v>0.04</v>
      </c>
      <c r="K1496" s="145" t="s">
        <v>400</v>
      </c>
      <c r="L1496" s="145">
        <v>58.6</v>
      </c>
      <c r="M1496" s="145">
        <v>2.2999999999999998</v>
      </c>
      <c r="N1496" s="145">
        <v>16</v>
      </c>
      <c r="O1496" s="145">
        <v>25</v>
      </c>
      <c r="P1496" s="145">
        <v>0.46</v>
      </c>
      <c r="Q1496" s="145">
        <v>95</v>
      </c>
      <c r="R1496" s="145">
        <v>1</v>
      </c>
      <c r="S1496" s="145">
        <v>648</v>
      </c>
      <c r="T1496" s="145">
        <v>142</v>
      </c>
      <c r="U1496" s="145">
        <v>0.13</v>
      </c>
      <c r="V1496" s="145">
        <v>0.8</v>
      </c>
      <c r="W1496" s="145">
        <v>3</v>
      </c>
      <c r="X1496" s="145">
        <v>0.39</v>
      </c>
      <c r="Y1496" s="145">
        <v>0.67</v>
      </c>
      <c r="Z1496" s="145">
        <v>0.6</v>
      </c>
      <c r="AA1496" s="145">
        <v>2.34</v>
      </c>
      <c r="AB1496" s="145" t="s">
        <v>400</v>
      </c>
      <c r="AC1496" s="145" t="s">
        <v>400</v>
      </c>
      <c r="AD1496" s="145" t="s">
        <v>400</v>
      </c>
      <c r="AE1496" s="145" t="s">
        <v>400</v>
      </c>
      <c r="AF1496" s="145" t="s">
        <v>400</v>
      </c>
      <c r="AG1496" s="145" t="s">
        <v>400</v>
      </c>
      <c r="AH1496" s="145">
        <v>0.37</v>
      </c>
      <c r="AI1496" s="145" t="s">
        <v>400</v>
      </c>
      <c r="AJ1496" s="145" t="s">
        <v>400</v>
      </c>
      <c r="AK1496" s="145" t="s">
        <v>400</v>
      </c>
      <c r="AL1496" s="145" t="s">
        <v>400</v>
      </c>
      <c r="AM1496" s="145" t="s">
        <v>400</v>
      </c>
    </row>
    <row r="1497" spans="1:39">
      <c r="A1497" s="143" t="s">
        <v>2557</v>
      </c>
      <c r="B1497" s="144">
        <v>100</v>
      </c>
      <c r="C1497" s="145">
        <v>355.226</v>
      </c>
      <c r="D1497" s="145">
        <v>5.1449999999999996</v>
      </c>
      <c r="E1497" s="145">
        <v>13.08</v>
      </c>
      <c r="F1497" s="145">
        <v>7.883</v>
      </c>
      <c r="G1497" s="145">
        <v>3.532</v>
      </c>
      <c r="H1497" s="145">
        <v>0.66</v>
      </c>
      <c r="I1497" s="145">
        <v>0.59799999999999998</v>
      </c>
      <c r="J1497" s="145">
        <v>5.3999999999999999E-2</v>
      </c>
      <c r="K1497" s="145">
        <v>44.088000000000001</v>
      </c>
      <c r="L1497" s="145">
        <v>55.826999999999998</v>
      </c>
      <c r="M1497" s="145">
        <v>2.0150000000000001</v>
      </c>
      <c r="N1497" s="145">
        <v>32.493000000000002</v>
      </c>
      <c r="O1497" s="145">
        <v>18.079000000000001</v>
      </c>
      <c r="P1497" s="145">
        <v>0.443</v>
      </c>
      <c r="Q1497" s="145">
        <v>73.438999999999993</v>
      </c>
      <c r="R1497" s="145">
        <v>2.09</v>
      </c>
      <c r="S1497" s="145">
        <v>207.786</v>
      </c>
      <c r="T1497" s="145">
        <v>98.677000000000007</v>
      </c>
      <c r="U1497" s="145">
        <v>0.107</v>
      </c>
      <c r="V1497" s="145">
        <v>0.499</v>
      </c>
      <c r="W1497" s="145">
        <v>95.852000000000004</v>
      </c>
      <c r="X1497" s="145">
        <v>0.307</v>
      </c>
      <c r="Y1497" s="145">
        <v>0.26</v>
      </c>
      <c r="Z1497" s="146">
        <v>3.5999999999999997E-2</v>
      </c>
      <c r="AA1497" s="145">
        <v>2.4039999999999999</v>
      </c>
      <c r="AB1497" s="145">
        <v>5.0999999999999997E-2</v>
      </c>
      <c r="AC1497" s="145">
        <v>3.4729999999999999</v>
      </c>
      <c r="AD1497" s="145">
        <v>0.108</v>
      </c>
      <c r="AE1497" s="145">
        <v>89.843999999999994</v>
      </c>
      <c r="AF1497" s="145">
        <v>0.38200000000000001</v>
      </c>
      <c r="AG1497" s="145">
        <v>0.39100000000000001</v>
      </c>
      <c r="AH1497" s="145">
        <v>0.41899999999999998</v>
      </c>
      <c r="AI1497" s="145" t="s">
        <v>400</v>
      </c>
      <c r="AJ1497" s="145">
        <v>14.371</v>
      </c>
      <c r="AK1497" s="145">
        <v>97.697999999999993</v>
      </c>
      <c r="AL1497" s="145">
        <v>26.571999999999999</v>
      </c>
      <c r="AM1497" s="145">
        <v>26.193999999999999</v>
      </c>
    </row>
    <row r="1498" spans="1:39">
      <c r="A1498" s="143" t="s">
        <v>2558</v>
      </c>
      <c r="B1498" s="144">
        <v>100</v>
      </c>
      <c r="C1498" s="145">
        <v>355.226</v>
      </c>
      <c r="D1498" s="145">
        <v>5.1449999999999996</v>
      </c>
      <c r="E1498" s="145">
        <v>13.08</v>
      </c>
      <c r="F1498" s="145">
        <v>7.883</v>
      </c>
      <c r="G1498" s="145">
        <v>3.532</v>
      </c>
      <c r="H1498" s="145">
        <v>0.66</v>
      </c>
      <c r="I1498" s="145">
        <v>0.59799999999999998</v>
      </c>
      <c r="J1498" s="145">
        <v>5.3999999999999999E-2</v>
      </c>
      <c r="K1498" s="145">
        <v>44.088000000000001</v>
      </c>
      <c r="L1498" s="145">
        <v>55.826999999999998</v>
      </c>
      <c r="M1498" s="145">
        <v>2.0150000000000001</v>
      </c>
      <c r="N1498" s="145">
        <v>32.493000000000002</v>
      </c>
      <c r="O1498" s="145">
        <v>18.079000000000001</v>
      </c>
      <c r="P1498" s="145">
        <v>0.443</v>
      </c>
      <c r="Q1498" s="145">
        <v>73.438999999999993</v>
      </c>
      <c r="R1498" s="145">
        <v>2.09</v>
      </c>
      <c r="S1498" s="145">
        <v>194.291</v>
      </c>
      <c r="T1498" s="145">
        <v>98.677000000000007</v>
      </c>
      <c r="U1498" s="145">
        <v>0.107</v>
      </c>
      <c r="V1498" s="145">
        <v>0.499</v>
      </c>
      <c r="W1498" s="145">
        <v>95.852000000000004</v>
      </c>
      <c r="X1498" s="145">
        <v>0.307</v>
      </c>
      <c r="Y1498" s="145">
        <v>0.26</v>
      </c>
      <c r="Z1498" s="146">
        <v>3.5999999999999997E-2</v>
      </c>
      <c r="AA1498" s="145">
        <v>2.4039999999999999</v>
      </c>
      <c r="AB1498" s="145">
        <v>5.0999999999999997E-2</v>
      </c>
      <c r="AC1498" s="145">
        <v>3.4729999999999999</v>
      </c>
      <c r="AD1498" s="145">
        <v>0.108</v>
      </c>
      <c r="AE1498" s="145">
        <v>89.843999999999994</v>
      </c>
      <c r="AF1498" s="145">
        <v>0.38200000000000001</v>
      </c>
      <c r="AG1498" s="145">
        <v>0.39100000000000001</v>
      </c>
      <c r="AH1498" s="145">
        <v>0.41899999999999998</v>
      </c>
      <c r="AI1498" s="145" t="s">
        <v>400</v>
      </c>
      <c r="AJ1498" s="145">
        <v>14.371</v>
      </c>
      <c r="AK1498" s="145">
        <v>97.697999999999993</v>
      </c>
      <c r="AL1498" s="145">
        <v>26.571999999999999</v>
      </c>
      <c r="AM1498" s="145">
        <v>26.193999999999999</v>
      </c>
    </row>
    <row r="1499" spans="1:39">
      <c r="A1499" s="143" t="s">
        <v>2559</v>
      </c>
      <c r="B1499" s="144">
        <v>100</v>
      </c>
      <c r="C1499" s="145">
        <v>355.226</v>
      </c>
      <c r="D1499" s="145">
        <v>5.1449999999999996</v>
      </c>
      <c r="E1499" s="145">
        <v>13.08</v>
      </c>
      <c r="F1499" s="145">
        <v>7.883</v>
      </c>
      <c r="G1499" s="145">
        <v>3.532</v>
      </c>
      <c r="H1499" s="145">
        <v>0.66</v>
      </c>
      <c r="I1499" s="145">
        <v>0.59799999999999998</v>
      </c>
      <c r="J1499" s="145">
        <v>5.3999999999999999E-2</v>
      </c>
      <c r="K1499" s="145">
        <v>44.088000000000001</v>
      </c>
      <c r="L1499" s="145">
        <v>55.826999999999998</v>
      </c>
      <c r="M1499" s="145">
        <v>2.0150000000000001</v>
      </c>
      <c r="N1499" s="145">
        <v>32.493000000000002</v>
      </c>
      <c r="O1499" s="145">
        <v>18.079000000000001</v>
      </c>
      <c r="P1499" s="145">
        <v>0.443</v>
      </c>
      <c r="Q1499" s="145">
        <v>73.438999999999993</v>
      </c>
      <c r="R1499" s="145">
        <v>2.09</v>
      </c>
      <c r="S1499" s="145">
        <v>194.291</v>
      </c>
      <c r="T1499" s="145">
        <v>98.677000000000007</v>
      </c>
      <c r="U1499" s="145">
        <v>0.107</v>
      </c>
      <c r="V1499" s="145">
        <v>0.499</v>
      </c>
      <c r="W1499" s="145">
        <v>95.852000000000004</v>
      </c>
      <c r="X1499" s="145">
        <v>0.307</v>
      </c>
      <c r="Y1499" s="145">
        <v>0.26</v>
      </c>
      <c r="Z1499" s="146">
        <v>3.5999999999999997E-2</v>
      </c>
      <c r="AA1499" s="145">
        <v>2.4039999999999999</v>
      </c>
      <c r="AB1499" s="145">
        <v>5.0999999999999997E-2</v>
      </c>
      <c r="AC1499" s="145">
        <v>3.4729999999999999</v>
      </c>
      <c r="AD1499" s="145">
        <v>0.108</v>
      </c>
      <c r="AE1499" s="145">
        <v>89.843999999999994</v>
      </c>
      <c r="AF1499" s="145">
        <v>0.38200000000000001</v>
      </c>
      <c r="AG1499" s="145">
        <v>0.39100000000000001</v>
      </c>
      <c r="AH1499" s="145">
        <v>0.41899999999999998</v>
      </c>
      <c r="AI1499" s="145" t="s">
        <v>400</v>
      </c>
      <c r="AJ1499" s="145">
        <v>14.371</v>
      </c>
      <c r="AK1499" s="145">
        <v>97.697999999999993</v>
      </c>
      <c r="AL1499" s="145">
        <v>26.571999999999999</v>
      </c>
      <c r="AM1499" s="145">
        <v>26.193999999999999</v>
      </c>
    </row>
    <row r="1500" spans="1:39">
      <c r="A1500" s="143" t="s">
        <v>2560</v>
      </c>
      <c r="B1500" s="144">
        <v>100</v>
      </c>
      <c r="C1500" s="145">
        <v>508.36399999999998</v>
      </c>
      <c r="D1500" s="145">
        <v>4.4550000000000001</v>
      </c>
      <c r="E1500" s="145">
        <v>18.337</v>
      </c>
      <c r="F1500" s="145">
        <v>11.103</v>
      </c>
      <c r="G1500" s="145">
        <v>5.0620000000000003</v>
      </c>
      <c r="H1500" s="145">
        <v>0.85899999999999999</v>
      </c>
      <c r="I1500" s="145">
        <v>0.77900000000000003</v>
      </c>
      <c r="J1500" s="145">
        <v>7.0000000000000007E-2</v>
      </c>
      <c r="K1500" s="145">
        <v>57.436999999999998</v>
      </c>
      <c r="L1500" s="145">
        <v>85.040999999999997</v>
      </c>
      <c r="M1500" s="145">
        <v>1.853</v>
      </c>
      <c r="N1500" s="145">
        <v>89.980999999999995</v>
      </c>
      <c r="O1500" s="145">
        <v>106.995</v>
      </c>
      <c r="P1500" s="145">
        <v>0.93600000000000005</v>
      </c>
      <c r="Q1500" s="145">
        <v>73.671000000000006</v>
      </c>
      <c r="R1500" s="145">
        <v>3.544</v>
      </c>
      <c r="S1500" s="145">
        <v>153.34</v>
      </c>
      <c r="T1500" s="145">
        <v>600.851</v>
      </c>
      <c r="U1500" s="145">
        <v>0.312</v>
      </c>
      <c r="V1500" s="145">
        <v>0.60799999999999998</v>
      </c>
      <c r="W1500" s="145">
        <v>120.01300000000001</v>
      </c>
      <c r="X1500" s="145">
        <v>0.26</v>
      </c>
      <c r="Y1500" s="145">
        <v>0.19800000000000001</v>
      </c>
      <c r="Z1500" s="146">
        <v>0.25800000000000001</v>
      </c>
      <c r="AA1500" s="145">
        <v>2.165</v>
      </c>
      <c r="AB1500" s="145">
        <v>2.3E-2</v>
      </c>
      <c r="AC1500" s="145">
        <v>3.1040000000000001</v>
      </c>
      <c r="AD1500" s="145">
        <v>8.5000000000000006E-2</v>
      </c>
      <c r="AE1500" s="145">
        <v>65.498999999999995</v>
      </c>
      <c r="AF1500" s="145">
        <v>0.41399999999999998</v>
      </c>
      <c r="AG1500" s="145">
        <v>0.53</v>
      </c>
      <c r="AH1500" s="145">
        <v>0.54400000000000004</v>
      </c>
      <c r="AI1500" s="145" t="s">
        <v>400</v>
      </c>
      <c r="AJ1500" s="145">
        <v>18.826000000000001</v>
      </c>
      <c r="AK1500" s="145">
        <v>122.32</v>
      </c>
      <c r="AL1500" s="145">
        <v>52.875</v>
      </c>
      <c r="AM1500" s="145">
        <v>60.404000000000003</v>
      </c>
    </row>
    <row r="1501" spans="1:39">
      <c r="A1501" s="143" t="s">
        <v>2561</v>
      </c>
      <c r="B1501" s="144">
        <v>100</v>
      </c>
      <c r="C1501" s="145">
        <v>355.95</v>
      </c>
      <c r="D1501" s="145">
        <v>7.452</v>
      </c>
      <c r="E1501" s="145">
        <v>10.433</v>
      </c>
      <c r="F1501" s="145">
        <v>1.821</v>
      </c>
      <c r="G1501" s="145">
        <v>2.516</v>
      </c>
      <c r="H1501" s="145">
        <v>5.3440000000000003</v>
      </c>
      <c r="I1501" s="145">
        <v>4.7220000000000004</v>
      </c>
      <c r="J1501" s="145">
        <v>0.6</v>
      </c>
      <c r="K1501" s="145">
        <v>50.118000000000002</v>
      </c>
      <c r="L1501" s="145">
        <v>58.03</v>
      </c>
      <c r="M1501" s="145">
        <v>2.1389999999999998</v>
      </c>
      <c r="N1501" s="145">
        <v>19.437999999999999</v>
      </c>
      <c r="O1501" s="145">
        <v>15.993</v>
      </c>
      <c r="P1501" s="145">
        <v>0.38800000000000001</v>
      </c>
      <c r="Q1501" s="145">
        <v>96.558000000000007</v>
      </c>
      <c r="R1501" s="145">
        <v>2.85</v>
      </c>
      <c r="S1501" s="145">
        <v>210.02099999999999</v>
      </c>
      <c r="T1501" s="145">
        <v>139.78800000000001</v>
      </c>
      <c r="U1501" s="145">
        <v>0.104</v>
      </c>
      <c r="V1501" s="145">
        <v>0.57699999999999996</v>
      </c>
      <c r="W1501" s="145">
        <v>19.858000000000001</v>
      </c>
      <c r="X1501" s="145">
        <v>0.44600000000000001</v>
      </c>
      <c r="Y1501" s="145">
        <v>0.38600000000000001</v>
      </c>
      <c r="Z1501" s="146">
        <v>6.4000000000000001E-2</v>
      </c>
      <c r="AA1501" s="145">
        <v>3.5449999999999999</v>
      </c>
      <c r="AB1501" s="145">
        <v>0.33800000000000002</v>
      </c>
      <c r="AC1501" s="145">
        <v>5.0819999999999999</v>
      </c>
      <c r="AD1501" s="145">
        <v>0.13100000000000001</v>
      </c>
      <c r="AE1501" s="145">
        <v>136.81899999999999</v>
      </c>
      <c r="AF1501" s="145">
        <v>0.151</v>
      </c>
      <c r="AG1501" s="145">
        <v>0.86499999999999999</v>
      </c>
      <c r="AH1501" s="145">
        <v>4.5999999999999999E-2</v>
      </c>
      <c r="AI1501" s="145" t="s">
        <v>400</v>
      </c>
      <c r="AJ1501" s="145">
        <v>25.497</v>
      </c>
      <c r="AK1501" s="145">
        <v>20.087</v>
      </c>
      <c r="AL1501" s="145">
        <v>15.77</v>
      </c>
      <c r="AM1501" s="145">
        <v>13.026</v>
      </c>
    </row>
    <row r="1502" spans="1:39">
      <c r="A1502" s="143" t="s">
        <v>2562</v>
      </c>
      <c r="B1502" s="144">
        <v>100</v>
      </c>
      <c r="C1502" s="145">
        <v>310</v>
      </c>
      <c r="D1502" s="145">
        <v>10.86</v>
      </c>
      <c r="E1502" s="145">
        <v>6.47</v>
      </c>
      <c r="F1502" s="145">
        <v>1.38</v>
      </c>
      <c r="G1502" s="145">
        <v>1.88</v>
      </c>
      <c r="H1502" s="145">
        <v>2.5099999999999998</v>
      </c>
      <c r="I1502" s="145">
        <v>2.29</v>
      </c>
      <c r="J1502" s="145">
        <v>0.22</v>
      </c>
      <c r="K1502" s="145">
        <v>4</v>
      </c>
      <c r="L1502" s="145">
        <v>52.04</v>
      </c>
      <c r="M1502" s="145">
        <v>2</v>
      </c>
      <c r="N1502" s="145">
        <v>178</v>
      </c>
      <c r="O1502" s="145">
        <v>26</v>
      </c>
      <c r="P1502" s="145">
        <v>0.57999999999999996</v>
      </c>
      <c r="Q1502" s="145">
        <v>122</v>
      </c>
      <c r="R1502" s="145">
        <v>3.72</v>
      </c>
      <c r="S1502" s="145">
        <v>536</v>
      </c>
      <c r="T1502" s="145">
        <v>139</v>
      </c>
      <c r="U1502" s="145">
        <v>0.14000000000000001</v>
      </c>
      <c r="V1502" s="145">
        <v>0.99</v>
      </c>
      <c r="W1502" s="145">
        <v>1</v>
      </c>
      <c r="X1502" s="145">
        <v>0.53</v>
      </c>
      <c r="Y1502" s="145">
        <v>0.37</v>
      </c>
      <c r="Z1502" s="145">
        <v>0.1</v>
      </c>
      <c r="AA1502" s="145">
        <v>5.37</v>
      </c>
      <c r="AB1502" s="145">
        <v>0.2</v>
      </c>
      <c r="AC1502" s="145">
        <v>6.72</v>
      </c>
      <c r="AD1502" s="145">
        <v>0.13</v>
      </c>
      <c r="AE1502" s="145">
        <v>150</v>
      </c>
      <c r="AF1502" s="145" t="s">
        <v>400</v>
      </c>
      <c r="AG1502" s="145">
        <v>0.28000000000000003</v>
      </c>
      <c r="AH1502" s="145">
        <v>0.41</v>
      </c>
      <c r="AI1502" s="145" t="s">
        <v>400</v>
      </c>
      <c r="AJ1502" s="145">
        <v>26.8</v>
      </c>
      <c r="AK1502" s="145">
        <v>1</v>
      </c>
      <c r="AL1502" s="145">
        <v>5.68</v>
      </c>
      <c r="AM1502" s="145">
        <v>5.5</v>
      </c>
    </row>
    <row r="1503" spans="1:39">
      <c r="A1503" s="143" t="s">
        <v>2563</v>
      </c>
      <c r="B1503" s="144">
        <v>100</v>
      </c>
      <c r="C1503" s="145">
        <v>455.15699999999998</v>
      </c>
      <c r="D1503" s="145">
        <v>8.0410000000000004</v>
      </c>
      <c r="E1503" s="145">
        <v>26.262</v>
      </c>
      <c r="F1503" s="145">
        <v>16.068999999999999</v>
      </c>
      <c r="G1503" s="145">
        <v>6.8559999999999999</v>
      </c>
      <c r="H1503" s="145">
        <v>1.274</v>
      </c>
      <c r="I1503" s="145">
        <v>1.1459999999999999</v>
      </c>
      <c r="J1503" s="145">
        <v>0.111</v>
      </c>
      <c r="K1503" s="145">
        <v>103.657</v>
      </c>
      <c r="L1503" s="145">
        <v>46.841000000000001</v>
      </c>
      <c r="M1503" s="145">
        <v>1.754</v>
      </c>
      <c r="N1503" s="145">
        <v>52.941000000000003</v>
      </c>
      <c r="O1503" s="145">
        <v>16.928999999999998</v>
      </c>
      <c r="P1503" s="145">
        <v>0.373</v>
      </c>
      <c r="Q1503" s="145">
        <v>114.31399999999999</v>
      </c>
      <c r="R1503" s="145">
        <v>2.702</v>
      </c>
      <c r="S1503" s="145">
        <v>130.46799999999999</v>
      </c>
      <c r="T1503" s="145">
        <v>129.94499999999999</v>
      </c>
      <c r="U1503" s="145">
        <v>8.8999999999999996E-2</v>
      </c>
      <c r="V1503" s="145">
        <v>0.65400000000000003</v>
      </c>
      <c r="W1503" s="145">
        <v>230.60499999999999</v>
      </c>
      <c r="X1503" s="145">
        <v>0.45200000000000001</v>
      </c>
      <c r="Y1503" s="145">
        <v>0.40600000000000003</v>
      </c>
      <c r="Z1503" s="146">
        <v>5.5E-2</v>
      </c>
      <c r="AA1503" s="145">
        <v>3.444</v>
      </c>
      <c r="AB1503" s="145">
        <v>5.8000000000000003E-2</v>
      </c>
      <c r="AC1503" s="145">
        <v>5.0960000000000001</v>
      </c>
      <c r="AD1503" s="145">
        <v>0.27700000000000002</v>
      </c>
      <c r="AE1503" s="145">
        <v>129.57499999999999</v>
      </c>
      <c r="AF1503" s="145">
        <v>0.83199999999999996</v>
      </c>
      <c r="AG1503" s="145">
        <v>0.82399999999999995</v>
      </c>
      <c r="AH1503" s="145">
        <v>1.0029999999999999</v>
      </c>
      <c r="AI1503" s="145" t="s">
        <v>400</v>
      </c>
      <c r="AJ1503" s="145">
        <v>21.998000000000001</v>
      </c>
      <c r="AK1503" s="145">
        <v>234.72399999999999</v>
      </c>
      <c r="AL1503" s="145">
        <v>6.109</v>
      </c>
      <c r="AM1503" s="145">
        <v>4.3849999999999998</v>
      </c>
    </row>
    <row r="1504" spans="1:39">
      <c r="A1504" s="143" t="s">
        <v>2564</v>
      </c>
      <c r="B1504" s="144">
        <v>100</v>
      </c>
      <c r="C1504" s="145">
        <v>266</v>
      </c>
      <c r="D1504" s="145">
        <v>7.64</v>
      </c>
      <c r="E1504" s="145">
        <v>3.29</v>
      </c>
      <c r="F1504" s="145">
        <v>0.71699999999999997</v>
      </c>
      <c r="G1504" s="145">
        <v>0.68100000000000005</v>
      </c>
      <c r="H1504" s="145">
        <v>1.355</v>
      </c>
      <c r="I1504" s="145">
        <v>1.216</v>
      </c>
      <c r="J1504" s="145">
        <v>0.13900000000000001</v>
      </c>
      <c r="K1504" s="145" t="s">
        <v>400</v>
      </c>
      <c r="L1504" s="145">
        <v>50.61</v>
      </c>
      <c r="M1504" s="145">
        <v>2.4</v>
      </c>
      <c r="N1504" s="145">
        <v>151</v>
      </c>
      <c r="O1504" s="145">
        <v>23</v>
      </c>
      <c r="P1504" s="145">
        <v>0.47799999999999998</v>
      </c>
      <c r="Q1504" s="145">
        <v>99</v>
      </c>
      <c r="R1504" s="145">
        <v>3.74</v>
      </c>
      <c r="S1504" s="145">
        <v>681</v>
      </c>
      <c r="T1504" s="145">
        <v>100</v>
      </c>
      <c r="U1504" s="145">
        <v>0.253</v>
      </c>
      <c r="V1504" s="145">
        <v>0.74</v>
      </c>
      <c r="W1504" s="145" t="s">
        <v>400</v>
      </c>
      <c r="X1504" s="145">
        <v>0.45500000000000002</v>
      </c>
      <c r="Y1504" s="145">
        <v>0.33100000000000002</v>
      </c>
      <c r="Z1504" s="146">
        <v>8.4000000000000005E-2</v>
      </c>
      <c r="AA1504" s="145">
        <v>4.3849999999999998</v>
      </c>
      <c r="AB1504" s="145" t="s">
        <v>400</v>
      </c>
      <c r="AC1504" s="145">
        <v>5.8680000000000003</v>
      </c>
      <c r="AD1504" s="145" t="s">
        <v>400</v>
      </c>
      <c r="AE1504" s="145">
        <v>171</v>
      </c>
      <c r="AF1504" s="145" t="s">
        <v>400</v>
      </c>
      <c r="AG1504" s="145">
        <v>0.22</v>
      </c>
      <c r="AH1504" s="145">
        <v>0.63</v>
      </c>
      <c r="AI1504" s="145" t="s">
        <v>400</v>
      </c>
      <c r="AJ1504" s="145">
        <v>17.3</v>
      </c>
      <c r="AK1504" s="145" t="s">
        <v>400</v>
      </c>
      <c r="AL1504" s="145">
        <v>4.3099999999999996</v>
      </c>
      <c r="AM1504" s="145">
        <v>4.1289999999999996</v>
      </c>
    </row>
    <row r="1505" spans="1:39">
      <c r="A1505" s="143" t="s">
        <v>2565</v>
      </c>
      <c r="B1505" s="144">
        <v>100</v>
      </c>
      <c r="C1505" s="145">
        <v>363</v>
      </c>
      <c r="D1505" s="145">
        <v>5.0999999999999996</v>
      </c>
      <c r="E1505" s="145">
        <v>24.6</v>
      </c>
      <c r="F1505" s="145" t="s">
        <v>400</v>
      </c>
      <c r="G1505" s="145" t="s">
        <v>400</v>
      </c>
      <c r="H1505" s="145" t="s">
        <v>400</v>
      </c>
      <c r="I1505" s="145" t="s">
        <v>400</v>
      </c>
      <c r="J1505" s="145" t="s">
        <v>400</v>
      </c>
      <c r="K1505" s="145">
        <v>68</v>
      </c>
      <c r="L1505" s="145">
        <v>34.200000000000003</v>
      </c>
      <c r="M1505" s="145">
        <v>0.6</v>
      </c>
      <c r="N1505" s="145">
        <v>102</v>
      </c>
      <c r="O1505" s="145">
        <v>8</v>
      </c>
      <c r="P1505" s="145">
        <v>0.03</v>
      </c>
      <c r="Q1505" s="145">
        <v>94</v>
      </c>
      <c r="R1505" s="145">
        <v>0.3</v>
      </c>
      <c r="S1505" s="145">
        <v>773</v>
      </c>
      <c r="T1505" s="145">
        <v>93</v>
      </c>
      <c r="U1505" s="145">
        <v>0.01</v>
      </c>
      <c r="V1505" s="145">
        <v>0.6</v>
      </c>
      <c r="W1505" s="145">
        <v>61</v>
      </c>
      <c r="X1505" s="145">
        <v>0.04</v>
      </c>
      <c r="Y1505" s="145">
        <v>0.1</v>
      </c>
      <c r="Z1505" s="145">
        <v>0.04</v>
      </c>
      <c r="AA1505" s="145" t="s">
        <v>400</v>
      </c>
      <c r="AB1505" s="145" t="s">
        <v>400</v>
      </c>
      <c r="AC1505" s="145" t="s">
        <v>400</v>
      </c>
      <c r="AD1505" s="145" t="s">
        <v>400</v>
      </c>
      <c r="AE1505" s="145" t="s">
        <v>400</v>
      </c>
      <c r="AF1505" s="145" t="s">
        <v>400</v>
      </c>
      <c r="AG1505" s="145" t="s">
        <v>400</v>
      </c>
      <c r="AH1505" s="145" t="s">
        <v>400</v>
      </c>
      <c r="AI1505" s="145" t="s">
        <v>400</v>
      </c>
      <c r="AJ1505" s="145" t="s">
        <v>400</v>
      </c>
      <c r="AK1505" s="145" t="s">
        <v>400</v>
      </c>
      <c r="AL1505" s="145" t="s">
        <v>400</v>
      </c>
      <c r="AM1505" s="145" t="s">
        <v>400</v>
      </c>
    </row>
    <row r="1506" spans="1:39">
      <c r="A1506" s="143" t="s">
        <v>2566</v>
      </c>
      <c r="B1506" s="144">
        <v>100</v>
      </c>
      <c r="C1506" s="145">
        <v>316.62299999999999</v>
      </c>
      <c r="D1506" s="145">
        <v>7.2</v>
      </c>
      <c r="E1506" s="145">
        <v>10.430999999999999</v>
      </c>
      <c r="F1506" s="145">
        <v>2.96</v>
      </c>
      <c r="G1506" s="145">
        <v>5.2759999999999998</v>
      </c>
      <c r="H1506" s="145">
        <v>1.3740000000000001</v>
      </c>
      <c r="I1506" s="145">
        <v>1.2689999999999999</v>
      </c>
      <c r="J1506" s="145">
        <v>7.8E-2</v>
      </c>
      <c r="K1506" s="145">
        <v>62.834000000000003</v>
      </c>
      <c r="L1506" s="145">
        <v>47.963000000000001</v>
      </c>
      <c r="M1506" s="145">
        <v>4.375</v>
      </c>
      <c r="N1506" s="145">
        <v>70.997</v>
      </c>
      <c r="O1506" s="145">
        <v>19.821000000000002</v>
      </c>
      <c r="P1506" s="145">
        <v>0.216</v>
      </c>
      <c r="Q1506" s="145">
        <v>373.82299999999998</v>
      </c>
      <c r="R1506" s="145">
        <v>1.8560000000000001</v>
      </c>
      <c r="S1506" s="145">
        <v>774.21500000000003</v>
      </c>
      <c r="T1506" s="145">
        <v>126.114</v>
      </c>
      <c r="U1506" s="145">
        <v>6.2E-2</v>
      </c>
      <c r="V1506" s="145">
        <v>0.621</v>
      </c>
      <c r="W1506" s="145">
        <v>40.588000000000001</v>
      </c>
      <c r="X1506" s="145">
        <v>0.307</v>
      </c>
      <c r="Y1506" s="145">
        <v>0.29599999999999999</v>
      </c>
      <c r="Z1506" s="146">
        <v>0.111</v>
      </c>
      <c r="AA1506" s="145">
        <v>2.2829999999999999</v>
      </c>
      <c r="AB1506" s="145">
        <v>6.7000000000000004E-2</v>
      </c>
      <c r="AC1506" s="145">
        <v>3.7189999999999999</v>
      </c>
      <c r="AD1506" s="145">
        <v>0.315</v>
      </c>
      <c r="AE1506" s="145">
        <v>108.246</v>
      </c>
      <c r="AF1506" s="145">
        <v>0.40600000000000003</v>
      </c>
      <c r="AG1506" s="145">
        <v>0.26500000000000001</v>
      </c>
      <c r="AH1506" s="145">
        <v>0.83299999999999996</v>
      </c>
      <c r="AI1506" s="145" t="s">
        <v>400</v>
      </c>
      <c r="AJ1506" s="145">
        <v>8.9109999999999996</v>
      </c>
      <c r="AK1506" s="145">
        <v>42.944000000000003</v>
      </c>
      <c r="AL1506" s="145">
        <v>15.476000000000001</v>
      </c>
      <c r="AM1506" s="145">
        <v>12.113</v>
      </c>
    </row>
    <row r="1507" spans="1:39">
      <c r="A1507" s="143" t="s">
        <v>2567</v>
      </c>
      <c r="B1507" s="144">
        <v>100</v>
      </c>
      <c r="C1507" s="145">
        <v>247</v>
      </c>
      <c r="D1507" s="145">
        <v>12.95</v>
      </c>
      <c r="E1507" s="145">
        <v>3.35</v>
      </c>
      <c r="F1507" s="145">
        <v>0.75</v>
      </c>
      <c r="G1507" s="145">
        <v>1.6</v>
      </c>
      <c r="H1507" s="145">
        <v>0.6</v>
      </c>
      <c r="I1507" s="145">
        <v>0.56999999999999995</v>
      </c>
      <c r="J1507" s="145">
        <v>0.03</v>
      </c>
      <c r="K1507" s="145" t="s">
        <v>400</v>
      </c>
      <c r="L1507" s="145">
        <v>41.29</v>
      </c>
      <c r="M1507" s="145">
        <v>6.71</v>
      </c>
      <c r="N1507" s="145">
        <v>107</v>
      </c>
      <c r="O1507" s="145">
        <v>82</v>
      </c>
      <c r="P1507" s="145">
        <v>2.14</v>
      </c>
      <c r="Q1507" s="145">
        <v>202</v>
      </c>
      <c r="R1507" s="145">
        <v>2.4300000000000002</v>
      </c>
      <c r="S1507" s="145">
        <v>472</v>
      </c>
      <c r="T1507" s="145">
        <v>248</v>
      </c>
      <c r="U1507" s="145">
        <v>0.38</v>
      </c>
      <c r="V1507" s="145">
        <v>1.8</v>
      </c>
      <c r="W1507" s="145" t="s">
        <v>400</v>
      </c>
      <c r="X1507" s="145">
        <v>0.35</v>
      </c>
      <c r="Y1507" s="145">
        <v>0.22</v>
      </c>
      <c r="Z1507" s="145">
        <v>0.21</v>
      </c>
      <c r="AA1507" s="145">
        <v>4.71</v>
      </c>
      <c r="AB1507" s="145" t="s">
        <v>400</v>
      </c>
      <c r="AC1507" s="145">
        <v>6.08</v>
      </c>
      <c r="AD1507" s="145" t="s">
        <v>400</v>
      </c>
      <c r="AE1507" s="145">
        <v>50</v>
      </c>
      <c r="AF1507" s="145" t="s">
        <v>400</v>
      </c>
      <c r="AG1507" s="145">
        <v>0.51</v>
      </c>
      <c r="AH1507" s="145">
        <v>0.6</v>
      </c>
      <c r="AI1507" s="145" t="s">
        <v>400</v>
      </c>
      <c r="AJ1507" s="145">
        <v>40.299999999999997</v>
      </c>
      <c r="AK1507" s="145">
        <v>0.17</v>
      </c>
      <c r="AL1507" s="145">
        <v>10.08</v>
      </c>
      <c r="AM1507" s="145">
        <v>6.76</v>
      </c>
    </row>
    <row r="1508" spans="1:39">
      <c r="A1508" s="143" t="s">
        <v>2568</v>
      </c>
      <c r="B1508" s="144">
        <v>100</v>
      </c>
      <c r="C1508" s="145">
        <v>300</v>
      </c>
      <c r="D1508" s="145">
        <v>8</v>
      </c>
      <c r="E1508" s="145">
        <v>3.1</v>
      </c>
      <c r="F1508" s="145">
        <v>1</v>
      </c>
      <c r="G1508" s="145">
        <v>0.9</v>
      </c>
      <c r="H1508" s="145">
        <v>0.7</v>
      </c>
      <c r="I1508" s="145">
        <v>0.7</v>
      </c>
      <c r="J1508" s="145">
        <v>0.04</v>
      </c>
      <c r="K1508" s="145" t="s">
        <v>400</v>
      </c>
      <c r="L1508" s="145">
        <v>58.6</v>
      </c>
      <c r="M1508" s="145">
        <v>2.2999999999999998</v>
      </c>
      <c r="N1508" s="145">
        <v>16</v>
      </c>
      <c r="O1508" s="145">
        <v>25</v>
      </c>
      <c r="P1508" s="145">
        <v>0.46</v>
      </c>
      <c r="Q1508" s="145">
        <v>95</v>
      </c>
      <c r="R1508" s="145">
        <v>1</v>
      </c>
      <c r="S1508" s="145">
        <v>648</v>
      </c>
      <c r="T1508" s="145">
        <v>142</v>
      </c>
      <c r="U1508" s="145">
        <v>0.13</v>
      </c>
      <c r="V1508" s="145">
        <v>0.8</v>
      </c>
      <c r="W1508" s="145">
        <v>3</v>
      </c>
      <c r="X1508" s="145">
        <v>0.39</v>
      </c>
      <c r="Y1508" s="145">
        <v>0.67</v>
      </c>
      <c r="Z1508" s="145">
        <v>0.6</v>
      </c>
      <c r="AA1508" s="145">
        <v>2.34</v>
      </c>
      <c r="AB1508" s="145" t="s">
        <v>400</v>
      </c>
      <c r="AC1508" s="145" t="s">
        <v>400</v>
      </c>
      <c r="AD1508" s="145" t="s">
        <v>400</v>
      </c>
      <c r="AE1508" s="145" t="s">
        <v>400</v>
      </c>
      <c r="AF1508" s="145" t="s">
        <v>400</v>
      </c>
      <c r="AG1508" s="145" t="s">
        <v>400</v>
      </c>
      <c r="AH1508" s="145">
        <v>0.37</v>
      </c>
      <c r="AI1508" s="145" t="s">
        <v>400</v>
      </c>
      <c r="AJ1508" s="145" t="s">
        <v>400</v>
      </c>
      <c r="AK1508" s="145" t="s">
        <v>400</v>
      </c>
      <c r="AL1508" s="145" t="s">
        <v>400</v>
      </c>
      <c r="AM1508" s="145" t="s">
        <v>400</v>
      </c>
    </row>
    <row r="1509" spans="1:39">
      <c r="A1509" s="143" t="s">
        <v>2569</v>
      </c>
      <c r="B1509" s="144">
        <v>100</v>
      </c>
      <c r="C1509" s="145">
        <v>377</v>
      </c>
      <c r="D1509" s="145">
        <v>10.5</v>
      </c>
      <c r="E1509" s="145">
        <v>3.3</v>
      </c>
      <c r="F1509" s="145">
        <v>0.9</v>
      </c>
      <c r="G1509" s="145">
        <v>0.8</v>
      </c>
      <c r="H1509" s="145">
        <v>1</v>
      </c>
      <c r="I1509" s="145">
        <v>0.99</v>
      </c>
      <c r="J1509" s="145">
        <v>0.05</v>
      </c>
      <c r="K1509" s="145" t="s">
        <v>400</v>
      </c>
      <c r="L1509" s="145">
        <v>74.599999999999994</v>
      </c>
      <c r="M1509" s="145">
        <v>3.4</v>
      </c>
      <c r="N1509" s="145">
        <v>19</v>
      </c>
      <c r="O1509" s="145">
        <v>32</v>
      </c>
      <c r="P1509" s="145">
        <v>0.55000000000000004</v>
      </c>
      <c r="Q1509" s="145">
        <v>114</v>
      </c>
      <c r="R1509" s="145">
        <v>1.2</v>
      </c>
      <c r="S1509" s="145">
        <v>829</v>
      </c>
      <c r="T1509" s="145">
        <v>189</v>
      </c>
      <c r="U1509" s="145">
        <v>0.16</v>
      </c>
      <c r="V1509" s="145">
        <v>0.9</v>
      </c>
      <c r="W1509" s="145" t="s">
        <v>400</v>
      </c>
      <c r="X1509" s="145">
        <v>0.38</v>
      </c>
      <c r="Y1509" s="145" t="s">
        <v>400</v>
      </c>
      <c r="Z1509" s="145" t="s">
        <v>400</v>
      </c>
      <c r="AA1509" s="145" t="s">
        <v>400</v>
      </c>
      <c r="AB1509" s="145" t="s">
        <v>400</v>
      </c>
      <c r="AC1509" s="145" t="s">
        <v>400</v>
      </c>
      <c r="AD1509" s="145" t="s">
        <v>400</v>
      </c>
      <c r="AE1509" s="145" t="s">
        <v>400</v>
      </c>
      <c r="AF1509" s="145" t="s">
        <v>400</v>
      </c>
      <c r="AG1509" s="145" t="s">
        <v>400</v>
      </c>
      <c r="AH1509" s="145">
        <v>0.45</v>
      </c>
      <c r="AI1509" s="145" t="s">
        <v>400</v>
      </c>
      <c r="AJ1509" s="145" t="s">
        <v>400</v>
      </c>
      <c r="AK1509" s="145" t="s">
        <v>400</v>
      </c>
      <c r="AL1509" s="145" t="s">
        <v>400</v>
      </c>
      <c r="AM1509" s="145" t="s">
        <v>400</v>
      </c>
    </row>
    <row r="1510" spans="1:39">
      <c r="A1510" s="143" t="s">
        <v>2570</v>
      </c>
      <c r="B1510" s="144">
        <v>100</v>
      </c>
      <c r="C1510" s="145">
        <v>422.97</v>
      </c>
      <c r="D1510" s="145">
        <v>4.54</v>
      </c>
      <c r="E1510" s="145">
        <v>20.61</v>
      </c>
      <c r="F1510" s="145">
        <v>8.06</v>
      </c>
      <c r="G1510" s="145">
        <v>7.72</v>
      </c>
      <c r="H1510" s="145">
        <v>2.84</v>
      </c>
      <c r="I1510" s="145">
        <v>2.65</v>
      </c>
      <c r="J1510" s="145">
        <v>0.17</v>
      </c>
      <c r="K1510" s="145">
        <v>31.95</v>
      </c>
      <c r="L1510" s="145">
        <v>55.53</v>
      </c>
      <c r="M1510" s="145">
        <v>1.07</v>
      </c>
      <c r="N1510" s="145">
        <v>66.53</v>
      </c>
      <c r="O1510" s="145">
        <v>10.54</v>
      </c>
      <c r="P1510" s="145">
        <v>0.28000000000000003</v>
      </c>
      <c r="Q1510" s="145">
        <v>75.849999999999994</v>
      </c>
      <c r="R1510" s="145">
        <v>1.62</v>
      </c>
      <c r="S1510" s="145">
        <v>175.07</v>
      </c>
      <c r="T1510" s="145">
        <v>74.069999999999993</v>
      </c>
      <c r="U1510" s="145">
        <v>0.06</v>
      </c>
      <c r="V1510" s="145">
        <v>0.4</v>
      </c>
      <c r="W1510" s="145">
        <v>53.61</v>
      </c>
      <c r="X1510" s="145">
        <v>0.24</v>
      </c>
      <c r="Y1510" s="145">
        <v>0.22</v>
      </c>
      <c r="Z1510" s="145">
        <v>0.03</v>
      </c>
      <c r="AA1510" s="145">
        <v>1.78</v>
      </c>
      <c r="AB1510" s="145">
        <v>0.08</v>
      </c>
      <c r="AC1510" s="145">
        <v>2.71</v>
      </c>
      <c r="AD1510" s="145">
        <v>0.15</v>
      </c>
      <c r="AE1510" s="145">
        <v>64.5</v>
      </c>
      <c r="AF1510" s="145">
        <v>0.24</v>
      </c>
      <c r="AG1510" s="145">
        <v>1.1000000000000001</v>
      </c>
      <c r="AH1510" s="145">
        <v>3.55</v>
      </c>
      <c r="AI1510" s="145" t="s">
        <v>400</v>
      </c>
      <c r="AJ1510" s="145">
        <v>13.22</v>
      </c>
      <c r="AK1510" s="145">
        <v>55.42</v>
      </c>
      <c r="AL1510" s="145">
        <v>31.83</v>
      </c>
      <c r="AM1510" s="145">
        <v>31.54</v>
      </c>
    </row>
    <row r="1511" spans="1:39">
      <c r="A1511" s="143" t="s">
        <v>2571</v>
      </c>
      <c r="B1511" s="144">
        <v>100</v>
      </c>
      <c r="C1511" s="145">
        <v>443</v>
      </c>
      <c r="D1511" s="145">
        <v>8.1</v>
      </c>
      <c r="E1511" s="145">
        <v>12</v>
      </c>
      <c r="F1511" s="145">
        <v>3.9</v>
      </c>
      <c r="G1511" s="145">
        <v>3.7</v>
      </c>
      <c r="H1511" s="145">
        <v>2.2000000000000002</v>
      </c>
      <c r="I1511" s="145">
        <v>2.13</v>
      </c>
      <c r="J1511" s="145">
        <v>0.1</v>
      </c>
      <c r="K1511" s="145" t="s">
        <v>400</v>
      </c>
      <c r="L1511" s="145">
        <v>75.2</v>
      </c>
      <c r="M1511" s="145">
        <v>2.1</v>
      </c>
      <c r="N1511" s="145">
        <v>54</v>
      </c>
      <c r="O1511" s="145">
        <v>37</v>
      </c>
      <c r="P1511" s="145" t="s">
        <v>400</v>
      </c>
      <c r="Q1511" s="145">
        <v>166</v>
      </c>
      <c r="R1511" s="145">
        <v>1.8</v>
      </c>
      <c r="S1511" s="145">
        <v>352</v>
      </c>
      <c r="T1511" s="145">
        <v>142</v>
      </c>
      <c r="U1511" s="145">
        <v>0.17</v>
      </c>
      <c r="V1511" s="145">
        <v>1</v>
      </c>
      <c r="W1511" s="145" t="s">
        <v>400</v>
      </c>
      <c r="X1511" s="145">
        <v>1.01</v>
      </c>
      <c r="Y1511" s="145">
        <v>0.42</v>
      </c>
      <c r="Z1511" s="145" t="s">
        <v>400</v>
      </c>
      <c r="AA1511" s="145">
        <v>3.91</v>
      </c>
      <c r="AB1511" s="145" t="s">
        <v>400</v>
      </c>
      <c r="AC1511" s="145" t="s">
        <v>400</v>
      </c>
      <c r="AD1511" s="145" t="s">
        <v>400</v>
      </c>
      <c r="AE1511" s="145" t="s">
        <v>400</v>
      </c>
      <c r="AF1511" s="145" t="s">
        <v>400</v>
      </c>
      <c r="AG1511" s="145" t="s">
        <v>400</v>
      </c>
      <c r="AH1511" s="145">
        <v>1.58</v>
      </c>
      <c r="AI1511" s="145" t="s">
        <v>400</v>
      </c>
      <c r="AJ1511" s="145" t="s">
        <v>400</v>
      </c>
      <c r="AK1511" s="145" t="s">
        <v>400</v>
      </c>
      <c r="AL1511" s="145">
        <v>36.520000000000003</v>
      </c>
      <c r="AM1511" s="145">
        <v>36.53</v>
      </c>
    </row>
    <row r="1512" spans="1:39">
      <c r="A1512" s="143" t="s">
        <v>2572</v>
      </c>
      <c r="B1512" s="144">
        <v>100</v>
      </c>
      <c r="C1512" s="145">
        <v>245.75</v>
      </c>
      <c r="D1512" s="145">
        <v>12.829000000000001</v>
      </c>
      <c r="E1512" s="145">
        <v>9.8450000000000006</v>
      </c>
      <c r="F1512" s="145">
        <v>5.2409999999999997</v>
      </c>
      <c r="G1512" s="145">
        <v>3.105</v>
      </c>
      <c r="H1512" s="145">
        <v>0.70199999999999996</v>
      </c>
      <c r="I1512" s="145">
        <v>0.59599999999999997</v>
      </c>
      <c r="J1512" s="145">
        <v>0.08</v>
      </c>
      <c r="K1512" s="145">
        <v>47.296999999999997</v>
      </c>
      <c r="L1512" s="145">
        <v>25.802</v>
      </c>
      <c r="M1512" s="145">
        <v>1.18</v>
      </c>
      <c r="N1512" s="145">
        <v>213.03200000000001</v>
      </c>
      <c r="O1512" s="145">
        <v>19.039000000000001</v>
      </c>
      <c r="P1512" s="145">
        <v>0.24199999999999999</v>
      </c>
      <c r="Q1512" s="145">
        <v>208.42099999999999</v>
      </c>
      <c r="R1512" s="145">
        <v>1.9330000000000001</v>
      </c>
      <c r="S1512" s="145">
        <v>511</v>
      </c>
      <c r="T1512" s="145">
        <v>143.54300000000001</v>
      </c>
      <c r="U1512" s="145">
        <v>8.5000000000000006E-2</v>
      </c>
      <c r="V1512" s="145">
        <v>1.42</v>
      </c>
      <c r="W1512" s="145">
        <v>61.99</v>
      </c>
      <c r="X1512" s="145">
        <v>0.3</v>
      </c>
      <c r="Y1512" s="145">
        <v>0.33500000000000002</v>
      </c>
      <c r="Z1512" s="146">
        <v>8.2000000000000003E-2</v>
      </c>
      <c r="AA1512" s="145">
        <v>2.4750000000000001</v>
      </c>
      <c r="AB1512" s="145">
        <v>3.92</v>
      </c>
      <c r="AC1512" s="145">
        <v>6.1319999999999997</v>
      </c>
      <c r="AD1512" s="145">
        <v>0.752</v>
      </c>
      <c r="AE1512" s="145">
        <v>86.006</v>
      </c>
      <c r="AF1512" s="145">
        <v>0.17499999999999999</v>
      </c>
      <c r="AG1512" s="145">
        <v>0.30299999999999999</v>
      </c>
      <c r="AH1512" s="145">
        <v>0.19600000000000001</v>
      </c>
      <c r="AI1512" s="145" t="s">
        <v>400</v>
      </c>
      <c r="AJ1512" s="145">
        <v>19.315000000000001</v>
      </c>
      <c r="AK1512" s="145">
        <v>70.055999999999997</v>
      </c>
      <c r="AL1512" s="145">
        <v>1.518</v>
      </c>
      <c r="AM1512" s="145">
        <v>0.66300000000000003</v>
      </c>
    </row>
    <row r="1513" spans="1:39">
      <c r="A1513" s="143" t="s">
        <v>2573</v>
      </c>
      <c r="B1513" s="144">
        <v>100</v>
      </c>
      <c r="C1513" s="145">
        <v>432</v>
      </c>
      <c r="D1513" s="145">
        <v>10.1</v>
      </c>
      <c r="E1513" s="145">
        <v>14.4</v>
      </c>
      <c r="F1513" s="145">
        <v>4.4000000000000004</v>
      </c>
      <c r="G1513" s="145">
        <v>4.5999999999999996</v>
      </c>
      <c r="H1513" s="145">
        <v>2.9</v>
      </c>
      <c r="I1513" s="145">
        <v>2.79</v>
      </c>
      <c r="J1513" s="145">
        <v>0.01</v>
      </c>
      <c r="K1513" s="145" t="s">
        <v>400</v>
      </c>
      <c r="L1513" s="145">
        <v>68.7</v>
      </c>
      <c r="M1513" s="145">
        <v>2.5</v>
      </c>
      <c r="N1513" s="145">
        <v>20</v>
      </c>
      <c r="O1513" s="145">
        <v>40</v>
      </c>
      <c r="P1513" s="145" t="s">
        <v>400</v>
      </c>
      <c r="Q1513" s="145">
        <v>148</v>
      </c>
      <c r="R1513" s="145">
        <v>2.2000000000000002</v>
      </c>
      <c r="S1513" s="145">
        <v>854</v>
      </c>
      <c r="T1513" s="145">
        <v>181</v>
      </c>
      <c r="U1513" s="145">
        <v>0.18</v>
      </c>
      <c r="V1513" s="145">
        <v>1.1000000000000001</v>
      </c>
      <c r="W1513" s="145" t="s">
        <v>400</v>
      </c>
      <c r="X1513" s="145">
        <v>0.71</v>
      </c>
      <c r="Y1513" s="145">
        <v>0.13</v>
      </c>
      <c r="Z1513" s="145">
        <v>0.17</v>
      </c>
      <c r="AA1513" s="145">
        <v>7.14</v>
      </c>
      <c r="AB1513" s="145" t="s">
        <v>400</v>
      </c>
      <c r="AC1513" s="145" t="s">
        <v>400</v>
      </c>
      <c r="AD1513" s="145" t="s">
        <v>400</v>
      </c>
      <c r="AE1513" s="145" t="s">
        <v>400</v>
      </c>
      <c r="AF1513" s="145" t="s">
        <v>400</v>
      </c>
      <c r="AG1513" s="145" t="s">
        <v>400</v>
      </c>
      <c r="AH1513" s="145">
        <v>1.8</v>
      </c>
      <c r="AI1513" s="145" t="s">
        <v>400</v>
      </c>
      <c r="AJ1513" s="145" t="s">
        <v>400</v>
      </c>
      <c r="AK1513" s="145" t="s">
        <v>400</v>
      </c>
      <c r="AL1513" s="145">
        <v>10.64</v>
      </c>
      <c r="AM1513" s="145">
        <v>10.58</v>
      </c>
    </row>
    <row r="1514" spans="1:39">
      <c r="A1514" s="143" t="s">
        <v>2574</v>
      </c>
      <c r="B1514" s="144">
        <v>100</v>
      </c>
      <c r="C1514" s="145">
        <v>432</v>
      </c>
      <c r="D1514" s="145">
        <v>10.1</v>
      </c>
      <c r="E1514" s="145">
        <v>14.4</v>
      </c>
      <c r="F1514" s="145">
        <v>4.4000000000000004</v>
      </c>
      <c r="G1514" s="145">
        <v>4.5999999999999996</v>
      </c>
      <c r="H1514" s="145">
        <v>2.9</v>
      </c>
      <c r="I1514" s="145">
        <v>2.79</v>
      </c>
      <c r="J1514" s="145">
        <v>0.01</v>
      </c>
      <c r="K1514" s="145" t="s">
        <v>400</v>
      </c>
      <c r="L1514" s="145">
        <v>68.7</v>
      </c>
      <c r="M1514" s="145">
        <v>2.5</v>
      </c>
      <c r="N1514" s="145">
        <v>20</v>
      </c>
      <c r="O1514" s="145">
        <v>40</v>
      </c>
      <c r="P1514" s="145" t="s">
        <v>400</v>
      </c>
      <c r="Q1514" s="145">
        <v>148</v>
      </c>
      <c r="R1514" s="145">
        <v>2.2000000000000002</v>
      </c>
      <c r="S1514" s="145">
        <v>854</v>
      </c>
      <c r="T1514" s="145">
        <v>181</v>
      </c>
      <c r="U1514" s="145">
        <v>0.18</v>
      </c>
      <c r="V1514" s="145">
        <v>1.1000000000000001</v>
      </c>
      <c r="W1514" s="145" t="s">
        <v>400</v>
      </c>
      <c r="X1514" s="145">
        <v>0.71</v>
      </c>
      <c r="Y1514" s="145">
        <v>0.13</v>
      </c>
      <c r="Z1514" s="145">
        <v>0.17</v>
      </c>
      <c r="AA1514" s="145">
        <v>7.14</v>
      </c>
      <c r="AB1514" s="145" t="s">
        <v>400</v>
      </c>
      <c r="AC1514" s="145" t="s">
        <v>400</v>
      </c>
      <c r="AD1514" s="145" t="s">
        <v>400</v>
      </c>
      <c r="AE1514" s="145" t="s">
        <v>400</v>
      </c>
      <c r="AF1514" s="145" t="s">
        <v>400</v>
      </c>
      <c r="AG1514" s="145" t="s">
        <v>400</v>
      </c>
      <c r="AH1514" s="145">
        <v>1.8</v>
      </c>
      <c r="AI1514" s="145" t="s">
        <v>400</v>
      </c>
      <c r="AJ1514" s="145" t="s">
        <v>400</v>
      </c>
      <c r="AK1514" s="145" t="s">
        <v>400</v>
      </c>
      <c r="AL1514" s="145">
        <v>10.64</v>
      </c>
      <c r="AM1514" s="145">
        <v>10.58</v>
      </c>
    </row>
    <row r="1515" spans="1:39">
      <c r="A1515" s="143" t="s">
        <v>2575</v>
      </c>
      <c r="B1515" s="144">
        <v>100</v>
      </c>
      <c r="C1515" s="145">
        <v>508.99</v>
      </c>
      <c r="D1515" s="145">
        <v>8.8770000000000007</v>
      </c>
      <c r="E1515" s="145">
        <v>25.396000000000001</v>
      </c>
      <c r="F1515" s="145">
        <v>5.4</v>
      </c>
      <c r="G1515" s="145">
        <v>8.8520000000000003</v>
      </c>
      <c r="H1515" s="145">
        <v>9.8179999999999996</v>
      </c>
      <c r="I1515" s="145">
        <v>9.1750000000000007</v>
      </c>
      <c r="J1515" s="145">
        <v>0.628</v>
      </c>
      <c r="K1515" s="145">
        <v>8.8999999999999996E-2</v>
      </c>
      <c r="L1515" s="145">
        <v>60.738</v>
      </c>
      <c r="M1515" s="145">
        <v>2.5449999999999999</v>
      </c>
      <c r="N1515" s="145">
        <v>31.341000000000001</v>
      </c>
      <c r="O1515" s="145">
        <v>18.247</v>
      </c>
      <c r="P1515" s="145">
        <v>0.54600000000000004</v>
      </c>
      <c r="Q1515" s="145">
        <v>92.966999999999999</v>
      </c>
      <c r="R1515" s="145">
        <v>3.76</v>
      </c>
      <c r="S1515" s="145">
        <v>833.40800000000002</v>
      </c>
      <c r="T1515" s="145">
        <v>96.792000000000002</v>
      </c>
      <c r="U1515" s="145">
        <v>0.13700000000000001</v>
      </c>
      <c r="V1515" s="145">
        <v>0.61899999999999999</v>
      </c>
      <c r="W1515" s="145">
        <v>0.249</v>
      </c>
      <c r="X1515" s="145">
        <v>0.63300000000000001</v>
      </c>
      <c r="Y1515" s="145">
        <v>0.42</v>
      </c>
      <c r="Z1515" s="146">
        <v>4.2999999999999997E-2</v>
      </c>
      <c r="AA1515" s="145">
        <v>4.867</v>
      </c>
      <c r="AB1515" s="145">
        <v>2E-3</v>
      </c>
      <c r="AC1515" s="145">
        <v>6.69</v>
      </c>
      <c r="AD1515" s="145">
        <v>4.0000000000000001E-3</v>
      </c>
      <c r="AE1515" s="145">
        <v>173.245</v>
      </c>
      <c r="AF1515" s="145">
        <v>1E-3</v>
      </c>
      <c r="AG1515" s="145">
        <v>5.7720000000000002</v>
      </c>
      <c r="AH1515" s="145">
        <v>0.755</v>
      </c>
      <c r="AI1515" s="145" t="s">
        <v>400</v>
      </c>
      <c r="AJ1515" s="145">
        <v>30.216000000000001</v>
      </c>
      <c r="AK1515" s="145">
        <v>0.60499999999999998</v>
      </c>
      <c r="AL1515" s="145">
        <v>0.32200000000000001</v>
      </c>
      <c r="AM1515" s="145" t="s">
        <v>400</v>
      </c>
    </row>
    <row r="1516" spans="1:39">
      <c r="A1516" s="143" t="s">
        <v>2576</v>
      </c>
      <c r="B1516" s="144">
        <v>100</v>
      </c>
      <c r="C1516" s="145">
        <v>436.72</v>
      </c>
      <c r="D1516" s="145">
        <v>4.46</v>
      </c>
      <c r="E1516" s="145">
        <v>29.08</v>
      </c>
      <c r="F1516" s="145">
        <v>4.6500000000000004</v>
      </c>
      <c r="G1516" s="145">
        <v>19.920000000000002</v>
      </c>
      <c r="H1516" s="145">
        <v>3.17</v>
      </c>
      <c r="I1516" s="145">
        <v>2.89</v>
      </c>
      <c r="J1516" s="145">
        <v>0.21</v>
      </c>
      <c r="K1516" s="145">
        <v>150.27000000000001</v>
      </c>
      <c r="L1516" s="145">
        <v>38.369999999999997</v>
      </c>
      <c r="M1516" s="145" t="s">
        <v>400</v>
      </c>
      <c r="N1516" s="145">
        <v>18.28</v>
      </c>
      <c r="O1516" s="145">
        <v>3.56</v>
      </c>
      <c r="P1516" s="145">
        <v>0.01</v>
      </c>
      <c r="Q1516" s="145">
        <v>60.96</v>
      </c>
      <c r="R1516" s="145">
        <v>0.56999999999999995</v>
      </c>
      <c r="S1516" s="145">
        <v>536.67999999999995</v>
      </c>
      <c r="T1516" s="145">
        <v>45.01</v>
      </c>
      <c r="U1516" s="145" t="s">
        <v>400</v>
      </c>
      <c r="V1516" s="145">
        <v>0.37</v>
      </c>
      <c r="W1516" s="145">
        <v>59.54</v>
      </c>
      <c r="X1516" s="145">
        <v>0.02</v>
      </c>
      <c r="Y1516" s="145">
        <v>0.18</v>
      </c>
      <c r="Z1516" s="145">
        <v>0.04</v>
      </c>
      <c r="AA1516" s="145">
        <v>0.02</v>
      </c>
      <c r="AB1516" s="145" t="s">
        <v>400</v>
      </c>
      <c r="AC1516" s="145">
        <v>0.93</v>
      </c>
      <c r="AD1516" s="145">
        <v>0.39</v>
      </c>
      <c r="AE1516" s="145">
        <v>15.59</v>
      </c>
      <c r="AF1516" s="145">
        <v>0.45</v>
      </c>
      <c r="AG1516" s="145">
        <v>4</v>
      </c>
      <c r="AH1516" s="145">
        <v>0.04</v>
      </c>
      <c r="AI1516" s="145" t="s">
        <v>400</v>
      </c>
      <c r="AJ1516" s="145">
        <v>10.92</v>
      </c>
      <c r="AK1516" s="145">
        <v>60.01</v>
      </c>
      <c r="AL1516" s="145">
        <v>0.43</v>
      </c>
      <c r="AM1516" s="145" t="s">
        <v>400</v>
      </c>
    </row>
    <row r="1517" spans="1:39">
      <c r="A1517" s="143" t="s">
        <v>2577</v>
      </c>
      <c r="B1517" s="144">
        <v>100</v>
      </c>
      <c r="C1517" s="145">
        <v>432</v>
      </c>
      <c r="D1517" s="145">
        <v>10.1</v>
      </c>
      <c r="E1517" s="145">
        <v>14.4</v>
      </c>
      <c r="F1517" s="145">
        <v>4.4000000000000004</v>
      </c>
      <c r="G1517" s="145">
        <v>4.5999999999999996</v>
      </c>
      <c r="H1517" s="145">
        <v>2.9</v>
      </c>
      <c r="I1517" s="145">
        <v>2.79</v>
      </c>
      <c r="J1517" s="145">
        <v>0.01</v>
      </c>
      <c r="K1517" s="145" t="s">
        <v>400</v>
      </c>
      <c r="L1517" s="145">
        <v>68.7</v>
      </c>
      <c r="M1517" s="145">
        <v>2.5</v>
      </c>
      <c r="N1517" s="145">
        <v>20</v>
      </c>
      <c r="O1517" s="145">
        <v>40</v>
      </c>
      <c r="P1517" s="145" t="s">
        <v>400</v>
      </c>
      <c r="Q1517" s="145">
        <v>148</v>
      </c>
      <c r="R1517" s="145">
        <v>2.2000000000000002</v>
      </c>
      <c r="S1517" s="145">
        <v>854</v>
      </c>
      <c r="T1517" s="145">
        <v>181</v>
      </c>
      <c r="U1517" s="145">
        <v>0.18</v>
      </c>
      <c r="V1517" s="145">
        <v>1.1000000000000001</v>
      </c>
      <c r="W1517" s="145" t="s">
        <v>400</v>
      </c>
      <c r="X1517" s="145">
        <v>0.71</v>
      </c>
      <c r="Y1517" s="145">
        <v>0.13</v>
      </c>
      <c r="Z1517" s="145">
        <v>0.17</v>
      </c>
      <c r="AA1517" s="145">
        <v>7.14</v>
      </c>
      <c r="AB1517" s="145" t="s">
        <v>400</v>
      </c>
      <c r="AC1517" s="145" t="s">
        <v>400</v>
      </c>
      <c r="AD1517" s="145" t="s">
        <v>400</v>
      </c>
      <c r="AE1517" s="145" t="s">
        <v>400</v>
      </c>
      <c r="AF1517" s="145" t="s">
        <v>400</v>
      </c>
      <c r="AG1517" s="145" t="s">
        <v>400</v>
      </c>
      <c r="AH1517" s="145">
        <v>1.8</v>
      </c>
      <c r="AI1517" s="145" t="s">
        <v>400</v>
      </c>
      <c r="AJ1517" s="145" t="s">
        <v>400</v>
      </c>
      <c r="AK1517" s="145" t="s">
        <v>400</v>
      </c>
      <c r="AL1517" s="145">
        <v>10.64</v>
      </c>
      <c r="AM1517" s="145">
        <v>10.58</v>
      </c>
    </row>
    <row r="1518" spans="1:39">
      <c r="A1518" s="143" t="s">
        <v>2578</v>
      </c>
      <c r="B1518" s="144">
        <v>100</v>
      </c>
      <c r="C1518" s="145">
        <v>558.86</v>
      </c>
      <c r="D1518" s="145">
        <v>5.0750000000000002</v>
      </c>
      <c r="E1518" s="145">
        <v>35.253</v>
      </c>
      <c r="F1518" s="145">
        <v>5.4569999999999999</v>
      </c>
      <c r="G1518" s="145">
        <v>7.9889999999999999</v>
      </c>
      <c r="H1518" s="145">
        <v>20.145</v>
      </c>
      <c r="I1518" s="145">
        <v>17.824000000000002</v>
      </c>
      <c r="J1518" s="145">
        <v>2.3220000000000001</v>
      </c>
      <c r="K1518" s="145" t="s">
        <v>400</v>
      </c>
      <c r="L1518" s="145">
        <v>55.405000000000001</v>
      </c>
      <c r="M1518" s="145">
        <v>2.758</v>
      </c>
      <c r="N1518" s="145">
        <v>2.4700000000000002</v>
      </c>
      <c r="O1518" s="145">
        <v>24.515000000000001</v>
      </c>
      <c r="P1518" s="145">
        <v>0.129</v>
      </c>
      <c r="Q1518" s="145">
        <v>73.5</v>
      </c>
      <c r="R1518" s="145">
        <v>3.0459999999999998</v>
      </c>
      <c r="S1518" s="145">
        <v>601.77300000000002</v>
      </c>
      <c r="T1518" s="145">
        <v>106.523</v>
      </c>
      <c r="U1518" s="145">
        <v>5.3999999999999999E-2</v>
      </c>
      <c r="V1518" s="145">
        <v>0.502</v>
      </c>
      <c r="W1518" s="145" t="s">
        <v>400</v>
      </c>
      <c r="X1518" s="145">
        <v>0.43</v>
      </c>
      <c r="Y1518" s="145">
        <v>0.29099999999999998</v>
      </c>
      <c r="Z1518" s="145">
        <v>0.13900000000000001</v>
      </c>
      <c r="AA1518" s="145">
        <v>3.7160000000000002</v>
      </c>
      <c r="AB1518" s="145" t="s">
        <v>400</v>
      </c>
      <c r="AC1518" s="145">
        <v>4.1710000000000003</v>
      </c>
      <c r="AD1518" s="145" t="s">
        <v>400</v>
      </c>
      <c r="AE1518" s="145">
        <v>85.4</v>
      </c>
      <c r="AF1518" s="145" t="s">
        <v>400</v>
      </c>
      <c r="AG1518" s="145">
        <v>2.8929999999999998</v>
      </c>
      <c r="AH1518" s="145">
        <v>0.18099999999999999</v>
      </c>
      <c r="AI1518" s="145" t="s">
        <v>400</v>
      </c>
      <c r="AJ1518" s="145">
        <v>23.704000000000001</v>
      </c>
      <c r="AK1518" s="145">
        <v>7.4960000000000004</v>
      </c>
      <c r="AL1518" s="145">
        <v>1.169</v>
      </c>
      <c r="AM1518" s="145" t="s">
        <v>400</v>
      </c>
    </row>
    <row r="1519" spans="1:39">
      <c r="A1519" s="143" t="s">
        <v>2579</v>
      </c>
      <c r="B1519" s="144">
        <v>100</v>
      </c>
      <c r="C1519" s="145">
        <v>508.99</v>
      </c>
      <c r="D1519" s="145">
        <v>8.8770000000000007</v>
      </c>
      <c r="E1519" s="145">
        <v>25.396000000000001</v>
      </c>
      <c r="F1519" s="145">
        <v>5.4</v>
      </c>
      <c r="G1519" s="145">
        <v>8.8520000000000003</v>
      </c>
      <c r="H1519" s="145">
        <v>9.8179999999999996</v>
      </c>
      <c r="I1519" s="145">
        <v>9.1750000000000007</v>
      </c>
      <c r="J1519" s="145">
        <v>0.628</v>
      </c>
      <c r="K1519" s="145">
        <v>8.8999999999999996E-2</v>
      </c>
      <c r="L1519" s="145">
        <v>60.738</v>
      </c>
      <c r="M1519" s="145">
        <v>2.5449999999999999</v>
      </c>
      <c r="N1519" s="145">
        <v>31.341000000000001</v>
      </c>
      <c r="O1519" s="145">
        <v>18.247</v>
      </c>
      <c r="P1519" s="145">
        <v>0.54600000000000004</v>
      </c>
      <c r="Q1519" s="145">
        <v>92.966999999999999</v>
      </c>
      <c r="R1519" s="145">
        <v>3.76</v>
      </c>
      <c r="S1519" s="145">
        <v>833.40800000000002</v>
      </c>
      <c r="T1519" s="145">
        <v>96.792000000000002</v>
      </c>
      <c r="U1519" s="145">
        <v>0.13700000000000001</v>
      </c>
      <c r="V1519" s="145">
        <v>0.61899999999999999</v>
      </c>
      <c r="W1519" s="145">
        <v>0.249</v>
      </c>
      <c r="X1519" s="145">
        <v>0.63300000000000001</v>
      </c>
      <c r="Y1519" s="145">
        <v>0.42</v>
      </c>
      <c r="Z1519" s="146">
        <v>4.2999999999999997E-2</v>
      </c>
      <c r="AA1519" s="145">
        <v>4.867</v>
      </c>
      <c r="AB1519" s="145">
        <v>2E-3</v>
      </c>
      <c r="AC1519" s="145">
        <v>6.69</v>
      </c>
      <c r="AD1519" s="145">
        <v>4.0000000000000001E-3</v>
      </c>
      <c r="AE1519" s="145">
        <v>173.245</v>
      </c>
      <c r="AF1519" s="145">
        <v>1E-3</v>
      </c>
      <c r="AG1519" s="145">
        <v>5.7720000000000002</v>
      </c>
      <c r="AH1519" s="145">
        <v>0.755</v>
      </c>
      <c r="AI1519" s="145" t="s">
        <v>400</v>
      </c>
      <c r="AJ1519" s="145">
        <v>30.216000000000001</v>
      </c>
      <c r="AK1519" s="145">
        <v>0.60499999999999998</v>
      </c>
      <c r="AL1519" s="145">
        <v>0.32200000000000001</v>
      </c>
      <c r="AM1519" s="145" t="s">
        <v>400</v>
      </c>
    </row>
    <row r="1520" spans="1:39">
      <c r="A1520" s="143" t="s">
        <v>2580</v>
      </c>
      <c r="B1520" s="144">
        <v>100</v>
      </c>
      <c r="C1520" s="145">
        <v>412.43200000000002</v>
      </c>
      <c r="D1520" s="145">
        <v>11.487</v>
      </c>
      <c r="E1520" s="145">
        <v>16.068000000000001</v>
      </c>
      <c r="F1520" s="145">
        <v>2.5390000000000001</v>
      </c>
      <c r="G1520" s="145">
        <v>3.4980000000000002</v>
      </c>
      <c r="H1520" s="145">
        <v>9.0250000000000004</v>
      </c>
      <c r="I1520" s="145">
        <v>8.0069999999999997</v>
      </c>
      <c r="J1520" s="145">
        <v>1.016</v>
      </c>
      <c r="K1520" s="145" t="s">
        <v>400</v>
      </c>
      <c r="L1520" s="145">
        <v>60.85</v>
      </c>
      <c r="M1520" s="145">
        <v>10.23</v>
      </c>
      <c r="N1520" s="145">
        <v>28.905000000000001</v>
      </c>
      <c r="O1520" s="145">
        <v>115.729</v>
      </c>
      <c r="P1520" s="145">
        <v>3.1869999999999998</v>
      </c>
      <c r="Q1520" s="145">
        <v>290.12099999999998</v>
      </c>
      <c r="R1520" s="145">
        <v>3.266</v>
      </c>
      <c r="S1520" s="145">
        <v>643.70000000000005</v>
      </c>
      <c r="T1520" s="145">
        <v>339.72500000000002</v>
      </c>
      <c r="U1520" s="145">
        <v>0.32100000000000001</v>
      </c>
      <c r="V1520" s="145">
        <v>2.46</v>
      </c>
      <c r="W1520" s="145" t="s">
        <v>400</v>
      </c>
      <c r="X1520" s="145">
        <v>0.375</v>
      </c>
      <c r="Y1520" s="145">
        <v>0.18</v>
      </c>
      <c r="Z1520" s="146">
        <v>0.28599999999999998</v>
      </c>
      <c r="AA1520" s="145">
        <v>5.3369999999999997</v>
      </c>
      <c r="AB1520" s="145" t="s">
        <v>400</v>
      </c>
      <c r="AC1520" s="145">
        <v>8.3000000000000007</v>
      </c>
      <c r="AD1520" s="145" t="s">
        <v>400</v>
      </c>
      <c r="AE1520" s="145">
        <v>36.893999999999998</v>
      </c>
      <c r="AF1520" s="145" t="s">
        <v>400</v>
      </c>
      <c r="AG1520" s="145">
        <v>1.8740000000000001</v>
      </c>
      <c r="AH1520" s="145">
        <v>7.6999999999999999E-2</v>
      </c>
      <c r="AI1520" s="145" t="s">
        <v>400</v>
      </c>
      <c r="AJ1520" s="145">
        <v>65.929000000000002</v>
      </c>
      <c r="AK1520" s="145">
        <v>0.34899999999999998</v>
      </c>
      <c r="AL1520" s="145">
        <v>0.503</v>
      </c>
      <c r="AM1520" s="145" t="s">
        <v>400</v>
      </c>
    </row>
    <row r="1521" spans="1:39">
      <c r="A1521" s="143" t="s">
        <v>2581</v>
      </c>
      <c r="B1521" s="144">
        <v>100</v>
      </c>
      <c r="C1521" s="145">
        <v>443</v>
      </c>
      <c r="D1521" s="145">
        <v>8.1</v>
      </c>
      <c r="E1521" s="145">
        <v>12</v>
      </c>
      <c r="F1521" s="145">
        <v>3.9</v>
      </c>
      <c r="G1521" s="145">
        <v>3.7</v>
      </c>
      <c r="H1521" s="145">
        <v>2.2000000000000002</v>
      </c>
      <c r="I1521" s="145">
        <v>2.13</v>
      </c>
      <c r="J1521" s="145">
        <v>0.1</v>
      </c>
      <c r="K1521" s="145" t="s">
        <v>400</v>
      </c>
      <c r="L1521" s="145">
        <v>75.2</v>
      </c>
      <c r="M1521" s="145">
        <v>2.1</v>
      </c>
      <c r="N1521" s="145">
        <v>54</v>
      </c>
      <c r="O1521" s="145">
        <v>37</v>
      </c>
      <c r="P1521" s="145" t="s">
        <v>400</v>
      </c>
      <c r="Q1521" s="145">
        <v>166</v>
      </c>
      <c r="R1521" s="145">
        <v>1.8</v>
      </c>
      <c r="S1521" s="145">
        <v>352</v>
      </c>
      <c r="T1521" s="145">
        <v>142</v>
      </c>
      <c r="U1521" s="145">
        <v>0.17</v>
      </c>
      <c r="V1521" s="145">
        <v>1</v>
      </c>
      <c r="W1521" s="145" t="s">
        <v>400</v>
      </c>
      <c r="X1521" s="145">
        <v>1.01</v>
      </c>
      <c r="Y1521" s="145">
        <v>0.42</v>
      </c>
      <c r="Z1521" s="145" t="s">
        <v>400</v>
      </c>
      <c r="AA1521" s="145">
        <v>3.91</v>
      </c>
      <c r="AB1521" s="145" t="s">
        <v>400</v>
      </c>
      <c r="AC1521" s="145" t="s">
        <v>400</v>
      </c>
      <c r="AD1521" s="145" t="s">
        <v>400</v>
      </c>
      <c r="AE1521" s="145" t="s">
        <v>400</v>
      </c>
      <c r="AF1521" s="145" t="s">
        <v>400</v>
      </c>
      <c r="AG1521" s="145" t="s">
        <v>400</v>
      </c>
      <c r="AH1521" s="145">
        <v>1.58</v>
      </c>
      <c r="AI1521" s="145" t="s">
        <v>400</v>
      </c>
      <c r="AJ1521" s="145" t="s">
        <v>400</v>
      </c>
      <c r="AK1521" s="145" t="s">
        <v>400</v>
      </c>
      <c r="AL1521" s="145">
        <v>36.520000000000003</v>
      </c>
      <c r="AM1521" s="145">
        <v>36.53</v>
      </c>
    </row>
    <row r="1522" spans="1:39">
      <c r="A1522" s="143" t="s">
        <v>2582</v>
      </c>
      <c r="B1522" s="144">
        <v>100</v>
      </c>
      <c r="C1522" s="145">
        <v>443</v>
      </c>
      <c r="D1522" s="145">
        <v>8.1</v>
      </c>
      <c r="E1522" s="145">
        <v>12</v>
      </c>
      <c r="F1522" s="145">
        <v>3.9</v>
      </c>
      <c r="G1522" s="145">
        <v>3.7</v>
      </c>
      <c r="H1522" s="145">
        <v>2.2000000000000002</v>
      </c>
      <c r="I1522" s="145">
        <v>2.13</v>
      </c>
      <c r="J1522" s="145">
        <v>0.1</v>
      </c>
      <c r="K1522" s="145" t="s">
        <v>400</v>
      </c>
      <c r="L1522" s="145">
        <v>75.2</v>
      </c>
      <c r="M1522" s="145">
        <v>2.1</v>
      </c>
      <c r="N1522" s="145">
        <v>54</v>
      </c>
      <c r="O1522" s="145">
        <v>37</v>
      </c>
      <c r="P1522" s="145" t="s">
        <v>400</v>
      </c>
      <c r="Q1522" s="145">
        <v>166</v>
      </c>
      <c r="R1522" s="145">
        <v>1.8</v>
      </c>
      <c r="S1522" s="145">
        <v>352</v>
      </c>
      <c r="T1522" s="145">
        <v>142</v>
      </c>
      <c r="U1522" s="145">
        <v>0.17</v>
      </c>
      <c r="V1522" s="145">
        <v>1</v>
      </c>
      <c r="W1522" s="145" t="s">
        <v>400</v>
      </c>
      <c r="X1522" s="145">
        <v>1.01</v>
      </c>
      <c r="Y1522" s="145">
        <v>0.42</v>
      </c>
      <c r="Z1522" s="145" t="s">
        <v>400</v>
      </c>
      <c r="AA1522" s="145">
        <v>3.91</v>
      </c>
      <c r="AB1522" s="145" t="s">
        <v>400</v>
      </c>
      <c r="AC1522" s="145" t="s">
        <v>400</v>
      </c>
      <c r="AD1522" s="145" t="s">
        <v>400</v>
      </c>
      <c r="AE1522" s="145" t="s">
        <v>400</v>
      </c>
      <c r="AF1522" s="145" t="s">
        <v>400</v>
      </c>
      <c r="AG1522" s="145" t="s">
        <v>400</v>
      </c>
      <c r="AH1522" s="145">
        <v>1.58</v>
      </c>
      <c r="AI1522" s="145" t="s">
        <v>400</v>
      </c>
      <c r="AJ1522" s="145" t="s">
        <v>400</v>
      </c>
      <c r="AK1522" s="145" t="s">
        <v>400</v>
      </c>
      <c r="AL1522" s="145">
        <v>36.520000000000003</v>
      </c>
      <c r="AM1522" s="145">
        <v>36.53</v>
      </c>
    </row>
    <row r="1523" spans="1:39">
      <c r="A1523" s="143" t="s">
        <v>2583</v>
      </c>
      <c r="B1523" s="144">
        <v>100</v>
      </c>
      <c r="C1523" s="145">
        <v>443</v>
      </c>
      <c r="D1523" s="145">
        <v>8.1</v>
      </c>
      <c r="E1523" s="145">
        <v>12</v>
      </c>
      <c r="F1523" s="145">
        <v>3.9</v>
      </c>
      <c r="G1523" s="145">
        <v>3.7</v>
      </c>
      <c r="H1523" s="145">
        <v>2.2000000000000002</v>
      </c>
      <c r="I1523" s="145">
        <v>2.13</v>
      </c>
      <c r="J1523" s="145">
        <v>0.1</v>
      </c>
      <c r="K1523" s="145" t="s">
        <v>400</v>
      </c>
      <c r="L1523" s="145">
        <v>75.2</v>
      </c>
      <c r="M1523" s="145">
        <v>2.1</v>
      </c>
      <c r="N1523" s="145">
        <v>54</v>
      </c>
      <c r="O1523" s="145">
        <v>37</v>
      </c>
      <c r="P1523" s="145" t="s">
        <v>400</v>
      </c>
      <c r="Q1523" s="145">
        <v>166</v>
      </c>
      <c r="R1523" s="145">
        <v>1.8</v>
      </c>
      <c r="S1523" s="145">
        <v>352</v>
      </c>
      <c r="T1523" s="145">
        <v>142</v>
      </c>
      <c r="U1523" s="145">
        <v>0.17</v>
      </c>
      <c r="V1523" s="145">
        <v>1</v>
      </c>
      <c r="W1523" s="145" t="s">
        <v>400</v>
      </c>
      <c r="X1523" s="145">
        <v>1.01</v>
      </c>
      <c r="Y1523" s="145">
        <v>0.42</v>
      </c>
      <c r="Z1523" s="145" t="s">
        <v>400</v>
      </c>
      <c r="AA1523" s="145">
        <v>3.91</v>
      </c>
      <c r="AB1523" s="145" t="s">
        <v>400</v>
      </c>
      <c r="AC1523" s="145" t="s">
        <v>400</v>
      </c>
      <c r="AD1523" s="145" t="s">
        <v>400</v>
      </c>
      <c r="AE1523" s="145" t="s">
        <v>400</v>
      </c>
      <c r="AF1523" s="145" t="s">
        <v>400</v>
      </c>
      <c r="AG1523" s="145" t="s">
        <v>400</v>
      </c>
      <c r="AH1523" s="145">
        <v>1.58</v>
      </c>
      <c r="AI1523" s="145" t="s">
        <v>400</v>
      </c>
      <c r="AJ1523" s="145" t="s">
        <v>400</v>
      </c>
      <c r="AK1523" s="145" t="s">
        <v>400</v>
      </c>
      <c r="AL1523" s="145">
        <v>36.520000000000003</v>
      </c>
      <c r="AM1523" s="145">
        <v>36.53</v>
      </c>
    </row>
    <row r="1524" spans="1:39">
      <c r="A1524" s="143" t="s">
        <v>2584</v>
      </c>
      <c r="B1524" s="144">
        <v>100</v>
      </c>
      <c r="C1524" s="145">
        <v>443</v>
      </c>
      <c r="D1524" s="145">
        <v>8.1</v>
      </c>
      <c r="E1524" s="145">
        <v>12</v>
      </c>
      <c r="F1524" s="145">
        <v>3.9</v>
      </c>
      <c r="G1524" s="145">
        <v>3.7</v>
      </c>
      <c r="H1524" s="145">
        <v>2.2000000000000002</v>
      </c>
      <c r="I1524" s="145">
        <v>2.13</v>
      </c>
      <c r="J1524" s="145">
        <v>0.1</v>
      </c>
      <c r="K1524" s="145" t="s">
        <v>400</v>
      </c>
      <c r="L1524" s="145">
        <v>75.2</v>
      </c>
      <c r="M1524" s="145">
        <v>2.1</v>
      </c>
      <c r="N1524" s="145">
        <v>54</v>
      </c>
      <c r="O1524" s="145">
        <v>37</v>
      </c>
      <c r="P1524" s="145" t="s">
        <v>400</v>
      </c>
      <c r="Q1524" s="145">
        <v>166</v>
      </c>
      <c r="R1524" s="145">
        <v>1.8</v>
      </c>
      <c r="S1524" s="145">
        <v>352</v>
      </c>
      <c r="T1524" s="145">
        <v>142</v>
      </c>
      <c r="U1524" s="145">
        <v>0.17</v>
      </c>
      <c r="V1524" s="145">
        <v>1</v>
      </c>
      <c r="W1524" s="145" t="s">
        <v>400</v>
      </c>
      <c r="X1524" s="145">
        <v>1.01</v>
      </c>
      <c r="Y1524" s="145">
        <v>0.42</v>
      </c>
      <c r="Z1524" s="145" t="s">
        <v>400</v>
      </c>
      <c r="AA1524" s="145">
        <v>3.91</v>
      </c>
      <c r="AB1524" s="145" t="s">
        <v>400</v>
      </c>
      <c r="AC1524" s="145" t="s">
        <v>400</v>
      </c>
      <c r="AD1524" s="145" t="s">
        <v>400</v>
      </c>
      <c r="AE1524" s="145" t="s">
        <v>400</v>
      </c>
      <c r="AF1524" s="145" t="s">
        <v>400</v>
      </c>
      <c r="AG1524" s="145" t="s">
        <v>400</v>
      </c>
      <c r="AH1524" s="145">
        <v>1.58</v>
      </c>
      <c r="AI1524" s="145" t="s">
        <v>400</v>
      </c>
      <c r="AJ1524" s="145" t="s">
        <v>400</v>
      </c>
      <c r="AK1524" s="145" t="s">
        <v>400</v>
      </c>
      <c r="AL1524" s="145">
        <v>36.520000000000003</v>
      </c>
      <c r="AM1524" s="145">
        <v>36.53</v>
      </c>
    </row>
    <row r="1525" spans="1:39">
      <c r="A1525" s="143" t="s">
        <v>2585</v>
      </c>
      <c r="B1525" s="144">
        <v>100</v>
      </c>
      <c r="C1525" s="145">
        <v>432</v>
      </c>
      <c r="D1525" s="145">
        <v>10.1</v>
      </c>
      <c r="E1525" s="145">
        <v>14.4</v>
      </c>
      <c r="F1525" s="145">
        <v>4.4000000000000004</v>
      </c>
      <c r="G1525" s="145">
        <v>4.5999999999999996</v>
      </c>
      <c r="H1525" s="145">
        <v>2.9</v>
      </c>
      <c r="I1525" s="145">
        <v>2.79</v>
      </c>
      <c r="J1525" s="145">
        <v>0.01</v>
      </c>
      <c r="K1525" s="145" t="s">
        <v>400</v>
      </c>
      <c r="L1525" s="145">
        <v>68.7</v>
      </c>
      <c r="M1525" s="145">
        <v>2.5</v>
      </c>
      <c r="N1525" s="145">
        <v>20</v>
      </c>
      <c r="O1525" s="145">
        <v>40</v>
      </c>
      <c r="P1525" s="145" t="s">
        <v>400</v>
      </c>
      <c r="Q1525" s="145">
        <v>148</v>
      </c>
      <c r="R1525" s="145">
        <v>2.2000000000000002</v>
      </c>
      <c r="S1525" s="145">
        <v>854</v>
      </c>
      <c r="T1525" s="145">
        <v>181</v>
      </c>
      <c r="U1525" s="145">
        <v>0.18</v>
      </c>
      <c r="V1525" s="145">
        <v>1.1000000000000001</v>
      </c>
      <c r="W1525" s="145" t="s">
        <v>400</v>
      </c>
      <c r="X1525" s="145">
        <v>0.71</v>
      </c>
      <c r="Y1525" s="145">
        <v>0.13</v>
      </c>
      <c r="Z1525" s="145">
        <v>0.17</v>
      </c>
      <c r="AA1525" s="145">
        <v>7.14</v>
      </c>
      <c r="AB1525" s="145" t="s">
        <v>400</v>
      </c>
      <c r="AC1525" s="145" t="s">
        <v>400</v>
      </c>
      <c r="AD1525" s="145" t="s">
        <v>400</v>
      </c>
      <c r="AE1525" s="145" t="s">
        <v>400</v>
      </c>
      <c r="AF1525" s="145" t="s">
        <v>400</v>
      </c>
      <c r="AG1525" s="145" t="s">
        <v>400</v>
      </c>
      <c r="AH1525" s="145">
        <v>1.8</v>
      </c>
      <c r="AI1525" s="145" t="s">
        <v>400</v>
      </c>
      <c r="AJ1525" s="145" t="s">
        <v>400</v>
      </c>
      <c r="AK1525" s="145" t="s">
        <v>400</v>
      </c>
      <c r="AL1525" s="145">
        <v>10.64</v>
      </c>
      <c r="AM1525" s="145">
        <v>10.58</v>
      </c>
    </row>
    <row r="1526" spans="1:39">
      <c r="A1526" s="143" t="s">
        <v>2586</v>
      </c>
      <c r="B1526" s="144">
        <v>100</v>
      </c>
      <c r="C1526" s="145">
        <v>371.2187724479208</v>
      </c>
      <c r="D1526" s="145">
        <v>3.1846117008540187</v>
      </c>
      <c r="E1526" s="145">
        <v>14.614095298906534</v>
      </c>
      <c r="F1526" s="145">
        <v>2.7376486551201213</v>
      </c>
      <c r="G1526" s="145">
        <v>6.6086678904940523</v>
      </c>
      <c r="H1526" s="145">
        <v>4.2860563492696944</v>
      </c>
      <c r="I1526" s="145">
        <v>3.9428525820097375</v>
      </c>
      <c r="J1526" s="145">
        <v>0.2953148695027536</v>
      </c>
      <c r="K1526" s="145">
        <v>100.28733338654321</v>
      </c>
      <c r="L1526" s="145">
        <v>57.714103280389494</v>
      </c>
      <c r="M1526" s="145">
        <v>1.0615372336180062</v>
      </c>
      <c r="N1526" s="145">
        <v>29.068560938622394</v>
      </c>
      <c r="O1526" s="145">
        <v>3.7353340250618565</v>
      </c>
      <c r="P1526" s="145">
        <v>0.15164817623114374</v>
      </c>
      <c r="Q1526" s="145">
        <v>45.398675073828713</v>
      </c>
      <c r="R1526" s="145">
        <v>0.38311118205762629</v>
      </c>
      <c r="S1526" s="145">
        <v>162.39923377763589</v>
      </c>
      <c r="T1526" s="145">
        <v>39.931359246548006</v>
      </c>
      <c r="U1526" s="145">
        <v>2.3944448878601643E-2</v>
      </c>
      <c r="V1526" s="145">
        <v>0.2953148695027536</v>
      </c>
      <c r="W1526" s="145">
        <v>162.63069678346235</v>
      </c>
      <c r="X1526" s="145">
        <v>1.5962965919067762E-2</v>
      </c>
      <c r="Y1526" s="145">
        <v>0.1277037273525421</v>
      </c>
      <c r="Z1526" s="145">
        <v>3.1925931838135524E-2</v>
      </c>
      <c r="AA1526" s="145">
        <v>1.5962965919067762E-2</v>
      </c>
      <c r="AB1526" s="145">
        <v>3.1925931838135524E-2</v>
      </c>
      <c r="AC1526" s="145">
        <v>0.670444568600846</v>
      </c>
      <c r="AD1526" s="145">
        <v>0.27935190358368583</v>
      </c>
      <c r="AE1526" s="145">
        <v>12.674594939739803</v>
      </c>
      <c r="AF1526" s="145">
        <v>0.30329635246228748</v>
      </c>
      <c r="AG1526" s="145">
        <v>0.71035198339851546</v>
      </c>
      <c r="AH1526" s="145">
        <v>1.9075744273285975</v>
      </c>
      <c r="AI1526" s="145" t="s">
        <v>400</v>
      </c>
      <c r="AJ1526" s="145">
        <v>7.4068161864474407</v>
      </c>
      <c r="AK1526" s="145">
        <v>170.34879080533162</v>
      </c>
      <c r="AL1526" s="145">
        <v>30.114135206321329</v>
      </c>
      <c r="AM1526" s="145">
        <v>29.715061058344634</v>
      </c>
    </row>
    <row r="1527" spans="1:39">
      <c r="A1527" s="143" t="s">
        <v>2587</v>
      </c>
      <c r="B1527" s="144">
        <v>100</v>
      </c>
      <c r="C1527" s="145">
        <v>443</v>
      </c>
      <c r="D1527" s="145">
        <v>8.1</v>
      </c>
      <c r="E1527" s="145">
        <v>12</v>
      </c>
      <c r="F1527" s="145">
        <v>3.9</v>
      </c>
      <c r="G1527" s="145">
        <v>3.7</v>
      </c>
      <c r="H1527" s="145">
        <v>2.2000000000000002</v>
      </c>
      <c r="I1527" s="145">
        <v>2.13</v>
      </c>
      <c r="J1527" s="145">
        <v>0.1</v>
      </c>
      <c r="K1527" s="145" t="s">
        <v>400</v>
      </c>
      <c r="L1527" s="145">
        <v>75.2</v>
      </c>
      <c r="M1527" s="145">
        <v>2.1</v>
      </c>
      <c r="N1527" s="145">
        <v>54</v>
      </c>
      <c r="O1527" s="145">
        <v>37</v>
      </c>
      <c r="P1527" s="145" t="s">
        <v>400</v>
      </c>
      <c r="Q1527" s="145">
        <v>166</v>
      </c>
      <c r="R1527" s="145">
        <v>1.8</v>
      </c>
      <c r="S1527" s="145">
        <v>352</v>
      </c>
      <c r="T1527" s="145">
        <v>142</v>
      </c>
      <c r="U1527" s="145">
        <v>0.17</v>
      </c>
      <c r="V1527" s="145">
        <v>1</v>
      </c>
      <c r="W1527" s="145" t="s">
        <v>400</v>
      </c>
      <c r="X1527" s="145">
        <v>1.01</v>
      </c>
      <c r="Y1527" s="145">
        <v>0.42</v>
      </c>
      <c r="Z1527" s="145" t="s">
        <v>400</v>
      </c>
      <c r="AA1527" s="145">
        <v>3.91</v>
      </c>
      <c r="AB1527" s="145" t="s">
        <v>400</v>
      </c>
      <c r="AC1527" s="145" t="s">
        <v>400</v>
      </c>
      <c r="AD1527" s="145" t="s">
        <v>400</v>
      </c>
      <c r="AE1527" s="145" t="s">
        <v>400</v>
      </c>
      <c r="AF1527" s="145" t="s">
        <v>400</v>
      </c>
      <c r="AG1527" s="145" t="s">
        <v>400</v>
      </c>
      <c r="AH1527" s="145">
        <v>1.58</v>
      </c>
      <c r="AI1527" s="145" t="s">
        <v>400</v>
      </c>
      <c r="AJ1527" s="145" t="s">
        <v>400</v>
      </c>
      <c r="AK1527" s="145" t="s">
        <v>400</v>
      </c>
      <c r="AL1527" s="145">
        <v>36.520000000000003</v>
      </c>
      <c r="AM1527" s="145">
        <v>36.53</v>
      </c>
    </row>
    <row r="1528" spans="1:39">
      <c r="A1528" s="143" t="s">
        <v>2588</v>
      </c>
      <c r="B1528" s="144">
        <v>100</v>
      </c>
      <c r="C1528" s="145">
        <v>443</v>
      </c>
      <c r="D1528" s="145">
        <v>8.1</v>
      </c>
      <c r="E1528" s="145">
        <v>12</v>
      </c>
      <c r="F1528" s="145">
        <v>3.9</v>
      </c>
      <c r="G1528" s="145">
        <v>3.7</v>
      </c>
      <c r="H1528" s="145">
        <v>2.2000000000000002</v>
      </c>
      <c r="I1528" s="145">
        <v>2.13</v>
      </c>
      <c r="J1528" s="145">
        <v>0.1</v>
      </c>
      <c r="K1528" s="145" t="s">
        <v>400</v>
      </c>
      <c r="L1528" s="145">
        <v>75.2</v>
      </c>
      <c r="M1528" s="145">
        <v>2.1</v>
      </c>
      <c r="N1528" s="145">
        <v>54</v>
      </c>
      <c r="O1528" s="145">
        <v>37</v>
      </c>
      <c r="P1528" s="145" t="s">
        <v>400</v>
      </c>
      <c r="Q1528" s="145">
        <v>166</v>
      </c>
      <c r="R1528" s="145">
        <v>1.8</v>
      </c>
      <c r="S1528" s="145">
        <v>352</v>
      </c>
      <c r="T1528" s="145">
        <v>142</v>
      </c>
      <c r="U1528" s="145">
        <v>0.17</v>
      </c>
      <c r="V1528" s="145">
        <v>1</v>
      </c>
      <c r="W1528" s="145" t="s">
        <v>400</v>
      </c>
      <c r="X1528" s="145">
        <v>1.01</v>
      </c>
      <c r="Y1528" s="145">
        <v>0.42</v>
      </c>
      <c r="Z1528" s="145" t="s">
        <v>400</v>
      </c>
      <c r="AA1528" s="145">
        <v>3.91</v>
      </c>
      <c r="AB1528" s="145" t="s">
        <v>400</v>
      </c>
      <c r="AC1528" s="145" t="s">
        <v>400</v>
      </c>
      <c r="AD1528" s="145" t="s">
        <v>400</v>
      </c>
      <c r="AE1528" s="145" t="s">
        <v>400</v>
      </c>
      <c r="AF1528" s="145" t="s">
        <v>400</v>
      </c>
      <c r="AG1528" s="145" t="s">
        <v>400</v>
      </c>
      <c r="AH1528" s="145">
        <v>1.58</v>
      </c>
      <c r="AI1528" s="145" t="s">
        <v>400</v>
      </c>
      <c r="AJ1528" s="145" t="s">
        <v>400</v>
      </c>
      <c r="AK1528" s="145" t="s">
        <v>400</v>
      </c>
      <c r="AL1528" s="145">
        <v>36.520000000000003</v>
      </c>
      <c r="AM1528" s="145">
        <v>36.53</v>
      </c>
    </row>
    <row r="1529" spans="1:39">
      <c r="A1529" s="143" t="s">
        <v>2589</v>
      </c>
      <c r="B1529" s="144">
        <v>100</v>
      </c>
      <c r="C1529" s="145">
        <v>443</v>
      </c>
      <c r="D1529" s="145">
        <v>8.1</v>
      </c>
      <c r="E1529" s="145">
        <v>12</v>
      </c>
      <c r="F1529" s="145">
        <v>3.9</v>
      </c>
      <c r="G1529" s="145">
        <v>3.7</v>
      </c>
      <c r="H1529" s="145">
        <v>2.2000000000000002</v>
      </c>
      <c r="I1529" s="145">
        <v>2.13</v>
      </c>
      <c r="J1529" s="145">
        <v>0.1</v>
      </c>
      <c r="K1529" s="145" t="s">
        <v>400</v>
      </c>
      <c r="L1529" s="145">
        <v>75.2</v>
      </c>
      <c r="M1529" s="145">
        <v>2.1</v>
      </c>
      <c r="N1529" s="145">
        <v>54</v>
      </c>
      <c r="O1529" s="145">
        <v>37</v>
      </c>
      <c r="P1529" s="145" t="s">
        <v>400</v>
      </c>
      <c r="Q1529" s="145">
        <v>166</v>
      </c>
      <c r="R1529" s="145">
        <v>1.8</v>
      </c>
      <c r="S1529" s="145">
        <v>352</v>
      </c>
      <c r="T1529" s="145">
        <v>142</v>
      </c>
      <c r="U1529" s="145">
        <v>0.17</v>
      </c>
      <c r="V1529" s="145">
        <v>1</v>
      </c>
      <c r="W1529" s="145" t="s">
        <v>400</v>
      </c>
      <c r="X1529" s="145">
        <v>1.01</v>
      </c>
      <c r="Y1529" s="145">
        <v>0.42</v>
      </c>
      <c r="Z1529" s="145" t="s">
        <v>400</v>
      </c>
      <c r="AA1529" s="145">
        <v>3.91</v>
      </c>
      <c r="AB1529" s="145" t="s">
        <v>400</v>
      </c>
      <c r="AC1529" s="145" t="s">
        <v>400</v>
      </c>
      <c r="AD1529" s="145" t="s">
        <v>400</v>
      </c>
      <c r="AE1529" s="145" t="s">
        <v>400</v>
      </c>
      <c r="AF1529" s="145" t="s">
        <v>400</v>
      </c>
      <c r="AG1529" s="145" t="s">
        <v>400</v>
      </c>
      <c r="AH1529" s="145">
        <v>1.58</v>
      </c>
      <c r="AI1529" s="145" t="s">
        <v>400</v>
      </c>
      <c r="AJ1529" s="145" t="s">
        <v>400</v>
      </c>
      <c r="AK1529" s="145" t="s">
        <v>400</v>
      </c>
      <c r="AL1529" s="145">
        <v>36.520000000000003</v>
      </c>
      <c r="AM1529" s="145">
        <v>36.53</v>
      </c>
    </row>
    <row r="1530" spans="1:39">
      <c r="A1530" s="143" t="s">
        <v>2590</v>
      </c>
      <c r="B1530" s="144">
        <v>100</v>
      </c>
      <c r="C1530" s="145">
        <v>339.255</v>
      </c>
      <c r="D1530" s="145">
        <v>6.3209999999999997</v>
      </c>
      <c r="E1530" s="145">
        <v>26.927</v>
      </c>
      <c r="F1530" s="145">
        <v>15.901</v>
      </c>
      <c r="G1530" s="145">
        <v>7.6980000000000004</v>
      </c>
      <c r="H1530" s="145">
        <v>1.274</v>
      </c>
      <c r="I1530" s="145">
        <v>1.0629999999999999</v>
      </c>
      <c r="J1530" s="145">
        <v>0.156</v>
      </c>
      <c r="K1530" s="145">
        <v>194.01300000000001</v>
      </c>
      <c r="L1530" s="145">
        <v>18.547999999999998</v>
      </c>
      <c r="M1530" s="145">
        <v>0.54300000000000004</v>
      </c>
      <c r="N1530" s="145">
        <v>45.491999999999997</v>
      </c>
      <c r="O1530" s="145">
        <v>9.8439999999999994</v>
      </c>
      <c r="P1530" s="145">
        <v>0.13</v>
      </c>
      <c r="Q1530" s="145">
        <v>93.2</v>
      </c>
      <c r="R1530" s="145">
        <v>1.1830000000000001</v>
      </c>
      <c r="S1530" s="145">
        <v>50.561</v>
      </c>
      <c r="T1530" s="145">
        <v>92.241</v>
      </c>
      <c r="U1530" s="145">
        <v>3.7999999999999999E-2</v>
      </c>
      <c r="V1530" s="145">
        <v>0.52900000000000003</v>
      </c>
      <c r="W1530" s="145">
        <v>250.49199999999999</v>
      </c>
      <c r="X1530" s="145">
        <v>0.16800000000000001</v>
      </c>
      <c r="Y1530" s="145">
        <v>0.28399999999999997</v>
      </c>
      <c r="Z1530" s="146">
        <v>5.2999999999999999E-2</v>
      </c>
      <c r="AA1530" s="145">
        <v>1.0940000000000001</v>
      </c>
      <c r="AB1530" s="145">
        <v>0.20499999999999999</v>
      </c>
      <c r="AC1530" s="145">
        <v>2.41</v>
      </c>
      <c r="AD1530" s="145">
        <v>0.41299999999999998</v>
      </c>
      <c r="AE1530" s="145">
        <v>50.881</v>
      </c>
      <c r="AF1530" s="145">
        <v>0.96899999999999997</v>
      </c>
      <c r="AG1530" s="145">
        <v>0.98199999999999998</v>
      </c>
      <c r="AH1530" s="145">
        <v>0.90800000000000003</v>
      </c>
      <c r="AI1530" s="145" t="s">
        <v>400</v>
      </c>
      <c r="AJ1530" s="145">
        <v>15.217000000000001</v>
      </c>
      <c r="AK1530" s="145">
        <v>254.71799999999999</v>
      </c>
      <c r="AL1530" s="145">
        <v>4.9470000000000001</v>
      </c>
      <c r="AM1530" s="145">
        <v>3.573</v>
      </c>
    </row>
    <row r="1531" spans="1:39">
      <c r="A1531" s="143" t="s">
        <v>2591</v>
      </c>
      <c r="B1531" s="144">
        <v>100</v>
      </c>
      <c r="C1531" s="145">
        <v>355.226</v>
      </c>
      <c r="D1531" s="145">
        <v>5.1449999999999996</v>
      </c>
      <c r="E1531" s="145">
        <v>13.08</v>
      </c>
      <c r="F1531" s="145">
        <v>7.883</v>
      </c>
      <c r="G1531" s="145">
        <v>3.532</v>
      </c>
      <c r="H1531" s="145">
        <v>0.66</v>
      </c>
      <c r="I1531" s="145">
        <v>0.59799999999999998</v>
      </c>
      <c r="J1531" s="145">
        <v>5.3999999999999999E-2</v>
      </c>
      <c r="K1531" s="145">
        <v>44.088000000000001</v>
      </c>
      <c r="L1531" s="145">
        <v>55.826999999999998</v>
      </c>
      <c r="M1531" s="145">
        <v>2.0150000000000001</v>
      </c>
      <c r="N1531" s="145">
        <v>32.493000000000002</v>
      </c>
      <c r="O1531" s="145">
        <v>18.079000000000001</v>
      </c>
      <c r="P1531" s="145">
        <v>0.443</v>
      </c>
      <c r="Q1531" s="145">
        <v>73.438999999999993</v>
      </c>
      <c r="R1531" s="145">
        <v>2.09</v>
      </c>
      <c r="S1531" s="145">
        <v>194.291</v>
      </c>
      <c r="T1531" s="145">
        <v>98.677000000000007</v>
      </c>
      <c r="U1531" s="145">
        <v>0.107</v>
      </c>
      <c r="V1531" s="145">
        <v>0.499</v>
      </c>
      <c r="W1531" s="145">
        <v>95.852000000000004</v>
      </c>
      <c r="X1531" s="145">
        <v>0.307</v>
      </c>
      <c r="Y1531" s="145">
        <v>0.26</v>
      </c>
      <c r="Z1531" s="146">
        <v>3.5999999999999997E-2</v>
      </c>
      <c r="AA1531" s="145">
        <v>2.4039999999999999</v>
      </c>
      <c r="AB1531" s="145">
        <v>5.0999999999999997E-2</v>
      </c>
      <c r="AC1531" s="145">
        <v>3.4729999999999999</v>
      </c>
      <c r="AD1531" s="145">
        <v>0.108</v>
      </c>
      <c r="AE1531" s="145">
        <v>89.843999999999994</v>
      </c>
      <c r="AF1531" s="145">
        <v>0.38200000000000001</v>
      </c>
      <c r="AG1531" s="145">
        <v>0.39100000000000001</v>
      </c>
      <c r="AH1531" s="145">
        <v>0.41899999999999998</v>
      </c>
      <c r="AI1531" s="145" t="s">
        <v>400</v>
      </c>
      <c r="AJ1531" s="145">
        <v>14.371</v>
      </c>
      <c r="AK1531" s="145">
        <v>97.697999999999993</v>
      </c>
      <c r="AL1531" s="145">
        <v>26.571999999999999</v>
      </c>
      <c r="AM1531" s="145">
        <v>26.193999999999999</v>
      </c>
    </row>
    <row r="1532" spans="1:39">
      <c r="A1532" s="143" t="s">
        <v>2592</v>
      </c>
      <c r="B1532" s="144">
        <v>100</v>
      </c>
      <c r="C1532" s="145">
        <v>311</v>
      </c>
      <c r="D1532" s="145">
        <v>4.8</v>
      </c>
      <c r="E1532" s="145">
        <v>12.4</v>
      </c>
      <c r="F1532" s="145">
        <v>4.5</v>
      </c>
      <c r="G1532" s="145">
        <v>3.9</v>
      </c>
      <c r="H1532" s="145">
        <v>1.5</v>
      </c>
      <c r="I1532" s="145">
        <v>1.34</v>
      </c>
      <c r="J1532" s="145">
        <v>0.08</v>
      </c>
      <c r="K1532" s="145">
        <v>82</v>
      </c>
      <c r="L1532" s="145">
        <v>45.1</v>
      </c>
      <c r="M1532" s="145">
        <v>0.7</v>
      </c>
      <c r="N1532" s="145">
        <v>83</v>
      </c>
      <c r="O1532" s="145">
        <v>10</v>
      </c>
      <c r="P1532" s="145">
        <v>0.11</v>
      </c>
      <c r="Q1532" s="145">
        <v>128</v>
      </c>
      <c r="R1532" s="145">
        <v>0.7</v>
      </c>
      <c r="S1532" s="145">
        <v>134</v>
      </c>
      <c r="T1532" s="145">
        <v>118</v>
      </c>
      <c r="U1532" s="145">
        <v>0.04</v>
      </c>
      <c r="V1532" s="145">
        <v>0.4</v>
      </c>
      <c r="W1532" s="145">
        <v>57</v>
      </c>
      <c r="X1532" s="145">
        <v>0.11</v>
      </c>
      <c r="Y1532" s="145">
        <v>0.05</v>
      </c>
      <c r="Z1532" s="145" t="s">
        <v>400</v>
      </c>
      <c r="AA1532" s="145" t="s">
        <v>400</v>
      </c>
      <c r="AB1532" s="145" t="s">
        <v>400</v>
      </c>
      <c r="AC1532" s="145" t="s">
        <v>400</v>
      </c>
      <c r="AD1532" s="145" t="s">
        <v>400</v>
      </c>
      <c r="AE1532" s="145" t="s">
        <v>400</v>
      </c>
      <c r="AF1532" s="145" t="s">
        <v>400</v>
      </c>
      <c r="AG1532" s="145" t="s">
        <v>400</v>
      </c>
      <c r="AH1532" s="145">
        <v>1.99</v>
      </c>
      <c r="AI1532" s="145" t="s">
        <v>400</v>
      </c>
      <c r="AJ1532" s="145" t="s">
        <v>400</v>
      </c>
      <c r="AK1532" s="145" t="s">
        <v>400</v>
      </c>
      <c r="AL1532" s="145">
        <v>8.27</v>
      </c>
      <c r="AM1532" s="145">
        <v>5.68</v>
      </c>
    </row>
    <row r="1533" spans="1:39">
      <c r="A1533" s="143" t="s">
        <v>2593</v>
      </c>
      <c r="B1533" s="144">
        <v>100</v>
      </c>
      <c r="C1533" s="145">
        <v>311</v>
      </c>
      <c r="D1533" s="145">
        <v>4.8</v>
      </c>
      <c r="E1533" s="145">
        <v>12.4</v>
      </c>
      <c r="F1533" s="145">
        <v>4.5</v>
      </c>
      <c r="G1533" s="145">
        <v>3.9</v>
      </c>
      <c r="H1533" s="145">
        <v>1.5</v>
      </c>
      <c r="I1533" s="145">
        <v>1.34</v>
      </c>
      <c r="J1533" s="145">
        <v>0.08</v>
      </c>
      <c r="K1533" s="145">
        <v>82</v>
      </c>
      <c r="L1533" s="145">
        <v>45.1</v>
      </c>
      <c r="M1533" s="145">
        <v>0.7</v>
      </c>
      <c r="N1533" s="145">
        <v>83</v>
      </c>
      <c r="O1533" s="145">
        <v>10</v>
      </c>
      <c r="P1533" s="145">
        <v>0.11</v>
      </c>
      <c r="Q1533" s="145">
        <v>128</v>
      </c>
      <c r="R1533" s="145">
        <v>0.7</v>
      </c>
      <c r="S1533" s="145">
        <v>134</v>
      </c>
      <c r="T1533" s="145">
        <v>118</v>
      </c>
      <c r="U1533" s="145">
        <v>0.04</v>
      </c>
      <c r="V1533" s="145">
        <v>0.4</v>
      </c>
      <c r="W1533" s="145">
        <v>57</v>
      </c>
      <c r="X1533" s="145">
        <v>0.11</v>
      </c>
      <c r="Y1533" s="145">
        <v>0.05</v>
      </c>
      <c r="Z1533" s="145" t="s">
        <v>400</v>
      </c>
      <c r="AA1533" s="145" t="s">
        <v>400</v>
      </c>
      <c r="AB1533" s="145" t="s">
        <v>400</v>
      </c>
      <c r="AC1533" s="145" t="s">
        <v>400</v>
      </c>
      <c r="AD1533" s="145" t="s">
        <v>400</v>
      </c>
      <c r="AE1533" s="145" t="s">
        <v>400</v>
      </c>
      <c r="AF1533" s="145" t="s">
        <v>400</v>
      </c>
      <c r="AG1533" s="145" t="s">
        <v>400</v>
      </c>
      <c r="AH1533" s="145">
        <v>1.99</v>
      </c>
      <c r="AI1533" s="145" t="s">
        <v>400</v>
      </c>
      <c r="AJ1533" s="145" t="s">
        <v>400</v>
      </c>
      <c r="AK1533" s="145" t="s">
        <v>400</v>
      </c>
      <c r="AL1533" s="145">
        <v>8.27</v>
      </c>
      <c r="AM1533" s="145">
        <v>5.68</v>
      </c>
    </row>
    <row r="1534" spans="1:39">
      <c r="A1534" s="143" t="s">
        <v>2594</v>
      </c>
      <c r="B1534" s="144">
        <v>100</v>
      </c>
      <c r="C1534" s="145">
        <v>311</v>
      </c>
      <c r="D1534" s="145">
        <v>4.8</v>
      </c>
      <c r="E1534" s="145">
        <v>12.4</v>
      </c>
      <c r="F1534" s="145">
        <v>4.5</v>
      </c>
      <c r="G1534" s="145">
        <v>3.9</v>
      </c>
      <c r="H1534" s="145">
        <v>1.5</v>
      </c>
      <c r="I1534" s="145">
        <v>1.34</v>
      </c>
      <c r="J1534" s="145">
        <v>0.08</v>
      </c>
      <c r="K1534" s="145">
        <v>82</v>
      </c>
      <c r="L1534" s="145">
        <v>45.1</v>
      </c>
      <c r="M1534" s="145">
        <v>0.7</v>
      </c>
      <c r="N1534" s="145">
        <v>83</v>
      </c>
      <c r="O1534" s="145">
        <v>10</v>
      </c>
      <c r="P1534" s="145">
        <v>0.11</v>
      </c>
      <c r="Q1534" s="145">
        <v>128</v>
      </c>
      <c r="R1534" s="145">
        <v>0.7</v>
      </c>
      <c r="S1534" s="145">
        <v>134</v>
      </c>
      <c r="T1534" s="145">
        <v>118</v>
      </c>
      <c r="U1534" s="145">
        <v>0.04</v>
      </c>
      <c r="V1534" s="145">
        <v>0.4</v>
      </c>
      <c r="W1534" s="145">
        <v>57</v>
      </c>
      <c r="X1534" s="145">
        <v>0.11</v>
      </c>
      <c r="Y1534" s="145">
        <v>0.05</v>
      </c>
      <c r="Z1534" s="145" t="s">
        <v>400</v>
      </c>
      <c r="AA1534" s="145" t="s">
        <v>400</v>
      </c>
      <c r="AB1534" s="145" t="s">
        <v>400</v>
      </c>
      <c r="AC1534" s="145" t="s">
        <v>400</v>
      </c>
      <c r="AD1534" s="145" t="s">
        <v>400</v>
      </c>
      <c r="AE1534" s="145" t="s">
        <v>400</v>
      </c>
      <c r="AF1534" s="145" t="s">
        <v>400</v>
      </c>
      <c r="AG1534" s="145" t="s">
        <v>400</v>
      </c>
      <c r="AH1534" s="145">
        <v>1.99</v>
      </c>
      <c r="AI1534" s="145" t="s">
        <v>400</v>
      </c>
      <c r="AJ1534" s="145" t="s">
        <v>400</v>
      </c>
      <c r="AK1534" s="145" t="s">
        <v>400</v>
      </c>
      <c r="AL1534" s="145">
        <v>8.27</v>
      </c>
      <c r="AM1534" s="145">
        <v>5.68</v>
      </c>
    </row>
    <row r="1535" spans="1:39">
      <c r="A1535" s="143" t="s">
        <v>2595</v>
      </c>
      <c r="B1535" s="144">
        <v>100</v>
      </c>
      <c r="C1535" s="145">
        <v>421.36799999999999</v>
      </c>
      <c r="D1535" s="145">
        <v>5.5540000000000003</v>
      </c>
      <c r="E1535" s="145">
        <v>19.805</v>
      </c>
      <c r="F1535" s="145">
        <v>4.5739999999999998</v>
      </c>
      <c r="G1535" s="145">
        <v>9.5530000000000008</v>
      </c>
      <c r="H1535" s="145">
        <v>3.5049999999999999</v>
      </c>
      <c r="I1535" s="145">
        <v>3.2770000000000001</v>
      </c>
      <c r="J1535" s="145">
        <v>0.21099999999999999</v>
      </c>
      <c r="K1535" s="145">
        <v>40.098999999999997</v>
      </c>
      <c r="L1535" s="145">
        <v>55.697000000000003</v>
      </c>
      <c r="M1535" s="145">
        <v>1.2090000000000001</v>
      </c>
      <c r="N1535" s="145">
        <v>80.513999999999996</v>
      </c>
      <c r="O1535" s="145">
        <v>11.369</v>
      </c>
      <c r="P1535" s="145">
        <v>0.28100000000000003</v>
      </c>
      <c r="Q1535" s="145">
        <v>90.034999999999997</v>
      </c>
      <c r="R1535" s="145">
        <v>1.9530000000000001</v>
      </c>
      <c r="S1535" s="145">
        <v>211.107</v>
      </c>
      <c r="T1535" s="145">
        <v>78.114000000000004</v>
      </c>
      <c r="U1535" s="145">
        <v>0.06</v>
      </c>
      <c r="V1535" s="145">
        <v>0.436</v>
      </c>
      <c r="W1535" s="145">
        <v>66.353999999999999</v>
      </c>
      <c r="X1535" s="145">
        <v>0.30499999999999999</v>
      </c>
      <c r="Y1535" s="145">
        <v>0.26600000000000001</v>
      </c>
      <c r="Z1535" s="146">
        <v>3.4000000000000002E-2</v>
      </c>
      <c r="AA1535" s="145">
        <v>2.2250000000000001</v>
      </c>
      <c r="AB1535" s="145">
        <v>4.7E-2</v>
      </c>
      <c r="AC1535" s="145">
        <v>3.36</v>
      </c>
      <c r="AD1535" s="145">
        <v>0.17599999999999999</v>
      </c>
      <c r="AE1535" s="145">
        <v>80.918999999999997</v>
      </c>
      <c r="AF1535" s="145">
        <v>0.27900000000000003</v>
      </c>
      <c r="AG1535" s="145">
        <v>1.276</v>
      </c>
      <c r="AH1535" s="145">
        <v>4.4720000000000004</v>
      </c>
      <c r="AI1535" s="145" t="s">
        <v>400</v>
      </c>
      <c r="AJ1535" s="145">
        <v>15.997999999999999</v>
      </c>
      <c r="AK1535" s="145">
        <v>68.638999999999996</v>
      </c>
      <c r="AL1535" s="145">
        <v>26.606000000000002</v>
      </c>
      <c r="AM1535" s="145">
        <v>25.998000000000001</v>
      </c>
    </row>
    <row r="1536" spans="1:39">
      <c r="A1536" s="143" t="s">
        <v>2596</v>
      </c>
      <c r="B1536" s="144">
        <v>100</v>
      </c>
      <c r="C1536" s="145">
        <v>324</v>
      </c>
      <c r="D1536" s="145">
        <v>4.4000000000000004</v>
      </c>
      <c r="E1536" s="145">
        <v>12.7</v>
      </c>
      <c r="F1536" s="145">
        <v>5</v>
      </c>
      <c r="G1536" s="145">
        <v>3.9</v>
      </c>
      <c r="H1536" s="145">
        <v>1.1000000000000001</v>
      </c>
      <c r="I1536" s="145">
        <v>1</v>
      </c>
      <c r="J1536" s="145">
        <v>0.06</v>
      </c>
      <c r="K1536" s="145">
        <v>73</v>
      </c>
      <c r="L1536" s="145">
        <v>47.9</v>
      </c>
      <c r="M1536" s="145">
        <v>0.7</v>
      </c>
      <c r="N1536" s="145">
        <v>85</v>
      </c>
      <c r="O1536" s="145">
        <v>10</v>
      </c>
      <c r="P1536" s="145">
        <v>0.11</v>
      </c>
      <c r="Q1536" s="145">
        <v>122</v>
      </c>
      <c r="R1536" s="145">
        <v>0.5</v>
      </c>
      <c r="S1536" s="145">
        <v>111</v>
      </c>
      <c r="T1536" s="145">
        <v>135</v>
      </c>
      <c r="U1536" s="145">
        <v>0.05</v>
      </c>
      <c r="V1536" s="145">
        <v>0.4</v>
      </c>
      <c r="W1536" s="145" t="s">
        <v>400</v>
      </c>
      <c r="X1536" s="145">
        <v>0.13</v>
      </c>
      <c r="Y1536" s="145">
        <v>7.0000000000000007E-2</v>
      </c>
      <c r="Z1536" s="145" t="s">
        <v>400</v>
      </c>
      <c r="AA1536" s="145" t="s">
        <v>400</v>
      </c>
      <c r="AB1536" s="145" t="s">
        <v>400</v>
      </c>
      <c r="AC1536" s="145" t="s">
        <v>400</v>
      </c>
      <c r="AD1536" s="145" t="s">
        <v>400</v>
      </c>
      <c r="AE1536" s="145" t="s">
        <v>400</v>
      </c>
      <c r="AF1536" s="145" t="s">
        <v>400</v>
      </c>
      <c r="AG1536" s="145" t="s">
        <v>400</v>
      </c>
      <c r="AH1536" s="145">
        <v>1.99</v>
      </c>
      <c r="AI1536" s="145" t="s">
        <v>400</v>
      </c>
      <c r="AJ1536" s="145" t="s">
        <v>400</v>
      </c>
      <c r="AK1536" s="145" t="s">
        <v>400</v>
      </c>
      <c r="AL1536" s="145">
        <v>17.62</v>
      </c>
      <c r="AM1536" s="145">
        <v>15.81</v>
      </c>
    </row>
    <row r="1537" spans="1:39">
      <c r="A1537" s="143" t="s">
        <v>2597</v>
      </c>
      <c r="B1537" s="144">
        <v>100</v>
      </c>
      <c r="C1537" s="145">
        <v>324</v>
      </c>
      <c r="D1537" s="145">
        <v>4.4000000000000004</v>
      </c>
      <c r="E1537" s="145">
        <v>12.7</v>
      </c>
      <c r="F1537" s="145">
        <v>5</v>
      </c>
      <c r="G1537" s="145">
        <v>3.9</v>
      </c>
      <c r="H1537" s="145">
        <v>1.1000000000000001</v>
      </c>
      <c r="I1537" s="145">
        <v>1</v>
      </c>
      <c r="J1537" s="145">
        <v>0.06</v>
      </c>
      <c r="K1537" s="145">
        <v>73</v>
      </c>
      <c r="L1537" s="145">
        <v>47.9</v>
      </c>
      <c r="M1537" s="145">
        <v>0.7</v>
      </c>
      <c r="N1537" s="145">
        <v>85</v>
      </c>
      <c r="O1537" s="145">
        <v>10</v>
      </c>
      <c r="P1537" s="145">
        <v>0.11</v>
      </c>
      <c r="Q1537" s="145">
        <v>122</v>
      </c>
      <c r="R1537" s="145">
        <v>0.5</v>
      </c>
      <c r="S1537" s="145">
        <v>111</v>
      </c>
      <c r="T1537" s="145">
        <v>135</v>
      </c>
      <c r="U1537" s="145">
        <v>0.05</v>
      </c>
      <c r="V1537" s="145">
        <v>0.4</v>
      </c>
      <c r="W1537" s="145" t="s">
        <v>400</v>
      </c>
      <c r="X1537" s="145">
        <v>0.13</v>
      </c>
      <c r="Y1537" s="145">
        <v>7.0000000000000007E-2</v>
      </c>
      <c r="Z1537" s="145" t="s">
        <v>400</v>
      </c>
      <c r="AA1537" s="145" t="s">
        <v>400</v>
      </c>
      <c r="AB1537" s="145" t="s">
        <v>400</v>
      </c>
      <c r="AC1537" s="145" t="s">
        <v>400</v>
      </c>
      <c r="AD1537" s="145" t="s">
        <v>400</v>
      </c>
      <c r="AE1537" s="145" t="s">
        <v>400</v>
      </c>
      <c r="AF1537" s="145" t="s">
        <v>400</v>
      </c>
      <c r="AG1537" s="145" t="s">
        <v>400</v>
      </c>
      <c r="AH1537" s="145">
        <v>1.99</v>
      </c>
      <c r="AI1537" s="145" t="s">
        <v>400</v>
      </c>
      <c r="AJ1537" s="145" t="s">
        <v>400</v>
      </c>
      <c r="AK1537" s="145" t="s">
        <v>400</v>
      </c>
      <c r="AL1537" s="145">
        <v>17.62</v>
      </c>
      <c r="AM1537" s="145">
        <v>15.81</v>
      </c>
    </row>
    <row r="1538" spans="1:39">
      <c r="A1538" s="143" t="s">
        <v>2598</v>
      </c>
      <c r="B1538" s="144">
        <v>100</v>
      </c>
      <c r="C1538" s="145">
        <v>324</v>
      </c>
      <c r="D1538" s="145">
        <v>4.4000000000000004</v>
      </c>
      <c r="E1538" s="145">
        <v>12.7</v>
      </c>
      <c r="F1538" s="145">
        <v>5</v>
      </c>
      <c r="G1538" s="145">
        <v>3.9</v>
      </c>
      <c r="H1538" s="145">
        <v>1.1000000000000001</v>
      </c>
      <c r="I1538" s="145">
        <v>1</v>
      </c>
      <c r="J1538" s="145">
        <v>0.06</v>
      </c>
      <c r="K1538" s="145">
        <v>73</v>
      </c>
      <c r="L1538" s="145">
        <v>47.9</v>
      </c>
      <c r="M1538" s="145">
        <v>0.7</v>
      </c>
      <c r="N1538" s="145">
        <v>85</v>
      </c>
      <c r="O1538" s="145">
        <v>10</v>
      </c>
      <c r="P1538" s="145">
        <v>0.11</v>
      </c>
      <c r="Q1538" s="145">
        <v>122</v>
      </c>
      <c r="R1538" s="145">
        <v>0.5</v>
      </c>
      <c r="S1538" s="145">
        <v>111</v>
      </c>
      <c r="T1538" s="145">
        <v>135</v>
      </c>
      <c r="U1538" s="145">
        <v>0.05</v>
      </c>
      <c r="V1538" s="145">
        <v>0.4</v>
      </c>
      <c r="W1538" s="145" t="s">
        <v>400</v>
      </c>
      <c r="X1538" s="145">
        <v>0.13</v>
      </c>
      <c r="Y1538" s="145">
        <v>7.0000000000000007E-2</v>
      </c>
      <c r="Z1538" s="145" t="s">
        <v>400</v>
      </c>
      <c r="AA1538" s="145" t="s">
        <v>400</v>
      </c>
      <c r="AB1538" s="145" t="s">
        <v>400</v>
      </c>
      <c r="AC1538" s="145" t="s">
        <v>400</v>
      </c>
      <c r="AD1538" s="145" t="s">
        <v>400</v>
      </c>
      <c r="AE1538" s="145" t="s">
        <v>400</v>
      </c>
      <c r="AF1538" s="145" t="s">
        <v>400</v>
      </c>
      <c r="AG1538" s="145" t="s">
        <v>400</v>
      </c>
      <c r="AH1538" s="145">
        <v>1.99</v>
      </c>
      <c r="AI1538" s="145" t="s">
        <v>400</v>
      </c>
      <c r="AJ1538" s="145" t="s">
        <v>400</v>
      </c>
      <c r="AK1538" s="145" t="s">
        <v>400</v>
      </c>
      <c r="AL1538" s="145">
        <v>17.62</v>
      </c>
      <c r="AM1538" s="145">
        <v>15.81</v>
      </c>
    </row>
    <row r="1539" spans="1:39">
      <c r="A1539" s="143" t="s">
        <v>2599</v>
      </c>
      <c r="B1539" s="144">
        <v>100</v>
      </c>
      <c r="C1539" s="145">
        <v>324</v>
      </c>
      <c r="D1539" s="145">
        <v>4.4000000000000004</v>
      </c>
      <c r="E1539" s="145">
        <v>12.7</v>
      </c>
      <c r="F1539" s="145">
        <v>5</v>
      </c>
      <c r="G1539" s="145">
        <v>3.9</v>
      </c>
      <c r="H1539" s="145">
        <v>1.1000000000000001</v>
      </c>
      <c r="I1539" s="145">
        <v>1</v>
      </c>
      <c r="J1539" s="145">
        <v>0.06</v>
      </c>
      <c r="K1539" s="145">
        <v>73</v>
      </c>
      <c r="L1539" s="145">
        <v>47.9</v>
      </c>
      <c r="M1539" s="145">
        <v>0.7</v>
      </c>
      <c r="N1539" s="145">
        <v>85</v>
      </c>
      <c r="O1539" s="145">
        <v>10</v>
      </c>
      <c r="P1539" s="145">
        <v>0.11</v>
      </c>
      <c r="Q1539" s="145">
        <v>122</v>
      </c>
      <c r="R1539" s="145">
        <v>0.5</v>
      </c>
      <c r="S1539" s="145">
        <v>111</v>
      </c>
      <c r="T1539" s="145">
        <v>135</v>
      </c>
      <c r="U1539" s="145">
        <v>0.05</v>
      </c>
      <c r="V1539" s="145">
        <v>0.4</v>
      </c>
      <c r="W1539" s="145" t="s">
        <v>400</v>
      </c>
      <c r="X1539" s="145">
        <v>0.13</v>
      </c>
      <c r="Y1539" s="145">
        <v>7.0000000000000007E-2</v>
      </c>
      <c r="Z1539" s="145" t="s">
        <v>400</v>
      </c>
      <c r="AA1539" s="145" t="s">
        <v>400</v>
      </c>
      <c r="AB1539" s="145" t="s">
        <v>400</v>
      </c>
      <c r="AC1539" s="145" t="s">
        <v>400</v>
      </c>
      <c r="AD1539" s="145" t="s">
        <v>400</v>
      </c>
      <c r="AE1539" s="145" t="s">
        <v>400</v>
      </c>
      <c r="AF1539" s="145" t="s">
        <v>400</v>
      </c>
      <c r="AG1539" s="145" t="s">
        <v>400</v>
      </c>
      <c r="AH1539" s="145">
        <v>1.99</v>
      </c>
      <c r="AI1539" s="145" t="s">
        <v>400</v>
      </c>
      <c r="AJ1539" s="145" t="s">
        <v>400</v>
      </c>
      <c r="AK1539" s="145" t="s">
        <v>400</v>
      </c>
      <c r="AL1539" s="145">
        <v>17.62</v>
      </c>
      <c r="AM1539" s="145">
        <v>15.81</v>
      </c>
    </row>
    <row r="1540" spans="1:39">
      <c r="A1540" s="143" t="s">
        <v>2600</v>
      </c>
      <c r="B1540" s="144">
        <v>100</v>
      </c>
      <c r="C1540" s="145">
        <v>324</v>
      </c>
      <c r="D1540" s="145">
        <v>4.4000000000000004</v>
      </c>
      <c r="E1540" s="145">
        <v>12.7</v>
      </c>
      <c r="F1540" s="145">
        <v>5</v>
      </c>
      <c r="G1540" s="145">
        <v>3.9</v>
      </c>
      <c r="H1540" s="145">
        <v>1.1000000000000001</v>
      </c>
      <c r="I1540" s="145">
        <v>1</v>
      </c>
      <c r="J1540" s="145">
        <v>0.06</v>
      </c>
      <c r="K1540" s="145">
        <v>73</v>
      </c>
      <c r="L1540" s="145">
        <v>47.9</v>
      </c>
      <c r="M1540" s="145">
        <v>0.7</v>
      </c>
      <c r="N1540" s="145">
        <v>85</v>
      </c>
      <c r="O1540" s="145">
        <v>10</v>
      </c>
      <c r="P1540" s="145">
        <v>0.11</v>
      </c>
      <c r="Q1540" s="145">
        <v>122</v>
      </c>
      <c r="R1540" s="145">
        <v>0.5</v>
      </c>
      <c r="S1540" s="145">
        <v>111</v>
      </c>
      <c r="T1540" s="145">
        <v>135</v>
      </c>
      <c r="U1540" s="145">
        <v>0.05</v>
      </c>
      <c r="V1540" s="145">
        <v>0.4</v>
      </c>
      <c r="W1540" s="145" t="s">
        <v>400</v>
      </c>
      <c r="X1540" s="145">
        <v>0.13</v>
      </c>
      <c r="Y1540" s="145">
        <v>7.0000000000000007E-2</v>
      </c>
      <c r="Z1540" s="145" t="s">
        <v>400</v>
      </c>
      <c r="AA1540" s="145" t="s">
        <v>400</v>
      </c>
      <c r="AB1540" s="145" t="s">
        <v>400</v>
      </c>
      <c r="AC1540" s="145" t="s">
        <v>400</v>
      </c>
      <c r="AD1540" s="145" t="s">
        <v>400</v>
      </c>
      <c r="AE1540" s="145" t="s">
        <v>400</v>
      </c>
      <c r="AF1540" s="145" t="s">
        <v>400</v>
      </c>
      <c r="AG1540" s="145" t="s">
        <v>400</v>
      </c>
      <c r="AH1540" s="145">
        <v>1.99</v>
      </c>
      <c r="AI1540" s="145" t="s">
        <v>400</v>
      </c>
      <c r="AJ1540" s="145" t="s">
        <v>400</v>
      </c>
      <c r="AK1540" s="145" t="s">
        <v>400</v>
      </c>
      <c r="AL1540" s="145">
        <v>17.62</v>
      </c>
      <c r="AM1540" s="145">
        <v>15.81</v>
      </c>
    </row>
    <row r="1541" spans="1:39">
      <c r="A1541" s="143" t="s">
        <v>2601</v>
      </c>
      <c r="B1541" s="144">
        <v>100</v>
      </c>
      <c r="C1541" s="145">
        <v>324</v>
      </c>
      <c r="D1541" s="145">
        <v>4.4000000000000004</v>
      </c>
      <c r="E1541" s="145">
        <v>12.7</v>
      </c>
      <c r="F1541" s="145">
        <v>5</v>
      </c>
      <c r="G1541" s="145">
        <v>3.9</v>
      </c>
      <c r="H1541" s="145">
        <v>1.1000000000000001</v>
      </c>
      <c r="I1541" s="145">
        <v>1</v>
      </c>
      <c r="J1541" s="145">
        <v>0.06</v>
      </c>
      <c r="K1541" s="145">
        <v>73</v>
      </c>
      <c r="L1541" s="145">
        <v>47.9</v>
      </c>
      <c r="M1541" s="145">
        <v>0.7</v>
      </c>
      <c r="N1541" s="145">
        <v>85</v>
      </c>
      <c r="O1541" s="145">
        <v>10</v>
      </c>
      <c r="P1541" s="145">
        <v>0.11</v>
      </c>
      <c r="Q1541" s="145">
        <v>122</v>
      </c>
      <c r="R1541" s="145">
        <v>0.5</v>
      </c>
      <c r="S1541" s="145">
        <v>111</v>
      </c>
      <c r="T1541" s="145">
        <v>135</v>
      </c>
      <c r="U1541" s="145">
        <v>0.05</v>
      </c>
      <c r="V1541" s="145">
        <v>0.4</v>
      </c>
      <c r="W1541" s="145" t="s">
        <v>400</v>
      </c>
      <c r="X1541" s="145">
        <v>0.13</v>
      </c>
      <c r="Y1541" s="145">
        <v>7.0000000000000007E-2</v>
      </c>
      <c r="Z1541" s="145" t="s">
        <v>400</v>
      </c>
      <c r="AA1541" s="145" t="s">
        <v>400</v>
      </c>
      <c r="AB1541" s="145" t="s">
        <v>400</v>
      </c>
      <c r="AC1541" s="145" t="s">
        <v>400</v>
      </c>
      <c r="AD1541" s="145" t="s">
        <v>400</v>
      </c>
      <c r="AE1541" s="145" t="s">
        <v>400</v>
      </c>
      <c r="AF1541" s="145" t="s">
        <v>400</v>
      </c>
      <c r="AG1541" s="145" t="s">
        <v>400</v>
      </c>
      <c r="AH1541" s="145">
        <v>1.99</v>
      </c>
      <c r="AI1541" s="145" t="s">
        <v>400</v>
      </c>
      <c r="AJ1541" s="145" t="s">
        <v>400</v>
      </c>
      <c r="AK1541" s="145" t="s">
        <v>400</v>
      </c>
      <c r="AL1541" s="145">
        <v>17.62</v>
      </c>
      <c r="AM1541" s="145">
        <v>15.81</v>
      </c>
    </row>
    <row r="1542" spans="1:39">
      <c r="A1542" s="143" t="s">
        <v>2602</v>
      </c>
      <c r="B1542" s="144">
        <v>100</v>
      </c>
      <c r="C1542" s="145">
        <v>324</v>
      </c>
      <c r="D1542" s="145">
        <v>4.4000000000000004</v>
      </c>
      <c r="E1542" s="145">
        <v>12.7</v>
      </c>
      <c r="F1542" s="145">
        <v>5</v>
      </c>
      <c r="G1542" s="145">
        <v>3.9</v>
      </c>
      <c r="H1542" s="145">
        <v>1.1000000000000001</v>
      </c>
      <c r="I1542" s="145">
        <v>1</v>
      </c>
      <c r="J1542" s="145">
        <v>0.06</v>
      </c>
      <c r="K1542" s="145">
        <v>73</v>
      </c>
      <c r="L1542" s="145">
        <v>47.9</v>
      </c>
      <c r="M1542" s="145">
        <v>0.7</v>
      </c>
      <c r="N1542" s="145">
        <v>85</v>
      </c>
      <c r="O1542" s="145">
        <v>10</v>
      </c>
      <c r="P1542" s="145">
        <v>0.11</v>
      </c>
      <c r="Q1542" s="145">
        <v>122</v>
      </c>
      <c r="R1542" s="145">
        <v>0.5</v>
      </c>
      <c r="S1542" s="145">
        <v>111</v>
      </c>
      <c r="T1542" s="145">
        <v>135</v>
      </c>
      <c r="U1542" s="145">
        <v>0.05</v>
      </c>
      <c r="V1542" s="145">
        <v>0.4</v>
      </c>
      <c r="W1542" s="145" t="s">
        <v>400</v>
      </c>
      <c r="X1542" s="145">
        <v>0.13</v>
      </c>
      <c r="Y1542" s="145">
        <v>7.0000000000000007E-2</v>
      </c>
      <c r="Z1542" s="145" t="s">
        <v>400</v>
      </c>
      <c r="AA1542" s="145" t="s">
        <v>400</v>
      </c>
      <c r="AB1542" s="145" t="s">
        <v>400</v>
      </c>
      <c r="AC1542" s="145" t="s">
        <v>400</v>
      </c>
      <c r="AD1542" s="145" t="s">
        <v>400</v>
      </c>
      <c r="AE1542" s="145" t="s">
        <v>400</v>
      </c>
      <c r="AF1542" s="145" t="s">
        <v>400</v>
      </c>
      <c r="AG1542" s="145" t="s">
        <v>400</v>
      </c>
      <c r="AH1542" s="145">
        <v>1.99</v>
      </c>
      <c r="AI1542" s="145" t="s">
        <v>400</v>
      </c>
      <c r="AJ1542" s="145" t="s">
        <v>400</v>
      </c>
      <c r="AK1542" s="145" t="s">
        <v>400</v>
      </c>
      <c r="AL1542" s="145">
        <v>17.62</v>
      </c>
      <c r="AM1542" s="145">
        <v>15.81</v>
      </c>
    </row>
    <row r="1543" spans="1:39">
      <c r="A1543" s="143" t="s">
        <v>2603</v>
      </c>
      <c r="B1543" s="144">
        <v>100</v>
      </c>
      <c r="C1543" s="145">
        <v>119.66500000000001</v>
      </c>
      <c r="D1543" s="145">
        <v>2.2810000000000001</v>
      </c>
      <c r="E1543" s="145">
        <v>5.3840000000000003</v>
      </c>
      <c r="F1543" s="145">
        <v>1.7869999999999999</v>
      </c>
      <c r="G1543" s="145">
        <v>2.6269999999999998</v>
      </c>
      <c r="H1543" s="145">
        <v>0.60799999999999998</v>
      </c>
      <c r="I1543" s="145">
        <v>0.55200000000000005</v>
      </c>
      <c r="J1543" s="145">
        <v>5.6000000000000001E-2</v>
      </c>
      <c r="K1543" s="145">
        <v>3.7629999999999999</v>
      </c>
      <c r="L1543" s="145">
        <v>15.558</v>
      </c>
      <c r="M1543" s="145">
        <v>0.48299999999999998</v>
      </c>
      <c r="N1543" s="145">
        <v>51.33</v>
      </c>
      <c r="O1543" s="145">
        <v>9.3960000000000008</v>
      </c>
      <c r="P1543" s="145">
        <v>7.0999999999999994E-2</v>
      </c>
      <c r="Q1543" s="145">
        <v>51.121000000000002</v>
      </c>
      <c r="R1543" s="145">
        <v>0.4</v>
      </c>
      <c r="S1543" s="145">
        <v>148.333</v>
      </c>
      <c r="T1543" s="145">
        <v>81.319999999999993</v>
      </c>
      <c r="U1543" s="145">
        <v>4.2999999999999997E-2</v>
      </c>
      <c r="V1543" s="145">
        <v>0.253</v>
      </c>
      <c r="W1543" s="145">
        <v>10.537000000000001</v>
      </c>
      <c r="X1543" s="145">
        <v>6.7000000000000004E-2</v>
      </c>
      <c r="Y1543" s="145">
        <v>0.10100000000000001</v>
      </c>
      <c r="Z1543" s="146">
        <v>2.3E-2</v>
      </c>
      <c r="AA1543" s="145">
        <v>0.40699999999999997</v>
      </c>
      <c r="AB1543" s="145" t="s">
        <v>400</v>
      </c>
      <c r="AC1543" s="145">
        <v>1.0920000000000001</v>
      </c>
      <c r="AD1543" s="145">
        <v>0.16600000000000001</v>
      </c>
      <c r="AE1543" s="145">
        <v>23.047999999999998</v>
      </c>
      <c r="AF1543" s="145">
        <v>0.376</v>
      </c>
      <c r="AG1543" s="145">
        <v>6.4000000000000001E-2</v>
      </c>
      <c r="AH1543" s="145">
        <v>1.0629999999999999</v>
      </c>
      <c r="AI1543" s="145" t="s">
        <v>400</v>
      </c>
      <c r="AJ1543" s="145">
        <v>4.5190000000000001</v>
      </c>
      <c r="AK1543" s="145">
        <v>10.693</v>
      </c>
      <c r="AL1543" s="145">
        <v>7.4649999999999999</v>
      </c>
      <c r="AM1543" s="145">
        <v>5.5469999999999997</v>
      </c>
    </row>
    <row r="1544" spans="1:39">
      <c r="A1544" s="143" t="s">
        <v>2604</v>
      </c>
      <c r="B1544" s="144">
        <v>100</v>
      </c>
      <c r="C1544" s="145">
        <v>249.54900000000001</v>
      </c>
      <c r="D1544" s="145">
        <v>3.8679999999999999</v>
      </c>
      <c r="E1544" s="145">
        <v>9.8620000000000001</v>
      </c>
      <c r="F1544" s="145">
        <v>5.1879999999999997</v>
      </c>
      <c r="G1544" s="145">
        <v>3.2719999999999998</v>
      </c>
      <c r="H1544" s="145">
        <v>0.42799999999999999</v>
      </c>
      <c r="I1544" s="145">
        <v>0.34499999999999997</v>
      </c>
      <c r="J1544" s="145">
        <v>8.1000000000000003E-2</v>
      </c>
      <c r="K1544" s="145">
        <v>23.27</v>
      </c>
      <c r="L1544" s="145">
        <v>38.402000000000001</v>
      </c>
      <c r="M1544" s="145">
        <v>1.4870000000000001</v>
      </c>
      <c r="N1544" s="145">
        <v>17.946999999999999</v>
      </c>
      <c r="O1544" s="145">
        <v>12</v>
      </c>
      <c r="P1544" s="145">
        <v>0.151</v>
      </c>
      <c r="Q1544" s="145">
        <v>49.968000000000004</v>
      </c>
      <c r="R1544" s="145">
        <v>1.1719999999999999</v>
      </c>
      <c r="S1544" s="145">
        <v>161.34200000000001</v>
      </c>
      <c r="T1544" s="145">
        <v>205.696</v>
      </c>
      <c r="U1544" s="145">
        <v>0.10299999999999999</v>
      </c>
      <c r="V1544" s="145">
        <v>0.52800000000000002</v>
      </c>
      <c r="W1544" s="145">
        <v>45.792000000000002</v>
      </c>
      <c r="X1544" s="145">
        <v>0.113</v>
      </c>
      <c r="Y1544" s="145">
        <v>0.10100000000000001</v>
      </c>
      <c r="Z1544" s="146">
        <v>8.5999999999999993E-2</v>
      </c>
      <c r="AA1544" s="145">
        <v>1.1759999999999999</v>
      </c>
      <c r="AB1544" s="145">
        <v>3.5209999999999999</v>
      </c>
      <c r="AC1544" s="145">
        <v>1.9319999999999999</v>
      </c>
      <c r="AD1544" s="145">
        <v>0.20899999999999999</v>
      </c>
      <c r="AE1544" s="145">
        <v>22.902999999999999</v>
      </c>
      <c r="AF1544" s="145">
        <v>0.14399999999999999</v>
      </c>
      <c r="AG1544" s="145">
        <v>0.26600000000000001</v>
      </c>
      <c r="AH1544" s="145">
        <v>0.41599999999999998</v>
      </c>
      <c r="AI1544" s="145" t="s">
        <v>400</v>
      </c>
      <c r="AJ1544" s="145">
        <v>5.3769999999999998</v>
      </c>
      <c r="AK1544" s="145">
        <v>47.872999999999998</v>
      </c>
      <c r="AL1544" s="145">
        <v>27.117000000000001</v>
      </c>
      <c r="AM1544" s="145">
        <v>14.308999999999999</v>
      </c>
    </row>
    <row r="1545" spans="1:39">
      <c r="A1545" s="143" t="s">
        <v>2605</v>
      </c>
      <c r="B1545" s="144">
        <v>100</v>
      </c>
      <c r="C1545" s="145">
        <v>378.78699999999998</v>
      </c>
      <c r="D1545" s="145">
        <v>6.0220000000000002</v>
      </c>
      <c r="E1545" s="145">
        <v>18.248999999999999</v>
      </c>
      <c r="F1545" s="145">
        <v>4.4800000000000004</v>
      </c>
      <c r="G1545" s="145">
        <v>8.5549999999999997</v>
      </c>
      <c r="H1545" s="145">
        <v>3.3039999999999998</v>
      </c>
      <c r="I1545" s="145">
        <v>3.093</v>
      </c>
      <c r="J1545" s="145">
        <v>0.19</v>
      </c>
      <c r="K1545" s="145">
        <v>45.627000000000002</v>
      </c>
      <c r="L1545" s="145">
        <v>48.084000000000003</v>
      </c>
      <c r="M1545" s="145">
        <v>1.3069999999999999</v>
      </c>
      <c r="N1545" s="145">
        <v>40.164999999999999</v>
      </c>
      <c r="O1545" s="145">
        <v>12.422000000000001</v>
      </c>
      <c r="P1545" s="145">
        <v>0.247</v>
      </c>
      <c r="Q1545" s="145">
        <v>93.103999999999999</v>
      </c>
      <c r="R1545" s="145">
        <v>1.9359999999999999</v>
      </c>
      <c r="S1545" s="145">
        <v>132.89099999999999</v>
      </c>
      <c r="T1545" s="145">
        <v>110.057</v>
      </c>
      <c r="U1545" s="145">
        <v>6.0999999999999999E-2</v>
      </c>
      <c r="V1545" s="145">
        <v>0.53</v>
      </c>
      <c r="W1545" s="145">
        <v>34.341000000000001</v>
      </c>
      <c r="X1545" s="145">
        <v>0.317</v>
      </c>
      <c r="Y1545" s="145">
        <v>0.33300000000000002</v>
      </c>
      <c r="Z1545" s="146">
        <v>5.6000000000000001E-2</v>
      </c>
      <c r="AA1545" s="145">
        <v>2.5489999999999999</v>
      </c>
      <c r="AB1545" s="145">
        <v>5.3999999999999999E-2</v>
      </c>
      <c r="AC1545" s="145">
        <v>3.7789999999999999</v>
      </c>
      <c r="AD1545" s="145">
        <v>0.22</v>
      </c>
      <c r="AE1545" s="145">
        <v>104.503</v>
      </c>
      <c r="AF1545" s="145">
        <v>0.38900000000000001</v>
      </c>
      <c r="AG1545" s="145">
        <v>1</v>
      </c>
      <c r="AH1545" s="145">
        <v>3.4689999999999999</v>
      </c>
      <c r="AI1545" s="145" t="s">
        <v>400</v>
      </c>
      <c r="AJ1545" s="145">
        <v>15.742000000000001</v>
      </c>
      <c r="AK1545" s="145">
        <v>34.787999999999997</v>
      </c>
      <c r="AL1545" s="145">
        <v>21.087</v>
      </c>
      <c r="AM1545" s="145">
        <v>19.628</v>
      </c>
    </row>
    <row r="1546" spans="1:39">
      <c r="A1546" s="143" t="s">
        <v>2606</v>
      </c>
      <c r="B1546" s="144">
        <v>100</v>
      </c>
      <c r="C1546" s="145">
        <v>421.36799999999999</v>
      </c>
      <c r="D1546" s="145">
        <v>5.5540000000000003</v>
      </c>
      <c r="E1546" s="145">
        <v>19.805</v>
      </c>
      <c r="F1546" s="145">
        <v>4.5739999999999998</v>
      </c>
      <c r="G1546" s="145">
        <v>9.5530000000000008</v>
      </c>
      <c r="H1546" s="145">
        <v>3.5049999999999999</v>
      </c>
      <c r="I1546" s="145">
        <v>3.2770000000000001</v>
      </c>
      <c r="J1546" s="145">
        <v>0.21099999999999999</v>
      </c>
      <c r="K1546" s="145">
        <v>40.098999999999997</v>
      </c>
      <c r="L1546" s="145">
        <v>55.697000000000003</v>
      </c>
      <c r="M1546" s="145">
        <v>1.2090000000000001</v>
      </c>
      <c r="N1546" s="145">
        <v>80.513999999999996</v>
      </c>
      <c r="O1546" s="145">
        <v>11.369</v>
      </c>
      <c r="P1546" s="145">
        <v>0.28100000000000003</v>
      </c>
      <c r="Q1546" s="145">
        <v>90.034999999999997</v>
      </c>
      <c r="R1546" s="145">
        <v>1.9530000000000001</v>
      </c>
      <c r="S1546" s="145">
        <v>211.107</v>
      </c>
      <c r="T1546" s="145">
        <v>78.114000000000004</v>
      </c>
      <c r="U1546" s="145">
        <v>0.06</v>
      </c>
      <c r="V1546" s="145">
        <v>0.436</v>
      </c>
      <c r="W1546" s="145">
        <v>66.353999999999999</v>
      </c>
      <c r="X1546" s="145">
        <v>0.30499999999999999</v>
      </c>
      <c r="Y1546" s="145">
        <v>0.26600000000000001</v>
      </c>
      <c r="Z1546" s="146">
        <v>3.4000000000000002E-2</v>
      </c>
      <c r="AA1546" s="145">
        <v>2.2250000000000001</v>
      </c>
      <c r="AB1546" s="145">
        <v>4.7E-2</v>
      </c>
      <c r="AC1546" s="145">
        <v>3.36</v>
      </c>
      <c r="AD1546" s="145">
        <v>0.17599999999999999</v>
      </c>
      <c r="AE1546" s="145">
        <v>80.918999999999997</v>
      </c>
      <c r="AF1546" s="145">
        <v>0.27900000000000003</v>
      </c>
      <c r="AG1546" s="145">
        <v>1.276</v>
      </c>
      <c r="AH1546" s="145">
        <v>4.4720000000000004</v>
      </c>
      <c r="AI1546" s="145" t="s">
        <v>400</v>
      </c>
      <c r="AJ1546" s="145">
        <v>15.997999999999999</v>
      </c>
      <c r="AK1546" s="145">
        <v>68.638999999999996</v>
      </c>
      <c r="AL1546" s="145">
        <v>26.606000000000002</v>
      </c>
      <c r="AM1546" s="145">
        <v>25.998000000000001</v>
      </c>
    </row>
    <row r="1547" spans="1:39">
      <c r="A1547" s="143" t="s">
        <v>2607</v>
      </c>
      <c r="B1547" s="144">
        <v>100</v>
      </c>
      <c r="C1547" s="145">
        <v>312.8</v>
      </c>
      <c r="D1547" s="145">
        <v>8.7100000000000009</v>
      </c>
      <c r="E1547" s="145">
        <v>6</v>
      </c>
      <c r="F1547" s="145">
        <v>1.98</v>
      </c>
      <c r="G1547" s="145">
        <v>2.2200000000000002</v>
      </c>
      <c r="H1547" s="145">
        <v>0.8</v>
      </c>
      <c r="I1547" s="145">
        <v>0.68</v>
      </c>
      <c r="J1547" s="145">
        <v>0.02</v>
      </c>
      <c r="K1547" s="145">
        <v>209.07</v>
      </c>
      <c r="L1547" s="145">
        <v>58.3</v>
      </c>
      <c r="M1547" s="145">
        <v>1.76</v>
      </c>
      <c r="N1547" s="145">
        <v>33.65</v>
      </c>
      <c r="O1547" s="145">
        <v>29.57</v>
      </c>
      <c r="P1547" s="145">
        <v>0.3</v>
      </c>
      <c r="Q1547" s="145">
        <v>133.44</v>
      </c>
      <c r="R1547" s="145">
        <v>2.67</v>
      </c>
      <c r="S1547" s="145">
        <v>63.07</v>
      </c>
      <c r="T1547" s="145">
        <v>151.88999999999999</v>
      </c>
      <c r="U1547" s="145">
        <v>0.2</v>
      </c>
      <c r="V1547" s="145">
        <v>0.93</v>
      </c>
      <c r="W1547" s="145">
        <v>82.84</v>
      </c>
      <c r="X1547" s="145">
        <v>0.22</v>
      </c>
      <c r="Y1547" s="145">
        <v>0.36</v>
      </c>
      <c r="Z1547" s="145">
        <v>7.0000000000000007E-2</v>
      </c>
      <c r="AA1547" s="145">
        <v>1.51</v>
      </c>
      <c r="AB1547" s="145">
        <v>0.75</v>
      </c>
      <c r="AC1547" s="145">
        <v>3.37</v>
      </c>
      <c r="AD1547" s="145">
        <v>0.55000000000000004</v>
      </c>
      <c r="AE1547" s="145">
        <v>63.48</v>
      </c>
      <c r="AF1547" s="145">
        <v>0.63</v>
      </c>
      <c r="AG1547" s="145">
        <v>0.52</v>
      </c>
      <c r="AH1547" s="145" t="s">
        <v>400</v>
      </c>
      <c r="AI1547" s="145" t="s">
        <v>400</v>
      </c>
      <c r="AJ1547" s="145">
        <v>17.03</v>
      </c>
      <c r="AK1547" s="145">
        <v>83.52</v>
      </c>
      <c r="AL1547" s="145">
        <v>40.39</v>
      </c>
      <c r="AM1547" s="145">
        <v>39.44</v>
      </c>
    </row>
    <row r="1548" spans="1:39">
      <c r="A1548" s="143" t="s">
        <v>2608</v>
      </c>
      <c r="B1548" s="144">
        <v>100</v>
      </c>
      <c r="C1548" s="145">
        <v>366.83699999999999</v>
      </c>
      <c r="D1548" s="145">
        <v>9.0389999999999997</v>
      </c>
      <c r="E1548" s="145">
        <v>14.215</v>
      </c>
      <c r="F1548" s="145">
        <v>4.9219999999999997</v>
      </c>
      <c r="G1548" s="145">
        <v>5.5380000000000003</v>
      </c>
      <c r="H1548" s="145">
        <v>2.669</v>
      </c>
      <c r="I1548" s="145">
        <v>2.4849999999999999</v>
      </c>
      <c r="J1548" s="145">
        <v>0.13100000000000001</v>
      </c>
      <c r="K1548" s="145">
        <v>99.043000000000006</v>
      </c>
      <c r="L1548" s="145">
        <v>49.584000000000003</v>
      </c>
      <c r="M1548" s="145">
        <v>1.804</v>
      </c>
      <c r="N1548" s="145">
        <v>35.302999999999997</v>
      </c>
      <c r="O1548" s="145">
        <v>16.349</v>
      </c>
      <c r="P1548" s="145">
        <v>0.38</v>
      </c>
      <c r="Q1548" s="145">
        <v>117.855</v>
      </c>
      <c r="R1548" s="145">
        <v>2.9</v>
      </c>
      <c r="S1548" s="145">
        <v>225.41300000000001</v>
      </c>
      <c r="T1548" s="145">
        <v>120.312</v>
      </c>
      <c r="U1548" s="145">
        <v>8.6999999999999994E-2</v>
      </c>
      <c r="V1548" s="145">
        <v>0.71299999999999997</v>
      </c>
      <c r="W1548" s="145">
        <v>43.625999999999998</v>
      </c>
      <c r="X1548" s="145">
        <v>0.46200000000000002</v>
      </c>
      <c r="Y1548" s="145">
        <v>0.44600000000000001</v>
      </c>
      <c r="Z1548" s="146">
        <v>6.7000000000000004E-2</v>
      </c>
      <c r="AA1548" s="145">
        <v>3.5219999999999998</v>
      </c>
      <c r="AB1548" s="145">
        <v>2.9000000000000001E-2</v>
      </c>
      <c r="AC1548" s="145">
        <v>5.3680000000000003</v>
      </c>
      <c r="AD1548" s="145">
        <v>0.30099999999999999</v>
      </c>
      <c r="AE1548" s="145">
        <v>138.30099999999999</v>
      </c>
      <c r="AF1548" s="145">
        <v>0.41899999999999998</v>
      </c>
      <c r="AG1548" s="145">
        <v>0.37</v>
      </c>
      <c r="AH1548" s="145">
        <v>1.196</v>
      </c>
      <c r="AI1548" s="145" t="s">
        <v>400</v>
      </c>
      <c r="AJ1548" s="145">
        <v>25.567</v>
      </c>
      <c r="AK1548" s="145">
        <v>43.947000000000003</v>
      </c>
      <c r="AL1548" s="145">
        <v>8.2379999999999995</v>
      </c>
      <c r="AM1548" s="145">
        <v>7.141</v>
      </c>
    </row>
    <row r="1549" spans="1:39">
      <c r="A1549" s="143" t="s">
        <v>2609</v>
      </c>
      <c r="B1549" s="144">
        <v>100</v>
      </c>
      <c r="C1549" s="145">
        <v>360.83300000000003</v>
      </c>
      <c r="D1549" s="145">
        <v>4.8019999999999996</v>
      </c>
      <c r="E1549" s="145">
        <v>13.151999999999999</v>
      </c>
      <c r="F1549" s="145">
        <v>5.2919999999999998</v>
      </c>
      <c r="G1549" s="145">
        <v>4.9059999999999997</v>
      </c>
      <c r="H1549" s="145">
        <v>1.905</v>
      </c>
      <c r="I1549" s="145">
        <v>1.7769999999999999</v>
      </c>
      <c r="J1549" s="145">
        <v>0.106</v>
      </c>
      <c r="K1549" s="145">
        <v>67.715000000000003</v>
      </c>
      <c r="L1549" s="145">
        <v>58.314999999999998</v>
      </c>
      <c r="M1549" s="145">
        <v>2.363</v>
      </c>
      <c r="N1549" s="145">
        <v>68.712000000000003</v>
      </c>
      <c r="O1549" s="145">
        <v>32.537999999999997</v>
      </c>
      <c r="P1549" s="145">
        <v>0.63800000000000001</v>
      </c>
      <c r="Q1549" s="145">
        <v>82.73</v>
      </c>
      <c r="R1549" s="145">
        <v>1.9790000000000001</v>
      </c>
      <c r="S1549" s="145">
        <v>102.02800000000001</v>
      </c>
      <c r="T1549" s="145">
        <v>255.238</v>
      </c>
      <c r="U1549" s="145">
        <v>0.19400000000000001</v>
      </c>
      <c r="V1549" s="145">
        <v>0.65300000000000002</v>
      </c>
      <c r="W1549" s="145">
        <v>77.620999999999995</v>
      </c>
      <c r="X1549" s="145">
        <v>0.24</v>
      </c>
      <c r="Y1549" s="145">
        <v>0.193</v>
      </c>
      <c r="Z1549" s="146">
        <v>0.104</v>
      </c>
      <c r="AA1549" s="145">
        <v>1.5429999999999999</v>
      </c>
      <c r="AB1549" s="145">
        <v>5.3070000000000004</v>
      </c>
      <c r="AC1549" s="145">
        <v>2.5019999999999998</v>
      </c>
      <c r="AD1549" s="145">
        <v>0.14299999999999999</v>
      </c>
      <c r="AE1549" s="145">
        <v>54.301000000000002</v>
      </c>
      <c r="AF1549" s="145">
        <v>0.27</v>
      </c>
      <c r="AG1549" s="145">
        <v>0.48299999999999998</v>
      </c>
      <c r="AH1549" s="145">
        <v>0.28399999999999997</v>
      </c>
      <c r="AI1549" s="145" t="s">
        <v>400</v>
      </c>
      <c r="AJ1549" s="145">
        <v>12.457000000000001</v>
      </c>
      <c r="AK1549" s="145">
        <v>80.796999999999997</v>
      </c>
      <c r="AL1549" s="145">
        <v>34.402000000000001</v>
      </c>
      <c r="AM1549" s="145">
        <v>30.763999999999999</v>
      </c>
    </row>
    <row r="1550" spans="1:39">
      <c r="A1550" s="143" t="s">
        <v>2610</v>
      </c>
      <c r="B1550" s="144">
        <v>100</v>
      </c>
      <c r="C1550" s="145">
        <v>317.24</v>
      </c>
      <c r="D1550" s="145">
        <v>6.33</v>
      </c>
      <c r="E1550" s="145">
        <v>8.6999999999999993</v>
      </c>
      <c r="F1550" s="145">
        <v>5.59</v>
      </c>
      <c r="G1550" s="145">
        <v>1.56</v>
      </c>
      <c r="H1550" s="145">
        <v>0.59</v>
      </c>
      <c r="I1550" s="145">
        <v>0.51</v>
      </c>
      <c r="J1550" s="145">
        <v>0.02</v>
      </c>
      <c r="K1550" s="145">
        <v>137.69</v>
      </c>
      <c r="L1550" s="145">
        <v>54.19</v>
      </c>
      <c r="M1550" s="145">
        <v>1.2</v>
      </c>
      <c r="N1550" s="145">
        <v>22.51</v>
      </c>
      <c r="O1550" s="145">
        <v>15.82</v>
      </c>
      <c r="P1550" s="145">
        <v>0.48</v>
      </c>
      <c r="Q1550" s="145">
        <v>91.55</v>
      </c>
      <c r="R1550" s="145">
        <v>1.52</v>
      </c>
      <c r="S1550" s="145">
        <v>78.47</v>
      </c>
      <c r="T1550" s="145">
        <v>161.56</v>
      </c>
      <c r="U1550" s="145">
        <v>0.08</v>
      </c>
      <c r="V1550" s="145">
        <v>0.73</v>
      </c>
      <c r="W1550" s="145">
        <v>54.56</v>
      </c>
      <c r="X1550" s="145">
        <v>0.17</v>
      </c>
      <c r="Y1550" s="145">
        <v>0.26</v>
      </c>
      <c r="Z1550" s="145">
        <v>0.1</v>
      </c>
      <c r="AA1550" s="145">
        <v>1.1399999999999999</v>
      </c>
      <c r="AB1550" s="145">
        <v>5.26</v>
      </c>
      <c r="AC1550" s="145">
        <v>2.41</v>
      </c>
      <c r="AD1550" s="145">
        <v>0.36</v>
      </c>
      <c r="AE1550" s="145">
        <v>52.64</v>
      </c>
      <c r="AF1550" s="145">
        <v>0.42</v>
      </c>
      <c r="AG1550" s="145">
        <v>0.43</v>
      </c>
      <c r="AH1550" s="145" t="s">
        <v>400</v>
      </c>
      <c r="AI1550" s="145" t="s">
        <v>400</v>
      </c>
      <c r="AJ1550" s="145">
        <v>18.329999999999998</v>
      </c>
      <c r="AK1550" s="145">
        <v>56.31</v>
      </c>
      <c r="AL1550" s="145">
        <v>39.36</v>
      </c>
      <c r="AM1550" s="145">
        <v>37.56</v>
      </c>
    </row>
    <row r="1551" spans="1:39">
      <c r="A1551" s="143" t="s">
        <v>2611</v>
      </c>
      <c r="B1551" s="144">
        <v>100</v>
      </c>
      <c r="C1551" s="145">
        <v>344.85500000000002</v>
      </c>
      <c r="D1551" s="145">
        <v>4.17</v>
      </c>
      <c r="E1551" s="145">
        <v>17.256</v>
      </c>
      <c r="F1551" s="145">
        <v>10.368</v>
      </c>
      <c r="G1551" s="145">
        <v>4.5919999999999996</v>
      </c>
      <c r="H1551" s="145">
        <v>0.877</v>
      </c>
      <c r="I1551" s="145">
        <v>0.78300000000000003</v>
      </c>
      <c r="J1551" s="145">
        <v>7.0000000000000007E-2</v>
      </c>
      <c r="K1551" s="145">
        <v>95.412000000000006</v>
      </c>
      <c r="L1551" s="145">
        <v>44.267000000000003</v>
      </c>
      <c r="M1551" s="145">
        <v>1.6060000000000001</v>
      </c>
      <c r="N1551" s="145">
        <v>25.684999999999999</v>
      </c>
      <c r="O1551" s="145">
        <v>9.2449999999999992</v>
      </c>
      <c r="P1551" s="145">
        <v>0.249</v>
      </c>
      <c r="Q1551" s="145">
        <v>57.527999999999999</v>
      </c>
      <c r="R1551" s="145">
        <v>1.2609999999999999</v>
      </c>
      <c r="S1551" s="145">
        <v>240.279</v>
      </c>
      <c r="T1551" s="145">
        <v>106.72799999999999</v>
      </c>
      <c r="U1551" s="145">
        <v>4.2000000000000003E-2</v>
      </c>
      <c r="V1551" s="145">
        <v>0.35899999999999999</v>
      </c>
      <c r="W1551" s="145">
        <v>150.68100000000001</v>
      </c>
      <c r="X1551" s="145">
        <v>0.193</v>
      </c>
      <c r="Y1551" s="145">
        <v>0.193</v>
      </c>
      <c r="Z1551" s="146">
        <v>6.6000000000000003E-2</v>
      </c>
      <c r="AA1551" s="145">
        <v>1.4419999999999999</v>
      </c>
      <c r="AB1551" s="145">
        <v>0.94399999999999995</v>
      </c>
      <c r="AC1551" s="145">
        <v>2.2999999999999998</v>
      </c>
      <c r="AD1551" s="145">
        <v>0.17399999999999999</v>
      </c>
      <c r="AE1551" s="145">
        <v>53.143000000000001</v>
      </c>
      <c r="AF1551" s="145">
        <v>0.433</v>
      </c>
      <c r="AG1551" s="145">
        <v>0.86499999999999999</v>
      </c>
      <c r="AH1551" s="145">
        <v>0.63200000000000001</v>
      </c>
      <c r="AI1551" s="145" t="s">
        <v>400</v>
      </c>
      <c r="AJ1551" s="145">
        <v>11.654</v>
      </c>
      <c r="AK1551" s="145">
        <v>373.35</v>
      </c>
      <c r="AL1551" s="145">
        <v>26.611999999999998</v>
      </c>
      <c r="AM1551" s="145">
        <v>25.46</v>
      </c>
    </row>
    <row r="1552" spans="1:39">
      <c r="A1552" s="143" t="s">
        <v>2612</v>
      </c>
      <c r="B1552" s="144">
        <v>100</v>
      </c>
      <c r="C1552" s="145">
        <v>286.60000000000002</v>
      </c>
      <c r="D1552" s="145">
        <v>6.91</v>
      </c>
      <c r="E1552" s="145">
        <v>4.24</v>
      </c>
      <c r="F1552" s="145">
        <v>1.27</v>
      </c>
      <c r="G1552" s="145">
        <v>1.57</v>
      </c>
      <c r="H1552" s="145">
        <v>0.62</v>
      </c>
      <c r="I1552" s="145">
        <v>0.53</v>
      </c>
      <c r="J1552" s="145">
        <v>0.02</v>
      </c>
      <c r="K1552" s="145">
        <v>160.65</v>
      </c>
      <c r="L1552" s="145">
        <v>55.27</v>
      </c>
      <c r="M1552" s="145">
        <v>0.65</v>
      </c>
      <c r="N1552" s="145">
        <v>23.76</v>
      </c>
      <c r="O1552" s="145">
        <v>10.130000000000001</v>
      </c>
      <c r="P1552" s="145">
        <v>0.15</v>
      </c>
      <c r="Q1552" s="145">
        <v>88.97</v>
      </c>
      <c r="R1552" s="145">
        <v>1.46</v>
      </c>
      <c r="S1552" s="145">
        <v>47.87</v>
      </c>
      <c r="T1552" s="145">
        <v>132.31</v>
      </c>
      <c r="U1552" s="145">
        <v>0.04</v>
      </c>
      <c r="V1552" s="145">
        <v>0.55000000000000004</v>
      </c>
      <c r="W1552" s="145">
        <v>63.65</v>
      </c>
      <c r="X1552" s="145">
        <v>0.19</v>
      </c>
      <c r="Y1552" s="145">
        <v>0.3</v>
      </c>
      <c r="Z1552" s="145">
        <v>7.0000000000000007E-2</v>
      </c>
      <c r="AA1552" s="145">
        <v>1.25</v>
      </c>
      <c r="AB1552" s="145">
        <v>6.02</v>
      </c>
      <c r="AC1552" s="145">
        <v>2.64</v>
      </c>
      <c r="AD1552" s="145">
        <v>0.42</v>
      </c>
      <c r="AE1552" s="145">
        <v>60.08</v>
      </c>
      <c r="AF1552" s="145">
        <v>0.48</v>
      </c>
      <c r="AG1552" s="145">
        <v>0.44</v>
      </c>
      <c r="AH1552" s="145" t="s">
        <v>400</v>
      </c>
      <c r="AI1552" s="145" t="s">
        <v>400</v>
      </c>
      <c r="AJ1552" s="145">
        <v>18.600000000000001</v>
      </c>
      <c r="AK1552" s="145">
        <v>65.7</v>
      </c>
      <c r="AL1552" s="145">
        <v>39.840000000000003</v>
      </c>
      <c r="AM1552" s="145">
        <v>37.880000000000003</v>
      </c>
    </row>
    <row r="1553" spans="1:39">
      <c r="A1553" s="143" t="s">
        <v>2613</v>
      </c>
      <c r="B1553" s="144">
        <v>100</v>
      </c>
      <c r="C1553" s="145">
        <v>392</v>
      </c>
      <c r="D1553" s="145">
        <v>9.8000000000000007</v>
      </c>
      <c r="E1553" s="145">
        <v>18.3</v>
      </c>
      <c r="F1553" s="145" t="s">
        <v>400</v>
      </c>
      <c r="G1553" s="145" t="s">
        <v>400</v>
      </c>
      <c r="H1553" s="145" t="s">
        <v>400</v>
      </c>
      <c r="I1553" s="145" t="s">
        <v>400</v>
      </c>
      <c r="J1553" s="145" t="s">
        <v>400</v>
      </c>
      <c r="K1553" s="145" t="s">
        <v>400</v>
      </c>
      <c r="L1553" s="145">
        <v>47.1</v>
      </c>
      <c r="M1553" s="145">
        <v>1.7</v>
      </c>
      <c r="N1553" s="145" t="s">
        <v>400</v>
      </c>
      <c r="O1553" s="145" t="s">
        <v>400</v>
      </c>
      <c r="P1553" s="145" t="s">
        <v>400</v>
      </c>
      <c r="Q1553" s="145" t="s">
        <v>400</v>
      </c>
      <c r="R1553" s="145" t="s">
        <v>400</v>
      </c>
      <c r="S1553" s="145" t="s">
        <v>400</v>
      </c>
      <c r="T1553" s="145" t="s">
        <v>400</v>
      </c>
      <c r="U1553" s="145" t="s">
        <v>400</v>
      </c>
      <c r="V1553" s="145" t="s">
        <v>400</v>
      </c>
      <c r="W1553" s="145" t="s">
        <v>400</v>
      </c>
      <c r="X1553" s="145" t="s">
        <v>400</v>
      </c>
      <c r="Y1553" s="145" t="s">
        <v>400</v>
      </c>
      <c r="Z1553" s="146" t="s">
        <v>400</v>
      </c>
      <c r="AA1553" s="145" t="s">
        <v>400</v>
      </c>
      <c r="AB1553" s="145" t="s">
        <v>400</v>
      </c>
      <c r="AC1553" s="145" t="s">
        <v>400</v>
      </c>
      <c r="AD1553" s="145" t="s">
        <v>400</v>
      </c>
      <c r="AE1553" s="145" t="s">
        <v>400</v>
      </c>
      <c r="AF1553" s="145" t="s">
        <v>400</v>
      </c>
      <c r="AG1553" s="145" t="s">
        <v>400</v>
      </c>
      <c r="AH1553" s="145" t="s">
        <v>400</v>
      </c>
      <c r="AI1553" s="145" t="s">
        <v>400</v>
      </c>
      <c r="AJ1553" s="145" t="s">
        <v>400</v>
      </c>
      <c r="AK1553" s="145" t="s">
        <v>400</v>
      </c>
      <c r="AL1553" s="145" t="s">
        <v>400</v>
      </c>
      <c r="AM1553" s="145" t="s">
        <v>400</v>
      </c>
    </row>
    <row r="1554" spans="1:39">
      <c r="A1554" s="143" t="s">
        <v>2614</v>
      </c>
      <c r="B1554" s="144">
        <v>100</v>
      </c>
      <c r="C1554" s="145">
        <v>472</v>
      </c>
      <c r="D1554" s="145">
        <v>6.4</v>
      </c>
      <c r="E1554" s="145">
        <v>19.600000000000001</v>
      </c>
      <c r="F1554" s="145">
        <v>6.2</v>
      </c>
      <c r="G1554" s="145">
        <v>6.6</v>
      </c>
      <c r="H1554" s="145">
        <v>1.7</v>
      </c>
      <c r="I1554" s="145">
        <v>1.68</v>
      </c>
      <c r="J1554" s="145">
        <v>0.06</v>
      </c>
      <c r="K1554" s="145" t="s">
        <v>400</v>
      </c>
      <c r="L1554" s="145">
        <v>70.5</v>
      </c>
      <c r="M1554" s="145">
        <v>3</v>
      </c>
      <c r="N1554" s="145">
        <v>27</v>
      </c>
      <c r="O1554" s="145">
        <v>48</v>
      </c>
      <c r="P1554" s="145" t="s">
        <v>400</v>
      </c>
      <c r="Q1554" s="145">
        <v>139</v>
      </c>
      <c r="R1554" s="145">
        <v>2.2999999999999998</v>
      </c>
      <c r="S1554" s="145">
        <v>239</v>
      </c>
      <c r="T1554" s="145">
        <v>232</v>
      </c>
      <c r="U1554" s="145">
        <v>0.27</v>
      </c>
      <c r="V1554" s="145">
        <v>1</v>
      </c>
      <c r="W1554" s="145" t="s">
        <v>400</v>
      </c>
      <c r="X1554" s="145">
        <v>0.32</v>
      </c>
      <c r="Y1554" s="145">
        <v>0.39</v>
      </c>
      <c r="Z1554" s="145">
        <v>0.46</v>
      </c>
      <c r="AA1554" s="145">
        <v>2.52</v>
      </c>
      <c r="AB1554" s="145" t="s">
        <v>400</v>
      </c>
      <c r="AC1554" s="145" t="s">
        <v>400</v>
      </c>
      <c r="AD1554" s="145" t="s">
        <v>400</v>
      </c>
      <c r="AE1554" s="145" t="s">
        <v>400</v>
      </c>
      <c r="AF1554" s="145" t="s">
        <v>400</v>
      </c>
      <c r="AG1554" s="145" t="s">
        <v>400</v>
      </c>
      <c r="AH1554" s="145">
        <v>4.21</v>
      </c>
      <c r="AI1554" s="145" t="s">
        <v>400</v>
      </c>
      <c r="AJ1554" s="145" t="s">
        <v>400</v>
      </c>
      <c r="AK1554" s="145" t="s">
        <v>400</v>
      </c>
      <c r="AL1554" s="145">
        <v>40.619999999999997</v>
      </c>
      <c r="AM1554" s="145">
        <v>40.53</v>
      </c>
    </row>
    <row r="1555" spans="1:39">
      <c r="A1555" s="143" t="s">
        <v>2615</v>
      </c>
      <c r="B1555" s="144">
        <v>100</v>
      </c>
      <c r="C1555" s="145">
        <v>430.32</v>
      </c>
      <c r="D1555" s="145">
        <v>6.25</v>
      </c>
      <c r="E1555" s="145">
        <v>12.49</v>
      </c>
      <c r="F1555" s="145">
        <v>2.76</v>
      </c>
      <c r="G1555" s="145">
        <v>4.67</v>
      </c>
      <c r="H1555" s="145">
        <v>4.18</v>
      </c>
      <c r="I1555" s="145">
        <v>3.87</v>
      </c>
      <c r="J1555" s="145">
        <v>0.28999999999999998</v>
      </c>
      <c r="K1555" s="145">
        <v>15.64</v>
      </c>
      <c r="L1555" s="145">
        <v>74.790000000000006</v>
      </c>
      <c r="M1555" s="145">
        <v>2.25</v>
      </c>
      <c r="N1555" s="145">
        <v>34.82</v>
      </c>
      <c r="O1555" s="145">
        <v>23.45</v>
      </c>
      <c r="P1555" s="145">
        <v>0.47</v>
      </c>
      <c r="Q1555" s="145">
        <v>91.23</v>
      </c>
      <c r="R1555" s="145">
        <v>2.82</v>
      </c>
      <c r="S1555" s="145">
        <v>717.78</v>
      </c>
      <c r="T1555" s="145">
        <v>114.85</v>
      </c>
      <c r="U1555" s="145">
        <v>0.2</v>
      </c>
      <c r="V1555" s="145">
        <v>0.7</v>
      </c>
      <c r="W1555" s="145">
        <v>2.64</v>
      </c>
      <c r="X1555" s="145">
        <v>0.41</v>
      </c>
      <c r="Y1555" s="145">
        <v>0.3</v>
      </c>
      <c r="Z1555" s="145">
        <v>0.04</v>
      </c>
      <c r="AA1555" s="145">
        <v>3.07</v>
      </c>
      <c r="AB1555" s="145">
        <v>0.03</v>
      </c>
      <c r="AC1555" s="145">
        <v>4.37</v>
      </c>
      <c r="AD1555" s="145">
        <v>0.06</v>
      </c>
      <c r="AE1555" s="145">
        <v>107.14</v>
      </c>
      <c r="AF1555" s="145">
        <v>0.04</v>
      </c>
      <c r="AG1555" s="145">
        <v>0.91</v>
      </c>
      <c r="AH1555" s="145">
        <v>1.4</v>
      </c>
      <c r="AI1555" s="145" t="s">
        <v>400</v>
      </c>
      <c r="AJ1555" s="145">
        <v>23.79</v>
      </c>
      <c r="AK1555" s="145">
        <v>2.68</v>
      </c>
      <c r="AL1555" s="145">
        <v>34.840000000000003</v>
      </c>
      <c r="AM1555" s="145">
        <v>33.85</v>
      </c>
    </row>
    <row r="1556" spans="1:39">
      <c r="A1556" s="143" t="s">
        <v>2616</v>
      </c>
      <c r="B1556" s="144">
        <v>100</v>
      </c>
      <c r="C1556" s="145">
        <v>505.21</v>
      </c>
      <c r="D1556" s="145">
        <v>6.47</v>
      </c>
      <c r="E1556" s="145">
        <v>22.55</v>
      </c>
      <c r="F1556" s="145">
        <v>7.63</v>
      </c>
      <c r="G1556" s="145">
        <v>10.27</v>
      </c>
      <c r="H1556" s="145">
        <v>3.41</v>
      </c>
      <c r="I1556" s="145">
        <v>3.18</v>
      </c>
      <c r="J1556" s="145">
        <v>0.15</v>
      </c>
      <c r="K1556" s="145">
        <v>0.02</v>
      </c>
      <c r="L1556" s="145">
        <v>70.849999999999994</v>
      </c>
      <c r="M1556" s="145">
        <v>2.4300000000000002</v>
      </c>
      <c r="N1556" s="145">
        <v>68.59</v>
      </c>
      <c r="O1556" s="145">
        <v>26.03</v>
      </c>
      <c r="P1556" s="145">
        <v>0.49</v>
      </c>
      <c r="Q1556" s="145">
        <v>102.32</v>
      </c>
      <c r="R1556" s="145">
        <v>3.09</v>
      </c>
      <c r="S1556" s="145">
        <v>354.18</v>
      </c>
      <c r="T1556" s="145">
        <v>119.45</v>
      </c>
      <c r="U1556" s="145">
        <v>0.17</v>
      </c>
      <c r="V1556" s="145">
        <v>0.59</v>
      </c>
      <c r="W1556" s="145">
        <v>0.12</v>
      </c>
      <c r="X1556" s="145">
        <v>0.46</v>
      </c>
      <c r="Y1556" s="145">
        <v>0.31</v>
      </c>
      <c r="Z1556" s="145">
        <v>0.04</v>
      </c>
      <c r="AA1556" s="145">
        <v>3.48</v>
      </c>
      <c r="AB1556" s="145">
        <v>0.01</v>
      </c>
      <c r="AC1556" s="145">
        <v>4.84</v>
      </c>
      <c r="AD1556" s="145">
        <v>0.02</v>
      </c>
      <c r="AE1556" s="145">
        <v>119.19</v>
      </c>
      <c r="AF1556" s="145" t="s">
        <v>400</v>
      </c>
      <c r="AG1556" s="145">
        <v>2.15</v>
      </c>
      <c r="AH1556" s="145">
        <v>4.8499999999999996</v>
      </c>
      <c r="AI1556" s="145" t="s">
        <v>400</v>
      </c>
      <c r="AJ1556" s="145">
        <v>21.11</v>
      </c>
      <c r="AK1556" s="145">
        <v>0.12</v>
      </c>
      <c r="AL1556" s="145">
        <v>25.21</v>
      </c>
      <c r="AM1556" s="145">
        <v>24.8</v>
      </c>
    </row>
    <row r="1557" spans="1:39">
      <c r="A1557" s="143" t="s">
        <v>2617</v>
      </c>
      <c r="B1557" s="144">
        <v>100</v>
      </c>
      <c r="C1557" s="145">
        <v>472</v>
      </c>
      <c r="D1557" s="145">
        <v>6.4</v>
      </c>
      <c r="E1557" s="145">
        <v>19.600000000000001</v>
      </c>
      <c r="F1557" s="145">
        <v>6.2</v>
      </c>
      <c r="G1557" s="145">
        <v>6.6</v>
      </c>
      <c r="H1557" s="145">
        <v>1.7</v>
      </c>
      <c r="I1557" s="145">
        <v>1.68</v>
      </c>
      <c r="J1557" s="145">
        <v>0.06</v>
      </c>
      <c r="K1557" s="145" t="s">
        <v>400</v>
      </c>
      <c r="L1557" s="145">
        <v>70.5</v>
      </c>
      <c r="M1557" s="145">
        <v>3</v>
      </c>
      <c r="N1557" s="145">
        <v>27</v>
      </c>
      <c r="O1557" s="145">
        <v>48</v>
      </c>
      <c r="P1557" s="145" t="s">
        <v>400</v>
      </c>
      <c r="Q1557" s="145">
        <v>139</v>
      </c>
      <c r="R1557" s="145">
        <v>2.2999999999999998</v>
      </c>
      <c r="S1557" s="145">
        <v>239</v>
      </c>
      <c r="T1557" s="145">
        <v>232</v>
      </c>
      <c r="U1557" s="145">
        <v>0.27</v>
      </c>
      <c r="V1557" s="145">
        <v>1</v>
      </c>
      <c r="W1557" s="145" t="s">
        <v>400</v>
      </c>
      <c r="X1557" s="145">
        <v>0.32</v>
      </c>
      <c r="Y1557" s="145">
        <v>0.39</v>
      </c>
      <c r="Z1557" s="145">
        <v>0.46</v>
      </c>
      <c r="AA1557" s="145">
        <v>2.52</v>
      </c>
      <c r="AB1557" s="145" t="s">
        <v>400</v>
      </c>
      <c r="AC1557" s="145" t="s">
        <v>400</v>
      </c>
      <c r="AD1557" s="145" t="s">
        <v>400</v>
      </c>
      <c r="AE1557" s="145" t="s">
        <v>400</v>
      </c>
      <c r="AF1557" s="145" t="s">
        <v>400</v>
      </c>
      <c r="AG1557" s="145" t="s">
        <v>400</v>
      </c>
      <c r="AH1557" s="145">
        <v>4.21</v>
      </c>
      <c r="AI1557" s="145" t="s">
        <v>400</v>
      </c>
      <c r="AJ1557" s="145" t="s">
        <v>400</v>
      </c>
      <c r="AK1557" s="145" t="s">
        <v>400</v>
      </c>
      <c r="AL1557" s="145">
        <v>40.619999999999997</v>
      </c>
      <c r="AM1557" s="145">
        <v>40.53</v>
      </c>
    </row>
    <row r="1558" spans="1:39">
      <c r="A1558" s="143" t="s">
        <v>2618</v>
      </c>
      <c r="B1558" s="144">
        <v>100</v>
      </c>
      <c r="C1558" s="145">
        <v>620.20000000000005</v>
      </c>
      <c r="D1558" s="145">
        <v>5.5720000000000001</v>
      </c>
      <c r="E1558" s="145">
        <v>26.283999999999999</v>
      </c>
      <c r="F1558" s="145">
        <v>15.888</v>
      </c>
      <c r="G1558" s="145">
        <v>7.5510000000000002</v>
      </c>
      <c r="H1558" s="145">
        <v>1.117</v>
      </c>
      <c r="I1558" s="145">
        <v>1.01</v>
      </c>
      <c r="J1558" s="145">
        <v>8.8999999999999996E-2</v>
      </c>
      <c r="K1558" s="145">
        <v>78.206999999999994</v>
      </c>
      <c r="L1558" s="145">
        <v>98.061999999999998</v>
      </c>
      <c r="M1558" s="145">
        <v>3.2189999999999999</v>
      </c>
      <c r="N1558" s="145">
        <v>53.667000000000002</v>
      </c>
      <c r="O1558" s="145">
        <v>56.231000000000002</v>
      </c>
      <c r="P1558" s="145">
        <v>0.65300000000000002</v>
      </c>
      <c r="Q1558" s="145">
        <v>112.988</v>
      </c>
      <c r="R1558" s="145">
        <v>3.2490000000000001</v>
      </c>
      <c r="S1558" s="145">
        <v>151.82599999999999</v>
      </c>
      <c r="T1558" s="145">
        <v>182.92599999999999</v>
      </c>
      <c r="U1558" s="145">
        <v>0.439</v>
      </c>
      <c r="V1558" s="145">
        <v>1.3680000000000001</v>
      </c>
      <c r="W1558" s="145">
        <v>137.602</v>
      </c>
      <c r="X1558" s="145">
        <v>0.21099999999999999</v>
      </c>
      <c r="Y1558" s="145">
        <v>0.20599999999999999</v>
      </c>
      <c r="Z1558" s="146">
        <v>3.1E-2</v>
      </c>
      <c r="AA1558" s="145">
        <v>1.57</v>
      </c>
      <c r="AB1558" s="145" t="s">
        <v>400</v>
      </c>
      <c r="AC1558" s="145">
        <v>2.7149999999999999</v>
      </c>
      <c r="AD1558" s="145">
        <v>0.13300000000000001</v>
      </c>
      <c r="AE1558" s="145">
        <v>56.481000000000002</v>
      </c>
      <c r="AF1558" s="145">
        <v>0.55400000000000005</v>
      </c>
      <c r="AG1558" s="145">
        <v>0.61599999999999999</v>
      </c>
      <c r="AH1558" s="145">
        <v>0.59699999999999998</v>
      </c>
      <c r="AI1558" s="145" t="s">
        <v>400</v>
      </c>
      <c r="AJ1558" s="145">
        <v>12.724</v>
      </c>
      <c r="AK1558" s="145">
        <v>140.12100000000001</v>
      </c>
      <c r="AL1558" s="145">
        <v>74.972999999999999</v>
      </c>
      <c r="AM1558" s="145">
        <v>75.629000000000005</v>
      </c>
    </row>
    <row r="1559" spans="1:39">
      <c r="A1559" s="143" t="s">
        <v>2619</v>
      </c>
      <c r="B1559" s="144">
        <v>100</v>
      </c>
      <c r="C1559" s="145">
        <v>472</v>
      </c>
      <c r="D1559" s="145">
        <v>6.4</v>
      </c>
      <c r="E1559" s="145">
        <v>19.600000000000001</v>
      </c>
      <c r="F1559" s="145">
        <v>6.2</v>
      </c>
      <c r="G1559" s="145">
        <v>6.6</v>
      </c>
      <c r="H1559" s="145">
        <v>1.7</v>
      </c>
      <c r="I1559" s="145">
        <v>1.68</v>
      </c>
      <c r="J1559" s="145">
        <v>0.06</v>
      </c>
      <c r="K1559" s="145" t="s">
        <v>400</v>
      </c>
      <c r="L1559" s="145">
        <v>70.5</v>
      </c>
      <c r="M1559" s="145">
        <v>3</v>
      </c>
      <c r="N1559" s="145">
        <v>27</v>
      </c>
      <c r="O1559" s="145">
        <v>48</v>
      </c>
      <c r="P1559" s="145" t="s">
        <v>400</v>
      </c>
      <c r="Q1559" s="145">
        <v>139</v>
      </c>
      <c r="R1559" s="145">
        <v>2.2999999999999998</v>
      </c>
      <c r="S1559" s="145">
        <v>239</v>
      </c>
      <c r="T1559" s="145">
        <v>232</v>
      </c>
      <c r="U1559" s="145">
        <v>0.27</v>
      </c>
      <c r="V1559" s="145">
        <v>1</v>
      </c>
      <c r="W1559" s="145" t="s">
        <v>400</v>
      </c>
      <c r="X1559" s="145">
        <v>0.32</v>
      </c>
      <c r="Y1559" s="145">
        <v>0.39</v>
      </c>
      <c r="Z1559" s="145">
        <v>0.46</v>
      </c>
      <c r="AA1559" s="145">
        <v>2.52</v>
      </c>
      <c r="AB1559" s="145" t="s">
        <v>400</v>
      </c>
      <c r="AC1559" s="145" t="s">
        <v>400</v>
      </c>
      <c r="AD1559" s="145" t="s">
        <v>400</v>
      </c>
      <c r="AE1559" s="145" t="s">
        <v>400</v>
      </c>
      <c r="AF1559" s="145" t="s">
        <v>400</v>
      </c>
      <c r="AG1559" s="145" t="s">
        <v>400</v>
      </c>
      <c r="AH1559" s="145">
        <v>4.21</v>
      </c>
      <c r="AI1559" s="145" t="s">
        <v>400</v>
      </c>
      <c r="AJ1559" s="145" t="s">
        <v>400</v>
      </c>
      <c r="AK1559" s="145" t="s">
        <v>400</v>
      </c>
      <c r="AL1559" s="145">
        <v>40.619999999999997</v>
      </c>
      <c r="AM1559" s="145">
        <v>40.53</v>
      </c>
    </row>
    <row r="1560" spans="1:39">
      <c r="A1560" s="143" t="s">
        <v>2620</v>
      </c>
      <c r="B1560" s="144">
        <v>100</v>
      </c>
      <c r="C1560" s="145">
        <v>432</v>
      </c>
      <c r="D1560" s="145">
        <v>10.1</v>
      </c>
      <c r="E1560" s="145">
        <v>14.4</v>
      </c>
      <c r="F1560" s="145">
        <v>4.4000000000000004</v>
      </c>
      <c r="G1560" s="145">
        <v>4.5999999999999996</v>
      </c>
      <c r="H1560" s="145">
        <v>2.9</v>
      </c>
      <c r="I1560" s="145">
        <v>2.79</v>
      </c>
      <c r="J1560" s="145">
        <v>0.01</v>
      </c>
      <c r="K1560" s="145" t="s">
        <v>400</v>
      </c>
      <c r="L1560" s="145">
        <v>68.7</v>
      </c>
      <c r="M1560" s="145">
        <v>2.5</v>
      </c>
      <c r="N1560" s="145">
        <v>20</v>
      </c>
      <c r="O1560" s="145">
        <v>40</v>
      </c>
      <c r="P1560" s="145" t="s">
        <v>400</v>
      </c>
      <c r="Q1560" s="145">
        <v>148</v>
      </c>
      <c r="R1560" s="145">
        <v>2.2000000000000002</v>
      </c>
      <c r="S1560" s="145">
        <v>854</v>
      </c>
      <c r="T1560" s="145">
        <v>181</v>
      </c>
      <c r="U1560" s="145">
        <v>0.18</v>
      </c>
      <c r="V1560" s="145">
        <v>1.1000000000000001</v>
      </c>
      <c r="W1560" s="145" t="s">
        <v>400</v>
      </c>
      <c r="X1560" s="145">
        <v>0.71</v>
      </c>
      <c r="Y1560" s="145">
        <v>0.13</v>
      </c>
      <c r="Z1560" s="145">
        <v>0.17</v>
      </c>
      <c r="AA1560" s="145">
        <v>7.14</v>
      </c>
      <c r="AB1560" s="145" t="s">
        <v>400</v>
      </c>
      <c r="AC1560" s="145" t="s">
        <v>400</v>
      </c>
      <c r="AD1560" s="145" t="s">
        <v>400</v>
      </c>
      <c r="AE1560" s="145" t="s">
        <v>400</v>
      </c>
      <c r="AF1560" s="145" t="s">
        <v>400</v>
      </c>
      <c r="AG1560" s="145" t="s">
        <v>400</v>
      </c>
      <c r="AH1560" s="145">
        <v>1.8</v>
      </c>
      <c r="AI1560" s="145" t="s">
        <v>400</v>
      </c>
      <c r="AJ1560" s="145" t="s">
        <v>400</v>
      </c>
      <c r="AK1560" s="145" t="s">
        <v>400</v>
      </c>
      <c r="AL1560" s="145">
        <v>10.64</v>
      </c>
      <c r="AM1560" s="145">
        <v>10.58</v>
      </c>
    </row>
    <row r="1561" spans="1:39">
      <c r="A1561" s="143" t="s">
        <v>2621</v>
      </c>
      <c r="B1561" s="144">
        <v>100</v>
      </c>
      <c r="C1561" s="145">
        <v>203.179</v>
      </c>
      <c r="D1561" s="145">
        <v>13.96</v>
      </c>
      <c r="E1561" s="145">
        <v>12.457000000000001</v>
      </c>
      <c r="F1561" s="145">
        <v>4.8029999999999999</v>
      </c>
      <c r="G1561" s="145">
        <v>5.1420000000000003</v>
      </c>
      <c r="H1561" s="145">
        <v>1.258</v>
      </c>
      <c r="I1561" s="145">
        <v>1.129</v>
      </c>
      <c r="J1561" s="145">
        <v>8.8999999999999996E-2</v>
      </c>
      <c r="K1561" s="145">
        <v>77.230999999999995</v>
      </c>
      <c r="L1561" s="145">
        <v>8.266</v>
      </c>
      <c r="M1561" s="145">
        <v>0.65900000000000003</v>
      </c>
      <c r="N1561" s="145">
        <v>91.912999999999997</v>
      </c>
      <c r="O1561" s="145">
        <v>21.818999999999999</v>
      </c>
      <c r="P1561" s="145">
        <v>0.13400000000000001</v>
      </c>
      <c r="Q1561" s="145">
        <v>162.99700000000001</v>
      </c>
      <c r="R1561" s="145">
        <v>1.544</v>
      </c>
      <c r="S1561" s="145">
        <v>332.45100000000002</v>
      </c>
      <c r="T1561" s="145">
        <v>198.63900000000001</v>
      </c>
      <c r="U1561" s="145">
        <v>8.8999999999999996E-2</v>
      </c>
      <c r="V1561" s="145">
        <v>2.698</v>
      </c>
      <c r="W1561" s="145">
        <v>60.536000000000001</v>
      </c>
      <c r="X1561" s="145">
        <v>9.2999999999999999E-2</v>
      </c>
      <c r="Y1561" s="145">
        <v>0.24199999999999999</v>
      </c>
      <c r="Z1561" s="146">
        <v>0.14799999999999999</v>
      </c>
      <c r="AA1561" s="145">
        <v>2.4260000000000002</v>
      </c>
      <c r="AB1561" s="145">
        <v>0.78200000000000003</v>
      </c>
      <c r="AC1561" s="145">
        <v>4.2489999999999997</v>
      </c>
      <c r="AD1561" s="145">
        <v>1.093</v>
      </c>
      <c r="AE1561" s="145">
        <v>24.126999999999999</v>
      </c>
      <c r="AF1561" s="145">
        <v>0.57299999999999995</v>
      </c>
      <c r="AG1561" s="145">
        <v>1.0169999999999999</v>
      </c>
      <c r="AH1561" s="145">
        <v>0.76400000000000001</v>
      </c>
      <c r="AI1561" s="145">
        <v>50</v>
      </c>
      <c r="AJ1561" s="145">
        <v>13.677</v>
      </c>
      <c r="AK1561" s="145">
        <v>67.245999999999995</v>
      </c>
      <c r="AL1561" s="145">
        <v>1.7509999999999999</v>
      </c>
      <c r="AM1561" s="145" t="s">
        <v>400</v>
      </c>
    </row>
    <row r="1562" spans="1:39">
      <c r="A1562" s="143" t="s">
        <v>2622</v>
      </c>
      <c r="B1562" s="144">
        <v>100</v>
      </c>
      <c r="C1562" s="145">
        <v>198</v>
      </c>
      <c r="D1562" s="145">
        <v>9.1</v>
      </c>
      <c r="E1562" s="145">
        <v>2.2999999999999998</v>
      </c>
      <c r="F1562" s="145">
        <v>0.34399999999999997</v>
      </c>
      <c r="G1562" s="145">
        <v>0.252</v>
      </c>
      <c r="H1562" s="145">
        <v>0.96899999999999997</v>
      </c>
      <c r="I1562" s="145">
        <v>0.91800000000000004</v>
      </c>
      <c r="J1562" s="145">
        <v>0.05</v>
      </c>
      <c r="K1562" s="145" t="s">
        <v>400</v>
      </c>
      <c r="L1562" s="145">
        <v>43.6</v>
      </c>
      <c r="M1562" s="145">
        <v>12</v>
      </c>
      <c r="N1562" s="145">
        <v>80</v>
      </c>
      <c r="O1562" s="145">
        <v>39</v>
      </c>
      <c r="P1562" s="145">
        <v>0.85299999999999998</v>
      </c>
      <c r="Q1562" s="145">
        <v>102</v>
      </c>
      <c r="R1562" s="145">
        <v>2.96</v>
      </c>
      <c r="S1562" s="145">
        <v>511</v>
      </c>
      <c r="T1562" s="145">
        <v>122</v>
      </c>
      <c r="U1562" s="145">
        <v>0.13700000000000001</v>
      </c>
      <c r="V1562" s="145">
        <v>1.1200000000000001</v>
      </c>
      <c r="W1562" s="145" t="s">
        <v>400</v>
      </c>
      <c r="X1562" s="145">
        <v>0.42199999999999999</v>
      </c>
      <c r="Y1562" s="145">
        <v>0.29499999999999998</v>
      </c>
      <c r="Z1562" s="146">
        <v>0.126</v>
      </c>
      <c r="AA1562" s="145">
        <v>3.8849999999999998</v>
      </c>
      <c r="AB1562" s="145">
        <v>0.1</v>
      </c>
      <c r="AC1562" s="145">
        <v>5.6849999999999996</v>
      </c>
      <c r="AD1562" s="145" t="s">
        <v>400</v>
      </c>
      <c r="AE1562" s="145">
        <v>135</v>
      </c>
      <c r="AF1562" s="145" t="s">
        <v>400</v>
      </c>
      <c r="AG1562" s="145">
        <v>0.24</v>
      </c>
      <c r="AH1562" s="145" t="s">
        <v>400</v>
      </c>
      <c r="AI1562" s="145" t="s">
        <v>400</v>
      </c>
      <c r="AJ1562" s="145">
        <v>30.4</v>
      </c>
      <c r="AK1562" s="145" t="s">
        <v>400</v>
      </c>
      <c r="AL1562" s="145">
        <v>4.1139999999999999</v>
      </c>
      <c r="AM1562" s="145">
        <v>3.823</v>
      </c>
    </row>
    <row r="1563" spans="1:39">
      <c r="A1563" s="143" t="s">
        <v>2623</v>
      </c>
      <c r="B1563" s="144">
        <v>100</v>
      </c>
      <c r="C1563" s="145">
        <v>198</v>
      </c>
      <c r="D1563" s="145">
        <v>9.1</v>
      </c>
      <c r="E1563" s="145">
        <v>2.2999999999999998</v>
      </c>
      <c r="F1563" s="145">
        <v>0.34399999999999997</v>
      </c>
      <c r="G1563" s="145">
        <v>0.252</v>
      </c>
      <c r="H1563" s="145">
        <v>0.96899999999999997</v>
      </c>
      <c r="I1563" s="145">
        <v>0.91800000000000004</v>
      </c>
      <c r="J1563" s="145">
        <v>0.05</v>
      </c>
      <c r="K1563" s="145" t="s">
        <v>400</v>
      </c>
      <c r="L1563" s="145">
        <v>43.6</v>
      </c>
      <c r="M1563" s="145">
        <v>12</v>
      </c>
      <c r="N1563" s="145">
        <v>80</v>
      </c>
      <c r="O1563" s="145">
        <v>39</v>
      </c>
      <c r="P1563" s="145">
        <v>0.85299999999999998</v>
      </c>
      <c r="Q1563" s="145">
        <v>102</v>
      </c>
      <c r="R1563" s="145">
        <v>2.96</v>
      </c>
      <c r="S1563" s="145">
        <v>511</v>
      </c>
      <c r="T1563" s="145">
        <v>122</v>
      </c>
      <c r="U1563" s="145">
        <v>0.13700000000000001</v>
      </c>
      <c r="V1563" s="145">
        <v>1.1200000000000001</v>
      </c>
      <c r="W1563" s="145" t="s">
        <v>400</v>
      </c>
      <c r="X1563" s="145">
        <v>0.42199999999999999</v>
      </c>
      <c r="Y1563" s="145">
        <v>0.29499999999999998</v>
      </c>
      <c r="Z1563" s="146">
        <v>0.126</v>
      </c>
      <c r="AA1563" s="145">
        <v>3.8849999999999998</v>
      </c>
      <c r="AB1563" s="145">
        <v>0.1</v>
      </c>
      <c r="AC1563" s="145">
        <v>5.6849999999999996</v>
      </c>
      <c r="AD1563" s="145" t="s">
        <v>400</v>
      </c>
      <c r="AE1563" s="145">
        <v>135</v>
      </c>
      <c r="AF1563" s="145" t="s">
        <v>400</v>
      </c>
      <c r="AG1563" s="145">
        <v>0.24</v>
      </c>
      <c r="AH1563" s="145" t="s">
        <v>400</v>
      </c>
      <c r="AI1563" s="145" t="s">
        <v>400</v>
      </c>
      <c r="AJ1563" s="145">
        <v>30.4</v>
      </c>
      <c r="AK1563" s="145" t="s">
        <v>400</v>
      </c>
      <c r="AL1563" s="145">
        <v>4.1139999999999999</v>
      </c>
      <c r="AM1563" s="145">
        <v>3.823</v>
      </c>
    </row>
    <row r="1564" spans="1:39">
      <c r="A1564" s="143" t="s">
        <v>2624</v>
      </c>
      <c r="B1564" s="144">
        <v>100</v>
      </c>
      <c r="C1564" s="145">
        <v>363</v>
      </c>
      <c r="D1564" s="145">
        <v>5.0999999999999996</v>
      </c>
      <c r="E1564" s="145">
        <v>24.6</v>
      </c>
      <c r="F1564" s="145" t="s">
        <v>400</v>
      </c>
      <c r="G1564" s="145" t="s">
        <v>400</v>
      </c>
      <c r="H1564" s="145" t="s">
        <v>400</v>
      </c>
      <c r="I1564" s="145" t="s">
        <v>400</v>
      </c>
      <c r="J1564" s="145" t="s">
        <v>400</v>
      </c>
      <c r="K1564" s="145">
        <v>68</v>
      </c>
      <c r="L1564" s="145">
        <v>34.200000000000003</v>
      </c>
      <c r="M1564" s="145">
        <v>0.6</v>
      </c>
      <c r="N1564" s="145">
        <v>102</v>
      </c>
      <c r="O1564" s="145">
        <v>8</v>
      </c>
      <c r="P1564" s="145">
        <v>0.03</v>
      </c>
      <c r="Q1564" s="145">
        <v>94</v>
      </c>
      <c r="R1564" s="145">
        <v>0.3</v>
      </c>
      <c r="S1564" s="145">
        <v>773</v>
      </c>
      <c r="T1564" s="145">
        <v>93</v>
      </c>
      <c r="U1564" s="145">
        <v>0.01</v>
      </c>
      <c r="V1564" s="145">
        <v>0.6</v>
      </c>
      <c r="W1564" s="145">
        <v>61</v>
      </c>
      <c r="X1564" s="145">
        <v>0.04</v>
      </c>
      <c r="Y1564" s="145">
        <v>0.1</v>
      </c>
      <c r="Z1564" s="145">
        <v>0.04</v>
      </c>
      <c r="AA1564" s="145" t="s">
        <v>400</v>
      </c>
      <c r="AB1564" s="145" t="s">
        <v>400</v>
      </c>
      <c r="AC1564" s="145" t="s">
        <v>400</v>
      </c>
      <c r="AD1564" s="145" t="s">
        <v>400</v>
      </c>
      <c r="AE1564" s="145" t="s">
        <v>400</v>
      </c>
      <c r="AF1564" s="145" t="s">
        <v>400</v>
      </c>
      <c r="AG1564" s="145" t="s">
        <v>400</v>
      </c>
      <c r="AH1564" s="145" t="s">
        <v>400</v>
      </c>
      <c r="AI1564" s="145" t="s">
        <v>400</v>
      </c>
      <c r="AJ1564" s="145" t="s">
        <v>400</v>
      </c>
      <c r="AK1564" s="145" t="s">
        <v>400</v>
      </c>
      <c r="AL1564" s="145" t="s">
        <v>400</v>
      </c>
      <c r="AM1564" s="145" t="s">
        <v>400</v>
      </c>
    </row>
    <row r="1565" spans="1:39">
      <c r="A1565" s="143" t="s">
        <v>2625</v>
      </c>
      <c r="B1565" s="144">
        <v>100</v>
      </c>
      <c r="C1565" s="145">
        <v>198</v>
      </c>
      <c r="D1565" s="145">
        <v>9.1</v>
      </c>
      <c r="E1565" s="145">
        <v>2.2999999999999998</v>
      </c>
      <c r="F1565" s="145">
        <v>0.34399999999999997</v>
      </c>
      <c r="G1565" s="145">
        <v>0.252</v>
      </c>
      <c r="H1565" s="145">
        <v>0.96899999999999997</v>
      </c>
      <c r="I1565" s="145">
        <v>0.91800000000000004</v>
      </c>
      <c r="J1565" s="145">
        <v>0.05</v>
      </c>
      <c r="K1565" s="145" t="s">
        <v>400</v>
      </c>
      <c r="L1565" s="145">
        <v>43.6</v>
      </c>
      <c r="M1565" s="145">
        <v>12</v>
      </c>
      <c r="N1565" s="145">
        <v>80</v>
      </c>
      <c r="O1565" s="145">
        <v>39</v>
      </c>
      <c r="P1565" s="145">
        <v>0.85299999999999998</v>
      </c>
      <c r="Q1565" s="145">
        <v>102</v>
      </c>
      <c r="R1565" s="145">
        <v>2.96</v>
      </c>
      <c r="S1565" s="145">
        <v>511</v>
      </c>
      <c r="T1565" s="145">
        <v>122</v>
      </c>
      <c r="U1565" s="145">
        <v>0.13700000000000001</v>
      </c>
      <c r="V1565" s="145">
        <v>1.1200000000000001</v>
      </c>
      <c r="W1565" s="145" t="s">
        <v>400</v>
      </c>
      <c r="X1565" s="145">
        <v>0.42199999999999999</v>
      </c>
      <c r="Y1565" s="145">
        <v>0.29499999999999998</v>
      </c>
      <c r="Z1565" s="146">
        <v>0.126</v>
      </c>
      <c r="AA1565" s="145">
        <v>3.8849999999999998</v>
      </c>
      <c r="AB1565" s="145">
        <v>0.1</v>
      </c>
      <c r="AC1565" s="145">
        <v>5.6849999999999996</v>
      </c>
      <c r="AD1565" s="145" t="s">
        <v>400</v>
      </c>
      <c r="AE1565" s="145">
        <v>135</v>
      </c>
      <c r="AF1565" s="145" t="s">
        <v>400</v>
      </c>
      <c r="AG1565" s="145">
        <v>0.24</v>
      </c>
      <c r="AH1565" s="145" t="s">
        <v>400</v>
      </c>
      <c r="AI1565" s="145" t="s">
        <v>400</v>
      </c>
      <c r="AJ1565" s="145">
        <v>30.4</v>
      </c>
      <c r="AK1565" s="145" t="s">
        <v>400</v>
      </c>
      <c r="AL1565" s="145">
        <v>4.1139999999999999</v>
      </c>
      <c r="AM1565" s="145">
        <v>3.823</v>
      </c>
    </row>
    <row r="1566" spans="1:39">
      <c r="A1566" s="143" t="s">
        <v>2626</v>
      </c>
      <c r="B1566" s="144">
        <v>100</v>
      </c>
      <c r="C1566" s="145">
        <v>121.836</v>
      </c>
      <c r="D1566" s="145">
        <v>2.294</v>
      </c>
      <c r="E1566" s="145">
        <v>5.3949999999999996</v>
      </c>
      <c r="F1566" s="145">
        <v>1.7909999999999999</v>
      </c>
      <c r="G1566" s="145">
        <v>2.63</v>
      </c>
      <c r="H1566" s="145">
        <v>0.61</v>
      </c>
      <c r="I1566" s="145">
        <v>0.55300000000000005</v>
      </c>
      <c r="J1566" s="145">
        <v>5.7000000000000002E-2</v>
      </c>
      <c r="K1566" s="145">
        <v>3.7629999999999999</v>
      </c>
      <c r="L1566" s="145">
        <v>16.062999999999999</v>
      </c>
      <c r="M1566" s="145">
        <v>0.503</v>
      </c>
      <c r="N1566" s="145">
        <v>51.448999999999998</v>
      </c>
      <c r="O1566" s="145">
        <v>9.657</v>
      </c>
      <c r="P1566" s="145">
        <v>7.3999999999999996E-2</v>
      </c>
      <c r="Q1566" s="145">
        <v>51.533999999999999</v>
      </c>
      <c r="R1566" s="145">
        <v>0.40799999999999997</v>
      </c>
      <c r="S1566" s="145">
        <v>236.66200000000001</v>
      </c>
      <c r="T1566" s="145">
        <v>82.691999999999993</v>
      </c>
      <c r="U1566" s="145">
        <v>4.4999999999999998E-2</v>
      </c>
      <c r="V1566" s="145">
        <v>0.25600000000000001</v>
      </c>
      <c r="W1566" s="145">
        <v>10.537000000000001</v>
      </c>
      <c r="X1566" s="145">
        <v>6.7000000000000004E-2</v>
      </c>
      <c r="Y1566" s="145">
        <v>0.10100000000000001</v>
      </c>
      <c r="Z1566" s="146">
        <v>2.3E-2</v>
      </c>
      <c r="AA1566" s="145">
        <v>0.40899999999999997</v>
      </c>
      <c r="AB1566" s="145" t="s">
        <v>400</v>
      </c>
      <c r="AC1566" s="145">
        <v>1.0960000000000001</v>
      </c>
      <c r="AD1566" s="145">
        <v>0.16600000000000001</v>
      </c>
      <c r="AE1566" s="145">
        <v>23.065000000000001</v>
      </c>
      <c r="AF1566" s="145">
        <v>0.376</v>
      </c>
      <c r="AG1566" s="145">
        <v>6.4000000000000001E-2</v>
      </c>
      <c r="AH1566" s="145">
        <v>1.0629999999999999</v>
      </c>
      <c r="AI1566" s="145" t="s">
        <v>400</v>
      </c>
      <c r="AJ1566" s="145">
        <v>4.5330000000000004</v>
      </c>
      <c r="AK1566" s="145">
        <v>10.693</v>
      </c>
      <c r="AL1566" s="145">
        <v>7.8380000000000001</v>
      </c>
      <c r="AM1566" s="145">
        <v>5.9210000000000003</v>
      </c>
    </row>
    <row r="1567" spans="1:39">
      <c r="A1567" s="143" t="s">
        <v>2627</v>
      </c>
      <c r="B1567" s="144">
        <v>100</v>
      </c>
      <c r="C1567" s="145">
        <v>99.17</v>
      </c>
      <c r="D1567" s="145">
        <v>2.2480000000000002</v>
      </c>
      <c r="E1567" s="145">
        <v>5.2990000000000004</v>
      </c>
      <c r="F1567" s="145">
        <v>1.748</v>
      </c>
      <c r="G1567" s="145">
        <v>2.621</v>
      </c>
      <c r="H1567" s="145">
        <v>0.58299999999999996</v>
      </c>
      <c r="I1567" s="145">
        <v>0.53</v>
      </c>
      <c r="J1567" s="145">
        <v>5.3999999999999999E-2</v>
      </c>
      <c r="K1567" s="145">
        <v>3.7629999999999999</v>
      </c>
      <c r="L1567" s="145">
        <v>10.656000000000001</v>
      </c>
      <c r="M1567" s="145">
        <v>0.36699999999999999</v>
      </c>
      <c r="N1567" s="145">
        <v>52.433</v>
      </c>
      <c r="O1567" s="145">
        <v>8.3350000000000009</v>
      </c>
      <c r="P1567" s="145">
        <v>6.2E-2</v>
      </c>
      <c r="Q1567" s="145">
        <v>49.792000000000002</v>
      </c>
      <c r="R1567" s="145">
        <v>0.52400000000000002</v>
      </c>
      <c r="S1567" s="145">
        <v>141.82499999999999</v>
      </c>
      <c r="T1567" s="145">
        <v>108.16500000000001</v>
      </c>
      <c r="U1567" s="145">
        <v>3.9E-2</v>
      </c>
      <c r="V1567" s="145">
        <v>0.214</v>
      </c>
      <c r="W1567" s="145">
        <v>10.537000000000001</v>
      </c>
      <c r="X1567" s="145">
        <v>6.7000000000000004E-2</v>
      </c>
      <c r="Y1567" s="145">
        <v>9.9000000000000005E-2</v>
      </c>
      <c r="Z1567" s="146">
        <v>2.3E-2</v>
      </c>
      <c r="AA1567" s="145">
        <v>0.4</v>
      </c>
      <c r="AB1567" s="145" t="s">
        <v>400</v>
      </c>
      <c r="AC1567" s="145">
        <v>1.077</v>
      </c>
      <c r="AD1567" s="145">
        <v>0.16600000000000001</v>
      </c>
      <c r="AE1567" s="145">
        <v>22.978999999999999</v>
      </c>
      <c r="AF1567" s="145">
        <v>0.376</v>
      </c>
      <c r="AG1567" s="145">
        <v>5.8999999999999997E-2</v>
      </c>
      <c r="AH1567" s="145">
        <v>1.0629999999999999</v>
      </c>
      <c r="AI1567" s="145" t="s">
        <v>400</v>
      </c>
      <c r="AJ1567" s="145">
        <v>4.4290000000000003</v>
      </c>
      <c r="AK1567" s="145">
        <v>10.693</v>
      </c>
      <c r="AL1567" s="145">
        <v>2.3050000000000002</v>
      </c>
      <c r="AM1567" s="145">
        <v>0.216</v>
      </c>
    </row>
    <row r="1568" spans="1:39">
      <c r="A1568" s="143" t="s">
        <v>2628</v>
      </c>
      <c r="B1568" s="144">
        <v>100</v>
      </c>
      <c r="C1568" s="145">
        <v>426.53300000000002</v>
      </c>
      <c r="D1568" s="145">
        <v>6.44</v>
      </c>
      <c r="E1568" s="145">
        <v>22.95</v>
      </c>
      <c r="F1568" s="145">
        <v>5.3010000000000002</v>
      </c>
      <c r="G1568" s="145">
        <v>11.071999999999999</v>
      </c>
      <c r="H1568" s="145">
        <v>4.0570000000000004</v>
      </c>
      <c r="I1568" s="145">
        <v>3.7919999999999998</v>
      </c>
      <c r="J1568" s="145">
        <v>0.24399999999999999</v>
      </c>
      <c r="K1568" s="145">
        <v>46.497999999999998</v>
      </c>
      <c r="L1568" s="145">
        <v>48.691000000000003</v>
      </c>
      <c r="M1568" s="145">
        <v>1.4019999999999999</v>
      </c>
      <c r="N1568" s="145">
        <v>93.203000000000003</v>
      </c>
      <c r="O1568" s="145">
        <v>13.183999999999999</v>
      </c>
      <c r="P1568" s="145">
        <v>0.32500000000000001</v>
      </c>
      <c r="Q1568" s="145">
        <v>104.402</v>
      </c>
      <c r="R1568" s="145">
        <v>2.2610000000000001</v>
      </c>
      <c r="S1568" s="145">
        <v>244.63399999999999</v>
      </c>
      <c r="T1568" s="145">
        <v>90.26</v>
      </c>
      <c r="U1568" s="145">
        <v>7.0000000000000007E-2</v>
      </c>
      <c r="V1568" s="145">
        <v>0.50600000000000001</v>
      </c>
      <c r="W1568" s="145">
        <v>76.942999999999998</v>
      </c>
      <c r="X1568" s="145">
        <v>0.35399999999999998</v>
      </c>
      <c r="Y1568" s="145">
        <v>0.30599999999999999</v>
      </c>
      <c r="Z1568" s="146">
        <v>3.9E-2</v>
      </c>
      <c r="AA1568" s="145">
        <v>2.58</v>
      </c>
      <c r="AB1568" s="145">
        <v>5.3999999999999999E-2</v>
      </c>
      <c r="AC1568" s="145">
        <v>3.8959999999999999</v>
      </c>
      <c r="AD1568" s="145">
        <v>0.20399999999999999</v>
      </c>
      <c r="AE1568" s="145">
        <v>93.831000000000003</v>
      </c>
      <c r="AF1568" s="145">
        <v>0.32300000000000001</v>
      </c>
      <c r="AG1568" s="145">
        <v>1.4790000000000001</v>
      </c>
      <c r="AH1568" s="145">
        <v>5.1859999999999999</v>
      </c>
      <c r="AI1568" s="145" t="s">
        <v>400</v>
      </c>
      <c r="AJ1568" s="145">
        <v>18.454999999999998</v>
      </c>
      <c r="AK1568" s="145">
        <v>79.591999999999999</v>
      </c>
      <c r="AL1568" s="145">
        <v>15.481999999999999</v>
      </c>
      <c r="AM1568" s="145">
        <v>14.252000000000001</v>
      </c>
    </row>
    <row r="1569" spans="1:39">
      <c r="A1569" s="143" t="s">
        <v>2629</v>
      </c>
      <c r="B1569" s="144">
        <v>100</v>
      </c>
      <c r="C1569" s="145">
        <v>426.53300000000002</v>
      </c>
      <c r="D1569" s="145">
        <v>6.44</v>
      </c>
      <c r="E1569" s="145">
        <v>22.95</v>
      </c>
      <c r="F1569" s="145">
        <v>5.3010000000000002</v>
      </c>
      <c r="G1569" s="145">
        <v>11.071999999999999</v>
      </c>
      <c r="H1569" s="145">
        <v>4.0570000000000004</v>
      </c>
      <c r="I1569" s="145">
        <v>3.7919999999999998</v>
      </c>
      <c r="J1569" s="145">
        <v>0.24399999999999999</v>
      </c>
      <c r="K1569" s="145">
        <v>46.497999999999998</v>
      </c>
      <c r="L1569" s="145">
        <v>48.691000000000003</v>
      </c>
      <c r="M1569" s="145">
        <v>1.4019999999999999</v>
      </c>
      <c r="N1569" s="145">
        <v>93.203000000000003</v>
      </c>
      <c r="O1569" s="145">
        <v>13.183999999999999</v>
      </c>
      <c r="P1569" s="145">
        <v>0.32500000000000001</v>
      </c>
      <c r="Q1569" s="145">
        <v>104.402</v>
      </c>
      <c r="R1569" s="145">
        <v>2.2610000000000001</v>
      </c>
      <c r="S1569" s="145">
        <v>244.63399999999999</v>
      </c>
      <c r="T1569" s="145">
        <v>90.26</v>
      </c>
      <c r="U1569" s="145">
        <v>7.0000000000000007E-2</v>
      </c>
      <c r="V1569" s="145">
        <v>0.50600000000000001</v>
      </c>
      <c r="W1569" s="145">
        <v>76.942999999999998</v>
      </c>
      <c r="X1569" s="145">
        <v>0.35399999999999998</v>
      </c>
      <c r="Y1569" s="145">
        <v>0.30599999999999999</v>
      </c>
      <c r="Z1569" s="146">
        <v>3.9E-2</v>
      </c>
      <c r="AA1569" s="145">
        <v>2.58</v>
      </c>
      <c r="AB1569" s="145">
        <v>5.3999999999999999E-2</v>
      </c>
      <c r="AC1569" s="145">
        <v>3.8959999999999999</v>
      </c>
      <c r="AD1569" s="145">
        <v>0.20399999999999999</v>
      </c>
      <c r="AE1569" s="145">
        <v>93.831000000000003</v>
      </c>
      <c r="AF1569" s="145">
        <v>0.32300000000000001</v>
      </c>
      <c r="AG1569" s="145">
        <v>1.4790000000000001</v>
      </c>
      <c r="AH1569" s="145">
        <v>5.1859999999999999</v>
      </c>
      <c r="AI1569" s="145" t="s">
        <v>400</v>
      </c>
      <c r="AJ1569" s="145">
        <v>18.454999999999998</v>
      </c>
      <c r="AK1569" s="145">
        <v>79.591999999999999</v>
      </c>
      <c r="AL1569" s="145">
        <v>15.481999999999999</v>
      </c>
      <c r="AM1569" s="145">
        <v>14.252000000000001</v>
      </c>
    </row>
    <row r="1570" spans="1:39">
      <c r="A1570" s="143" t="s">
        <v>2630</v>
      </c>
      <c r="B1570" s="144">
        <v>100</v>
      </c>
      <c r="C1570" s="145">
        <v>299.49299999999999</v>
      </c>
      <c r="D1570" s="145">
        <v>4.5940000000000003</v>
      </c>
      <c r="E1570" s="145">
        <v>9.36</v>
      </c>
      <c r="F1570" s="145">
        <v>5.4409999999999998</v>
      </c>
      <c r="G1570" s="145">
        <v>2.7109999999999999</v>
      </c>
      <c r="H1570" s="145">
        <v>0.5</v>
      </c>
      <c r="I1570" s="145">
        <v>0.44900000000000001</v>
      </c>
      <c r="J1570" s="145">
        <v>3.3000000000000002E-2</v>
      </c>
      <c r="K1570" s="145">
        <v>49.829000000000001</v>
      </c>
      <c r="L1570" s="145">
        <v>52.448</v>
      </c>
      <c r="M1570" s="145">
        <v>2.0030000000000001</v>
      </c>
      <c r="N1570" s="145">
        <v>43.438000000000002</v>
      </c>
      <c r="O1570" s="145">
        <v>32.200000000000003</v>
      </c>
      <c r="P1570" s="145">
        <v>0.48699999999999999</v>
      </c>
      <c r="Q1570" s="145">
        <v>82.605000000000004</v>
      </c>
      <c r="R1570" s="145">
        <v>2.5939999999999999</v>
      </c>
      <c r="S1570" s="145">
        <v>150.68899999999999</v>
      </c>
      <c r="T1570" s="145">
        <v>103.849</v>
      </c>
      <c r="U1570" s="145">
        <v>0.29199999999999998</v>
      </c>
      <c r="V1570" s="145">
        <v>1.0209999999999999</v>
      </c>
      <c r="W1570" s="145">
        <v>49.036000000000001</v>
      </c>
      <c r="X1570" s="145">
        <v>0.19900000000000001</v>
      </c>
      <c r="Y1570" s="145">
        <v>0.17699999999999999</v>
      </c>
      <c r="Z1570" s="146">
        <v>2.4E-2</v>
      </c>
      <c r="AA1570" s="145">
        <v>1.476</v>
      </c>
      <c r="AB1570" s="145" t="s">
        <v>400</v>
      </c>
      <c r="AC1570" s="145">
        <v>2.379</v>
      </c>
      <c r="AD1570" s="145">
        <v>0.111</v>
      </c>
      <c r="AE1570" s="145">
        <v>53.405000000000001</v>
      </c>
      <c r="AF1570" s="145">
        <v>0.188</v>
      </c>
      <c r="AG1570" s="145">
        <v>0.25600000000000001</v>
      </c>
      <c r="AH1570" s="145">
        <v>0.16400000000000001</v>
      </c>
      <c r="AI1570" s="145" t="s">
        <v>400</v>
      </c>
      <c r="AJ1570" s="145">
        <v>11.53</v>
      </c>
      <c r="AK1570" s="145">
        <v>61.997999999999998</v>
      </c>
      <c r="AL1570" s="145">
        <v>32.488999999999997</v>
      </c>
      <c r="AM1570" s="145">
        <v>32.252000000000002</v>
      </c>
    </row>
    <row r="1571" spans="1:39">
      <c r="A1571" s="143" t="s">
        <v>2631</v>
      </c>
      <c r="B1571" s="144">
        <v>100</v>
      </c>
      <c r="C1571" s="145">
        <v>299.49299999999999</v>
      </c>
      <c r="D1571" s="145">
        <v>4.5940000000000003</v>
      </c>
      <c r="E1571" s="145">
        <v>9.36</v>
      </c>
      <c r="F1571" s="145">
        <v>5.4409999999999998</v>
      </c>
      <c r="G1571" s="145">
        <v>2.7109999999999999</v>
      </c>
      <c r="H1571" s="145">
        <v>0.5</v>
      </c>
      <c r="I1571" s="145">
        <v>0.44900000000000001</v>
      </c>
      <c r="J1571" s="145">
        <v>3.3000000000000002E-2</v>
      </c>
      <c r="K1571" s="145">
        <v>49.829000000000001</v>
      </c>
      <c r="L1571" s="145">
        <v>52.448</v>
      </c>
      <c r="M1571" s="145">
        <v>2.0030000000000001</v>
      </c>
      <c r="N1571" s="145">
        <v>43.438000000000002</v>
      </c>
      <c r="O1571" s="145">
        <v>32.200000000000003</v>
      </c>
      <c r="P1571" s="145">
        <v>0.48699999999999999</v>
      </c>
      <c r="Q1571" s="145">
        <v>82.605000000000004</v>
      </c>
      <c r="R1571" s="145">
        <v>2.5939999999999999</v>
      </c>
      <c r="S1571" s="145">
        <v>150.68899999999999</v>
      </c>
      <c r="T1571" s="145">
        <v>103.849</v>
      </c>
      <c r="U1571" s="145">
        <v>0.29199999999999998</v>
      </c>
      <c r="V1571" s="145">
        <v>1.0209999999999999</v>
      </c>
      <c r="W1571" s="145">
        <v>49.036000000000001</v>
      </c>
      <c r="X1571" s="145">
        <v>0.19900000000000001</v>
      </c>
      <c r="Y1571" s="145">
        <v>0.17699999999999999</v>
      </c>
      <c r="Z1571" s="146">
        <v>2.4E-2</v>
      </c>
      <c r="AA1571" s="145">
        <v>1.476</v>
      </c>
      <c r="AB1571" s="145" t="s">
        <v>400</v>
      </c>
      <c r="AC1571" s="145">
        <v>2.379</v>
      </c>
      <c r="AD1571" s="145">
        <v>0.111</v>
      </c>
      <c r="AE1571" s="145">
        <v>53.405000000000001</v>
      </c>
      <c r="AF1571" s="145">
        <v>0.188</v>
      </c>
      <c r="AG1571" s="145">
        <v>0.25600000000000001</v>
      </c>
      <c r="AH1571" s="145">
        <v>0.16400000000000001</v>
      </c>
      <c r="AI1571" s="145" t="s">
        <v>400</v>
      </c>
      <c r="AJ1571" s="145">
        <v>11.53</v>
      </c>
      <c r="AK1571" s="145">
        <v>61.997999999999998</v>
      </c>
      <c r="AL1571" s="145">
        <v>32.488999999999997</v>
      </c>
      <c r="AM1571" s="145">
        <v>32.252000000000002</v>
      </c>
    </row>
    <row r="1572" spans="1:39">
      <c r="A1572" s="143" t="s">
        <v>2632</v>
      </c>
      <c r="B1572" s="144">
        <v>100</v>
      </c>
      <c r="C1572" s="145">
        <v>328.38299999999998</v>
      </c>
      <c r="D1572" s="145">
        <v>4.7629999999999999</v>
      </c>
      <c r="E1572" s="145">
        <v>9.4819999999999993</v>
      </c>
      <c r="F1572" s="145">
        <v>2.9670000000000001</v>
      </c>
      <c r="G1572" s="145">
        <v>3.9550000000000001</v>
      </c>
      <c r="H1572" s="145">
        <v>1.768</v>
      </c>
      <c r="I1572" s="145">
        <v>1.653</v>
      </c>
      <c r="J1572" s="145">
        <v>9.1999999999999998E-2</v>
      </c>
      <c r="K1572" s="145">
        <v>57.984000000000002</v>
      </c>
      <c r="L1572" s="145">
        <v>58.313000000000002</v>
      </c>
      <c r="M1572" s="145">
        <v>2.363</v>
      </c>
      <c r="N1572" s="145">
        <v>67.713999999999999</v>
      </c>
      <c r="O1572" s="145">
        <v>32.468000000000004</v>
      </c>
      <c r="P1572" s="145">
        <v>0.63800000000000001</v>
      </c>
      <c r="Q1572" s="145">
        <v>81.644000000000005</v>
      </c>
      <c r="R1572" s="145">
        <v>1.978</v>
      </c>
      <c r="S1572" s="145">
        <v>104.21</v>
      </c>
      <c r="T1572" s="145">
        <v>254.15199999999999</v>
      </c>
      <c r="U1572" s="145">
        <v>0.19400000000000001</v>
      </c>
      <c r="V1572" s="145">
        <v>0.64900000000000002</v>
      </c>
      <c r="W1572" s="145">
        <v>47.253</v>
      </c>
      <c r="X1572" s="145">
        <v>0.24</v>
      </c>
      <c r="Y1572" s="145">
        <v>0.191</v>
      </c>
      <c r="Z1572" s="146">
        <v>0.104</v>
      </c>
      <c r="AA1572" s="145">
        <v>1.5409999999999999</v>
      </c>
      <c r="AB1572" s="145">
        <v>5.3070000000000004</v>
      </c>
      <c r="AC1572" s="145">
        <v>2.4910000000000001</v>
      </c>
      <c r="AD1572" s="145">
        <v>0.13600000000000001</v>
      </c>
      <c r="AE1572" s="145">
        <v>54.165999999999997</v>
      </c>
      <c r="AF1572" s="145">
        <v>0.20599999999999999</v>
      </c>
      <c r="AG1572" s="145">
        <v>0.378</v>
      </c>
      <c r="AH1572" s="145">
        <v>0.13600000000000001</v>
      </c>
      <c r="AI1572" s="145" t="s">
        <v>400</v>
      </c>
      <c r="AJ1572" s="145">
        <v>12.412000000000001</v>
      </c>
      <c r="AK1572" s="145">
        <v>59.929000000000002</v>
      </c>
      <c r="AL1572" s="145">
        <v>34.396999999999998</v>
      </c>
      <c r="AM1572" s="145">
        <v>30.763999999999999</v>
      </c>
    </row>
    <row r="1573" spans="1:39">
      <c r="A1573" s="143" t="s">
        <v>2633</v>
      </c>
      <c r="B1573" s="144">
        <v>100</v>
      </c>
      <c r="C1573" s="145">
        <v>299.49299999999999</v>
      </c>
      <c r="D1573" s="145">
        <v>4.5940000000000003</v>
      </c>
      <c r="E1573" s="145">
        <v>9.36</v>
      </c>
      <c r="F1573" s="145">
        <v>5.4409999999999998</v>
      </c>
      <c r="G1573" s="145">
        <v>2.7109999999999999</v>
      </c>
      <c r="H1573" s="145">
        <v>0.5</v>
      </c>
      <c r="I1573" s="145">
        <v>0.44900000000000001</v>
      </c>
      <c r="J1573" s="145">
        <v>3.3000000000000002E-2</v>
      </c>
      <c r="K1573" s="145">
        <v>49.829000000000001</v>
      </c>
      <c r="L1573" s="145">
        <v>52.448</v>
      </c>
      <c r="M1573" s="145">
        <v>2.0030000000000001</v>
      </c>
      <c r="N1573" s="145">
        <v>43.438000000000002</v>
      </c>
      <c r="O1573" s="145">
        <v>32.200000000000003</v>
      </c>
      <c r="P1573" s="145">
        <v>0.48699999999999999</v>
      </c>
      <c r="Q1573" s="145">
        <v>82.605000000000004</v>
      </c>
      <c r="R1573" s="145">
        <v>2.5939999999999999</v>
      </c>
      <c r="S1573" s="145">
        <v>150.68899999999999</v>
      </c>
      <c r="T1573" s="145">
        <v>103.849</v>
      </c>
      <c r="U1573" s="145">
        <v>0.29199999999999998</v>
      </c>
      <c r="V1573" s="145">
        <v>1.0209999999999999</v>
      </c>
      <c r="W1573" s="145">
        <v>49.036000000000001</v>
      </c>
      <c r="X1573" s="145">
        <v>0.19900000000000001</v>
      </c>
      <c r="Y1573" s="145">
        <v>0.17699999999999999</v>
      </c>
      <c r="Z1573" s="146">
        <v>2.4E-2</v>
      </c>
      <c r="AA1573" s="145">
        <v>1.476</v>
      </c>
      <c r="AB1573" s="145" t="s">
        <v>400</v>
      </c>
      <c r="AC1573" s="145">
        <v>2.379</v>
      </c>
      <c r="AD1573" s="145">
        <v>0.111</v>
      </c>
      <c r="AE1573" s="145">
        <v>53.405000000000001</v>
      </c>
      <c r="AF1573" s="145">
        <v>0.188</v>
      </c>
      <c r="AG1573" s="145">
        <v>0.25600000000000001</v>
      </c>
      <c r="AH1573" s="145">
        <v>0.16400000000000001</v>
      </c>
      <c r="AI1573" s="145" t="s">
        <v>400</v>
      </c>
      <c r="AJ1573" s="145">
        <v>11.53</v>
      </c>
      <c r="AK1573" s="145">
        <v>61.997999999999998</v>
      </c>
      <c r="AL1573" s="145">
        <v>32.488999999999997</v>
      </c>
      <c r="AM1573" s="145">
        <v>32.252000000000002</v>
      </c>
    </row>
    <row r="1574" spans="1:39">
      <c r="A1574" s="143" t="s">
        <v>2634</v>
      </c>
      <c r="B1574" s="144">
        <v>100</v>
      </c>
      <c r="C1574" s="145">
        <v>272.738</v>
      </c>
      <c r="D1574" s="145">
        <v>4.085</v>
      </c>
      <c r="E1574" s="145">
        <v>9.0980000000000008</v>
      </c>
      <c r="F1574" s="145">
        <v>5.202</v>
      </c>
      <c r="G1574" s="145">
        <v>2.4780000000000002</v>
      </c>
      <c r="H1574" s="145">
        <v>0.57099999999999995</v>
      </c>
      <c r="I1574" s="145">
        <v>0.50800000000000001</v>
      </c>
      <c r="J1574" s="145">
        <v>3.7999999999999999E-2</v>
      </c>
      <c r="K1574" s="145">
        <v>73.787000000000006</v>
      </c>
      <c r="L1574" s="145">
        <v>44.261000000000003</v>
      </c>
      <c r="M1574" s="145">
        <v>1.6060000000000001</v>
      </c>
      <c r="N1574" s="145">
        <v>23.466999999999999</v>
      </c>
      <c r="O1574" s="145">
        <v>9.0890000000000004</v>
      </c>
      <c r="P1574" s="145">
        <v>0.249</v>
      </c>
      <c r="Q1574" s="145">
        <v>55.113999999999997</v>
      </c>
      <c r="R1574" s="145">
        <v>1.2589999999999999</v>
      </c>
      <c r="S1574" s="145">
        <v>245.12700000000001</v>
      </c>
      <c r="T1574" s="145">
        <v>104.315</v>
      </c>
      <c r="U1574" s="145">
        <v>0.04</v>
      </c>
      <c r="V1574" s="145">
        <v>0.35</v>
      </c>
      <c r="W1574" s="145">
        <v>83.191000000000003</v>
      </c>
      <c r="X1574" s="145">
        <v>0.193</v>
      </c>
      <c r="Y1574" s="145">
        <v>0.19</v>
      </c>
      <c r="Z1574" s="146">
        <v>6.5000000000000002E-2</v>
      </c>
      <c r="AA1574" s="145">
        <v>1.4379999999999999</v>
      </c>
      <c r="AB1574" s="145">
        <v>0.94399999999999995</v>
      </c>
      <c r="AC1574" s="145">
        <v>2.2759999999999998</v>
      </c>
      <c r="AD1574" s="145">
        <v>0.157</v>
      </c>
      <c r="AE1574" s="145">
        <v>52.841000000000001</v>
      </c>
      <c r="AF1574" s="145">
        <v>0.29199999999999998</v>
      </c>
      <c r="AG1574" s="145">
        <v>0.63100000000000001</v>
      </c>
      <c r="AH1574" s="145">
        <v>0.30199999999999999</v>
      </c>
      <c r="AI1574" s="145" t="s">
        <v>400</v>
      </c>
      <c r="AJ1574" s="145">
        <v>11.553000000000001</v>
      </c>
      <c r="AK1574" s="145">
        <v>326.97199999999998</v>
      </c>
      <c r="AL1574" s="145">
        <v>26.602</v>
      </c>
      <c r="AM1574" s="145">
        <v>25.46</v>
      </c>
    </row>
    <row r="1575" spans="1:39">
      <c r="A1575" s="143" t="s">
        <v>2635</v>
      </c>
      <c r="B1575" s="144">
        <v>100</v>
      </c>
      <c r="C1575" s="145">
        <v>432.96199999999999</v>
      </c>
      <c r="D1575" s="145">
        <v>5.8789999999999996</v>
      </c>
      <c r="E1575" s="145">
        <v>13.239000000000001</v>
      </c>
      <c r="F1575" s="145">
        <v>4.085</v>
      </c>
      <c r="G1575" s="145">
        <v>6.2679999999999998</v>
      </c>
      <c r="H1575" s="145">
        <v>2.375</v>
      </c>
      <c r="I1575" s="145">
        <v>1.825</v>
      </c>
      <c r="J1575" s="145">
        <v>0.55000000000000004</v>
      </c>
      <c r="K1575" s="145" t="s">
        <v>400</v>
      </c>
      <c r="L1575" s="145">
        <v>77.801000000000002</v>
      </c>
      <c r="M1575" s="145">
        <v>4.2430000000000003</v>
      </c>
      <c r="N1575" s="145">
        <v>18.236000000000001</v>
      </c>
      <c r="O1575" s="145">
        <v>54.298000000000002</v>
      </c>
      <c r="P1575" s="145">
        <v>0.622</v>
      </c>
      <c r="Q1575" s="145">
        <v>109.85899999999999</v>
      </c>
      <c r="R1575" s="145">
        <v>3.113</v>
      </c>
      <c r="S1575" s="145">
        <v>558.19200000000001</v>
      </c>
      <c r="T1575" s="145">
        <v>182.36500000000001</v>
      </c>
      <c r="U1575" s="145">
        <v>0.40400000000000003</v>
      </c>
      <c r="V1575" s="145">
        <v>0.9</v>
      </c>
      <c r="W1575" s="145" t="s">
        <v>400</v>
      </c>
      <c r="X1575" s="145">
        <v>0.318</v>
      </c>
      <c r="Y1575" s="145">
        <v>0.22500000000000001</v>
      </c>
      <c r="Z1575" s="146">
        <v>2.8000000000000001E-2</v>
      </c>
      <c r="AA1575" s="145">
        <v>2.536</v>
      </c>
      <c r="AB1575" s="145" t="s">
        <v>400</v>
      </c>
      <c r="AC1575" s="145">
        <v>3.819</v>
      </c>
      <c r="AD1575" s="145" t="s">
        <v>400</v>
      </c>
      <c r="AE1575" s="145">
        <v>83.644000000000005</v>
      </c>
      <c r="AF1575" s="145" t="s">
        <v>400</v>
      </c>
      <c r="AG1575" s="145">
        <v>1.97</v>
      </c>
      <c r="AH1575" s="145">
        <v>5.1999999999999998E-2</v>
      </c>
      <c r="AI1575" s="145" t="s">
        <v>400</v>
      </c>
      <c r="AJ1575" s="145">
        <v>14.989000000000001</v>
      </c>
      <c r="AK1575" s="145" t="s">
        <v>400</v>
      </c>
      <c r="AL1575" s="145">
        <v>41.179000000000002</v>
      </c>
      <c r="AM1575" s="145">
        <v>41.04</v>
      </c>
    </row>
    <row r="1576" spans="1:39">
      <c r="A1576" s="143" t="s">
        <v>2636</v>
      </c>
      <c r="B1576" s="144">
        <v>100</v>
      </c>
      <c r="C1576" s="145">
        <v>398.63200000000001</v>
      </c>
      <c r="D1576" s="145">
        <v>4.508</v>
      </c>
      <c r="E1576" s="145">
        <v>6.9240000000000004</v>
      </c>
      <c r="F1576" s="145">
        <v>1.0369999999999999</v>
      </c>
      <c r="G1576" s="145">
        <v>2.8330000000000002</v>
      </c>
      <c r="H1576" s="145">
        <v>2.6219999999999999</v>
      </c>
      <c r="I1576" s="145">
        <v>2.4369999999999998</v>
      </c>
      <c r="J1576" s="145">
        <v>0.17799999999999999</v>
      </c>
      <c r="K1576" s="145">
        <v>1.7000000000000001E-2</v>
      </c>
      <c r="L1576" s="145">
        <v>80.659000000000006</v>
      </c>
      <c r="M1576" s="145">
        <v>1.3069999999999999</v>
      </c>
      <c r="N1576" s="145">
        <v>18.594999999999999</v>
      </c>
      <c r="O1576" s="145">
        <v>10.587999999999999</v>
      </c>
      <c r="P1576" s="145">
        <v>0.3</v>
      </c>
      <c r="Q1576" s="145">
        <v>54.048000000000002</v>
      </c>
      <c r="R1576" s="145">
        <v>2.0099999999999998</v>
      </c>
      <c r="S1576" s="145">
        <v>379.35500000000002</v>
      </c>
      <c r="T1576" s="145">
        <v>59.814999999999998</v>
      </c>
      <c r="U1576" s="145">
        <v>0.09</v>
      </c>
      <c r="V1576" s="145">
        <v>0.35099999999999998</v>
      </c>
      <c r="W1576" s="145">
        <v>9.6000000000000002E-2</v>
      </c>
      <c r="X1576" s="145">
        <v>0.34100000000000003</v>
      </c>
      <c r="Y1576" s="145">
        <v>0.23300000000000001</v>
      </c>
      <c r="Z1576" s="146">
        <v>2.1999999999999999E-2</v>
      </c>
      <c r="AA1576" s="145">
        <v>2.5449999999999999</v>
      </c>
      <c r="AB1576" s="145">
        <v>5.0000000000000001E-3</v>
      </c>
      <c r="AC1576" s="145">
        <v>3.4780000000000002</v>
      </c>
      <c r="AD1576" s="145">
        <v>1.4E-2</v>
      </c>
      <c r="AE1576" s="145">
        <v>87.906000000000006</v>
      </c>
      <c r="AF1576" s="145" t="s">
        <v>400</v>
      </c>
      <c r="AG1576" s="145">
        <v>0.55200000000000005</v>
      </c>
      <c r="AH1576" s="145">
        <v>0.93200000000000005</v>
      </c>
      <c r="AI1576" s="145" t="s">
        <v>400</v>
      </c>
      <c r="AJ1576" s="145">
        <v>18.012</v>
      </c>
      <c r="AK1576" s="145">
        <v>9.6000000000000002E-2</v>
      </c>
      <c r="AL1576" s="145">
        <v>47.652999999999999</v>
      </c>
      <c r="AM1576" s="145">
        <v>47.432000000000002</v>
      </c>
    </row>
    <row r="1577" spans="1:39">
      <c r="A1577" s="143" t="s">
        <v>2637</v>
      </c>
      <c r="B1577" s="144">
        <v>100</v>
      </c>
      <c r="C1577" s="145">
        <v>398.63200000000001</v>
      </c>
      <c r="D1577" s="145">
        <v>4.508</v>
      </c>
      <c r="E1577" s="145">
        <v>6.9240000000000004</v>
      </c>
      <c r="F1577" s="145">
        <v>1.0369999999999999</v>
      </c>
      <c r="G1577" s="145">
        <v>2.8330000000000002</v>
      </c>
      <c r="H1577" s="145">
        <v>2.6219999999999999</v>
      </c>
      <c r="I1577" s="145">
        <v>2.4369999999999998</v>
      </c>
      <c r="J1577" s="145">
        <v>0.17799999999999999</v>
      </c>
      <c r="K1577" s="145">
        <v>1.7000000000000001E-2</v>
      </c>
      <c r="L1577" s="145">
        <v>80.659000000000006</v>
      </c>
      <c r="M1577" s="145">
        <v>1.3069999999999999</v>
      </c>
      <c r="N1577" s="145">
        <v>18.594999999999999</v>
      </c>
      <c r="O1577" s="145">
        <v>10.587999999999999</v>
      </c>
      <c r="P1577" s="145">
        <v>0.3</v>
      </c>
      <c r="Q1577" s="145">
        <v>54.048000000000002</v>
      </c>
      <c r="R1577" s="145">
        <v>2.0099999999999998</v>
      </c>
      <c r="S1577" s="145">
        <v>379.35500000000002</v>
      </c>
      <c r="T1577" s="145">
        <v>59.814999999999998</v>
      </c>
      <c r="U1577" s="145">
        <v>0.09</v>
      </c>
      <c r="V1577" s="145">
        <v>0.35099999999999998</v>
      </c>
      <c r="W1577" s="145">
        <v>9.6000000000000002E-2</v>
      </c>
      <c r="X1577" s="145">
        <v>0.34100000000000003</v>
      </c>
      <c r="Y1577" s="145">
        <v>0.23300000000000001</v>
      </c>
      <c r="Z1577" s="146">
        <v>2.1999999999999999E-2</v>
      </c>
      <c r="AA1577" s="145">
        <v>2.5449999999999999</v>
      </c>
      <c r="AB1577" s="145">
        <v>5.0000000000000001E-3</v>
      </c>
      <c r="AC1577" s="145">
        <v>3.4780000000000002</v>
      </c>
      <c r="AD1577" s="145">
        <v>1.4E-2</v>
      </c>
      <c r="AE1577" s="145">
        <v>87.906000000000006</v>
      </c>
      <c r="AF1577" s="145" t="s">
        <v>400</v>
      </c>
      <c r="AG1577" s="145">
        <v>0.55200000000000005</v>
      </c>
      <c r="AH1577" s="145">
        <v>0.93200000000000005</v>
      </c>
      <c r="AI1577" s="145" t="s">
        <v>400</v>
      </c>
      <c r="AJ1577" s="145">
        <v>18.012</v>
      </c>
      <c r="AK1577" s="145">
        <v>9.6000000000000002E-2</v>
      </c>
      <c r="AL1577" s="145">
        <v>47.652999999999999</v>
      </c>
      <c r="AM1577" s="145">
        <v>47.432000000000002</v>
      </c>
    </row>
    <row r="1578" spans="1:39">
      <c r="A1578" s="143" t="s">
        <v>2638</v>
      </c>
      <c r="B1578" s="144">
        <v>100</v>
      </c>
      <c r="C1578" s="145">
        <v>432.96199999999999</v>
      </c>
      <c r="D1578" s="145">
        <v>5.8789999999999996</v>
      </c>
      <c r="E1578" s="145">
        <v>13.239000000000001</v>
      </c>
      <c r="F1578" s="145">
        <v>4.085</v>
      </c>
      <c r="G1578" s="145">
        <v>6.2679999999999998</v>
      </c>
      <c r="H1578" s="145">
        <v>2.375</v>
      </c>
      <c r="I1578" s="145">
        <v>1.825</v>
      </c>
      <c r="J1578" s="145">
        <v>0.55000000000000004</v>
      </c>
      <c r="K1578" s="145" t="s">
        <v>400</v>
      </c>
      <c r="L1578" s="145">
        <v>77.801000000000002</v>
      </c>
      <c r="M1578" s="145">
        <v>4.2430000000000003</v>
      </c>
      <c r="N1578" s="145">
        <v>18.236000000000001</v>
      </c>
      <c r="O1578" s="145">
        <v>54.298000000000002</v>
      </c>
      <c r="P1578" s="145">
        <v>0.622</v>
      </c>
      <c r="Q1578" s="145">
        <v>109.85899999999999</v>
      </c>
      <c r="R1578" s="145">
        <v>3.113</v>
      </c>
      <c r="S1578" s="145">
        <v>558.19200000000001</v>
      </c>
      <c r="T1578" s="145">
        <v>182.36500000000001</v>
      </c>
      <c r="U1578" s="145">
        <v>0.40400000000000003</v>
      </c>
      <c r="V1578" s="145">
        <v>0.9</v>
      </c>
      <c r="W1578" s="145" t="s">
        <v>400</v>
      </c>
      <c r="X1578" s="145">
        <v>0.318</v>
      </c>
      <c r="Y1578" s="145">
        <v>0.22500000000000001</v>
      </c>
      <c r="Z1578" s="146">
        <v>2.8000000000000001E-2</v>
      </c>
      <c r="AA1578" s="145">
        <v>2.536</v>
      </c>
      <c r="AB1578" s="145" t="s">
        <v>400</v>
      </c>
      <c r="AC1578" s="145">
        <v>3.819</v>
      </c>
      <c r="AD1578" s="145" t="s">
        <v>400</v>
      </c>
      <c r="AE1578" s="145">
        <v>83.644000000000005</v>
      </c>
      <c r="AF1578" s="145" t="s">
        <v>400</v>
      </c>
      <c r="AG1578" s="145">
        <v>1.97</v>
      </c>
      <c r="AH1578" s="145">
        <v>5.1999999999999998E-2</v>
      </c>
      <c r="AI1578" s="145" t="s">
        <v>400</v>
      </c>
      <c r="AJ1578" s="145">
        <v>14.989000000000001</v>
      </c>
      <c r="AK1578" s="145" t="s">
        <v>400</v>
      </c>
      <c r="AL1578" s="145">
        <v>41.179000000000002</v>
      </c>
      <c r="AM1578" s="145">
        <v>41.04</v>
      </c>
    </row>
    <row r="1579" spans="1:39">
      <c r="A1579" s="143" t="s">
        <v>2639</v>
      </c>
      <c r="B1579" s="144">
        <v>100</v>
      </c>
      <c r="C1579" s="145">
        <v>432.96199999999999</v>
      </c>
      <c r="D1579" s="145">
        <v>5.8789999999999996</v>
      </c>
      <c r="E1579" s="145">
        <v>13.239000000000001</v>
      </c>
      <c r="F1579" s="145">
        <v>4.085</v>
      </c>
      <c r="G1579" s="145">
        <v>6.2679999999999998</v>
      </c>
      <c r="H1579" s="145">
        <v>2.375</v>
      </c>
      <c r="I1579" s="145">
        <v>1.825</v>
      </c>
      <c r="J1579" s="145">
        <v>0.55000000000000004</v>
      </c>
      <c r="K1579" s="145" t="s">
        <v>400</v>
      </c>
      <c r="L1579" s="145">
        <v>77.801000000000002</v>
      </c>
      <c r="M1579" s="145">
        <v>4.2430000000000003</v>
      </c>
      <c r="N1579" s="145">
        <v>18.236000000000001</v>
      </c>
      <c r="O1579" s="145">
        <v>54.298000000000002</v>
      </c>
      <c r="P1579" s="145">
        <v>0.622</v>
      </c>
      <c r="Q1579" s="145">
        <v>109.85899999999999</v>
      </c>
      <c r="R1579" s="145">
        <v>3.113</v>
      </c>
      <c r="S1579" s="145">
        <v>558.19200000000001</v>
      </c>
      <c r="T1579" s="145">
        <v>182.36500000000001</v>
      </c>
      <c r="U1579" s="145">
        <v>0.40400000000000003</v>
      </c>
      <c r="V1579" s="145">
        <v>0.9</v>
      </c>
      <c r="W1579" s="145" t="s">
        <v>400</v>
      </c>
      <c r="X1579" s="145">
        <v>0.318</v>
      </c>
      <c r="Y1579" s="145">
        <v>0.22500000000000001</v>
      </c>
      <c r="Z1579" s="146">
        <v>2.8000000000000001E-2</v>
      </c>
      <c r="AA1579" s="145">
        <v>2.536</v>
      </c>
      <c r="AB1579" s="145" t="s">
        <v>400</v>
      </c>
      <c r="AC1579" s="145">
        <v>3.819</v>
      </c>
      <c r="AD1579" s="145" t="s">
        <v>400</v>
      </c>
      <c r="AE1579" s="145">
        <v>83.644000000000005</v>
      </c>
      <c r="AF1579" s="145" t="s">
        <v>400</v>
      </c>
      <c r="AG1579" s="145">
        <v>1.97</v>
      </c>
      <c r="AH1579" s="145">
        <v>5.1999999999999998E-2</v>
      </c>
      <c r="AI1579" s="145" t="s">
        <v>400</v>
      </c>
      <c r="AJ1579" s="145">
        <v>14.989000000000001</v>
      </c>
      <c r="AK1579" s="145" t="s">
        <v>400</v>
      </c>
      <c r="AL1579" s="145">
        <v>41.179000000000002</v>
      </c>
      <c r="AM1579" s="145">
        <v>41.04</v>
      </c>
    </row>
    <row r="1580" spans="1:39">
      <c r="A1580" s="143" t="s">
        <v>2640</v>
      </c>
      <c r="B1580" s="144">
        <v>100</v>
      </c>
      <c r="C1580" s="145">
        <v>405.27499999999998</v>
      </c>
      <c r="D1580" s="145">
        <v>8.1679999999999993</v>
      </c>
      <c r="E1580" s="145">
        <v>20.827999999999999</v>
      </c>
      <c r="F1580" s="145">
        <v>2.1739999999999999</v>
      </c>
      <c r="G1580" s="145">
        <v>12.398</v>
      </c>
      <c r="H1580" s="145">
        <v>5.726</v>
      </c>
      <c r="I1580" s="145">
        <v>3.9609999999999999</v>
      </c>
      <c r="J1580" s="145">
        <v>1.7649999999999999</v>
      </c>
      <c r="K1580" s="145">
        <v>0.09</v>
      </c>
      <c r="L1580" s="145">
        <v>66.822000000000003</v>
      </c>
      <c r="M1580" s="145">
        <v>3.6659999999999999</v>
      </c>
      <c r="N1580" s="145">
        <v>49.295000000000002</v>
      </c>
      <c r="O1580" s="145">
        <v>32.857999999999997</v>
      </c>
      <c r="P1580" s="145">
        <v>0.38400000000000001</v>
      </c>
      <c r="Q1580" s="145">
        <v>83.795000000000002</v>
      </c>
      <c r="R1580" s="145">
        <v>2.0710000000000002</v>
      </c>
      <c r="S1580" s="145">
        <v>459.74099999999999</v>
      </c>
      <c r="T1580" s="145">
        <v>110.468</v>
      </c>
      <c r="U1580" s="145">
        <v>0.247</v>
      </c>
      <c r="V1580" s="145">
        <v>0.627</v>
      </c>
      <c r="W1580" s="145">
        <v>0.51</v>
      </c>
      <c r="X1580" s="145">
        <v>0.19700000000000001</v>
      </c>
      <c r="Y1580" s="145">
        <v>0.14399999999999999</v>
      </c>
      <c r="Z1580" s="146">
        <v>2.1000000000000001E-2</v>
      </c>
      <c r="AA1580" s="145">
        <v>1.5409999999999999</v>
      </c>
      <c r="AB1580" s="145">
        <v>5.0000000000000001E-3</v>
      </c>
      <c r="AC1580" s="145">
        <v>3.2909999999999999</v>
      </c>
      <c r="AD1580" s="145">
        <v>1.4999999999999999E-2</v>
      </c>
      <c r="AE1580" s="145">
        <v>51.286999999999999</v>
      </c>
      <c r="AF1580" s="145" t="s">
        <v>400</v>
      </c>
      <c r="AG1580" s="145">
        <v>3.371</v>
      </c>
      <c r="AH1580" s="145">
        <v>7.4999999999999997E-2</v>
      </c>
      <c r="AI1580" s="145" t="s">
        <v>400</v>
      </c>
      <c r="AJ1580" s="145">
        <v>9.2059999999999995</v>
      </c>
      <c r="AK1580" s="145">
        <v>0.51300000000000001</v>
      </c>
      <c r="AL1580" s="145">
        <v>5.5350000000000001</v>
      </c>
      <c r="AM1580" s="145">
        <v>0.55200000000000005</v>
      </c>
    </row>
    <row r="1581" spans="1:39">
      <c r="A1581" s="143" t="s">
        <v>2641</v>
      </c>
      <c r="B1581" s="144">
        <v>100</v>
      </c>
      <c r="C1581" s="145">
        <v>405.27499999999998</v>
      </c>
      <c r="D1581" s="145">
        <v>8.1679999999999993</v>
      </c>
      <c r="E1581" s="145">
        <v>20.827999999999999</v>
      </c>
      <c r="F1581" s="145">
        <v>2.1739999999999999</v>
      </c>
      <c r="G1581" s="145">
        <v>12.398</v>
      </c>
      <c r="H1581" s="145">
        <v>5.726</v>
      </c>
      <c r="I1581" s="145">
        <v>3.9609999999999999</v>
      </c>
      <c r="J1581" s="145">
        <v>1.7649999999999999</v>
      </c>
      <c r="K1581" s="145">
        <v>0.09</v>
      </c>
      <c r="L1581" s="145">
        <v>66.822000000000003</v>
      </c>
      <c r="M1581" s="145">
        <v>3.6659999999999999</v>
      </c>
      <c r="N1581" s="145">
        <v>49.295000000000002</v>
      </c>
      <c r="O1581" s="145">
        <v>32.857999999999997</v>
      </c>
      <c r="P1581" s="145">
        <v>0.38400000000000001</v>
      </c>
      <c r="Q1581" s="145">
        <v>83.795000000000002</v>
      </c>
      <c r="R1581" s="145">
        <v>2.0710000000000002</v>
      </c>
      <c r="S1581" s="145">
        <v>459.74099999999999</v>
      </c>
      <c r="T1581" s="145">
        <v>110.468</v>
      </c>
      <c r="U1581" s="145">
        <v>0.247</v>
      </c>
      <c r="V1581" s="145">
        <v>0.627</v>
      </c>
      <c r="W1581" s="145">
        <v>0.51</v>
      </c>
      <c r="X1581" s="145">
        <v>0.19700000000000001</v>
      </c>
      <c r="Y1581" s="145">
        <v>0.14399999999999999</v>
      </c>
      <c r="Z1581" s="146">
        <v>2.1000000000000001E-2</v>
      </c>
      <c r="AA1581" s="145">
        <v>1.5409999999999999</v>
      </c>
      <c r="AB1581" s="145">
        <v>5.0000000000000001E-3</v>
      </c>
      <c r="AC1581" s="145">
        <v>3.2909999999999999</v>
      </c>
      <c r="AD1581" s="145">
        <v>1.4999999999999999E-2</v>
      </c>
      <c r="AE1581" s="145">
        <v>51.286999999999999</v>
      </c>
      <c r="AF1581" s="145" t="s">
        <v>400</v>
      </c>
      <c r="AG1581" s="145">
        <v>3.371</v>
      </c>
      <c r="AH1581" s="145">
        <v>7.4999999999999997E-2</v>
      </c>
      <c r="AI1581" s="145" t="s">
        <v>400</v>
      </c>
      <c r="AJ1581" s="145">
        <v>9.2059999999999995</v>
      </c>
      <c r="AK1581" s="145">
        <v>0.51300000000000001</v>
      </c>
      <c r="AL1581" s="145">
        <v>5.5350000000000001</v>
      </c>
      <c r="AM1581" s="145">
        <v>0.55200000000000005</v>
      </c>
    </row>
    <row r="1582" spans="1:39">
      <c r="A1582" s="143" t="s">
        <v>2642</v>
      </c>
      <c r="B1582" s="144">
        <v>100</v>
      </c>
      <c r="C1582" s="145">
        <v>405.27499999999998</v>
      </c>
      <c r="D1582" s="145">
        <v>8.1679999999999993</v>
      </c>
      <c r="E1582" s="145">
        <v>20.827999999999999</v>
      </c>
      <c r="F1582" s="145">
        <v>2.1739999999999999</v>
      </c>
      <c r="G1582" s="145">
        <v>12.398</v>
      </c>
      <c r="H1582" s="145">
        <v>5.726</v>
      </c>
      <c r="I1582" s="145">
        <v>3.9609999999999999</v>
      </c>
      <c r="J1582" s="145">
        <v>1.7649999999999999</v>
      </c>
      <c r="K1582" s="145">
        <v>0.09</v>
      </c>
      <c r="L1582" s="145">
        <v>66.822000000000003</v>
      </c>
      <c r="M1582" s="145">
        <v>3.6659999999999999</v>
      </c>
      <c r="N1582" s="145">
        <v>49.295000000000002</v>
      </c>
      <c r="O1582" s="145">
        <v>32.857999999999997</v>
      </c>
      <c r="P1582" s="145">
        <v>0.38400000000000001</v>
      </c>
      <c r="Q1582" s="145">
        <v>83.795000000000002</v>
      </c>
      <c r="R1582" s="145">
        <v>2.0710000000000002</v>
      </c>
      <c r="S1582" s="145">
        <v>459.74099999999999</v>
      </c>
      <c r="T1582" s="145">
        <v>110.468</v>
      </c>
      <c r="U1582" s="145">
        <v>0.247</v>
      </c>
      <c r="V1582" s="145">
        <v>0.627</v>
      </c>
      <c r="W1582" s="145">
        <v>0.51</v>
      </c>
      <c r="X1582" s="145">
        <v>0.19700000000000001</v>
      </c>
      <c r="Y1582" s="145">
        <v>0.14399999999999999</v>
      </c>
      <c r="Z1582" s="146">
        <v>2.1000000000000001E-2</v>
      </c>
      <c r="AA1582" s="145">
        <v>1.5409999999999999</v>
      </c>
      <c r="AB1582" s="145">
        <v>5.0000000000000001E-3</v>
      </c>
      <c r="AC1582" s="145">
        <v>3.2909999999999999</v>
      </c>
      <c r="AD1582" s="145">
        <v>1.4999999999999999E-2</v>
      </c>
      <c r="AE1582" s="145">
        <v>51.286999999999999</v>
      </c>
      <c r="AF1582" s="145" t="s">
        <v>400</v>
      </c>
      <c r="AG1582" s="145">
        <v>3.371</v>
      </c>
      <c r="AH1582" s="145">
        <v>7.4999999999999997E-2</v>
      </c>
      <c r="AI1582" s="145" t="s">
        <v>400</v>
      </c>
      <c r="AJ1582" s="145">
        <v>9.2059999999999995</v>
      </c>
      <c r="AK1582" s="145">
        <v>0.51300000000000001</v>
      </c>
      <c r="AL1582" s="145">
        <v>5.5350000000000001</v>
      </c>
      <c r="AM1582" s="145">
        <v>0.55200000000000005</v>
      </c>
    </row>
    <row r="1583" spans="1:39">
      <c r="A1583" s="143" t="s">
        <v>2643</v>
      </c>
      <c r="B1583" s="144">
        <v>100</v>
      </c>
      <c r="C1583" s="145">
        <v>312.25099999999998</v>
      </c>
      <c r="D1583" s="145">
        <v>4.8330000000000002</v>
      </c>
      <c r="E1583" s="145">
        <v>6.9219999999999997</v>
      </c>
      <c r="F1583" s="145">
        <v>4.0599999999999996</v>
      </c>
      <c r="G1583" s="145">
        <v>1.7969999999999999</v>
      </c>
      <c r="H1583" s="145">
        <v>0.442</v>
      </c>
      <c r="I1583" s="145">
        <v>0.40100000000000002</v>
      </c>
      <c r="J1583" s="145">
        <v>3.3000000000000002E-2</v>
      </c>
      <c r="K1583" s="145">
        <v>32.807000000000002</v>
      </c>
      <c r="L1583" s="145">
        <v>57.973999999999997</v>
      </c>
      <c r="M1583" s="145">
        <v>1.639</v>
      </c>
      <c r="N1583" s="145">
        <v>29.478000000000002</v>
      </c>
      <c r="O1583" s="145">
        <v>10.75</v>
      </c>
      <c r="P1583" s="145">
        <v>0.39300000000000002</v>
      </c>
      <c r="Q1583" s="145">
        <v>63.807000000000002</v>
      </c>
      <c r="R1583" s="145">
        <v>1.8919999999999999</v>
      </c>
      <c r="S1583" s="145">
        <v>197.85499999999999</v>
      </c>
      <c r="T1583" s="145">
        <v>74.965999999999994</v>
      </c>
      <c r="U1583" s="145">
        <v>6.2E-2</v>
      </c>
      <c r="V1583" s="145">
        <v>0.39200000000000002</v>
      </c>
      <c r="W1583" s="145">
        <v>60.643000000000001</v>
      </c>
      <c r="X1583" s="145">
        <v>0.30299999999999999</v>
      </c>
      <c r="Y1583" s="145">
        <v>0.254</v>
      </c>
      <c r="Z1583" s="146">
        <v>3.4000000000000002E-2</v>
      </c>
      <c r="AA1583" s="145">
        <v>2.3769999999999998</v>
      </c>
      <c r="AB1583" s="145">
        <v>5.0999999999999997E-2</v>
      </c>
      <c r="AC1583" s="145">
        <v>3.3679999999999999</v>
      </c>
      <c r="AD1583" s="145">
        <v>9.9000000000000005E-2</v>
      </c>
      <c r="AE1583" s="145">
        <v>88.858999999999995</v>
      </c>
      <c r="AF1583" s="145">
        <v>0.253</v>
      </c>
      <c r="AG1583" s="145">
        <v>0.252</v>
      </c>
      <c r="AH1583" s="145">
        <v>0.247</v>
      </c>
      <c r="AI1583" s="145" t="s">
        <v>400</v>
      </c>
      <c r="AJ1583" s="145">
        <v>14.087999999999999</v>
      </c>
      <c r="AK1583" s="145">
        <v>79.581000000000003</v>
      </c>
      <c r="AL1583" s="145">
        <v>29.123000000000001</v>
      </c>
      <c r="AM1583" s="145">
        <v>28.977</v>
      </c>
    </row>
    <row r="1584" spans="1:39">
      <c r="A1584" s="143" t="s">
        <v>2644</v>
      </c>
      <c r="B1584" s="144">
        <v>100</v>
      </c>
      <c r="C1584" s="145">
        <v>446.22800000000001</v>
      </c>
      <c r="D1584" s="145">
        <v>4.3810000000000002</v>
      </c>
      <c r="E1584" s="145">
        <v>11.308</v>
      </c>
      <c r="F1584" s="145">
        <v>6.6509999999999998</v>
      </c>
      <c r="G1584" s="145">
        <v>3.2410000000000001</v>
      </c>
      <c r="H1584" s="145">
        <v>0.59499999999999997</v>
      </c>
      <c r="I1584" s="145">
        <v>0.54300000000000004</v>
      </c>
      <c r="J1584" s="145">
        <v>4.2999999999999997E-2</v>
      </c>
      <c r="K1584" s="145">
        <v>38.805</v>
      </c>
      <c r="L1584" s="145">
        <v>85.034999999999997</v>
      </c>
      <c r="M1584" s="145">
        <v>1.853</v>
      </c>
      <c r="N1584" s="145">
        <v>88.069000000000003</v>
      </c>
      <c r="O1584" s="145">
        <v>106.86</v>
      </c>
      <c r="P1584" s="145">
        <v>0.93600000000000005</v>
      </c>
      <c r="Q1584" s="145">
        <v>71.590999999999994</v>
      </c>
      <c r="R1584" s="145">
        <v>3.5419999999999998</v>
      </c>
      <c r="S1584" s="145">
        <v>157.517</v>
      </c>
      <c r="T1584" s="145">
        <v>598.77300000000002</v>
      </c>
      <c r="U1584" s="145">
        <v>0.31</v>
      </c>
      <c r="V1584" s="145">
        <v>0.6</v>
      </c>
      <c r="W1584" s="145">
        <v>61.863</v>
      </c>
      <c r="X1584" s="145">
        <v>0.26</v>
      </c>
      <c r="Y1584" s="145">
        <v>0.19500000000000001</v>
      </c>
      <c r="Z1584" s="146">
        <v>0.25800000000000001</v>
      </c>
      <c r="AA1584" s="145">
        <v>2.161</v>
      </c>
      <c r="AB1584" s="145">
        <v>2.3E-2</v>
      </c>
      <c r="AC1584" s="145">
        <v>3.0830000000000002</v>
      </c>
      <c r="AD1584" s="145">
        <v>7.0000000000000007E-2</v>
      </c>
      <c r="AE1584" s="145">
        <v>65.239000000000004</v>
      </c>
      <c r="AF1584" s="145">
        <v>0.29299999999999998</v>
      </c>
      <c r="AG1584" s="145">
        <v>0.32900000000000001</v>
      </c>
      <c r="AH1584" s="145">
        <v>0.26</v>
      </c>
      <c r="AI1584" s="145" t="s">
        <v>400</v>
      </c>
      <c r="AJ1584" s="145">
        <v>18.739999999999998</v>
      </c>
      <c r="AK1584" s="145">
        <v>82.36</v>
      </c>
      <c r="AL1584" s="145">
        <v>52.866</v>
      </c>
      <c r="AM1584" s="145">
        <v>60.404000000000003</v>
      </c>
    </row>
    <row r="1585" spans="1:39">
      <c r="A1585" s="143" t="s">
        <v>2645</v>
      </c>
      <c r="B1585" s="144">
        <v>100</v>
      </c>
      <c r="C1585" s="145">
        <v>355.95</v>
      </c>
      <c r="D1585" s="145">
        <v>7.452</v>
      </c>
      <c r="E1585" s="145">
        <v>10.433</v>
      </c>
      <c r="F1585" s="145">
        <v>1.821</v>
      </c>
      <c r="G1585" s="145">
        <v>2.516</v>
      </c>
      <c r="H1585" s="145">
        <v>5.3440000000000003</v>
      </c>
      <c r="I1585" s="145">
        <v>4.7220000000000004</v>
      </c>
      <c r="J1585" s="145">
        <v>0.6</v>
      </c>
      <c r="K1585" s="145">
        <v>50.118000000000002</v>
      </c>
      <c r="L1585" s="145">
        <v>58.03</v>
      </c>
      <c r="M1585" s="145">
        <v>2.1389999999999998</v>
      </c>
      <c r="N1585" s="145">
        <v>19.437999999999999</v>
      </c>
      <c r="O1585" s="145">
        <v>15.993</v>
      </c>
      <c r="P1585" s="145">
        <v>0.38800000000000001</v>
      </c>
      <c r="Q1585" s="145">
        <v>96.558000000000007</v>
      </c>
      <c r="R1585" s="145">
        <v>2.85</v>
      </c>
      <c r="S1585" s="145">
        <v>210.02099999999999</v>
      </c>
      <c r="T1585" s="145">
        <v>139.78800000000001</v>
      </c>
      <c r="U1585" s="145">
        <v>0.104</v>
      </c>
      <c r="V1585" s="145">
        <v>0.57699999999999996</v>
      </c>
      <c r="W1585" s="145">
        <v>19.858000000000001</v>
      </c>
      <c r="X1585" s="145">
        <v>0.44600000000000001</v>
      </c>
      <c r="Y1585" s="145">
        <v>0.38600000000000001</v>
      </c>
      <c r="Z1585" s="146">
        <v>6.4000000000000001E-2</v>
      </c>
      <c r="AA1585" s="145">
        <v>3.5449999999999999</v>
      </c>
      <c r="AB1585" s="145">
        <v>0.33800000000000002</v>
      </c>
      <c r="AC1585" s="145">
        <v>5.0819999999999999</v>
      </c>
      <c r="AD1585" s="145">
        <v>0.13100000000000001</v>
      </c>
      <c r="AE1585" s="145">
        <v>136.81899999999999</v>
      </c>
      <c r="AF1585" s="145">
        <v>0.151</v>
      </c>
      <c r="AG1585" s="145">
        <v>0.86499999999999999</v>
      </c>
      <c r="AH1585" s="145">
        <v>4.5999999999999999E-2</v>
      </c>
      <c r="AI1585" s="145" t="s">
        <v>400</v>
      </c>
      <c r="AJ1585" s="145">
        <v>25.497</v>
      </c>
      <c r="AK1585" s="145">
        <v>20.087</v>
      </c>
      <c r="AL1585" s="145">
        <v>15.77</v>
      </c>
      <c r="AM1585" s="145">
        <v>13.026</v>
      </c>
    </row>
    <row r="1586" spans="1:39">
      <c r="A1586" s="143" t="s">
        <v>2646</v>
      </c>
      <c r="B1586" s="144">
        <v>100</v>
      </c>
      <c r="C1586" s="145">
        <v>452.56400000000002</v>
      </c>
      <c r="D1586" s="145">
        <v>9.6720000000000006</v>
      </c>
      <c r="E1586" s="145">
        <v>13.785</v>
      </c>
      <c r="F1586" s="145">
        <v>2.173</v>
      </c>
      <c r="G1586" s="145">
        <v>2.9620000000000002</v>
      </c>
      <c r="H1586" s="145">
        <v>7.89</v>
      </c>
      <c r="I1586" s="145">
        <v>6.98</v>
      </c>
      <c r="J1586" s="145">
        <v>0.91100000000000003</v>
      </c>
      <c r="K1586" s="145" t="s">
        <v>400</v>
      </c>
      <c r="L1586" s="145">
        <v>72.453000000000003</v>
      </c>
      <c r="M1586" s="145">
        <v>3.45</v>
      </c>
      <c r="N1586" s="145">
        <v>46.223999999999997</v>
      </c>
      <c r="O1586" s="145">
        <v>40.695</v>
      </c>
      <c r="P1586" s="145">
        <v>1.7809999999999999</v>
      </c>
      <c r="Q1586" s="145">
        <v>174.40600000000001</v>
      </c>
      <c r="R1586" s="145">
        <v>3.9980000000000002</v>
      </c>
      <c r="S1586" s="145">
        <v>899.26900000000001</v>
      </c>
      <c r="T1586" s="145">
        <v>170.851</v>
      </c>
      <c r="U1586" s="145">
        <v>0.187</v>
      </c>
      <c r="V1586" s="145">
        <v>1.6950000000000001</v>
      </c>
      <c r="W1586" s="145" t="s">
        <v>400</v>
      </c>
      <c r="X1586" s="145">
        <v>0.73699999999999999</v>
      </c>
      <c r="Y1586" s="145">
        <v>0.40799999999999997</v>
      </c>
      <c r="Z1586" s="146">
        <v>0.16800000000000001</v>
      </c>
      <c r="AA1586" s="145">
        <v>5.0019999999999998</v>
      </c>
      <c r="AB1586" s="145" t="s">
        <v>400</v>
      </c>
      <c r="AC1586" s="145">
        <v>7.0339999999999998</v>
      </c>
      <c r="AD1586" s="145" t="s">
        <v>400</v>
      </c>
      <c r="AE1586" s="145">
        <v>171.46799999999999</v>
      </c>
      <c r="AF1586" s="145" t="s">
        <v>400</v>
      </c>
      <c r="AG1586" s="145">
        <v>3.1509999999999998</v>
      </c>
      <c r="AH1586" s="145">
        <v>6.5000000000000002E-2</v>
      </c>
      <c r="AI1586" s="145" t="s">
        <v>400</v>
      </c>
      <c r="AJ1586" s="145">
        <v>37.567</v>
      </c>
      <c r="AK1586" s="145">
        <v>0.501</v>
      </c>
      <c r="AL1586" s="145">
        <v>10.295</v>
      </c>
      <c r="AM1586" s="145">
        <v>11.369</v>
      </c>
    </row>
    <row r="1587" spans="1:39">
      <c r="A1587" s="143" t="s">
        <v>2647</v>
      </c>
      <c r="B1587" s="144">
        <v>100</v>
      </c>
      <c r="C1587" s="145">
        <v>452.56400000000002</v>
      </c>
      <c r="D1587" s="145">
        <v>9.6720000000000006</v>
      </c>
      <c r="E1587" s="145">
        <v>13.785</v>
      </c>
      <c r="F1587" s="145">
        <v>2.173</v>
      </c>
      <c r="G1587" s="145">
        <v>2.9620000000000002</v>
      </c>
      <c r="H1587" s="145">
        <v>7.89</v>
      </c>
      <c r="I1587" s="145">
        <v>6.98</v>
      </c>
      <c r="J1587" s="145">
        <v>0.91100000000000003</v>
      </c>
      <c r="K1587" s="145" t="s">
        <v>400</v>
      </c>
      <c r="L1587" s="145">
        <v>72.453000000000003</v>
      </c>
      <c r="M1587" s="145">
        <v>3.45</v>
      </c>
      <c r="N1587" s="145">
        <v>46.223999999999997</v>
      </c>
      <c r="O1587" s="145">
        <v>40.695</v>
      </c>
      <c r="P1587" s="145">
        <v>1.7809999999999999</v>
      </c>
      <c r="Q1587" s="145">
        <v>174.40600000000001</v>
      </c>
      <c r="R1587" s="145">
        <v>3.9980000000000002</v>
      </c>
      <c r="S1587" s="145">
        <v>899.26900000000001</v>
      </c>
      <c r="T1587" s="145">
        <v>170.851</v>
      </c>
      <c r="U1587" s="145">
        <v>0.187</v>
      </c>
      <c r="V1587" s="145">
        <v>1.6950000000000001</v>
      </c>
      <c r="W1587" s="145" t="s">
        <v>400</v>
      </c>
      <c r="X1587" s="145">
        <v>0.73699999999999999</v>
      </c>
      <c r="Y1587" s="145">
        <v>0.40799999999999997</v>
      </c>
      <c r="Z1587" s="146">
        <v>0.16800000000000001</v>
      </c>
      <c r="AA1587" s="145">
        <v>5.0019999999999998</v>
      </c>
      <c r="AB1587" s="145" t="s">
        <v>400</v>
      </c>
      <c r="AC1587" s="145">
        <v>7.0339999999999998</v>
      </c>
      <c r="AD1587" s="145" t="s">
        <v>400</v>
      </c>
      <c r="AE1587" s="145">
        <v>171.46799999999999</v>
      </c>
      <c r="AF1587" s="145" t="s">
        <v>400</v>
      </c>
      <c r="AG1587" s="145">
        <v>3.1509999999999998</v>
      </c>
      <c r="AH1587" s="145">
        <v>6.5000000000000002E-2</v>
      </c>
      <c r="AI1587" s="145" t="s">
        <v>400</v>
      </c>
      <c r="AJ1587" s="145">
        <v>37.567</v>
      </c>
      <c r="AK1587" s="145">
        <v>0.501</v>
      </c>
      <c r="AL1587" s="145">
        <v>10.295</v>
      </c>
      <c r="AM1587" s="145">
        <v>11.369</v>
      </c>
    </row>
    <row r="1588" spans="1:39">
      <c r="A1588" s="143" t="s">
        <v>2648</v>
      </c>
      <c r="B1588" s="144">
        <v>100</v>
      </c>
      <c r="C1588" s="145">
        <v>407.04700000000003</v>
      </c>
      <c r="D1588" s="145">
        <v>6.5270000000000001</v>
      </c>
      <c r="E1588" s="145">
        <v>7.0490000000000004</v>
      </c>
      <c r="F1588" s="145">
        <v>1.1459999999999999</v>
      </c>
      <c r="G1588" s="145">
        <v>1.5169999999999999</v>
      </c>
      <c r="H1588" s="145">
        <v>4.0110000000000001</v>
      </c>
      <c r="I1588" s="145">
        <v>3.516</v>
      </c>
      <c r="J1588" s="145">
        <v>0.495</v>
      </c>
      <c r="K1588" s="145" t="s">
        <v>400</v>
      </c>
      <c r="L1588" s="145">
        <v>81.134</v>
      </c>
      <c r="M1588" s="145">
        <v>5.6369999999999996</v>
      </c>
      <c r="N1588" s="145">
        <v>32.979999999999997</v>
      </c>
      <c r="O1588" s="145">
        <v>77.826999999999998</v>
      </c>
      <c r="P1588" s="145">
        <v>0.89200000000000002</v>
      </c>
      <c r="Q1588" s="145">
        <v>194.53</v>
      </c>
      <c r="R1588" s="145">
        <v>0.874</v>
      </c>
      <c r="S1588" s="145">
        <v>634.56799999999998</v>
      </c>
      <c r="T1588" s="145">
        <v>558.43399999999997</v>
      </c>
      <c r="U1588" s="145">
        <v>8.1000000000000003E-2</v>
      </c>
      <c r="V1588" s="145">
        <v>0.72499999999999998</v>
      </c>
      <c r="W1588" s="145" t="s">
        <v>400</v>
      </c>
      <c r="X1588" s="145">
        <v>0.36</v>
      </c>
      <c r="Y1588" s="145">
        <v>0.20200000000000001</v>
      </c>
      <c r="Z1588" s="145">
        <v>0.68400000000000005</v>
      </c>
      <c r="AA1588" s="145">
        <v>3.7829999999999999</v>
      </c>
      <c r="AB1588" s="145">
        <v>29.378</v>
      </c>
      <c r="AC1588" s="145">
        <v>4.8949999999999996</v>
      </c>
      <c r="AD1588" s="145" t="s">
        <v>400</v>
      </c>
      <c r="AE1588" s="145">
        <v>31.76</v>
      </c>
      <c r="AF1588" s="145" t="s">
        <v>400</v>
      </c>
      <c r="AG1588" s="145">
        <v>0.75600000000000001</v>
      </c>
      <c r="AH1588" s="145">
        <v>3.5000000000000003E-2</v>
      </c>
      <c r="AI1588" s="145" t="s">
        <v>400</v>
      </c>
      <c r="AJ1588" s="145">
        <v>24.593</v>
      </c>
      <c r="AK1588" s="145">
        <v>0.46300000000000002</v>
      </c>
      <c r="AL1588" s="145">
        <v>8.1069999999999993</v>
      </c>
      <c r="AM1588" s="145">
        <v>6.6189999999999998</v>
      </c>
    </row>
    <row r="1589" spans="1:39">
      <c r="A1589" s="143" t="s">
        <v>2649</v>
      </c>
      <c r="B1589" s="144">
        <v>100</v>
      </c>
      <c r="C1589" s="145">
        <v>395.25099999999998</v>
      </c>
      <c r="D1589" s="145">
        <v>6.45</v>
      </c>
      <c r="E1589" s="145">
        <v>4.8390000000000004</v>
      </c>
      <c r="F1589" s="145">
        <v>1.137</v>
      </c>
      <c r="G1589" s="145">
        <v>2.5920000000000001</v>
      </c>
      <c r="H1589" s="145">
        <v>0.69099999999999995</v>
      </c>
      <c r="I1589" s="145">
        <v>0.64600000000000002</v>
      </c>
      <c r="J1589" s="145">
        <v>2.4E-2</v>
      </c>
      <c r="K1589" s="145" t="s">
        <v>400</v>
      </c>
      <c r="L1589" s="145">
        <v>83.876000000000005</v>
      </c>
      <c r="M1589" s="145">
        <v>3.698</v>
      </c>
      <c r="N1589" s="145">
        <v>19.332000000000001</v>
      </c>
      <c r="O1589" s="145">
        <v>44.755000000000003</v>
      </c>
      <c r="P1589" s="145">
        <v>1.1140000000000001</v>
      </c>
      <c r="Q1589" s="145">
        <v>113.008</v>
      </c>
      <c r="R1589" s="145">
        <v>2.5590000000000002</v>
      </c>
      <c r="S1589" s="145">
        <v>546.404</v>
      </c>
      <c r="T1589" s="145">
        <v>170.017</v>
      </c>
      <c r="U1589" s="145">
        <v>0.14899999999999999</v>
      </c>
      <c r="V1589" s="145">
        <v>0.89500000000000002</v>
      </c>
      <c r="W1589" s="145" t="s">
        <v>400</v>
      </c>
      <c r="X1589" s="145">
        <v>0.36</v>
      </c>
      <c r="Y1589" s="145">
        <v>0.22</v>
      </c>
      <c r="Z1589" s="146">
        <v>0.11</v>
      </c>
      <c r="AA1589" s="145">
        <v>3.3889999999999998</v>
      </c>
      <c r="AB1589" s="145">
        <v>2.1000000000000001E-2</v>
      </c>
      <c r="AC1589" s="145">
        <v>4.8710000000000004</v>
      </c>
      <c r="AD1589" s="145" t="s">
        <v>400</v>
      </c>
      <c r="AE1589" s="145">
        <v>77.45</v>
      </c>
      <c r="AF1589" s="145" t="s">
        <v>400</v>
      </c>
      <c r="AG1589" s="145">
        <v>0.53200000000000003</v>
      </c>
      <c r="AH1589" s="145">
        <v>1.401</v>
      </c>
      <c r="AI1589" s="145" t="s">
        <v>400</v>
      </c>
      <c r="AJ1589" s="145">
        <v>27.565999999999999</v>
      </c>
      <c r="AK1589" s="145">
        <v>9.1999999999999998E-2</v>
      </c>
      <c r="AL1589" s="145">
        <v>41.488</v>
      </c>
      <c r="AM1589" s="145">
        <v>42.613999999999997</v>
      </c>
    </row>
    <row r="1590" spans="1:39">
      <c r="A1590" s="143" t="s">
        <v>2650</v>
      </c>
      <c r="B1590" s="144">
        <v>100</v>
      </c>
      <c r="C1590" s="145">
        <v>395.25099999999998</v>
      </c>
      <c r="D1590" s="145">
        <v>6.45</v>
      </c>
      <c r="E1590" s="145">
        <v>4.8390000000000004</v>
      </c>
      <c r="F1590" s="145">
        <v>1.137</v>
      </c>
      <c r="G1590" s="145">
        <v>2.5920000000000001</v>
      </c>
      <c r="H1590" s="145">
        <v>0.69099999999999995</v>
      </c>
      <c r="I1590" s="145">
        <v>0.64600000000000002</v>
      </c>
      <c r="J1590" s="145">
        <v>2.4E-2</v>
      </c>
      <c r="K1590" s="145" t="s">
        <v>400</v>
      </c>
      <c r="L1590" s="145">
        <v>83.876000000000005</v>
      </c>
      <c r="M1590" s="145">
        <v>3.698</v>
      </c>
      <c r="N1590" s="145">
        <v>19.332000000000001</v>
      </c>
      <c r="O1590" s="145">
        <v>44.755000000000003</v>
      </c>
      <c r="P1590" s="145">
        <v>1.1140000000000001</v>
      </c>
      <c r="Q1590" s="145">
        <v>113.008</v>
      </c>
      <c r="R1590" s="145">
        <v>2.5590000000000002</v>
      </c>
      <c r="S1590" s="145">
        <v>546.404</v>
      </c>
      <c r="T1590" s="145">
        <v>170.017</v>
      </c>
      <c r="U1590" s="145">
        <v>0.14899999999999999</v>
      </c>
      <c r="V1590" s="145">
        <v>0.89500000000000002</v>
      </c>
      <c r="W1590" s="145" t="s">
        <v>400</v>
      </c>
      <c r="X1590" s="145">
        <v>0.36</v>
      </c>
      <c r="Y1590" s="145">
        <v>0.22</v>
      </c>
      <c r="Z1590" s="146">
        <v>0.11</v>
      </c>
      <c r="AA1590" s="145">
        <v>3.3889999999999998</v>
      </c>
      <c r="AB1590" s="145">
        <v>2.1000000000000001E-2</v>
      </c>
      <c r="AC1590" s="145">
        <v>4.8710000000000004</v>
      </c>
      <c r="AD1590" s="145" t="s">
        <v>400</v>
      </c>
      <c r="AE1590" s="145">
        <v>77.45</v>
      </c>
      <c r="AF1590" s="145" t="s">
        <v>400</v>
      </c>
      <c r="AG1590" s="145">
        <v>0.53200000000000003</v>
      </c>
      <c r="AH1590" s="145">
        <v>1.401</v>
      </c>
      <c r="AI1590" s="145" t="s">
        <v>400</v>
      </c>
      <c r="AJ1590" s="145">
        <v>27.565999999999999</v>
      </c>
      <c r="AK1590" s="145">
        <v>9.1999999999999998E-2</v>
      </c>
      <c r="AL1590" s="145">
        <v>41.488</v>
      </c>
      <c r="AM1590" s="145">
        <v>42.613999999999997</v>
      </c>
    </row>
    <row r="1591" spans="1:39">
      <c r="A1591" s="143" t="s">
        <v>2651</v>
      </c>
      <c r="B1591" s="144">
        <v>100</v>
      </c>
      <c r="C1591" s="145">
        <v>453.91500000000002</v>
      </c>
      <c r="D1591" s="145">
        <v>6.2240000000000002</v>
      </c>
      <c r="E1591" s="145">
        <v>21.888000000000002</v>
      </c>
      <c r="F1591" s="145">
        <v>5.3239999999999998</v>
      </c>
      <c r="G1591" s="145">
        <v>12.946999999999999</v>
      </c>
      <c r="H1591" s="145">
        <v>2.363</v>
      </c>
      <c r="I1591" s="145">
        <v>2.1949999999999998</v>
      </c>
      <c r="J1591" s="145">
        <v>6.5000000000000002E-2</v>
      </c>
      <c r="K1591" s="145">
        <v>8.5000000000000006E-2</v>
      </c>
      <c r="L1591" s="145">
        <v>65.742999999999995</v>
      </c>
      <c r="M1591" s="145">
        <v>2.9470000000000001</v>
      </c>
      <c r="N1591" s="145">
        <v>51.03</v>
      </c>
      <c r="O1591" s="145">
        <v>24.911000000000001</v>
      </c>
      <c r="P1591" s="145">
        <v>0.84499999999999997</v>
      </c>
      <c r="Q1591" s="145">
        <v>103.687</v>
      </c>
      <c r="R1591" s="145">
        <v>2.7530000000000001</v>
      </c>
      <c r="S1591" s="145">
        <v>407.52699999999999</v>
      </c>
      <c r="T1591" s="145">
        <v>91.899000000000001</v>
      </c>
      <c r="U1591" s="145">
        <v>0.111</v>
      </c>
      <c r="V1591" s="145">
        <v>0.71299999999999997</v>
      </c>
      <c r="W1591" s="145">
        <v>3.4000000000000002E-2</v>
      </c>
      <c r="X1591" s="145">
        <v>0.41599999999999998</v>
      </c>
      <c r="Y1591" s="145">
        <v>0.249</v>
      </c>
      <c r="Z1591" s="146">
        <v>3.2000000000000001E-2</v>
      </c>
      <c r="AA1591" s="145">
        <v>2.9049999999999998</v>
      </c>
      <c r="AB1591" s="145">
        <v>3.5000000000000003E-2</v>
      </c>
      <c r="AC1591" s="145">
        <v>4.2140000000000004</v>
      </c>
      <c r="AD1591" s="145" t="s">
        <v>400</v>
      </c>
      <c r="AE1591" s="145">
        <v>99.358999999999995</v>
      </c>
      <c r="AF1591" s="145" t="s">
        <v>400</v>
      </c>
      <c r="AG1591" s="145">
        <v>1.7729999999999999</v>
      </c>
      <c r="AH1591" s="145">
        <v>7.085</v>
      </c>
      <c r="AI1591" s="145" t="s">
        <v>400</v>
      </c>
      <c r="AJ1591" s="145">
        <v>18.946000000000002</v>
      </c>
      <c r="AK1591" s="145">
        <v>0.16800000000000001</v>
      </c>
      <c r="AL1591" s="145">
        <v>3.988</v>
      </c>
      <c r="AM1591" s="145" t="s">
        <v>400</v>
      </c>
    </row>
    <row r="1592" spans="1:39">
      <c r="A1592" s="143" t="s">
        <v>2652</v>
      </c>
      <c r="B1592" s="144">
        <v>100</v>
      </c>
      <c r="C1592" s="145">
        <v>453.91500000000002</v>
      </c>
      <c r="D1592" s="145">
        <v>6.2240000000000002</v>
      </c>
      <c r="E1592" s="145">
        <v>21.888000000000002</v>
      </c>
      <c r="F1592" s="145">
        <v>5.3239999999999998</v>
      </c>
      <c r="G1592" s="145">
        <v>12.946999999999999</v>
      </c>
      <c r="H1592" s="145">
        <v>2.363</v>
      </c>
      <c r="I1592" s="145">
        <v>2.1949999999999998</v>
      </c>
      <c r="J1592" s="145">
        <v>6.5000000000000002E-2</v>
      </c>
      <c r="K1592" s="145">
        <v>8.5000000000000006E-2</v>
      </c>
      <c r="L1592" s="145">
        <v>65.742999999999995</v>
      </c>
      <c r="M1592" s="145">
        <v>2.9470000000000001</v>
      </c>
      <c r="N1592" s="145">
        <v>51.03</v>
      </c>
      <c r="O1592" s="145">
        <v>24.911000000000001</v>
      </c>
      <c r="P1592" s="145">
        <v>0.84499999999999997</v>
      </c>
      <c r="Q1592" s="145">
        <v>103.687</v>
      </c>
      <c r="R1592" s="145">
        <v>2.7530000000000001</v>
      </c>
      <c r="S1592" s="145">
        <v>407.52699999999999</v>
      </c>
      <c r="T1592" s="145">
        <v>91.899000000000001</v>
      </c>
      <c r="U1592" s="145">
        <v>0.111</v>
      </c>
      <c r="V1592" s="145">
        <v>0.71299999999999997</v>
      </c>
      <c r="W1592" s="145">
        <v>3.4000000000000002E-2</v>
      </c>
      <c r="X1592" s="145">
        <v>0.41599999999999998</v>
      </c>
      <c r="Y1592" s="145">
        <v>0.249</v>
      </c>
      <c r="Z1592" s="146">
        <v>3.2000000000000001E-2</v>
      </c>
      <c r="AA1592" s="145">
        <v>2.9049999999999998</v>
      </c>
      <c r="AB1592" s="145">
        <v>3.5000000000000003E-2</v>
      </c>
      <c r="AC1592" s="145">
        <v>4.2140000000000004</v>
      </c>
      <c r="AD1592" s="145" t="s">
        <v>400</v>
      </c>
      <c r="AE1592" s="145">
        <v>99.358999999999995</v>
      </c>
      <c r="AF1592" s="145" t="s">
        <v>400</v>
      </c>
      <c r="AG1592" s="145">
        <v>1.7729999999999999</v>
      </c>
      <c r="AH1592" s="145">
        <v>7.085</v>
      </c>
      <c r="AI1592" s="145" t="s">
        <v>400</v>
      </c>
      <c r="AJ1592" s="145">
        <v>18.946000000000002</v>
      </c>
      <c r="AK1592" s="145">
        <v>0.16800000000000001</v>
      </c>
      <c r="AL1592" s="145">
        <v>3.988</v>
      </c>
      <c r="AM1592" s="145" t="s">
        <v>400</v>
      </c>
    </row>
    <row r="1593" spans="1:39">
      <c r="A1593" s="143" t="s">
        <v>2653</v>
      </c>
      <c r="B1593" s="144">
        <v>100</v>
      </c>
      <c r="C1593" s="145">
        <v>300.05399999999997</v>
      </c>
      <c r="D1593" s="145">
        <v>3.9279999999999999</v>
      </c>
      <c r="E1593" s="145">
        <v>9.0690000000000008</v>
      </c>
      <c r="F1593" s="145">
        <v>5.3140000000000001</v>
      </c>
      <c r="G1593" s="145">
        <v>2.4079999999999999</v>
      </c>
      <c r="H1593" s="145">
        <v>0.53</v>
      </c>
      <c r="I1593" s="145">
        <v>0.46500000000000002</v>
      </c>
      <c r="J1593" s="145">
        <v>4.9000000000000002E-2</v>
      </c>
      <c r="K1593" s="145">
        <v>56.723999999999997</v>
      </c>
      <c r="L1593" s="145">
        <v>52.137</v>
      </c>
      <c r="M1593" s="145">
        <v>1.657</v>
      </c>
      <c r="N1593" s="145">
        <v>29.471</v>
      </c>
      <c r="O1593" s="145">
        <v>16.890999999999998</v>
      </c>
      <c r="P1593" s="145">
        <v>0.253</v>
      </c>
      <c r="Q1593" s="145">
        <v>57.176000000000002</v>
      </c>
      <c r="R1593" s="145">
        <v>1.214</v>
      </c>
      <c r="S1593" s="145">
        <v>218.06700000000001</v>
      </c>
      <c r="T1593" s="145">
        <v>184.18100000000001</v>
      </c>
      <c r="U1593" s="145">
        <v>6.4000000000000001E-2</v>
      </c>
      <c r="V1593" s="145">
        <v>0.32600000000000001</v>
      </c>
      <c r="W1593" s="145">
        <v>79.007999999999996</v>
      </c>
      <c r="X1593" s="145">
        <v>0.186</v>
      </c>
      <c r="Y1593" s="145">
        <v>0.193</v>
      </c>
      <c r="Z1593" s="146">
        <v>0.16500000000000001</v>
      </c>
      <c r="AA1593" s="145">
        <v>1.522</v>
      </c>
      <c r="AB1593" s="145">
        <v>3.4449999999999998</v>
      </c>
      <c r="AC1593" s="145">
        <v>2.294</v>
      </c>
      <c r="AD1593" s="145">
        <v>0.122</v>
      </c>
      <c r="AE1593" s="145">
        <v>55.216999999999999</v>
      </c>
      <c r="AF1593" s="145">
        <v>0.24299999999999999</v>
      </c>
      <c r="AG1593" s="145">
        <v>0.376</v>
      </c>
      <c r="AH1593" s="145">
        <v>0.316</v>
      </c>
      <c r="AI1593" s="145" t="s">
        <v>400</v>
      </c>
      <c r="AJ1593" s="145">
        <v>10.526999999999999</v>
      </c>
      <c r="AK1593" s="145">
        <v>81.641000000000005</v>
      </c>
      <c r="AL1593" s="145">
        <v>31.794</v>
      </c>
      <c r="AM1593" s="145">
        <v>26.64</v>
      </c>
    </row>
    <row r="1594" spans="1:39">
      <c r="A1594" s="143" t="s">
        <v>2654</v>
      </c>
      <c r="B1594" s="144">
        <v>100</v>
      </c>
      <c r="C1594" s="145">
        <v>313</v>
      </c>
      <c r="D1594" s="145">
        <v>26.9</v>
      </c>
      <c r="E1594" s="145">
        <v>21.9</v>
      </c>
      <c r="F1594" s="145">
        <v>10.5</v>
      </c>
      <c r="G1594" s="145">
        <v>8.3000000000000007</v>
      </c>
      <c r="H1594" s="145">
        <v>0.4</v>
      </c>
      <c r="I1594" s="145">
        <v>0.24</v>
      </c>
      <c r="J1594" s="145">
        <v>0.08</v>
      </c>
      <c r="K1594" s="145">
        <v>100</v>
      </c>
      <c r="L1594" s="145" t="s">
        <v>400</v>
      </c>
      <c r="M1594" s="145" t="s">
        <v>400</v>
      </c>
      <c r="N1594" s="145">
        <v>13</v>
      </c>
      <c r="O1594" s="145">
        <v>12</v>
      </c>
      <c r="P1594" s="145">
        <v>0.02</v>
      </c>
      <c r="Q1594" s="145">
        <v>82</v>
      </c>
      <c r="R1594" s="145">
        <v>1.9</v>
      </c>
      <c r="S1594" s="145">
        <v>1943</v>
      </c>
      <c r="T1594" s="145">
        <v>86</v>
      </c>
      <c r="U1594" s="145">
        <v>0.03</v>
      </c>
      <c r="V1594" s="145">
        <v>7.7</v>
      </c>
      <c r="W1594" s="145" t="s">
        <v>400</v>
      </c>
      <c r="X1594" s="145" t="s">
        <v>400</v>
      </c>
      <c r="Y1594" s="145">
        <v>0.06</v>
      </c>
      <c r="Z1594" s="145" t="s">
        <v>400</v>
      </c>
      <c r="AA1594" s="145" t="s">
        <v>400</v>
      </c>
      <c r="AB1594" s="145" t="s">
        <v>400</v>
      </c>
      <c r="AC1594" s="145" t="s">
        <v>400</v>
      </c>
      <c r="AD1594" s="145" t="s">
        <v>400</v>
      </c>
      <c r="AE1594" s="145" t="s">
        <v>400</v>
      </c>
      <c r="AF1594" s="145" t="s">
        <v>400</v>
      </c>
      <c r="AG1594" s="145" t="s">
        <v>400</v>
      </c>
      <c r="AH1594" s="145">
        <v>0.93</v>
      </c>
      <c r="AI1594" s="145" t="s">
        <v>400</v>
      </c>
      <c r="AJ1594" s="145" t="s">
        <v>400</v>
      </c>
      <c r="AK1594" s="145" t="s">
        <v>400</v>
      </c>
      <c r="AL1594" s="145" t="s">
        <v>400</v>
      </c>
      <c r="AM1594" s="145" t="s">
        <v>400</v>
      </c>
    </row>
    <row r="1595" spans="1:39">
      <c r="A1595" s="143" t="s">
        <v>2655</v>
      </c>
      <c r="B1595" s="144">
        <v>100</v>
      </c>
      <c r="C1595" s="145">
        <v>313</v>
      </c>
      <c r="D1595" s="145">
        <v>26.9</v>
      </c>
      <c r="E1595" s="145">
        <v>21.9</v>
      </c>
      <c r="F1595" s="145">
        <v>10.5</v>
      </c>
      <c r="G1595" s="145">
        <v>8.3000000000000007</v>
      </c>
      <c r="H1595" s="145">
        <v>0.4</v>
      </c>
      <c r="I1595" s="145">
        <v>0.24</v>
      </c>
      <c r="J1595" s="145">
        <v>0.08</v>
      </c>
      <c r="K1595" s="145">
        <v>100</v>
      </c>
      <c r="L1595" s="145" t="s">
        <v>400</v>
      </c>
      <c r="M1595" s="145" t="s">
        <v>400</v>
      </c>
      <c r="N1595" s="145">
        <v>13</v>
      </c>
      <c r="O1595" s="145">
        <v>12</v>
      </c>
      <c r="P1595" s="145">
        <v>0.02</v>
      </c>
      <c r="Q1595" s="145">
        <v>82</v>
      </c>
      <c r="R1595" s="145">
        <v>1.9</v>
      </c>
      <c r="S1595" s="145">
        <v>1943</v>
      </c>
      <c r="T1595" s="145">
        <v>86</v>
      </c>
      <c r="U1595" s="145">
        <v>0.03</v>
      </c>
      <c r="V1595" s="145">
        <v>7.7</v>
      </c>
      <c r="W1595" s="145" t="s">
        <v>400</v>
      </c>
      <c r="X1595" s="145" t="s">
        <v>400</v>
      </c>
      <c r="Y1595" s="145">
        <v>0.06</v>
      </c>
      <c r="Z1595" s="145" t="s">
        <v>400</v>
      </c>
      <c r="AA1595" s="145" t="s">
        <v>400</v>
      </c>
      <c r="AB1595" s="145" t="s">
        <v>400</v>
      </c>
      <c r="AC1595" s="145" t="s">
        <v>400</v>
      </c>
      <c r="AD1595" s="145" t="s">
        <v>400</v>
      </c>
      <c r="AE1595" s="145" t="s">
        <v>400</v>
      </c>
      <c r="AF1595" s="145" t="s">
        <v>400</v>
      </c>
      <c r="AG1595" s="145" t="s">
        <v>400</v>
      </c>
      <c r="AH1595" s="145">
        <v>0.93</v>
      </c>
      <c r="AI1595" s="145" t="s">
        <v>400</v>
      </c>
      <c r="AJ1595" s="145" t="s">
        <v>400</v>
      </c>
      <c r="AK1595" s="145" t="s">
        <v>400</v>
      </c>
      <c r="AL1595" s="145" t="s">
        <v>400</v>
      </c>
      <c r="AM1595" s="145" t="s">
        <v>400</v>
      </c>
    </row>
    <row r="1596" spans="1:39">
      <c r="A1596" s="143" t="s">
        <v>2656</v>
      </c>
      <c r="B1596" s="144">
        <v>100</v>
      </c>
      <c r="C1596" s="145">
        <v>313</v>
      </c>
      <c r="D1596" s="145">
        <v>26.9</v>
      </c>
      <c r="E1596" s="145">
        <v>21.9</v>
      </c>
      <c r="F1596" s="145">
        <v>10.5</v>
      </c>
      <c r="G1596" s="145">
        <v>8.3000000000000007</v>
      </c>
      <c r="H1596" s="145">
        <v>0.4</v>
      </c>
      <c r="I1596" s="145">
        <v>0.24</v>
      </c>
      <c r="J1596" s="145">
        <v>0.08</v>
      </c>
      <c r="K1596" s="145">
        <v>100</v>
      </c>
      <c r="L1596" s="145" t="s">
        <v>400</v>
      </c>
      <c r="M1596" s="145" t="s">
        <v>400</v>
      </c>
      <c r="N1596" s="145">
        <v>13</v>
      </c>
      <c r="O1596" s="145">
        <v>12</v>
      </c>
      <c r="P1596" s="145">
        <v>0.02</v>
      </c>
      <c r="Q1596" s="145">
        <v>82</v>
      </c>
      <c r="R1596" s="145">
        <v>1.9</v>
      </c>
      <c r="S1596" s="145">
        <v>1943</v>
      </c>
      <c r="T1596" s="145">
        <v>86</v>
      </c>
      <c r="U1596" s="145">
        <v>0.03</v>
      </c>
      <c r="V1596" s="145">
        <v>7.7</v>
      </c>
      <c r="W1596" s="145" t="s">
        <v>400</v>
      </c>
      <c r="X1596" s="145" t="s">
        <v>400</v>
      </c>
      <c r="Y1596" s="145">
        <v>0.06</v>
      </c>
      <c r="Z1596" s="145" t="s">
        <v>400</v>
      </c>
      <c r="AA1596" s="145" t="s">
        <v>400</v>
      </c>
      <c r="AB1596" s="145" t="s">
        <v>400</v>
      </c>
      <c r="AC1596" s="145" t="s">
        <v>400</v>
      </c>
      <c r="AD1596" s="145" t="s">
        <v>400</v>
      </c>
      <c r="AE1596" s="145" t="s">
        <v>400</v>
      </c>
      <c r="AF1596" s="145" t="s">
        <v>400</v>
      </c>
      <c r="AG1596" s="145" t="s">
        <v>400</v>
      </c>
      <c r="AH1596" s="145">
        <v>0.93</v>
      </c>
      <c r="AI1596" s="145" t="s">
        <v>400</v>
      </c>
      <c r="AJ1596" s="145" t="s">
        <v>400</v>
      </c>
      <c r="AK1596" s="145" t="s">
        <v>400</v>
      </c>
      <c r="AL1596" s="145" t="s">
        <v>400</v>
      </c>
      <c r="AM1596" s="145" t="s">
        <v>400</v>
      </c>
    </row>
    <row r="1597" spans="1:39">
      <c r="A1597" s="143" t="s">
        <v>2657</v>
      </c>
      <c r="B1597" s="144">
        <v>100</v>
      </c>
      <c r="C1597" s="145">
        <v>347.00403999999997</v>
      </c>
      <c r="D1597" s="145">
        <v>25.285999999999998</v>
      </c>
      <c r="E1597" s="145">
        <v>26.557019999999998</v>
      </c>
      <c r="F1597" s="145">
        <v>10.80444</v>
      </c>
      <c r="G1597" s="145">
        <v>9.1623800000000006</v>
      </c>
      <c r="H1597" s="145">
        <v>3.8236599999999998</v>
      </c>
      <c r="I1597" s="145">
        <v>3.26796</v>
      </c>
      <c r="J1597" s="145">
        <v>0.48055999999999999</v>
      </c>
      <c r="K1597" s="145">
        <v>94</v>
      </c>
      <c r="L1597" s="145" t="s">
        <v>400</v>
      </c>
      <c r="M1597" s="145" t="s">
        <v>400</v>
      </c>
      <c r="N1597" s="145">
        <v>12.22</v>
      </c>
      <c r="O1597" s="145">
        <v>11.28</v>
      </c>
      <c r="P1597" s="145">
        <v>1.8800000000000001E-2</v>
      </c>
      <c r="Q1597" s="145">
        <v>77.08</v>
      </c>
      <c r="R1597" s="145">
        <v>1.7889999999999997</v>
      </c>
      <c r="S1597" s="145">
        <v>1826.42</v>
      </c>
      <c r="T1597" s="145">
        <v>80.84</v>
      </c>
      <c r="U1597" s="145">
        <v>2.8199999999999996E-2</v>
      </c>
      <c r="V1597" s="145">
        <v>7.2385999999999999</v>
      </c>
      <c r="W1597" s="145" t="s">
        <v>400</v>
      </c>
      <c r="X1597" s="145" t="s">
        <v>400</v>
      </c>
      <c r="Y1597" s="145">
        <v>5.6399999999999992E-2</v>
      </c>
      <c r="Z1597" s="145" t="s">
        <v>400</v>
      </c>
      <c r="AA1597" s="145" t="s">
        <v>400</v>
      </c>
      <c r="AB1597" s="145" t="s">
        <v>400</v>
      </c>
      <c r="AC1597" s="145" t="s">
        <v>400</v>
      </c>
      <c r="AD1597" s="145" t="s">
        <v>400</v>
      </c>
      <c r="AE1597" s="145" t="s">
        <v>400</v>
      </c>
      <c r="AF1597" s="145" t="s">
        <v>400</v>
      </c>
      <c r="AG1597" s="145">
        <v>0.48846000000000001</v>
      </c>
      <c r="AH1597" s="145">
        <v>3.1800000000000002E-2</v>
      </c>
      <c r="AI1597" s="145" t="s">
        <v>400</v>
      </c>
      <c r="AJ1597" s="145">
        <v>2.7365400000000002</v>
      </c>
      <c r="AK1597" s="145" t="s">
        <v>400</v>
      </c>
      <c r="AL1597" s="145" t="s">
        <v>400</v>
      </c>
      <c r="AM1597" s="145" t="s">
        <v>400</v>
      </c>
    </row>
    <row r="1598" spans="1:39">
      <c r="A1598" s="143" t="s">
        <v>2658</v>
      </c>
      <c r="B1598" s="144">
        <v>100</v>
      </c>
      <c r="C1598" s="145">
        <v>347.00403999999997</v>
      </c>
      <c r="D1598" s="145">
        <v>25.285999999999998</v>
      </c>
      <c r="E1598" s="145">
        <v>26.557019999999998</v>
      </c>
      <c r="F1598" s="145">
        <v>10.80444</v>
      </c>
      <c r="G1598" s="145">
        <v>9.1623800000000006</v>
      </c>
      <c r="H1598" s="145">
        <v>3.8236599999999998</v>
      </c>
      <c r="I1598" s="145">
        <v>3.26796</v>
      </c>
      <c r="J1598" s="145">
        <v>0.48055999999999999</v>
      </c>
      <c r="K1598" s="145">
        <v>94</v>
      </c>
      <c r="L1598" s="145" t="s">
        <v>400</v>
      </c>
      <c r="M1598" s="145" t="s">
        <v>400</v>
      </c>
      <c r="N1598" s="145">
        <v>12.22</v>
      </c>
      <c r="O1598" s="145">
        <v>11.28</v>
      </c>
      <c r="P1598" s="145">
        <v>1.8800000000000001E-2</v>
      </c>
      <c r="Q1598" s="145">
        <v>77.08</v>
      </c>
      <c r="R1598" s="145">
        <v>1.7889999999999997</v>
      </c>
      <c r="S1598" s="145">
        <v>1826.42</v>
      </c>
      <c r="T1598" s="145">
        <v>80.84</v>
      </c>
      <c r="U1598" s="145">
        <v>2.8199999999999996E-2</v>
      </c>
      <c r="V1598" s="145">
        <v>7.2385999999999999</v>
      </c>
      <c r="W1598" s="145" t="s">
        <v>400</v>
      </c>
      <c r="X1598" s="145" t="s">
        <v>400</v>
      </c>
      <c r="Y1598" s="145">
        <v>5.6399999999999992E-2</v>
      </c>
      <c r="Z1598" s="145" t="s">
        <v>400</v>
      </c>
      <c r="AA1598" s="145" t="s">
        <v>400</v>
      </c>
      <c r="AB1598" s="145" t="s">
        <v>400</v>
      </c>
      <c r="AC1598" s="145" t="s">
        <v>400</v>
      </c>
      <c r="AD1598" s="145" t="s">
        <v>400</v>
      </c>
      <c r="AE1598" s="145" t="s">
        <v>400</v>
      </c>
      <c r="AF1598" s="145" t="s">
        <v>400</v>
      </c>
      <c r="AG1598" s="145">
        <v>0.48846000000000001</v>
      </c>
      <c r="AH1598" s="145">
        <v>3.1800000000000002E-2</v>
      </c>
      <c r="AI1598" s="145" t="s">
        <v>400</v>
      </c>
      <c r="AJ1598" s="145">
        <v>2.7365400000000002</v>
      </c>
      <c r="AK1598" s="145" t="s">
        <v>400</v>
      </c>
      <c r="AL1598" s="145" t="s">
        <v>400</v>
      </c>
      <c r="AM1598" s="145" t="s">
        <v>400</v>
      </c>
    </row>
    <row r="1599" spans="1:39">
      <c r="A1599" s="143" t="s">
        <v>2659</v>
      </c>
      <c r="B1599" s="144">
        <v>100</v>
      </c>
      <c r="C1599" s="145">
        <v>255.2</v>
      </c>
      <c r="D1599" s="145">
        <v>21.783999999999999</v>
      </c>
      <c r="E1599" s="145">
        <v>17.556000000000001</v>
      </c>
      <c r="F1599" s="145">
        <v>8.4060000000000006</v>
      </c>
      <c r="G1599" s="145">
        <v>6.6460000000000008</v>
      </c>
      <c r="H1599" s="145">
        <v>0.33400000000000007</v>
      </c>
      <c r="I1599" s="145">
        <v>0.20600000000000002</v>
      </c>
      <c r="J1599" s="145">
        <v>6.4000000000000001E-2</v>
      </c>
      <c r="K1599" s="145">
        <v>80</v>
      </c>
      <c r="L1599" s="145">
        <v>1.0760000000000001</v>
      </c>
      <c r="M1599" s="145">
        <v>0.3</v>
      </c>
      <c r="N1599" s="145">
        <v>13</v>
      </c>
      <c r="O1599" s="145">
        <v>12.8</v>
      </c>
      <c r="P1599" s="145">
        <v>3.8000000000000006E-2</v>
      </c>
      <c r="Q1599" s="145">
        <v>70.8</v>
      </c>
      <c r="R1599" s="145">
        <v>1.724</v>
      </c>
      <c r="S1599" s="145">
        <v>1659.2</v>
      </c>
      <c r="T1599" s="145">
        <v>135</v>
      </c>
      <c r="U1599" s="145">
        <v>4.8000000000000001E-2</v>
      </c>
      <c r="V1599" s="145">
        <v>6.2</v>
      </c>
      <c r="W1599" s="145" t="s">
        <v>400</v>
      </c>
      <c r="X1599" s="145">
        <v>4.0000000000000001E-3</v>
      </c>
      <c r="Y1599" s="145">
        <v>6.2E-2</v>
      </c>
      <c r="Z1599" s="145">
        <v>0.02</v>
      </c>
      <c r="AA1599" s="145">
        <v>0.19600000000000001</v>
      </c>
      <c r="AB1599" s="145">
        <v>1.4</v>
      </c>
      <c r="AC1599" s="145">
        <v>0.22799999999999998</v>
      </c>
      <c r="AD1599" s="145" t="s">
        <v>400</v>
      </c>
      <c r="AE1599" s="145">
        <v>2.2000000000000002</v>
      </c>
      <c r="AF1599" s="145" t="s">
        <v>400</v>
      </c>
      <c r="AG1599" s="145">
        <v>0.28399999999999997</v>
      </c>
      <c r="AH1599" s="145" t="s">
        <v>400</v>
      </c>
      <c r="AI1599" s="145" t="s">
        <v>400</v>
      </c>
      <c r="AJ1599" s="145">
        <v>0.04</v>
      </c>
      <c r="AK1599" s="145">
        <v>3.4840000000000004</v>
      </c>
      <c r="AL1599" s="145">
        <v>0.85</v>
      </c>
      <c r="AM1599" s="145" t="s">
        <v>400</v>
      </c>
    </row>
    <row r="1600" spans="1:39">
      <c r="A1600" s="143" t="s">
        <v>2660</v>
      </c>
      <c r="B1600" s="144">
        <v>100</v>
      </c>
      <c r="C1600" s="145">
        <v>347.00403999999997</v>
      </c>
      <c r="D1600" s="145">
        <v>25.285999999999998</v>
      </c>
      <c r="E1600" s="145">
        <v>26.557019999999998</v>
      </c>
      <c r="F1600" s="145">
        <v>10.80444</v>
      </c>
      <c r="G1600" s="145">
        <v>9.1623800000000006</v>
      </c>
      <c r="H1600" s="145">
        <v>3.8236599999999998</v>
      </c>
      <c r="I1600" s="145">
        <v>3.26796</v>
      </c>
      <c r="J1600" s="145">
        <v>0.48055999999999999</v>
      </c>
      <c r="K1600" s="145">
        <v>94</v>
      </c>
      <c r="L1600" s="145" t="s">
        <v>400</v>
      </c>
      <c r="M1600" s="145" t="s">
        <v>400</v>
      </c>
      <c r="N1600" s="145">
        <v>12.22</v>
      </c>
      <c r="O1600" s="145">
        <v>11.28</v>
      </c>
      <c r="P1600" s="145">
        <v>1.8800000000000001E-2</v>
      </c>
      <c r="Q1600" s="145">
        <v>77.08</v>
      </c>
      <c r="R1600" s="145">
        <v>1.7889999999999997</v>
      </c>
      <c r="S1600" s="145">
        <v>1826.42</v>
      </c>
      <c r="T1600" s="145">
        <v>80.84</v>
      </c>
      <c r="U1600" s="145">
        <v>2.8199999999999996E-2</v>
      </c>
      <c r="V1600" s="145">
        <v>7.2385999999999999</v>
      </c>
      <c r="W1600" s="145" t="s">
        <v>400</v>
      </c>
      <c r="X1600" s="145" t="s">
        <v>400</v>
      </c>
      <c r="Y1600" s="145">
        <v>5.6399999999999992E-2</v>
      </c>
      <c r="Z1600" s="145" t="s">
        <v>400</v>
      </c>
      <c r="AA1600" s="145" t="s">
        <v>400</v>
      </c>
      <c r="AB1600" s="145" t="s">
        <v>400</v>
      </c>
      <c r="AC1600" s="145" t="s">
        <v>400</v>
      </c>
      <c r="AD1600" s="145" t="s">
        <v>400</v>
      </c>
      <c r="AE1600" s="145" t="s">
        <v>400</v>
      </c>
      <c r="AF1600" s="145" t="s">
        <v>400</v>
      </c>
      <c r="AG1600" s="145">
        <v>0.48846000000000001</v>
      </c>
      <c r="AH1600" s="145">
        <v>3.1800000000000002E-2</v>
      </c>
      <c r="AI1600" s="145" t="s">
        <v>400</v>
      </c>
      <c r="AJ1600" s="145">
        <v>2.7365400000000002</v>
      </c>
      <c r="AK1600" s="145" t="s">
        <v>400</v>
      </c>
      <c r="AL1600" s="145" t="s">
        <v>400</v>
      </c>
      <c r="AM1600" s="145" t="s">
        <v>400</v>
      </c>
    </row>
    <row r="1601" spans="1:39">
      <c r="A1601" s="143" t="s">
        <v>2661</v>
      </c>
      <c r="B1601" s="144">
        <v>100</v>
      </c>
      <c r="C1601" s="145">
        <v>313</v>
      </c>
      <c r="D1601" s="145">
        <v>26.9</v>
      </c>
      <c r="E1601" s="145">
        <v>21.9</v>
      </c>
      <c r="F1601" s="145">
        <v>10.5</v>
      </c>
      <c r="G1601" s="145">
        <v>8.3000000000000007</v>
      </c>
      <c r="H1601" s="145">
        <v>0.4</v>
      </c>
      <c r="I1601" s="145">
        <v>0.24</v>
      </c>
      <c r="J1601" s="145">
        <v>0.08</v>
      </c>
      <c r="K1601" s="145">
        <v>100</v>
      </c>
      <c r="L1601" s="145" t="s">
        <v>400</v>
      </c>
      <c r="M1601" s="145" t="s">
        <v>400</v>
      </c>
      <c r="N1601" s="145">
        <v>13</v>
      </c>
      <c r="O1601" s="145">
        <v>12</v>
      </c>
      <c r="P1601" s="145">
        <v>0.02</v>
      </c>
      <c r="Q1601" s="145">
        <v>82</v>
      </c>
      <c r="R1601" s="145">
        <v>1.9</v>
      </c>
      <c r="S1601" s="145">
        <v>1943</v>
      </c>
      <c r="T1601" s="145">
        <v>86</v>
      </c>
      <c r="U1601" s="145">
        <v>0.03</v>
      </c>
      <c r="V1601" s="145">
        <v>7.7</v>
      </c>
      <c r="W1601" s="145" t="s">
        <v>400</v>
      </c>
      <c r="X1601" s="145" t="s">
        <v>400</v>
      </c>
      <c r="Y1601" s="145">
        <v>0.06</v>
      </c>
      <c r="Z1601" s="145" t="s">
        <v>400</v>
      </c>
      <c r="AA1601" s="145" t="s">
        <v>400</v>
      </c>
      <c r="AB1601" s="145" t="s">
        <v>400</v>
      </c>
      <c r="AC1601" s="145" t="s">
        <v>400</v>
      </c>
      <c r="AD1601" s="145" t="s">
        <v>400</v>
      </c>
      <c r="AE1601" s="145" t="s">
        <v>400</v>
      </c>
      <c r="AF1601" s="145" t="s">
        <v>400</v>
      </c>
      <c r="AG1601" s="145" t="s">
        <v>400</v>
      </c>
      <c r="AH1601" s="145">
        <v>0.93</v>
      </c>
      <c r="AI1601" s="145" t="s">
        <v>400</v>
      </c>
      <c r="AJ1601" s="145" t="s">
        <v>400</v>
      </c>
      <c r="AK1601" s="145" t="s">
        <v>400</v>
      </c>
      <c r="AL1601" s="145" t="s">
        <v>400</v>
      </c>
      <c r="AM1601" s="145" t="s">
        <v>400</v>
      </c>
    </row>
    <row r="1602" spans="1:39">
      <c r="A1602" s="143" t="s">
        <v>2662</v>
      </c>
      <c r="B1602" s="144">
        <v>100</v>
      </c>
      <c r="C1602" s="145">
        <v>313</v>
      </c>
      <c r="D1602" s="145">
        <v>26.9</v>
      </c>
      <c r="E1602" s="145">
        <v>21.9</v>
      </c>
      <c r="F1602" s="145">
        <v>10.5</v>
      </c>
      <c r="G1602" s="145">
        <v>8.3000000000000007</v>
      </c>
      <c r="H1602" s="145">
        <v>0.4</v>
      </c>
      <c r="I1602" s="145">
        <v>0.24</v>
      </c>
      <c r="J1602" s="145">
        <v>0.08</v>
      </c>
      <c r="K1602" s="145">
        <v>100</v>
      </c>
      <c r="L1602" s="145" t="s">
        <v>400</v>
      </c>
      <c r="M1602" s="145" t="s">
        <v>400</v>
      </c>
      <c r="N1602" s="145">
        <v>13</v>
      </c>
      <c r="O1602" s="145">
        <v>12</v>
      </c>
      <c r="P1602" s="145">
        <v>0.02</v>
      </c>
      <c r="Q1602" s="145">
        <v>82</v>
      </c>
      <c r="R1602" s="145">
        <v>1.9</v>
      </c>
      <c r="S1602" s="145">
        <v>1943</v>
      </c>
      <c r="T1602" s="145">
        <v>86</v>
      </c>
      <c r="U1602" s="145">
        <v>0.03</v>
      </c>
      <c r="V1602" s="145">
        <v>7.7</v>
      </c>
      <c r="W1602" s="145" t="s">
        <v>400</v>
      </c>
      <c r="X1602" s="145" t="s">
        <v>400</v>
      </c>
      <c r="Y1602" s="145">
        <v>0.06</v>
      </c>
      <c r="Z1602" s="145" t="s">
        <v>400</v>
      </c>
      <c r="AA1602" s="145" t="s">
        <v>400</v>
      </c>
      <c r="AB1602" s="145" t="s">
        <v>400</v>
      </c>
      <c r="AC1602" s="145" t="s">
        <v>400</v>
      </c>
      <c r="AD1602" s="145" t="s">
        <v>400</v>
      </c>
      <c r="AE1602" s="145" t="s">
        <v>400</v>
      </c>
      <c r="AF1602" s="145" t="s">
        <v>400</v>
      </c>
      <c r="AG1602" s="145" t="s">
        <v>400</v>
      </c>
      <c r="AH1602" s="145">
        <v>0.93</v>
      </c>
      <c r="AI1602" s="145" t="s">
        <v>400</v>
      </c>
      <c r="AJ1602" s="145" t="s">
        <v>400</v>
      </c>
      <c r="AK1602" s="145" t="s">
        <v>400</v>
      </c>
      <c r="AL1602" s="145" t="s">
        <v>400</v>
      </c>
      <c r="AM1602" s="145" t="s">
        <v>400</v>
      </c>
    </row>
    <row r="1603" spans="1:39">
      <c r="A1603" s="143" t="s">
        <v>2663</v>
      </c>
      <c r="B1603" s="144">
        <v>100</v>
      </c>
      <c r="C1603" s="145">
        <v>313</v>
      </c>
      <c r="D1603" s="145">
        <v>26.9</v>
      </c>
      <c r="E1603" s="145">
        <v>21.9</v>
      </c>
      <c r="F1603" s="145">
        <v>10.5</v>
      </c>
      <c r="G1603" s="145">
        <v>8.3000000000000007</v>
      </c>
      <c r="H1603" s="145">
        <v>0.4</v>
      </c>
      <c r="I1603" s="145">
        <v>0.24</v>
      </c>
      <c r="J1603" s="145">
        <v>0.08</v>
      </c>
      <c r="K1603" s="145">
        <v>100</v>
      </c>
      <c r="L1603" s="145" t="s">
        <v>400</v>
      </c>
      <c r="M1603" s="145" t="s">
        <v>400</v>
      </c>
      <c r="N1603" s="145">
        <v>13</v>
      </c>
      <c r="O1603" s="145">
        <v>12</v>
      </c>
      <c r="P1603" s="145">
        <v>0.02</v>
      </c>
      <c r="Q1603" s="145">
        <v>82</v>
      </c>
      <c r="R1603" s="145">
        <v>1.9</v>
      </c>
      <c r="S1603" s="145">
        <v>1943</v>
      </c>
      <c r="T1603" s="145">
        <v>86</v>
      </c>
      <c r="U1603" s="145">
        <v>0.03</v>
      </c>
      <c r="V1603" s="145">
        <v>7.7</v>
      </c>
      <c r="W1603" s="145" t="s">
        <v>400</v>
      </c>
      <c r="X1603" s="145" t="s">
        <v>400</v>
      </c>
      <c r="Y1603" s="145">
        <v>0.06</v>
      </c>
      <c r="Z1603" s="145" t="s">
        <v>400</v>
      </c>
      <c r="AA1603" s="145" t="s">
        <v>400</v>
      </c>
      <c r="AB1603" s="145" t="s">
        <v>400</v>
      </c>
      <c r="AC1603" s="145" t="s">
        <v>400</v>
      </c>
      <c r="AD1603" s="145" t="s">
        <v>400</v>
      </c>
      <c r="AE1603" s="145" t="s">
        <v>400</v>
      </c>
      <c r="AF1603" s="145" t="s">
        <v>400</v>
      </c>
      <c r="AG1603" s="145" t="s">
        <v>400</v>
      </c>
      <c r="AH1603" s="145">
        <v>0.93</v>
      </c>
      <c r="AI1603" s="145" t="s">
        <v>400</v>
      </c>
      <c r="AJ1603" s="145" t="s">
        <v>400</v>
      </c>
      <c r="AK1603" s="145" t="s">
        <v>400</v>
      </c>
      <c r="AL1603" s="145" t="s">
        <v>400</v>
      </c>
      <c r="AM1603" s="145" t="s">
        <v>400</v>
      </c>
    </row>
    <row r="1604" spans="1:39">
      <c r="A1604" s="143" t="s">
        <v>2664</v>
      </c>
      <c r="B1604" s="144">
        <v>100</v>
      </c>
      <c r="C1604" s="145">
        <v>313</v>
      </c>
      <c r="D1604" s="145">
        <v>26.9</v>
      </c>
      <c r="E1604" s="145">
        <v>21.9</v>
      </c>
      <c r="F1604" s="145">
        <v>10.5</v>
      </c>
      <c r="G1604" s="145">
        <v>8.3000000000000007</v>
      </c>
      <c r="H1604" s="145">
        <v>0.4</v>
      </c>
      <c r="I1604" s="145">
        <v>0.24</v>
      </c>
      <c r="J1604" s="145">
        <v>0.08</v>
      </c>
      <c r="K1604" s="145">
        <v>100</v>
      </c>
      <c r="L1604" s="145" t="s">
        <v>400</v>
      </c>
      <c r="M1604" s="145" t="s">
        <v>400</v>
      </c>
      <c r="N1604" s="145">
        <v>13</v>
      </c>
      <c r="O1604" s="145">
        <v>12</v>
      </c>
      <c r="P1604" s="145">
        <v>0.02</v>
      </c>
      <c r="Q1604" s="145">
        <v>82</v>
      </c>
      <c r="R1604" s="145">
        <v>1.9</v>
      </c>
      <c r="S1604" s="145">
        <v>1943</v>
      </c>
      <c r="T1604" s="145">
        <v>86</v>
      </c>
      <c r="U1604" s="145">
        <v>0.03</v>
      </c>
      <c r="V1604" s="145">
        <v>7.7</v>
      </c>
      <c r="W1604" s="145" t="s">
        <v>400</v>
      </c>
      <c r="X1604" s="145" t="s">
        <v>400</v>
      </c>
      <c r="Y1604" s="145">
        <v>0.06</v>
      </c>
      <c r="Z1604" s="145" t="s">
        <v>400</v>
      </c>
      <c r="AA1604" s="145" t="s">
        <v>400</v>
      </c>
      <c r="AB1604" s="145" t="s">
        <v>400</v>
      </c>
      <c r="AC1604" s="145" t="s">
        <v>400</v>
      </c>
      <c r="AD1604" s="145" t="s">
        <v>400</v>
      </c>
      <c r="AE1604" s="145" t="s">
        <v>400</v>
      </c>
      <c r="AF1604" s="145" t="s">
        <v>400</v>
      </c>
      <c r="AG1604" s="145" t="s">
        <v>400</v>
      </c>
      <c r="AH1604" s="145">
        <v>0.93</v>
      </c>
      <c r="AI1604" s="145" t="s">
        <v>400</v>
      </c>
      <c r="AJ1604" s="145" t="s">
        <v>400</v>
      </c>
      <c r="AK1604" s="145" t="s">
        <v>400</v>
      </c>
      <c r="AL1604" s="145" t="s">
        <v>400</v>
      </c>
      <c r="AM1604" s="145" t="s">
        <v>400</v>
      </c>
    </row>
    <row r="1605" spans="1:39">
      <c r="A1605" s="143" t="s">
        <v>2665</v>
      </c>
      <c r="B1605" s="144">
        <v>100</v>
      </c>
      <c r="C1605" s="145">
        <v>347.00403999999997</v>
      </c>
      <c r="D1605" s="145">
        <v>25.285999999999998</v>
      </c>
      <c r="E1605" s="145">
        <v>26.557019999999998</v>
      </c>
      <c r="F1605" s="145">
        <v>10.80444</v>
      </c>
      <c r="G1605" s="145">
        <v>9.1623800000000006</v>
      </c>
      <c r="H1605" s="145">
        <v>3.8236599999999998</v>
      </c>
      <c r="I1605" s="145">
        <v>3.26796</v>
      </c>
      <c r="J1605" s="145">
        <v>0.48055999999999999</v>
      </c>
      <c r="K1605" s="145">
        <v>94</v>
      </c>
      <c r="L1605" s="145" t="s">
        <v>400</v>
      </c>
      <c r="M1605" s="145" t="s">
        <v>400</v>
      </c>
      <c r="N1605" s="145">
        <v>12.22</v>
      </c>
      <c r="O1605" s="145">
        <v>11.28</v>
      </c>
      <c r="P1605" s="145">
        <v>1.8800000000000001E-2</v>
      </c>
      <c r="Q1605" s="145">
        <v>77.08</v>
      </c>
      <c r="R1605" s="145">
        <v>1.7889999999999997</v>
      </c>
      <c r="S1605" s="145">
        <v>1826.42</v>
      </c>
      <c r="T1605" s="145">
        <v>80.84</v>
      </c>
      <c r="U1605" s="145">
        <v>2.8199999999999996E-2</v>
      </c>
      <c r="V1605" s="145">
        <v>7.2385999999999999</v>
      </c>
      <c r="W1605" s="145" t="s">
        <v>400</v>
      </c>
      <c r="X1605" s="145" t="s">
        <v>400</v>
      </c>
      <c r="Y1605" s="145">
        <v>5.6399999999999992E-2</v>
      </c>
      <c r="Z1605" s="145" t="s">
        <v>400</v>
      </c>
      <c r="AA1605" s="145" t="s">
        <v>400</v>
      </c>
      <c r="AB1605" s="145" t="s">
        <v>400</v>
      </c>
      <c r="AC1605" s="145" t="s">
        <v>400</v>
      </c>
      <c r="AD1605" s="145" t="s">
        <v>400</v>
      </c>
      <c r="AE1605" s="145" t="s">
        <v>400</v>
      </c>
      <c r="AF1605" s="145" t="s">
        <v>400</v>
      </c>
      <c r="AG1605" s="145">
        <v>0.48846000000000001</v>
      </c>
      <c r="AH1605" s="145">
        <v>3.1800000000000002E-2</v>
      </c>
      <c r="AI1605" s="145" t="s">
        <v>400</v>
      </c>
      <c r="AJ1605" s="145">
        <v>2.7365400000000002</v>
      </c>
      <c r="AK1605" s="145" t="s">
        <v>400</v>
      </c>
      <c r="AL1605" s="145" t="s">
        <v>400</v>
      </c>
      <c r="AM1605" s="145" t="s">
        <v>400</v>
      </c>
    </row>
    <row r="1606" spans="1:39">
      <c r="A1606" s="143" t="s">
        <v>2666</v>
      </c>
      <c r="B1606" s="144">
        <v>100</v>
      </c>
      <c r="C1606" s="145">
        <v>347.00403999999997</v>
      </c>
      <c r="D1606" s="145">
        <v>25.285999999999998</v>
      </c>
      <c r="E1606" s="145">
        <v>26.557019999999998</v>
      </c>
      <c r="F1606" s="145">
        <v>10.80444</v>
      </c>
      <c r="G1606" s="145">
        <v>9.1623800000000006</v>
      </c>
      <c r="H1606" s="145">
        <v>3.8236599999999998</v>
      </c>
      <c r="I1606" s="145">
        <v>3.26796</v>
      </c>
      <c r="J1606" s="145">
        <v>0.48055999999999999</v>
      </c>
      <c r="K1606" s="145">
        <v>94</v>
      </c>
      <c r="L1606" s="145" t="s">
        <v>400</v>
      </c>
      <c r="M1606" s="145" t="s">
        <v>400</v>
      </c>
      <c r="N1606" s="145">
        <v>12.22</v>
      </c>
      <c r="O1606" s="145">
        <v>11.28</v>
      </c>
      <c r="P1606" s="145">
        <v>1.8800000000000001E-2</v>
      </c>
      <c r="Q1606" s="145">
        <v>77.08</v>
      </c>
      <c r="R1606" s="145">
        <v>1.7889999999999997</v>
      </c>
      <c r="S1606" s="145">
        <v>1826.42</v>
      </c>
      <c r="T1606" s="145">
        <v>80.84</v>
      </c>
      <c r="U1606" s="145">
        <v>2.8199999999999996E-2</v>
      </c>
      <c r="V1606" s="145">
        <v>7.2385999999999999</v>
      </c>
      <c r="W1606" s="145" t="s">
        <v>400</v>
      </c>
      <c r="X1606" s="145" t="s">
        <v>400</v>
      </c>
      <c r="Y1606" s="145">
        <v>5.6399999999999992E-2</v>
      </c>
      <c r="Z1606" s="145" t="s">
        <v>400</v>
      </c>
      <c r="AA1606" s="145" t="s">
        <v>400</v>
      </c>
      <c r="AB1606" s="145" t="s">
        <v>400</v>
      </c>
      <c r="AC1606" s="145" t="s">
        <v>400</v>
      </c>
      <c r="AD1606" s="145" t="s">
        <v>400</v>
      </c>
      <c r="AE1606" s="145" t="s">
        <v>400</v>
      </c>
      <c r="AF1606" s="145" t="s">
        <v>400</v>
      </c>
      <c r="AG1606" s="145">
        <v>0.48846000000000001</v>
      </c>
      <c r="AH1606" s="145">
        <v>3.1800000000000002E-2</v>
      </c>
      <c r="AI1606" s="145" t="s">
        <v>400</v>
      </c>
      <c r="AJ1606" s="145">
        <v>2.7365400000000002</v>
      </c>
      <c r="AK1606" s="145" t="s">
        <v>400</v>
      </c>
      <c r="AL1606" s="145" t="s">
        <v>400</v>
      </c>
      <c r="AM1606" s="145" t="s">
        <v>400</v>
      </c>
    </row>
    <row r="1607" spans="1:39">
      <c r="A1607" s="143" t="s">
        <v>2667</v>
      </c>
      <c r="B1607" s="144">
        <v>100</v>
      </c>
      <c r="C1607" s="145">
        <v>255.2</v>
      </c>
      <c r="D1607" s="145">
        <v>21.783999999999999</v>
      </c>
      <c r="E1607" s="145">
        <v>17.556000000000001</v>
      </c>
      <c r="F1607" s="145">
        <v>8.4060000000000006</v>
      </c>
      <c r="G1607" s="145">
        <v>6.6460000000000008</v>
      </c>
      <c r="H1607" s="145">
        <v>0.33400000000000007</v>
      </c>
      <c r="I1607" s="145">
        <v>0.20600000000000002</v>
      </c>
      <c r="J1607" s="145">
        <v>6.4000000000000001E-2</v>
      </c>
      <c r="K1607" s="145">
        <v>80</v>
      </c>
      <c r="L1607" s="145">
        <v>1.0760000000000001</v>
      </c>
      <c r="M1607" s="145">
        <v>0.3</v>
      </c>
      <c r="N1607" s="145">
        <v>13</v>
      </c>
      <c r="O1607" s="145">
        <v>12.8</v>
      </c>
      <c r="P1607" s="145">
        <v>3.8000000000000006E-2</v>
      </c>
      <c r="Q1607" s="145">
        <v>70.8</v>
      </c>
      <c r="R1607" s="145">
        <v>1.724</v>
      </c>
      <c r="S1607" s="145">
        <v>1659.2</v>
      </c>
      <c r="T1607" s="145">
        <v>135</v>
      </c>
      <c r="U1607" s="145">
        <v>4.8000000000000001E-2</v>
      </c>
      <c r="V1607" s="145">
        <v>6.2</v>
      </c>
      <c r="W1607" s="145" t="s">
        <v>400</v>
      </c>
      <c r="X1607" s="145">
        <v>4.0000000000000001E-3</v>
      </c>
      <c r="Y1607" s="145">
        <v>6.2E-2</v>
      </c>
      <c r="Z1607" s="145">
        <v>0.02</v>
      </c>
      <c r="AA1607" s="145">
        <v>0.19600000000000001</v>
      </c>
      <c r="AB1607" s="145">
        <v>1.4</v>
      </c>
      <c r="AC1607" s="145">
        <v>0.22799999999999998</v>
      </c>
      <c r="AD1607" s="145" t="s">
        <v>400</v>
      </c>
      <c r="AE1607" s="145">
        <v>2.2000000000000002</v>
      </c>
      <c r="AF1607" s="145" t="s">
        <v>400</v>
      </c>
      <c r="AG1607" s="145">
        <v>0.28399999999999997</v>
      </c>
      <c r="AH1607" s="145" t="s">
        <v>400</v>
      </c>
      <c r="AI1607" s="145" t="s">
        <v>400</v>
      </c>
      <c r="AJ1607" s="145">
        <v>0.04</v>
      </c>
      <c r="AK1607" s="145">
        <v>3.4840000000000004</v>
      </c>
      <c r="AL1607" s="145">
        <v>0.85</v>
      </c>
      <c r="AM1607" s="145" t="s">
        <v>400</v>
      </c>
    </row>
    <row r="1608" spans="1:39">
      <c r="A1608" s="143" t="s">
        <v>2668</v>
      </c>
      <c r="B1608" s="144">
        <v>100</v>
      </c>
      <c r="C1608" s="145">
        <v>347.00403999999997</v>
      </c>
      <c r="D1608" s="145">
        <v>25.285999999999998</v>
      </c>
      <c r="E1608" s="145">
        <v>26.557019999999998</v>
      </c>
      <c r="F1608" s="145">
        <v>10.80444</v>
      </c>
      <c r="G1608" s="145">
        <v>9.1623800000000006</v>
      </c>
      <c r="H1608" s="145">
        <v>3.8236599999999998</v>
      </c>
      <c r="I1608" s="145">
        <v>3.26796</v>
      </c>
      <c r="J1608" s="145">
        <v>0.48055999999999999</v>
      </c>
      <c r="K1608" s="145">
        <v>94</v>
      </c>
      <c r="L1608" s="145" t="s">
        <v>400</v>
      </c>
      <c r="M1608" s="145" t="s">
        <v>400</v>
      </c>
      <c r="N1608" s="145">
        <v>12.22</v>
      </c>
      <c r="O1608" s="145">
        <v>11.28</v>
      </c>
      <c r="P1608" s="145">
        <v>1.8800000000000001E-2</v>
      </c>
      <c r="Q1608" s="145">
        <v>77.08</v>
      </c>
      <c r="R1608" s="145">
        <v>1.7889999999999997</v>
      </c>
      <c r="S1608" s="145">
        <v>1826.42</v>
      </c>
      <c r="T1608" s="145">
        <v>80.84</v>
      </c>
      <c r="U1608" s="145">
        <v>2.8199999999999996E-2</v>
      </c>
      <c r="V1608" s="145">
        <v>7.2385999999999999</v>
      </c>
      <c r="W1608" s="145" t="s">
        <v>400</v>
      </c>
      <c r="X1608" s="145" t="s">
        <v>400</v>
      </c>
      <c r="Y1608" s="145">
        <v>5.6399999999999992E-2</v>
      </c>
      <c r="Z1608" s="145" t="s">
        <v>400</v>
      </c>
      <c r="AA1608" s="145" t="s">
        <v>400</v>
      </c>
      <c r="AB1608" s="145" t="s">
        <v>400</v>
      </c>
      <c r="AC1608" s="145" t="s">
        <v>400</v>
      </c>
      <c r="AD1608" s="145" t="s">
        <v>400</v>
      </c>
      <c r="AE1608" s="145" t="s">
        <v>400</v>
      </c>
      <c r="AF1608" s="145" t="s">
        <v>400</v>
      </c>
      <c r="AG1608" s="145">
        <v>0.48846000000000001</v>
      </c>
      <c r="AH1608" s="145">
        <v>3.1800000000000002E-2</v>
      </c>
      <c r="AI1608" s="145" t="s">
        <v>400</v>
      </c>
      <c r="AJ1608" s="145">
        <v>2.7365400000000002</v>
      </c>
      <c r="AK1608" s="145" t="s">
        <v>400</v>
      </c>
      <c r="AL1608" s="145" t="s">
        <v>400</v>
      </c>
      <c r="AM1608" s="145" t="s">
        <v>400</v>
      </c>
    </row>
    <row r="1609" spans="1:39">
      <c r="A1609" s="143" t="s">
        <v>2669</v>
      </c>
      <c r="B1609" s="144">
        <v>100</v>
      </c>
      <c r="C1609" s="145">
        <v>313</v>
      </c>
      <c r="D1609" s="145">
        <v>26.9</v>
      </c>
      <c r="E1609" s="145">
        <v>21.9</v>
      </c>
      <c r="F1609" s="145">
        <v>10.5</v>
      </c>
      <c r="G1609" s="145">
        <v>8.3000000000000007</v>
      </c>
      <c r="H1609" s="145">
        <v>0.4</v>
      </c>
      <c r="I1609" s="145">
        <v>0.24</v>
      </c>
      <c r="J1609" s="145">
        <v>0.08</v>
      </c>
      <c r="K1609" s="145">
        <v>100</v>
      </c>
      <c r="L1609" s="145" t="s">
        <v>400</v>
      </c>
      <c r="M1609" s="145" t="s">
        <v>400</v>
      </c>
      <c r="N1609" s="145">
        <v>13</v>
      </c>
      <c r="O1609" s="145">
        <v>12</v>
      </c>
      <c r="P1609" s="145">
        <v>0.02</v>
      </c>
      <c r="Q1609" s="145">
        <v>82</v>
      </c>
      <c r="R1609" s="145">
        <v>1.9</v>
      </c>
      <c r="S1609" s="145">
        <v>1943</v>
      </c>
      <c r="T1609" s="145">
        <v>86</v>
      </c>
      <c r="U1609" s="145">
        <v>0.03</v>
      </c>
      <c r="V1609" s="145">
        <v>7.7</v>
      </c>
      <c r="W1609" s="145" t="s">
        <v>400</v>
      </c>
      <c r="X1609" s="145" t="s">
        <v>400</v>
      </c>
      <c r="Y1609" s="145">
        <v>0.06</v>
      </c>
      <c r="Z1609" s="145" t="s">
        <v>400</v>
      </c>
      <c r="AA1609" s="145" t="s">
        <v>400</v>
      </c>
      <c r="AB1609" s="145" t="s">
        <v>400</v>
      </c>
      <c r="AC1609" s="145" t="s">
        <v>400</v>
      </c>
      <c r="AD1609" s="145" t="s">
        <v>400</v>
      </c>
      <c r="AE1609" s="145" t="s">
        <v>400</v>
      </c>
      <c r="AF1609" s="145" t="s">
        <v>400</v>
      </c>
      <c r="AG1609" s="145" t="s">
        <v>400</v>
      </c>
      <c r="AH1609" s="145">
        <v>0.93</v>
      </c>
      <c r="AI1609" s="145" t="s">
        <v>400</v>
      </c>
      <c r="AJ1609" s="145" t="s">
        <v>400</v>
      </c>
      <c r="AK1609" s="145" t="s">
        <v>400</v>
      </c>
      <c r="AL1609" s="145" t="s">
        <v>400</v>
      </c>
      <c r="AM1609" s="145" t="s">
        <v>400</v>
      </c>
    </row>
    <row r="1610" spans="1:39">
      <c r="A1610" s="143" t="s">
        <v>2670</v>
      </c>
      <c r="B1610" s="144">
        <v>100</v>
      </c>
      <c r="C1610" s="145">
        <v>347.00403999999997</v>
      </c>
      <c r="D1610" s="145">
        <v>25.285999999999998</v>
      </c>
      <c r="E1610" s="145">
        <v>26.557019999999998</v>
      </c>
      <c r="F1610" s="145">
        <v>10.80444</v>
      </c>
      <c r="G1610" s="145">
        <v>9.1623800000000006</v>
      </c>
      <c r="H1610" s="145">
        <v>3.8236599999999998</v>
      </c>
      <c r="I1610" s="145">
        <v>3.26796</v>
      </c>
      <c r="J1610" s="145">
        <v>0.48055999999999999</v>
      </c>
      <c r="K1610" s="145">
        <v>94</v>
      </c>
      <c r="L1610" s="145" t="s">
        <v>400</v>
      </c>
      <c r="M1610" s="145" t="s">
        <v>400</v>
      </c>
      <c r="N1610" s="145">
        <v>12.22</v>
      </c>
      <c r="O1610" s="145">
        <v>11.28</v>
      </c>
      <c r="P1610" s="145">
        <v>1.8800000000000001E-2</v>
      </c>
      <c r="Q1610" s="145">
        <v>77.08</v>
      </c>
      <c r="R1610" s="145">
        <v>1.7889999999999997</v>
      </c>
      <c r="S1610" s="145">
        <v>1826.42</v>
      </c>
      <c r="T1610" s="145">
        <v>80.84</v>
      </c>
      <c r="U1610" s="145">
        <v>2.8199999999999996E-2</v>
      </c>
      <c r="V1610" s="145">
        <v>7.2385999999999999</v>
      </c>
      <c r="W1610" s="145" t="s">
        <v>400</v>
      </c>
      <c r="X1610" s="145" t="s">
        <v>400</v>
      </c>
      <c r="Y1610" s="145">
        <v>5.6399999999999992E-2</v>
      </c>
      <c r="Z1610" s="145" t="s">
        <v>400</v>
      </c>
      <c r="AA1610" s="145" t="s">
        <v>400</v>
      </c>
      <c r="AB1610" s="145" t="s">
        <v>400</v>
      </c>
      <c r="AC1610" s="145" t="s">
        <v>400</v>
      </c>
      <c r="AD1610" s="145" t="s">
        <v>400</v>
      </c>
      <c r="AE1610" s="145" t="s">
        <v>400</v>
      </c>
      <c r="AF1610" s="145" t="s">
        <v>400</v>
      </c>
      <c r="AG1610" s="145">
        <v>0.48846000000000001</v>
      </c>
      <c r="AH1610" s="145">
        <v>3.1800000000000002E-2</v>
      </c>
      <c r="AI1610" s="145" t="s">
        <v>400</v>
      </c>
      <c r="AJ1610" s="145">
        <v>2.7365400000000002</v>
      </c>
      <c r="AK1610" s="145" t="s">
        <v>400</v>
      </c>
      <c r="AL1610" s="145" t="s">
        <v>400</v>
      </c>
      <c r="AM1610" s="145" t="s">
        <v>400</v>
      </c>
    </row>
    <row r="1611" spans="1:39">
      <c r="A1611" s="143" t="s">
        <v>2671</v>
      </c>
      <c r="B1611" s="144">
        <v>100</v>
      </c>
      <c r="C1611" s="145">
        <v>347.00403999999997</v>
      </c>
      <c r="D1611" s="145">
        <v>25.285999999999998</v>
      </c>
      <c r="E1611" s="145">
        <v>26.557019999999998</v>
      </c>
      <c r="F1611" s="145">
        <v>10.80444</v>
      </c>
      <c r="G1611" s="145">
        <v>9.1623800000000006</v>
      </c>
      <c r="H1611" s="145">
        <v>3.8236599999999998</v>
      </c>
      <c r="I1611" s="145">
        <v>3.26796</v>
      </c>
      <c r="J1611" s="145">
        <v>0.48055999999999999</v>
      </c>
      <c r="K1611" s="145">
        <v>94</v>
      </c>
      <c r="L1611" s="145" t="s">
        <v>400</v>
      </c>
      <c r="M1611" s="145" t="s">
        <v>400</v>
      </c>
      <c r="N1611" s="145">
        <v>12.22</v>
      </c>
      <c r="O1611" s="145">
        <v>11.28</v>
      </c>
      <c r="P1611" s="145">
        <v>1.8800000000000001E-2</v>
      </c>
      <c r="Q1611" s="145">
        <v>77.08</v>
      </c>
      <c r="R1611" s="145">
        <v>1.7889999999999997</v>
      </c>
      <c r="S1611" s="145">
        <v>1826.42</v>
      </c>
      <c r="T1611" s="145">
        <v>80.84</v>
      </c>
      <c r="U1611" s="145">
        <v>2.8199999999999996E-2</v>
      </c>
      <c r="V1611" s="145">
        <v>7.2385999999999999</v>
      </c>
      <c r="W1611" s="145" t="s">
        <v>400</v>
      </c>
      <c r="X1611" s="145" t="s">
        <v>400</v>
      </c>
      <c r="Y1611" s="145">
        <v>5.6399999999999992E-2</v>
      </c>
      <c r="Z1611" s="145" t="s">
        <v>400</v>
      </c>
      <c r="AA1611" s="145" t="s">
        <v>400</v>
      </c>
      <c r="AB1611" s="145" t="s">
        <v>400</v>
      </c>
      <c r="AC1611" s="145" t="s">
        <v>400</v>
      </c>
      <c r="AD1611" s="145" t="s">
        <v>400</v>
      </c>
      <c r="AE1611" s="145" t="s">
        <v>400</v>
      </c>
      <c r="AF1611" s="145" t="s">
        <v>400</v>
      </c>
      <c r="AG1611" s="145">
        <v>0.48846000000000001</v>
      </c>
      <c r="AH1611" s="145">
        <v>3.1800000000000002E-2</v>
      </c>
      <c r="AI1611" s="145" t="s">
        <v>400</v>
      </c>
      <c r="AJ1611" s="145">
        <v>2.7365400000000002</v>
      </c>
      <c r="AK1611" s="145" t="s">
        <v>400</v>
      </c>
      <c r="AL1611" s="145" t="s">
        <v>400</v>
      </c>
      <c r="AM1611" s="145" t="s">
        <v>400</v>
      </c>
    </row>
    <row r="1612" spans="1:39">
      <c r="A1612" s="143" t="s">
        <v>2672</v>
      </c>
      <c r="B1612" s="144">
        <v>100</v>
      </c>
      <c r="C1612" s="145">
        <v>313</v>
      </c>
      <c r="D1612" s="145">
        <v>26.9</v>
      </c>
      <c r="E1612" s="145">
        <v>21.9</v>
      </c>
      <c r="F1612" s="145">
        <v>10.5</v>
      </c>
      <c r="G1612" s="145">
        <v>8.3000000000000007</v>
      </c>
      <c r="H1612" s="145">
        <v>0.4</v>
      </c>
      <c r="I1612" s="145">
        <v>0.24</v>
      </c>
      <c r="J1612" s="145">
        <v>0.08</v>
      </c>
      <c r="K1612" s="145">
        <v>100</v>
      </c>
      <c r="L1612" s="145" t="s">
        <v>400</v>
      </c>
      <c r="M1612" s="145" t="s">
        <v>400</v>
      </c>
      <c r="N1612" s="145">
        <v>13</v>
      </c>
      <c r="O1612" s="145">
        <v>12</v>
      </c>
      <c r="P1612" s="145">
        <v>0.02</v>
      </c>
      <c r="Q1612" s="145">
        <v>82</v>
      </c>
      <c r="R1612" s="145">
        <v>1.9</v>
      </c>
      <c r="S1612" s="145">
        <v>1943</v>
      </c>
      <c r="T1612" s="145">
        <v>86</v>
      </c>
      <c r="U1612" s="145">
        <v>0.03</v>
      </c>
      <c r="V1612" s="145">
        <v>7.7</v>
      </c>
      <c r="W1612" s="145" t="s">
        <v>400</v>
      </c>
      <c r="X1612" s="145" t="s">
        <v>400</v>
      </c>
      <c r="Y1612" s="145">
        <v>0.06</v>
      </c>
      <c r="Z1612" s="145" t="s">
        <v>400</v>
      </c>
      <c r="AA1612" s="145" t="s">
        <v>400</v>
      </c>
      <c r="AB1612" s="145" t="s">
        <v>400</v>
      </c>
      <c r="AC1612" s="145" t="s">
        <v>400</v>
      </c>
      <c r="AD1612" s="145" t="s">
        <v>400</v>
      </c>
      <c r="AE1612" s="145" t="s">
        <v>400</v>
      </c>
      <c r="AF1612" s="145" t="s">
        <v>400</v>
      </c>
      <c r="AG1612" s="145" t="s">
        <v>400</v>
      </c>
      <c r="AH1612" s="145">
        <v>0.93</v>
      </c>
      <c r="AI1612" s="145" t="s">
        <v>400</v>
      </c>
      <c r="AJ1612" s="145" t="s">
        <v>400</v>
      </c>
      <c r="AK1612" s="145" t="s">
        <v>400</v>
      </c>
      <c r="AL1612" s="145" t="s">
        <v>400</v>
      </c>
      <c r="AM1612" s="145" t="s">
        <v>400</v>
      </c>
    </row>
    <row r="1613" spans="1:39">
      <c r="A1613" s="143" t="s">
        <v>2673</v>
      </c>
      <c r="B1613" s="144">
        <v>100</v>
      </c>
      <c r="C1613" s="145">
        <v>313</v>
      </c>
      <c r="D1613" s="145">
        <v>26.9</v>
      </c>
      <c r="E1613" s="145">
        <v>21.9</v>
      </c>
      <c r="F1613" s="145">
        <v>10.5</v>
      </c>
      <c r="G1613" s="145">
        <v>8.3000000000000007</v>
      </c>
      <c r="H1613" s="145">
        <v>0.4</v>
      </c>
      <c r="I1613" s="145">
        <v>0.24</v>
      </c>
      <c r="J1613" s="145">
        <v>0.08</v>
      </c>
      <c r="K1613" s="145">
        <v>100</v>
      </c>
      <c r="L1613" s="145" t="s">
        <v>400</v>
      </c>
      <c r="M1613" s="145" t="s">
        <v>400</v>
      </c>
      <c r="N1613" s="145">
        <v>13</v>
      </c>
      <c r="O1613" s="145">
        <v>12</v>
      </c>
      <c r="P1613" s="145">
        <v>0.02</v>
      </c>
      <c r="Q1613" s="145">
        <v>82</v>
      </c>
      <c r="R1613" s="145">
        <v>1.9</v>
      </c>
      <c r="S1613" s="145">
        <v>1943</v>
      </c>
      <c r="T1613" s="145">
        <v>86</v>
      </c>
      <c r="U1613" s="145">
        <v>0.03</v>
      </c>
      <c r="V1613" s="145">
        <v>7.7</v>
      </c>
      <c r="W1613" s="145" t="s">
        <v>400</v>
      </c>
      <c r="X1613" s="145" t="s">
        <v>400</v>
      </c>
      <c r="Y1613" s="145">
        <v>0.06</v>
      </c>
      <c r="Z1613" s="145" t="s">
        <v>400</v>
      </c>
      <c r="AA1613" s="145" t="s">
        <v>400</v>
      </c>
      <c r="AB1613" s="145" t="s">
        <v>400</v>
      </c>
      <c r="AC1613" s="145" t="s">
        <v>400</v>
      </c>
      <c r="AD1613" s="145" t="s">
        <v>400</v>
      </c>
      <c r="AE1613" s="145" t="s">
        <v>400</v>
      </c>
      <c r="AF1613" s="145" t="s">
        <v>400</v>
      </c>
      <c r="AG1613" s="145" t="s">
        <v>400</v>
      </c>
      <c r="AH1613" s="145">
        <v>0.93</v>
      </c>
      <c r="AI1613" s="145" t="s">
        <v>400</v>
      </c>
      <c r="AJ1613" s="145" t="s">
        <v>400</v>
      </c>
      <c r="AK1613" s="145" t="s">
        <v>400</v>
      </c>
      <c r="AL1613" s="145" t="s">
        <v>400</v>
      </c>
      <c r="AM1613" s="145" t="s">
        <v>400</v>
      </c>
    </row>
    <row r="1614" spans="1:39">
      <c r="A1614" s="143" t="s">
        <v>2674</v>
      </c>
      <c r="B1614" s="144">
        <v>100</v>
      </c>
      <c r="C1614" s="145">
        <v>313</v>
      </c>
      <c r="D1614" s="145">
        <v>26.9</v>
      </c>
      <c r="E1614" s="145">
        <v>21.9</v>
      </c>
      <c r="F1614" s="145">
        <v>10.5</v>
      </c>
      <c r="G1614" s="145">
        <v>8.3000000000000007</v>
      </c>
      <c r="H1614" s="145">
        <v>0.4</v>
      </c>
      <c r="I1614" s="145">
        <v>0.24</v>
      </c>
      <c r="J1614" s="145">
        <v>0.08</v>
      </c>
      <c r="K1614" s="145">
        <v>100</v>
      </c>
      <c r="L1614" s="145" t="s">
        <v>400</v>
      </c>
      <c r="M1614" s="145" t="s">
        <v>400</v>
      </c>
      <c r="N1614" s="145">
        <v>13</v>
      </c>
      <c r="O1614" s="145">
        <v>12</v>
      </c>
      <c r="P1614" s="145">
        <v>0.02</v>
      </c>
      <c r="Q1614" s="145">
        <v>82</v>
      </c>
      <c r="R1614" s="145">
        <v>1.9</v>
      </c>
      <c r="S1614" s="145">
        <v>1943</v>
      </c>
      <c r="T1614" s="145">
        <v>86</v>
      </c>
      <c r="U1614" s="145">
        <v>0.03</v>
      </c>
      <c r="V1614" s="145">
        <v>7.7</v>
      </c>
      <c r="W1614" s="145" t="s">
        <v>400</v>
      </c>
      <c r="X1614" s="145" t="s">
        <v>400</v>
      </c>
      <c r="Y1614" s="145">
        <v>0.06</v>
      </c>
      <c r="Z1614" s="145" t="s">
        <v>400</v>
      </c>
      <c r="AA1614" s="145" t="s">
        <v>400</v>
      </c>
      <c r="AB1614" s="145" t="s">
        <v>400</v>
      </c>
      <c r="AC1614" s="145" t="s">
        <v>400</v>
      </c>
      <c r="AD1614" s="145" t="s">
        <v>400</v>
      </c>
      <c r="AE1614" s="145" t="s">
        <v>400</v>
      </c>
      <c r="AF1614" s="145" t="s">
        <v>400</v>
      </c>
      <c r="AG1614" s="145" t="s">
        <v>400</v>
      </c>
      <c r="AH1614" s="145">
        <v>0.93</v>
      </c>
      <c r="AI1614" s="145" t="s">
        <v>400</v>
      </c>
      <c r="AJ1614" s="145" t="s">
        <v>400</v>
      </c>
      <c r="AK1614" s="145" t="s">
        <v>400</v>
      </c>
      <c r="AL1614" s="145" t="s">
        <v>400</v>
      </c>
      <c r="AM1614" s="145" t="s">
        <v>400</v>
      </c>
    </row>
    <row r="1615" spans="1:39">
      <c r="A1615" s="143" t="s">
        <v>2675</v>
      </c>
      <c r="B1615" s="144">
        <v>100</v>
      </c>
      <c r="C1615" s="145">
        <v>313</v>
      </c>
      <c r="D1615" s="145">
        <v>26.9</v>
      </c>
      <c r="E1615" s="145">
        <v>21.9</v>
      </c>
      <c r="F1615" s="145">
        <v>10.5</v>
      </c>
      <c r="G1615" s="145">
        <v>8.3000000000000007</v>
      </c>
      <c r="H1615" s="145">
        <v>0.4</v>
      </c>
      <c r="I1615" s="145">
        <v>0.24</v>
      </c>
      <c r="J1615" s="145">
        <v>0.08</v>
      </c>
      <c r="K1615" s="145">
        <v>100</v>
      </c>
      <c r="L1615" s="145" t="s">
        <v>400</v>
      </c>
      <c r="M1615" s="145" t="s">
        <v>400</v>
      </c>
      <c r="N1615" s="145">
        <v>13</v>
      </c>
      <c r="O1615" s="145">
        <v>12</v>
      </c>
      <c r="P1615" s="145">
        <v>0.02</v>
      </c>
      <c r="Q1615" s="145">
        <v>82</v>
      </c>
      <c r="R1615" s="145">
        <v>1.9</v>
      </c>
      <c r="S1615" s="145">
        <v>1943</v>
      </c>
      <c r="T1615" s="145">
        <v>86</v>
      </c>
      <c r="U1615" s="145">
        <v>0.03</v>
      </c>
      <c r="V1615" s="145">
        <v>7.7</v>
      </c>
      <c r="W1615" s="145" t="s">
        <v>400</v>
      </c>
      <c r="X1615" s="145" t="s">
        <v>400</v>
      </c>
      <c r="Y1615" s="145">
        <v>0.06</v>
      </c>
      <c r="Z1615" s="145" t="s">
        <v>400</v>
      </c>
      <c r="AA1615" s="145" t="s">
        <v>400</v>
      </c>
      <c r="AB1615" s="145" t="s">
        <v>400</v>
      </c>
      <c r="AC1615" s="145" t="s">
        <v>400</v>
      </c>
      <c r="AD1615" s="145" t="s">
        <v>400</v>
      </c>
      <c r="AE1615" s="145" t="s">
        <v>400</v>
      </c>
      <c r="AF1615" s="145" t="s">
        <v>400</v>
      </c>
      <c r="AG1615" s="145" t="s">
        <v>400</v>
      </c>
      <c r="AH1615" s="145">
        <v>0.93</v>
      </c>
      <c r="AI1615" s="145" t="s">
        <v>400</v>
      </c>
      <c r="AJ1615" s="145" t="s">
        <v>400</v>
      </c>
      <c r="AK1615" s="145" t="s">
        <v>400</v>
      </c>
      <c r="AL1615" s="145" t="s">
        <v>400</v>
      </c>
      <c r="AM1615" s="145" t="s">
        <v>400</v>
      </c>
    </row>
    <row r="1616" spans="1:39">
      <c r="A1616" s="143" t="s">
        <v>2676</v>
      </c>
      <c r="B1616" s="144">
        <v>100</v>
      </c>
      <c r="C1616" s="145">
        <v>313</v>
      </c>
      <c r="D1616" s="145">
        <v>26.9</v>
      </c>
      <c r="E1616" s="145">
        <v>21.9</v>
      </c>
      <c r="F1616" s="145">
        <v>10.5</v>
      </c>
      <c r="G1616" s="145">
        <v>8.3000000000000007</v>
      </c>
      <c r="H1616" s="145">
        <v>0.4</v>
      </c>
      <c r="I1616" s="145">
        <v>0.24</v>
      </c>
      <c r="J1616" s="145">
        <v>0.08</v>
      </c>
      <c r="K1616" s="145">
        <v>100</v>
      </c>
      <c r="L1616" s="145" t="s">
        <v>400</v>
      </c>
      <c r="M1616" s="145" t="s">
        <v>400</v>
      </c>
      <c r="N1616" s="145">
        <v>13</v>
      </c>
      <c r="O1616" s="145">
        <v>12</v>
      </c>
      <c r="P1616" s="145">
        <v>0.02</v>
      </c>
      <c r="Q1616" s="145">
        <v>82</v>
      </c>
      <c r="R1616" s="145">
        <v>1.9</v>
      </c>
      <c r="S1616" s="145">
        <v>1943</v>
      </c>
      <c r="T1616" s="145">
        <v>86</v>
      </c>
      <c r="U1616" s="145">
        <v>0.03</v>
      </c>
      <c r="V1616" s="145">
        <v>7.7</v>
      </c>
      <c r="W1616" s="145" t="s">
        <v>400</v>
      </c>
      <c r="X1616" s="145" t="s">
        <v>400</v>
      </c>
      <c r="Y1616" s="145">
        <v>0.06</v>
      </c>
      <c r="Z1616" s="145" t="s">
        <v>400</v>
      </c>
      <c r="AA1616" s="145" t="s">
        <v>400</v>
      </c>
      <c r="AB1616" s="145" t="s">
        <v>400</v>
      </c>
      <c r="AC1616" s="145" t="s">
        <v>400</v>
      </c>
      <c r="AD1616" s="145" t="s">
        <v>400</v>
      </c>
      <c r="AE1616" s="145" t="s">
        <v>400</v>
      </c>
      <c r="AF1616" s="145" t="s">
        <v>400</v>
      </c>
      <c r="AG1616" s="145" t="s">
        <v>400</v>
      </c>
      <c r="AH1616" s="145">
        <v>0.93</v>
      </c>
      <c r="AI1616" s="145" t="s">
        <v>400</v>
      </c>
      <c r="AJ1616" s="145" t="s">
        <v>400</v>
      </c>
      <c r="AK1616" s="145" t="s">
        <v>400</v>
      </c>
      <c r="AL1616" s="145" t="s">
        <v>400</v>
      </c>
      <c r="AM1616" s="145" t="s">
        <v>400</v>
      </c>
    </row>
    <row r="1617" spans="1:39">
      <c r="A1617" s="143" t="s">
        <v>2677</v>
      </c>
      <c r="B1617" s="144">
        <v>100</v>
      </c>
      <c r="C1617" s="145">
        <v>347.00403999999997</v>
      </c>
      <c r="D1617" s="145">
        <v>25.285999999999998</v>
      </c>
      <c r="E1617" s="145">
        <v>26.557019999999998</v>
      </c>
      <c r="F1617" s="145">
        <v>10.80444</v>
      </c>
      <c r="G1617" s="145">
        <v>9.1623800000000006</v>
      </c>
      <c r="H1617" s="145">
        <v>3.8236599999999998</v>
      </c>
      <c r="I1617" s="145">
        <v>3.26796</v>
      </c>
      <c r="J1617" s="145">
        <v>0.48055999999999999</v>
      </c>
      <c r="K1617" s="145">
        <v>94</v>
      </c>
      <c r="L1617" s="145" t="s">
        <v>400</v>
      </c>
      <c r="M1617" s="145" t="s">
        <v>400</v>
      </c>
      <c r="N1617" s="145">
        <v>12.22</v>
      </c>
      <c r="O1617" s="145">
        <v>11.28</v>
      </c>
      <c r="P1617" s="145">
        <v>1.8800000000000001E-2</v>
      </c>
      <c r="Q1617" s="145">
        <v>77.08</v>
      </c>
      <c r="R1617" s="145">
        <v>1.7889999999999997</v>
      </c>
      <c r="S1617" s="145">
        <v>1826.42</v>
      </c>
      <c r="T1617" s="145">
        <v>80.84</v>
      </c>
      <c r="U1617" s="145">
        <v>2.8199999999999996E-2</v>
      </c>
      <c r="V1617" s="145">
        <v>7.2385999999999999</v>
      </c>
      <c r="W1617" s="145" t="s">
        <v>400</v>
      </c>
      <c r="X1617" s="145" t="s">
        <v>400</v>
      </c>
      <c r="Y1617" s="145">
        <v>5.6399999999999992E-2</v>
      </c>
      <c r="Z1617" s="145" t="s">
        <v>400</v>
      </c>
      <c r="AA1617" s="145" t="s">
        <v>400</v>
      </c>
      <c r="AB1617" s="145" t="s">
        <v>400</v>
      </c>
      <c r="AC1617" s="145" t="s">
        <v>400</v>
      </c>
      <c r="AD1617" s="145" t="s">
        <v>400</v>
      </c>
      <c r="AE1617" s="145" t="s">
        <v>400</v>
      </c>
      <c r="AF1617" s="145" t="s">
        <v>400</v>
      </c>
      <c r="AG1617" s="145">
        <v>0.48846000000000001</v>
      </c>
      <c r="AH1617" s="145">
        <v>3.1800000000000002E-2</v>
      </c>
      <c r="AI1617" s="145" t="s">
        <v>400</v>
      </c>
      <c r="AJ1617" s="145">
        <v>2.7365400000000002</v>
      </c>
      <c r="AK1617" s="145" t="s">
        <v>400</v>
      </c>
      <c r="AL1617" s="145" t="s">
        <v>400</v>
      </c>
      <c r="AM1617" s="145" t="s">
        <v>400</v>
      </c>
    </row>
    <row r="1618" spans="1:39">
      <c r="A1618" s="143" t="s">
        <v>2678</v>
      </c>
      <c r="B1618" s="144">
        <v>100</v>
      </c>
      <c r="C1618" s="145">
        <v>347.00403999999997</v>
      </c>
      <c r="D1618" s="145">
        <v>25.285999999999998</v>
      </c>
      <c r="E1618" s="145">
        <v>26.557019999999998</v>
      </c>
      <c r="F1618" s="145">
        <v>10.80444</v>
      </c>
      <c r="G1618" s="145">
        <v>9.1623800000000006</v>
      </c>
      <c r="H1618" s="145">
        <v>3.8236599999999998</v>
      </c>
      <c r="I1618" s="145">
        <v>3.26796</v>
      </c>
      <c r="J1618" s="145">
        <v>0.48055999999999999</v>
      </c>
      <c r="K1618" s="145">
        <v>94</v>
      </c>
      <c r="L1618" s="145" t="s">
        <v>400</v>
      </c>
      <c r="M1618" s="145" t="s">
        <v>400</v>
      </c>
      <c r="N1618" s="145">
        <v>12.22</v>
      </c>
      <c r="O1618" s="145">
        <v>11.28</v>
      </c>
      <c r="P1618" s="145">
        <v>1.8800000000000001E-2</v>
      </c>
      <c r="Q1618" s="145">
        <v>77.08</v>
      </c>
      <c r="R1618" s="145">
        <v>1.7889999999999997</v>
      </c>
      <c r="S1618" s="145">
        <v>1826.42</v>
      </c>
      <c r="T1618" s="145">
        <v>80.84</v>
      </c>
      <c r="U1618" s="145">
        <v>2.8199999999999996E-2</v>
      </c>
      <c r="V1618" s="145">
        <v>7.2385999999999999</v>
      </c>
      <c r="W1618" s="145" t="s">
        <v>400</v>
      </c>
      <c r="X1618" s="145" t="s">
        <v>400</v>
      </c>
      <c r="Y1618" s="145">
        <v>5.6399999999999992E-2</v>
      </c>
      <c r="Z1618" s="145" t="s">
        <v>400</v>
      </c>
      <c r="AA1618" s="145" t="s">
        <v>400</v>
      </c>
      <c r="AB1618" s="145" t="s">
        <v>400</v>
      </c>
      <c r="AC1618" s="145" t="s">
        <v>400</v>
      </c>
      <c r="AD1618" s="145" t="s">
        <v>400</v>
      </c>
      <c r="AE1618" s="145" t="s">
        <v>400</v>
      </c>
      <c r="AF1618" s="145" t="s">
        <v>400</v>
      </c>
      <c r="AG1618" s="145">
        <v>0.48846000000000001</v>
      </c>
      <c r="AH1618" s="145">
        <v>3.1800000000000002E-2</v>
      </c>
      <c r="AI1618" s="145" t="s">
        <v>400</v>
      </c>
      <c r="AJ1618" s="145">
        <v>2.7365400000000002</v>
      </c>
      <c r="AK1618" s="145" t="s">
        <v>400</v>
      </c>
      <c r="AL1618" s="145" t="s">
        <v>400</v>
      </c>
      <c r="AM1618" s="145" t="s">
        <v>400</v>
      </c>
    </row>
    <row r="1619" spans="1:39">
      <c r="A1619" s="143" t="s">
        <v>2679</v>
      </c>
      <c r="B1619" s="144">
        <v>100</v>
      </c>
      <c r="C1619" s="145">
        <v>313</v>
      </c>
      <c r="D1619" s="145">
        <v>26.9</v>
      </c>
      <c r="E1619" s="145">
        <v>21.9</v>
      </c>
      <c r="F1619" s="145">
        <v>10.5</v>
      </c>
      <c r="G1619" s="145">
        <v>8.3000000000000007</v>
      </c>
      <c r="H1619" s="145">
        <v>0.4</v>
      </c>
      <c r="I1619" s="145">
        <v>0.24</v>
      </c>
      <c r="J1619" s="145">
        <v>0.08</v>
      </c>
      <c r="K1619" s="145">
        <v>100</v>
      </c>
      <c r="L1619" s="145" t="s">
        <v>400</v>
      </c>
      <c r="M1619" s="145" t="s">
        <v>400</v>
      </c>
      <c r="N1619" s="145">
        <v>13</v>
      </c>
      <c r="O1619" s="145">
        <v>12</v>
      </c>
      <c r="P1619" s="145">
        <v>0.02</v>
      </c>
      <c r="Q1619" s="145">
        <v>82</v>
      </c>
      <c r="R1619" s="145">
        <v>1.9</v>
      </c>
      <c r="S1619" s="145">
        <v>1943</v>
      </c>
      <c r="T1619" s="145">
        <v>86</v>
      </c>
      <c r="U1619" s="145">
        <v>0.03</v>
      </c>
      <c r="V1619" s="145">
        <v>7.7</v>
      </c>
      <c r="W1619" s="145" t="s">
        <v>400</v>
      </c>
      <c r="X1619" s="145" t="s">
        <v>400</v>
      </c>
      <c r="Y1619" s="145">
        <v>0.06</v>
      </c>
      <c r="Z1619" s="145" t="s">
        <v>400</v>
      </c>
      <c r="AA1619" s="145" t="s">
        <v>400</v>
      </c>
      <c r="AB1619" s="145" t="s">
        <v>400</v>
      </c>
      <c r="AC1619" s="145" t="s">
        <v>400</v>
      </c>
      <c r="AD1619" s="145" t="s">
        <v>400</v>
      </c>
      <c r="AE1619" s="145" t="s">
        <v>400</v>
      </c>
      <c r="AF1619" s="145" t="s">
        <v>400</v>
      </c>
      <c r="AG1619" s="145" t="s">
        <v>400</v>
      </c>
      <c r="AH1619" s="145">
        <v>0.93</v>
      </c>
      <c r="AI1619" s="145" t="s">
        <v>400</v>
      </c>
      <c r="AJ1619" s="145" t="s">
        <v>400</v>
      </c>
      <c r="AK1619" s="145" t="s">
        <v>400</v>
      </c>
      <c r="AL1619" s="145" t="s">
        <v>400</v>
      </c>
      <c r="AM1619" s="145" t="s">
        <v>400</v>
      </c>
    </row>
    <row r="1620" spans="1:39">
      <c r="A1620" s="143" t="s">
        <v>2680</v>
      </c>
      <c r="B1620" s="144">
        <v>100</v>
      </c>
      <c r="C1620" s="145">
        <v>313</v>
      </c>
      <c r="D1620" s="145">
        <v>26.9</v>
      </c>
      <c r="E1620" s="145">
        <v>21.9</v>
      </c>
      <c r="F1620" s="145">
        <v>10.5</v>
      </c>
      <c r="G1620" s="145">
        <v>8.3000000000000007</v>
      </c>
      <c r="H1620" s="145">
        <v>0.4</v>
      </c>
      <c r="I1620" s="145">
        <v>0.24</v>
      </c>
      <c r="J1620" s="145">
        <v>0.08</v>
      </c>
      <c r="K1620" s="145">
        <v>100</v>
      </c>
      <c r="L1620" s="145" t="s">
        <v>400</v>
      </c>
      <c r="M1620" s="145" t="s">
        <v>400</v>
      </c>
      <c r="N1620" s="145">
        <v>13</v>
      </c>
      <c r="O1620" s="145">
        <v>12</v>
      </c>
      <c r="P1620" s="145">
        <v>0.02</v>
      </c>
      <c r="Q1620" s="145">
        <v>82</v>
      </c>
      <c r="R1620" s="145">
        <v>1.9</v>
      </c>
      <c r="S1620" s="145">
        <v>1943</v>
      </c>
      <c r="T1620" s="145">
        <v>86</v>
      </c>
      <c r="U1620" s="145">
        <v>0.03</v>
      </c>
      <c r="V1620" s="145">
        <v>7.7</v>
      </c>
      <c r="W1620" s="145" t="s">
        <v>400</v>
      </c>
      <c r="X1620" s="145" t="s">
        <v>400</v>
      </c>
      <c r="Y1620" s="145">
        <v>0.06</v>
      </c>
      <c r="Z1620" s="145" t="s">
        <v>400</v>
      </c>
      <c r="AA1620" s="145" t="s">
        <v>400</v>
      </c>
      <c r="AB1620" s="145" t="s">
        <v>400</v>
      </c>
      <c r="AC1620" s="145" t="s">
        <v>400</v>
      </c>
      <c r="AD1620" s="145" t="s">
        <v>400</v>
      </c>
      <c r="AE1620" s="145" t="s">
        <v>400</v>
      </c>
      <c r="AF1620" s="145" t="s">
        <v>400</v>
      </c>
      <c r="AG1620" s="145" t="s">
        <v>400</v>
      </c>
      <c r="AH1620" s="145">
        <v>0.93</v>
      </c>
      <c r="AI1620" s="145" t="s">
        <v>400</v>
      </c>
      <c r="AJ1620" s="145" t="s">
        <v>400</v>
      </c>
      <c r="AK1620" s="145" t="s">
        <v>400</v>
      </c>
      <c r="AL1620" s="145" t="s">
        <v>400</v>
      </c>
      <c r="AM1620" s="145" t="s">
        <v>400</v>
      </c>
    </row>
    <row r="1621" spans="1:39">
      <c r="A1621" s="143" t="s">
        <v>2681</v>
      </c>
      <c r="B1621" s="144">
        <v>100</v>
      </c>
      <c r="C1621" s="145">
        <v>347.00403999999997</v>
      </c>
      <c r="D1621" s="145">
        <v>25.285999999999998</v>
      </c>
      <c r="E1621" s="145">
        <v>26.557019999999998</v>
      </c>
      <c r="F1621" s="145">
        <v>10.80444</v>
      </c>
      <c r="G1621" s="145">
        <v>9.1623800000000006</v>
      </c>
      <c r="H1621" s="145">
        <v>3.8236599999999998</v>
      </c>
      <c r="I1621" s="145">
        <v>3.26796</v>
      </c>
      <c r="J1621" s="145">
        <v>0.48055999999999999</v>
      </c>
      <c r="K1621" s="145">
        <v>94</v>
      </c>
      <c r="L1621" s="145" t="s">
        <v>400</v>
      </c>
      <c r="M1621" s="145" t="s">
        <v>400</v>
      </c>
      <c r="N1621" s="145">
        <v>12.22</v>
      </c>
      <c r="O1621" s="145">
        <v>11.28</v>
      </c>
      <c r="P1621" s="145">
        <v>1.8800000000000001E-2</v>
      </c>
      <c r="Q1621" s="145">
        <v>77.08</v>
      </c>
      <c r="R1621" s="145">
        <v>1.7889999999999997</v>
      </c>
      <c r="S1621" s="145">
        <v>1826.42</v>
      </c>
      <c r="T1621" s="145">
        <v>80.84</v>
      </c>
      <c r="U1621" s="145">
        <v>2.8199999999999996E-2</v>
      </c>
      <c r="V1621" s="145">
        <v>7.2385999999999999</v>
      </c>
      <c r="W1621" s="145" t="s">
        <v>400</v>
      </c>
      <c r="X1621" s="145" t="s">
        <v>400</v>
      </c>
      <c r="Y1621" s="145">
        <v>5.6399999999999992E-2</v>
      </c>
      <c r="Z1621" s="145" t="s">
        <v>400</v>
      </c>
      <c r="AA1621" s="145" t="s">
        <v>400</v>
      </c>
      <c r="AB1621" s="145" t="s">
        <v>400</v>
      </c>
      <c r="AC1621" s="145" t="s">
        <v>400</v>
      </c>
      <c r="AD1621" s="145" t="s">
        <v>400</v>
      </c>
      <c r="AE1621" s="145" t="s">
        <v>400</v>
      </c>
      <c r="AF1621" s="145" t="s">
        <v>400</v>
      </c>
      <c r="AG1621" s="145">
        <v>0.48846000000000001</v>
      </c>
      <c r="AH1621" s="145">
        <v>3.1800000000000002E-2</v>
      </c>
      <c r="AI1621" s="145" t="s">
        <v>400</v>
      </c>
      <c r="AJ1621" s="145">
        <v>2.7365400000000002</v>
      </c>
      <c r="AK1621" s="145" t="s">
        <v>400</v>
      </c>
      <c r="AL1621" s="145" t="s">
        <v>400</v>
      </c>
      <c r="AM1621" s="145" t="s">
        <v>400</v>
      </c>
    </row>
    <row r="1622" spans="1:39">
      <c r="A1622" s="143" t="s">
        <v>2682</v>
      </c>
      <c r="B1622" s="144">
        <v>100</v>
      </c>
      <c r="C1622" s="145">
        <v>214</v>
      </c>
      <c r="D1622" s="145">
        <v>26.62</v>
      </c>
      <c r="E1622" s="145">
        <v>11.1</v>
      </c>
      <c r="F1622" s="145">
        <v>4.3789999999999996</v>
      </c>
      <c r="G1622" s="145">
        <v>4.6760000000000002</v>
      </c>
      <c r="H1622" s="145">
        <v>0.39800000000000002</v>
      </c>
      <c r="I1622" s="145">
        <v>0.29699999999999999</v>
      </c>
      <c r="J1622" s="145">
        <v>5.2999999999999999E-2</v>
      </c>
      <c r="K1622" s="145">
        <v>86</v>
      </c>
      <c r="L1622" s="145" t="s">
        <v>400</v>
      </c>
      <c r="M1622" s="145" t="s">
        <v>400</v>
      </c>
      <c r="N1622" s="145">
        <v>13</v>
      </c>
      <c r="O1622" s="145">
        <v>21</v>
      </c>
      <c r="P1622" s="145">
        <v>0.01</v>
      </c>
      <c r="Q1622" s="145">
        <v>193</v>
      </c>
      <c r="R1622" s="145">
        <v>2.89</v>
      </c>
      <c r="S1622" s="145">
        <v>61</v>
      </c>
      <c r="T1622" s="145">
        <v>300</v>
      </c>
      <c r="U1622" s="145">
        <v>7.8E-2</v>
      </c>
      <c r="V1622" s="145">
        <v>6.65</v>
      </c>
      <c r="W1622" s="145" t="s">
        <v>400</v>
      </c>
      <c r="X1622" s="145">
        <v>3.6999999999999998E-2</v>
      </c>
      <c r="Y1622" s="145">
        <v>0.17199999999999999</v>
      </c>
      <c r="Z1622" s="146">
        <v>0.34799999999999998</v>
      </c>
      <c r="AA1622" s="145">
        <v>5.2279999999999998</v>
      </c>
      <c r="AB1622" s="145" t="s">
        <v>400</v>
      </c>
      <c r="AC1622" s="145">
        <v>7.6950000000000003</v>
      </c>
      <c r="AD1622" s="145">
        <v>2.5</v>
      </c>
      <c r="AE1622" s="145">
        <v>6</v>
      </c>
      <c r="AF1622" s="145">
        <v>0.45</v>
      </c>
      <c r="AG1622" s="145">
        <v>0.41</v>
      </c>
      <c r="AH1622" s="145">
        <v>0.69199999999999995</v>
      </c>
      <c r="AI1622" s="145">
        <v>499</v>
      </c>
      <c r="AJ1622" s="145">
        <v>21.6</v>
      </c>
      <c r="AK1622" s="145" t="s">
        <v>400</v>
      </c>
      <c r="AL1622" s="145" t="s">
        <v>400</v>
      </c>
      <c r="AM1622" s="145" t="s">
        <v>400</v>
      </c>
    </row>
    <row r="1623" spans="1:39">
      <c r="A1623" s="143" t="s">
        <v>2683</v>
      </c>
      <c r="B1623" s="144">
        <v>100</v>
      </c>
      <c r="C1623" s="145">
        <v>214</v>
      </c>
      <c r="D1623" s="145">
        <v>26.62</v>
      </c>
      <c r="E1623" s="145">
        <v>11.1</v>
      </c>
      <c r="F1623" s="145">
        <v>4.3789999999999996</v>
      </c>
      <c r="G1623" s="145">
        <v>4.6760000000000002</v>
      </c>
      <c r="H1623" s="145">
        <v>0.39800000000000002</v>
      </c>
      <c r="I1623" s="145">
        <v>0.29699999999999999</v>
      </c>
      <c r="J1623" s="145">
        <v>5.2999999999999999E-2</v>
      </c>
      <c r="K1623" s="145">
        <v>86</v>
      </c>
      <c r="L1623" s="145" t="s">
        <v>400</v>
      </c>
      <c r="M1623" s="145" t="s">
        <v>400</v>
      </c>
      <c r="N1623" s="145">
        <v>13</v>
      </c>
      <c r="O1623" s="145">
        <v>21</v>
      </c>
      <c r="P1623" s="145">
        <v>0.01</v>
      </c>
      <c r="Q1623" s="145">
        <v>193</v>
      </c>
      <c r="R1623" s="145">
        <v>2.89</v>
      </c>
      <c r="S1623" s="145">
        <v>61</v>
      </c>
      <c r="T1623" s="145">
        <v>300</v>
      </c>
      <c r="U1623" s="145">
        <v>7.8E-2</v>
      </c>
      <c r="V1623" s="145">
        <v>6.65</v>
      </c>
      <c r="W1623" s="145" t="s">
        <v>400</v>
      </c>
      <c r="X1623" s="145">
        <v>3.6999999999999998E-2</v>
      </c>
      <c r="Y1623" s="145">
        <v>0.17199999999999999</v>
      </c>
      <c r="Z1623" s="146">
        <v>0.34799999999999998</v>
      </c>
      <c r="AA1623" s="145">
        <v>5.2279999999999998</v>
      </c>
      <c r="AB1623" s="145" t="s">
        <v>400</v>
      </c>
      <c r="AC1623" s="145">
        <v>7.6950000000000003</v>
      </c>
      <c r="AD1623" s="145">
        <v>2.5</v>
      </c>
      <c r="AE1623" s="145">
        <v>6</v>
      </c>
      <c r="AF1623" s="145">
        <v>0.45</v>
      </c>
      <c r="AG1623" s="145">
        <v>0.41</v>
      </c>
      <c r="AH1623" s="145">
        <v>0.69199999999999995</v>
      </c>
      <c r="AI1623" s="145">
        <v>499</v>
      </c>
      <c r="AJ1623" s="145">
        <v>21.6</v>
      </c>
      <c r="AK1623" s="145" t="s">
        <v>400</v>
      </c>
      <c r="AL1623" s="145" t="s">
        <v>400</v>
      </c>
      <c r="AM1623" s="145" t="s">
        <v>400</v>
      </c>
    </row>
    <row r="1624" spans="1:39">
      <c r="A1624" s="143" t="s">
        <v>2684</v>
      </c>
      <c r="B1624" s="144">
        <v>100</v>
      </c>
      <c r="C1624" s="145">
        <v>214</v>
      </c>
      <c r="D1624" s="145">
        <v>26.62</v>
      </c>
      <c r="E1624" s="145">
        <v>11.1</v>
      </c>
      <c r="F1624" s="145">
        <v>4.3789999999999996</v>
      </c>
      <c r="G1624" s="145">
        <v>4.6760000000000002</v>
      </c>
      <c r="H1624" s="145">
        <v>0.39800000000000002</v>
      </c>
      <c r="I1624" s="145">
        <v>0.29699999999999999</v>
      </c>
      <c r="J1624" s="145">
        <v>5.2999999999999999E-2</v>
      </c>
      <c r="K1624" s="145">
        <v>86</v>
      </c>
      <c r="L1624" s="145" t="s">
        <v>400</v>
      </c>
      <c r="M1624" s="145" t="s">
        <v>400</v>
      </c>
      <c r="N1624" s="145">
        <v>13</v>
      </c>
      <c r="O1624" s="145">
        <v>21</v>
      </c>
      <c r="P1624" s="145">
        <v>0.01</v>
      </c>
      <c r="Q1624" s="145">
        <v>193</v>
      </c>
      <c r="R1624" s="145">
        <v>2.89</v>
      </c>
      <c r="S1624" s="145">
        <v>61</v>
      </c>
      <c r="T1624" s="145">
        <v>300</v>
      </c>
      <c r="U1624" s="145">
        <v>7.8E-2</v>
      </c>
      <c r="V1624" s="145">
        <v>6.65</v>
      </c>
      <c r="W1624" s="145" t="s">
        <v>400</v>
      </c>
      <c r="X1624" s="145">
        <v>3.6999999999999998E-2</v>
      </c>
      <c r="Y1624" s="145">
        <v>0.17199999999999999</v>
      </c>
      <c r="Z1624" s="146">
        <v>0.34799999999999998</v>
      </c>
      <c r="AA1624" s="145">
        <v>5.2279999999999998</v>
      </c>
      <c r="AB1624" s="145" t="s">
        <v>400</v>
      </c>
      <c r="AC1624" s="145">
        <v>7.6950000000000003</v>
      </c>
      <c r="AD1624" s="145">
        <v>2.5</v>
      </c>
      <c r="AE1624" s="145">
        <v>6</v>
      </c>
      <c r="AF1624" s="145">
        <v>0.45</v>
      </c>
      <c r="AG1624" s="145">
        <v>0.41</v>
      </c>
      <c r="AH1624" s="145">
        <v>0.69199999999999995</v>
      </c>
      <c r="AI1624" s="145">
        <v>499</v>
      </c>
      <c r="AJ1624" s="145">
        <v>21.6</v>
      </c>
      <c r="AK1624" s="145" t="s">
        <v>400</v>
      </c>
      <c r="AL1624" s="145" t="s">
        <v>400</v>
      </c>
      <c r="AM1624" s="145" t="s">
        <v>400</v>
      </c>
    </row>
    <row r="1625" spans="1:39">
      <c r="A1625" s="143" t="s">
        <v>2685</v>
      </c>
      <c r="B1625" s="144">
        <v>100</v>
      </c>
      <c r="C1625" s="145">
        <v>214</v>
      </c>
      <c r="D1625" s="145">
        <v>26.62</v>
      </c>
      <c r="E1625" s="145">
        <v>11.1</v>
      </c>
      <c r="F1625" s="145">
        <v>4.3789999999999996</v>
      </c>
      <c r="G1625" s="145">
        <v>4.6760000000000002</v>
      </c>
      <c r="H1625" s="145">
        <v>0.39800000000000002</v>
      </c>
      <c r="I1625" s="145">
        <v>0.29699999999999999</v>
      </c>
      <c r="J1625" s="145">
        <v>5.2999999999999999E-2</v>
      </c>
      <c r="K1625" s="145">
        <v>86</v>
      </c>
      <c r="L1625" s="145" t="s">
        <v>400</v>
      </c>
      <c r="M1625" s="145" t="s">
        <v>400</v>
      </c>
      <c r="N1625" s="145">
        <v>13</v>
      </c>
      <c r="O1625" s="145">
        <v>21</v>
      </c>
      <c r="P1625" s="145">
        <v>0.01</v>
      </c>
      <c r="Q1625" s="145">
        <v>193</v>
      </c>
      <c r="R1625" s="145">
        <v>2.89</v>
      </c>
      <c r="S1625" s="145">
        <v>61</v>
      </c>
      <c r="T1625" s="145">
        <v>300</v>
      </c>
      <c r="U1625" s="145">
        <v>7.8E-2</v>
      </c>
      <c r="V1625" s="145">
        <v>6.65</v>
      </c>
      <c r="W1625" s="145" t="s">
        <v>400</v>
      </c>
      <c r="X1625" s="145">
        <v>3.6999999999999998E-2</v>
      </c>
      <c r="Y1625" s="145">
        <v>0.17199999999999999</v>
      </c>
      <c r="Z1625" s="146">
        <v>0.34799999999999998</v>
      </c>
      <c r="AA1625" s="145">
        <v>5.2279999999999998</v>
      </c>
      <c r="AB1625" s="145" t="s">
        <v>400</v>
      </c>
      <c r="AC1625" s="145">
        <v>7.6950000000000003</v>
      </c>
      <c r="AD1625" s="145">
        <v>2.5</v>
      </c>
      <c r="AE1625" s="145">
        <v>6</v>
      </c>
      <c r="AF1625" s="145">
        <v>0.45</v>
      </c>
      <c r="AG1625" s="145">
        <v>0.41</v>
      </c>
      <c r="AH1625" s="145">
        <v>0.69199999999999995</v>
      </c>
      <c r="AI1625" s="145">
        <v>499</v>
      </c>
      <c r="AJ1625" s="145">
        <v>21.6</v>
      </c>
      <c r="AK1625" s="145" t="s">
        <v>400</v>
      </c>
      <c r="AL1625" s="145" t="s">
        <v>400</v>
      </c>
      <c r="AM1625" s="145" t="s">
        <v>400</v>
      </c>
    </row>
    <row r="1626" spans="1:39">
      <c r="A1626" s="143" t="s">
        <v>2686</v>
      </c>
      <c r="B1626" s="144">
        <v>100</v>
      </c>
      <c r="C1626" s="145">
        <v>236.65899999999999</v>
      </c>
      <c r="D1626" s="145">
        <v>26.62</v>
      </c>
      <c r="E1626" s="145">
        <v>13.663</v>
      </c>
      <c r="F1626" s="145">
        <v>4.78</v>
      </c>
      <c r="G1626" s="145">
        <v>5.26</v>
      </c>
      <c r="H1626" s="145">
        <v>1.8779999999999999</v>
      </c>
      <c r="I1626" s="145">
        <v>1.603</v>
      </c>
      <c r="J1626" s="145">
        <v>0.22700000000000001</v>
      </c>
      <c r="K1626" s="145">
        <v>86</v>
      </c>
      <c r="L1626" s="145" t="s">
        <v>400</v>
      </c>
      <c r="M1626" s="145" t="s">
        <v>400</v>
      </c>
      <c r="N1626" s="145">
        <v>13</v>
      </c>
      <c r="O1626" s="145">
        <v>21</v>
      </c>
      <c r="P1626" s="145">
        <v>0.01</v>
      </c>
      <c r="Q1626" s="145">
        <v>193</v>
      </c>
      <c r="R1626" s="145">
        <v>2.891</v>
      </c>
      <c r="S1626" s="145">
        <v>61</v>
      </c>
      <c r="T1626" s="145">
        <v>300</v>
      </c>
      <c r="U1626" s="145">
        <v>7.8E-2</v>
      </c>
      <c r="V1626" s="145">
        <v>6.65</v>
      </c>
      <c r="W1626" s="145" t="s">
        <v>400</v>
      </c>
      <c r="X1626" s="145">
        <v>3.6999999999999998E-2</v>
      </c>
      <c r="Y1626" s="145">
        <v>0.17199999999999999</v>
      </c>
      <c r="Z1626" s="146">
        <v>0.34799999999999998</v>
      </c>
      <c r="AA1626" s="145">
        <v>5.2279999999999998</v>
      </c>
      <c r="AB1626" s="145" t="s">
        <v>400</v>
      </c>
      <c r="AC1626" s="145">
        <v>7.6950000000000003</v>
      </c>
      <c r="AD1626" s="145">
        <v>2.5</v>
      </c>
      <c r="AE1626" s="145">
        <v>6</v>
      </c>
      <c r="AF1626" s="145">
        <v>0.45</v>
      </c>
      <c r="AG1626" s="145">
        <v>0.62</v>
      </c>
      <c r="AH1626" s="145">
        <v>0.70599999999999996</v>
      </c>
      <c r="AI1626" s="145">
        <v>499</v>
      </c>
      <c r="AJ1626" s="145">
        <v>22.774999999999999</v>
      </c>
      <c r="AK1626" s="145" t="s">
        <v>400</v>
      </c>
      <c r="AL1626" s="145" t="s">
        <v>400</v>
      </c>
      <c r="AM1626" s="145" t="s">
        <v>400</v>
      </c>
    </row>
    <row r="1627" spans="1:39">
      <c r="A1627" s="143" t="s">
        <v>2687</v>
      </c>
      <c r="B1627" s="144">
        <v>100</v>
      </c>
      <c r="C1627" s="145">
        <v>176</v>
      </c>
      <c r="D1627" s="145">
        <v>21.56</v>
      </c>
      <c r="E1627" s="145">
        <v>8.9160000000000004</v>
      </c>
      <c r="F1627" s="145">
        <v>3.508</v>
      </c>
      <c r="G1627" s="145">
        <v>3.746</v>
      </c>
      <c r="H1627" s="145">
        <v>0.33300000000000002</v>
      </c>
      <c r="I1627" s="145">
        <v>0.251</v>
      </c>
      <c r="J1627" s="145">
        <v>4.2999999999999997E-2</v>
      </c>
      <c r="K1627" s="145">
        <v>68.8</v>
      </c>
      <c r="L1627" s="145">
        <v>1.0760000000000001</v>
      </c>
      <c r="M1627" s="145">
        <v>0.3</v>
      </c>
      <c r="N1627" s="145">
        <v>13</v>
      </c>
      <c r="O1627" s="145">
        <v>20</v>
      </c>
      <c r="P1627" s="145">
        <v>2.9000000000000001E-2</v>
      </c>
      <c r="Q1627" s="145">
        <v>159.6</v>
      </c>
      <c r="R1627" s="145">
        <v>2.516</v>
      </c>
      <c r="S1627" s="145">
        <v>153.6</v>
      </c>
      <c r="T1627" s="145">
        <v>306.2</v>
      </c>
      <c r="U1627" s="145">
        <v>8.5999999999999993E-2</v>
      </c>
      <c r="V1627" s="145">
        <v>5.36</v>
      </c>
      <c r="W1627" s="145" t="s">
        <v>400</v>
      </c>
      <c r="X1627" s="145">
        <v>3.4000000000000002E-2</v>
      </c>
      <c r="Y1627" s="145">
        <v>0.151</v>
      </c>
      <c r="Z1627" s="146">
        <v>0.29799999999999999</v>
      </c>
      <c r="AA1627" s="145">
        <v>4.3769999999999998</v>
      </c>
      <c r="AB1627" s="145">
        <v>1.4</v>
      </c>
      <c r="AC1627" s="145">
        <v>6.3840000000000003</v>
      </c>
      <c r="AD1627" s="145">
        <v>2</v>
      </c>
      <c r="AE1627" s="145">
        <v>7</v>
      </c>
      <c r="AF1627" s="145">
        <v>0.36</v>
      </c>
      <c r="AG1627" s="145">
        <v>0.61199999999999999</v>
      </c>
      <c r="AH1627" s="145">
        <v>0.55400000000000005</v>
      </c>
      <c r="AI1627" s="145">
        <v>499</v>
      </c>
      <c r="AJ1627" s="145">
        <v>17.32</v>
      </c>
      <c r="AK1627" s="145">
        <v>3.4830000000000001</v>
      </c>
      <c r="AL1627" s="145">
        <v>0.85</v>
      </c>
      <c r="AM1627" s="145" t="s">
        <v>400</v>
      </c>
    </row>
    <row r="1628" spans="1:39">
      <c r="A1628" s="143" t="s">
        <v>2688</v>
      </c>
      <c r="B1628" s="144">
        <v>100</v>
      </c>
      <c r="C1628" s="145">
        <v>214</v>
      </c>
      <c r="D1628" s="145">
        <v>26.62</v>
      </c>
      <c r="E1628" s="145">
        <v>11.1</v>
      </c>
      <c r="F1628" s="145">
        <v>4.3789999999999996</v>
      </c>
      <c r="G1628" s="145">
        <v>4.6760000000000002</v>
      </c>
      <c r="H1628" s="145">
        <v>0.39800000000000002</v>
      </c>
      <c r="I1628" s="145">
        <v>0.29699999999999999</v>
      </c>
      <c r="J1628" s="145">
        <v>5.2999999999999999E-2</v>
      </c>
      <c r="K1628" s="145">
        <v>86</v>
      </c>
      <c r="L1628" s="145" t="s">
        <v>400</v>
      </c>
      <c r="M1628" s="145" t="s">
        <v>400</v>
      </c>
      <c r="N1628" s="145">
        <v>13</v>
      </c>
      <c r="O1628" s="145">
        <v>21</v>
      </c>
      <c r="P1628" s="145">
        <v>0.01</v>
      </c>
      <c r="Q1628" s="145">
        <v>193</v>
      </c>
      <c r="R1628" s="145">
        <v>2.89</v>
      </c>
      <c r="S1628" s="145">
        <v>61</v>
      </c>
      <c r="T1628" s="145">
        <v>300</v>
      </c>
      <c r="U1628" s="145">
        <v>7.8E-2</v>
      </c>
      <c r="V1628" s="145">
        <v>6.65</v>
      </c>
      <c r="W1628" s="145" t="s">
        <v>400</v>
      </c>
      <c r="X1628" s="145">
        <v>3.6999999999999998E-2</v>
      </c>
      <c r="Y1628" s="145">
        <v>0.17199999999999999</v>
      </c>
      <c r="Z1628" s="146">
        <v>0.34799999999999998</v>
      </c>
      <c r="AA1628" s="145">
        <v>5.2279999999999998</v>
      </c>
      <c r="AB1628" s="145" t="s">
        <v>400</v>
      </c>
      <c r="AC1628" s="145">
        <v>7.6950000000000003</v>
      </c>
      <c r="AD1628" s="145">
        <v>2.5</v>
      </c>
      <c r="AE1628" s="145">
        <v>6</v>
      </c>
      <c r="AF1628" s="145">
        <v>0.45</v>
      </c>
      <c r="AG1628" s="145">
        <v>0.41</v>
      </c>
      <c r="AH1628" s="145">
        <v>0.69199999999999995</v>
      </c>
      <c r="AI1628" s="145">
        <v>499</v>
      </c>
      <c r="AJ1628" s="145">
        <v>21.6</v>
      </c>
      <c r="AK1628" s="145" t="s">
        <v>400</v>
      </c>
      <c r="AL1628" s="145" t="s">
        <v>400</v>
      </c>
      <c r="AM1628" s="145" t="s">
        <v>400</v>
      </c>
    </row>
    <row r="1629" spans="1:39">
      <c r="A1629" s="143" t="s">
        <v>2689</v>
      </c>
      <c r="B1629" s="144">
        <v>100</v>
      </c>
      <c r="C1629" s="145">
        <v>248.65899999999999</v>
      </c>
      <c r="D1629" s="145">
        <v>20.53</v>
      </c>
      <c r="E1629" s="145">
        <v>17.763000000000002</v>
      </c>
      <c r="F1629" s="145">
        <v>5.4409999999999998</v>
      </c>
      <c r="G1629" s="145">
        <v>7.6539999999999999</v>
      </c>
      <c r="H1629" s="145">
        <v>3.26</v>
      </c>
      <c r="I1629" s="145">
        <v>2.9260000000000002</v>
      </c>
      <c r="J1629" s="145">
        <v>0.33400000000000002</v>
      </c>
      <c r="K1629" s="145">
        <v>62</v>
      </c>
      <c r="L1629" s="145">
        <v>0.42</v>
      </c>
      <c r="M1629" s="145" t="s">
        <v>400</v>
      </c>
      <c r="N1629" s="145">
        <v>8</v>
      </c>
      <c r="O1629" s="145">
        <v>17</v>
      </c>
      <c r="P1629" s="145">
        <v>2.9000000000000001E-2</v>
      </c>
      <c r="Q1629" s="145">
        <v>243</v>
      </c>
      <c r="R1629" s="145">
        <v>1.371</v>
      </c>
      <c r="S1629" s="145">
        <v>941</v>
      </c>
      <c r="T1629" s="145">
        <v>357</v>
      </c>
      <c r="U1629" s="145">
        <v>0.13</v>
      </c>
      <c r="V1629" s="145">
        <v>2.5</v>
      </c>
      <c r="W1629" s="145" t="s">
        <v>400</v>
      </c>
      <c r="X1629" s="145">
        <v>0.82</v>
      </c>
      <c r="Y1629" s="145">
        <v>0.26</v>
      </c>
      <c r="Z1629" s="146">
        <v>0.3</v>
      </c>
      <c r="AA1629" s="145">
        <v>5.3</v>
      </c>
      <c r="AB1629" s="145" t="s">
        <v>400</v>
      </c>
      <c r="AC1629" s="145">
        <v>9.1829999999999998</v>
      </c>
      <c r="AD1629" s="145">
        <v>1.06</v>
      </c>
      <c r="AE1629" s="145">
        <v>5</v>
      </c>
      <c r="AF1629" s="145">
        <v>0.79600000000000004</v>
      </c>
      <c r="AG1629" s="145">
        <v>0.49</v>
      </c>
      <c r="AH1629" s="145">
        <v>5.6000000000000001E-2</v>
      </c>
      <c r="AI1629" s="145" t="s">
        <v>400</v>
      </c>
      <c r="AJ1629" s="145">
        <v>37.075000000000003</v>
      </c>
      <c r="AK1629" s="145" t="s">
        <v>400</v>
      </c>
      <c r="AL1629" s="145" t="s">
        <v>400</v>
      </c>
      <c r="AM1629" s="145" t="s">
        <v>400</v>
      </c>
    </row>
    <row r="1630" spans="1:39">
      <c r="A1630" s="143" t="s">
        <v>2690</v>
      </c>
      <c r="B1630" s="144">
        <v>100</v>
      </c>
      <c r="C1630" s="145">
        <v>541</v>
      </c>
      <c r="D1630" s="145">
        <v>37.04</v>
      </c>
      <c r="E1630" s="145">
        <v>41.78</v>
      </c>
      <c r="F1630" s="145">
        <v>13.739000000000001</v>
      </c>
      <c r="G1630" s="145">
        <v>18.52</v>
      </c>
      <c r="H1630" s="145">
        <v>4.548</v>
      </c>
      <c r="I1630" s="145">
        <v>4</v>
      </c>
      <c r="J1630" s="145">
        <v>0.2</v>
      </c>
      <c r="K1630" s="145">
        <v>110</v>
      </c>
      <c r="L1630" s="145">
        <v>1.43</v>
      </c>
      <c r="M1630" s="145" t="s">
        <v>400</v>
      </c>
      <c r="N1630" s="145">
        <v>11</v>
      </c>
      <c r="O1630" s="145">
        <v>33</v>
      </c>
      <c r="P1630" s="145">
        <v>2.1999999999999999E-2</v>
      </c>
      <c r="Q1630" s="145">
        <v>533</v>
      </c>
      <c r="R1630" s="145">
        <v>1.44</v>
      </c>
      <c r="S1630" s="145">
        <v>2310</v>
      </c>
      <c r="T1630" s="145">
        <v>565</v>
      </c>
      <c r="U1630" s="145">
        <v>0.16400000000000001</v>
      </c>
      <c r="V1630" s="145">
        <v>3.5</v>
      </c>
      <c r="W1630" s="145">
        <v>11</v>
      </c>
      <c r="X1630" s="145">
        <v>0.40400000000000003</v>
      </c>
      <c r="Y1630" s="145">
        <v>0.26400000000000001</v>
      </c>
      <c r="Z1630" s="146">
        <v>0.34899999999999998</v>
      </c>
      <c r="AA1630" s="145">
        <v>11.099</v>
      </c>
      <c r="AB1630" s="145" t="s">
        <v>400</v>
      </c>
      <c r="AC1630" s="145">
        <v>16.449000000000002</v>
      </c>
      <c r="AD1630" s="145">
        <v>1.23</v>
      </c>
      <c r="AE1630" s="145">
        <v>2</v>
      </c>
      <c r="AF1630" s="145">
        <v>0.7</v>
      </c>
      <c r="AG1630" s="145">
        <v>0.31</v>
      </c>
      <c r="AH1630" s="145">
        <v>0.31</v>
      </c>
      <c r="AI1630" s="145" t="s">
        <v>400</v>
      </c>
      <c r="AJ1630" s="145">
        <v>62</v>
      </c>
      <c r="AK1630" s="145">
        <v>11</v>
      </c>
      <c r="AL1630" s="145">
        <v>0.59</v>
      </c>
      <c r="AM1630" s="145">
        <v>1.43</v>
      </c>
    </row>
    <row r="1631" spans="1:39">
      <c r="A1631" s="143" t="s">
        <v>2691</v>
      </c>
      <c r="B1631" s="144">
        <v>100</v>
      </c>
      <c r="C1631" s="145">
        <v>206.14</v>
      </c>
      <c r="D1631" s="145">
        <v>16.187999999999999</v>
      </c>
      <c r="E1631" s="145">
        <v>9.7080000000000002</v>
      </c>
      <c r="F1631" s="145">
        <v>2.9249999999999998</v>
      </c>
      <c r="G1631" s="145">
        <v>3.6309999999999998</v>
      </c>
      <c r="H1631" s="145">
        <v>2.226</v>
      </c>
      <c r="I1631" s="145">
        <v>1.9610000000000001</v>
      </c>
      <c r="J1631" s="145">
        <v>0.152</v>
      </c>
      <c r="K1631" s="145">
        <v>44.338000000000001</v>
      </c>
      <c r="L1631" s="145">
        <v>12.644</v>
      </c>
      <c r="M1631" s="145">
        <v>0.60699999999999998</v>
      </c>
      <c r="N1631" s="145">
        <v>71.171999999999997</v>
      </c>
      <c r="O1631" s="145">
        <v>20.849</v>
      </c>
      <c r="P1631" s="145">
        <v>0.13300000000000001</v>
      </c>
      <c r="Q1631" s="145">
        <v>146.929</v>
      </c>
      <c r="R1631" s="145">
        <v>1.2589999999999999</v>
      </c>
      <c r="S1631" s="145">
        <v>121.92100000000001</v>
      </c>
      <c r="T1631" s="145">
        <v>197.35300000000001</v>
      </c>
      <c r="U1631" s="145">
        <v>6.8000000000000005E-2</v>
      </c>
      <c r="V1631" s="145">
        <v>1.288</v>
      </c>
      <c r="W1631" s="145">
        <v>18.68</v>
      </c>
      <c r="X1631" s="145">
        <v>0.17899999999999999</v>
      </c>
      <c r="Y1631" s="145">
        <v>0.218</v>
      </c>
      <c r="Z1631" s="145">
        <v>0.24399999999999999</v>
      </c>
      <c r="AA1631" s="145">
        <v>5.109</v>
      </c>
      <c r="AB1631" s="145">
        <v>0.60399999999999998</v>
      </c>
      <c r="AC1631" s="145">
        <v>8.532</v>
      </c>
      <c r="AD1631" s="145">
        <v>0.36099999999999999</v>
      </c>
      <c r="AE1631" s="145">
        <v>31.003</v>
      </c>
      <c r="AF1631" s="145">
        <v>0.59</v>
      </c>
      <c r="AG1631" s="145">
        <v>0.19600000000000001</v>
      </c>
      <c r="AH1631" s="145">
        <v>0.92500000000000004</v>
      </c>
      <c r="AI1631" s="145">
        <v>197</v>
      </c>
      <c r="AJ1631" s="145">
        <v>15.53</v>
      </c>
      <c r="AK1631" s="145">
        <v>19.739999999999998</v>
      </c>
      <c r="AL1631" s="145">
        <v>2.8530000000000002</v>
      </c>
      <c r="AM1631" s="145">
        <v>1.097</v>
      </c>
    </row>
    <row r="1632" spans="1:39">
      <c r="A1632" s="143" t="s">
        <v>2692</v>
      </c>
      <c r="B1632" s="144">
        <v>100</v>
      </c>
      <c r="C1632" s="145">
        <v>206.14</v>
      </c>
      <c r="D1632" s="145">
        <v>16.187999999999999</v>
      </c>
      <c r="E1632" s="145">
        <v>9.7080000000000002</v>
      </c>
      <c r="F1632" s="145">
        <v>2.9249999999999998</v>
      </c>
      <c r="G1632" s="145">
        <v>3.6309999999999998</v>
      </c>
      <c r="H1632" s="145">
        <v>2.226</v>
      </c>
      <c r="I1632" s="145">
        <v>1.9610000000000001</v>
      </c>
      <c r="J1632" s="145">
        <v>0.152</v>
      </c>
      <c r="K1632" s="145">
        <v>44.338000000000001</v>
      </c>
      <c r="L1632" s="145">
        <v>12.644</v>
      </c>
      <c r="M1632" s="145">
        <v>0.60699999999999998</v>
      </c>
      <c r="N1632" s="145">
        <v>71.171999999999997</v>
      </c>
      <c r="O1632" s="145">
        <v>20.849</v>
      </c>
      <c r="P1632" s="145">
        <v>0.13300000000000001</v>
      </c>
      <c r="Q1632" s="145">
        <v>146.929</v>
      </c>
      <c r="R1632" s="145">
        <v>1.2589999999999999</v>
      </c>
      <c r="S1632" s="145">
        <v>121.92100000000001</v>
      </c>
      <c r="T1632" s="145">
        <v>197.35300000000001</v>
      </c>
      <c r="U1632" s="145">
        <v>6.8000000000000005E-2</v>
      </c>
      <c r="V1632" s="145">
        <v>1.288</v>
      </c>
      <c r="W1632" s="145">
        <v>18.68</v>
      </c>
      <c r="X1632" s="145">
        <v>0.17899999999999999</v>
      </c>
      <c r="Y1632" s="145">
        <v>0.218</v>
      </c>
      <c r="Z1632" s="145">
        <v>0.24399999999999999</v>
      </c>
      <c r="AA1632" s="145">
        <v>5.109</v>
      </c>
      <c r="AB1632" s="145">
        <v>0.60399999999999998</v>
      </c>
      <c r="AC1632" s="145">
        <v>8.532</v>
      </c>
      <c r="AD1632" s="145">
        <v>0.36099999999999999</v>
      </c>
      <c r="AE1632" s="145">
        <v>31.003</v>
      </c>
      <c r="AF1632" s="145">
        <v>0.59</v>
      </c>
      <c r="AG1632" s="145">
        <v>0.19600000000000001</v>
      </c>
      <c r="AH1632" s="145">
        <v>0.92500000000000004</v>
      </c>
      <c r="AI1632" s="145">
        <v>197</v>
      </c>
      <c r="AJ1632" s="145">
        <v>15.53</v>
      </c>
      <c r="AK1632" s="145">
        <v>19.739999999999998</v>
      </c>
      <c r="AL1632" s="145">
        <v>2.8530000000000002</v>
      </c>
      <c r="AM1632" s="145">
        <v>1.097</v>
      </c>
    </row>
    <row r="1633" spans="1:39">
      <c r="A1633" s="143" t="s">
        <v>2693</v>
      </c>
      <c r="B1633" s="144">
        <v>100</v>
      </c>
      <c r="C1633" s="145">
        <v>206.14</v>
      </c>
      <c r="D1633" s="145">
        <v>16.187999999999999</v>
      </c>
      <c r="E1633" s="145">
        <v>9.7080000000000002</v>
      </c>
      <c r="F1633" s="145">
        <v>2.9249999999999998</v>
      </c>
      <c r="G1633" s="145">
        <v>3.6309999999999998</v>
      </c>
      <c r="H1633" s="145">
        <v>2.226</v>
      </c>
      <c r="I1633" s="145">
        <v>1.9610000000000001</v>
      </c>
      <c r="J1633" s="145">
        <v>0.152</v>
      </c>
      <c r="K1633" s="145">
        <v>44.338000000000001</v>
      </c>
      <c r="L1633" s="145">
        <v>12.644</v>
      </c>
      <c r="M1633" s="145">
        <v>0.60699999999999998</v>
      </c>
      <c r="N1633" s="145">
        <v>71.171999999999997</v>
      </c>
      <c r="O1633" s="145">
        <v>20.849</v>
      </c>
      <c r="P1633" s="145">
        <v>0.13300000000000001</v>
      </c>
      <c r="Q1633" s="145">
        <v>146.929</v>
      </c>
      <c r="R1633" s="145">
        <v>1.2589999999999999</v>
      </c>
      <c r="S1633" s="145">
        <v>121.92100000000001</v>
      </c>
      <c r="T1633" s="145">
        <v>197.35300000000001</v>
      </c>
      <c r="U1633" s="145">
        <v>6.8000000000000005E-2</v>
      </c>
      <c r="V1633" s="145">
        <v>1.288</v>
      </c>
      <c r="W1633" s="145">
        <v>18.68</v>
      </c>
      <c r="X1633" s="145">
        <v>0.17899999999999999</v>
      </c>
      <c r="Y1633" s="145">
        <v>0.218</v>
      </c>
      <c r="Z1633" s="145">
        <v>0.24399999999999999</v>
      </c>
      <c r="AA1633" s="145">
        <v>5.109</v>
      </c>
      <c r="AB1633" s="145">
        <v>0.60399999999999998</v>
      </c>
      <c r="AC1633" s="145">
        <v>8.532</v>
      </c>
      <c r="AD1633" s="145">
        <v>0.36099999999999999</v>
      </c>
      <c r="AE1633" s="145">
        <v>31.003</v>
      </c>
      <c r="AF1633" s="145">
        <v>0.59</v>
      </c>
      <c r="AG1633" s="145">
        <v>0.19600000000000001</v>
      </c>
      <c r="AH1633" s="145">
        <v>0.92500000000000004</v>
      </c>
      <c r="AI1633" s="145">
        <v>197</v>
      </c>
      <c r="AJ1633" s="145">
        <v>15.53</v>
      </c>
      <c r="AK1633" s="145">
        <v>19.739999999999998</v>
      </c>
      <c r="AL1633" s="145">
        <v>2.8530000000000002</v>
      </c>
      <c r="AM1633" s="145">
        <v>1.097</v>
      </c>
    </row>
    <row r="1634" spans="1:39">
      <c r="A1634" s="143" t="s">
        <v>2694</v>
      </c>
      <c r="B1634" s="144">
        <v>100</v>
      </c>
      <c r="C1634" s="145">
        <v>266.66500000000002</v>
      </c>
      <c r="D1634" s="145">
        <v>16.187999999999999</v>
      </c>
      <c r="E1634" s="145">
        <v>16.553999999999998</v>
      </c>
      <c r="F1634" s="145">
        <v>3.9969999999999999</v>
      </c>
      <c r="G1634" s="145">
        <v>5.1909999999999998</v>
      </c>
      <c r="H1634" s="145">
        <v>6.18</v>
      </c>
      <c r="I1634" s="145">
        <v>5.4489999999999998</v>
      </c>
      <c r="J1634" s="145">
        <v>0.61699999999999999</v>
      </c>
      <c r="K1634" s="145">
        <v>44.338000000000001</v>
      </c>
      <c r="L1634" s="145">
        <v>12.644</v>
      </c>
      <c r="M1634" s="145">
        <v>0.60699999999999998</v>
      </c>
      <c r="N1634" s="145">
        <v>71.171999999999997</v>
      </c>
      <c r="O1634" s="145">
        <v>20.849</v>
      </c>
      <c r="P1634" s="145">
        <v>0.13300000000000001</v>
      </c>
      <c r="Q1634" s="145">
        <v>146.929</v>
      </c>
      <c r="R1634" s="145">
        <v>1.262</v>
      </c>
      <c r="S1634" s="145">
        <v>121.92100000000001</v>
      </c>
      <c r="T1634" s="145">
        <v>197.35300000000001</v>
      </c>
      <c r="U1634" s="145">
        <v>6.8000000000000005E-2</v>
      </c>
      <c r="V1634" s="145">
        <v>1.2889999999999999</v>
      </c>
      <c r="W1634" s="145">
        <v>18.68</v>
      </c>
      <c r="X1634" s="145">
        <v>0.17899999999999999</v>
      </c>
      <c r="Y1634" s="145">
        <v>0.218</v>
      </c>
      <c r="Z1634" s="146">
        <v>0.24399999999999999</v>
      </c>
      <c r="AA1634" s="145">
        <v>5.109</v>
      </c>
      <c r="AB1634" s="145">
        <v>0.60399999999999998</v>
      </c>
      <c r="AC1634" s="145">
        <v>8.532</v>
      </c>
      <c r="AD1634" s="145">
        <v>0.36099999999999999</v>
      </c>
      <c r="AE1634" s="145">
        <v>31.003</v>
      </c>
      <c r="AF1634" s="145">
        <v>0.59</v>
      </c>
      <c r="AG1634" s="145">
        <v>0.75600000000000001</v>
      </c>
      <c r="AH1634" s="145">
        <v>0.96099999999999997</v>
      </c>
      <c r="AI1634" s="145">
        <v>197</v>
      </c>
      <c r="AJ1634" s="145">
        <v>18.667999999999999</v>
      </c>
      <c r="AK1634" s="145">
        <v>19.739999999999998</v>
      </c>
      <c r="AL1634" s="145">
        <v>2.8530000000000002</v>
      </c>
      <c r="AM1634" s="145">
        <v>1.097</v>
      </c>
    </row>
    <row r="1635" spans="1:39">
      <c r="A1635" s="143" t="s">
        <v>2695</v>
      </c>
      <c r="B1635" s="144">
        <v>100</v>
      </c>
      <c r="C1635" s="145">
        <v>266.66500000000002</v>
      </c>
      <c r="D1635" s="145">
        <v>16.187999999999999</v>
      </c>
      <c r="E1635" s="145">
        <v>16.553999999999998</v>
      </c>
      <c r="F1635" s="145">
        <v>3.9969999999999999</v>
      </c>
      <c r="G1635" s="145">
        <v>5.1909999999999998</v>
      </c>
      <c r="H1635" s="145">
        <v>6.18</v>
      </c>
      <c r="I1635" s="145">
        <v>5.4489999999999998</v>
      </c>
      <c r="J1635" s="145">
        <v>0.61699999999999999</v>
      </c>
      <c r="K1635" s="145">
        <v>44.338000000000001</v>
      </c>
      <c r="L1635" s="145">
        <v>12.644</v>
      </c>
      <c r="M1635" s="145">
        <v>0.60699999999999998</v>
      </c>
      <c r="N1635" s="145">
        <v>71.171999999999997</v>
      </c>
      <c r="O1635" s="145">
        <v>20.849</v>
      </c>
      <c r="P1635" s="145">
        <v>0.13300000000000001</v>
      </c>
      <c r="Q1635" s="145">
        <v>146.929</v>
      </c>
      <c r="R1635" s="145">
        <v>1.262</v>
      </c>
      <c r="S1635" s="145">
        <v>121.92100000000001</v>
      </c>
      <c r="T1635" s="145">
        <v>197.35300000000001</v>
      </c>
      <c r="U1635" s="145">
        <v>6.8000000000000005E-2</v>
      </c>
      <c r="V1635" s="145">
        <v>1.2889999999999999</v>
      </c>
      <c r="W1635" s="145">
        <v>18.68</v>
      </c>
      <c r="X1635" s="145">
        <v>0.17899999999999999</v>
      </c>
      <c r="Y1635" s="145">
        <v>0.218</v>
      </c>
      <c r="Z1635" s="146">
        <v>0.24399999999999999</v>
      </c>
      <c r="AA1635" s="145">
        <v>5.109</v>
      </c>
      <c r="AB1635" s="145">
        <v>0.60399999999999998</v>
      </c>
      <c r="AC1635" s="145">
        <v>8.532</v>
      </c>
      <c r="AD1635" s="145">
        <v>0.36099999999999999</v>
      </c>
      <c r="AE1635" s="145">
        <v>31.003</v>
      </c>
      <c r="AF1635" s="145">
        <v>0.59</v>
      </c>
      <c r="AG1635" s="145">
        <v>0.75600000000000001</v>
      </c>
      <c r="AH1635" s="145">
        <v>0.96099999999999997</v>
      </c>
      <c r="AI1635" s="145">
        <v>197</v>
      </c>
      <c r="AJ1635" s="145">
        <v>18.667999999999999</v>
      </c>
      <c r="AK1635" s="145">
        <v>19.739999999999998</v>
      </c>
      <c r="AL1635" s="145">
        <v>2.8530000000000002</v>
      </c>
      <c r="AM1635" s="145">
        <v>1.097</v>
      </c>
    </row>
    <row r="1636" spans="1:39">
      <c r="A1636" s="143" t="s">
        <v>2696</v>
      </c>
      <c r="B1636" s="144">
        <v>100</v>
      </c>
      <c r="C1636" s="145">
        <v>206.14</v>
      </c>
      <c r="D1636" s="145">
        <v>16.187999999999999</v>
      </c>
      <c r="E1636" s="145">
        <v>9.7080000000000002</v>
      </c>
      <c r="F1636" s="145">
        <v>2.9249999999999998</v>
      </c>
      <c r="G1636" s="145">
        <v>3.6309999999999998</v>
      </c>
      <c r="H1636" s="145">
        <v>2.226</v>
      </c>
      <c r="I1636" s="145">
        <v>1.9610000000000001</v>
      </c>
      <c r="J1636" s="145">
        <v>0.152</v>
      </c>
      <c r="K1636" s="145">
        <v>44.338000000000001</v>
      </c>
      <c r="L1636" s="145">
        <v>12.644</v>
      </c>
      <c r="M1636" s="145">
        <v>0.60699999999999998</v>
      </c>
      <c r="N1636" s="145">
        <v>71.171999999999997</v>
      </c>
      <c r="O1636" s="145">
        <v>20.849</v>
      </c>
      <c r="P1636" s="145">
        <v>0.13300000000000001</v>
      </c>
      <c r="Q1636" s="145">
        <v>146.929</v>
      </c>
      <c r="R1636" s="145">
        <v>1.2589999999999999</v>
      </c>
      <c r="S1636" s="145">
        <v>121.92100000000001</v>
      </c>
      <c r="T1636" s="145">
        <v>197.35300000000001</v>
      </c>
      <c r="U1636" s="145">
        <v>6.8000000000000005E-2</v>
      </c>
      <c r="V1636" s="145">
        <v>1.288</v>
      </c>
      <c r="W1636" s="145">
        <v>18.68</v>
      </c>
      <c r="X1636" s="145">
        <v>0.17899999999999999</v>
      </c>
      <c r="Y1636" s="145">
        <v>0.218</v>
      </c>
      <c r="Z1636" s="145">
        <v>0.24399999999999999</v>
      </c>
      <c r="AA1636" s="145">
        <v>5.109</v>
      </c>
      <c r="AB1636" s="145">
        <v>0.60399999999999998</v>
      </c>
      <c r="AC1636" s="145">
        <v>8.532</v>
      </c>
      <c r="AD1636" s="145">
        <v>0.36099999999999999</v>
      </c>
      <c r="AE1636" s="145">
        <v>31.003</v>
      </c>
      <c r="AF1636" s="145">
        <v>0.59</v>
      </c>
      <c r="AG1636" s="145">
        <v>0.19600000000000001</v>
      </c>
      <c r="AH1636" s="145">
        <v>0.92500000000000004</v>
      </c>
      <c r="AI1636" s="145">
        <v>197</v>
      </c>
      <c r="AJ1636" s="145">
        <v>15.53</v>
      </c>
      <c r="AK1636" s="145">
        <v>19.739999999999998</v>
      </c>
      <c r="AL1636" s="145">
        <v>2.8530000000000002</v>
      </c>
      <c r="AM1636" s="145">
        <v>1.097</v>
      </c>
    </row>
    <row r="1637" spans="1:39">
      <c r="A1637" s="143" t="s">
        <v>2697</v>
      </c>
      <c r="B1637" s="144">
        <v>100</v>
      </c>
      <c r="C1637" s="145">
        <v>321.05099999999999</v>
      </c>
      <c r="D1637" s="145">
        <v>9.7189999999999994</v>
      </c>
      <c r="E1637" s="145">
        <v>29.509</v>
      </c>
      <c r="F1637" s="145">
        <v>10.863</v>
      </c>
      <c r="G1637" s="145">
        <v>12.599</v>
      </c>
      <c r="H1637" s="145">
        <v>2.976</v>
      </c>
      <c r="I1637" s="145">
        <v>2.548</v>
      </c>
      <c r="J1637" s="145">
        <v>0.29399999999999998</v>
      </c>
      <c r="K1637" s="145">
        <v>52.945999999999998</v>
      </c>
      <c r="L1637" s="145">
        <v>3.605</v>
      </c>
      <c r="M1637" s="145" t="s">
        <v>400</v>
      </c>
      <c r="N1637" s="145">
        <v>16.486999999999998</v>
      </c>
      <c r="O1637" s="145">
        <v>8.282</v>
      </c>
      <c r="P1637" s="145">
        <v>8.0000000000000002E-3</v>
      </c>
      <c r="Q1637" s="145">
        <v>78.674999999999997</v>
      </c>
      <c r="R1637" s="145">
        <v>0.80600000000000005</v>
      </c>
      <c r="S1637" s="145">
        <v>1174.711</v>
      </c>
      <c r="T1637" s="145">
        <v>108.80800000000001</v>
      </c>
      <c r="U1637" s="145">
        <v>4.4999999999999998E-2</v>
      </c>
      <c r="V1637" s="145">
        <v>1.339</v>
      </c>
      <c r="W1637" s="145">
        <v>12.988</v>
      </c>
      <c r="X1637" s="145">
        <v>8.4000000000000005E-2</v>
      </c>
      <c r="Y1637" s="145">
        <v>9.2999999999999999E-2</v>
      </c>
      <c r="Z1637" s="146">
        <v>0.13500000000000001</v>
      </c>
      <c r="AA1637" s="145">
        <v>2.1339999999999999</v>
      </c>
      <c r="AB1637" s="145" t="s">
        <v>400</v>
      </c>
      <c r="AC1637" s="145">
        <v>3.85</v>
      </c>
      <c r="AD1637" s="145">
        <v>0.59699999999999998</v>
      </c>
      <c r="AE1637" s="145">
        <v>1.6180000000000001</v>
      </c>
      <c r="AF1637" s="145">
        <v>0.317</v>
      </c>
      <c r="AG1637" s="145">
        <v>0.13900000000000001</v>
      </c>
      <c r="AH1637" s="145">
        <v>0.80200000000000005</v>
      </c>
      <c r="AI1637" s="145" t="s">
        <v>400</v>
      </c>
      <c r="AJ1637" s="145">
        <v>9.9160000000000004</v>
      </c>
      <c r="AK1637" s="145">
        <v>12.988</v>
      </c>
      <c r="AL1637" s="145">
        <v>3.1520000000000001</v>
      </c>
      <c r="AM1637" s="145">
        <v>3.605</v>
      </c>
    </row>
    <row r="1638" spans="1:39">
      <c r="A1638" s="143" t="s">
        <v>2698</v>
      </c>
      <c r="B1638" s="144">
        <v>100</v>
      </c>
      <c r="C1638" s="145">
        <v>321.05099999999999</v>
      </c>
      <c r="D1638" s="145">
        <v>9.7189999999999994</v>
      </c>
      <c r="E1638" s="145">
        <v>29.509</v>
      </c>
      <c r="F1638" s="145">
        <v>10.863</v>
      </c>
      <c r="G1638" s="145">
        <v>12.599</v>
      </c>
      <c r="H1638" s="145">
        <v>2.976</v>
      </c>
      <c r="I1638" s="145">
        <v>2.548</v>
      </c>
      <c r="J1638" s="145">
        <v>0.29399999999999998</v>
      </c>
      <c r="K1638" s="145">
        <v>52.945999999999998</v>
      </c>
      <c r="L1638" s="145">
        <v>3.605</v>
      </c>
      <c r="M1638" s="145" t="s">
        <v>400</v>
      </c>
      <c r="N1638" s="145">
        <v>16.486999999999998</v>
      </c>
      <c r="O1638" s="145">
        <v>8.282</v>
      </c>
      <c r="P1638" s="145">
        <v>8.0000000000000002E-3</v>
      </c>
      <c r="Q1638" s="145">
        <v>78.674999999999997</v>
      </c>
      <c r="R1638" s="145">
        <v>0.80600000000000005</v>
      </c>
      <c r="S1638" s="145">
        <v>1174.711</v>
      </c>
      <c r="T1638" s="145">
        <v>108.80800000000001</v>
      </c>
      <c r="U1638" s="145">
        <v>4.4999999999999998E-2</v>
      </c>
      <c r="V1638" s="145">
        <v>1.339</v>
      </c>
      <c r="W1638" s="145">
        <v>12.988</v>
      </c>
      <c r="X1638" s="145">
        <v>8.4000000000000005E-2</v>
      </c>
      <c r="Y1638" s="145">
        <v>9.2999999999999999E-2</v>
      </c>
      <c r="Z1638" s="146">
        <v>0.13500000000000001</v>
      </c>
      <c r="AA1638" s="145">
        <v>2.1339999999999999</v>
      </c>
      <c r="AB1638" s="145" t="s">
        <v>400</v>
      </c>
      <c r="AC1638" s="145">
        <v>3.85</v>
      </c>
      <c r="AD1638" s="145">
        <v>0.59699999999999998</v>
      </c>
      <c r="AE1638" s="145">
        <v>1.6180000000000001</v>
      </c>
      <c r="AF1638" s="145">
        <v>0.317</v>
      </c>
      <c r="AG1638" s="145">
        <v>0.13900000000000001</v>
      </c>
      <c r="AH1638" s="145">
        <v>0.80200000000000005</v>
      </c>
      <c r="AI1638" s="145" t="s">
        <v>400</v>
      </c>
      <c r="AJ1638" s="145">
        <v>9.9160000000000004</v>
      </c>
      <c r="AK1638" s="145">
        <v>12.988</v>
      </c>
      <c r="AL1638" s="145">
        <v>3.1520000000000001</v>
      </c>
      <c r="AM1638" s="145">
        <v>3.605</v>
      </c>
    </row>
    <row r="1639" spans="1:39">
      <c r="A1639" s="143" t="s">
        <v>2699</v>
      </c>
      <c r="B1639" s="144">
        <v>100</v>
      </c>
      <c r="C1639" s="145">
        <v>321.05099999999999</v>
      </c>
      <c r="D1639" s="145">
        <v>9.7189999999999994</v>
      </c>
      <c r="E1639" s="145">
        <v>29.509</v>
      </c>
      <c r="F1639" s="145">
        <v>10.863</v>
      </c>
      <c r="G1639" s="145">
        <v>12.599</v>
      </c>
      <c r="H1639" s="145">
        <v>2.976</v>
      </c>
      <c r="I1639" s="145">
        <v>2.548</v>
      </c>
      <c r="J1639" s="145">
        <v>0.29399999999999998</v>
      </c>
      <c r="K1639" s="145">
        <v>52.945999999999998</v>
      </c>
      <c r="L1639" s="145">
        <v>3.605</v>
      </c>
      <c r="M1639" s="145" t="s">
        <v>400</v>
      </c>
      <c r="N1639" s="145">
        <v>16.486999999999998</v>
      </c>
      <c r="O1639" s="145">
        <v>8.282</v>
      </c>
      <c r="P1639" s="145">
        <v>8.0000000000000002E-3</v>
      </c>
      <c r="Q1639" s="145">
        <v>78.674999999999997</v>
      </c>
      <c r="R1639" s="145">
        <v>0.80600000000000005</v>
      </c>
      <c r="S1639" s="145">
        <v>1174.711</v>
      </c>
      <c r="T1639" s="145">
        <v>108.80800000000001</v>
      </c>
      <c r="U1639" s="145">
        <v>4.4999999999999998E-2</v>
      </c>
      <c r="V1639" s="145">
        <v>1.339</v>
      </c>
      <c r="W1639" s="145">
        <v>12.988</v>
      </c>
      <c r="X1639" s="145">
        <v>8.4000000000000005E-2</v>
      </c>
      <c r="Y1639" s="145">
        <v>9.2999999999999999E-2</v>
      </c>
      <c r="Z1639" s="146">
        <v>0.13500000000000001</v>
      </c>
      <c r="AA1639" s="145">
        <v>2.1339999999999999</v>
      </c>
      <c r="AB1639" s="145" t="s">
        <v>400</v>
      </c>
      <c r="AC1639" s="145">
        <v>3.85</v>
      </c>
      <c r="AD1639" s="145">
        <v>0.59699999999999998</v>
      </c>
      <c r="AE1639" s="145">
        <v>1.6180000000000001</v>
      </c>
      <c r="AF1639" s="145">
        <v>0.317</v>
      </c>
      <c r="AG1639" s="145">
        <v>0.13900000000000001</v>
      </c>
      <c r="AH1639" s="145">
        <v>0.80200000000000005</v>
      </c>
      <c r="AI1639" s="145" t="s">
        <v>400</v>
      </c>
      <c r="AJ1639" s="145">
        <v>9.9160000000000004</v>
      </c>
      <c r="AK1639" s="145">
        <v>12.988</v>
      </c>
      <c r="AL1639" s="145">
        <v>3.1520000000000001</v>
      </c>
      <c r="AM1639" s="145">
        <v>3.605</v>
      </c>
    </row>
    <row r="1640" spans="1:39">
      <c r="A1640" s="143" t="s">
        <v>2700</v>
      </c>
      <c r="B1640" s="144">
        <v>100</v>
      </c>
      <c r="C1640" s="145">
        <v>321.05099999999999</v>
      </c>
      <c r="D1640" s="145">
        <v>9.7189999999999994</v>
      </c>
      <c r="E1640" s="145">
        <v>29.509</v>
      </c>
      <c r="F1640" s="145">
        <v>10.863</v>
      </c>
      <c r="G1640" s="145">
        <v>12.599</v>
      </c>
      <c r="H1640" s="145">
        <v>2.976</v>
      </c>
      <c r="I1640" s="145">
        <v>2.548</v>
      </c>
      <c r="J1640" s="145">
        <v>0.29399999999999998</v>
      </c>
      <c r="K1640" s="145">
        <v>52.945999999999998</v>
      </c>
      <c r="L1640" s="145">
        <v>3.605</v>
      </c>
      <c r="M1640" s="145" t="s">
        <v>400</v>
      </c>
      <c r="N1640" s="145">
        <v>16.486999999999998</v>
      </c>
      <c r="O1640" s="145">
        <v>8.282</v>
      </c>
      <c r="P1640" s="145">
        <v>8.0000000000000002E-3</v>
      </c>
      <c r="Q1640" s="145">
        <v>78.674999999999997</v>
      </c>
      <c r="R1640" s="145">
        <v>0.80600000000000005</v>
      </c>
      <c r="S1640" s="145">
        <v>1174.711</v>
      </c>
      <c r="T1640" s="145">
        <v>108.80800000000001</v>
      </c>
      <c r="U1640" s="145">
        <v>4.4999999999999998E-2</v>
      </c>
      <c r="V1640" s="145">
        <v>1.339</v>
      </c>
      <c r="W1640" s="145">
        <v>12.988</v>
      </c>
      <c r="X1640" s="145">
        <v>8.4000000000000005E-2</v>
      </c>
      <c r="Y1640" s="145">
        <v>9.2999999999999999E-2</v>
      </c>
      <c r="Z1640" s="146">
        <v>0.13500000000000001</v>
      </c>
      <c r="AA1640" s="145">
        <v>2.1339999999999999</v>
      </c>
      <c r="AB1640" s="145" t="s">
        <v>400</v>
      </c>
      <c r="AC1640" s="145">
        <v>3.85</v>
      </c>
      <c r="AD1640" s="145">
        <v>0.59699999999999998</v>
      </c>
      <c r="AE1640" s="145">
        <v>1.6180000000000001</v>
      </c>
      <c r="AF1640" s="145">
        <v>0.317</v>
      </c>
      <c r="AG1640" s="145">
        <v>0.13900000000000001</v>
      </c>
      <c r="AH1640" s="145">
        <v>0.80200000000000005</v>
      </c>
      <c r="AI1640" s="145" t="s">
        <v>400</v>
      </c>
      <c r="AJ1640" s="145">
        <v>9.9160000000000004</v>
      </c>
      <c r="AK1640" s="145">
        <v>12.988</v>
      </c>
      <c r="AL1640" s="145">
        <v>3.1520000000000001</v>
      </c>
      <c r="AM1640" s="145">
        <v>3.605</v>
      </c>
    </row>
    <row r="1641" spans="1:39">
      <c r="A1641" s="143" t="s">
        <v>2701</v>
      </c>
      <c r="B1641" s="144">
        <v>100</v>
      </c>
      <c r="C1641" s="145">
        <v>321.05099999999999</v>
      </c>
      <c r="D1641" s="145">
        <v>9.7189999999999994</v>
      </c>
      <c r="E1641" s="145">
        <v>29.509</v>
      </c>
      <c r="F1641" s="145">
        <v>10.863</v>
      </c>
      <c r="G1641" s="145">
        <v>12.599</v>
      </c>
      <c r="H1641" s="145">
        <v>2.976</v>
      </c>
      <c r="I1641" s="145">
        <v>2.548</v>
      </c>
      <c r="J1641" s="145">
        <v>0.29399999999999998</v>
      </c>
      <c r="K1641" s="145">
        <v>52.945999999999998</v>
      </c>
      <c r="L1641" s="145">
        <v>3.605</v>
      </c>
      <c r="M1641" s="145" t="s">
        <v>400</v>
      </c>
      <c r="N1641" s="145">
        <v>16.486999999999998</v>
      </c>
      <c r="O1641" s="145">
        <v>8.282</v>
      </c>
      <c r="P1641" s="145">
        <v>8.0000000000000002E-3</v>
      </c>
      <c r="Q1641" s="145">
        <v>78.674999999999997</v>
      </c>
      <c r="R1641" s="145">
        <v>0.80600000000000005</v>
      </c>
      <c r="S1641" s="145">
        <v>1174.711</v>
      </c>
      <c r="T1641" s="145">
        <v>108.80800000000001</v>
      </c>
      <c r="U1641" s="145">
        <v>4.4999999999999998E-2</v>
      </c>
      <c r="V1641" s="145">
        <v>1.339</v>
      </c>
      <c r="W1641" s="145">
        <v>12.988</v>
      </c>
      <c r="X1641" s="145">
        <v>8.4000000000000005E-2</v>
      </c>
      <c r="Y1641" s="145">
        <v>9.2999999999999999E-2</v>
      </c>
      <c r="Z1641" s="146">
        <v>0.13500000000000001</v>
      </c>
      <c r="AA1641" s="145">
        <v>2.1339999999999999</v>
      </c>
      <c r="AB1641" s="145" t="s">
        <v>400</v>
      </c>
      <c r="AC1641" s="145">
        <v>3.85</v>
      </c>
      <c r="AD1641" s="145">
        <v>0.59699999999999998</v>
      </c>
      <c r="AE1641" s="145">
        <v>1.6180000000000001</v>
      </c>
      <c r="AF1641" s="145">
        <v>0.317</v>
      </c>
      <c r="AG1641" s="145">
        <v>0.13900000000000001</v>
      </c>
      <c r="AH1641" s="145">
        <v>0.80200000000000005</v>
      </c>
      <c r="AI1641" s="145" t="s">
        <v>400</v>
      </c>
      <c r="AJ1641" s="145">
        <v>9.9160000000000004</v>
      </c>
      <c r="AK1641" s="145">
        <v>12.988</v>
      </c>
      <c r="AL1641" s="145">
        <v>3.1520000000000001</v>
      </c>
      <c r="AM1641" s="145">
        <v>3.605</v>
      </c>
    </row>
    <row r="1642" spans="1:39">
      <c r="A1642" s="143" t="s">
        <v>2702</v>
      </c>
      <c r="B1642" s="144">
        <v>100</v>
      </c>
      <c r="C1642" s="145">
        <v>321.05099999999999</v>
      </c>
      <c r="D1642" s="145">
        <v>9.7189999999999994</v>
      </c>
      <c r="E1642" s="145">
        <v>29.509</v>
      </c>
      <c r="F1642" s="145">
        <v>10.863</v>
      </c>
      <c r="G1642" s="145">
        <v>12.599</v>
      </c>
      <c r="H1642" s="145">
        <v>2.976</v>
      </c>
      <c r="I1642" s="145">
        <v>2.548</v>
      </c>
      <c r="J1642" s="145">
        <v>0.29399999999999998</v>
      </c>
      <c r="K1642" s="145">
        <v>52.945999999999998</v>
      </c>
      <c r="L1642" s="145">
        <v>3.605</v>
      </c>
      <c r="M1642" s="145" t="s">
        <v>400</v>
      </c>
      <c r="N1642" s="145">
        <v>16.486999999999998</v>
      </c>
      <c r="O1642" s="145">
        <v>8.282</v>
      </c>
      <c r="P1642" s="145">
        <v>8.0000000000000002E-3</v>
      </c>
      <c r="Q1642" s="145">
        <v>78.674999999999997</v>
      </c>
      <c r="R1642" s="145">
        <v>0.80600000000000005</v>
      </c>
      <c r="S1642" s="145">
        <v>1174.711</v>
      </c>
      <c r="T1642" s="145">
        <v>108.80800000000001</v>
      </c>
      <c r="U1642" s="145">
        <v>4.4999999999999998E-2</v>
      </c>
      <c r="V1642" s="145">
        <v>1.339</v>
      </c>
      <c r="W1642" s="145">
        <v>12.988</v>
      </c>
      <c r="X1642" s="145">
        <v>8.4000000000000005E-2</v>
      </c>
      <c r="Y1642" s="145">
        <v>9.2999999999999999E-2</v>
      </c>
      <c r="Z1642" s="146">
        <v>0.13500000000000001</v>
      </c>
      <c r="AA1642" s="145">
        <v>2.1339999999999999</v>
      </c>
      <c r="AB1642" s="145" t="s">
        <v>400</v>
      </c>
      <c r="AC1642" s="145">
        <v>3.85</v>
      </c>
      <c r="AD1642" s="145">
        <v>0.59699999999999998</v>
      </c>
      <c r="AE1642" s="145">
        <v>1.6180000000000001</v>
      </c>
      <c r="AF1642" s="145">
        <v>0.317</v>
      </c>
      <c r="AG1642" s="145">
        <v>0.13900000000000001</v>
      </c>
      <c r="AH1642" s="145">
        <v>0.80200000000000005</v>
      </c>
      <c r="AI1642" s="145" t="s">
        <v>400</v>
      </c>
      <c r="AJ1642" s="145">
        <v>9.9160000000000004</v>
      </c>
      <c r="AK1642" s="145">
        <v>12.988</v>
      </c>
      <c r="AL1642" s="145">
        <v>3.1520000000000001</v>
      </c>
      <c r="AM1642" s="145">
        <v>3.605</v>
      </c>
    </row>
    <row r="1643" spans="1:39">
      <c r="A1643" s="143" t="s">
        <v>2703</v>
      </c>
      <c r="B1643" s="144">
        <v>100</v>
      </c>
      <c r="C1643" s="145">
        <v>289.43099999999998</v>
      </c>
      <c r="D1643" s="145">
        <v>8.5549999999999997</v>
      </c>
      <c r="E1643" s="145">
        <v>26.094999999999999</v>
      </c>
      <c r="F1643" s="145">
        <v>10.223000000000001</v>
      </c>
      <c r="G1643" s="145">
        <v>10.715999999999999</v>
      </c>
      <c r="H1643" s="145">
        <v>2.4940000000000002</v>
      </c>
      <c r="I1643" s="145">
        <v>2.129</v>
      </c>
      <c r="J1643" s="145">
        <v>0.25700000000000001</v>
      </c>
      <c r="K1643" s="145">
        <v>49.189</v>
      </c>
      <c r="L1643" s="145">
        <v>4.7350000000000003</v>
      </c>
      <c r="M1643" s="145">
        <v>4.2999999999999997E-2</v>
      </c>
      <c r="N1643" s="145">
        <v>36.069000000000003</v>
      </c>
      <c r="O1643" s="145">
        <v>8.9380000000000006</v>
      </c>
      <c r="P1643" s="145">
        <v>1.7000000000000001E-2</v>
      </c>
      <c r="Q1643" s="145">
        <v>82.632999999999996</v>
      </c>
      <c r="R1643" s="145">
        <v>0.71499999999999997</v>
      </c>
      <c r="S1643" s="145">
        <v>960.68600000000004</v>
      </c>
      <c r="T1643" s="145">
        <v>117.1</v>
      </c>
      <c r="U1643" s="145">
        <v>0.04</v>
      </c>
      <c r="V1643" s="145">
        <v>1.1599999999999999</v>
      </c>
      <c r="W1643" s="145">
        <v>31.088000000000001</v>
      </c>
      <c r="X1643" s="145">
        <v>8.5999999999999993E-2</v>
      </c>
      <c r="Y1643" s="145">
        <v>0.11700000000000001</v>
      </c>
      <c r="Z1643" s="145">
        <v>0.11600000000000001</v>
      </c>
      <c r="AA1643" s="145">
        <v>1.8029999999999999</v>
      </c>
      <c r="AB1643" s="145">
        <v>4.0000000000000001E-3</v>
      </c>
      <c r="AC1643" s="145">
        <v>3.4510000000000001</v>
      </c>
      <c r="AD1643" s="145">
        <v>0.56699999999999995</v>
      </c>
      <c r="AE1643" s="145">
        <v>4.891</v>
      </c>
      <c r="AF1643" s="145">
        <v>0.48099999999999998</v>
      </c>
      <c r="AG1643" s="145">
        <v>0.17699999999999999</v>
      </c>
      <c r="AH1643" s="145">
        <v>0.73799999999999999</v>
      </c>
      <c r="AI1643" s="145" t="s">
        <v>400</v>
      </c>
      <c r="AJ1643" s="145">
        <v>9.1020000000000003</v>
      </c>
      <c r="AK1643" s="145">
        <v>31.471</v>
      </c>
      <c r="AL1643" s="145">
        <v>3.5550000000000002</v>
      </c>
      <c r="AM1643" s="145">
        <v>2.8839999999999999</v>
      </c>
    </row>
    <row r="1644" spans="1:39">
      <c r="A1644" s="143" t="s">
        <v>2704</v>
      </c>
      <c r="B1644" s="144">
        <v>100</v>
      </c>
      <c r="C1644" s="145">
        <v>321.60000000000002</v>
      </c>
      <c r="D1644" s="145">
        <v>11.304</v>
      </c>
      <c r="E1644" s="145">
        <v>29.036000000000001</v>
      </c>
      <c r="F1644" s="145">
        <v>10.372999999999999</v>
      </c>
      <c r="G1644" s="145">
        <v>13.749000000000001</v>
      </c>
      <c r="H1644" s="145">
        <v>3.1349999999999998</v>
      </c>
      <c r="I1644" s="145">
        <v>2.782</v>
      </c>
      <c r="J1644" s="145">
        <v>0.25700000000000001</v>
      </c>
      <c r="K1644" s="145">
        <v>56.8</v>
      </c>
      <c r="L1644" s="145">
        <v>3.2360000000000002</v>
      </c>
      <c r="M1644" s="145">
        <v>0.3</v>
      </c>
      <c r="N1644" s="145">
        <v>10.6</v>
      </c>
      <c r="O1644" s="145">
        <v>12.8</v>
      </c>
      <c r="P1644" s="145">
        <v>5.0999999999999997E-2</v>
      </c>
      <c r="Q1644" s="145">
        <v>90.8</v>
      </c>
      <c r="R1644" s="145">
        <v>1.1080000000000001</v>
      </c>
      <c r="S1644" s="145">
        <v>748.8</v>
      </c>
      <c r="T1644" s="145">
        <v>217.4</v>
      </c>
      <c r="U1644" s="145">
        <v>5.5E-2</v>
      </c>
      <c r="V1644" s="145">
        <v>1.536</v>
      </c>
      <c r="W1644" s="145" t="s">
        <v>400</v>
      </c>
      <c r="X1644" s="145">
        <v>0.28999999999999998</v>
      </c>
      <c r="Y1644" s="145">
        <v>0.13100000000000001</v>
      </c>
      <c r="Z1644" s="145">
        <v>5.8999999999999997E-2</v>
      </c>
      <c r="AA1644" s="145">
        <v>2.8889999999999998</v>
      </c>
      <c r="AB1644" s="145">
        <v>1.4</v>
      </c>
      <c r="AC1644" s="145">
        <v>4.6820000000000004</v>
      </c>
      <c r="AD1644" s="145">
        <v>0.34399999999999997</v>
      </c>
      <c r="AE1644" s="145">
        <v>3.8</v>
      </c>
      <c r="AF1644" s="145">
        <v>0.56000000000000005</v>
      </c>
      <c r="AG1644" s="145">
        <v>0.46</v>
      </c>
      <c r="AH1644" s="145">
        <v>2.016</v>
      </c>
      <c r="AI1644" s="145" t="s">
        <v>400</v>
      </c>
      <c r="AJ1644" s="145">
        <v>11.56</v>
      </c>
      <c r="AK1644" s="145">
        <v>3.4830000000000001</v>
      </c>
      <c r="AL1644" s="145">
        <v>1.9219999999999999</v>
      </c>
      <c r="AM1644" s="145">
        <v>2.1579999999999999</v>
      </c>
    </row>
    <row r="1645" spans="1:39">
      <c r="A1645" s="143" t="s">
        <v>2705</v>
      </c>
      <c r="B1645" s="144">
        <v>100</v>
      </c>
      <c r="C1645" s="145">
        <v>321.05099999999999</v>
      </c>
      <c r="D1645" s="145">
        <v>9.7189999999999994</v>
      </c>
      <c r="E1645" s="145">
        <v>29.509</v>
      </c>
      <c r="F1645" s="145">
        <v>10.863</v>
      </c>
      <c r="G1645" s="145">
        <v>12.599</v>
      </c>
      <c r="H1645" s="145">
        <v>2.976</v>
      </c>
      <c r="I1645" s="145">
        <v>2.548</v>
      </c>
      <c r="J1645" s="145">
        <v>0.29399999999999998</v>
      </c>
      <c r="K1645" s="145">
        <v>52.945999999999998</v>
      </c>
      <c r="L1645" s="145">
        <v>3.605</v>
      </c>
      <c r="M1645" s="145" t="s">
        <v>400</v>
      </c>
      <c r="N1645" s="145">
        <v>16.486999999999998</v>
      </c>
      <c r="O1645" s="145">
        <v>8.282</v>
      </c>
      <c r="P1645" s="145">
        <v>8.0000000000000002E-3</v>
      </c>
      <c r="Q1645" s="145">
        <v>78.674999999999997</v>
      </c>
      <c r="R1645" s="145">
        <v>0.80600000000000005</v>
      </c>
      <c r="S1645" s="145">
        <v>1174.711</v>
      </c>
      <c r="T1645" s="145">
        <v>108.80800000000001</v>
      </c>
      <c r="U1645" s="145">
        <v>4.4999999999999998E-2</v>
      </c>
      <c r="V1645" s="145">
        <v>1.339</v>
      </c>
      <c r="W1645" s="145">
        <v>12.988</v>
      </c>
      <c r="X1645" s="145">
        <v>8.4000000000000005E-2</v>
      </c>
      <c r="Y1645" s="145">
        <v>9.2999999999999999E-2</v>
      </c>
      <c r="Z1645" s="146">
        <v>0.13500000000000001</v>
      </c>
      <c r="AA1645" s="145">
        <v>2.1339999999999999</v>
      </c>
      <c r="AB1645" s="145" t="s">
        <v>400</v>
      </c>
      <c r="AC1645" s="145">
        <v>3.85</v>
      </c>
      <c r="AD1645" s="145">
        <v>0.59699999999999998</v>
      </c>
      <c r="AE1645" s="145">
        <v>1.6180000000000001</v>
      </c>
      <c r="AF1645" s="145">
        <v>0.317</v>
      </c>
      <c r="AG1645" s="145">
        <v>0.13900000000000001</v>
      </c>
      <c r="AH1645" s="145">
        <v>0.80200000000000005</v>
      </c>
      <c r="AI1645" s="145" t="s">
        <v>400</v>
      </c>
      <c r="AJ1645" s="145">
        <v>9.9160000000000004</v>
      </c>
      <c r="AK1645" s="145">
        <v>12.988</v>
      </c>
      <c r="AL1645" s="145">
        <v>3.1520000000000001</v>
      </c>
      <c r="AM1645" s="145">
        <v>3.605</v>
      </c>
    </row>
    <row r="1646" spans="1:39">
      <c r="A1646" s="143" t="s">
        <v>2706</v>
      </c>
      <c r="B1646" s="144">
        <v>100</v>
      </c>
      <c r="C1646" s="145">
        <v>321.05099999999999</v>
      </c>
      <c r="D1646" s="145">
        <v>9.7189999999999994</v>
      </c>
      <c r="E1646" s="145">
        <v>29.509</v>
      </c>
      <c r="F1646" s="145">
        <v>10.863</v>
      </c>
      <c r="G1646" s="145">
        <v>12.599</v>
      </c>
      <c r="H1646" s="145">
        <v>2.976</v>
      </c>
      <c r="I1646" s="145">
        <v>2.548</v>
      </c>
      <c r="J1646" s="145">
        <v>0.29399999999999998</v>
      </c>
      <c r="K1646" s="145">
        <v>52.945999999999998</v>
      </c>
      <c r="L1646" s="145">
        <v>3.605</v>
      </c>
      <c r="M1646" s="145" t="s">
        <v>400</v>
      </c>
      <c r="N1646" s="145">
        <v>16.486999999999998</v>
      </c>
      <c r="O1646" s="145">
        <v>8.282</v>
      </c>
      <c r="P1646" s="145">
        <v>8.0000000000000002E-3</v>
      </c>
      <c r="Q1646" s="145">
        <v>78.674999999999997</v>
      </c>
      <c r="R1646" s="145">
        <v>0.80600000000000005</v>
      </c>
      <c r="S1646" s="145">
        <v>1174.711</v>
      </c>
      <c r="T1646" s="145">
        <v>108.80800000000001</v>
      </c>
      <c r="U1646" s="145">
        <v>4.4999999999999998E-2</v>
      </c>
      <c r="V1646" s="145">
        <v>1.339</v>
      </c>
      <c r="W1646" s="145">
        <v>12.988</v>
      </c>
      <c r="X1646" s="145">
        <v>8.4000000000000005E-2</v>
      </c>
      <c r="Y1646" s="145">
        <v>9.2999999999999999E-2</v>
      </c>
      <c r="Z1646" s="146">
        <v>0.13500000000000001</v>
      </c>
      <c r="AA1646" s="145">
        <v>2.1339999999999999</v>
      </c>
      <c r="AB1646" s="145" t="s">
        <v>400</v>
      </c>
      <c r="AC1646" s="145">
        <v>3.85</v>
      </c>
      <c r="AD1646" s="145">
        <v>0.59699999999999998</v>
      </c>
      <c r="AE1646" s="145">
        <v>1.6180000000000001</v>
      </c>
      <c r="AF1646" s="145">
        <v>0.317</v>
      </c>
      <c r="AG1646" s="145">
        <v>0.13900000000000001</v>
      </c>
      <c r="AH1646" s="145">
        <v>0.80200000000000005</v>
      </c>
      <c r="AI1646" s="145" t="s">
        <v>400</v>
      </c>
      <c r="AJ1646" s="145">
        <v>9.9160000000000004</v>
      </c>
      <c r="AK1646" s="145">
        <v>12.988</v>
      </c>
      <c r="AL1646" s="145">
        <v>3.1520000000000001</v>
      </c>
      <c r="AM1646" s="145">
        <v>3.605</v>
      </c>
    </row>
    <row r="1647" spans="1:39">
      <c r="A1647" s="143" t="s">
        <v>2707</v>
      </c>
      <c r="B1647" s="144">
        <v>100</v>
      </c>
      <c r="C1647" s="145">
        <v>321.05099999999999</v>
      </c>
      <c r="D1647" s="145">
        <v>9.7189999999999994</v>
      </c>
      <c r="E1647" s="145">
        <v>29.509</v>
      </c>
      <c r="F1647" s="145">
        <v>10.863</v>
      </c>
      <c r="G1647" s="145">
        <v>12.599</v>
      </c>
      <c r="H1647" s="145">
        <v>2.976</v>
      </c>
      <c r="I1647" s="145">
        <v>2.548</v>
      </c>
      <c r="J1647" s="145">
        <v>0.29399999999999998</v>
      </c>
      <c r="K1647" s="145">
        <v>52.945999999999998</v>
      </c>
      <c r="L1647" s="145">
        <v>3.605</v>
      </c>
      <c r="M1647" s="145" t="s">
        <v>400</v>
      </c>
      <c r="N1647" s="145">
        <v>16.486999999999998</v>
      </c>
      <c r="O1647" s="145">
        <v>8.282</v>
      </c>
      <c r="P1647" s="145">
        <v>8.0000000000000002E-3</v>
      </c>
      <c r="Q1647" s="145">
        <v>78.674999999999997</v>
      </c>
      <c r="R1647" s="145">
        <v>0.80600000000000005</v>
      </c>
      <c r="S1647" s="145">
        <v>1174.711</v>
      </c>
      <c r="T1647" s="145">
        <v>108.80800000000001</v>
      </c>
      <c r="U1647" s="145">
        <v>4.4999999999999998E-2</v>
      </c>
      <c r="V1647" s="145">
        <v>1.339</v>
      </c>
      <c r="W1647" s="145">
        <v>12.988</v>
      </c>
      <c r="X1647" s="145">
        <v>8.4000000000000005E-2</v>
      </c>
      <c r="Y1647" s="145">
        <v>9.2999999999999999E-2</v>
      </c>
      <c r="Z1647" s="146">
        <v>0.13500000000000001</v>
      </c>
      <c r="AA1647" s="145">
        <v>2.1339999999999999</v>
      </c>
      <c r="AB1647" s="145" t="s">
        <v>400</v>
      </c>
      <c r="AC1647" s="145">
        <v>3.85</v>
      </c>
      <c r="AD1647" s="145">
        <v>0.59699999999999998</v>
      </c>
      <c r="AE1647" s="145">
        <v>1.6180000000000001</v>
      </c>
      <c r="AF1647" s="145">
        <v>0.317</v>
      </c>
      <c r="AG1647" s="145">
        <v>0.13900000000000001</v>
      </c>
      <c r="AH1647" s="145">
        <v>0.80200000000000005</v>
      </c>
      <c r="AI1647" s="145" t="s">
        <v>400</v>
      </c>
      <c r="AJ1647" s="145">
        <v>9.9160000000000004</v>
      </c>
      <c r="AK1647" s="145">
        <v>12.988</v>
      </c>
      <c r="AL1647" s="145">
        <v>3.1520000000000001</v>
      </c>
      <c r="AM1647" s="145">
        <v>3.605</v>
      </c>
    </row>
    <row r="1648" spans="1:39">
      <c r="A1648" s="143" t="s">
        <v>2708</v>
      </c>
      <c r="B1648" s="144">
        <v>100</v>
      </c>
      <c r="C1648" s="145">
        <v>321.05099999999999</v>
      </c>
      <c r="D1648" s="145">
        <v>9.7189999999999994</v>
      </c>
      <c r="E1648" s="145">
        <v>29.509</v>
      </c>
      <c r="F1648" s="145">
        <v>10.863</v>
      </c>
      <c r="G1648" s="145">
        <v>12.599</v>
      </c>
      <c r="H1648" s="145">
        <v>2.976</v>
      </c>
      <c r="I1648" s="145">
        <v>2.548</v>
      </c>
      <c r="J1648" s="145">
        <v>0.29399999999999998</v>
      </c>
      <c r="K1648" s="145">
        <v>52.945999999999998</v>
      </c>
      <c r="L1648" s="145">
        <v>3.605</v>
      </c>
      <c r="M1648" s="145" t="s">
        <v>400</v>
      </c>
      <c r="N1648" s="145">
        <v>16.486999999999998</v>
      </c>
      <c r="O1648" s="145">
        <v>8.282</v>
      </c>
      <c r="P1648" s="145">
        <v>8.0000000000000002E-3</v>
      </c>
      <c r="Q1648" s="145">
        <v>78.674999999999997</v>
      </c>
      <c r="R1648" s="145">
        <v>0.80600000000000005</v>
      </c>
      <c r="S1648" s="145">
        <v>1174.711</v>
      </c>
      <c r="T1648" s="145">
        <v>108.80800000000001</v>
      </c>
      <c r="U1648" s="145">
        <v>4.4999999999999998E-2</v>
      </c>
      <c r="V1648" s="145">
        <v>1.339</v>
      </c>
      <c r="W1648" s="145">
        <v>12.988</v>
      </c>
      <c r="X1648" s="145">
        <v>8.4000000000000005E-2</v>
      </c>
      <c r="Y1648" s="145">
        <v>9.2999999999999999E-2</v>
      </c>
      <c r="Z1648" s="146">
        <v>0.13500000000000001</v>
      </c>
      <c r="AA1648" s="145">
        <v>2.1339999999999999</v>
      </c>
      <c r="AB1648" s="145" t="s">
        <v>400</v>
      </c>
      <c r="AC1648" s="145">
        <v>3.85</v>
      </c>
      <c r="AD1648" s="145">
        <v>0.59699999999999998</v>
      </c>
      <c r="AE1648" s="145">
        <v>1.6180000000000001</v>
      </c>
      <c r="AF1648" s="145">
        <v>0.317</v>
      </c>
      <c r="AG1648" s="145">
        <v>0.13900000000000001</v>
      </c>
      <c r="AH1648" s="145">
        <v>0.80200000000000005</v>
      </c>
      <c r="AI1648" s="145" t="s">
        <v>400</v>
      </c>
      <c r="AJ1648" s="145">
        <v>9.9160000000000004</v>
      </c>
      <c r="AK1648" s="145">
        <v>12.988</v>
      </c>
      <c r="AL1648" s="145">
        <v>3.1520000000000001</v>
      </c>
      <c r="AM1648" s="145">
        <v>3.605</v>
      </c>
    </row>
    <row r="1649" spans="1:39">
      <c r="A1649" s="143" t="s">
        <v>2709</v>
      </c>
      <c r="B1649" s="144">
        <v>100</v>
      </c>
      <c r="C1649" s="145">
        <v>396</v>
      </c>
      <c r="D1649" s="145">
        <v>13.8</v>
      </c>
      <c r="E1649" s="145">
        <v>36.25</v>
      </c>
      <c r="F1649" s="145">
        <v>12.96</v>
      </c>
      <c r="G1649" s="145">
        <v>17.18</v>
      </c>
      <c r="H1649" s="145">
        <v>3.9</v>
      </c>
      <c r="I1649" s="145">
        <v>3.46</v>
      </c>
      <c r="J1649" s="145">
        <v>0.32</v>
      </c>
      <c r="K1649" s="145">
        <v>71</v>
      </c>
      <c r="L1649" s="145">
        <v>2.7</v>
      </c>
      <c r="M1649" s="145" t="s">
        <v>400</v>
      </c>
      <c r="N1649" s="145">
        <v>10</v>
      </c>
      <c r="O1649" s="145">
        <v>12</v>
      </c>
      <c r="P1649" s="145">
        <v>3.6999999999999998E-2</v>
      </c>
      <c r="Q1649" s="145">
        <v>107</v>
      </c>
      <c r="R1649" s="145">
        <v>1.1299999999999999</v>
      </c>
      <c r="S1649" s="145">
        <v>805</v>
      </c>
      <c r="T1649" s="145">
        <v>189</v>
      </c>
      <c r="U1649" s="145">
        <v>0.04</v>
      </c>
      <c r="V1649" s="145">
        <v>1.87</v>
      </c>
      <c r="W1649" s="145" t="s">
        <v>400</v>
      </c>
      <c r="X1649" s="145">
        <v>0.35699999999999998</v>
      </c>
      <c r="Y1649" s="145">
        <v>0.14699999999999999</v>
      </c>
      <c r="Z1649" s="146">
        <v>0.05</v>
      </c>
      <c r="AA1649" s="145">
        <v>3.367</v>
      </c>
      <c r="AB1649" s="145" t="s">
        <v>400</v>
      </c>
      <c r="AC1649" s="145">
        <v>5.5670000000000002</v>
      </c>
      <c r="AD1649" s="145">
        <v>0.43</v>
      </c>
      <c r="AE1649" s="145">
        <v>2</v>
      </c>
      <c r="AF1649" s="145">
        <v>0.7</v>
      </c>
      <c r="AG1649" s="145">
        <v>0.22</v>
      </c>
      <c r="AH1649" s="145">
        <v>2.52</v>
      </c>
      <c r="AI1649" s="145" t="s">
        <v>400</v>
      </c>
      <c r="AJ1649" s="145">
        <v>14.4</v>
      </c>
      <c r="AK1649" s="145" t="s">
        <v>400</v>
      </c>
      <c r="AL1649" s="145">
        <v>1.34</v>
      </c>
      <c r="AM1649" s="145">
        <v>2.698</v>
      </c>
    </row>
    <row r="1650" spans="1:39">
      <c r="A1650" s="143" t="s">
        <v>2710</v>
      </c>
      <c r="B1650" s="144">
        <v>100</v>
      </c>
      <c r="C1650" s="145">
        <v>396</v>
      </c>
      <c r="D1650" s="145">
        <v>13.8</v>
      </c>
      <c r="E1650" s="145">
        <v>36.25</v>
      </c>
      <c r="F1650" s="145">
        <v>12.96</v>
      </c>
      <c r="G1650" s="145">
        <v>17.18</v>
      </c>
      <c r="H1650" s="145">
        <v>3.9</v>
      </c>
      <c r="I1650" s="145">
        <v>3.46</v>
      </c>
      <c r="J1650" s="145">
        <v>0.32</v>
      </c>
      <c r="K1650" s="145">
        <v>71</v>
      </c>
      <c r="L1650" s="145">
        <v>2.7</v>
      </c>
      <c r="M1650" s="145" t="s">
        <v>400</v>
      </c>
      <c r="N1650" s="145">
        <v>10</v>
      </c>
      <c r="O1650" s="145">
        <v>12</v>
      </c>
      <c r="P1650" s="145">
        <v>3.6999999999999998E-2</v>
      </c>
      <c r="Q1650" s="145">
        <v>107</v>
      </c>
      <c r="R1650" s="145">
        <v>1.1299999999999999</v>
      </c>
      <c r="S1650" s="145">
        <v>805</v>
      </c>
      <c r="T1650" s="145">
        <v>189</v>
      </c>
      <c r="U1650" s="145">
        <v>0.04</v>
      </c>
      <c r="V1650" s="145">
        <v>1.87</v>
      </c>
      <c r="W1650" s="145" t="s">
        <v>400</v>
      </c>
      <c r="X1650" s="145">
        <v>0.35699999999999998</v>
      </c>
      <c r="Y1650" s="145">
        <v>0.14699999999999999</v>
      </c>
      <c r="Z1650" s="146">
        <v>0.05</v>
      </c>
      <c r="AA1650" s="145">
        <v>3.367</v>
      </c>
      <c r="AB1650" s="145" t="s">
        <v>400</v>
      </c>
      <c r="AC1650" s="145">
        <v>5.5670000000000002</v>
      </c>
      <c r="AD1650" s="145">
        <v>0.43</v>
      </c>
      <c r="AE1650" s="145">
        <v>2</v>
      </c>
      <c r="AF1650" s="145">
        <v>0.7</v>
      </c>
      <c r="AG1650" s="145">
        <v>0.22</v>
      </c>
      <c r="AH1650" s="145">
        <v>2.52</v>
      </c>
      <c r="AI1650" s="145" t="s">
        <v>400</v>
      </c>
      <c r="AJ1650" s="145">
        <v>14.4</v>
      </c>
      <c r="AK1650" s="145" t="s">
        <v>400</v>
      </c>
      <c r="AL1650" s="145">
        <v>1.34</v>
      </c>
      <c r="AM1650" s="145">
        <v>2.698</v>
      </c>
    </row>
    <row r="1651" spans="1:39">
      <c r="A1651" s="143" t="s">
        <v>2711</v>
      </c>
      <c r="B1651" s="144">
        <v>100</v>
      </c>
      <c r="C1651" s="145">
        <v>396</v>
      </c>
      <c r="D1651" s="145">
        <v>13.8</v>
      </c>
      <c r="E1651" s="145">
        <v>36.25</v>
      </c>
      <c r="F1651" s="145">
        <v>12.96</v>
      </c>
      <c r="G1651" s="145">
        <v>17.18</v>
      </c>
      <c r="H1651" s="145">
        <v>3.9</v>
      </c>
      <c r="I1651" s="145">
        <v>3.46</v>
      </c>
      <c r="J1651" s="145">
        <v>0.32</v>
      </c>
      <c r="K1651" s="145">
        <v>71</v>
      </c>
      <c r="L1651" s="145">
        <v>2.7</v>
      </c>
      <c r="M1651" s="145" t="s">
        <v>400</v>
      </c>
      <c r="N1651" s="145">
        <v>10</v>
      </c>
      <c r="O1651" s="145">
        <v>12</v>
      </c>
      <c r="P1651" s="145">
        <v>3.6999999999999998E-2</v>
      </c>
      <c r="Q1651" s="145">
        <v>107</v>
      </c>
      <c r="R1651" s="145">
        <v>1.1299999999999999</v>
      </c>
      <c r="S1651" s="145">
        <v>805</v>
      </c>
      <c r="T1651" s="145">
        <v>189</v>
      </c>
      <c r="U1651" s="145">
        <v>0.04</v>
      </c>
      <c r="V1651" s="145">
        <v>1.87</v>
      </c>
      <c r="W1651" s="145" t="s">
        <v>400</v>
      </c>
      <c r="X1651" s="145">
        <v>0.35699999999999998</v>
      </c>
      <c r="Y1651" s="145">
        <v>0.14699999999999999</v>
      </c>
      <c r="Z1651" s="146">
        <v>0.05</v>
      </c>
      <c r="AA1651" s="145">
        <v>3.367</v>
      </c>
      <c r="AB1651" s="145" t="s">
        <v>400</v>
      </c>
      <c r="AC1651" s="145">
        <v>5.5670000000000002</v>
      </c>
      <c r="AD1651" s="145">
        <v>0.43</v>
      </c>
      <c r="AE1651" s="145">
        <v>2</v>
      </c>
      <c r="AF1651" s="145">
        <v>0.7</v>
      </c>
      <c r="AG1651" s="145">
        <v>0.22</v>
      </c>
      <c r="AH1651" s="145">
        <v>2.52</v>
      </c>
      <c r="AI1651" s="145" t="s">
        <v>400</v>
      </c>
      <c r="AJ1651" s="145">
        <v>14.4</v>
      </c>
      <c r="AK1651" s="145" t="s">
        <v>400</v>
      </c>
      <c r="AL1651" s="145">
        <v>1.34</v>
      </c>
      <c r="AM1651" s="145">
        <v>2.698</v>
      </c>
    </row>
    <row r="1652" spans="1:39">
      <c r="A1652" s="143" t="s">
        <v>2712</v>
      </c>
      <c r="B1652" s="144">
        <v>100</v>
      </c>
      <c r="C1652" s="145">
        <v>396</v>
      </c>
      <c r="D1652" s="145">
        <v>13.8</v>
      </c>
      <c r="E1652" s="145">
        <v>36.25</v>
      </c>
      <c r="F1652" s="145">
        <v>12.96</v>
      </c>
      <c r="G1652" s="145">
        <v>17.18</v>
      </c>
      <c r="H1652" s="145">
        <v>3.9</v>
      </c>
      <c r="I1652" s="145">
        <v>3.46</v>
      </c>
      <c r="J1652" s="145">
        <v>0.32</v>
      </c>
      <c r="K1652" s="145">
        <v>71</v>
      </c>
      <c r="L1652" s="145">
        <v>2.7</v>
      </c>
      <c r="M1652" s="145" t="s">
        <v>400</v>
      </c>
      <c r="N1652" s="145">
        <v>10</v>
      </c>
      <c r="O1652" s="145">
        <v>12</v>
      </c>
      <c r="P1652" s="145">
        <v>3.6999999999999998E-2</v>
      </c>
      <c r="Q1652" s="145">
        <v>107</v>
      </c>
      <c r="R1652" s="145">
        <v>1.1299999999999999</v>
      </c>
      <c r="S1652" s="145">
        <v>805</v>
      </c>
      <c r="T1652" s="145">
        <v>189</v>
      </c>
      <c r="U1652" s="145">
        <v>0.04</v>
      </c>
      <c r="V1652" s="145">
        <v>1.87</v>
      </c>
      <c r="W1652" s="145" t="s">
        <v>400</v>
      </c>
      <c r="X1652" s="145">
        <v>0.35699999999999998</v>
      </c>
      <c r="Y1652" s="145">
        <v>0.14699999999999999</v>
      </c>
      <c r="Z1652" s="146">
        <v>0.05</v>
      </c>
      <c r="AA1652" s="145">
        <v>3.367</v>
      </c>
      <c r="AB1652" s="145" t="s">
        <v>400</v>
      </c>
      <c r="AC1652" s="145">
        <v>5.5670000000000002</v>
      </c>
      <c r="AD1652" s="145">
        <v>0.43</v>
      </c>
      <c r="AE1652" s="145">
        <v>2</v>
      </c>
      <c r="AF1652" s="145">
        <v>0.7</v>
      </c>
      <c r="AG1652" s="145">
        <v>0.22</v>
      </c>
      <c r="AH1652" s="145">
        <v>2.52</v>
      </c>
      <c r="AI1652" s="145" t="s">
        <v>400</v>
      </c>
      <c r="AJ1652" s="145">
        <v>14.4</v>
      </c>
      <c r="AK1652" s="145" t="s">
        <v>400</v>
      </c>
      <c r="AL1652" s="145">
        <v>1.34</v>
      </c>
      <c r="AM1652" s="145">
        <v>2.698</v>
      </c>
    </row>
    <row r="1653" spans="1:39">
      <c r="A1653" s="143" t="s">
        <v>2713</v>
      </c>
      <c r="B1653" s="144">
        <v>100</v>
      </c>
      <c r="C1653" s="145">
        <v>396</v>
      </c>
      <c r="D1653" s="145">
        <v>13.8</v>
      </c>
      <c r="E1653" s="145">
        <v>36.25</v>
      </c>
      <c r="F1653" s="145">
        <v>12.96</v>
      </c>
      <c r="G1653" s="145">
        <v>17.18</v>
      </c>
      <c r="H1653" s="145">
        <v>3.9</v>
      </c>
      <c r="I1653" s="145">
        <v>3.46</v>
      </c>
      <c r="J1653" s="145">
        <v>0.32</v>
      </c>
      <c r="K1653" s="145">
        <v>71</v>
      </c>
      <c r="L1653" s="145">
        <v>2.7</v>
      </c>
      <c r="M1653" s="145" t="s">
        <v>400</v>
      </c>
      <c r="N1653" s="145">
        <v>10</v>
      </c>
      <c r="O1653" s="145">
        <v>12</v>
      </c>
      <c r="P1653" s="145">
        <v>3.6999999999999998E-2</v>
      </c>
      <c r="Q1653" s="145">
        <v>107</v>
      </c>
      <c r="R1653" s="145">
        <v>1.1299999999999999</v>
      </c>
      <c r="S1653" s="145">
        <v>805</v>
      </c>
      <c r="T1653" s="145">
        <v>189</v>
      </c>
      <c r="U1653" s="145">
        <v>0.04</v>
      </c>
      <c r="V1653" s="145">
        <v>1.87</v>
      </c>
      <c r="W1653" s="145" t="s">
        <v>400</v>
      </c>
      <c r="X1653" s="145">
        <v>0.35699999999999998</v>
      </c>
      <c r="Y1653" s="145">
        <v>0.14699999999999999</v>
      </c>
      <c r="Z1653" s="146">
        <v>0.05</v>
      </c>
      <c r="AA1653" s="145">
        <v>3.367</v>
      </c>
      <c r="AB1653" s="145" t="s">
        <v>400</v>
      </c>
      <c r="AC1653" s="145">
        <v>5.5670000000000002</v>
      </c>
      <c r="AD1653" s="145">
        <v>0.43</v>
      </c>
      <c r="AE1653" s="145">
        <v>2</v>
      </c>
      <c r="AF1653" s="145">
        <v>0.7</v>
      </c>
      <c r="AG1653" s="145">
        <v>0.22</v>
      </c>
      <c r="AH1653" s="145">
        <v>2.52</v>
      </c>
      <c r="AI1653" s="145" t="s">
        <v>400</v>
      </c>
      <c r="AJ1653" s="145">
        <v>14.4</v>
      </c>
      <c r="AK1653" s="145" t="s">
        <v>400</v>
      </c>
      <c r="AL1653" s="145">
        <v>1.34</v>
      </c>
      <c r="AM1653" s="145">
        <v>2.698</v>
      </c>
    </row>
    <row r="1654" spans="1:39">
      <c r="A1654" s="143" t="s">
        <v>2714</v>
      </c>
      <c r="B1654" s="144">
        <v>100</v>
      </c>
      <c r="C1654" s="145">
        <v>396</v>
      </c>
      <c r="D1654" s="145">
        <v>13.8</v>
      </c>
      <c r="E1654" s="145">
        <v>36.25</v>
      </c>
      <c r="F1654" s="145">
        <v>12.96</v>
      </c>
      <c r="G1654" s="145">
        <v>17.18</v>
      </c>
      <c r="H1654" s="145">
        <v>3.9</v>
      </c>
      <c r="I1654" s="145">
        <v>3.46</v>
      </c>
      <c r="J1654" s="145">
        <v>0.32</v>
      </c>
      <c r="K1654" s="145">
        <v>71</v>
      </c>
      <c r="L1654" s="145">
        <v>2.7</v>
      </c>
      <c r="M1654" s="145" t="s">
        <v>400</v>
      </c>
      <c r="N1654" s="145">
        <v>10</v>
      </c>
      <c r="O1654" s="145">
        <v>12</v>
      </c>
      <c r="P1654" s="145">
        <v>3.6999999999999998E-2</v>
      </c>
      <c r="Q1654" s="145">
        <v>107</v>
      </c>
      <c r="R1654" s="145">
        <v>1.1299999999999999</v>
      </c>
      <c r="S1654" s="145">
        <v>805</v>
      </c>
      <c r="T1654" s="145">
        <v>189</v>
      </c>
      <c r="U1654" s="145">
        <v>0.04</v>
      </c>
      <c r="V1654" s="145">
        <v>1.87</v>
      </c>
      <c r="W1654" s="145" t="s">
        <v>400</v>
      </c>
      <c r="X1654" s="145">
        <v>0.35699999999999998</v>
      </c>
      <c r="Y1654" s="145">
        <v>0.14699999999999999</v>
      </c>
      <c r="Z1654" s="146">
        <v>0.05</v>
      </c>
      <c r="AA1654" s="145">
        <v>3.367</v>
      </c>
      <c r="AB1654" s="145" t="s">
        <v>400</v>
      </c>
      <c r="AC1654" s="145">
        <v>5.5670000000000002</v>
      </c>
      <c r="AD1654" s="145">
        <v>0.43</v>
      </c>
      <c r="AE1654" s="145">
        <v>2</v>
      </c>
      <c r="AF1654" s="145">
        <v>0.7</v>
      </c>
      <c r="AG1654" s="145">
        <v>0.22</v>
      </c>
      <c r="AH1654" s="145">
        <v>2.52</v>
      </c>
      <c r="AI1654" s="145" t="s">
        <v>400</v>
      </c>
      <c r="AJ1654" s="145">
        <v>14.4</v>
      </c>
      <c r="AK1654" s="145" t="s">
        <v>400</v>
      </c>
      <c r="AL1654" s="145">
        <v>1.34</v>
      </c>
      <c r="AM1654" s="145">
        <v>2.698</v>
      </c>
    </row>
    <row r="1655" spans="1:39">
      <c r="A1655" s="143" t="s">
        <v>2715</v>
      </c>
      <c r="B1655" s="144">
        <v>100</v>
      </c>
      <c r="C1655" s="145">
        <v>396</v>
      </c>
      <c r="D1655" s="145">
        <v>13.8</v>
      </c>
      <c r="E1655" s="145">
        <v>36.25</v>
      </c>
      <c r="F1655" s="145">
        <v>12.96</v>
      </c>
      <c r="G1655" s="145">
        <v>17.18</v>
      </c>
      <c r="H1655" s="145">
        <v>3.9</v>
      </c>
      <c r="I1655" s="145">
        <v>3.46</v>
      </c>
      <c r="J1655" s="145">
        <v>0.32</v>
      </c>
      <c r="K1655" s="145">
        <v>71</v>
      </c>
      <c r="L1655" s="145">
        <v>2.7</v>
      </c>
      <c r="M1655" s="145" t="s">
        <v>400</v>
      </c>
      <c r="N1655" s="145">
        <v>10</v>
      </c>
      <c r="O1655" s="145">
        <v>12</v>
      </c>
      <c r="P1655" s="145">
        <v>3.6999999999999998E-2</v>
      </c>
      <c r="Q1655" s="145">
        <v>107</v>
      </c>
      <c r="R1655" s="145">
        <v>1.1299999999999999</v>
      </c>
      <c r="S1655" s="145">
        <v>805</v>
      </c>
      <c r="T1655" s="145">
        <v>189</v>
      </c>
      <c r="U1655" s="145">
        <v>0.04</v>
      </c>
      <c r="V1655" s="145">
        <v>1.87</v>
      </c>
      <c r="W1655" s="145" t="s">
        <v>400</v>
      </c>
      <c r="X1655" s="145">
        <v>0.35699999999999998</v>
      </c>
      <c r="Y1655" s="145">
        <v>0.14699999999999999</v>
      </c>
      <c r="Z1655" s="146">
        <v>0.05</v>
      </c>
      <c r="AA1655" s="145">
        <v>3.367</v>
      </c>
      <c r="AB1655" s="145" t="s">
        <v>400</v>
      </c>
      <c r="AC1655" s="145">
        <v>5.5670000000000002</v>
      </c>
      <c r="AD1655" s="145">
        <v>0.43</v>
      </c>
      <c r="AE1655" s="145">
        <v>2</v>
      </c>
      <c r="AF1655" s="145">
        <v>0.7</v>
      </c>
      <c r="AG1655" s="145">
        <v>0.22</v>
      </c>
      <c r="AH1655" s="145">
        <v>2.52</v>
      </c>
      <c r="AI1655" s="145" t="s">
        <v>400</v>
      </c>
      <c r="AJ1655" s="145">
        <v>14.4</v>
      </c>
      <c r="AK1655" s="145" t="s">
        <v>400</v>
      </c>
      <c r="AL1655" s="145">
        <v>1.34</v>
      </c>
      <c r="AM1655" s="145">
        <v>2.698</v>
      </c>
    </row>
    <row r="1656" spans="1:39">
      <c r="A1656" s="143" t="s">
        <v>2716</v>
      </c>
      <c r="B1656" s="144">
        <v>100</v>
      </c>
      <c r="C1656" s="145">
        <v>321.60000000000002</v>
      </c>
      <c r="D1656" s="145">
        <v>11.304</v>
      </c>
      <c r="E1656" s="145">
        <v>29.036000000000001</v>
      </c>
      <c r="F1656" s="145">
        <v>10.372999999999999</v>
      </c>
      <c r="G1656" s="145">
        <v>13.749000000000001</v>
      </c>
      <c r="H1656" s="145">
        <v>3.1349999999999998</v>
      </c>
      <c r="I1656" s="145">
        <v>2.782</v>
      </c>
      <c r="J1656" s="145">
        <v>0.25700000000000001</v>
      </c>
      <c r="K1656" s="145">
        <v>56.8</v>
      </c>
      <c r="L1656" s="145">
        <v>3.2360000000000002</v>
      </c>
      <c r="M1656" s="145">
        <v>0.3</v>
      </c>
      <c r="N1656" s="145">
        <v>10.6</v>
      </c>
      <c r="O1656" s="145">
        <v>12.8</v>
      </c>
      <c r="P1656" s="145">
        <v>5.0999999999999997E-2</v>
      </c>
      <c r="Q1656" s="145">
        <v>90.8</v>
      </c>
      <c r="R1656" s="145">
        <v>1.1080000000000001</v>
      </c>
      <c r="S1656" s="145">
        <v>748.8</v>
      </c>
      <c r="T1656" s="145">
        <v>217.4</v>
      </c>
      <c r="U1656" s="145">
        <v>5.5E-2</v>
      </c>
      <c r="V1656" s="145">
        <v>1.536</v>
      </c>
      <c r="W1656" s="145" t="s">
        <v>400</v>
      </c>
      <c r="X1656" s="145">
        <v>0.28999999999999998</v>
      </c>
      <c r="Y1656" s="145">
        <v>0.13100000000000001</v>
      </c>
      <c r="Z1656" s="145">
        <v>5.8999999999999997E-2</v>
      </c>
      <c r="AA1656" s="145">
        <v>2.8889999999999998</v>
      </c>
      <c r="AB1656" s="145">
        <v>1.4</v>
      </c>
      <c r="AC1656" s="145">
        <v>4.6820000000000004</v>
      </c>
      <c r="AD1656" s="145">
        <v>0.34399999999999997</v>
      </c>
      <c r="AE1656" s="145">
        <v>3.8</v>
      </c>
      <c r="AF1656" s="145">
        <v>0.56000000000000005</v>
      </c>
      <c r="AG1656" s="145">
        <v>0.46</v>
      </c>
      <c r="AH1656" s="145">
        <v>2.016</v>
      </c>
      <c r="AI1656" s="145" t="s">
        <v>400</v>
      </c>
      <c r="AJ1656" s="145">
        <v>11.56</v>
      </c>
      <c r="AK1656" s="145">
        <v>3.4830000000000001</v>
      </c>
      <c r="AL1656" s="145">
        <v>1.9219999999999999</v>
      </c>
      <c r="AM1656" s="145">
        <v>2.1579999999999999</v>
      </c>
    </row>
    <row r="1657" spans="1:39">
      <c r="A1657" s="143" t="s">
        <v>2717</v>
      </c>
      <c r="B1657" s="144">
        <v>100</v>
      </c>
      <c r="C1657" s="145">
        <v>396</v>
      </c>
      <c r="D1657" s="145">
        <v>13.8</v>
      </c>
      <c r="E1657" s="145">
        <v>36.25</v>
      </c>
      <c r="F1657" s="145">
        <v>12.96</v>
      </c>
      <c r="G1657" s="145">
        <v>17.18</v>
      </c>
      <c r="H1657" s="145">
        <v>3.9</v>
      </c>
      <c r="I1657" s="145">
        <v>3.46</v>
      </c>
      <c r="J1657" s="145">
        <v>0.32</v>
      </c>
      <c r="K1657" s="145">
        <v>71</v>
      </c>
      <c r="L1657" s="145">
        <v>2.7</v>
      </c>
      <c r="M1657" s="145" t="s">
        <v>400</v>
      </c>
      <c r="N1657" s="145">
        <v>10</v>
      </c>
      <c r="O1657" s="145">
        <v>12</v>
      </c>
      <c r="P1657" s="145">
        <v>3.6999999999999998E-2</v>
      </c>
      <c r="Q1657" s="145">
        <v>107</v>
      </c>
      <c r="R1657" s="145">
        <v>1.1299999999999999</v>
      </c>
      <c r="S1657" s="145">
        <v>805</v>
      </c>
      <c r="T1657" s="145">
        <v>189</v>
      </c>
      <c r="U1657" s="145">
        <v>0.04</v>
      </c>
      <c r="V1657" s="145">
        <v>1.87</v>
      </c>
      <c r="W1657" s="145" t="s">
        <v>400</v>
      </c>
      <c r="X1657" s="145">
        <v>0.35699999999999998</v>
      </c>
      <c r="Y1657" s="145">
        <v>0.14699999999999999</v>
      </c>
      <c r="Z1657" s="146">
        <v>0.05</v>
      </c>
      <c r="AA1657" s="145">
        <v>3.367</v>
      </c>
      <c r="AB1657" s="145" t="s">
        <v>400</v>
      </c>
      <c r="AC1657" s="145">
        <v>5.5670000000000002</v>
      </c>
      <c r="AD1657" s="145">
        <v>0.43</v>
      </c>
      <c r="AE1657" s="145">
        <v>2</v>
      </c>
      <c r="AF1657" s="145">
        <v>0.7</v>
      </c>
      <c r="AG1657" s="145">
        <v>0.22</v>
      </c>
      <c r="AH1657" s="145">
        <v>2.52</v>
      </c>
      <c r="AI1657" s="145" t="s">
        <v>400</v>
      </c>
      <c r="AJ1657" s="145">
        <v>14.4</v>
      </c>
      <c r="AK1657" s="145" t="s">
        <v>400</v>
      </c>
      <c r="AL1657" s="145">
        <v>1.34</v>
      </c>
      <c r="AM1657" s="145">
        <v>2.698</v>
      </c>
    </row>
    <row r="1658" spans="1:39">
      <c r="A1658" s="143" t="s">
        <v>2718</v>
      </c>
      <c r="B1658" s="144">
        <v>100</v>
      </c>
      <c r="C1658" s="145">
        <v>396</v>
      </c>
      <c r="D1658" s="145">
        <v>13.8</v>
      </c>
      <c r="E1658" s="145">
        <v>36.25</v>
      </c>
      <c r="F1658" s="145">
        <v>12.96</v>
      </c>
      <c r="G1658" s="145">
        <v>17.18</v>
      </c>
      <c r="H1658" s="145">
        <v>3.9</v>
      </c>
      <c r="I1658" s="145">
        <v>3.46</v>
      </c>
      <c r="J1658" s="145">
        <v>0.32</v>
      </c>
      <c r="K1658" s="145">
        <v>71</v>
      </c>
      <c r="L1658" s="145">
        <v>2.7</v>
      </c>
      <c r="M1658" s="145" t="s">
        <v>400</v>
      </c>
      <c r="N1658" s="145">
        <v>10</v>
      </c>
      <c r="O1658" s="145">
        <v>12</v>
      </c>
      <c r="P1658" s="145">
        <v>3.6999999999999998E-2</v>
      </c>
      <c r="Q1658" s="145">
        <v>107</v>
      </c>
      <c r="R1658" s="145">
        <v>1.1299999999999999</v>
      </c>
      <c r="S1658" s="145">
        <v>805</v>
      </c>
      <c r="T1658" s="145">
        <v>189</v>
      </c>
      <c r="U1658" s="145">
        <v>0.04</v>
      </c>
      <c r="V1658" s="145">
        <v>1.87</v>
      </c>
      <c r="W1658" s="145" t="s">
        <v>400</v>
      </c>
      <c r="X1658" s="145">
        <v>0.35699999999999998</v>
      </c>
      <c r="Y1658" s="145">
        <v>0.14699999999999999</v>
      </c>
      <c r="Z1658" s="146">
        <v>0.05</v>
      </c>
      <c r="AA1658" s="145">
        <v>3.367</v>
      </c>
      <c r="AB1658" s="145" t="s">
        <v>400</v>
      </c>
      <c r="AC1658" s="145">
        <v>5.5670000000000002</v>
      </c>
      <c r="AD1658" s="145">
        <v>0.43</v>
      </c>
      <c r="AE1658" s="145">
        <v>2</v>
      </c>
      <c r="AF1658" s="145">
        <v>0.7</v>
      </c>
      <c r="AG1658" s="145">
        <v>0.22</v>
      </c>
      <c r="AH1658" s="145">
        <v>2.52</v>
      </c>
      <c r="AI1658" s="145" t="s">
        <v>400</v>
      </c>
      <c r="AJ1658" s="145">
        <v>14.4</v>
      </c>
      <c r="AK1658" s="145" t="s">
        <v>400</v>
      </c>
      <c r="AL1658" s="145">
        <v>1.34</v>
      </c>
      <c r="AM1658" s="145">
        <v>2.698</v>
      </c>
    </row>
    <row r="1659" spans="1:39">
      <c r="A1659" s="143" t="s">
        <v>2719</v>
      </c>
      <c r="B1659" s="144">
        <v>100</v>
      </c>
      <c r="C1659" s="145">
        <v>396</v>
      </c>
      <c r="D1659" s="145">
        <v>13.8</v>
      </c>
      <c r="E1659" s="145">
        <v>36.25</v>
      </c>
      <c r="F1659" s="145">
        <v>12.96</v>
      </c>
      <c r="G1659" s="145">
        <v>17.18</v>
      </c>
      <c r="H1659" s="145">
        <v>3.9</v>
      </c>
      <c r="I1659" s="145">
        <v>3.46</v>
      </c>
      <c r="J1659" s="145">
        <v>0.32</v>
      </c>
      <c r="K1659" s="145">
        <v>71</v>
      </c>
      <c r="L1659" s="145">
        <v>2.7</v>
      </c>
      <c r="M1659" s="145" t="s">
        <v>400</v>
      </c>
      <c r="N1659" s="145">
        <v>10</v>
      </c>
      <c r="O1659" s="145">
        <v>12</v>
      </c>
      <c r="P1659" s="145">
        <v>3.6999999999999998E-2</v>
      </c>
      <c r="Q1659" s="145">
        <v>107</v>
      </c>
      <c r="R1659" s="145">
        <v>1.1299999999999999</v>
      </c>
      <c r="S1659" s="145">
        <v>805</v>
      </c>
      <c r="T1659" s="145">
        <v>189</v>
      </c>
      <c r="U1659" s="145">
        <v>0.04</v>
      </c>
      <c r="V1659" s="145">
        <v>1.87</v>
      </c>
      <c r="W1659" s="145" t="s">
        <v>400</v>
      </c>
      <c r="X1659" s="145">
        <v>0.35699999999999998</v>
      </c>
      <c r="Y1659" s="145">
        <v>0.14699999999999999</v>
      </c>
      <c r="Z1659" s="146">
        <v>0.05</v>
      </c>
      <c r="AA1659" s="145">
        <v>3.367</v>
      </c>
      <c r="AB1659" s="145" t="s">
        <v>400</v>
      </c>
      <c r="AC1659" s="145">
        <v>5.5670000000000002</v>
      </c>
      <c r="AD1659" s="145">
        <v>0.43</v>
      </c>
      <c r="AE1659" s="145">
        <v>2</v>
      </c>
      <c r="AF1659" s="145">
        <v>0.7</v>
      </c>
      <c r="AG1659" s="145">
        <v>0.22</v>
      </c>
      <c r="AH1659" s="145">
        <v>2.52</v>
      </c>
      <c r="AI1659" s="145" t="s">
        <v>400</v>
      </c>
      <c r="AJ1659" s="145">
        <v>14.4</v>
      </c>
      <c r="AK1659" s="145" t="s">
        <v>400</v>
      </c>
      <c r="AL1659" s="145">
        <v>1.34</v>
      </c>
      <c r="AM1659" s="145">
        <v>2.698</v>
      </c>
    </row>
    <row r="1660" spans="1:39">
      <c r="A1660" s="143" t="s">
        <v>2720</v>
      </c>
      <c r="B1660" s="144">
        <v>100</v>
      </c>
      <c r="C1660" s="145">
        <v>244</v>
      </c>
      <c r="D1660" s="145">
        <v>18.2</v>
      </c>
      <c r="E1660" s="145">
        <v>18.399999999999999</v>
      </c>
      <c r="F1660" s="145">
        <v>4.7</v>
      </c>
      <c r="G1660" s="145">
        <v>6.8</v>
      </c>
      <c r="H1660" s="145">
        <v>3.4</v>
      </c>
      <c r="I1660" s="145">
        <v>3</v>
      </c>
      <c r="J1660" s="145">
        <v>0.17</v>
      </c>
      <c r="K1660" s="145">
        <v>80</v>
      </c>
      <c r="L1660" s="145" t="s">
        <v>400</v>
      </c>
      <c r="M1660" s="145" t="s">
        <v>400</v>
      </c>
      <c r="N1660" s="145">
        <v>14</v>
      </c>
      <c r="O1660" s="145">
        <v>21</v>
      </c>
      <c r="P1660" s="145">
        <v>0.1</v>
      </c>
      <c r="Q1660" s="145">
        <v>228</v>
      </c>
      <c r="R1660" s="145">
        <v>0.7</v>
      </c>
      <c r="S1660" s="145">
        <v>1351</v>
      </c>
      <c r="T1660" s="145">
        <v>356</v>
      </c>
      <c r="U1660" s="145">
        <v>0.09</v>
      </c>
      <c r="V1660" s="145">
        <v>1</v>
      </c>
      <c r="W1660" s="145" t="s">
        <v>400</v>
      </c>
      <c r="X1660" s="145">
        <v>0.12</v>
      </c>
      <c r="Y1660" s="145">
        <v>0.04</v>
      </c>
      <c r="Z1660" s="146" t="s">
        <v>400</v>
      </c>
      <c r="AA1660" s="145">
        <v>5.97</v>
      </c>
      <c r="AB1660" s="145" t="s">
        <v>400</v>
      </c>
      <c r="AC1660" s="145" t="s">
        <v>400</v>
      </c>
      <c r="AD1660" s="145" t="s">
        <v>400</v>
      </c>
      <c r="AE1660" s="145" t="s">
        <v>400</v>
      </c>
      <c r="AF1660" s="145" t="s">
        <v>400</v>
      </c>
      <c r="AG1660" s="145" t="s">
        <v>400</v>
      </c>
      <c r="AH1660" s="145" t="s">
        <v>400</v>
      </c>
      <c r="AI1660" s="145" t="s">
        <v>400</v>
      </c>
      <c r="AJ1660" s="145" t="s">
        <v>400</v>
      </c>
      <c r="AK1660" s="145" t="s">
        <v>400</v>
      </c>
      <c r="AL1660" s="145" t="s">
        <v>400</v>
      </c>
      <c r="AM1660" s="145" t="s">
        <v>400</v>
      </c>
    </row>
    <row r="1661" spans="1:39">
      <c r="A1661" s="143" t="s">
        <v>2721</v>
      </c>
      <c r="B1661" s="144">
        <v>100</v>
      </c>
      <c r="C1661" s="145">
        <v>244</v>
      </c>
      <c r="D1661" s="145">
        <v>18.2</v>
      </c>
      <c r="E1661" s="145">
        <v>18.399999999999999</v>
      </c>
      <c r="F1661" s="145">
        <v>4.7</v>
      </c>
      <c r="G1661" s="145">
        <v>6.8</v>
      </c>
      <c r="H1661" s="145">
        <v>3.4</v>
      </c>
      <c r="I1661" s="145">
        <v>3</v>
      </c>
      <c r="J1661" s="145">
        <v>0.17</v>
      </c>
      <c r="K1661" s="145">
        <v>80</v>
      </c>
      <c r="L1661" s="145" t="s">
        <v>400</v>
      </c>
      <c r="M1661" s="145" t="s">
        <v>400</v>
      </c>
      <c r="N1661" s="145">
        <v>14</v>
      </c>
      <c r="O1661" s="145">
        <v>21</v>
      </c>
      <c r="P1661" s="145">
        <v>0.1</v>
      </c>
      <c r="Q1661" s="145">
        <v>228</v>
      </c>
      <c r="R1661" s="145">
        <v>0.7</v>
      </c>
      <c r="S1661" s="145">
        <v>1351</v>
      </c>
      <c r="T1661" s="145">
        <v>356</v>
      </c>
      <c r="U1661" s="145">
        <v>0.09</v>
      </c>
      <c r="V1661" s="145">
        <v>1</v>
      </c>
      <c r="W1661" s="145" t="s">
        <v>400</v>
      </c>
      <c r="X1661" s="145">
        <v>0.12</v>
      </c>
      <c r="Y1661" s="145">
        <v>0.04</v>
      </c>
      <c r="Z1661" s="146" t="s">
        <v>400</v>
      </c>
      <c r="AA1661" s="145">
        <v>5.97</v>
      </c>
      <c r="AB1661" s="145" t="s">
        <v>400</v>
      </c>
      <c r="AC1661" s="145" t="s">
        <v>400</v>
      </c>
      <c r="AD1661" s="145" t="s">
        <v>400</v>
      </c>
      <c r="AE1661" s="145" t="s">
        <v>400</v>
      </c>
      <c r="AF1661" s="145" t="s">
        <v>400</v>
      </c>
      <c r="AG1661" s="145" t="s">
        <v>400</v>
      </c>
      <c r="AH1661" s="145" t="s">
        <v>400</v>
      </c>
      <c r="AI1661" s="145" t="s">
        <v>400</v>
      </c>
      <c r="AJ1661" s="145" t="s">
        <v>400</v>
      </c>
      <c r="AK1661" s="145" t="s">
        <v>400</v>
      </c>
      <c r="AL1661" s="145" t="s">
        <v>400</v>
      </c>
      <c r="AM1661" s="145" t="s">
        <v>400</v>
      </c>
    </row>
    <row r="1662" spans="1:39">
      <c r="A1662" s="143" t="s">
        <v>2722</v>
      </c>
      <c r="B1662" s="144">
        <v>100</v>
      </c>
      <c r="C1662" s="145">
        <v>244</v>
      </c>
      <c r="D1662" s="145">
        <v>18.2</v>
      </c>
      <c r="E1662" s="145">
        <v>18.399999999999999</v>
      </c>
      <c r="F1662" s="145">
        <v>4.7</v>
      </c>
      <c r="G1662" s="145">
        <v>6.8</v>
      </c>
      <c r="H1662" s="145">
        <v>3.4</v>
      </c>
      <c r="I1662" s="145">
        <v>3</v>
      </c>
      <c r="J1662" s="145">
        <v>0.17</v>
      </c>
      <c r="K1662" s="145">
        <v>80</v>
      </c>
      <c r="L1662" s="145" t="s">
        <v>400</v>
      </c>
      <c r="M1662" s="145" t="s">
        <v>400</v>
      </c>
      <c r="N1662" s="145">
        <v>14</v>
      </c>
      <c r="O1662" s="145">
        <v>21</v>
      </c>
      <c r="P1662" s="145">
        <v>0.1</v>
      </c>
      <c r="Q1662" s="145">
        <v>228</v>
      </c>
      <c r="R1662" s="145">
        <v>0.7</v>
      </c>
      <c r="S1662" s="145">
        <v>1351</v>
      </c>
      <c r="T1662" s="145">
        <v>356</v>
      </c>
      <c r="U1662" s="145">
        <v>0.09</v>
      </c>
      <c r="V1662" s="145">
        <v>1</v>
      </c>
      <c r="W1662" s="145" t="s">
        <v>400</v>
      </c>
      <c r="X1662" s="145">
        <v>0.12</v>
      </c>
      <c r="Y1662" s="145">
        <v>0.04</v>
      </c>
      <c r="Z1662" s="146" t="s">
        <v>400</v>
      </c>
      <c r="AA1662" s="145">
        <v>5.97</v>
      </c>
      <c r="AB1662" s="145" t="s">
        <v>400</v>
      </c>
      <c r="AC1662" s="145" t="s">
        <v>400</v>
      </c>
      <c r="AD1662" s="145" t="s">
        <v>400</v>
      </c>
      <c r="AE1662" s="145" t="s">
        <v>400</v>
      </c>
      <c r="AF1662" s="145" t="s">
        <v>400</v>
      </c>
      <c r="AG1662" s="145" t="s">
        <v>400</v>
      </c>
      <c r="AH1662" s="145" t="s">
        <v>400</v>
      </c>
      <c r="AI1662" s="145" t="s">
        <v>400</v>
      </c>
      <c r="AJ1662" s="145" t="s">
        <v>400</v>
      </c>
      <c r="AK1662" s="145" t="s">
        <v>400</v>
      </c>
      <c r="AL1662" s="145" t="s">
        <v>400</v>
      </c>
      <c r="AM1662" s="145" t="s">
        <v>400</v>
      </c>
    </row>
    <row r="1663" spans="1:39">
      <c r="A1663" s="143" t="s">
        <v>2723</v>
      </c>
      <c r="B1663" s="144">
        <v>100</v>
      </c>
      <c r="C1663" s="145">
        <v>244</v>
      </c>
      <c r="D1663" s="145">
        <v>18.2</v>
      </c>
      <c r="E1663" s="145">
        <v>18.399999999999999</v>
      </c>
      <c r="F1663" s="145">
        <v>4.7</v>
      </c>
      <c r="G1663" s="145">
        <v>6.8</v>
      </c>
      <c r="H1663" s="145">
        <v>3.4</v>
      </c>
      <c r="I1663" s="145">
        <v>3</v>
      </c>
      <c r="J1663" s="145">
        <v>0.17</v>
      </c>
      <c r="K1663" s="145">
        <v>80</v>
      </c>
      <c r="L1663" s="145" t="s">
        <v>400</v>
      </c>
      <c r="M1663" s="145" t="s">
        <v>400</v>
      </c>
      <c r="N1663" s="145">
        <v>14</v>
      </c>
      <c r="O1663" s="145">
        <v>21</v>
      </c>
      <c r="P1663" s="145">
        <v>0.1</v>
      </c>
      <c r="Q1663" s="145">
        <v>228</v>
      </c>
      <c r="R1663" s="145">
        <v>0.7</v>
      </c>
      <c r="S1663" s="145">
        <v>1351</v>
      </c>
      <c r="T1663" s="145">
        <v>356</v>
      </c>
      <c r="U1663" s="145">
        <v>0.09</v>
      </c>
      <c r="V1663" s="145">
        <v>1</v>
      </c>
      <c r="W1663" s="145" t="s">
        <v>400</v>
      </c>
      <c r="X1663" s="145">
        <v>0.12</v>
      </c>
      <c r="Y1663" s="145">
        <v>0.04</v>
      </c>
      <c r="Z1663" s="146" t="s">
        <v>400</v>
      </c>
      <c r="AA1663" s="145">
        <v>5.97</v>
      </c>
      <c r="AB1663" s="145" t="s">
        <v>400</v>
      </c>
      <c r="AC1663" s="145" t="s">
        <v>400</v>
      </c>
      <c r="AD1663" s="145" t="s">
        <v>400</v>
      </c>
      <c r="AE1663" s="145" t="s">
        <v>400</v>
      </c>
      <c r="AF1663" s="145" t="s">
        <v>400</v>
      </c>
      <c r="AG1663" s="145" t="s">
        <v>400</v>
      </c>
      <c r="AH1663" s="145" t="s">
        <v>400</v>
      </c>
      <c r="AI1663" s="145" t="s">
        <v>400</v>
      </c>
      <c r="AJ1663" s="145" t="s">
        <v>400</v>
      </c>
      <c r="AK1663" s="145" t="s">
        <v>400</v>
      </c>
      <c r="AL1663" s="145" t="s">
        <v>400</v>
      </c>
      <c r="AM1663" s="145" t="s">
        <v>400</v>
      </c>
    </row>
    <row r="1664" spans="1:39">
      <c r="A1664" s="143" t="s">
        <v>2724</v>
      </c>
      <c r="B1664" s="144">
        <v>100</v>
      </c>
      <c r="C1664" s="145">
        <v>245</v>
      </c>
      <c r="D1664" s="145">
        <v>18.3</v>
      </c>
      <c r="E1664" s="145">
        <v>18.5</v>
      </c>
      <c r="F1664" s="145">
        <v>5</v>
      </c>
      <c r="G1664" s="145">
        <v>7.2</v>
      </c>
      <c r="H1664" s="145">
        <v>4.3</v>
      </c>
      <c r="I1664" s="145">
        <v>3.85</v>
      </c>
      <c r="J1664" s="145">
        <v>0.25</v>
      </c>
      <c r="K1664" s="145">
        <v>76</v>
      </c>
      <c r="L1664" s="145" t="s">
        <v>400</v>
      </c>
      <c r="M1664" s="145" t="s">
        <v>400</v>
      </c>
      <c r="N1664" s="145">
        <v>15</v>
      </c>
      <c r="O1664" s="145">
        <v>29</v>
      </c>
      <c r="P1664" s="145">
        <v>0.1</v>
      </c>
      <c r="Q1664" s="145">
        <v>262</v>
      </c>
      <c r="R1664" s="145">
        <v>0.8</v>
      </c>
      <c r="S1664" s="145">
        <v>1374</v>
      </c>
      <c r="T1664" s="145">
        <v>364</v>
      </c>
      <c r="U1664" s="145">
        <v>0.04</v>
      </c>
      <c r="V1664" s="145">
        <v>1.2</v>
      </c>
      <c r="W1664" s="145" t="s">
        <v>400</v>
      </c>
      <c r="X1664" s="145">
        <v>0.11</v>
      </c>
      <c r="Y1664" s="145">
        <v>0.05</v>
      </c>
      <c r="Z1664" s="146" t="s">
        <v>400</v>
      </c>
      <c r="AA1664" s="145">
        <v>5.67</v>
      </c>
      <c r="AB1664" s="145" t="s">
        <v>400</v>
      </c>
      <c r="AC1664" s="145" t="s">
        <v>400</v>
      </c>
      <c r="AD1664" s="145" t="s">
        <v>400</v>
      </c>
      <c r="AE1664" s="145" t="s">
        <v>400</v>
      </c>
      <c r="AF1664" s="145" t="s">
        <v>400</v>
      </c>
      <c r="AG1664" s="145" t="s">
        <v>400</v>
      </c>
      <c r="AH1664" s="145" t="s">
        <v>400</v>
      </c>
      <c r="AI1664" s="145" t="s">
        <v>400</v>
      </c>
      <c r="AJ1664" s="145" t="s">
        <v>400</v>
      </c>
      <c r="AK1664" s="145" t="s">
        <v>400</v>
      </c>
      <c r="AL1664" s="145" t="s">
        <v>400</v>
      </c>
      <c r="AM1664" s="145" t="s">
        <v>400</v>
      </c>
    </row>
    <row r="1665" spans="1:39">
      <c r="A1665" s="143" t="s">
        <v>2725</v>
      </c>
      <c r="B1665" s="144">
        <v>100</v>
      </c>
      <c r="C1665" s="145">
        <v>379</v>
      </c>
      <c r="D1665" s="145">
        <v>14.6</v>
      </c>
      <c r="E1665" s="145">
        <v>34.5</v>
      </c>
      <c r="F1665" s="145">
        <v>13.4</v>
      </c>
      <c r="G1665" s="145">
        <v>15.9</v>
      </c>
      <c r="H1665" s="145">
        <v>3.46</v>
      </c>
      <c r="I1665" s="145">
        <v>3.2</v>
      </c>
      <c r="J1665" s="145">
        <v>0.26</v>
      </c>
      <c r="K1665" s="145">
        <v>120</v>
      </c>
      <c r="L1665" s="145">
        <v>1.29</v>
      </c>
      <c r="M1665" s="145" t="s">
        <v>400</v>
      </c>
      <c r="N1665" s="145">
        <v>6</v>
      </c>
      <c r="O1665" s="145">
        <v>8</v>
      </c>
      <c r="P1665" s="145">
        <v>0.01</v>
      </c>
      <c r="Q1665" s="145">
        <v>22</v>
      </c>
      <c r="R1665" s="145">
        <v>6.4</v>
      </c>
      <c r="S1665" s="145">
        <v>680</v>
      </c>
      <c r="T1665" s="145">
        <v>38</v>
      </c>
      <c r="U1665" s="145">
        <v>0.04</v>
      </c>
      <c r="V1665" s="145">
        <v>1.3</v>
      </c>
      <c r="W1665" s="145" t="s">
        <v>400</v>
      </c>
      <c r="X1665" s="145">
        <v>7.0000000000000007E-2</v>
      </c>
      <c r="Y1665" s="145">
        <v>0.13</v>
      </c>
      <c r="Z1665" s="146">
        <v>0.04</v>
      </c>
      <c r="AA1665" s="145">
        <v>1.2</v>
      </c>
      <c r="AB1665" s="145" t="s">
        <v>400</v>
      </c>
      <c r="AC1665" s="145">
        <v>4.2</v>
      </c>
      <c r="AD1665" s="145">
        <v>1</v>
      </c>
      <c r="AE1665" s="145">
        <v>5</v>
      </c>
      <c r="AF1665" s="145">
        <v>0.253</v>
      </c>
      <c r="AG1665" s="145">
        <v>0.13</v>
      </c>
      <c r="AH1665" s="145">
        <v>8.1000000000000003E-2</v>
      </c>
      <c r="AI1665" s="145" t="s">
        <v>400</v>
      </c>
      <c r="AJ1665" s="145">
        <v>15.5</v>
      </c>
      <c r="AK1665" s="145" t="s">
        <v>400</v>
      </c>
      <c r="AL1665" s="145">
        <v>1.31</v>
      </c>
      <c r="AM1665" s="145">
        <v>1.1000000000000001</v>
      </c>
    </row>
    <row r="1666" spans="1:39">
      <c r="A1666" s="143" t="s">
        <v>2726</v>
      </c>
      <c r="B1666" s="144">
        <v>100</v>
      </c>
      <c r="C1666" s="145">
        <v>379</v>
      </c>
      <c r="D1666" s="145">
        <v>14.6</v>
      </c>
      <c r="E1666" s="145">
        <v>34.5</v>
      </c>
      <c r="F1666" s="145">
        <v>13.4</v>
      </c>
      <c r="G1666" s="145">
        <v>15.9</v>
      </c>
      <c r="H1666" s="145">
        <v>3.46</v>
      </c>
      <c r="I1666" s="145">
        <v>3.2</v>
      </c>
      <c r="J1666" s="145">
        <v>0.26</v>
      </c>
      <c r="K1666" s="145">
        <v>120</v>
      </c>
      <c r="L1666" s="145">
        <v>1.29</v>
      </c>
      <c r="M1666" s="145" t="s">
        <v>400</v>
      </c>
      <c r="N1666" s="145">
        <v>6</v>
      </c>
      <c r="O1666" s="145">
        <v>8</v>
      </c>
      <c r="P1666" s="145">
        <v>0.01</v>
      </c>
      <c r="Q1666" s="145">
        <v>22</v>
      </c>
      <c r="R1666" s="145">
        <v>6.4</v>
      </c>
      <c r="S1666" s="145">
        <v>680</v>
      </c>
      <c r="T1666" s="145">
        <v>38</v>
      </c>
      <c r="U1666" s="145">
        <v>0.04</v>
      </c>
      <c r="V1666" s="145">
        <v>1.3</v>
      </c>
      <c r="W1666" s="145" t="s">
        <v>400</v>
      </c>
      <c r="X1666" s="145">
        <v>7.0000000000000007E-2</v>
      </c>
      <c r="Y1666" s="145">
        <v>0.13</v>
      </c>
      <c r="Z1666" s="146">
        <v>0.04</v>
      </c>
      <c r="AA1666" s="145">
        <v>1.2</v>
      </c>
      <c r="AB1666" s="145" t="s">
        <v>400</v>
      </c>
      <c r="AC1666" s="145">
        <v>4.2</v>
      </c>
      <c r="AD1666" s="145">
        <v>1</v>
      </c>
      <c r="AE1666" s="145">
        <v>5</v>
      </c>
      <c r="AF1666" s="145">
        <v>0.253</v>
      </c>
      <c r="AG1666" s="145">
        <v>0.13</v>
      </c>
      <c r="AH1666" s="145">
        <v>8.1000000000000003E-2</v>
      </c>
      <c r="AI1666" s="145" t="s">
        <v>400</v>
      </c>
      <c r="AJ1666" s="145">
        <v>15.5</v>
      </c>
      <c r="AK1666" s="145" t="s">
        <v>400</v>
      </c>
      <c r="AL1666" s="145">
        <v>1.31</v>
      </c>
      <c r="AM1666" s="145">
        <v>1.1000000000000001</v>
      </c>
    </row>
    <row r="1667" spans="1:39">
      <c r="A1667" s="143" t="s">
        <v>2727</v>
      </c>
      <c r="B1667" s="144">
        <v>100</v>
      </c>
      <c r="C1667" s="145">
        <v>379</v>
      </c>
      <c r="D1667" s="145">
        <v>14.6</v>
      </c>
      <c r="E1667" s="145">
        <v>34.5</v>
      </c>
      <c r="F1667" s="145">
        <v>13.4</v>
      </c>
      <c r="G1667" s="145">
        <v>15.9</v>
      </c>
      <c r="H1667" s="145">
        <v>3.46</v>
      </c>
      <c r="I1667" s="145">
        <v>3.2</v>
      </c>
      <c r="J1667" s="145">
        <v>0.26</v>
      </c>
      <c r="K1667" s="145">
        <v>120</v>
      </c>
      <c r="L1667" s="145">
        <v>1.29</v>
      </c>
      <c r="M1667" s="145" t="s">
        <v>400</v>
      </c>
      <c r="N1667" s="145">
        <v>6</v>
      </c>
      <c r="O1667" s="145">
        <v>8</v>
      </c>
      <c r="P1667" s="145">
        <v>0.01</v>
      </c>
      <c r="Q1667" s="145">
        <v>22</v>
      </c>
      <c r="R1667" s="145">
        <v>6.4</v>
      </c>
      <c r="S1667" s="145">
        <v>680</v>
      </c>
      <c r="T1667" s="145">
        <v>38</v>
      </c>
      <c r="U1667" s="145">
        <v>0.04</v>
      </c>
      <c r="V1667" s="145">
        <v>1.3</v>
      </c>
      <c r="W1667" s="145" t="s">
        <v>400</v>
      </c>
      <c r="X1667" s="145">
        <v>7.0000000000000007E-2</v>
      </c>
      <c r="Y1667" s="145">
        <v>0.13</v>
      </c>
      <c r="Z1667" s="146">
        <v>0.04</v>
      </c>
      <c r="AA1667" s="145">
        <v>1.2</v>
      </c>
      <c r="AB1667" s="145" t="s">
        <v>400</v>
      </c>
      <c r="AC1667" s="145">
        <v>4.2</v>
      </c>
      <c r="AD1667" s="145">
        <v>1</v>
      </c>
      <c r="AE1667" s="145">
        <v>5</v>
      </c>
      <c r="AF1667" s="145">
        <v>0.253</v>
      </c>
      <c r="AG1667" s="145">
        <v>0.13</v>
      </c>
      <c r="AH1667" s="145">
        <v>8.1000000000000003E-2</v>
      </c>
      <c r="AI1667" s="145" t="s">
        <v>400</v>
      </c>
      <c r="AJ1667" s="145">
        <v>15.5</v>
      </c>
      <c r="AK1667" s="145" t="s">
        <v>400</v>
      </c>
      <c r="AL1667" s="145">
        <v>1.31</v>
      </c>
      <c r="AM1667" s="145">
        <v>1.1000000000000001</v>
      </c>
    </row>
    <row r="1668" spans="1:39">
      <c r="A1668" s="143" t="s">
        <v>2728</v>
      </c>
      <c r="B1668" s="144">
        <v>100</v>
      </c>
      <c r="C1668" s="145">
        <v>379</v>
      </c>
      <c r="D1668" s="145">
        <v>14.6</v>
      </c>
      <c r="E1668" s="145">
        <v>34.5</v>
      </c>
      <c r="F1668" s="145">
        <v>13.4</v>
      </c>
      <c r="G1668" s="145">
        <v>15.9</v>
      </c>
      <c r="H1668" s="145">
        <v>3.46</v>
      </c>
      <c r="I1668" s="145">
        <v>3.2</v>
      </c>
      <c r="J1668" s="145">
        <v>0.26</v>
      </c>
      <c r="K1668" s="145">
        <v>120</v>
      </c>
      <c r="L1668" s="145">
        <v>1.29</v>
      </c>
      <c r="M1668" s="145" t="s">
        <v>400</v>
      </c>
      <c r="N1668" s="145">
        <v>6</v>
      </c>
      <c r="O1668" s="145">
        <v>8</v>
      </c>
      <c r="P1668" s="145">
        <v>0.01</v>
      </c>
      <c r="Q1668" s="145">
        <v>22</v>
      </c>
      <c r="R1668" s="145">
        <v>6.4</v>
      </c>
      <c r="S1668" s="145">
        <v>680</v>
      </c>
      <c r="T1668" s="145">
        <v>38</v>
      </c>
      <c r="U1668" s="145">
        <v>0.04</v>
      </c>
      <c r="V1668" s="145">
        <v>1.3</v>
      </c>
      <c r="W1668" s="145" t="s">
        <v>400</v>
      </c>
      <c r="X1668" s="145">
        <v>7.0000000000000007E-2</v>
      </c>
      <c r="Y1668" s="145">
        <v>0.13</v>
      </c>
      <c r="Z1668" s="146">
        <v>0.04</v>
      </c>
      <c r="AA1668" s="145">
        <v>1.2</v>
      </c>
      <c r="AB1668" s="145" t="s">
        <v>400</v>
      </c>
      <c r="AC1668" s="145">
        <v>4.2</v>
      </c>
      <c r="AD1668" s="145">
        <v>1</v>
      </c>
      <c r="AE1668" s="145">
        <v>5</v>
      </c>
      <c r="AF1668" s="145">
        <v>0.253</v>
      </c>
      <c r="AG1668" s="145">
        <v>0.13</v>
      </c>
      <c r="AH1668" s="145">
        <v>8.1000000000000003E-2</v>
      </c>
      <c r="AI1668" s="145" t="s">
        <v>400</v>
      </c>
      <c r="AJ1668" s="145">
        <v>15.5</v>
      </c>
      <c r="AK1668" s="145" t="s">
        <v>400</v>
      </c>
      <c r="AL1668" s="145">
        <v>1.31</v>
      </c>
      <c r="AM1668" s="145">
        <v>1.1000000000000001</v>
      </c>
    </row>
    <row r="1669" spans="1:39">
      <c r="A1669" s="143" t="s">
        <v>2729</v>
      </c>
      <c r="B1669" s="144">
        <v>100</v>
      </c>
      <c r="C1669" s="145">
        <v>339</v>
      </c>
      <c r="D1669" s="145">
        <v>19.43</v>
      </c>
      <c r="E1669" s="145">
        <v>28.36</v>
      </c>
      <c r="F1669" s="145">
        <v>9.1310000000000002</v>
      </c>
      <c r="G1669" s="145">
        <v>12.375999999999999</v>
      </c>
      <c r="H1669" s="145">
        <v>3.7269999999999999</v>
      </c>
      <c r="I1669" s="145">
        <v>3.2919999999999998</v>
      </c>
      <c r="J1669" s="145">
        <v>0.13800000000000001</v>
      </c>
      <c r="K1669" s="145">
        <v>84</v>
      </c>
      <c r="L1669" s="145" t="s">
        <v>400</v>
      </c>
      <c r="M1669" s="145" t="s">
        <v>400</v>
      </c>
      <c r="N1669" s="145">
        <v>13</v>
      </c>
      <c r="O1669" s="145">
        <v>17</v>
      </c>
      <c r="P1669" s="145">
        <v>5.0000000000000001E-3</v>
      </c>
      <c r="Q1669" s="145">
        <v>163</v>
      </c>
      <c r="R1669" s="145">
        <v>1.36</v>
      </c>
      <c r="S1669" s="145">
        <v>749</v>
      </c>
      <c r="T1669" s="145">
        <v>294</v>
      </c>
      <c r="U1669" s="145">
        <v>8.5999999999999993E-2</v>
      </c>
      <c r="V1669" s="145">
        <v>2.08</v>
      </c>
      <c r="W1669" s="145">
        <v>12</v>
      </c>
      <c r="X1669" s="145">
        <v>0.29399999999999998</v>
      </c>
      <c r="Y1669" s="145">
        <v>0.19700000000000001</v>
      </c>
      <c r="Z1669" s="146">
        <v>0.32700000000000001</v>
      </c>
      <c r="AA1669" s="145">
        <v>6.258</v>
      </c>
      <c r="AB1669" s="145">
        <v>0.7</v>
      </c>
      <c r="AC1669" s="145">
        <v>8.8409999999999993</v>
      </c>
      <c r="AD1669" s="145">
        <v>1.18</v>
      </c>
      <c r="AE1669" s="145">
        <v>3</v>
      </c>
      <c r="AF1669" s="145" t="s">
        <v>400</v>
      </c>
      <c r="AG1669" s="145">
        <v>0.55000000000000004</v>
      </c>
      <c r="AH1669" s="145">
        <v>0.11</v>
      </c>
      <c r="AI1669" s="145" t="s">
        <v>400</v>
      </c>
      <c r="AJ1669" s="145" t="s">
        <v>400</v>
      </c>
      <c r="AK1669" s="145">
        <v>12</v>
      </c>
      <c r="AL1669" s="145">
        <v>0.14099999999999999</v>
      </c>
      <c r="AM1669" s="145" t="s">
        <v>400</v>
      </c>
    </row>
    <row r="1670" spans="1:39">
      <c r="A1670" s="143" t="s">
        <v>2730</v>
      </c>
      <c r="B1670" s="144">
        <v>100</v>
      </c>
      <c r="C1670" s="145">
        <v>307</v>
      </c>
      <c r="D1670" s="145">
        <v>11.1</v>
      </c>
      <c r="E1670" s="145">
        <v>27.7</v>
      </c>
      <c r="F1670" s="145">
        <v>10.210000000000001</v>
      </c>
      <c r="G1670" s="145">
        <v>12.81</v>
      </c>
      <c r="H1670" s="145">
        <v>2.92</v>
      </c>
      <c r="I1670" s="145">
        <v>2.48</v>
      </c>
      <c r="J1670" s="145">
        <v>0.44</v>
      </c>
      <c r="K1670" s="145">
        <v>60</v>
      </c>
      <c r="L1670" s="145">
        <v>3.2</v>
      </c>
      <c r="M1670" s="145" t="s">
        <v>400</v>
      </c>
      <c r="N1670" s="145">
        <v>11</v>
      </c>
      <c r="O1670" s="145">
        <v>11</v>
      </c>
      <c r="P1670" s="145">
        <v>2.1000000000000001E-2</v>
      </c>
      <c r="Q1670" s="145">
        <v>98</v>
      </c>
      <c r="R1670" s="145">
        <v>0.66</v>
      </c>
      <c r="S1670" s="145">
        <v>930</v>
      </c>
      <c r="T1670" s="145">
        <v>199</v>
      </c>
      <c r="U1670" s="145">
        <v>0.06</v>
      </c>
      <c r="V1670" s="145">
        <v>1.66</v>
      </c>
      <c r="W1670" s="145" t="s">
        <v>400</v>
      </c>
      <c r="X1670" s="145">
        <v>0.34200000000000003</v>
      </c>
      <c r="Y1670" s="145">
        <v>0.14000000000000001</v>
      </c>
      <c r="Z1670" s="146">
        <v>0.17</v>
      </c>
      <c r="AA1670" s="145">
        <v>2.734</v>
      </c>
      <c r="AB1670" s="145" t="s">
        <v>400</v>
      </c>
      <c r="AC1670" s="145">
        <v>5.0339999999999998</v>
      </c>
      <c r="AD1670" s="145">
        <v>1.18</v>
      </c>
      <c r="AE1670" s="145">
        <v>2</v>
      </c>
      <c r="AF1670" s="145">
        <v>1.1000000000000001</v>
      </c>
      <c r="AG1670" s="145">
        <v>0.56999999999999995</v>
      </c>
      <c r="AH1670" s="145">
        <v>0.80200000000000005</v>
      </c>
      <c r="AI1670" s="145" t="s">
        <v>400</v>
      </c>
      <c r="AJ1670" s="145">
        <v>13.5</v>
      </c>
      <c r="AK1670" s="145" t="s">
        <v>400</v>
      </c>
      <c r="AL1670" s="145">
        <v>2.5430000000000001</v>
      </c>
      <c r="AM1670" s="145">
        <v>2.706</v>
      </c>
    </row>
    <row r="1671" spans="1:39">
      <c r="A1671" s="143" t="s">
        <v>2731</v>
      </c>
      <c r="B1671" s="144">
        <v>100</v>
      </c>
      <c r="C1671" s="145">
        <v>336</v>
      </c>
      <c r="D1671" s="145">
        <v>21.85</v>
      </c>
      <c r="E1671" s="145">
        <v>25.9</v>
      </c>
      <c r="F1671" s="145">
        <v>9.3160000000000007</v>
      </c>
      <c r="G1671" s="145">
        <v>11.127000000000001</v>
      </c>
      <c r="H1671" s="145">
        <v>2.5289999999999999</v>
      </c>
      <c r="I1671" s="145">
        <v>2.2559999999999998</v>
      </c>
      <c r="J1671" s="145">
        <v>0.126</v>
      </c>
      <c r="K1671" s="145">
        <v>89</v>
      </c>
      <c r="L1671" s="145">
        <v>2.4</v>
      </c>
      <c r="M1671" s="145" t="s">
        <v>400</v>
      </c>
      <c r="N1671" s="145">
        <v>15</v>
      </c>
      <c r="O1671" s="145">
        <v>19</v>
      </c>
      <c r="P1671" s="145">
        <v>0.97799999999999998</v>
      </c>
      <c r="Q1671" s="145">
        <v>191</v>
      </c>
      <c r="R1671" s="145">
        <v>1.56</v>
      </c>
      <c r="S1671" s="145">
        <v>1449</v>
      </c>
      <c r="T1671" s="145">
        <v>316</v>
      </c>
      <c r="U1671" s="145">
        <v>0.35699999999999998</v>
      </c>
      <c r="V1671" s="145">
        <v>2.93</v>
      </c>
      <c r="W1671" s="145" t="s">
        <v>400</v>
      </c>
      <c r="X1671" s="145">
        <v>0.36699999999999999</v>
      </c>
      <c r="Y1671" s="145">
        <v>0.35699999999999998</v>
      </c>
      <c r="Z1671" s="146">
        <v>0.45900000000000002</v>
      </c>
      <c r="AA1671" s="145">
        <v>6.0529999999999999</v>
      </c>
      <c r="AB1671" s="145" t="s">
        <v>400</v>
      </c>
      <c r="AC1671" s="145">
        <v>7.9530000000000003</v>
      </c>
      <c r="AD1671" s="145">
        <v>1.52</v>
      </c>
      <c r="AE1671" s="145">
        <v>3</v>
      </c>
      <c r="AF1671" s="145">
        <v>0.71899999999999997</v>
      </c>
      <c r="AG1671" s="145">
        <v>0.22</v>
      </c>
      <c r="AH1671" s="145">
        <v>0.58599999999999997</v>
      </c>
      <c r="AI1671" s="145" t="s">
        <v>400</v>
      </c>
      <c r="AJ1671" s="145">
        <v>31.3</v>
      </c>
      <c r="AK1671" s="145" t="s">
        <v>400</v>
      </c>
      <c r="AL1671" s="145">
        <v>0.96</v>
      </c>
      <c r="AM1671" s="145">
        <v>0.95499999999999996</v>
      </c>
    </row>
    <row r="1672" spans="1:39">
      <c r="A1672" s="143" t="s">
        <v>2732</v>
      </c>
      <c r="B1672" s="144">
        <v>100</v>
      </c>
      <c r="C1672" s="145">
        <v>336</v>
      </c>
      <c r="D1672" s="145">
        <v>21.85</v>
      </c>
      <c r="E1672" s="145">
        <v>25.9</v>
      </c>
      <c r="F1672" s="145">
        <v>9.3160000000000007</v>
      </c>
      <c r="G1672" s="145">
        <v>11.127000000000001</v>
      </c>
      <c r="H1672" s="145">
        <v>2.5289999999999999</v>
      </c>
      <c r="I1672" s="145">
        <v>2.2559999999999998</v>
      </c>
      <c r="J1672" s="145">
        <v>0.126</v>
      </c>
      <c r="K1672" s="145">
        <v>89</v>
      </c>
      <c r="L1672" s="145">
        <v>2.4</v>
      </c>
      <c r="M1672" s="145" t="s">
        <v>400</v>
      </c>
      <c r="N1672" s="145">
        <v>15</v>
      </c>
      <c r="O1672" s="145">
        <v>19</v>
      </c>
      <c r="P1672" s="145">
        <v>0.97799999999999998</v>
      </c>
      <c r="Q1672" s="145">
        <v>191</v>
      </c>
      <c r="R1672" s="145">
        <v>1.56</v>
      </c>
      <c r="S1672" s="145">
        <v>1449</v>
      </c>
      <c r="T1672" s="145">
        <v>316</v>
      </c>
      <c r="U1672" s="145">
        <v>0.35699999999999998</v>
      </c>
      <c r="V1672" s="145">
        <v>2.93</v>
      </c>
      <c r="W1672" s="145" t="s">
        <v>400</v>
      </c>
      <c r="X1672" s="145">
        <v>0.36699999999999999</v>
      </c>
      <c r="Y1672" s="145">
        <v>0.35699999999999998</v>
      </c>
      <c r="Z1672" s="146">
        <v>0.45900000000000002</v>
      </c>
      <c r="AA1672" s="145">
        <v>6.0529999999999999</v>
      </c>
      <c r="AB1672" s="145" t="s">
        <v>400</v>
      </c>
      <c r="AC1672" s="145">
        <v>7.9530000000000003</v>
      </c>
      <c r="AD1672" s="145">
        <v>1.52</v>
      </c>
      <c r="AE1672" s="145">
        <v>3</v>
      </c>
      <c r="AF1672" s="145">
        <v>0.71899999999999997</v>
      </c>
      <c r="AG1672" s="145">
        <v>0.22</v>
      </c>
      <c r="AH1672" s="145">
        <v>0.58599999999999997</v>
      </c>
      <c r="AI1672" s="145" t="s">
        <v>400</v>
      </c>
      <c r="AJ1672" s="145">
        <v>31.3</v>
      </c>
      <c r="AK1672" s="145" t="s">
        <v>400</v>
      </c>
      <c r="AL1672" s="145">
        <v>0.96</v>
      </c>
      <c r="AM1672" s="145">
        <v>0.95499999999999996</v>
      </c>
    </row>
    <row r="1673" spans="1:39">
      <c r="A1673" s="143" t="s">
        <v>2733</v>
      </c>
      <c r="B1673" s="144">
        <v>100</v>
      </c>
      <c r="C1673" s="145">
        <v>126</v>
      </c>
      <c r="D1673" s="145">
        <v>17.5</v>
      </c>
      <c r="E1673" s="145">
        <v>4.84</v>
      </c>
      <c r="F1673" s="145">
        <v>1.526</v>
      </c>
      <c r="G1673" s="145">
        <v>1.9019999999999999</v>
      </c>
      <c r="H1673" s="145">
        <v>1.319</v>
      </c>
      <c r="I1673" s="145">
        <v>0.67</v>
      </c>
      <c r="J1673" s="145">
        <v>0.03</v>
      </c>
      <c r="K1673" s="145">
        <v>72</v>
      </c>
      <c r="L1673" s="145">
        <v>2.04</v>
      </c>
      <c r="M1673" s="145">
        <v>0.2</v>
      </c>
      <c r="N1673" s="145">
        <v>8</v>
      </c>
      <c r="O1673" s="145">
        <v>22</v>
      </c>
      <c r="P1673" s="145">
        <v>0.02</v>
      </c>
      <c r="Q1673" s="145">
        <v>294</v>
      </c>
      <c r="R1673" s="145">
        <v>2.34</v>
      </c>
      <c r="S1673" s="145">
        <v>1114</v>
      </c>
      <c r="T1673" s="145">
        <v>287</v>
      </c>
      <c r="U1673" s="145">
        <v>0.25</v>
      </c>
      <c r="V1673" s="145">
        <v>2.59</v>
      </c>
      <c r="W1673" s="145">
        <v>7</v>
      </c>
      <c r="X1673" s="145">
        <v>0.03</v>
      </c>
      <c r="Y1673" s="145">
        <v>0.14899999999999999</v>
      </c>
      <c r="Z1673" s="146">
        <v>0.20899999999999999</v>
      </c>
      <c r="AA1673" s="145">
        <v>2.1179999999999999</v>
      </c>
      <c r="AB1673" s="145">
        <v>8.9</v>
      </c>
      <c r="AC1673" s="145">
        <v>5.3179999999999996</v>
      </c>
      <c r="AD1673" s="145">
        <v>0.23</v>
      </c>
      <c r="AE1673" s="145">
        <v>7</v>
      </c>
      <c r="AF1673" s="145">
        <v>0.185</v>
      </c>
      <c r="AG1673" s="145">
        <v>0.64</v>
      </c>
      <c r="AH1673" s="145">
        <v>0.107</v>
      </c>
      <c r="AI1673" s="146" t="s">
        <v>400</v>
      </c>
      <c r="AJ1673" s="145">
        <v>32.200000000000003</v>
      </c>
      <c r="AK1673" s="145">
        <v>7</v>
      </c>
      <c r="AL1673" s="145">
        <v>2.0379999999999998</v>
      </c>
      <c r="AM1673" s="145">
        <v>2.04</v>
      </c>
    </row>
    <row r="1674" spans="1:39">
      <c r="A1674" s="143" t="s">
        <v>2734</v>
      </c>
      <c r="B1674" s="144">
        <v>100</v>
      </c>
      <c r="C1674" s="145">
        <v>226</v>
      </c>
      <c r="D1674" s="145">
        <v>20.53</v>
      </c>
      <c r="E1674" s="145">
        <v>15.2</v>
      </c>
      <c r="F1674" s="145">
        <v>5.04</v>
      </c>
      <c r="G1674" s="145">
        <v>7.07</v>
      </c>
      <c r="H1674" s="145">
        <v>1.78</v>
      </c>
      <c r="I1674" s="145">
        <v>1.62</v>
      </c>
      <c r="J1674" s="145">
        <v>0.16</v>
      </c>
      <c r="K1674" s="145">
        <v>62</v>
      </c>
      <c r="L1674" s="145">
        <v>0.42</v>
      </c>
      <c r="M1674" s="145" t="s">
        <v>400</v>
      </c>
      <c r="N1674" s="145">
        <v>8</v>
      </c>
      <c r="O1674" s="145">
        <v>17</v>
      </c>
      <c r="P1674" s="145">
        <v>2.9000000000000001E-2</v>
      </c>
      <c r="Q1674" s="145">
        <v>243</v>
      </c>
      <c r="R1674" s="145">
        <v>1.37</v>
      </c>
      <c r="S1674" s="145">
        <v>941</v>
      </c>
      <c r="T1674" s="145">
        <v>357</v>
      </c>
      <c r="U1674" s="145">
        <v>0.13</v>
      </c>
      <c r="V1674" s="145">
        <v>2.5</v>
      </c>
      <c r="W1674" s="145" t="s">
        <v>400</v>
      </c>
      <c r="X1674" s="145">
        <v>0.82</v>
      </c>
      <c r="Y1674" s="145">
        <v>0.26</v>
      </c>
      <c r="Z1674" s="146">
        <v>0.3</v>
      </c>
      <c r="AA1674" s="145">
        <v>5.3</v>
      </c>
      <c r="AB1674" s="145" t="s">
        <v>400</v>
      </c>
      <c r="AC1674" s="145">
        <v>9.1829999999999998</v>
      </c>
      <c r="AD1674" s="145">
        <v>1.06</v>
      </c>
      <c r="AE1674" s="145">
        <v>5</v>
      </c>
      <c r="AF1674" s="145">
        <v>0.79600000000000004</v>
      </c>
      <c r="AG1674" s="145">
        <v>0.28000000000000003</v>
      </c>
      <c r="AH1674" s="145">
        <v>4.2000000000000003E-2</v>
      </c>
      <c r="AI1674" s="145" t="s">
        <v>400</v>
      </c>
      <c r="AJ1674" s="145">
        <v>35.9</v>
      </c>
      <c r="AK1674" s="145" t="s">
        <v>400</v>
      </c>
      <c r="AL1674" s="145" t="s">
        <v>400</v>
      </c>
      <c r="AM1674" s="145" t="s">
        <v>400</v>
      </c>
    </row>
    <row r="1675" spans="1:39">
      <c r="A1675" s="143" t="s">
        <v>2735</v>
      </c>
      <c r="B1675" s="144">
        <v>100</v>
      </c>
      <c r="C1675" s="145">
        <v>195.964</v>
      </c>
      <c r="D1675" s="145">
        <v>16.614999999999998</v>
      </c>
      <c r="E1675" s="145">
        <v>8.3510000000000009</v>
      </c>
      <c r="F1675" s="145">
        <v>2.6179999999999999</v>
      </c>
      <c r="G1675" s="145">
        <v>2.9980000000000002</v>
      </c>
      <c r="H1675" s="145">
        <v>1.9750000000000001</v>
      </c>
      <c r="I1675" s="145">
        <v>1.746</v>
      </c>
      <c r="J1675" s="145">
        <v>0.13900000000000001</v>
      </c>
      <c r="K1675" s="145">
        <v>48.634999999999998</v>
      </c>
      <c r="L1675" s="145">
        <v>12.644</v>
      </c>
      <c r="M1675" s="145">
        <v>0.60699999999999998</v>
      </c>
      <c r="N1675" s="145">
        <v>73.66</v>
      </c>
      <c r="O1675" s="145">
        <v>21.074999999999999</v>
      </c>
      <c r="P1675" s="145">
        <v>0.13300000000000001</v>
      </c>
      <c r="Q1675" s="145">
        <v>151.904</v>
      </c>
      <c r="R1675" s="145">
        <v>1.496</v>
      </c>
      <c r="S1675" s="145">
        <v>118.303</v>
      </c>
      <c r="T1675" s="145">
        <v>198.93600000000001</v>
      </c>
      <c r="U1675" s="145">
        <v>9.9000000000000005E-2</v>
      </c>
      <c r="V1675" s="145">
        <v>1.5509999999999999</v>
      </c>
      <c r="W1675" s="145">
        <v>15.627000000000001</v>
      </c>
      <c r="X1675" s="145">
        <v>0.17399999999999999</v>
      </c>
      <c r="Y1675" s="145">
        <v>0.22</v>
      </c>
      <c r="Z1675" s="145">
        <v>0.253</v>
      </c>
      <c r="AA1675" s="145">
        <v>4.5549999999999997</v>
      </c>
      <c r="AB1675" s="145">
        <v>0.60399999999999998</v>
      </c>
      <c r="AC1675" s="145">
        <v>8.0259999999999998</v>
      </c>
      <c r="AD1675" s="145">
        <v>0.377</v>
      </c>
      <c r="AE1675" s="145">
        <v>31.454999999999998</v>
      </c>
      <c r="AF1675" s="145">
        <v>0.499</v>
      </c>
      <c r="AG1675" s="145">
        <v>0.23200000000000001</v>
      </c>
      <c r="AH1675" s="145">
        <v>0.85699999999999998</v>
      </c>
      <c r="AI1675" s="145">
        <v>197</v>
      </c>
      <c r="AJ1675" s="145">
        <v>20.347000000000001</v>
      </c>
      <c r="AK1675" s="145">
        <v>16.687000000000001</v>
      </c>
      <c r="AL1675" s="145">
        <v>2.8530000000000002</v>
      </c>
      <c r="AM1675" s="145">
        <v>1.097</v>
      </c>
    </row>
    <row r="1676" spans="1:39">
      <c r="A1676" s="143" t="s">
        <v>2736</v>
      </c>
      <c r="B1676" s="144">
        <v>100</v>
      </c>
      <c r="C1676" s="145">
        <v>195.964</v>
      </c>
      <c r="D1676" s="145">
        <v>16.614999999999998</v>
      </c>
      <c r="E1676" s="145">
        <v>8.3510000000000009</v>
      </c>
      <c r="F1676" s="145">
        <v>2.6179999999999999</v>
      </c>
      <c r="G1676" s="145">
        <v>2.9980000000000002</v>
      </c>
      <c r="H1676" s="145">
        <v>1.9750000000000001</v>
      </c>
      <c r="I1676" s="145">
        <v>1.746</v>
      </c>
      <c r="J1676" s="145">
        <v>0.13900000000000001</v>
      </c>
      <c r="K1676" s="145">
        <v>48.634999999999998</v>
      </c>
      <c r="L1676" s="145">
        <v>12.644</v>
      </c>
      <c r="M1676" s="145">
        <v>0.60699999999999998</v>
      </c>
      <c r="N1676" s="145">
        <v>73.66</v>
      </c>
      <c r="O1676" s="145">
        <v>21.074999999999999</v>
      </c>
      <c r="P1676" s="145">
        <v>0.13300000000000001</v>
      </c>
      <c r="Q1676" s="145">
        <v>151.904</v>
      </c>
      <c r="R1676" s="145">
        <v>1.496</v>
      </c>
      <c r="S1676" s="145">
        <v>118.303</v>
      </c>
      <c r="T1676" s="145">
        <v>198.93600000000001</v>
      </c>
      <c r="U1676" s="145">
        <v>9.9000000000000005E-2</v>
      </c>
      <c r="V1676" s="145">
        <v>1.5509999999999999</v>
      </c>
      <c r="W1676" s="145">
        <v>15.627000000000001</v>
      </c>
      <c r="X1676" s="145">
        <v>0.17399999999999999</v>
      </c>
      <c r="Y1676" s="145">
        <v>0.22</v>
      </c>
      <c r="Z1676" s="145">
        <v>0.253</v>
      </c>
      <c r="AA1676" s="145">
        <v>4.5549999999999997</v>
      </c>
      <c r="AB1676" s="145">
        <v>0.60399999999999998</v>
      </c>
      <c r="AC1676" s="145">
        <v>8.0259999999999998</v>
      </c>
      <c r="AD1676" s="145">
        <v>0.377</v>
      </c>
      <c r="AE1676" s="145">
        <v>31.454999999999998</v>
      </c>
      <c r="AF1676" s="145">
        <v>0.499</v>
      </c>
      <c r="AG1676" s="145">
        <v>0.23200000000000001</v>
      </c>
      <c r="AH1676" s="145">
        <v>0.85699999999999998</v>
      </c>
      <c r="AI1676" s="145">
        <v>197</v>
      </c>
      <c r="AJ1676" s="145">
        <v>20.347000000000001</v>
      </c>
      <c r="AK1676" s="145">
        <v>16.687000000000001</v>
      </c>
      <c r="AL1676" s="145">
        <v>2.8530000000000002</v>
      </c>
      <c r="AM1676" s="145">
        <v>1.097</v>
      </c>
    </row>
    <row r="1677" spans="1:39">
      <c r="A1677" s="143" t="s">
        <v>2737</v>
      </c>
      <c r="B1677" s="144">
        <v>100</v>
      </c>
      <c r="C1677" s="145">
        <v>256.48899999999998</v>
      </c>
      <c r="D1677" s="145">
        <v>16.614999999999998</v>
      </c>
      <c r="E1677" s="145">
        <v>15.198</v>
      </c>
      <c r="F1677" s="145">
        <v>3.6890000000000001</v>
      </c>
      <c r="G1677" s="145">
        <v>4.5579999999999998</v>
      </c>
      <c r="H1677" s="145">
        <v>5.9290000000000003</v>
      </c>
      <c r="I1677" s="145">
        <v>5.234</v>
      </c>
      <c r="J1677" s="145">
        <v>0.60399999999999998</v>
      </c>
      <c r="K1677" s="145">
        <v>48.634999999999998</v>
      </c>
      <c r="L1677" s="145">
        <v>12.644</v>
      </c>
      <c r="M1677" s="145">
        <v>0.60699999999999998</v>
      </c>
      <c r="N1677" s="145">
        <v>73.66</v>
      </c>
      <c r="O1677" s="145">
        <v>21.074999999999999</v>
      </c>
      <c r="P1677" s="145">
        <v>0.13300000000000001</v>
      </c>
      <c r="Q1677" s="145">
        <v>151.904</v>
      </c>
      <c r="R1677" s="145">
        <v>1.4990000000000001</v>
      </c>
      <c r="S1677" s="145">
        <v>118.303</v>
      </c>
      <c r="T1677" s="145">
        <v>198.93600000000001</v>
      </c>
      <c r="U1677" s="145">
        <v>9.9000000000000005E-2</v>
      </c>
      <c r="V1677" s="145">
        <v>1.5509999999999999</v>
      </c>
      <c r="W1677" s="145">
        <v>15.627000000000001</v>
      </c>
      <c r="X1677" s="145">
        <v>0.17399999999999999</v>
      </c>
      <c r="Y1677" s="145">
        <v>0.22</v>
      </c>
      <c r="Z1677" s="146">
        <v>0.253</v>
      </c>
      <c r="AA1677" s="145">
        <v>4.5549999999999997</v>
      </c>
      <c r="AB1677" s="145">
        <v>0.60399999999999998</v>
      </c>
      <c r="AC1677" s="145">
        <v>8.0259999999999998</v>
      </c>
      <c r="AD1677" s="145">
        <v>0.377</v>
      </c>
      <c r="AE1677" s="145">
        <v>31.454999999999998</v>
      </c>
      <c r="AF1677" s="145">
        <v>0.499</v>
      </c>
      <c r="AG1677" s="145">
        <v>0.79200000000000004</v>
      </c>
      <c r="AH1677" s="145">
        <v>0.89400000000000002</v>
      </c>
      <c r="AI1677" s="145">
        <v>197</v>
      </c>
      <c r="AJ1677" s="145">
        <v>23.484999999999999</v>
      </c>
      <c r="AK1677" s="145">
        <v>16.687000000000001</v>
      </c>
      <c r="AL1677" s="145">
        <v>2.8530000000000002</v>
      </c>
      <c r="AM1677" s="145">
        <v>1.097</v>
      </c>
    </row>
    <row r="1678" spans="1:39">
      <c r="A1678" s="143" t="s">
        <v>2738</v>
      </c>
      <c r="B1678" s="144">
        <v>100</v>
      </c>
      <c r="C1678" s="145">
        <v>214</v>
      </c>
      <c r="D1678" s="145">
        <v>26.62</v>
      </c>
      <c r="E1678" s="145">
        <v>11.1</v>
      </c>
      <c r="F1678" s="145">
        <v>4.3789999999999996</v>
      </c>
      <c r="G1678" s="145">
        <v>4.6760000000000002</v>
      </c>
      <c r="H1678" s="145">
        <v>0.39800000000000002</v>
      </c>
      <c r="I1678" s="145">
        <v>0.29699999999999999</v>
      </c>
      <c r="J1678" s="145">
        <v>5.2999999999999999E-2</v>
      </c>
      <c r="K1678" s="145">
        <v>86</v>
      </c>
      <c r="L1678" s="145" t="s">
        <v>400</v>
      </c>
      <c r="M1678" s="145" t="s">
        <v>400</v>
      </c>
      <c r="N1678" s="145">
        <v>13</v>
      </c>
      <c r="O1678" s="145">
        <v>21</v>
      </c>
      <c r="P1678" s="145">
        <v>0.01</v>
      </c>
      <c r="Q1678" s="145">
        <v>193</v>
      </c>
      <c r="R1678" s="145">
        <v>2.89</v>
      </c>
      <c r="S1678" s="145">
        <v>61</v>
      </c>
      <c r="T1678" s="145">
        <v>300</v>
      </c>
      <c r="U1678" s="145">
        <v>7.8E-2</v>
      </c>
      <c r="V1678" s="145">
        <v>6.65</v>
      </c>
      <c r="W1678" s="145" t="s">
        <v>400</v>
      </c>
      <c r="X1678" s="145">
        <v>3.6999999999999998E-2</v>
      </c>
      <c r="Y1678" s="145">
        <v>0.17199999999999999</v>
      </c>
      <c r="Z1678" s="146">
        <v>0.34799999999999998</v>
      </c>
      <c r="AA1678" s="145">
        <v>5.2279999999999998</v>
      </c>
      <c r="AB1678" s="145" t="s">
        <v>400</v>
      </c>
      <c r="AC1678" s="145">
        <v>7.6950000000000003</v>
      </c>
      <c r="AD1678" s="145">
        <v>2.5</v>
      </c>
      <c r="AE1678" s="145">
        <v>6</v>
      </c>
      <c r="AF1678" s="145">
        <v>0.45</v>
      </c>
      <c r="AG1678" s="145">
        <v>0.41</v>
      </c>
      <c r="AH1678" s="145">
        <v>0.69199999999999995</v>
      </c>
      <c r="AI1678" s="145">
        <v>499</v>
      </c>
      <c r="AJ1678" s="145">
        <v>21.6</v>
      </c>
      <c r="AK1678" s="145" t="s">
        <v>400</v>
      </c>
      <c r="AL1678" s="145" t="s">
        <v>400</v>
      </c>
      <c r="AM1678" s="145" t="s">
        <v>400</v>
      </c>
    </row>
    <row r="1679" spans="1:39">
      <c r="A1679" s="143" t="s">
        <v>2739</v>
      </c>
      <c r="B1679" s="144">
        <v>100</v>
      </c>
      <c r="C1679" s="145">
        <v>214</v>
      </c>
      <c r="D1679" s="145">
        <v>26.62</v>
      </c>
      <c r="E1679" s="145">
        <v>11.1</v>
      </c>
      <c r="F1679" s="145">
        <v>4.3789999999999996</v>
      </c>
      <c r="G1679" s="145">
        <v>4.6760000000000002</v>
      </c>
      <c r="H1679" s="145">
        <v>0.39800000000000002</v>
      </c>
      <c r="I1679" s="145">
        <v>0.29699999999999999</v>
      </c>
      <c r="J1679" s="145">
        <v>5.2999999999999999E-2</v>
      </c>
      <c r="K1679" s="145">
        <v>86</v>
      </c>
      <c r="L1679" s="145" t="s">
        <v>400</v>
      </c>
      <c r="M1679" s="145" t="s">
        <v>400</v>
      </c>
      <c r="N1679" s="145">
        <v>13</v>
      </c>
      <c r="O1679" s="145">
        <v>21</v>
      </c>
      <c r="P1679" s="145">
        <v>0.01</v>
      </c>
      <c r="Q1679" s="145">
        <v>193</v>
      </c>
      <c r="R1679" s="145">
        <v>2.89</v>
      </c>
      <c r="S1679" s="145">
        <v>61</v>
      </c>
      <c r="T1679" s="145">
        <v>300</v>
      </c>
      <c r="U1679" s="145">
        <v>7.8E-2</v>
      </c>
      <c r="V1679" s="145">
        <v>6.65</v>
      </c>
      <c r="W1679" s="145" t="s">
        <v>400</v>
      </c>
      <c r="X1679" s="145">
        <v>3.6999999999999998E-2</v>
      </c>
      <c r="Y1679" s="145">
        <v>0.17199999999999999</v>
      </c>
      <c r="Z1679" s="146">
        <v>0.34799999999999998</v>
      </c>
      <c r="AA1679" s="145">
        <v>5.2279999999999998</v>
      </c>
      <c r="AB1679" s="145" t="s">
        <v>400</v>
      </c>
      <c r="AC1679" s="145">
        <v>7.6950000000000003</v>
      </c>
      <c r="AD1679" s="145">
        <v>2.5</v>
      </c>
      <c r="AE1679" s="145">
        <v>6</v>
      </c>
      <c r="AF1679" s="145">
        <v>0.45</v>
      </c>
      <c r="AG1679" s="145">
        <v>0.41</v>
      </c>
      <c r="AH1679" s="145">
        <v>0.69199999999999995</v>
      </c>
      <c r="AI1679" s="145">
        <v>499</v>
      </c>
      <c r="AJ1679" s="145">
        <v>21.6</v>
      </c>
      <c r="AK1679" s="145" t="s">
        <v>400</v>
      </c>
      <c r="AL1679" s="145" t="s">
        <v>400</v>
      </c>
      <c r="AM1679" s="145" t="s">
        <v>400</v>
      </c>
    </row>
    <row r="1680" spans="1:39">
      <c r="A1680" s="143" t="s">
        <v>2740</v>
      </c>
      <c r="B1680" s="144">
        <v>100</v>
      </c>
      <c r="C1680" s="145">
        <v>214</v>
      </c>
      <c r="D1680" s="145">
        <v>26.62</v>
      </c>
      <c r="E1680" s="145">
        <v>11.1</v>
      </c>
      <c r="F1680" s="145">
        <v>4.3789999999999996</v>
      </c>
      <c r="G1680" s="145">
        <v>4.6760000000000002</v>
      </c>
      <c r="H1680" s="145">
        <v>0.39800000000000002</v>
      </c>
      <c r="I1680" s="145">
        <v>0.29699999999999999</v>
      </c>
      <c r="J1680" s="145">
        <v>5.2999999999999999E-2</v>
      </c>
      <c r="K1680" s="145">
        <v>86</v>
      </c>
      <c r="L1680" s="145" t="s">
        <v>400</v>
      </c>
      <c r="M1680" s="145" t="s">
        <v>400</v>
      </c>
      <c r="N1680" s="145">
        <v>13</v>
      </c>
      <c r="O1680" s="145">
        <v>21</v>
      </c>
      <c r="P1680" s="145">
        <v>0.01</v>
      </c>
      <c r="Q1680" s="145">
        <v>193</v>
      </c>
      <c r="R1680" s="145">
        <v>2.89</v>
      </c>
      <c r="S1680" s="145">
        <v>61</v>
      </c>
      <c r="T1680" s="145">
        <v>300</v>
      </c>
      <c r="U1680" s="145">
        <v>7.8E-2</v>
      </c>
      <c r="V1680" s="145">
        <v>6.65</v>
      </c>
      <c r="W1680" s="145" t="s">
        <v>400</v>
      </c>
      <c r="X1680" s="145">
        <v>3.6999999999999998E-2</v>
      </c>
      <c r="Y1680" s="145">
        <v>0.17199999999999999</v>
      </c>
      <c r="Z1680" s="146">
        <v>0.34799999999999998</v>
      </c>
      <c r="AA1680" s="145">
        <v>5.2279999999999998</v>
      </c>
      <c r="AB1680" s="145" t="s">
        <v>400</v>
      </c>
      <c r="AC1680" s="145">
        <v>7.6950000000000003</v>
      </c>
      <c r="AD1680" s="145">
        <v>2.5</v>
      </c>
      <c r="AE1680" s="145">
        <v>6</v>
      </c>
      <c r="AF1680" s="145">
        <v>0.45</v>
      </c>
      <c r="AG1680" s="145">
        <v>0.41</v>
      </c>
      <c r="AH1680" s="145">
        <v>0.69199999999999995</v>
      </c>
      <c r="AI1680" s="145">
        <v>499</v>
      </c>
      <c r="AJ1680" s="145">
        <v>21.6</v>
      </c>
      <c r="AK1680" s="145" t="s">
        <v>400</v>
      </c>
      <c r="AL1680" s="145" t="s">
        <v>400</v>
      </c>
      <c r="AM1680" s="145" t="s">
        <v>400</v>
      </c>
    </row>
    <row r="1681" spans="1:39">
      <c r="A1681" s="143" t="s">
        <v>2741</v>
      </c>
      <c r="B1681" s="144">
        <v>100</v>
      </c>
      <c r="C1681" s="145">
        <v>236.65899999999999</v>
      </c>
      <c r="D1681" s="145">
        <v>26.62</v>
      </c>
      <c r="E1681" s="145">
        <v>13.663</v>
      </c>
      <c r="F1681" s="145">
        <v>4.78</v>
      </c>
      <c r="G1681" s="145">
        <v>5.26</v>
      </c>
      <c r="H1681" s="145">
        <v>1.8779999999999999</v>
      </c>
      <c r="I1681" s="145">
        <v>1.603</v>
      </c>
      <c r="J1681" s="145">
        <v>0.22700000000000001</v>
      </c>
      <c r="K1681" s="145">
        <v>86</v>
      </c>
      <c r="L1681" s="145" t="s">
        <v>400</v>
      </c>
      <c r="M1681" s="145" t="s">
        <v>400</v>
      </c>
      <c r="N1681" s="145">
        <v>13</v>
      </c>
      <c r="O1681" s="145">
        <v>21</v>
      </c>
      <c r="P1681" s="145">
        <v>0.01</v>
      </c>
      <c r="Q1681" s="145">
        <v>193</v>
      </c>
      <c r="R1681" s="145">
        <v>2.891</v>
      </c>
      <c r="S1681" s="145">
        <v>61</v>
      </c>
      <c r="T1681" s="145">
        <v>300</v>
      </c>
      <c r="U1681" s="145">
        <v>7.8E-2</v>
      </c>
      <c r="V1681" s="145">
        <v>6.65</v>
      </c>
      <c r="W1681" s="145" t="s">
        <v>400</v>
      </c>
      <c r="X1681" s="145">
        <v>3.6999999999999998E-2</v>
      </c>
      <c r="Y1681" s="145">
        <v>0.17199999999999999</v>
      </c>
      <c r="Z1681" s="146">
        <v>0.34799999999999998</v>
      </c>
      <c r="AA1681" s="145">
        <v>5.2279999999999998</v>
      </c>
      <c r="AB1681" s="145" t="s">
        <v>400</v>
      </c>
      <c r="AC1681" s="145">
        <v>7.6950000000000003</v>
      </c>
      <c r="AD1681" s="145">
        <v>2.5</v>
      </c>
      <c r="AE1681" s="145">
        <v>6</v>
      </c>
      <c r="AF1681" s="145">
        <v>0.45</v>
      </c>
      <c r="AG1681" s="145">
        <v>0.62</v>
      </c>
      <c r="AH1681" s="145">
        <v>0.70599999999999996</v>
      </c>
      <c r="AI1681" s="145">
        <v>499</v>
      </c>
      <c r="AJ1681" s="145">
        <v>22.774999999999999</v>
      </c>
      <c r="AK1681" s="145" t="s">
        <v>400</v>
      </c>
      <c r="AL1681" s="145" t="s">
        <v>400</v>
      </c>
      <c r="AM1681" s="145" t="s">
        <v>400</v>
      </c>
    </row>
    <row r="1682" spans="1:39">
      <c r="A1682" s="143" t="s">
        <v>2742</v>
      </c>
      <c r="B1682" s="144">
        <v>100</v>
      </c>
      <c r="C1682" s="145">
        <v>214</v>
      </c>
      <c r="D1682" s="145">
        <v>26.62</v>
      </c>
      <c r="E1682" s="145">
        <v>11.1</v>
      </c>
      <c r="F1682" s="145">
        <v>4.3789999999999996</v>
      </c>
      <c r="G1682" s="145">
        <v>4.6760000000000002</v>
      </c>
      <c r="H1682" s="145">
        <v>0.39800000000000002</v>
      </c>
      <c r="I1682" s="145">
        <v>0.29699999999999999</v>
      </c>
      <c r="J1682" s="145">
        <v>5.2999999999999999E-2</v>
      </c>
      <c r="K1682" s="145">
        <v>86</v>
      </c>
      <c r="L1682" s="145" t="s">
        <v>400</v>
      </c>
      <c r="M1682" s="145" t="s">
        <v>400</v>
      </c>
      <c r="N1682" s="145">
        <v>13</v>
      </c>
      <c r="O1682" s="145">
        <v>21</v>
      </c>
      <c r="P1682" s="145">
        <v>0.01</v>
      </c>
      <c r="Q1682" s="145">
        <v>193</v>
      </c>
      <c r="R1682" s="145">
        <v>2.89</v>
      </c>
      <c r="S1682" s="145">
        <v>61</v>
      </c>
      <c r="T1682" s="145">
        <v>300</v>
      </c>
      <c r="U1682" s="145">
        <v>7.8E-2</v>
      </c>
      <c r="V1682" s="145">
        <v>6.65</v>
      </c>
      <c r="W1682" s="145" t="s">
        <v>400</v>
      </c>
      <c r="X1682" s="145">
        <v>3.6999999999999998E-2</v>
      </c>
      <c r="Y1682" s="145">
        <v>0.17199999999999999</v>
      </c>
      <c r="Z1682" s="146">
        <v>0.34799999999999998</v>
      </c>
      <c r="AA1682" s="145">
        <v>5.2279999999999998</v>
      </c>
      <c r="AB1682" s="145" t="s">
        <v>400</v>
      </c>
      <c r="AC1682" s="145">
        <v>7.6950000000000003</v>
      </c>
      <c r="AD1682" s="145">
        <v>2.5</v>
      </c>
      <c r="AE1682" s="145">
        <v>6</v>
      </c>
      <c r="AF1682" s="145">
        <v>0.45</v>
      </c>
      <c r="AG1682" s="145">
        <v>0.41</v>
      </c>
      <c r="AH1682" s="145">
        <v>0.69199999999999995</v>
      </c>
      <c r="AI1682" s="145">
        <v>499</v>
      </c>
      <c r="AJ1682" s="145">
        <v>21.6</v>
      </c>
      <c r="AK1682" s="145" t="s">
        <v>400</v>
      </c>
      <c r="AL1682" s="145" t="s">
        <v>400</v>
      </c>
      <c r="AM1682" s="145" t="s">
        <v>400</v>
      </c>
    </row>
    <row r="1683" spans="1:39">
      <c r="A1683" s="143" t="s">
        <v>2743</v>
      </c>
      <c r="B1683" s="144">
        <v>100</v>
      </c>
      <c r="C1683" s="145">
        <v>178</v>
      </c>
      <c r="D1683" s="145">
        <v>22.62</v>
      </c>
      <c r="E1683" s="145">
        <v>9.02</v>
      </c>
      <c r="F1683" s="145">
        <v>3.12</v>
      </c>
      <c r="G1683" s="145">
        <v>4.4400000000000004</v>
      </c>
      <c r="H1683" s="145">
        <v>1.41</v>
      </c>
      <c r="I1683" s="145">
        <v>1.17</v>
      </c>
      <c r="J1683" s="145">
        <v>0.24</v>
      </c>
      <c r="K1683" s="145">
        <v>59</v>
      </c>
      <c r="L1683" s="145" t="s">
        <v>400</v>
      </c>
      <c r="M1683" s="145" t="s">
        <v>400</v>
      </c>
      <c r="N1683" s="145">
        <v>8</v>
      </c>
      <c r="O1683" s="145">
        <v>22</v>
      </c>
      <c r="P1683" s="145">
        <v>4.1000000000000002E-2</v>
      </c>
      <c r="Q1683" s="145">
        <v>281</v>
      </c>
      <c r="R1683" s="145">
        <v>1.34</v>
      </c>
      <c r="S1683" s="145">
        <v>1500</v>
      </c>
      <c r="T1683" s="145">
        <v>409</v>
      </c>
      <c r="U1683" s="145">
        <v>0.14499999999999999</v>
      </c>
      <c r="V1683" s="145">
        <v>2.4700000000000002</v>
      </c>
      <c r="W1683" s="145" t="s">
        <v>400</v>
      </c>
      <c r="X1683" s="145">
        <v>0.73</v>
      </c>
      <c r="Y1683" s="145">
        <v>0.33</v>
      </c>
      <c r="Z1683" s="146">
        <v>0.31</v>
      </c>
      <c r="AA1683" s="145">
        <v>6.15</v>
      </c>
      <c r="AB1683" s="145" t="s">
        <v>400</v>
      </c>
      <c r="AC1683" s="145">
        <v>10.117000000000001</v>
      </c>
      <c r="AD1683" s="145">
        <v>0.7</v>
      </c>
      <c r="AE1683" s="145">
        <v>3</v>
      </c>
      <c r="AF1683" s="145">
        <v>0.8</v>
      </c>
      <c r="AG1683" s="145">
        <v>0.31</v>
      </c>
      <c r="AH1683" s="145">
        <v>2.7E-2</v>
      </c>
      <c r="AI1683" s="145" t="s">
        <v>400</v>
      </c>
      <c r="AJ1683" s="145">
        <v>19.8</v>
      </c>
      <c r="AK1683" s="145" t="s">
        <v>400</v>
      </c>
      <c r="AL1683" s="145" t="s">
        <v>400</v>
      </c>
      <c r="AM1683" s="145" t="s">
        <v>400</v>
      </c>
    </row>
    <row r="1684" spans="1:39">
      <c r="A1684" s="143" t="s">
        <v>2744</v>
      </c>
      <c r="B1684" s="144">
        <v>100</v>
      </c>
      <c r="C1684" s="145">
        <v>544</v>
      </c>
      <c r="D1684" s="145">
        <v>61.3</v>
      </c>
      <c r="E1684" s="145">
        <v>31.3</v>
      </c>
      <c r="F1684" s="145">
        <v>11.37</v>
      </c>
      <c r="G1684" s="145">
        <v>14.78</v>
      </c>
      <c r="H1684" s="145">
        <v>3.64</v>
      </c>
      <c r="I1684" s="145">
        <v>3.35</v>
      </c>
      <c r="J1684" s="145">
        <v>0.26</v>
      </c>
      <c r="K1684" s="145">
        <v>95</v>
      </c>
      <c r="L1684" s="145" t="s">
        <v>400</v>
      </c>
      <c r="M1684" s="145" t="s">
        <v>400</v>
      </c>
      <c r="N1684" s="145">
        <v>30</v>
      </c>
      <c r="O1684" s="145">
        <v>11</v>
      </c>
      <c r="P1684" s="145">
        <v>6.9000000000000006E-2</v>
      </c>
      <c r="Q1684" s="145">
        <v>85</v>
      </c>
      <c r="R1684" s="145">
        <v>0.88</v>
      </c>
      <c r="S1684" s="145">
        <v>1838</v>
      </c>
      <c r="T1684" s="145">
        <v>127</v>
      </c>
      <c r="U1684" s="145">
        <v>9.4E-2</v>
      </c>
      <c r="V1684" s="145">
        <v>0.56000000000000005</v>
      </c>
      <c r="W1684" s="145">
        <v>12</v>
      </c>
      <c r="X1684" s="145">
        <v>9.9000000000000005E-2</v>
      </c>
      <c r="Y1684" s="145">
        <v>0.28299999999999997</v>
      </c>
      <c r="Z1684" s="146">
        <v>2.3E-2</v>
      </c>
      <c r="AA1684" s="145">
        <v>1.5489999999999999</v>
      </c>
      <c r="AB1684" s="145">
        <v>0.5</v>
      </c>
      <c r="AC1684" s="145">
        <v>3.516</v>
      </c>
      <c r="AD1684" s="145">
        <v>0.64</v>
      </c>
      <c r="AE1684" s="145" t="s">
        <v>400</v>
      </c>
      <c r="AF1684" s="145" t="s">
        <v>400</v>
      </c>
      <c r="AG1684" s="145">
        <v>0.53</v>
      </c>
      <c r="AH1684" s="145">
        <v>0.31</v>
      </c>
      <c r="AI1684" s="145" t="s">
        <v>400</v>
      </c>
      <c r="AJ1684" s="145">
        <v>41</v>
      </c>
      <c r="AK1684" s="145">
        <v>12</v>
      </c>
      <c r="AL1684" s="145" t="s">
        <v>400</v>
      </c>
      <c r="AM1684" s="145" t="s">
        <v>400</v>
      </c>
    </row>
    <row r="1685" spans="1:39">
      <c r="A1685" s="143" t="s">
        <v>2745</v>
      </c>
      <c r="B1685" s="144">
        <v>100</v>
      </c>
      <c r="C1685" s="145">
        <v>544</v>
      </c>
      <c r="D1685" s="145">
        <v>61.3</v>
      </c>
      <c r="E1685" s="145">
        <v>31.3</v>
      </c>
      <c r="F1685" s="145">
        <v>11.37</v>
      </c>
      <c r="G1685" s="145">
        <v>14.78</v>
      </c>
      <c r="H1685" s="145">
        <v>3.64</v>
      </c>
      <c r="I1685" s="145">
        <v>3.35</v>
      </c>
      <c r="J1685" s="145">
        <v>0.26</v>
      </c>
      <c r="K1685" s="145">
        <v>95</v>
      </c>
      <c r="L1685" s="145" t="s">
        <v>400</v>
      </c>
      <c r="M1685" s="145" t="s">
        <v>400</v>
      </c>
      <c r="N1685" s="145">
        <v>30</v>
      </c>
      <c r="O1685" s="145">
        <v>11</v>
      </c>
      <c r="P1685" s="145">
        <v>6.9000000000000006E-2</v>
      </c>
      <c r="Q1685" s="145">
        <v>85</v>
      </c>
      <c r="R1685" s="145">
        <v>0.88</v>
      </c>
      <c r="S1685" s="145">
        <v>1838</v>
      </c>
      <c r="T1685" s="145">
        <v>127</v>
      </c>
      <c r="U1685" s="145">
        <v>9.4E-2</v>
      </c>
      <c r="V1685" s="145">
        <v>0.56000000000000005</v>
      </c>
      <c r="W1685" s="145">
        <v>12</v>
      </c>
      <c r="X1685" s="145">
        <v>9.9000000000000005E-2</v>
      </c>
      <c r="Y1685" s="145">
        <v>0.28299999999999997</v>
      </c>
      <c r="Z1685" s="146">
        <v>2.3E-2</v>
      </c>
      <c r="AA1685" s="145">
        <v>1.5489999999999999</v>
      </c>
      <c r="AB1685" s="145">
        <v>0.5</v>
      </c>
      <c r="AC1685" s="145">
        <v>3.516</v>
      </c>
      <c r="AD1685" s="145">
        <v>0.64</v>
      </c>
      <c r="AE1685" s="145" t="s">
        <v>400</v>
      </c>
      <c r="AF1685" s="145" t="s">
        <v>400</v>
      </c>
      <c r="AG1685" s="145">
        <v>0.53</v>
      </c>
      <c r="AH1685" s="145">
        <v>0.31</v>
      </c>
      <c r="AI1685" s="145" t="s">
        <v>400</v>
      </c>
      <c r="AJ1685" s="145">
        <v>41</v>
      </c>
      <c r="AK1685" s="145">
        <v>12</v>
      </c>
      <c r="AL1685" s="145" t="s">
        <v>400</v>
      </c>
      <c r="AM1685" s="145" t="s">
        <v>400</v>
      </c>
    </row>
    <row r="1686" spans="1:39">
      <c r="A1686" s="143" t="s">
        <v>2746</v>
      </c>
      <c r="B1686" s="144">
        <v>100</v>
      </c>
      <c r="C1686" s="145">
        <v>326</v>
      </c>
      <c r="D1686" s="145">
        <v>14.1</v>
      </c>
      <c r="E1686" s="145">
        <v>28.5</v>
      </c>
      <c r="F1686" s="145">
        <v>10.6</v>
      </c>
      <c r="G1686" s="145">
        <v>13.34</v>
      </c>
      <c r="H1686" s="145">
        <v>2.6</v>
      </c>
      <c r="I1686" s="145">
        <v>2.4500000000000002</v>
      </c>
      <c r="J1686" s="145">
        <v>0.14000000000000001</v>
      </c>
      <c r="K1686" s="145">
        <v>158</v>
      </c>
      <c r="L1686" s="145">
        <v>2.2000000000000002</v>
      </c>
      <c r="M1686" s="145" t="s">
        <v>400</v>
      </c>
      <c r="N1686" s="145">
        <v>26</v>
      </c>
      <c r="O1686" s="145">
        <v>12</v>
      </c>
      <c r="P1686" s="145">
        <v>0.155</v>
      </c>
      <c r="Q1686" s="145">
        <v>230</v>
      </c>
      <c r="R1686" s="145">
        <v>6.4</v>
      </c>
      <c r="S1686" s="145">
        <v>860</v>
      </c>
      <c r="T1686" s="145">
        <v>170</v>
      </c>
      <c r="U1686" s="145">
        <v>0.24</v>
      </c>
      <c r="V1686" s="145">
        <v>2.2999999999999998</v>
      </c>
      <c r="W1686" s="145">
        <v>8300</v>
      </c>
      <c r="X1686" s="145">
        <v>0.27200000000000002</v>
      </c>
      <c r="Y1686" s="145">
        <v>1.03</v>
      </c>
      <c r="Z1686" s="146">
        <v>0.19</v>
      </c>
      <c r="AA1686" s="145">
        <v>4.3</v>
      </c>
      <c r="AB1686" s="145" t="s">
        <v>400</v>
      </c>
      <c r="AC1686" s="145">
        <v>6.8170000000000002</v>
      </c>
      <c r="AD1686" s="145">
        <v>13.46</v>
      </c>
      <c r="AE1686" s="145">
        <v>30</v>
      </c>
      <c r="AF1686" s="145">
        <v>0.6</v>
      </c>
      <c r="AG1686" s="145">
        <v>0.40500000000000003</v>
      </c>
      <c r="AH1686" s="145">
        <v>2.36</v>
      </c>
      <c r="AI1686" s="145" t="s">
        <v>400</v>
      </c>
      <c r="AJ1686" s="145">
        <v>58</v>
      </c>
      <c r="AK1686" s="145">
        <v>8300</v>
      </c>
      <c r="AL1686" s="145">
        <v>0.51</v>
      </c>
      <c r="AM1686" s="145">
        <v>0.58899999999999997</v>
      </c>
    </row>
    <row r="1687" spans="1:39">
      <c r="A1687" s="143" t="s">
        <v>2747</v>
      </c>
      <c r="B1687" s="144">
        <v>100</v>
      </c>
      <c r="C1687" s="145">
        <v>195.65899999999999</v>
      </c>
      <c r="D1687" s="145">
        <v>30.91</v>
      </c>
      <c r="E1687" s="145">
        <v>7.0730000000000004</v>
      </c>
      <c r="F1687" s="145">
        <v>1.671</v>
      </c>
      <c r="G1687" s="145">
        <v>2.1240000000000001</v>
      </c>
      <c r="H1687" s="145">
        <v>2.46</v>
      </c>
      <c r="I1687" s="145">
        <v>2.0459999999999998</v>
      </c>
      <c r="J1687" s="145">
        <v>0.214</v>
      </c>
      <c r="K1687" s="145">
        <v>85</v>
      </c>
      <c r="L1687" s="145" t="s">
        <v>400</v>
      </c>
      <c r="M1687" s="145" t="s">
        <v>400</v>
      </c>
      <c r="N1687" s="145">
        <v>15</v>
      </c>
      <c r="O1687" s="145">
        <v>27</v>
      </c>
      <c r="P1687" s="145">
        <v>1.7000000000000001E-2</v>
      </c>
      <c r="Q1687" s="145">
        <v>216</v>
      </c>
      <c r="R1687" s="145">
        <v>1.0609999999999999</v>
      </c>
      <c r="S1687" s="145">
        <v>77</v>
      </c>
      <c r="T1687" s="145">
        <v>247</v>
      </c>
      <c r="U1687" s="145">
        <v>0.05</v>
      </c>
      <c r="V1687" s="145">
        <v>1.23</v>
      </c>
      <c r="W1687" s="145">
        <v>9</v>
      </c>
      <c r="X1687" s="145">
        <v>6.5000000000000002E-2</v>
      </c>
      <c r="Y1687" s="145">
        <v>0.11600000000000001</v>
      </c>
      <c r="Z1687" s="146">
        <v>0.6</v>
      </c>
      <c r="AA1687" s="145">
        <v>12.420999999999999</v>
      </c>
      <c r="AB1687" s="145" t="s">
        <v>400</v>
      </c>
      <c r="AC1687" s="145">
        <v>18.437999999999999</v>
      </c>
      <c r="AD1687" s="145">
        <v>0.34</v>
      </c>
      <c r="AE1687" s="145">
        <v>4</v>
      </c>
      <c r="AF1687" s="145">
        <v>0.2</v>
      </c>
      <c r="AG1687" s="145">
        <v>0.48</v>
      </c>
      <c r="AH1687" s="145">
        <v>0.104</v>
      </c>
      <c r="AI1687" s="145">
        <v>333</v>
      </c>
      <c r="AJ1687" s="145">
        <v>25.574999999999999</v>
      </c>
      <c r="AK1687" s="145">
        <v>9</v>
      </c>
      <c r="AL1687" s="145" t="s">
        <v>400</v>
      </c>
      <c r="AM1687" s="145" t="s">
        <v>400</v>
      </c>
    </row>
    <row r="1688" spans="1:39">
      <c r="A1688" s="143" t="s">
        <v>2748</v>
      </c>
      <c r="B1688" s="144">
        <v>100</v>
      </c>
      <c r="C1688" s="145">
        <v>313</v>
      </c>
      <c r="D1688" s="145">
        <v>26.9</v>
      </c>
      <c r="E1688" s="145">
        <v>21.9</v>
      </c>
      <c r="F1688" s="145">
        <v>10.5</v>
      </c>
      <c r="G1688" s="145">
        <v>8.3000000000000007</v>
      </c>
      <c r="H1688" s="145">
        <v>0.4</v>
      </c>
      <c r="I1688" s="145">
        <v>0.24</v>
      </c>
      <c r="J1688" s="145">
        <v>0.08</v>
      </c>
      <c r="K1688" s="145">
        <v>100</v>
      </c>
      <c r="L1688" s="145" t="s">
        <v>400</v>
      </c>
      <c r="M1688" s="145" t="s">
        <v>400</v>
      </c>
      <c r="N1688" s="145">
        <v>13</v>
      </c>
      <c r="O1688" s="145">
        <v>12</v>
      </c>
      <c r="P1688" s="145">
        <v>0.02</v>
      </c>
      <c r="Q1688" s="145">
        <v>82</v>
      </c>
      <c r="R1688" s="145">
        <v>1.9</v>
      </c>
      <c r="S1688" s="145">
        <v>1943</v>
      </c>
      <c r="T1688" s="145">
        <v>86</v>
      </c>
      <c r="U1688" s="145">
        <v>0.03</v>
      </c>
      <c r="V1688" s="145">
        <v>7.7</v>
      </c>
      <c r="W1688" s="145" t="s">
        <v>400</v>
      </c>
      <c r="X1688" s="145" t="s">
        <v>400</v>
      </c>
      <c r="Y1688" s="145">
        <v>0.06</v>
      </c>
      <c r="Z1688" s="145" t="s">
        <v>400</v>
      </c>
      <c r="AA1688" s="145" t="s">
        <v>400</v>
      </c>
      <c r="AB1688" s="145" t="s">
        <v>400</v>
      </c>
      <c r="AC1688" s="145" t="s">
        <v>400</v>
      </c>
      <c r="AD1688" s="145" t="s">
        <v>400</v>
      </c>
      <c r="AE1688" s="145" t="s">
        <v>400</v>
      </c>
      <c r="AF1688" s="145" t="s">
        <v>400</v>
      </c>
      <c r="AG1688" s="145" t="s">
        <v>400</v>
      </c>
      <c r="AH1688" s="145">
        <v>0.93</v>
      </c>
      <c r="AI1688" s="145" t="s">
        <v>400</v>
      </c>
      <c r="AJ1688" s="145" t="s">
        <v>400</v>
      </c>
      <c r="AK1688" s="145" t="s">
        <v>400</v>
      </c>
      <c r="AL1688" s="145" t="s">
        <v>400</v>
      </c>
      <c r="AM1688" s="145" t="s">
        <v>400</v>
      </c>
    </row>
    <row r="1689" spans="1:39">
      <c r="A1689" s="143" t="s">
        <v>2749</v>
      </c>
      <c r="B1689" s="144">
        <v>100</v>
      </c>
      <c r="C1689" s="145">
        <v>313</v>
      </c>
      <c r="D1689" s="145">
        <v>26.9</v>
      </c>
      <c r="E1689" s="145">
        <v>21.9</v>
      </c>
      <c r="F1689" s="145">
        <v>10.5</v>
      </c>
      <c r="G1689" s="145">
        <v>8.3000000000000007</v>
      </c>
      <c r="H1689" s="145">
        <v>0.4</v>
      </c>
      <c r="I1689" s="145">
        <v>0.24</v>
      </c>
      <c r="J1689" s="145">
        <v>0.08</v>
      </c>
      <c r="K1689" s="145">
        <v>100</v>
      </c>
      <c r="L1689" s="145" t="s">
        <v>400</v>
      </c>
      <c r="M1689" s="145" t="s">
        <v>400</v>
      </c>
      <c r="N1689" s="145">
        <v>13</v>
      </c>
      <c r="O1689" s="145">
        <v>12</v>
      </c>
      <c r="P1689" s="145">
        <v>0.02</v>
      </c>
      <c r="Q1689" s="145">
        <v>82</v>
      </c>
      <c r="R1689" s="145">
        <v>1.9</v>
      </c>
      <c r="S1689" s="145">
        <v>1943</v>
      </c>
      <c r="T1689" s="145">
        <v>86</v>
      </c>
      <c r="U1689" s="145">
        <v>0.03</v>
      </c>
      <c r="V1689" s="145">
        <v>7.7</v>
      </c>
      <c r="W1689" s="145" t="s">
        <v>400</v>
      </c>
      <c r="X1689" s="145" t="s">
        <v>400</v>
      </c>
      <c r="Y1689" s="145">
        <v>0.06</v>
      </c>
      <c r="Z1689" s="145" t="s">
        <v>400</v>
      </c>
      <c r="AA1689" s="145" t="s">
        <v>400</v>
      </c>
      <c r="AB1689" s="145" t="s">
        <v>400</v>
      </c>
      <c r="AC1689" s="145" t="s">
        <v>400</v>
      </c>
      <c r="AD1689" s="145" t="s">
        <v>400</v>
      </c>
      <c r="AE1689" s="145" t="s">
        <v>400</v>
      </c>
      <c r="AF1689" s="145" t="s">
        <v>400</v>
      </c>
      <c r="AG1689" s="145" t="s">
        <v>400</v>
      </c>
      <c r="AH1689" s="145">
        <v>0.93</v>
      </c>
      <c r="AI1689" s="145" t="s">
        <v>400</v>
      </c>
      <c r="AJ1689" s="145" t="s">
        <v>400</v>
      </c>
      <c r="AK1689" s="145" t="s">
        <v>400</v>
      </c>
      <c r="AL1689" s="145" t="s">
        <v>400</v>
      </c>
      <c r="AM1689" s="145" t="s">
        <v>400</v>
      </c>
    </row>
    <row r="1690" spans="1:39">
      <c r="A1690" s="143" t="s">
        <v>2750</v>
      </c>
      <c r="B1690" s="144">
        <v>100</v>
      </c>
      <c r="C1690" s="145">
        <v>313</v>
      </c>
      <c r="D1690" s="145">
        <v>26.9</v>
      </c>
      <c r="E1690" s="145">
        <v>21.9</v>
      </c>
      <c r="F1690" s="145">
        <v>10.5</v>
      </c>
      <c r="G1690" s="145">
        <v>8.3000000000000007</v>
      </c>
      <c r="H1690" s="145">
        <v>0.4</v>
      </c>
      <c r="I1690" s="145">
        <v>0.24</v>
      </c>
      <c r="J1690" s="145">
        <v>0.08</v>
      </c>
      <c r="K1690" s="145">
        <v>100</v>
      </c>
      <c r="L1690" s="145" t="s">
        <v>400</v>
      </c>
      <c r="M1690" s="145" t="s">
        <v>400</v>
      </c>
      <c r="N1690" s="145">
        <v>13</v>
      </c>
      <c r="O1690" s="145">
        <v>12</v>
      </c>
      <c r="P1690" s="145">
        <v>0.02</v>
      </c>
      <c r="Q1690" s="145">
        <v>82</v>
      </c>
      <c r="R1690" s="145">
        <v>1.9</v>
      </c>
      <c r="S1690" s="145">
        <v>1943</v>
      </c>
      <c r="T1690" s="145">
        <v>86</v>
      </c>
      <c r="U1690" s="145">
        <v>0.03</v>
      </c>
      <c r="V1690" s="145">
        <v>7.7</v>
      </c>
      <c r="W1690" s="145" t="s">
        <v>400</v>
      </c>
      <c r="X1690" s="145" t="s">
        <v>400</v>
      </c>
      <c r="Y1690" s="145">
        <v>0.06</v>
      </c>
      <c r="Z1690" s="145" t="s">
        <v>400</v>
      </c>
      <c r="AA1690" s="145" t="s">
        <v>400</v>
      </c>
      <c r="AB1690" s="145" t="s">
        <v>400</v>
      </c>
      <c r="AC1690" s="145" t="s">
        <v>400</v>
      </c>
      <c r="AD1690" s="145" t="s">
        <v>400</v>
      </c>
      <c r="AE1690" s="145" t="s">
        <v>400</v>
      </c>
      <c r="AF1690" s="145" t="s">
        <v>400</v>
      </c>
      <c r="AG1690" s="145" t="s">
        <v>400</v>
      </c>
      <c r="AH1690" s="145">
        <v>0.93</v>
      </c>
      <c r="AI1690" s="145" t="s">
        <v>400</v>
      </c>
      <c r="AJ1690" s="145" t="s">
        <v>400</v>
      </c>
      <c r="AK1690" s="145" t="s">
        <v>400</v>
      </c>
      <c r="AL1690" s="145" t="s">
        <v>400</v>
      </c>
      <c r="AM1690" s="145" t="s">
        <v>400</v>
      </c>
    </row>
    <row r="1691" spans="1:39">
      <c r="A1691" s="143" t="s">
        <v>2751</v>
      </c>
      <c r="B1691" s="144">
        <v>100</v>
      </c>
      <c r="C1691" s="145">
        <v>347.00403999999997</v>
      </c>
      <c r="D1691" s="145">
        <v>25.285999999999998</v>
      </c>
      <c r="E1691" s="145">
        <v>26.557019999999998</v>
      </c>
      <c r="F1691" s="145">
        <v>10.80444</v>
      </c>
      <c r="G1691" s="145">
        <v>9.1623800000000006</v>
      </c>
      <c r="H1691" s="145">
        <v>3.8236599999999998</v>
      </c>
      <c r="I1691" s="145">
        <v>3.26796</v>
      </c>
      <c r="J1691" s="145">
        <v>0.48055999999999999</v>
      </c>
      <c r="K1691" s="145">
        <v>94</v>
      </c>
      <c r="L1691" s="145" t="s">
        <v>400</v>
      </c>
      <c r="M1691" s="145" t="s">
        <v>400</v>
      </c>
      <c r="N1691" s="145">
        <v>12.22</v>
      </c>
      <c r="O1691" s="145">
        <v>11.28</v>
      </c>
      <c r="P1691" s="145">
        <v>1.8800000000000001E-2</v>
      </c>
      <c r="Q1691" s="145">
        <v>77.08</v>
      </c>
      <c r="R1691" s="145">
        <v>1.7889999999999997</v>
      </c>
      <c r="S1691" s="145">
        <v>1826.42</v>
      </c>
      <c r="T1691" s="145">
        <v>80.84</v>
      </c>
      <c r="U1691" s="145">
        <v>2.8199999999999996E-2</v>
      </c>
      <c r="V1691" s="145">
        <v>7.2385999999999999</v>
      </c>
      <c r="W1691" s="145" t="s">
        <v>400</v>
      </c>
      <c r="X1691" s="145" t="s">
        <v>400</v>
      </c>
      <c r="Y1691" s="145">
        <v>5.6399999999999992E-2</v>
      </c>
      <c r="Z1691" s="145" t="s">
        <v>400</v>
      </c>
      <c r="AA1691" s="145" t="s">
        <v>400</v>
      </c>
      <c r="AB1691" s="145" t="s">
        <v>400</v>
      </c>
      <c r="AC1691" s="145" t="s">
        <v>400</v>
      </c>
      <c r="AD1691" s="145" t="s">
        <v>400</v>
      </c>
      <c r="AE1691" s="145" t="s">
        <v>400</v>
      </c>
      <c r="AF1691" s="145" t="s">
        <v>400</v>
      </c>
      <c r="AG1691" s="145">
        <v>0.48846000000000001</v>
      </c>
      <c r="AH1691" s="145">
        <v>3.1800000000000002E-2</v>
      </c>
      <c r="AI1691" s="145" t="s">
        <v>400</v>
      </c>
      <c r="AJ1691" s="145">
        <v>2.7365400000000002</v>
      </c>
      <c r="AK1691" s="145" t="s">
        <v>400</v>
      </c>
      <c r="AL1691" s="145" t="s">
        <v>400</v>
      </c>
      <c r="AM1691" s="145" t="s">
        <v>400</v>
      </c>
    </row>
    <row r="1692" spans="1:39">
      <c r="A1692" s="143" t="s">
        <v>2752</v>
      </c>
      <c r="B1692" s="144">
        <v>100</v>
      </c>
      <c r="C1692" s="145">
        <v>347.00403999999997</v>
      </c>
      <c r="D1692" s="145">
        <v>25.285999999999998</v>
      </c>
      <c r="E1692" s="145">
        <v>26.557019999999998</v>
      </c>
      <c r="F1692" s="145">
        <v>10.80444</v>
      </c>
      <c r="G1692" s="145">
        <v>9.1623800000000006</v>
      </c>
      <c r="H1692" s="145">
        <v>3.8236599999999998</v>
      </c>
      <c r="I1692" s="145">
        <v>3.26796</v>
      </c>
      <c r="J1692" s="145">
        <v>0.48055999999999999</v>
      </c>
      <c r="K1692" s="145">
        <v>94</v>
      </c>
      <c r="L1692" s="145" t="s">
        <v>400</v>
      </c>
      <c r="M1692" s="145" t="s">
        <v>400</v>
      </c>
      <c r="N1692" s="145">
        <v>12.22</v>
      </c>
      <c r="O1692" s="145">
        <v>11.28</v>
      </c>
      <c r="P1692" s="145">
        <v>1.8800000000000001E-2</v>
      </c>
      <c r="Q1692" s="145">
        <v>77.08</v>
      </c>
      <c r="R1692" s="145">
        <v>1.7889999999999997</v>
      </c>
      <c r="S1692" s="145">
        <v>1826.42</v>
      </c>
      <c r="T1692" s="145">
        <v>80.84</v>
      </c>
      <c r="U1692" s="145">
        <v>2.8199999999999996E-2</v>
      </c>
      <c r="V1692" s="145">
        <v>7.2385999999999999</v>
      </c>
      <c r="W1692" s="145" t="s">
        <v>400</v>
      </c>
      <c r="X1692" s="145" t="s">
        <v>400</v>
      </c>
      <c r="Y1692" s="145">
        <v>5.6399999999999992E-2</v>
      </c>
      <c r="Z1692" s="145" t="s">
        <v>400</v>
      </c>
      <c r="AA1692" s="145" t="s">
        <v>400</v>
      </c>
      <c r="AB1692" s="145" t="s">
        <v>400</v>
      </c>
      <c r="AC1692" s="145" t="s">
        <v>400</v>
      </c>
      <c r="AD1692" s="145" t="s">
        <v>400</v>
      </c>
      <c r="AE1692" s="145" t="s">
        <v>400</v>
      </c>
      <c r="AF1692" s="145" t="s">
        <v>400</v>
      </c>
      <c r="AG1692" s="145">
        <v>0.48846000000000001</v>
      </c>
      <c r="AH1692" s="145">
        <v>3.1800000000000002E-2</v>
      </c>
      <c r="AI1692" s="145" t="s">
        <v>400</v>
      </c>
      <c r="AJ1692" s="145">
        <v>2.7365400000000002</v>
      </c>
      <c r="AK1692" s="145" t="s">
        <v>400</v>
      </c>
      <c r="AL1692" s="145" t="s">
        <v>400</v>
      </c>
      <c r="AM1692" s="145" t="s">
        <v>400</v>
      </c>
    </row>
    <row r="1693" spans="1:39">
      <c r="A1693" s="143" t="s">
        <v>2753</v>
      </c>
      <c r="B1693" s="144">
        <v>100</v>
      </c>
      <c r="C1693" s="145">
        <v>255.2</v>
      </c>
      <c r="D1693" s="145">
        <v>21.783999999999999</v>
      </c>
      <c r="E1693" s="145">
        <v>17.556000000000001</v>
      </c>
      <c r="F1693" s="145">
        <v>8.4060000000000006</v>
      </c>
      <c r="G1693" s="145">
        <v>6.6460000000000008</v>
      </c>
      <c r="H1693" s="145">
        <v>0.33400000000000007</v>
      </c>
      <c r="I1693" s="145">
        <v>0.20600000000000002</v>
      </c>
      <c r="J1693" s="145">
        <v>6.4000000000000001E-2</v>
      </c>
      <c r="K1693" s="145">
        <v>80</v>
      </c>
      <c r="L1693" s="145">
        <v>1.0760000000000001</v>
      </c>
      <c r="M1693" s="145">
        <v>0.3</v>
      </c>
      <c r="N1693" s="145">
        <v>13</v>
      </c>
      <c r="O1693" s="145">
        <v>12.8</v>
      </c>
      <c r="P1693" s="145">
        <v>3.8000000000000006E-2</v>
      </c>
      <c r="Q1693" s="145">
        <v>70.8</v>
      </c>
      <c r="R1693" s="145">
        <v>1.724</v>
      </c>
      <c r="S1693" s="145">
        <v>1659.2</v>
      </c>
      <c r="T1693" s="145">
        <v>135</v>
      </c>
      <c r="U1693" s="145">
        <v>4.8000000000000001E-2</v>
      </c>
      <c r="V1693" s="145">
        <v>6.2</v>
      </c>
      <c r="W1693" s="145" t="s">
        <v>400</v>
      </c>
      <c r="X1693" s="145">
        <v>4.0000000000000001E-3</v>
      </c>
      <c r="Y1693" s="145">
        <v>6.2E-2</v>
      </c>
      <c r="Z1693" s="145">
        <v>0.02</v>
      </c>
      <c r="AA1693" s="145">
        <v>0.19600000000000001</v>
      </c>
      <c r="AB1693" s="145">
        <v>1.4</v>
      </c>
      <c r="AC1693" s="145">
        <v>0.22799999999999998</v>
      </c>
      <c r="AD1693" s="145" t="s">
        <v>400</v>
      </c>
      <c r="AE1693" s="145">
        <v>2.2000000000000002</v>
      </c>
      <c r="AF1693" s="145" t="s">
        <v>400</v>
      </c>
      <c r="AG1693" s="145">
        <v>0.28399999999999997</v>
      </c>
      <c r="AH1693" s="145" t="s">
        <v>400</v>
      </c>
      <c r="AI1693" s="145" t="s">
        <v>400</v>
      </c>
      <c r="AJ1693" s="145">
        <v>0.04</v>
      </c>
      <c r="AK1693" s="145">
        <v>3.4840000000000004</v>
      </c>
      <c r="AL1693" s="145">
        <v>0.85</v>
      </c>
      <c r="AM1693" s="145" t="s">
        <v>400</v>
      </c>
    </row>
    <row r="1694" spans="1:39">
      <c r="A1694" s="143" t="s">
        <v>2754</v>
      </c>
      <c r="B1694" s="144">
        <v>100</v>
      </c>
      <c r="C1694" s="145">
        <v>313</v>
      </c>
      <c r="D1694" s="145">
        <v>26.9</v>
      </c>
      <c r="E1694" s="145">
        <v>21.9</v>
      </c>
      <c r="F1694" s="145">
        <v>10.5</v>
      </c>
      <c r="G1694" s="145">
        <v>8.3000000000000007</v>
      </c>
      <c r="H1694" s="145">
        <v>0.4</v>
      </c>
      <c r="I1694" s="145">
        <v>0.24</v>
      </c>
      <c r="J1694" s="145">
        <v>0.08</v>
      </c>
      <c r="K1694" s="145">
        <v>100</v>
      </c>
      <c r="L1694" s="145" t="s">
        <v>400</v>
      </c>
      <c r="M1694" s="145" t="s">
        <v>400</v>
      </c>
      <c r="N1694" s="145">
        <v>13</v>
      </c>
      <c r="O1694" s="145">
        <v>12</v>
      </c>
      <c r="P1694" s="145">
        <v>0.02</v>
      </c>
      <c r="Q1694" s="145">
        <v>82</v>
      </c>
      <c r="R1694" s="145">
        <v>1.9</v>
      </c>
      <c r="S1694" s="145">
        <v>1943</v>
      </c>
      <c r="T1694" s="145">
        <v>86</v>
      </c>
      <c r="U1694" s="145">
        <v>0.03</v>
      </c>
      <c r="V1694" s="145">
        <v>7.7</v>
      </c>
      <c r="W1694" s="145" t="s">
        <v>400</v>
      </c>
      <c r="X1694" s="145" t="s">
        <v>400</v>
      </c>
      <c r="Y1694" s="145">
        <v>0.06</v>
      </c>
      <c r="Z1694" s="145" t="s">
        <v>400</v>
      </c>
      <c r="AA1694" s="145" t="s">
        <v>400</v>
      </c>
      <c r="AB1694" s="145" t="s">
        <v>400</v>
      </c>
      <c r="AC1694" s="145" t="s">
        <v>400</v>
      </c>
      <c r="AD1694" s="145" t="s">
        <v>400</v>
      </c>
      <c r="AE1694" s="145" t="s">
        <v>400</v>
      </c>
      <c r="AF1694" s="145" t="s">
        <v>400</v>
      </c>
      <c r="AG1694" s="145" t="s">
        <v>400</v>
      </c>
      <c r="AH1694" s="145">
        <v>0.93</v>
      </c>
      <c r="AI1694" s="145" t="s">
        <v>400</v>
      </c>
      <c r="AJ1694" s="145" t="s">
        <v>400</v>
      </c>
      <c r="AK1694" s="145" t="s">
        <v>400</v>
      </c>
      <c r="AL1694" s="145" t="s">
        <v>400</v>
      </c>
      <c r="AM1694" s="145" t="s">
        <v>400</v>
      </c>
    </row>
    <row r="1695" spans="1:39">
      <c r="A1695" s="143" t="s">
        <v>2755</v>
      </c>
      <c r="B1695" s="144">
        <v>100</v>
      </c>
      <c r="C1695" s="145">
        <v>273.01600000000002</v>
      </c>
      <c r="D1695" s="145">
        <v>16.236999999999998</v>
      </c>
      <c r="E1695" s="145">
        <v>15.63</v>
      </c>
      <c r="F1695" s="145">
        <v>3.6190000000000002</v>
      </c>
      <c r="G1695" s="145">
        <v>7.431</v>
      </c>
      <c r="H1695" s="145">
        <v>2.5720000000000001</v>
      </c>
      <c r="I1695" s="145">
        <v>2.3410000000000002</v>
      </c>
      <c r="J1695" s="145">
        <v>0.13700000000000001</v>
      </c>
      <c r="K1695" s="145">
        <v>39.844000000000001</v>
      </c>
      <c r="L1695" s="145">
        <v>15.912000000000001</v>
      </c>
      <c r="M1695" s="145">
        <v>0.64300000000000002</v>
      </c>
      <c r="N1695" s="145">
        <v>9.8450000000000006</v>
      </c>
      <c r="O1695" s="145">
        <v>17.73</v>
      </c>
      <c r="P1695" s="145">
        <v>0.107</v>
      </c>
      <c r="Q1695" s="145">
        <v>121.51600000000001</v>
      </c>
      <c r="R1695" s="145">
        <v>1.36</v>
      </c>
      <c r="S1695" s="145">
        <v>704.38</v>
      </c>
      <c r="T1695" s="145">
        <v>138.84100000000001</v>
      </c>
      <c r="U1695" s="145">
        <v>4.7E-2</v>
      </c>
      <c r="V1695" s="145">
        <v>0.71099999999999997</v>
      </c>
      <c r="W1695" s="145">
        <v>4.2190000000000003</v>
      </c>
      <c r="X1695" s="145">
        <v>0.16700000000000001</v>
      </c>
      <c r="Y1695" s="145">
        <v>0.14199999999999999</v>
      </c>
      <c r="Z1695" s="146">
        <v>0.29899999999999999</v>
      </c>
      <c r="AA1695" s="145">
        <v>6.8920000000000003</v>
      </c>
      <c r="AB1695" s="145" t="s">
        <v>400</v>
      </c>
      <c r="AC1695" s="145">
        <v>10.018000000000001</v>
      </c>
      <c r="AD1695" s="145">
        <v>0.159</v>
      </c>
      <c r="AE1695" s="145">
        <v>35</v>
      </c>
      <c r="AF1695" s="145">
        <v>9.4E-2</v>
      </c>
      <c r="AG1695" s="145">
        <v>1.087</v>
      </c>
      <c r="AH1695" s="145">
        <v>3.008</v>
      </c>
      <c r="AI1695" s="145" t="s">
        <v>400</v>
      </c>
      <c r="AJ1695" s="145">
        <v>16.445</v>
      </c>
      <c r="AK1695" s="145">
        <v>4.8879999999999999</v>
      </c>
      <c r="AL1695" s="145">
        <v>0.14299999999999999</v>
      </c>
      <c r="AM1695" s="145" t="s">
        <v>400</v>
      </c>
    </row>
    <row r="1696" spans="1:39">
      <c r="A1696" s="143" t="s">
        <v>2756</v>
      </c>
      <c r="B1696" s="144">
        <v>100</v>
      </c>
      <c r="C1696" s="145">
        <v>273.01600000000002</v>
      </c>
      <c r="D1696" s="145">
        <v>16.236999999999998</v>
      </c>
      <c r="E1696" s="145">
        <v>15.63</v>
      </c>
      <c r="F1696" s="145">
        <v>3.6190000000000002</v>
      </c>
      <c r="G1696" s="145">
        <v>7.431</v>
      </c>
      <c r="H1696" s="145">
        <v>2.5720000000000001</v>
      </c>
      <c r="I1696" s="145">
        <v>2.3410000000000002</v>
      </c>
      <c r="J1696" s="145">
        <v>0.13700000000000001</v>
      </c>
      <c r="K1696" s="145">
        <v>39.844000000000001</v>
      </c>
      <c r="L1696" s="145">
        <v>15.912000000000001</v>
      </c>
      <c r="M1696" s="145">
        <v>0.64300000000000002</v>
      </c>
      <c r="N1696" s="145">
        <v>9.8450000000000006</v>
      </c>
      <c r="O1696" s="145">
        <v>17.73</v>
      </c>
      <c r="P1696" s="145">
        <v>0.107</v>
      </c>
      <c r="Q1696" s="145">
        <v>121.51600000000001</v>
      </c>
      <c r="R1696" s="145">
        <v>1.36</v>
      </c>
      <c r="S1696" s="145">
        <v>704.38</v>
      </c>
      <c r="T1696" s="145">
        <v>138.84100000000001</v>
      </c>
      <c r="U1696" s="145">
        <v>4.7E-2</v>
      </c>
      <c r="V1696" s="145">
        <v>0.71099999999999997</v>
      </c>
      <c r="W1696" s="145">
        <v>4.2190000000000003</v>
      </c>
      <c r="X1696" s="145">
        <v>0.16700000000000001</v>
      </c>
      <c r="Y1696" s="145">
        <v>0.14199999999999999</v>
      </c>
      <c r="Z1696" s="146">
        <v>0.29899999999999999</v>
      </c>
      <c r="AA1696" s="145">
        <v>6.8920000000000003</v>
      </c>
      <c r="AB1696" s="145" t="s">
        <v>400</v>
      </c>
      <c r="AC1696" s="145">
        <v>10.018000000000001</v>
      </c>
      <c r="AD1696" s="145">
        <v>0.159</v>
      </c>
      <c r="AE1696" s="145">
        <v>35</v>
      </c>
      <c r="AF1696" s="145">
        <v>9.4E-2</v>
      </c>
      <c r="AG1696" s="145">
        <v>1.087</v>
      </c>
      <c r="AH1696" s="145">
        <v>3.008</v>
      </c>
      <c r="AI1696" s="145" t="s">
        <v>400</v>
      </c>
      <c r="AJ1696" s="145">
        <v>16.445</v>
      </c>
      <c r="AK1696" s="145">
        <v>4.8879999999999999</v>
      </c>
      <c r="AL1696" s="145">
        <v>0.14299999999999999</v>
      </c>
      <c r="AM1696" s="145" t="s">
        <v>400</v>
      </c>
    </row>
    <row r="1697" spans="1:39">
      <c r="A1697" s="143" t="s">
        <v>2757</v>
      </c>
      <c r="B1697" s="144">
        <v>100</v>
      </c>
      <c r="C1697" s="145">
        <v>273.01600000000002</v>
      </c>
      <c r="D1697" s="145">
        <v>16.236999999999998</v>
      </c>
      <c r="E1697" s="145">
        <v>15.63</v>
      </c>
      <c r="F1697" s="145">
        <v>3.6190000000000002</v>
      </c>
      <c r="G1697" s="145">
        <v>7.431</v>
      </c>
      <c r="H1697" s="145">
        <v>2.5720000000000001</v>
      </c>
      <c r="I1697" s="145">
        <v>2.3410000000000002</v>
      </c>
      <c r="J1697" s="145">
        <v>0.13700000000000001</v>
      </c>
      <c r="K1697" s="145">
        <v>39.844000000000001</v>
      </c>
      <c r="L1697" s="145">
        <v>15.912000000000001</v>
      </c>
      <c r="M1697" s="145">
        <v>0.64300000000000002</v>
      </c>
      <c r="N1697" s="145">
        <v>9.8450000000000006</v>
      </c>
      <c r="O1697" s="145">
        <v>17.73</v>
      </c>
      <c r="P1697" s="145">
        <v>0.107</v>
      </c>
      <c r="Q1697" s="145">
        <v>121.51600000000001</v>
      </c>
      <c r="R1697" s="145">
        <v>1.36</v>
      </c>
      <c r="S1697" s="145">
        <v>704.38</v>
      </c>
      <c r="T1697" s="145">
        <v>138.84100000000001</v>
      </c>
      <c r="U1697" s="145">
        <v>4.7E-2</v>
      </c>
      <c r="V1697" s="145">
        <v>0.71099999999999997</v>
      </c>
      <c r="W1697" s="145">
        <v>4.2190000000000003</v>
      </c>
      <c r="X1697" s="145">
        <v>0.16700000000000001</v>
      </c>
      <c r="Y1697" s="145">
        <v>0.14199999999999999</v>
      </c>
      <c r="Z1697" s="146">
        <v>0.29899999999999999</v>
      </c>
      <c r="AA1697" s="145">
        <v>6.8920000000000003</v>
      </c>
      <c r="AB1697" s="145" t="s">
        <v>400</v>
      </c>
      <c r="AC1697" s="145">
        <v>10.018000000000001</v>
      </c>
      <c r="AD1697" s="145">
        <v>0.159</v>
      </c>
      <c r="AE1697" s="145">
        <v>35</v>
      </c>
      <c r="AF1697" s="145">
        <v>9.4E-2</v>
      </c>
      <c r="AG1697" s="145">
        <v>1.087</v>
      </c>
      <c r="AH1697" s="145">
        <v>3.008</v>
      </c>
      <c r="AI1697" s="145" t="s">
        <v>400</v>
      </c>
      <c r="AJ1697" s="145">
        <v>16.445</v>
      </c>
      <c r="AK1697" s="145">
        <v>4.8879999999999999</v>
      </c>
      <c r="AL1697" s="145">
        <v>0.14299999999999999</v>
      </c>
      <c r="AM1697" s="145" t="s">
        <v>400</v>
      </c>
    </row>
    <row r="1698" spans="1:39">
      <c r="A1698" s="143" t="s">
        <v>2758</v>
      </c>
      <c r="B1698" s="144">
        <v>100</v>
      </c>
      <c r="C1698" s="145">
        <v>273.01600000000002</v>
      </c>
      <c r="D1698" s="145">
        <v>16.236999999999998</v>
      </c>
      <c r="E1698" s="145">
        <v>15.63</v>
      </c>
      <c r="F1698" s="145">
        <v>3.6190000000000002</v>
      </c>
      <c r="G1698" s="145">
        <v>7.431</v>
      </c>
      <c r="H1698" s="145">
        <v>2.5720000000000001</v>
      </c>
      <c r="I1698" s="145">
        <v>2.3410000000000002</v>
      </c>
      <c r="J1698" s="145">
        <v>0.13700000000000001</v>
      </c>
      <c r="K1698" s="145">
        <v>39.844000000000001</v>
      </c>
      <c r="L1698" s="145">
        <v>15.912000000000001</v>
      </c>
      <c r="M1698" s="145">
        <v>0.64300000000000002</v>
      </c>
      <c r="N1698" s="145">
        <v>9.8450000000000006</v>
      </c>
      <c r="O1698" s="145">
        <v>17.73</v>
      </c>
      <c r="P1698" s="145">
        <v>0.107</v>
      </c>
      <c r="Q1698" s="145">
        <v>121.51600000000001</v>
      </c>
      <c r="R1698" s="145">
        <v>1.36</v>
      </c>
      <c r="S1698" s="145">
        <v>704.38</v>
      </c>
      <c r="T1698" s="145">
        <v>138.84100000000001</v>
      </c>
      <c r="U1698" s="145">
        <v>4.7E-2</v>
      </c>
      <c r="V1698" s="145">
        <v>0.71099999999999997</v>
      </c>
      <c r="W1698" s="145">
        <v>4.2190000000000003</v>
      </c>
      <c r="X1698" s="145">
        <v>0.16700000000000001</v>
      </c>
      <c r="Y1698" s="145">
        <v>0.14199999999999999</v>
      </c>
      <c r="Z1698" s="146">
        <v>0.29899999999999999</v>
      </c>
      <c r="AA1698" s="145">
        <v>6.8920000000000003</v>
      </c>
      <c r="AB1698" s="145" t="s">
        <v>400</v>
      </c>
      <c r="AC1698" s="145">
        <v>10.018000000000001</v>
      </c>
      <c r="AD1698" s="145">
        <v>0.159</v>
      </c>
      <c r="AE1698" s="145">
        <v>35</v>
      </c>
      <c r="AF1698" s="145">
        <v>9.4E-2</v>
      </c>
      <c r="AG1698" s="145">
        <v>1.087</v>
      </c>
      <c r="AH1698" s="145">
        <v>3.008</v>
      </c>
      <c r="AI1698" s="145" t="s">
        <v>400</v>
      </c>
      <c r="AJ1698" s="145">
        <v>16.445</v>
      </c>
      <c r="AK1698" s="145">
        <v>4.8879999999999999</v>
      </c>
      <c r="AL1698" s="145">
        <v>0.14299999999999999</v>
      </c>
      <c r="AM1698" s="145" t="s">
        <v>400</v>
      </c>
    </row>
    <row r="1699" spans="1:39">
      <c r="A1699" s="143" t="s">
        <v>2759</v>
      </c>
      <c r="B1699" s="144">
        <v>100</v>
      </c>
      <c r="C1699" s="145">
        <v>273.01600000000002</v>
      </c>
      <c r="D1699" s="145">
        <v>16.236999999999998</v>
      </c>
      <c r="E1699" s="145">
        <v>15.63</v>
      </c>
      <c r="F1699" s="145">
        <v>3.6190000000000002</v>
      </c>
      <c r="G1699" s="145">
        <v>7.431</v>
      </c>
      <c r="H1699" s="145">
        <v>2.5720000000000001</v>
      </c>
      <c r="I1699" s="145">
        <v>2.3410000000000002</v>
      </c>
      <c r="J1699" s="145">
        <v>0.13700000000000001</v>
      </c>
      <c r="K1699" s="145">
        <v>39.844000000000001</v>
      </c>
      <c r="L1699" s="145">
        <v>15.912000000000001</v>
      </c>
      <c r="M1699" s="145">
        <v>0.64300000000000002</v>
      </c>
      <c r="N1699" s="145">
        <v>9.8450000000000006</v>
      </c>
      <c r="O1699" s="145">
        <v>17.73</v>
      </c>
      <c r="P1699" s="145">
        <v>0.107</v>
      </c>
      <c r="Q1699" s="145">
        <v>121.51600000000001</v>
      </c>
      <c r="R1699" s="145">
        <v>1.36</v>
      </c>
      <c r="S1699" s="145">
        <v>704.38</v>
      </c>
      <c r="T1699" s="145">
        <v>138.84100000000001</v>
      </c>
      <c r="U1699" s="145">
        <v>4.7E-2</v>
      </c>
      <c r="V1699" s="145">
        <v>0.71099999999999997</v>
      </c>
      <c r="W1699" s="145">
        <v>4.2190000000000003</v>
      </c>
      <c r="X1699" s="145">
        <v>0.16700000000000001</v>
      </c>
      <c r="Y1699" s="145">
        <v>0.14199999999999999</v>
      </c>
      <c r="Z1699" s="146">
        <v>0.29899999999999999</v>
      </c>
      <c r="AA1699" s="145">
        <v>6.8920000000000003</v>
      </c>
      <c r="AB1699" s="145" t="s">
        <v>400</v>
      </c>
      <c r="AC1699" s="145">
        <v>10.018000000000001</v>
      </c>
      <c r="AD1699" s="145">
        <v>0.159</v>
      </c>
      <c r="AE1699" s="145">
        <v>35</v>
      </c>
      <c r="AF1699" s="145">
        <v>9.4E-2</v>
      </c>
      <c r="AG1699" s="145">
        <v>1.087</v>
      </c>
      <c r="AH1699" s="145">
        <v>3.008</v>
      </c>
      <c r="AI1699" s="145" t="s">
        <v>400</v>
      </c>
      <c r="AJ1699" s="145">
        <v>16.445</v>
      </c>
      <c r="AK1699" s="145">
        <v>4.8879999999999999</v>
      </c>
      <c r="AL1699" s="145">
        <v>0.14299999999999999</v>
      </c>
      <c r="AM1699" s="145" t="s">
        <v>400</v>
      </c>
    </row>
    <row r="1700" spans="1:39">
      <c r="A1700" s="143" t="s">
        <v>2760</v>
      </c>
      <c r="B1700" s="144">
        <v>100</v>
      </c>
      <c r="C1700" s="145">
        <v>211</v>
      </c>
      <c r="D1700" s="145">
        <v>13.06</v>
      </c>
      <c r="E1700" s="145">
        <v>16.059999999999999</v>
      </c>
      <c r="F1700" s="145">
        <v>5.46</v>
      </c>
      <c r="G1700" s="145">
        <v>7.548</v>
      </c>
      <c r="H1700" s="145">
        <v>3.0510000000000002</v>
      </c>
      <c r="I1700" s="145">
        <v>2.786</v>
      </c>
      <c r="J1700" s="145">
        <v>0.219</v>
      </c>
      <c r="K1700" s="145">
        <v>79</v>
      </c>
      <c r="L1700" s="145">
        <v>3.45</v>
      </c>
      <c r="M1700" s="145" t="s">
        <v>400</v>
      </c>
      <c r="N1700" s="145">
        <v>48</v>
      </c>
      <c r="O1700" s="145">
        <v>17</v>
      </c>
      <c r="P1700" s="145">
        <v>0.155</v>
      </c>
      <c r="Q1700" s="145">
        <v>94</v>
      </c>
      <c r="R1700" s="145">
        <v>1.1499999999999999</v>
      </c>
      <c r="S1700" s="145">
        <v>716</v>
      </c>
      <c r="T1700" s="145">
        <v>138</v>
      </c>
      <c r="U1700" s="145">
        <v>8.2000000000000003E-2</v>
      </c>
      <c r="V1700" s="145">
        <v>0.73</v>
      </c>
      <c r="W1700" s="145">
        <v>1</v>
      </c>
      <c r="X1700" s="145">
        <v>0.159</v>
      </c>
      <c r="Y1700" s="145">
        <v>9.7000000000000003E-2</v>
      </c>
      <c r="Z1700" s="146">
        <v>0.16300000000000001</v>
      </c>
      <c r="AA1700" s="145">
        <v>3.0720000000000001</v>
      </c>
      <c r="AB1700" s="145" t="s">
        <v>400</v>
      </c>
      <c r="AC1700" s="145">
        <v>4.7549999999999999</v>
      </c>
      <c r="AD1700" s="145">
        <v>0.28999999999999998</v>
      </c>
      <c r="AE1700" s="145">
        <v>18</v>
      </c>
      <c r="AF1700" s="145">
        <v>0.41599999999999998</v>
      </c>
      <c r="AG1700" s="145">
        <v>0.23200000000000001</v>
      </c>
      <c r="AH1700" s="145">
        <v>0.109</v>
      </c>
      <c r="AI1700" s="145" t="s">
        <v>400</v>
      </c>
      <c r="AJ1700" s="145">
        <v>5.6</v>
      </c>
      <c r="AK1700" s="145">
        <v>1</v>
      </c>
      <c r="AL1700" s="145">
        <v>0.46</v>
      </c>
      <c r="AM1700" s="145">
        <v>0.46</v>
      </c>
    </row>
    <row r="1701" spans="1:39">
      <c r="A1701" s="143" t="s">
        <v>2761</v>
      </c>
      <c r="B1701" s="144">
        <v>100</v>
      </c>
      <c r="C1701" s="145">
        <v>154</v>
      </c>
      <c r="D1701" s="145">
        <v>11</v>
      </c>
      <c r="E1701" s="145">
        <v>10</v>
      </c>
      <c r="F1701" s="145">
        <v>3.6920000000000002</v>
      </c>
      <c r="G1701" s="145">
        <v>4.75</v>
      </c>
      <c r="H1701" s="145">
        <v>0.93700000000000006</v>
      </c>
      <c r="I1701" s="145">
        <v>0.80300000000000005</v>
      </c>
      <c r="J1701" s="145">
        <v>0.13400000000000001</v>
      </c>
      <c r="K1701" s="145">
        <v>44</v>
      </c>
      <c r="L1701" s="145">
        <v>4.4000000000000004</v>
      </c>
      <c r="M1701" s="145" t="s">
        <v>400</v>
      </c>
      <c r="N1701" s="145">
        <v>10</v>
      </c>
      <c r="O1701" s="145">
        <v>10</v>
      </c>
      <c r="P1701" s="145">
        <v>0.01</v>
      </c>
      <c r="Q1701" s="145">
        <v>140</v>
      </c>
      <c r="R1701" s="145">
        <v>1.2</v>
      </c>
      <c r="S1701" s="145">
        <v>1257</v>
      </c>
      <c r="T1701" s="145">
        <v>150</v>
      </c>
      <c r="U1701" s="145">
        <v>7.4999999999999997E-2</v>
      </c>
      <c r="V1701" s="145">
        <v>1.96</v>
      </c>
      <c r="W1701" s="145" t="s">
        <v>400</v>
      </c>
      <c r="X1701" s="145">
        <v>0.18</v>
      </c>
      <c r="Y1701" s="145">
        <v>0.11</v>
      </c>
      <c r="Z1701" s="146">
        <v>0.1</v>
      </c>
      <c r="AA1701" s="145">
        <v>2.4</v>
      </c>
      <c r="AB1701" s="145" t="s">
        <v>400</v>
      </c>
      <c r="AC1701" s="145">
        <v>4.117</v>
      </c>
      <c r="AD1701" s="145">
        <v>1.3</v>
      </c>
      <c r="AE1701" s="145">
        <v>4</v>
      </c>
      <c r="AF1701" s="145">
        <v>0.32700000000000001</v>
      </c>
      <c r="AG1701" s="145">
        <v>0.08</v>
      </c>
      <c r="AH1701" s="145">
        <v>0.191</v>
      </c>
      <c r="AI1701" s="145" t="s">
        <v>400</v>
      </c>
      <c r="AJ1701" s="145">
        <v>15.1</v>
      </c>
      <c r="AK1701" s="145" t="s">
        <v>400</v>
      </c>
      <c r="AL1701" s="145">
        <v>3.63</v>
      </c>
      <c r="AM1701" s="145">
        <v>4.4000000000000004</v>
      </c>
    </row>
    <row r="1702" spans="1:39">
      <c r="A1702" s="143" t="s">
        <v>2762</v>
      </c>
      <c r="B1702" s="144">
        <v>100</v>
      </c>
      <c r="C1702" s="145">
        <v>145.184</v>
      </c>
      <c r="D1702" s="145">
        <v>14.704000000000001</v>
      </c>
      <c r="E1702" s="145">
        <v>8.9350000000000005</v>
      </c>
      <c r="F1702" s="145">
        <v>2.4740000000000002</v>
      </c>
      <c r="G1702" s="145">
        <v>3.5049999999999999</v>
      </c>
      <c r="H1702" s="145">
        <v>1.976</v>
      </c>
      <c r="I1702" s="145">
        <v>1.7210000000000001</v>
      </c>
      <c r="J1702" s="145">
        <v>7.9000000000000001E-2</v>
      </c>
      <c r="K1702" s="145">
        <v>51.524000000000001</v>
      </c>
      <c r="L1702" s="145">
        <v>0.5</v>
      </c>
      <c r="M1702" s="145" t="s">
        <v>400</v>
      </c>
      <c r="N1702" s="145">
        <v>9.8780000000000001</v>
      </c>
      <c r="O1702" s="145">
        <v>12.667</v>
      </c>
      <c r="P1702" s="145">
        <v>1.4E-2</v>
      </c>
      <c r="Q1702" s="145">
        <v>95.122</v>
      </c>
      <c r="R1702" s="145">
        <v>0.77800000000000002</v>
      </c>
      <c r="S1702" s="145">
        <v>999.07299999999998</v>
      </c>
      <c r="T1702" s="145">
        <v>124.77</v>
      </c>
      <c r="U1702" s="145">
        <v>4.3999999999999997E-2</v>
      </c>
      <c r="V1702" s="145">
        <v>1.4119999999999999</v>
      </c>
      <c r="W1702" s="145">
        <v>33.972000000000001</v>
      </c>
      <c r="X1702" s="145">
        <v>3.6999999999999998E-2</v>
      </c>
      <c r="Y1702" s="145">
        <v>0.11700000000000001</v>
      </c>
      <c r="Z1702" s="146">
        <v>0.17599999999999999</v>
      </c>
      <c r="AA1702" s="145">
        <v>3.6</v>
      </c>
      <c r="AB1702" s="145" t="s">
        <v>400</v>
      </c>
      <c r="AC1702" s="145">
        <v>6.3280000000000003</v>
      </c>
      <c r="AD1702" s="145">
        <v>0.16400000000000001</v>
      </c>
      <c r="AE1702" s="145">
        <v>3.9630000000000001</v>
      </c>
      <c r="AF1702" s="145">
        <v>0.113</v>
      </c>
      <c r="AG1702" s="145">
        <v>0.24299999999999999</v>
      </c>
      <c r="AH1702" s="145">
        <v>0.19400000000000001</v>
      </c>
      <c r="AI1702" s="145" t="s">
        <v>400</v>
      </c>
      <c r="AJ1702" s="145">
        <v>11.443</v>
      </c>
      <c r="AK1702" s="145">
        <v>33.972000000000001</v>
      </c>
      <c r="AL1702" s="145">
        <v>0.5</v>
      </c>
      <c r="AM1702" s="145">
        <v>0.5</v>
      </c>
    </row>
    <row r="1703" spans="1:39">
      <c r="A1703" s="143" t="s">
        <v>2763</v>
      </c>
      <c r="B1703" s="144">
        <v>100</v>
      </c>
      <c r="C1703" s="145">
        <v>124.121</v>
      </c>
      <c r="D1703" s="145">
        <v>14.986000000000001</v>
      </c>
      <c r="E1703" s="145">
        <v>3.573</v>
      </c>
      <c r="F1703" s="145">
        <v>1.0389999999999999</v>
      </c>
      <c r="G1703" s="145">
        <v>1.3420000000000001</v>
      </c>
      <c r="H1703" s="145">
        <v>0.71099999999999997</v>
      </c>
      <c r="I1703" s="145">
        <v>0.57999999999999996</v>
      </c>
      <c r="J1703" s="145">
        <v>3.3000000000000002E-2</v>
      </c>
      <c r="K1703" s="145">
        <v>37.610999999999997</v>
      </c>
      <c r="L1703" s="145">
        <v>7.1079999999999997</v>
      </c>
      <c r="M1703" s="145" t="s">
        <v>400</v>
      </c>
      <c r="N1703" s="145">
        <v>43.683</v>
      </c>
      <c r="O1703" s="145">
        <v>14.837999999999999</v>
      </c>
      <c r="P1703" s="145">
        <v>0.05</v>
      </c>
      <c r="Q1703" s="145">
        <v>120.154</v>
      </c>
      <c r="R1703" s="145">
        <v>0.68200000000000005</v>
      </c>
      <c r="S1703" s="145">
        <v>853.62400000000002</v>
      </c>
      <c r="T1703" s="145">
        <v>180.74100000000001</v>
      </c>
      <c r="U1703" s="145">
        <v>8.4000000000000005E-2</v>
      </c>
      <c r="V1703" s="145">
        <v>1.175</v>
      </c>
      <c r="W1703" s="145">
        <v>6.3390000000000004</v>
      </c>
      <c r="X1703" s="145">
        <v>0.06</v>
      </c>
      <c r="Y1703" s="145">
        <v>0.13</v>
      </c>
      <c r="Z1703" s="146">
        <v>0.214</v>
      </c>
      <c r="AA1703" s="145">
        <v>4.2919999999999998</v>
      </c>
      <c r="AB1703" s="145">
        <v>2.7E-2</v>
      </c>
      <c r="AC1703" s="145">
        <v>6.8159999999999998</v>
      </c>
      <c r="AD1703" s="145">
        <v>0.27100000000000002</v>
      </c>
      <c r="AE1703" s="145">
        <v>4.6189999999999998</v>
      </c>
      <c r="AF1703" s="145">
        <v>0.192</v>
      </c>
      <c r="AG1703" s="145">
        <v>0.13100000000000001</v>
      </c>
      <c r="AH1703" s="145">
        <v>0.107</v>
      </c>
      <c r="AI1703" s="145" t="s">
        <v>400</v>
      </c>
      <c r="AJ1703" s="145">
        <v>11.601000000000001</v>
      </c>
      <c r="AK1703" s="145">
        <v>6.3410000000000002</v>
      </c>
      <c r="AL1703" s="145">
        <v>2.7959999999999998</v>
      </c>
      <c r="AM1703" s="145">
        <v>1.5549999999999999</v>
      </c>
    </row>
    <row r="1704" spans="1:39">
      <c r="A1704" s="143" t="s">
        <v>2764</v>
      </c>
      <c r="B1704" s="144">
        <v>100</v>
      </c>
      <c r="C1704" s="145">
        <v>190</v>
      </c>
      <c r="D1704" s="145">
        <v>27.033999999999999</v>
      </c>
      <c r="E1704" s="145">
        <v>8.2620000000000005</v>
      </c>
      <c r="F1704" s="145">
        <v>3.4860000000000002</v>
      </c>
      <c r="G1704" s="145">
        <v>3.456</v>
      </c>
      <c r="H1704" s="145">
        <v>0.34899999999999998</v>
      </c>
      <c r="I1704" s="145">
        <v>0.245</v>
      </c>
      <c r="J1704" s="145">
        <v>4.2999999999999997E-2</v>
      </c>
      <c r="K1704" s="145">
        <v>78.2</v>
      </c>
      <c r="L1704" s="145" t="s">
        <v>400</v>
      </c>
      <c r="M1704" s="145" t="s">
        <v>400</v>
      </c>
      <c r="N1704" s="145">
        <v>10</v>
      </c>
      <c r="O1704" s="145">
        <v>21.6</v>
      </c>
      <c r="P1704" s="145">
        <v>1.0999999999999999E-2</v>
      </c>
      <c r="Q1704" s="145">
        <v>196.6</v>
      </c>
      <c r="R1704" s="145">
        <v>2.9860000000000002</v>
      </c>
      <c r="S1704" s="145">
        <v>59.2</v>
      </c>
      <c r="T1704" s="145">
        <v>309</v>
      </c>
      <c r="U1704" s="145">
        <v>7.8E-2</v>
      </c>
      <c r="V1704" s="145">
        <v>6.7759999999999998</v>
      </c>
      <c r="W1704" s="145" t="s">
        <v>400</v>
      </c>
      <c r="X1704" s="145">
        <v>3.5000000000000003E-2</v>
      </c>
      <c r="Y1704" s="145">
        <v>0.17299999999999999</v>
      </c>
      <c r="Z1704" s="146">
        <v>0.35299999999999998</v>
      </c>
      <c r="AA1704" s="145">
        <v>5.4080000000000004</v>
      </c>
      <c r="AB1704" s="145" t="s">
        <v>400</v>
      </c>
      <c r="AC1704" s="145">
        <v>8.0150000000000006</v>
      </c>
      <c r="AD1704" s="145">
        <v>2.5</v>
      </c>
      <c r="AE1704" s="145">
        <v>6</v>
      </c>
      <c r="AF1704" s="145">
        <v>0.46500000000000002</v>
      </c>
      <c r="AG1704" s="145">
        <v>0.39200000000000002</v>
      </c>
      <c r="AH1704" s="145">
        <v>0.373</v>
      </c>
      <c r="AI1704" s="145">
        <v>499</v>
      </c>
      <c r="AJ1704" s="145">
        <v>22.02</v>
      </c>
      <c r="AK1704" s="145" t="s">
        <v>400</v>
      </c>
      <c r="AL1704" s="145" t="s">
        <v>400</v>
      </c>
      <c r="AM1704" s="145" t="s">
        <v>400</v>
      </c>
    </row>
    <row r="1705" spans="1:39">
      <c r="A1705" s="143" t="s">
        <v>2765</v>
      </c>
      <c r="B1705" s="144">
        <v>100</v>
      </c>
      <c r="C1705" s="145">
        <v>36.874000000000002</v>
      </c>
      <c r="D1705" s="145">
        <v>7.0000000000000007E-2</v>
      </c>
      <c r="E1705" s="145">
        <v>0.02</v>
      </c>
      <c r="F1705" s="145" t="s">
        <v>400</v>
      </c>
      <c r="G1705" s="145" t="s">
        <v>400</v>
      </c>
      <c r="H1705" s="145" t="s">
        <v>400</v>
      </c>
      <c r="I1705" s="145" t="s">
        <v>400</v>
      </c>
      <c r="J1705" s="145" t="s">
        <v>400</v>
      </c>
      <c r="K1705" s="145" t="s">
        <v>400</v>
      </c>
      <c r="L1705" s="145">
        <v>9.5269999999999992</v>
      </c>
      <c r="M1705" s="145" t="s">
        <v>400</v>
      </c>
      <c r="N1705" s="145">
        <v>1.9930000000000001</v>
      </c>
      <c r="O1705" s="145" t="s">
        <v>400</v>
      </c>
      <c r="P1705" s="145">
        <v>2E-3</v>
      </c>
      <c r="Q1705" s="145">
        <v>9.9659999999999993</v>
      </c>
      <c r="R1705" s="145">
        <v>0.11</v>
      </c>
      <c r="S1705" s="145">
        <v>3.9860000000000002</v>
      </c>
      <c r="T1705" s="145">
        <v>1.9930000000000001</v>
      </c>
      <c r="U1705" s="145">
        <v>1E-3</v>
      </c>
      <c r="V1705" s="145">
        <v>0.02</v>
      </c>
      <c r="W1705" s="145" t="s">
        <v>400</v>
      </c>
      <c r="X1705" s="145" t="s">
        <v>400</v>
      </c>
      <c r="Y1705" s="145" t="s">
        <v>400</v>
      </c>
      <c r="Z1705" s="146" t="s">
        <v>400</v>
      </c>
      <c r="AA1705" s="145" t="s">
        <v>400</v>
      </c>
      <c r="AB1705" s="145" t="s">
        <v>400</v>
      </c>
      <c r="AC1705" s="145" t="s">
        <v>400</v>
      </c>
      <c r="AD1705" s="145" t="s">
        <v>400</v>
      </c>
      <c r="AE1705" s="145" t="s">
        <v>400</v>
      </c>
      <c r="AF1705" s="145" t="s">
        <v>400</v>
      </c>
      <c r="AG1705" s="145" t="s">
        <v>400</v>
      </c>
      <c r="AH1705" s="145" t="s">
        <v>400</v>
      </c>
      <c r="AI1705" s="145" t="s">
        <v>400</v>
      </c>
      <c r="AJ1705" s="145">
        <v>0.1</v>
      </c>
      <c r="AK1705" s="145" t="s">
        <v>400</v>
      </c>
      <c r="AL1705" s="145">
        <v>10.564</v>
      </c>
      <c r="AM1705" s="145">
        <v>9.5269999999999992</v>
      </c>
    </row>
    <row r="1706" spans="1:39">
      <c r="A1706" s="143" t="s">
        <v>2766</v>
      </c>
      <c r="B1706" s="144">
        <v>100</v>
      </c>
      <c r="C1706" s="145">
        <v>36.874000000000002</v>
      </c>
      <c r="D1706" s="145">
        <v>7.0000000000000007E-2</v>
      </c>
      <c r="E1706" s="145">
        <v>0.02</v>
      </c>
      <c r="F1706" s="145" t="s">
        <v>400</v>
      </c>
      <c r="G1706" s="145" t="s">
        <v>400</v>
      </c>
      <c r="H1706" s="145" t="s">
        <v>400</v>
      </c>
      <c r="I1706" s="145" t="s">
        <v>400</v>
      </c>
      <c r="J1706" s="145" t="s">
        <v>400</v>
      </c>
      <c r="K1706" s="145" t="s">
        <v>400</v>
      </c>
      <c r="L1706" s="145">
        <v>9.5269999999999992</v>
      </c>
      <c r="M1706" s="145" t="s">
        <v>400</v>
      </c>
      <c r="N1706" s="145">
        <v>1.9930000000000001</v>
      </c>
      <c r="O1706" s="145" t="s">
        <v>400</v>
      </c>
      <c r="P1706" s="145">
        <v>2E-3</v>
      </c>
      <c r="Q1706" s="145">
        <v>9.9659999999999993</v>
      </c>
      <c r="R1706" s="145">
        <v>0.11</v>
      </c>
      <c r="S1706" s="145">
        <v>3.9860000000000002</v>
      </c>
      <c r="T1706" s="145">
        <v>1.9930000000000001</v>
      </c>
      <c r="U1706" s="145">
        <v>1E-3</v>
      </c>
      <c r="V1706" s="145">
        <v>0.02</v>
      </c>
      <c r="W1706" s="145" t="s">
        <v>400</v>
      </c>
      <c r="X1706" s="145" t="s">
        <v>400</v>
      </c>
      <c r="Y1706" s="145" t="s">
        <v>400</v>
      </c>
      <c r="Z1706" s="146" t="s">
        <v>400</v>
      </c>
      <c r="AA1706" s="145" t="s">
        <v>400</v>
      </c>
      <c r="AB1706" s="145" t="s">
        <v>400</v>
      </c>
      <c r="AC1706" s="145" t="s">
        <v>400</v>
      </c>
      <c r="AD1706" s="145" t="s">
        <v>400</v>
      </c>
      <c r="AE1706" s="145" t="s">
        <v>400</v>
      </c>
      <c r="AF1706" s="145" t="s">
        <v>400</v>
      </c>
      <c r="AG1706" s="145" t="s">
        <v>400</v>
      </c>
      <c r="AH1706" s="145" t="s">
        <v>400</v>
      </c>
      <c r="AI1706" s="145" t="s">
        <v>400</v>
      </c>
      <c r="AJ1706" s="145">
        <v>0.1</v>
      </c>
      <c r="AK1706" s="145" t="s">
        <v>400</v>
      </c>
      <c r="AL1706" s="145">
        <v>10.564</v>
      </c>
      <c r="AM1706" s="145">
        <v>9.5269999999999992</v>
      </c>
    </row>
    <row r="1707" spans="1:39">
      <c r="A1707" s="143" t="s">
        <v>2767</v>
      </c>
      <c r="B1707" s="144">
        <v>100</v>
      </c>
      <c r="C1707" s="145">
        <v>48</v>
      </c>
      <c r="D1707" s="145" t="s">
        <v>400</v>
      </c>
      <c r="E1707" s="145" t="s">
        <v>400</v>
      </c>
      <c r="F1707" s="145" t="s">
        <v>400</v>
      </c>
      <c r="G1707" s="145" t="s">
        <v>400</v>
      </c>
      <c r="H1707" s="145" t="s">
        <v>400</v>
      </c>
      <c r="I1707" s="145" t="s">
        <v>400</v>
      </c>
      <c r="J1707" s="145" t="s">
        <v>400</v>
      </c>
      <c r="K1707" s="145" t="s">
        <v>400</v>
      </c>
      <c r="L1707" s="145">
        <v>12.3</v>
      </c>
      <c r="M1707" s="145" t="s">
        <v>400</v>
      </c>
      <c r="N1707" s="145">
        <v>5</v>
      </c>
      <c r="O1707" s="145">
        <v>1</v>
      </c>
      <c r="P1707" s="145">
        <v>1.2999999999999999E-2</v>
      </c>
      <c r="Q1707" s="145">
        <v>1</v>
      </c>
      <c r="R1707" s="145">
        <v>0.06</v>
      </c>
      <c r="S1707" s="145">
        <v>12</v>
      </c>
      <c r="T1707" s="145">
        <v>2</v>
      </c>
      <c r="U1707" s="145">
        <v>1.4999999999999999E-2</v>
      </c>
      <c r="V1707" s="145">
        <v>0.1</v>
      </c>
      <c r="W1707" s="145" t="s">
        <v>400</v>
      </c>
      <c r="X1707" s="145" t="s">
        <v>400</v>
      </c>
      <c r="Y1707" s="145" t="s">
        <v>400</v>
      </c>
      <c r="Z1707" s="146" t="s">
        <v>400</v>
      </c>
      <c r="AA1707" s="145" t="s">
        <v>400</v>
      </c>
      <c r="AB1707" s="145" t="s">
        <v>400</v>
      </c>
      <c r="AC1707" s="145" t="s">
        <v>400</v>
      </c>
      <c r="AD1707" s="145" t="s">
        <v>400</v>
      </c>
      <c r="AE1707" s="145" t="s">
        <v>400</v>
      </c>
      <c r="AF1707" s="145" t="s">
        <v>400</v>
      </c>
      <c r="AG1707" s="145" t="s">
        <v>400</v>
      </c>
      <c r="AH1707" s="145" t="s">
        <v>400</v>
      </c>
      <c r="AI1707" s="145" t="s">
        <v>400</v>
      </c>
      <c r="AJ1707" s="145" t="s">
        <v>400</v>
      </c>
      <c r="AK1707" s="145" t="s">
        <v>400</v>
      </c>
      <c r="AL1707" s="145">
        <v>12.03</v>
      </c>
      <c r="AM1707" s="145">
        <v>12.3</v>
      </c>
    </row>
    <row r="1708" spans="1:39">
      <c r="A1708" s="143" t="s">
        <v>2768</v>
      </c>
      <c r="B1708" s="144">
        <v>100</v>
      </c>
      <c r="C1708" s="145">
        <v>48</v>
      </c>
      <c r="D1708" s="145" t="s">
        <v>400</v>
      </c>
      <c r="E1708" s="145" t="s">
        <v>400</v>
      </c>
      <c r="F1708" s="145" t="s">
        <v>400</v>
      </c>
      <c r="G1708" s="145" t="s">
        <v>400</v>
      </c>
      <c r="H1708" s="145" t="s">
        <v>400</v>
      </c>
      <c r="I1708" s="145" t="s">
        <v>400</v>
      </c>
      <c r="J1708" s="145" t="s">
        <v>400</v>
      </c>
      <c r="K1708" s="145" t="s">
        <v>400</v>
      </c>
      <c r="L1708" s="145">
        <v>12.3</v>
      </c>
      <c r="M1708" s="145" t="s">
        <v>400</v>
      </c>
      <c r="N1708" s="145">
        <v>5</v>
      </c>
      <c r="O1708" s="145">
        <v>1</v>
      </c>
      <c r="P1708" s="145">
        <v>1.2999999999999999E-2</v>
      </c>
      <c r="Q1708" s="145">
        <v>1</v>
      </c>
      <c r="R1708" s="145">
        <v>0.06</v>
      </c>
      <c r="S1708" s="145">
        <v>12</v>
      </c>
      <c r="T1708" s="145">
        <v>2</v>
      </c>
      <c r="U1708" s="145">
        <v>1.4999999999999999E-2</v>
      </c>
      <c r="V1708" s="145">
        <v>0.1</v>
      </c>
      <c r="W1708" s="145" t="s">
        <v>400</v>
      </c>
      <c r="X1708" s="145" t="s">
        <v>400</v>
      </c>
      <c r="Y1708" s="145" t="s">
        <v>400</v>
      </c>
      <c r="Z1708" s="146" t="s">
        <v>400</v>
      </c>
      <c r="AA1708" s="145" t="s">
        <v>400</v>
      </c>
      <c r="AB1708" s="145" t="s">
        <v>400</v>
      </c>
      <c r="AC1708" s="145" t="s">
        <v>400</v>
      </c>
      <c r="AD1708" s="145" t="s">
        <v>400</v>
      </c>
      <c r="AE1708" s="145" t="s">
        <v>400</v>
      </c>
      <c r="AF1708" s="145" t="s">
        <v>400</v>
      </c>
      <c r="AG1708" s="145" t="s">
        <v>400</v>
      </c>
      <c r="AH1708" s="145" t="s">
        <v>400</v>
      </c>
      <c r="AI1708" s="145" t="s">
        <v>400</v>
      </c>
      <c r="AJ1708" s="145" t="s">
        <v>400</v>
      </c>
      <c r="AK1708" s="145" t="s">
        <v>400</v>
      </c>
      <c r="AL1708" s="145">
        <v>12.03</v>
      </c>
      <c r="AM1708" s="145">
        <v>12.3</v>
      </c>
    </row>
    <row r="1709" spans="1:39">
      <c r="A1709" s="143" t="s">
        <v>2769</v>
      </c>
      <c r="B1709" s="144">
        <v>100</v>
      </c>
      <c r="C1709" s="145">
        <v>39</v>
      </c>
      <c r="D1709" s="145" t="s">
        <v>400</v>
      </c>
      <c r="E1709" s="145" t="s">
        <v>400</v>
      </c>
      <c r="F1709" s="145" t="s">
        <v>400</v>
      </c>
      <c r="G1709" s="145" t="s">
        <v>400</v>
      </c>
      <c r="H1709" s="145" t="s">
        <v>400</v>
      </c>
      <c r="I1709" s="145" t="s">
        <v>400</v>
      </c>
      <c r="J1709" s="145" t="s">
        <v>400</v>
      </c>
      <c r="K1709" s="145" t="s">
        <v>400</v>
      </c>
      <c r="L1709" s="145">
        <v>10</v>
      </c>
      <c r="M1709" s="145" t="s">
        <v>400</v>
      </c>
      <c r="N1709" s="145">
        <v>1</v>
      </c>
      <c r="O1709" s="145" t="s">
        <v>400</v>
      </c>
      <c r="P1709" s="145" t="s">
        <v>400</v>
      </c>
      <c r="Q1709" s="145" t="s">
        <v>400</v>
      </c>
      <c r="R1709" s="145" t="s">
        <v>400</v>
      </c>
      <c r="S1709" s="145">
        <v>9</v>
      </c>
      <c r="T1709" s="145">
        <v>1</v>
      </c>
      <c r="U1709" s="145" t="s">
        <v>400</v>
      </c>
      <c r="V1709" s="145" t="s">
        <v>400</v>
      </c>
      <c r="W1709" s="145" t="s">
        <v>400</v>
      </c>
      <c r="X1709" s="145" t="s">
        <v>400</v>
      </c>
      <c r="Y1709" s="145" t="s">
        <v>400</v>
      </c>
      <c r="Z1709" s="146" t="s">
        <v>400</v>
      </c>
      <c r="AA1709" s="145" t="s">
        <v>400</v>
      </c>
      <c r="AB1709" s="145" t="s">
        <v>400</v>
      </c>
      <c r="AC1709" s="145" t="s">
        <v>400</v>
      </c>
      <c r="AD1709" s="145" t="s">
        <v>400</v>
      </c>
      <c r="AE1709" s="145" t="s">
        <v>400</v>
      </c>
      <c r="AF1709" s="145" t="s">
        <v>400</v>
      </c>
      <c r="AG1709" s="145" t="s">
        <v>400</v>
      </c>
      <c r="AH1709" s="145" t="s">
        <v>400</v>
      </c>
      <c r="AI1709" s="145" t="s">
        <v>400</v>
      </c>
      <c r="AJ1709" s="145" t="s">
        <v>400</v>
      </c>
      <c r="AK1709" s="145" t="s">
        <v>400</v>
      </c>
      <c r="AL1709" s="145">
        <v>10</v>
      </c>
      <c r="AM1709" s="145">
        <v>10</v>
      </c>
    </row>
    <row r="1710" spans="1:39">
      <c r="A1710" s="143" t="s">
        <v>2770</v>
      </c>
      <c r="B1710" s="144">
        <v>100</v>
      </c>
      <c r="C1710" s="145">
        <v>39</v>
      </c>
      <c r="D1710" s="145" t="s">
        <v>400</v>
      </c>
      <c r="E1710" s="145" t="s">
        <v>400</v>
      </c>
      <c r="F1710" s="145" t="s">
        <v>400</v>
      </c>
      <c r="G1710" s="145" t="s">
        <v>400</v>
      </c>
      <c r="H1710" s="145" t="s">
        <v>400</v>
      </c>
      <c r="I1710" s="145" t="s">
        <v>400</v>
      </c>
      <c r="J1710" s="145" t="s">
        <v>400</v>
      </c>
      <c r="K1710" s="145" t="s">
        <v>400</v>
      </c>
      <c r="L1710" s="145">
        <v>10</v>
      </c>
      <c r="M1710" s="145" t="s">
        <v>400</v>
      </c>
      <c r="N1710" s="145">
        <v>1</v>
      </c>
      <c r="O1710" s="145" t="s">
        <v>400</v>
      </c>
      <c r="P1710" s="145" t="s">
        <v>400</v>
      </c>
      <c r="Q1710" s="145" t="s">
        <v>400</v>
      </c>
      <c r="R1710" s="145" t="s">
        <v>400</v>
      </c>
      <c r="S1710" s="145">
        <v>9</v>
      </c>
      <c r="T1710" s="145">
        <v>1</v>
      </c>
      <c r="U1710" s="145" t="s">
        <v>400</v>
      </c>
      <c r="V1710" s="145" t="s">
        <v>400</v>
      </c>
      <c r="W1710" s="145" t="s">
        <v>400</v>
      </c>
      <c r="X1710" s="145" t="s">
        <v>400</v>
      </c>
      <c r="Y1710" s="145" t="s">
        <v>400</v>
      </c>
      <c r="Z1710" s="146" t="s">
        <v>400</v>
      </c>
      <c r="AA1710" s="145" t="s">
        <v>400</v>
      </c>
      <c r="AB1710" s="145" t="s">
        <v>400</v>
      </c>
      <c r="AC1710" s="145" t="s">
        <v>400</v>
      </c>
      <c r="AD1710" s="145" t="s">
        <v>400</v>
      </c>
      <c r="AE1710" s="145" t="s">
        <v>400</v>
      </c>
      <c r="AF1710" s="145" t="s">
        <v>400</v>
      </c>
      <c r="AG1710" s="145" t="s">
        <v>400</v>
      </c>
      <c r="AH1710" s="145" t="s">
        <v>400</v>
      </c>
      <c r="AI1710" s="145" t="s">
        <v>400</v>
      </c>
      <c r="AJ1710" s="145" t="s">
        <v>400</v>
      </c>
      <c r="AK1710" s="145" t="s">
        <v>400</v>
      </c>
      <c r="AL1710" s="145">
        <v>10</v>
      </c>
      <c r="AM1710" s="145">
        <v>10</v>
      </c>
    </row>
    <row r="1711" spans="1:39">
      <c r="A1711" s="143" t="s">
        <v>2771</v>
      </c>
      <c r="B1711" s="144">
        <v>100</v>
      </c>
      <c r="C1711" s="145">
        <v>40</v>
      </c>
      <c r="D1711" s="145">
        <v>0.05</v>
      </c>
      <c r="E1711" s="145">
        <v>0.02</v>
      </c>
      <c r="F1711" s="145" t="s">
        <v>400</v>
      </c>
      <c r="G1711" s="145" t="s">
        <v>400</v>
      </c>
      <c r="H1711" s="145" t="s">
        <v>400</v>
      </c>
      <c r="I1711" s="145" t="s">
        <v>400</v>
      </c>
      <c r="J1711" s="145" t="s">
        <v>400</v>
      </c>
      <c r="K1711" s="145" t="s">
        <v>400</v>
      </c>
      <c r="L1711" s="145">
        <v>10.14</v>
      </c>
      <c r="M1711" s="145" t="s">
        <v>400</v>
      </c>
      <c r="N1711" s="145">
        <v>2</v>
      </c>
      <c r="O1711" s="145">
        <v>1</v>
      </c>
      <c r="P1711" s="145">
        <v>2E-3</v>
      </c>
      <c r="Q1711" s="145" t="s">
        <v>400</v>
      </c>
      <c r="R1711" s="145">
        <v>0.11</v>
      </c>
      <c r="S1711" s="145">
        <v>9</v>
      </c>
      <c r="T1711" s="145">
        <v>1</v>
      </c>
      <c r="U1711" s="145">
        <v>1E-3</v>
      </c>
      <c r="V1711" s="145">
        <v>0.04</v>
      </c>
      <c r="W1711" s="145" t="s">
        <v>400</v>
      </c>
      <c r="X1711" s="145" t="s">
        <v>400</v>
      </c>
      <c r="Y1711" s="145" t="s">
        <v>400</v>
      </c>
      <c r="Z1711" s="146" t="s">
        <v>400</v>
      </c>
      <c r="AA1711" s="145">
        <v>1.4999999999999999E-2</v>
      </c>
      <c r="AB1711" s="145" t="s">
        <v>400</v>
      </c>
      <c r="AC1711" s="145">
        <v>1.4999999999999999E-2</v>
      </c>
      <c r="AD1711" s="145" t="s">
        <v>400</v>
      </c>
      <c r="AE1711" s="145" t="s">
        <v>400</v>
      </c>
      <c r="AF1711" s="145" t="s">
        <v>400</v>
      </c>
      <c r="AG1711" s="145" t="s">
        <v>400</v>
      </c>
      <c r="AH1711" s="145" t="s">
        <v>400</v>
      </c>
      <c r="AI1711" s="145" t="s">
        <v>400</v>
      </c>
      <c r="AJ1711" s="145" t="s">
        <v>400</v>
      </c>
      <c r="AK1711" s="145" t="s">
        <v>400</v>
      </c>
      <c r="AL1711" s="145">
        <v>9.07</v>
      </c>
      <c r="AM1711" s="145">
        <v>10.14</v>
      </c>
    </row>
    <row r="1712" spans="1:39">
      <c r="A1712" s="143" t="s">
        <v>2772</v>
      </c>
      <c r="B1712" s="144">
        <v>100</v>
      </c>
      <c r="C1712" s="145">
        <v>48</v>
      </c>
      <c r="D1712" s="145" t="s">
        <v>400</v>
      </c>
      <c r="E1712" s="145" t="s">
        <v>400</v>
      </c>
      <c r="F1712" s="145" t="s">
        <v>400</v>
      </c>
      <c r="G1712" s="145" t="s">
        <v>400</v>
      </c>
      <c r="H1712" s="145" t="s">
        <v>400</v>
      </c>
      <c r="I1712" s="145" t="s">
        <v>400</v>
      </c>
      <c r="J1712" s="145" t="s">
        <v>400</v>
      </c>
      <c r="K1712" s="145" t="s">
        <v>400</v>
      </c>
      <c r="L1712" s="145">
        <v>12.3</v>
      </c>
      <c r="M1712" s="145" t="s">
        <v>400</v>
      </c>
      <c r="N1712" s="145">
        <v>5</v>
      </c>
      <c r="O1712" s="145">
        <v>1</v>
      </c>
      <c r="P1712" s="145">
        <v>1.2999999999999999E-2</v>
      </c>
      <c r="Q1712" s="145">
        <v>1</v>
      </c>
      <c r="R1712" s="145">
        <v>0.06</v>
      </c>
      <c r="S1712" s="145">
        <v>12</v>
      </c>
      <c r="T1712" s="145">
        <v>2</v>
      </c>
      <c r="U1712" s="145">
        <v>1.4999999999999999E-2</v>
      </c>
      <c r="V1712" s="145">
        <v>0.1</v>
      </c>
      <c r="W1712" s="145" t="s">
        <v>400</v>
      </c>
      <c r="X1712" s="145" t="s">
        <v>400</v>
      </c>
      <c r="Y1712" s="145" t="s">
        <v>400</v>
      </c>
      <c r="Z1712" s="146" t="s">
        <v>400</v>
      </c>
      <c r="AA1712" s="145" t="s">
        <v>400</v>
      </c>
      <c r="AB1712" s="145" t="s">
        <v>400</v>
      </c>
      <c r="AC1712" s="145" t="s">
        <v>400</v>
      </c>
      <c r="AD1712" s="145" t="s">
        <v>400</v>
      </c>
      <c r="AE1712" s="145" t="s">
        <v>400</v>
      </c>
      <c r="AF1712" s="145" t="s">
        <v>400</v>
      </c>
      <c r="AG1712" s="145" t="s">
        <v>400</v>
      </c>
      <c r="AH1712" s="145" t="s">
        <v>400</v>
      </c>
      <c r="AI1712" s="145" t="s">
        <v>400</v>
      </c>
      <c r="AJ1712" s="145" t="s">
        <v>400</v>
      </c>
      <c r="AK1712" s="145" t="s">
        <v>400</v>
      </c>
      <c r="AL1712" s="145">
        <v>12.03</v>
      </c>
      <c r="AM1712" s="145">
        <v>12.3</v>
      </c>
    </row>
    <row r="1713" spans="1:39">
      <c r="A1713" s="143" t="s">
        <v>2773</v>
      </c>
      <c r="B1713" s="144">
        <v>100</v>
      </c>
      <c r="C1713" s="145">
        <v>2.0019999999999998</v>
      </c>
      <c r="D1713" s="145">
        <v>0.11</v>
      </c>
      <c r="E1713" s="145">
        <v>0.03</v>
      </c>
      <c r="F1713" s="145" t="s">
        <v>400</v>
      </c>
      <c r="G1713" s="145" t="s">
        <v>400</v>
      </c>
      <c r="H1713" s="145" t="s">
        <v>400</v>
      </c>
      <c r="I1713" s="145" t="s">
        <v>400</v>
      </c>
      <c r="J1713" s="145" t="s">
        <v>400</v>
      </c>
      <c r="K1713" s="145" t="s">
        <v>400</v>
      </c>
      <c r="L1713" s="145">
        <v>0.28999999999999998</v>
      </c>
      <c r="M1713" s="145" t="s">
        <v>400</v>
      </c>
      <c r="N1713" s="145">
        <v>3.0030000000000001</v>
      </c>
      <c r="O1713" s="145">
        <v>1.0009999999999999</v>
      </c>
      <c r="P1713" s="145">
        <v>0.107</v>
      </c>
      <c r="Q1713" s="145">
        <v>9.0079999999999991</v>
      </c>
      <c r="R1713" s="145">
        <v>0.11</v>
      </c>
      <c r="S1713" s="145">
        <v>8.0069999999999997</v>
      </c>
      <c r="T1713" s="145">
        <v>8.0069999999999997</v>
      </c>
      <c r="U1713" s="145">
        <v>2E-3</v>
      </c>
      <c r="V1713" s="145">
        <v>0.01</v>
      </c>
      <c r="W1713" s="145" t="s">
        <v>400</v>
      </c>
      <c r="X1713" s="145">
        <v>5.0000000000000001E-3</v>
      </c>
      <c r="Y1713" s="145">
        <v>2.3E-2</v>
      </c>
      <c r="Z1713" s="146" t="s">
        <v>400</v>
      </c>
      <c r="AA1713" s="145" t="s">
        <v>400</v>
      </c>
      <c r="AB1713" s="145" t="s">
        <v>400</v>
      </c>
      <c r="AC1713" s="145" t="s">
        <v>400</v>
      </c>
      <c r="AD1713" s="145" t="s">
        <v>400</v>
      </c>
      <c r="AE1713" s="145" t="s">
        <v>400</v>
      </c>
      <c r="AF1713" s="145" t="s">
        <v>400</v>
      </c>
      <c r="AG1713" s="145" t="s">
        <v>400</v>
      </c>
      <c r="AH1713" s="145" t="s">
        <v>400</v>
      </c>
      <c r="AI1713" s="145" t="s">
        <v>400</v>
      </c>
      <c r="AJ1713" s="145" t="s">
        <v>400</v>
      </c>
      <c r="AK1713" s="145" t="s">
        <v>400</v>
      </c>
      <c r="AL1713" s="145" t="s">
        <v>400</v>
      </c>
      <c r="AM1713" s="145" t="s">
        <v>400</v>
      </c>
    </row>
    <row r="1714" spans="1:39">
      <c r="A1714" s="143" t="s">
        <v>2774</v>
      </c>
      <c r="B1714" s="144">
        <v>100</v>
      </c>
      <c r="C1714" s="145">
        <v>2.0019999999999998</v>
      </c>
      <c r="D1714" s="145">
        <v>0.11</v>
      </c>
      <c r="E1714" s="145">
        <v>0.03</v>
      </c>
      <c r="F1714" s="145" t="s">
        <v>400</v>
      </c>
      <c r="G1714" s="145" t="s">
        <v>400</v>
      </c>
      <c r="H1714" s="145" t="s">
        <v>400</v>
      </c>
      <c r="I1714" s="145" t="s">
        <v>400</v>
      </c>
      <c r="J1714" s="145" t="s">
        <v>400</v>
      </c>
      <c r="K1714" s="145" t="s">
        <v>400</v>
      </c>
      <c r="L1714" s="145">
        <v>0.28999999999999998</v>
      </c>
      <c r="M1714" s="145" t="s">
        <v>400</v>
      </c>
      <c r="N1714" s="145">
        <v>3.0030000000000001</v>
      </c>
      <c r="O1714" s="145">
        <v>1.0009999999999999</v>
      </c>
      <c r="P1714" s="145">
        <v>0.107</v>
      </c>
      <c r="Q1714" s="145">
        <v>9.0079999999999991</v>
      </c>
      <c r="R1714" s="145">
        <v>0.11</v>
      </c>
      <c r="S1714" s="145">
        <v>8.0069999999999997</v>
      </c>
      <c r="T1714" s="145">
        <v>8.0069999999999997</v>
      </c>
      <c r="U1714" s="145">
        <v>2E-3</v>
      </c>
      <c r="V1714" s="145">
        <v>0.01</v>
      </c>
      <c r="W1714" s="145" t="s">
        <v>400</v>
      </c>
      <c r="X1714" s="145">
        <v>5.0000000000000001E-3</v>
      </c>
      <c r="Y1714" s="145">
        <v>2.3E-2</v>
      </c>
      <c r="Z1714" s="146" t="s">
        <v>400</v>
      </c>
      <c r="AA1714" s="145" t="s">
        <v>400</v>
      </c>
      <c r="AB1714" s="145" t="s">
        <v>400</v>
      </c>
      <c r="AC1714" s="145" t="s">
        <v>400</v>
      </c>
      <c r="AD1714" s="145" t="s">
        <v>400</v>
      </c>
      <c r="AE1714" s="145" t="s">
        <v>400</v>
      </c>
      <c r="AF1714" s="145" t="s">
        <v>400</v>
      </c>
      <c r="AG1714" s="145" t="s">
        <v>400</v>
      </c>
      <c r="AH1714" s="145" t="s">
        <v>400</v>
      </c>
      <c r="AI1714" s="145" t="s">
        <v>400</v>
      </c>
      <c r="AJ1714" s="145" t="s">
        <v>400</v>
      </c>
      <c r="AK1714" s="145" t="s">
        <v>400</v>
      </c>
      <c r="AL1714" s="145" t="s">
        <v>400</v>
      </c>
      <c r="AM1714" s="145" t="s">
        <v>400</v>
      </c>
    </row>
    <row r="1715" spans="1:39">
      <c r="A1715" s="143" t="s">
        <v>2775</v>
      </c>
      <c r="B1715" s="144">
        <v>100</v>
      </c>
      <c r="C1715" s="145">
        <v>2</v>
      </c>
      <c r="D1715" s="145">
        <v>0.11</v>
      </c>
      <c r="E1715" s="145">
        <v>0.03</v>
      </c>
      <c r="F1715" s="145" t="s">
        <v>400</v>
      </c>
      <c r="G1715" s="145" t="s">
        <v>400</v>
      </c>
      <c r="H1715" s="145" t="s">
        <v>400</v>
      </c>
      <c r="I1715" s="145" t="s">
        <v>400</v>
      </c>
      <c r="J1715" s="145" t="s">
        <v>400</v>
      </c>
      <c r="K1715" s="145" t="s">
        <v>400</v>
      </c>
      <c r="L1715" s="145">
        <v>0.28999999999999998</v>
      </c>
      <c r="M1715" s="145" t="s">
        <v>400</v>
      </c>
      <c r="N1715" s="145">
        <v>3</v>
      </c>
      <c r="O1715" s="145">
        <v>1</v>
      </c>
      <c r="P1715" s="145">
        <v>0.107</v>
      </c>
      <c r="Q1715" s="145">
        <v>9</v>
      </c>
      <c r="R1715" s="145">
        <v>0.11</v>
      </c>
      <c r="S1715" s="145">
        <v>8</v>
      </c>
      <c r="T1715" s="145">
        <v>8</v>
      </c>
      <c r="U1715" s="145">
        <v>2E-3</v>
      </c>
      <c r="V1715" s="145">
        <v>0.01</v>
      </c>
      <c r="W1715" s="145" t="s">
        <v>400</v>
      </c>
      <c r="X1715" s="145">
        <v>5.0000000000000001E-3</v>
      </c>
      <c r="Y1715" s="145">
        <v>2.3E-2</v>
      </c>
      <c r="Z1715" s="146" t="s">
        <v>400</v>
      </c>
      <c r="AA1715" s="145" t="s">
        <v>400</v>
      </c>
      <c r="AB1715" s="145" t="s">
        <v>400</v>
      </c>
      <c r="AC1715" s="145" t="s">
        <v>400</v>
      </c>
      <c r="AD1715" s="145" t="s">
        <v>400</v>
      </c>
      <c r="AE1715" s="145" t="s">
        <v>400</v>
      </c>
      <c r="AF1715" s="145" t="s">
        <v>400</v>
      </c>
      <c r="AG1715" s="145" t="s">
        <v>400</v>
      </c>
      <c r="AH1715" s="145" t="s">
        <v>400</v>
      </c>
      <c r="AI1715" s="145" t="s">
        <v>400</v>
      </c>
      <c r="AJ1715" s="145" t="s">
        <v>400</v>
      </c>
      <c r="AK1715" s="145" t="s">
        <v>400</v>
      </c>
      <c r="AL1715" s="145" t="s">
        <v>400</v>
      </c>
      <c r="AM1715" s="145" t="s">
        <v>400</v>
      </c>
    </row>
    <row r="1716" spans="1:39">
      <c r="A1716" s="143" t="s">
        <v>2776</v>
      </c>
      <c r="B1716" s="144">
        <v>100</v>
      </c>
      <c r="C1716" s="145">
        <v>40</v>
      </c>
      <c r="D1716" s="145">
        <v>0.05</v>
      </c>
      <c r="E1716" s="145">
        <v>0.02</v>
      </c>
      <c r="F1716" s="145" t="s">
        <v>400</v>
      </c>
      <c r="G1716" s="145" t="s">
        <v>400</v>
      </c>
      <c r="H1716" s="145" t="s">
        <v>400</v>
      </c>
      <c r="I1716" s="145" t="s">
        <v>400</v>
      </c>
      <c r="J1716" s="145" t="s">
        <v>400</v>
      </c>
      <c r="K1716" s="145" t="s">
        <v>400</v>
      </c>
      <c r="L1716" s="145">
        <v>10.14</v>
      </c>
      <c r="M1716" s="145" t="s">
        <v>400</v>
      </c>
      <c r="N1716" s="145">
        <v>2</v>
      </c>
      <c r="O1716" s="145">
        <v>1</v>
      </c>
      <c r="P1716" s="145">
        <v>2E-3</v>
      </c>
      <c r="Q1716" s="145" t="s">
        <v>400</v>
      </c>
      <c r="R1716" s="145">
        <v>0.11</v>
      </c>
      <c r="S1716" s="145">
        <v>9</v>
      </c>
      <c r="T1716" s="145">
        <v>1</v>
      </c>
      <c r="U1716" s="145">
        <v>1E-3</v>
      </c>
      <c r="V1716" s="145">
        <v>0.04</v>
      </c>
      <c r="W1716" s="145" t="s">
        <v>400</v>
      </c>
      <c r="X1716" s="145" t="s">
        <v>400</v>
      </c>
      <c r="Y1716" s="145" t="s">
        <v>400</v>
      </c>
      <c r="Z1716" s="146" t="s">
        <v>400</v>
      </c>
      <c r="AA1716" s="145">
        <v>1.4999999999999999E-2</v>
      </c>
      <c r="AB1716" s="145" t="s">
        <v>400</v>
      </c>
      <c r="AC1716" s="145">
        <v>1.4999999999999999E-2</v>
      </c>
      <c r="AD1716" s="145" t="s">
        <v>400</v>
      </c>
      <c r="AE1716" s="145" t="s">
        <v>400</v>
      </c>
      <c r="AF1716" s="145" t="s">
        <v>400</v>
      </c>
      <c r="AG1716" s="145" t="s">
        <v>400</v>
      </c>
      <c r="AH1716" s="145" t="s">
        <v>400</v>
      </c>
      <c r="AI1716" s="145" t="s">
        <v>400</v>
      </c>
      <c r="AJ1716" s="145" t="s">
        <v>400</v>
      </c>
      <c r="AK1716" s="145" t="s">
        <v>400</v>
      </c>
      <c r="AL1716" s="145">
        <v>9.07</v>
      </c>
      <c r="AM1716" s="145">
        <v>10.14</v>
      </c>
    </row>
    <row r="1717" spans="1:39">
      <c r="A1717" s="143" t="s">
        <v>2777</v>
      </c>
      <c r="B1717" s="144">
        <v>100</v>
      </c>
      <c r="C1717" s="145">
        <v>2.8029999999999999</v>
      </c>
      <c r="D1717" s="145">
        <v>0.25</v>
      </c>
      <c r="E1717" s="145" t="s">
        <v>400</v>
      </c>
      <c r="F1717" s="145" t="s">
        <v>400</v>
      </c>
      <c r="G1717" s="145" t="s">
        <v>400</v>
      </c>
      <c r="H1717" s="145" t="s">
        <v>400</v>
      </c>
      <c r="I1717" s="145" t="s">
        <v>400</v>
      </c>
      <c r="J1717" s="145" t="s">
        <v>400</v>
      </c>
      <c r="K1717" s="145" t="s">
        <v>400</v>
      </c>
      <c r="L1717" s="145">
        <v>2.3119999999999998</v>
      </c>
      <c r="M1717" s="145">
        <v>1.8620000000000001</v>
      </c>
      <c r="N1717" s="145">
        <v>4.7039999999999997</v>
      </c>
      <c r="O1717" s="145">
        <v>1.125</v>
      </c>
      <c r="P1717" s="145">
        <v>38.335000000000001</v>
      </c>
      <c r="Q1717" s="145">
        <v>0.88100000000000001</v>
      </c>
      <c r="R1717" s="145">
        <v>0.15</v>
      </c>
      <c r="S1717" s="145">
        <v>0.26900000000000002</v>
      </c>
      <c r="T1717" s="145">
        <v>11.01</v>
      </c>
      <c r="U1717" s="145">
        <v>0.3</v>
      </c>
      <c r="V1717" s="145">
        <v>1.3009999999999999</v>
      </c>
      <c r="W1717" s="145" t="s">
        <v>400</v>
      </c>
      <c r="X1717" s="145">
        <v>2.8000000000000001E-2</v>
      </c>
      <c r="Y1717" s="145">
        <v>1.4E-2</v>
      </c>
      <c r="Z1717" s="146">
        <v>1.7999999999999999E-2</v>
      </c>
      <c r="AA1717" s="145">
        <v>2.4E-2</v>
      </c>
      <c r="AB1717" s="145">
        <v>0.16</v>
      </c>
      <c r="AC1717" s="145">
        <v>7.3999999999999996E-2</v>
      </c>
      <c r="AD1717" s="145" t="s">
        <v>400</v>
      </c>
      <c r="AE1717" s="145">
        <v>1.0009999999999999</v>
      </c>
      <c r="AF1717" s="145" t="s">
        <v>400</v>
      </c>
      <c r="AG1717" s="145" t="s">
        <v>400</v>
      </c>
      <c r="AH1717" s="145" t="s">
        <v>400</v>
      </c>
      <c r="AI1717" s="145" t="s">
        <v>400</v>
      </c>
      <c r="AJ1717" s="145">
        <v>7.3999999999999996E-2</v>
      </c>
      <c r="AK1717" s="145" t="s">
        <v>400</v>
      </c>
      <c r="AL1717" s="145">
        <v>6.4000000000000001E-2</v>
      </c>
      <c r="AM1717" s="145" t="s">
        <v>400</v>
      </c>
    </row>
    <row r="1718" spans="1:39">
      <c r="A1718" s="143" t="s">
        <v>2778</v>
      </c>
      <c r="B1718" s="144">
        <v>100</v>
      </c>
      <c r="C1718" s="145">
        <v>39</v>
      </c>
      <c r="D1718" s="145" t="s">
        <v>400</v>
      </c>
      <c r="E1718" s="145" t="s">
        <v>400</v>
      </c>
      <c r="F1718" s="145" t="s">
        <v>400</v>
      </c>
      <c r="G1718" s="145" t="s">
        <v>400</v>
      </c>
      <c r="H1718" s="145" t="s">
        <v>400</v>
      </c>
      <c r="I1718" s="145" t="s">
        <v>400</v>
      </c>
      <c r="J1718" s="145" t="s">
        <v>400</v>
      </c>
      <c r="K1718" s="145" t="s">
        <v>400</v>
      </c>
      <c r="L1718" s="145">
        <v>10</v>
      </c>
      <c r="M1718" s="145" t="s">
        <v>400</v>
      </c>
      <c r="N1718" s="145">
        <v>1</v>
      </c>
      <c r="O1718" s="145" t="s">
        <v>400</v>
      </c>
      <c r="P1718" s="145" t="s">
        <v>400</v>
      </c>
      <c r="Q1718" s="145" t="s">
        <v>400</v>
      </c>
      <c r="R1718" s="145" t="s">
        <v>400</v>
      </c>
      <c r="S1718" s="145">
        <v>9</v>
      </c>
      <c r="T1718" s="145">
        <v>1</v>
      </c>
      <c r="U1718" s="145" t="s">
        <v>400</v>
      </c>
      <c r="V1718" s="145" t="s">
        <v>400</v>
      </c>
      <c r="W1718" s="145" t="s">
        <v>400</v>
      </c>
      <c r="X1718" s="145" t="s">
        <v>400</v>
      </c>
      <c r="Y1718" s="145" t="s">
        <v>400</v>
      </c>
      <c r="Z1718" s="146" t="s">
        <v>400</v>
      </c>
      <c r="AA1718" s="145" t="s">
        <v>400</v>
      </c>
      <c r="AB1718" s="145" t="s">
        <v>400</v>
      </c>
      <c r="AC1718" s="145" t="s">
        <v>400</v>
      </c>
      <c r="AD1718" s="145" t="s">
        <v>400</v>
      </c>
      <c r="AE1718" s="145" t="s">
        <v>400</v>
      </c>
      <c r="AF1718" s="145" t="s">
        <v>400</v>
      </c>
      <c r="AG1718" s="145" t="s">
        <v>400</v>
      </c>
      <c r="AH1718" s="145" t="s">
        <v>400</v>
      </c>
      <c r="AI1718" s="145" t="s">
        <v>400</v>
      </c>
      <c r="AJ1718" s="145" t="s">
        <v>400</v>
      </c>
      <c r="AK1718" s="145" t="s">
        <v>400</v>
      </c>
      <c r="AL1718" s="145">
        <v>10</v>
      </c>
      <c r="AM1718" s="145">
        <v>10</v>
      </c>
    </row>
    <row r="1719" spans="1:39">
      <c r="A1719" s="143" t="s">
        <v>2779</v>
      </c>
      <c r="B1719" s="144">
        <v>100</v>
      </c>
      <c r="C1719" s="145" t="s">
        <v>400</v>
      </c>
      <c r="D1719" s="145">
        <v>0.1</v>
      </c>
      <c r="E1719" s="145" t="s">
        <v>400</v>
      </c>
      <c r="F1719" s="145" t="s">
        <v>400</v>
      </c>
      <c r="G1719" s="145" t="s">
        <v>400</v>
      </c>
      <c r="H1719" s="145" t="s">
        <v>400</v>
      </c>
      <c r="I1719" s="145" t="s">
        <v>400</v>
      </c>
      <c r="J1719" s="145" t="s">
        <v>400</v>
      </c>
      <c r="K1719" s="145" t="s">
        <v>400</v>
      </c>
      <c r="L1719" s="145" t="s">
        <v>400</v>
      </c>
      <c r="M1719" s="145" t="s">
        <v>400</v>
      </c>
      <c r="N1719" s="145">
        <v>4.0039999999999996</v>
      </c>
      <c r="O1719" s="145">
        <v>1.0009999999999999</v>
      </c>
      <c r="P1719" s="145">
        <v>1.7000000000000001E-2</v>
      </c>
      <c r="Q1719" s="145" t="s">
        <v>400</v>
      </c>
      <c r="R1719" s="145">
        <v>0.04</v>
      </c>
      <c r="S1719" s="145">
        <v>6.0060000000000002</v>
      </c>
      <c r="T1719" s="145">
        <v>2.0019999999999998</v>
      </c>
      <c r="U1719" s="145">
        <v>2.5000000000000001E-2</v>
      </c>
      <c r="V1719" s="145" t="s">
        <v>400</v>
      </c>
      <c r="W1719" s="145" t="s">
        <v>400</v>
      </c>
      <c r="X1719" s="145" t="s">
        <v>400</v>
      </c>
      <c r="Y1719" s="145" t="s">
        <v>400</v>
      </c>
      <c r="Z1719" s="146" t="s">
        <v>400</v>
      </c>
      <c r="AA1719" s="145" t="s">
        <v>400</v>
      </c>
      <c r="AB1719" s="145" t="s">
        <v>400</v>
      </c>
      <c r="AC1719" s="145" t="s">
        <v>400</v>
      </c>
      <c r="AD1719" s="145" t="s">
        <v>400</v>
      </c>
      <c r="AE1719" s="145" t="s">
        <v>400</v>
      </c>
      <c r="AF1719" s="145" t="s">
        <v>400</v>
      </c>
      <c r="AG1719" s="145" t="s">
        <v>400</v>
      </c>
      <c r="AH1719" s="145" t="s">
        <v>400</v>
      </c>
      <c r="AI1719" s="145" t="s">
        <v>400</v>
      </c>
      <c r="AJ1719" s="145" t="s">
        <v>400</v>
      </c>
      <c r="AK1719" s="145" t="s">
        <v>400</v>
      </c>
      <c r="AL1719" s="145" t="s">
        <v>400</v>
      </c>
      <c r="AM1719" s="145" t="s">
        <v>400</v>
      </c>
    </row>
    <row r="1720" spans="1:39">
      <c r="A1720" s="143" t="s">
        <v>2780</v>
      </c>
      <c r="B1720" s="144">
        <v>100</v>
      </c>
      <c r="C1720" s="145" t="s">
        <v>400</v>
      </c>
      <c r="D1720" s="145" t="s">
        <v>400</v>
      </c>
      <c r="E1720" s="145" t="s">
        <v>400</v>
      </c>
      <c r="F1720" s="145" t="s">
        <v>400</v>
      </c>
      <c r="G1720" s="145" t="s">
        <v>400</v>
      </c>
      <c r="H1720" s="145" t="s">
        <v>400</v>
      </c>
      <c r="I1720" s="145" t="s">
        <v>400</v>
      </c>
      <c r="J1720" s="145" t="s">
        <v>400</v>
      </c>
      <c r="K1720" s="145" t="s">
        <v>400</v>
      </c>
      <c r="L1720" s="145" t="s">
        <v>400</v>
      </c>
      <c r="M1720" s="145" t="s">
        <v>400</v>
      </c>
      <c r="N1720" s="145" t="s">
        <v>400</v>
      </c>
      <c r="O1720" s="145" t="s">
        <v>400</v>
      </c>
      <c r="P1720" s="145" t="s">
        <v>400</v>
      </c>
      <c r="Q1720" s="145" t="s">
        <v>400</v>
      </c>
      <c r="R1720" s="145" t="s">
        <v>400</v>
      </c>
      <c r="S1720" s="145">
        <v>15</v>
      </c>
      <c r="T1720" s="145" t="s">
        <v>400</v>
      </c>
      <c r="U1720" s="145" t="s">
        <v>400</v>
      </c>
      <c r="V1720" s="145" t="s">
        <v>400</v>
      </c>
      <c r="W1720" s="145" t="s">
        <v>400</v>
      </c>
      <c r="X1720" s="145" t="s">
        <v>400</v>
      </c>
      <c r="Y1720" s="145" t="s">
        <v>400</v>
      </c>
      <c r="Z1720" s="146" t="s">
        <v>400</v>
      </c>
      <c r="AA1720" s="145" t="s">
        <v>400</v>
      </c>
      <c r="AB1720" s="145" t="s">
        <v>400</v>
      </c>
      <c r="AC1720" s="145" t="s">
        <v>400</v>
      </c>
      <c r="AD1720" s="145" t="s">
        <v>400</v>
      </c>
      <c r="AE1720" s="145" t="s">
        <v>400</v>
      </c>
      <c r="AF1720" s="145" t="s">
        <v>400</v>
      </c>
      <c r="AG1720" s="145" t="s">
        <v>400</v>
      </c>
      <c r="AH1720" s="145" t="s">
        <v>400</v>
      </c>
      <c r="AI1720" s="145" t="s">
        <v>400</v>
      </c>
      <c r="AJ1720" s="145" t="s">
        <v>400</v>
      </c>
      <c r="AK1720" s="145" t="s">
        <v>400</v>
      </c>
      <c r="AL1720" s="145" t="s">
        <v>400</v>
      </c>
      <c r="AM1720" s="145" t="s">
        <v>400</v>
      </c>
    </row>
    <row r="1721" spans="1:39">
      <c r="A1721" s="143" t="s">
        <v>2781</v>
      </c>
      <c r="B1721" s="144">
        <v>100</v>
      </c>
      <c r="C1721" s="145" t="s">
        <v>400</v>
      </c>
      <c r="D1721" s="145" t="s">
        <v>400</v>
      </c>
      <c r="E1721" s="145" t="s">
        <v>400</v>
      </c>
      <c r="F1721" s="145" t="s">
        <v>400</v>
      </c>
      <c r="G1721" s="145" t="s">
        <v>400</v>
      </c>
      <c r="H1721" s="145" t="s">
        <v>400</v>
      </c>
      <c r="I1721" s="145" t="s">
        <v>400</v>
      </c>
      <c r="J1721" s="145" t="s">
        <v>400</v>
      </c>
      <c r="K1721" s="145" t="s">
        <v>400</v>
      </c>
      <c r="L1721" s="145" t="s">
        <v>400</v>
      </c>
      <c r="M1721" s="145" t="s">
        <v>400</v>
      </c>
      <c r="N1721" s="145" t="s">
        <v>400</v>
      </c>
      <c r="O1721" s="145" t="s">
        <v>400</v>
      </c>
      <c r="P1721" s="145" t="s">
        <v>400</v>
      </c>
      <c r="Q1721" s="145" t="s">
        <v>400</v>
      </c>
      <c r="R1721" s="145" t="s">
        <v>400</v>
      </c>
      <c r="S1721" s="145">
        <v>15</v>
      </c>
      <c r="T1721" s="145" t="s">
        <v>400</v>
      </c>
      <c r="U1721" s="145" t="s">
        <v>400</v>
      </c>
      <c r="V1721" s="145" t="s">
        <v>400</v>
      </c>
      <c r="W1721" s="145" t="s">
        <v>400</v>
      </c>
      <c r="X1721" s="145" t="s">
        <v>400</v>
      </c>
      <c r="Y1721" s="145" t="s">
        <v>400</v>
      </c>
      <c r="Z1721" s="146" t="s">
        <v>400</v>
      </c>
      <c r="AA1721" s="145" t="s">
        <v>400</v>
      </c>
      <c r="AB1721" s="145" t="s">
        <v>400</v>
      </c>
      <c r="AC1721" s="145" t="s">
        <v>400</v>
      </c>
      <c r="AD1721" s="145" t="s">
        <v>400</v>
      </c>
      <c r="AE1721" s="145" t="s">
        <v>400</v>
      </c>
      <c r="AF1721" s="145" t="s">
        <v>400</v>
      </c>
      <c r="AG1721" s="145" t="s">
        <v>400</v>
      </c>
      <c r="AH1721" s="145" t="s">
        <v>400</v>
      </c>
      <c r="AI1721" s="145" t="s">
        <v>400</v>
      </c>
      <c r="AJ1721" s="145" t="s">
        <v>400</v>
      </c>
      <c r="AK1721" s="145" t="s">
        <v>400</v>
      </c>
      <c r="AL1721" s="145" t="s">
        <v>400</v>
      </c>
      <c r="AM1721" s="145" t="s">
        <v>400</v>
      </c>
    </row>
    <row r="1722" spans="1:39">
      <c r="A1722" s="143" t="s">
        <v>2782</v>
      </c>
      <c r="B1722" s="144">
        <v>100</v>
      </c>
      <c r="C1722" s="145">
        <v>39</v>
      </c>
      <c r="D1722" s="145" t="s">
        <v>400</v>
      </c>
      <c r="E1722" s="145" t="s">
        <v>400</v>
      </c>
      <c r="F1722" s="145" t="s">
        <v>400</v>
      </c>
      <c r="G1722" s="145" t="s">
        <v>400</v>
      </c>
      <c r="H1722" s="145" t="s">
        <v>400</v>
      </c>
      <c r="I1722" s="145" t="s">
        <v>400</v>
      </c>
      <c r="J1722" s="145" t="s">
        <v>400</v>
      </c>
      <c r="K1722" s="145" t="s">
        <v>400</v>
      </c>
      <c r="L1722" s="145">
        <v>10</v>
      </c>
      <c r="M1722" s="145" t="s">
        <v>400</v>
      </c>
      <c r="N1722" s="145">
        <v>1</v>
      </c>
      <c r="O1722" s="145" t="s">
        <v>400</v>
      </c>
      <c r="P1722" s="145" t="s">
        <v>400</v>
      </c>
      <c r="Q1722" s="145" t="s">
        <v>400</v>
      </c>
      <c r="R1722" s="145" t="s">
        <v>400</v>
      </c>
      <c r="S1722" s="145">
        <v>9</v>
      </c>
      <c r="T1722" s="145">
        <v>1</v>
      </c>
      <c r="U1722" s="145" t="s">
        <v>400</v>
      </c>
      <c r="V1722" s="145" t="s">
        <v>400</v>
      </c>
      <c r="W1722" s="145" t="s">
        <v>400</v>
      </c>
      <c r="X1722" s="145" t="s">
        <v>400</v>
      </c>
      <c r="Y1722" s="145" t="s">
        <v>400</v>
      </c>
      <c r="Z1722" s="146" t="s">
        <v>400</v>
      </c>
      <c r="AA1722" s="145" t="s">
        <v>400</v>
      </c>
      <c r="AB1722" s="145" t="s">
        <v>400</v>
      </c>
      <c r="AC1722" s="145" t="s">
        <v>400</v>
      </c>
      <c r="AD1722" s="145" t="s">
        <v>400</v>
      </c>
      <c r="AE1722" s="145" t="s">
        <v>400</v>
      </c>
      <c r="AF1722" s="145" t="s">
        <v>400</v>
      </c>
      <c r="AG1722" s="145" t="s">
        <v>400</v>
      </c>
      <c r="AH1722" s="145" t="s">
        <v>400</v>
      </c>
      <c r="AI1722" s="145" t="s">
        <v>400</v>
      </c>
      <c r="AJ1722" s="145" t="s">
        <v>400</v>
      </c>
      <c r="AK1722" s="145" t="s">
        <v>400</v>
      </c>
      <c r="AL1722" s="145">
        <v>10</v>
      </c>
      <c r="AM1722" s="145">
        <v>10</v>
      </c>
    </row>
    <row r="1723" spans="1:39">
      <c r="A1723" s="143" t="s">
        <v>2783</v>
      </c>
      <c r="B1723" s="144">
        <v>100</v>
      </c>
      <c r="C1723" s="145">
        <v>2.0019999999999998</v>
      </c>
      <c r="D1723" s="145">
        <v>0.11</v>
      </c>
      <c r="E1723" s="145">
        <v>0.03</v>
      </c>
      <c r="F1723" s="145" t="s">
        <v>400</v>
      </c>
      <c r="G1723" s="145" t="s">
        <v>400</v>
      </c>
      <c r="H1723" s="145" t="s">
        <v>400</v>
      </c>
      <c r="I1723" s="145" t="s">
        <v>400</v>
      </c>
      <c r="J1723" s="145" t="s">
        <v>400</v>
      </c>
      <c r="K1723" s="145" t="s">
        <v>400</v>
      </c>
      <c r="L1723" s="145">
        <v>0.28999999999999998</v>
      </c>
      <c r="M1723" s="145" t="s">
        <v>400</v>
      </c>
      <c r="N1723" s="145">
        <v>3.0030000000000001</v>
      </c>
      <c r="O1723" s="145">
        <v>1.0009999999999999</v>
      </c>
      <c r="P1723" s="145">
        <v>0.107</v>
      </c>
      <c r="Q1723" s="145">
        <v>9.0079999999999991</v>
      </c>
      <c r="R1723" s="145">
        <v>0.11</v>
      </c>
      <c r="S1723" s="145">
        <v>8.0069999999999997</v>
      </c>
      <c r="T1723" s="145">
        <v>8.0069999999999997</v>
      </c>
      <c r="U1723" s="145">
        <v>2E-3</v>
      </c>
      <c r="V1723" s="145">
        <v>0.01</v>
      </c>
      <c r="W1723" s="145" t="s">
        <v>400</v>
      </c>
      <c r="X1723" s="145">
        <v>5.0000000000000001E-3</v>
      </c>
      <c r="Y1723" s="145">
        <v>2.3E-2</v>
      </c>
      <c r="Z1723" s="146" t="s">
        <v>400</v>
      </c>
      <c r="AA1723" s="145" t="s">
        <v>400</v>
      </c>
      <c r="AB1723" s="145" t="s">
        <v>400</v>
      </c>
      <c r="AC1723" s="145" t="s">
        <v>400</v>
      </c>
      <c r="AD1723" s="145" t="s">
        <v>400</v>
      </c>
      <c r="AE1723" s="145" t="s">
        <v>400</v>
      </c>
      <c r="AF1723" s="145" t="s">
        <v>400</v>
      </c>
      <c r="AG1723" s="145" t="s">
        <v>400</v>
      </c>
      <c r="AH1723" s="145" t="s">
        <v>400</v>
      </c>
      <c r="AI1723" s="145" t="s">
        <v>400</v>
      </c>
      <c r="AJ1723" s="145" t="s">
        <v>400</v>
      </c>
      <c r="AK1723" s="145" t="s">
        <v>400</v>
      </c>
      <c r="AL1723" s="145" t="s">
        <v>400</v>
      </c>
      <c r="AM1723" s="145" t="s">
        <v>400</v>
      </c>
    </row>
    <row r="1724" spans="1:39">
      <c r="A1724" s="143" t="s">
        <v>2784</v>
      </c>
      <c r="B1724" s="144">
        <v>100</v>
      </c>
      <c r="C1724" s="145">
        <v>73.58</v>
      </c>
      <c r="D1724" s="145" t="s">
        <v>400</v>
      </c>
      <c r="E1724" s="145">
        <v>0.05</v>
      </c>
      <c r="F1724" s="145" t="s">
        <v>400</v>
      </c>
      <c r="G1724" s="145" t="s">
        <v>400</v>
      </c>
      <c r="H1724" s="145" t="s">
        <v>400</v>
      </c>
      <c r="I1724" s="145" t="s">
        <v>400</v>
      </c>
      <c r="J1724" s="145" t="s">
        <v>400</v>
      </c>
      <c r="K1724" s="145" t="s">
        <v>400</v>
      </c>
      <c r="L1724" s="145">
        <v>19.97</v>
      </c>
      <c r="M1724" s="145" t="s">
        <v>400</v>
      </c>
      <c r="N1724" s="145">
        <v>5.6</v>
      </c>
      <c r="O1724" s="145">
        <v>1</v>
      </c>
      <c r="P1724" s="145" t="s">
        <v>400</v>
      </c>
      <c r="Q1724" s="145" t="s">
        <v>400</v>
      </c>
      <c r="R1724" s="145" t="s">
        <v>400</v>
      </c>
      <c r="S1724" s="145">
        <v>18.34</v>
      </c>
      <c r="T1724" s="145">
        <v>1</v>
      </c>
      <c r="U1724" s="145">
        <v>0.01</v>
      </c>
      <c r="V1724" s="145">
        <v>0.11</v>
      </c>
      <c r="W1724" s="145" t="s">
        <v>400</v>
      </c>
      <c r="X1724" s="145">
        <v>0.02</v>
      </c>
      <c r="Y1724" s="145" t="s">
        <v>400</v>
      </c>
      <c r="Z1724" s="145" t="s">
        <v>400</v>
      </c>
      <c r="AA1724" s="145" t="s">
        <v>400</v>
      </c>
      <c r="AB1724" s="145" t="s">
        <v>400</v>
      </c>
      <c r="AC1724" s="145" t="s">
        <v>400</v>
      </c>
      <c r="AD1724" s="145" t="s">
        <v>400</v>
      </c>
      <c r="AE1724" s="145" t="s">
        <v>400</v>
      </c>
      <c r="AF1724" s="145" t="s">
        <v>400</v>
      </c>
      <c r="AG1724" s="145" t="s">
        <v>400</v>
      </c>
      <c r="AH1724" s="145" t="s">
        <v>400</v>
      </c>
      <c r="AI1724" s="145" t="s">
        <v>400</v>
      </c>
      <c r="AJ1724" s="145">
        <v>0.18</v>
      </c>
      <c r="AK1724" s="145" t="s">
        <v>400</v>
      </c>
      <c r="AL1724" s="145">
        <v>9.83</v>
      </c>
      <c r="AM1724" s="145">
        <v>19.97</v>
      </c>
    </row>
    <row r="1725" spans="1:39">
      <c r="A1725" s="143" t="s">
        <v>2785</v>
      </c>
      <c r="B1725" s="144">
        <v>100</v>
      </c>
      <c r="C1725" s="145">
        <v>73.58</v>
      </c>
      <c r="D1725" s="145" t="s">
        <v>400</v>
      </c>
      <c r="E1725" s="145">
        <v>0.05</v>
      </c>
      <c r="F1725" s="145" t="s">
        <v>400</v>
      </c>
      <c r="G1725" s="145" t="s">
        <v>400</v>
      </c>
      <c r="H1725" s="145" t="s">
        <v>400</v>
      </c>
      <c r="I1725" s="145" t="s">
        <v>400</v>
      </c>
      <c r="J1725" s="145" t="s">
        <v>400</v>
      </c>
      <c r="K1725" s="145" t="s">
        <v>400</v>
      </c>
      <c r="L1725" s="145">
        <v>19.97</v>
      </c>
      <c r="M1725" s="145" t="s">
        <v>400</v>
      </c>
      <c r="N1725" s="145">
        <v>5.6</v>
      </c>
      <c r="O1725" s="145">
        <v>1</v>
      </c>
      <c r="P1725" s="145" t="s">
        <v>400</v>
      </c>
      <c r="Q1725" s="145" t="s">
        <v>400</v>
      </c>
      <c r="R1725" s="145" t="s">
        <v>400</v>
      </c>
      <c r="S1725" s="145">
        <v>18.34</v>
      </c>
      <c r="T1725" s="145">
        <v>1</v>
      </c>
      <c r="U1725" s="145">
        <v>0.01</v>
      </c>
      <c r="V1725" s="145">
        <v>0.11</v>
      </c>
      <c r="W1725" s="145" t="s">
        <v>400</v>
      </c>
      <c r="X1725" s="145">
        <v>0.02</v>
      </c>
      <c r="Y1725" s="145" t="s">
        <v>400</v>
      </c>
      <c r="Z1725" s="145" t="s">
        <v>400</v>
      </c>
      <c r="AA1725" s="145" t="s">
        <v>400</v>
      </c>
      <c r="AB1725" s="145" t="s">
        <v>400</v>
      </c>
      <c r="AC1725" s="145" t="s">
        <v>400</v>
      </c>
      <c r="AD1725" s="145" t="s">
        <v>400</v>
      </c>
      <c r="AE1725" s="145" t="s">
        <v>400</v>
      </c>
      <c r="AF1725" s="145" t="s">
        <v>400</v>
      </c>
      <c r="AG1725" s="145" t="s">
        <v>400</v>
      </c>
      <c r="AH1725" s="145" t="s">
        <v>400</v>
      </c>
      <c r="AI1725" s="145" t="s">
        <v>400</v>
      </c>
      <c r="AJ1725" s="145">
        <v>0.18</v>
      </c>
      <c r="AK1725" s="145" t="s">
        <v>400</v>
      </c>
      <c r="AL1725" s="145">
        <v>9.83</v>
      </c>
      <c r="AM1725" s="145">
        <v>19.97</v>
      </c>
    </row>
    <row r="1726" spans="1:39">
      <c r="A1726" s="143" t="s">
        <v>2786</v>
      </c>
      <c r="B1726" s="144">
        <v>100</v>
      </c>
      <c r="C1726" s="145">
        <v>19.274999999999999</v>
      </c>
      <c r="D1726" s="145">
        <v>0.73</v>
      </c>
      <c r="E1726" s="145">
        <v>0.20300000000000001</v>
      </c>
      <c r="F1726" s="145">
        <v>0.17899999999999999</v>
      </c>
      <c r="G1726" s="145">
        <v>8.0000000000000002E-3</v>
      </c>
      <c r="H1726" s="145">
        <v>2E-3</v>
      </c>
      <c r="I1726" s="145">
        <v>2E-3</v>
      </c>
      <c r="J1726" s="145" t="s">
        <v>400</v>
      </c>
      <c r="K1726" s="145" t="s">
        <v>400</v>
      </c>
      <c r="L1726" s="145">
        <v>3.7639999999999998</v>
      </c>
      <c r="M1726" s="145">
        <v>1.1160000000000001</v>
      </c>
      <c r="N1726" s="145">
        <v>24.347000000000001</v>
      </c>
      <c r="O1726" s="145">
        <v>25.361000000000001</v>
      </c>
      <c r="P1726" s="145">
        <v>0.14399999999999999</v>
      </c>
      <c r="Q1726" s="145">
        <v>20.289000000000001</v>
      </c>
      <c r="R1726" s="145">
        <v>0.29399999999999998</v>
      </c>
      <c r="S1726" s="145">
        <v>106.517</v>
      </c>
      <c r="T1726" s="145">
        <v>253.61199999999999</v>
      </c>
      <c r="U1726" s="145">
        <v>4.1000000000000002E-2</v>
      </c>
      <c r="V1726" s="145">
        <v>0.10100000000000001</v>
      </c>
      <c r="W1726" s="145" t="s">
        <v>400</v>
      </c>
      <c r="X1726" s="145">
        <v>0.03</v>
      </c>
      <c r="Y1726" s="145">
        <v>5.8000000000000003E-2</v>
      </c>
      <c r="Z1726" s="146">
        <v>3.2000000000000001E-2</v>
      </c>
      <c r="AA1726" s="145">
        <v>8.1000000000000003E-2</v>
      </c>
      <c r="AB1726" s="145">
        <v>2.4350000000000001</v>
      </c>
      <c r="AC1726" s="145">
        <v>0.216</v>
      </c>
      <c r="AD1726" s="145" t="s">
        <v>400</v>
      </c>
      <c r="AE1726" s="145">
        <v>3.0430000000000001</v>
      </c>
      <c r="AF1726" s="145" t="s">
        <v>400</v>
      </c>
      <c r="AG1726" s="145" t="s">
        <v>400</v>
      </c>
      <c r="AH1726" s="145" t="s">
        <v>400</v>
      </c>
      <c r="AI1726" s="145" t="s">
        <v>400</v>
      </c>
      <c r="AJ1726" s="145">
        <v>1.014</v>
      </c>
      <c r="AK1726" s="145" t="s">
        <v>400</v>
      </c>
      <c r="AL1726" s="145">
        <v>1.4910000000000001</v>
      </c>
      <c r="AM1726" s="145" t="s">
        <v>400</v>
      </c>
    </row>
    <row r="1727" spans="1:39">
      <c r="A1727" s="143" t="s">
        <v>2787</v>
      </c>
      <c r="B1727" s="144">
        <v>100</v>
      </c>
      <c r="C1727" s="145">
        <v>15.28</v>
      </c>
      <c r="D1727" s="145" t="s">
        <v>400</v>
      </c>
      <c r="E1727" s="145">
        <v>4.0000000000000001E-3</v>
      </c>
      <c r="F1727" s="145">
        <v>2E-3</v>
      </c>
      <c r="G1727" s="145" t="s">
        <v>400</v>
      </c>
      <c r="H1727" s="145" t="s">
        <v>400</v>
      </c>
      <c r="I1727" s="145" t="s">
        <v>400</v>
      </c>
      <c r="J1727" s="145" t="s">
        <v>400</v>
      </c>
      <c r="K1727" s="145" t="s">
        <v>400</v>
      </c>
      <c r="L1727" s="145">
        <v>3.9079999999999999</v>
      </c>
      <c r="M1727" s="145" t="s">
        <v>400</v>
      </c>
      <c r="N1727" s="145">
        <v>5.68</v>
      </c>
      <c r="O1727" s="145" t="s">
        <v>400</v>
      </c>
      <c r="P1727" s="145">
        <v>1E-3</v>
      </c>
      <c r="Q1727" s="145" t="s">
        <v>400</v>
      </c>
      <c r="R1727" s="145">
        <v>0.02</v>
      </c>
      <c r="S1727" s="145">
        <v>1.68</v>
      </c>
      <c r="T1727" s="145">
        <v>0.2</v>
      </c>
      <c r="U1727" s="145">
        <v>5.0000000000000001E-3</v>
      </c>
      <c r="V1727" s="145">
        <v>4.0000000000000001E-3</v>
      </c>
      <c r="W1727" s="145" t="s">
        <v>400</v>
      </c>
      <c r="X1727" s="145" t="s">
        <v>400</v>
      </c>
      <c r="Y1727" s="145">
        <v>1E-3</v>
      </c>
      <c r="Z1727" s="146" t="s">
        <v>400</v>
      </c>
      <c r="AA1727" s="145">
        <v>1E-3</v>
      </c>
      <c r="AB1727" s="145">
        <v>1.4119999999999999</v>
      </c>
      <c r="AC1727" s="145">
        <v>1E-3</v>
      </c>
      <c r="AD1727" s="145" t="s">
        <v>400</v>
      </c>
      <c r="AE1727" s="145" t="s">
        <v>400</v>
      </c>
      <c r="AF1727" s="145" t="s">
        <v>400</v>
      </c>
      <c r="AG1727" s="145" t="s">
        <v>400</v>
      </c>
      <c r="AH1727" s="145" t="s">
        <v>400</v>
      </c>
      <c r="AI1727" s="145" t="s">
        <v>400</v>
      </c>
      <c r="AJ1727" s="145">
        <v>2.8000000000000001E-2</v>
      </c>
      <c r="AK1727" s="145" t="s">
        <v>400</v>
      </c>
      <c r="AL1727" s="145">
        <v>3.8079999999999998</v>
      </c>
      <c r="AM1727" s="145">
        <v>3.81</v>
      </c>
    </row>
    <row r="1728" spans="1:39">
      <c r="A1728" s="143" t="s">
        <v>2788</v>
      </c>
      <c r="B1728" s="144">
        <v>100</v>
      </c>
      <c r="C1728" s="145">
        <v>15.28</v>
      </c>
      <c r="D1728" s="145" t="s">
        <v>400</v>
      </c>
      <c r="E1728" s="145">
        <v>4.0000000000000001E-3</v>
      </c>
      <c r="F1728" s="145">
        <v>2E-3</v>
      </c>
      <c r="G1728" s="145" t="s">
        <v>400</v>
      </c>
      <c r="H1728" s="145" t="s">
        <v>400</v>
      </c>
      <c r="I1728" s="145" t="s">
        <v>400</v>
      </c>
      <c r="J1728" s="145" t="s">
        <v>400</v>
      </c>
      <c r="K1728" s="145" t="s">
        <v>400</v>
      </c>
      <c r="L1728" s="145">
        <v>3.9079999999999999</v>
      </c>
      <c r="M1728" s="145" t="s">
        <v>400</v>
      </c>
      <c r="N1728" s="145">
        <v>5.68</v>
      </c>
      <c r="O1728" s="145" t="s">
        <v>400</v>
      </c>
      <c r="P1728" s="145">
        <v>1E-3</v>
      </c>
      <c r="Q1728" s="145" t="s">
        <v>400</v>
      </c>
      <c r="R1728" s="145">
        <v>0.02</v>
      </c>
      <c r="S1728" s="145">
        <v>1.68</v>
      </c>
      <c r="T1728" s="145">
        <v>0.2</v>
      </c>
      <c r="U1728" s="145">
        <v>5.0000000000000001E-3</v>
      </c>
      <c r="V1728" s="145">
        <v>4.0000000000000001E-3</v>
      </c>
      <c r="W1728" s="145" t="s">
        <v>400</v>
      </c>
      <c r="X1728" s="145" t="s">
        <v>400</v>
      </c>
      <c r="Y1728" s="145">
        <v>1E-3</v>
      </c>
      <c r="Z1728" s="146" t="s">
        <v>400</v>
      </c>
      <c r="AA1728" s="145">
        <v>1E-3</v>
      </c>
      <c r="AB1728" s="145">
        <v>1.4119999999999999</v>
      </c>
      <c r="AC1728" s="145">
        <v>1E-3</v>
      </c>
      <c r="AD1728" s="145" t="s">
        <v>400</v>
      </c>
      <c r="AE1728" s="145" t="s">
        <v>400</v>
      </c>
      <c r="AF1728" s="145" t="s">
        <v>400</v>
      </c>
      <c r="AG1728" s="145" t="s">
        <v>400</v>
      </c>
      <c r="AH1728" s="145" t="s">
        <v>400</v>
      </c>
      <c r="AI1728" s="145" t="s">
        <v>400</v>
      </c>
      <c r="AJ1728" s="145">
        <v>2.8000000000000001E-2</v>
      </c>
      <c r="AK1728" s="145" t="s">
        <v>400</v>
      </c>
      <c r="AL1728" s="145">
        <v>3.8079999999999998</v>
      </c>
      <c r="AM1728" s="145">
        <v>3.81</v>
      </c>
    </row>
    <row r="1729" spans="1:39">
      <c r="A1729" s="143" t="s">
        <v>2789</v>
      </c>
      <c r="B1729" s="144">
        <v>100</v>
      </c>
      <c r="C1729" s="145">
        <v>241</v>
      </c>
      <c r="D1729" s="145">
        <v>12.2</v>
      </c>
      <c r="E1729" s="145">
        <v>0.5</v>
      </c>
      <c r="F1729" s="145">
        <v>0.19700000000000001</v>
      </c>
      <c r="G1729" s="145">
        <v>4.1000000000000002E-2</v>
      </c>
      <c r="H1729" s="145">
        <v>0.19600000000000001</v>
      </c>
      <c r="I1729" s="145">
        <v>0.18</v>
      </c>
      <c r="J1729" s="145">
        <v>1.4999999999999999E-2</v>
      </c>
      <c r="K1729" s="145" t="s">
        <v>400</v>
      </c>
      <c r="L1729" s="145">
        <v>75.400000000000006</v>
      </c>
      <c r="M1729" s="145" t="s">
        <v>400</v>
      </c>
      <c r="N1729" s="145">
        <v>141</v>
      </c>
      <c r="O1729" s="145">
        <v>327</v>
      </c>
      <c r="P1729" s="145">
        <v>1.712</v>
      </c>
      <c r="Q1729" s="145">
        <v>303</v>
      </c>
      <c r="R1729" s="145">
        <v>4.41</v>
      </c>
      <c r="S1729" s="145">
        <v>37</v>
      </c>
      <c r="T1729" s="145">
        <v>3535</v>
      </c>
      <c r="U1729" s="145">
        <v>0.13900000000000001</v>
      </c>
      <c r="V1729" s="145">
        <v>0.35</v>
      </c>
      <c r="W1729" s="145" t="s">
        <v>400</v>
      </c>
      <c r="X1729" s="145">
        <v>8.0000000000000002E-3</v>
      </c>
      <c r="Y1729" s="145">
        <v>7.3999999999999996E-2</v>
      </c>
      <c r="Z1729" s="146">
        <v>2.9000000000000001E-2</v>
      </c>
      <c r="AA1729" s="145">
        <v>28.172999999999998</v>
      </c>
      <c r="AB1729" s="145" t="s">
        <v>400</v>
      </c>
      <c r="AC1729" s="145">
        <v>28.672999999999998</v>
      </c>
      <c r="AD1729" s="145" t="s">
        <v>400</v>
      </c>
      <c r="AE1729" s="145" t="s">
        <v>400</v>
      </c>
      <c r="AF1729" s="145" t="s">
        <v>400</v>
      </c>
      <c r="AG1729" s="145">
        <v>2.339</v>
      </c>
      <c r="AH1729" s="145" t="s">
        <v>400</v>
      </c>
      <c r="AI1729" s="145" t="s">
        <v>400</v>
      </c>
      <c r="AJ1729" s="145">
        <v>12.6</v>
      </c>
      <c r="AK1729" s="145" t="s">
        <v>400</v>
      </c>
      <c r="AL1729" s="145">
        <v>0.48</v>
      </c>
      <c r="AM1729" s="145" t="s">
        <v>400</v>
      </c>
    </row>
    <row r="1730" spans="1:39">
      <c r="A1730" s="143" t="s">
        <v>2790</v>
      </c>
      <c r="B1730" s="144">
        <v>100</v>
      </c>
      <c r="C1730" s="145">
        <v>2.8029999999999999</v>
      </c>
      <c r="D1730" s="145">
        <v>0.25</v>
      </c>
      <c r="E1730" s="145" t="s">
        <v>400</v>
      </c>
      <c r="F1730" s="145" t="s">
        <v>400</v>
      </c>
      <c r="G1730" s="145" t="s">
        <v>400</v>
      </c>
      <c r="H1730" s="145" t="s">
        <v>400</v>
      </c>
      <c r="I1730" s="145" t="s">
        <v>400</v>
      </c>
      <c r="J1730" s="145" t="s">
        <v>400</v>
      </c>
      <c r="K1730" s="145" t="s">
        <v>400</v>
      </c>
      <c r="L1730" s="145">
        <v>2.3119999999999998</v>
      </c>
      <c r="M1730" s="145">
        <v>1.8620000000000001</v>
      </c>
      <c r="N1730" s="145">
        <v>4.7039999999999997</v>
      </c>
      <c r="O1730" s="145">
        <v>1.125</v>
      </c>
      <c r="P1730" s="145">
        <v>38.335000000000001</v>
      </c>
      <c r="Q1730" s="145">
        <v>0.88100000000000001</v>
      </c>
      <c r="R1730" s="145">
        <v>0.15</v>
      </c>
      <c r="S1730" s="145">
        <v>0.26900000000000002</v>
      </c>
      <c r="T1730" s="145">
        <v>11.01</v>
      </c>
      <c r="U1730" s="145">
        <v>0.3</v>
      </c>
      <c r="V1730" s="145">
        <v>1.3009999999999999</v>
      </c>
      <c r="W1730" s="145" t="s">
        <v>400</v>
      </c>
      <c r="X1730" s="145">
        <v>2.8000000000000001E-2</v>
      </c>
      <c r="Y1730" s="145">
        <v>1.4E-2</v>
      </c>
      <c r="Z1730" s="146">
        <v>1.7999999999999999E-2</v>
      </c>
      <c r="AA1730" s="145">
        <v>2.4E-2</v>
      </c>
      <c r="AB1730" s="145">
        <v>0.16</v>
      </c>
      <c r="AC1730" s="145">
        <v>7.3999999999999996E-2</v>
      </c>
      <c r="AD1730" s="145" t="s">
        <v>400</v>
      </c>
      <c r="AE1730" s="145">
        <v>1.0009999999999999</v>
      </c>
      <c r="AF1730" s="145" t="s">
        <v>400</v>
      </c>
      <c r="AG1730" s="145" t="s">
        <v>400</v>
      </c>
      <c r="AH1730" s="145" t="s">
        <v>400</v>
      </c>
      <c r="AI1730" s="145" t="s">
        <v>400</v>
      </c>
      <c r="AJ1730" s="145">
        <v>7.3999999999999996E-2</v>
      </c>
      <c r="AK1730" s="145" t="s">
        <v>400</v>
      </c>
      <c r="AL1730" s="145">
        <v>6.4000000000000001E-2</v>
      </c>
      <c r="AM1730" s="145" t="s">
        <v>400</v>
      </c>
    </row>
    <row r="1731" spans="1:39">
      <c r="A1731" s="143" t="s">
        <v>2791</v>
      </c>
      <c r="B1731" s="144">
        <v>100</v>
      </c>
      <c r="C1731" s="145">
        <v>2.8029999999999999</v>
      </c>
      <c r="D1731" s="145">
        <v>0.25</v>
      </c>
      <c r="E1731" s="145" t="s">
        <v>400</v>
      </c>
      <c r="F1731" s="145" t="s">
        <v>400</v>
      </c>
      <c r="G1731" s="145" t="s">
        <v>400</v>
      </c>
      <c r="H1731" s="145" t="s">
        <v>400</v>
      </c>
      <c r="I1731" s="145" t="s">
        <v>400</v>
      </c>
      <c r="J1731" s="145" t="s">
        <v>400</v>
      </c>
      <c r="K1731" s="145" t="s">
        <v>400</v>
      </c>
      <c r="L1731" s="145">
        <v>2.3119999999999998</v>
      </c>
      <c r="M1731" s="145">
        <v>1.8620000000000001</v>
      </c>
      <c r="N1731" s="145">
        <v>4.7039999999999997</v>
      </c>
      <c r="O1731" s="145">
        <v>1.125</v>
      </c>
      <c r="P1731" s="145">
        <v>38.335000000000001</v>
      </c>
      <c r="Q1731" s="145">
        <v>0.88100000000000001</v>
      </c>
      <c r="R1731" s="145">
        <v>0.15</v>
      </c>
      <c r="S1731" s="145">
        <v>0.26900000000000002</v>
      </c>
      <c r="T1731" s="145">
        <v>11.01</v>
      </c>
      <c r="U1731" s="145">
        <v>0.3</v>
      </c>
      <c r="V1731" s="145">
        <v>1.3009999999999999</v>
      </c>
      <c r="W1731" s="145" t="s">
        <v>400</v>
      </c>
      <c r="X1731" s="145">
        <v>2.8000000000000001E-2</v>
      </c>
      <c r="Y1731" s="145">
        <v>1.4E-2</v>
      </c>
      <c r="Z1731" s="146">
        <v>1.7999999999999999E-2</v>
      </c>
      <c r="AA1731" s="145">
        <v>2.4E-2</v>
      </c>
      <c r="AB1731" s="145">
        <v>0.16</v>
      </c>
      <c r="AC1731" s="145">
        <v>7.3999999999999996E-2</v>
      </c>
      <c r="AD1731" s="145" t="s">
        <v>400</v>
      </c>
      <c r="AE1731" s="145">
        <v>1.0009999999999999</v>
      </c>
      <c r="AF1731" s="145" t="s">
        <v>400</v>
      </c>
      <c r="AG1731" s="145" t="s">
        <v>400</v>
      </c>
      <c r="AH1731" s="145" t="s">
        <v>400</v>
      </c>
      <c r="AI1731" s="145" t="s">
        <v>400</v>
      </c>
      <c r="AJ1731" s="145">
        <v>7.3999999999999996E-2</v>
      </c>
      <c r="AK1731" s="145" t="s">
        <v>400</v>
      </c>
      <c r="AL1731" s="145">
        <v>6.4000000000000001E-2</v>
      </c>
      <c r="AM1731" s="145" t="s">
        <v>400</v>
      </c>
    </row>
    <row r="1732" spans="1:39">
      <c r="A1732" s="143" t="s">
        <v>2792</v>
      </c>
      <c r="B1732" s="144">
        <v>100</v>
      </c>
      <c r="C1732" s="145">
        <v>2.8029999999999999</v>
      </c>
      <c r="D1732" s="145">
        <v>0.25</v>
      </c>
      <c r="E1732" s="145" t="s">
        <v>400</v>
      </c>
      <c r="F1732" s="145" t="s">
        <v>400</v>
      </c>
      <c r="G1732" s="145" t="s">
        <v>400</v>
      </c>
      <c r="H1732" s="145" t="s">
        <v>400</v>
      </c>
      <c r="I1732" s="145" t="s">
        <v>400</v>
      </c>
      <c r="J1732" s="145" t="s">
        <v>400</v>
      </c>
      <c r="K1732" s="145" t="s">
        <v>400</v>
      </c>
      <c r="L1732" s="145">
        <v>2.3119999999999998</v>
      </c>
      <c r="M1732" s="145">
        <v>1.8620000000000001</v>
      </c>
      <c r="N1732" s="145">
        <v>4.7039999999999997</v>
      </c>
      <c r="O1732" s="145">
        <v>1.125</v>
      </c>
      <c r="P1732" s="145">
        <v>38.335000000000001</v>
      </c>
      <c r="Q1732" s="145">
        <v>0.88100000000000001</v>
      </c>
      <c r="R1732" s="145">
        <v>0.15</v>
      </c>
      <c r="S1732" s="145">
        <v>0.26900000000000002</v>
      </c>
      <c r="T1732" s="145">
        <v>11.01</v>
      </c>
      <c r="U1732" s="145">
        <v>0.3</v>
      </c>
      <c r="V1732" s="145">
        <v>1.3009999999999999</v>
      </c>
      <c r="W1732" s="145" t="s">
        <v>400</v>
      </c>
      <c r="X1732" s="145">
        <v>2.8000000000000001E-2</v>
      </c>
      <c r="Y1732" s="145">
        <v>1.4E-2</v>
      </c>
      <c r="Z1732" s="146">
        <v>1.7999999999999999E-2</v>
      </c>
      <c r="AA1732" s="145">
        <v>2.4E-2</v>
      </c>
      <c r="AB1732" s="145">
        <v>0.16</v>
      </c>
      <c r="AC1732" s="145">
        <v>7.3999999999999996E-2</v>
      </c>
      <c r="AD1732" s="145" t="s">
        <v>400</v>
      </c>
      <c r="AE1732" s="145">
        <v>1.0009999999999999</v>
      </c>
      <c r="AF1732" s="145" t="s">
        <v>400</v>
      </c>
      <c r="AG1732" s="145" t="s">
        <v>400</v>
      </c>
      <c r="AH1732" s="145" t="s">
        <v>400</v>
      </c>
      <c r="AI1732" s="145" t="s">
        <v>400</v>
      </c>
      <c r="AJ1732" s="145">
        <v>7.3999999999999996E-2</v>
      </c>
      <c r="AK1732" s="145" t="s">
        <v>400</v>
      </c>
      <c r="AL1732" s="145">
        <v>6.4000000000000001E-2</v>
      </c>
      <c r="AM1732" s="145" t="s">
        <v>400</v>
      </c>
    </row>
    <row r="1733" spans="1:39">
      <c r="A1733" s="143" t="s">
        <v>2793</v>
      </c>
      <c r="B1733" s="144">
        <v>100</v>
      </c>
      <c r="C1733" s="145">
        <v>170</v>
      </c>
      <c r="D1733" s="145">
        <v>16.2</v>
      </c>
      <c r="E1733" s="145">
        <v>1.3</v>
      </c>
      <c r="F1733" s="145">
        <v>0.2</v>
      </c>
      <c r="G1733" s="145">
        <v>0.71499999999999997</v>
      </c>
      <c r="H1733" s="145">
        <v>2E-3</v>
      </c>
      <c r="I1733" s="145">
        <v>2E-3</v>
      </c>
      <c r="J1733" s="145" t="s">
        <v>400</v>
      </c>
      <c r="K1733" s="145" t="s">
        <v>400</v>
      </c>
      <c r="L1733" s="145">
        <v>28.1</v>
      </c>
      <c r="M1733" s="145">
        <v>11.5</v>
      </c>
      <c r="N1733" s="145">
        <v>86</v>
      </c>
      <c r="O1733" s="145">
        <v>180</v>
      </c>
      <c r="P1733" s="145">
        <v>0.19</v>
      </c>
      <c r="Q1733" s="145">
        <v>104</v>
      </c>
      <c r="R1733" s="145">
        <v>36</v>
      </c>
      <c r="S1733" s="145">
        <v>3400</v>
      </c>
      <c r="T1733" s="145">
        <v>1800</v>
      </c>
      <c r="U1733" s="145">
        <v>0.3</v>
      </c>
      <c r="V1733" s="145">
        <v>2.1</v>
      </c>
      <c r="W1733" s="145" t="s">
        <v>400</v>
      </c>
      <c r="X1733" s="145">
        <v>11</v>
      </c>
      <c r="Y1733" s="145">
        <v>8.4</v>
      </c>
      <c r="Z1733" s="145">
        <v>1.3</v>
      </c>
      <c r="AA1733" s="145">
        <v>50</v>
      </c>
      <c r="AB1733" s="145" t="s">
        <v>400</v>
      </c>
      <c r="AC1733" s="145">
        <v>55.116999999999997</v>
      </c>
      <c r="AD1733" s="145">
        <v>10</v>
      </c>
      <c r="AE1733" s="145">
        <v>3105</v>
      </c>
      <c r="AF1733" s="145" t="s">
        <v>400</v>
      </c>
      <c r="AG1733" s="145" t="s">
        <v>400</v>
      </c>
      <c r="AH1733" s="145" t="s">
        <v>400</v>
      </c>
      <c r="AI1733" s="146" t="s">
        <v>400</v>
      </c>
      <c r="AJ1733" s="145">
        <v>18</v>
      </c>
      <c r="AK1733" s="145" t="s">
        <v>400</v>
      </c>
      <c r="AL1733" s="145">
        <v>13.544</v>
      </c>
      <c r="AM1733" s="145">
        <v>1</v>
      </c>
    </row>
    <row r="1734" spans="1:39">
      <c r="A1734" s="143" t="s">
        <v>2794</v>
      </c>
      <c r="B1734" s="144">
        <v>100</v>
      </c>
      <c r="C1734" s="145">
        <v>36.874000000000002</v>
      </c>
      <c r="D1734" s="145">
        <v>7.0000000000000007E-2</v>
      </c>
      <c r="E1734" s="145">
        <v>0.02</v>
      </c>
      <c r="F1734" s="145" t="s">
        <v>400</v>
      </c>
      <c r="G1734" s="145" t="s">
        <v>400</v>
      </c>
      <c r="H1734" s="145" t="s">
        <v>400</v>
      </c>
      <c r="I1734" s="145" t="s">
        <v>400</v>
      </c>
      <c r="J1734" s="145" t="s">
        <v>400</v>
      </c>
      <c r="K1734" s="145" t="s">
        <v>400</v>
      </c>
      <c r="L1734" s="145">
        <v>9.5269999999999992</v>
      </c>
      <c r="M1734" s="145" t="s">
        <v>400</v>
      </c>
      <c r="N1734" s="145">
        <v>1.9930000000000001</v>
      </c>
      <c r="O1734" s="145" t="s">
        <v>400</v>
      </c>
      <c r="P1734" s="145">
        <v>2E-3</v>
      </c>
      <c r="Q1734" s="145">
        <v>9.9659999999999993</v>
      </c>
      <c r="R1734" s="145">
        <v>0.11</v>
      </c>
      <c r="S1734" s="145">
        <v>3.9860000000000002</v>
      </c>
      <c r="T1734" s="145">
        <v>1.9930000000000001</v>
      </c>
      <c r="U1734" s="145">
        <v>1E-3</v>
      </c>
      <c r="V1734" s="145">
        <v>0.02</v>
      </c>
      <c r="W1734" s="145" t="s">
        <v>400</v>
      </c>
      <c r="X1734" s="145" t="s">
        <v>400</v>
      </c>
      <c r="Y1734" s="145" t="s">
        <v>400</v>
      </c>
      <c r="Z1734" s="146" t="s">
        <v>400</v>
      </c>
      <c r="AA1734" s="145" t="s">
        <v>400</v>
      </c>
      <c r="AB1734" s="145" t="s">
        <v>400</v>
      </c>
      <c r="AC1734" s="145" t="s">
        <v>400</v>
      </c>
      <c r="AD1734" s="145" t="s">
        <v>400</v>
      </c>
      <c r="AE1734" s="145" t="s">
        <v>400</v>
      </c>
      <c r="AF1734" s="145" t="s">
        <v>400</v>
      </c>
      <c r="AG1734" s="145" t="s">
        <v>400</v>
      </c>
      <c r="AH1734" s="145" t="s">
        <v>400</v>
      </c>
      <c r="AI1734" s="145" t="s">
        <v>400</v>
      </c>
      <c r="AJ1734" s="145">
        <v>0.1</v>
      </c>
      <c r="AK1734" s="145" t="s">
        <v>400</v>
      </c>
      <c r="AL1734" s="145">
        <v>10.564</v>
      </c>
      <c r="AM1734" s="145">
        <v>9.5269999999999992</v>
      </c>
    </row>
    <row r="1735" spans="1:39">
      <c r="A1735" s="143" t="s">
        <v>2795</v>
      </c>
      <c r="B1735" s="144">
        <v>100</v>
      </c>
      <c r="C1735" s="145">
        <v>352</v>
      </c>
      <c r="D1735" s="145">
        <v>9.91</v>
      </c>
      <c r="E1735" s="145">
        <v>1.1599999999999999</v>
      </c>
      <c r="F1735" s="145">
        <v>0.24399999999999999</v>
      </c>
      <c r="G1735" s="145">
        <v>0.14899999999999999</v>
      </c>
      <c r="H1735" s="145">
        <v>0.56000000000000005</v>
      </c>
      <c r="I1735" s="145">
        <v>0.505</v>
      </c>
      <c r="J1735" s="145">
        <v>5.5E-2</v>
      </c>
      <c r="K1735" s="145" t="s">
        <v>400</v>
      </c>
      <c r="L1735" s="145">
        <v>77.72</v>
      </c>
      <c r="M1735" s="145">
        <v>15.6</v>
      </c>
      <c r="N1735" s="145">
        <v>29</v>
      </c>
      <c r="O1735" s="145">
        <v>79</v>
      </c>
      <c r="P1735" s="145">
        <v>1.3220000000000001</v>
      </c>
      <c r="Q1735" s="145">
        <v>221</v>
      </c>
      <c r="R1735" s="145">
        <v>2.5</v>
      </c>
      <c r="S1735" s="145">
        <v>9</v>
      </c>
      <c r="T1735" s="145">
        <v>280</v>
      </c>
      <c r="U1735" s="145">
        <v>0.42</v>
      </c>
      <c r="V1735" s="145">
        <v>2.13</v>
      </c>
      <c r="W1735" s="145" t="s">
        <v>400</v>
      </c>
      <c r="X1735" s="145">
        <v>0.191</v>
      </c>
      <c r="Y1735" s="145">
        <v>0.114</v>
      </c>
      <c r="Z1735" s="146">
        <v>0.26</v>
      </c>
      <c r="AA1735" s="145">
        <v>4.6040000000000001</v>
      </c>
      <c r="AB1735" s="145" t="s">
        <v>400</v>
      </c>
      <c r="AC1735" s="145">
        <v>7.3540000000000001</v>
      </c>
      <c r="AD1735" s="145" t="s">
        <v>400</v>
      </c>
      <c r="AE1735" s="145">
        <v>23</v>
      </c>
      <c r="AF1735" s="145" t="s">
        <v>400</v>
      </c>
      <c r="AG1735" s="145">
        <v>0.02</v>
      </c>
      <c r="AH1735" s="145" t="s">
        <v>400</v>
      </c>
      <c r="AI1735" s="145" t="s">
        <v>400</v>
      </c>
      <c r="AJ1735" s="145">
        <v>37.700000000000003</v>
      </c>
      <c r="AK1735" s="145">
        <v>1.083</v>
      </c>
      <c r="AL1735" s="145">
        <v>1.3</v>
      </c>
      <c r="AM1735" s="145" t="s">
        <v>400</v>
      </c>
    </row>
    <row r="1736" spans="1:39">
      <c r="A1736" s="143" t="s">
        <v>2796</v>
      </c>
      <c r="B1736" s="144">
        <v>100</v>
      </c>
      <c r="C1736" s="145">
        <v>83.322000000000003</v>
      </c>
      <c r="D1736" s="145">
        <v>3.1819999999999999</v>
      </c>
      <c r="E1736" s="145">
        <v>3.403</v>
      </c>
      <c r="F1736" s="145">
        <v>2.1120000000000001</v>
      </c>
      <c r="G1736" s="145">
        <v>0.99399999999999999</v>
      </c>
      <c r="H1736" s="145">
        <v>0.124</v>
      </c>
      <c r="I1736" s="145">
        <v>7.8E-2</v>
      </c>
      <c r="J1736" s="145">
        <v>4.5999999999999999E-2</v>
      </c>
      <c r="K1736" s="145">
        <v>12.047000000000001</v>
      </c>
      <c r="L1736" s="145">
        <v>10.38</v>
      </c>
      <c r="M1736" s="145">
        <v>0.80300000000000005</v>
      </c>
      <c r="N1736" s="145">
        <v>112.435</v>
      </c>
      <c r="O1736" s="145">
        <v>13.05</v>
      </c>
      <c r="P1736" s="145">
        <v>7.6999999999999999E-2</v>
      </c>
      <c r="Q1736" s="145">
        <v>101.392</v>
      </c>
      <c r="R1736" s="145">
        <v>0.24099999999999999</v>
      </c>
      <c r="S1736" s="145">
        <v>60.232999999999997</v>
      </c>
      <c r="T1736" s="145">
        <v>167.648</v>
      </c>
      <c r="U1736" s="145">
        <v>6.5000000000000002E-2</v>
      </c>
      <c r="V1736" s="145">
        <v>0.41199999999999998</v>
      </c>
      <c r="W1736" s="145">
        <v>26.100999999999999</v>
      </c>
      <c r="X1736" s="145">
        <v>3.6999999999999998E-2</v>
      </c>
      <c r="Y1736" s="145">
        <v>0.16300000000000001</v>
      </c>
      <c r="Z1736" s="146">
        <v>0.04</v>
      </c>
      <c r="AA1736" s="145">
        <v>0.125</v>
      </c>
      <c r="AB1736" s="145">
        <v>0.90300000000000002</v>
      </c>
      <c r="AC1736" s="145">
        <v>0.878</v>
      </c>
      <c r="AD1736" s="145">
        <v>0.33100000000000002</v>
      </c>
      <c r="AE1736" s="145">
        <v>5.0190000000000001</v>
      </c>
      <c r="AF1736" s="145">
        <v>1.004</v>
      </c>
      <c r="AG1736" s="145">
        <v>0.06</v>
      </c>
      <c r="AH1736" s="145">
        <v>0.121</v>
      </c>
      <c r="AI1736" s="145" t="s">
        <v>400</v>
      </c>
      <c r="AJ1736" s="145">
        <v>1.907</v>
      </c>
      <c r="AK1736" s="145">
        <v>26.518999999999998</v>
      </c>
      <c r="AL1736" s="145">
        <v>10.135999999999999</v>
      </c>
      <c r="AM1736" s="145">
        <v>5.0890000000000004</v>
      </c>
    </row>
    <row r="1737" spans="1:39">
      <c r="A1737" s="143" t="s">
        <v>2797</v>
      </c>
      <c r="B1737" s="144">
        <v>100</v>
      </c>
      <c r="C1737" s="145">
        <v>40.017000000000003</v>
      </c>
      <c r="D1737" s="145">
        <v>0.05</v>
      </c>
      <c r="E1737" s="145">
        <v>0.02</v>
      </c>
      <c r="F1737" s="145" t="s">
        <v>400</v>
      </c>
      <c r="G1737" s="145" t="s">
        <v>400</v>
      </c>
      <c r="H1737" s="145" t="s">
        <v>400</v>
      </c>
      <c r="I1737" s="145" t="s">
        <v>400</v>
      </c>
      <c r="J1737" s="145" t="s">
        <v>400</v>
      </c>
      <c r="K1737" s="145" t="s">
        <v>400</v>
      </c>
      <c r="L1737" s="145">
        <v>10.144</v>
      </c>
      <c r="M1737" s="145" t="s">
        <v>400</v>
      </c>
      <c r="N1737" s="145">
        <v>2.0009999999999999</v>
      </c>
      <c r="O1737" s="145">
        <v>1</v>
      </c>
      <c r="P1737" s="145">
        <v>2E-3</v>
      </c>
      <c r="Q1737" s="145" t="s">
        <v>400</v>
      </c>
      <c r="R1737" s="145">
        <v>0.11</v>
      </c>
      <c r="S1737" s="145">
        <v>9.0039999999999996</v>
      </c>
      <c r="T1737" s="145">
        <v>1</v>
      </c>
      <c r="U1737" s="145">
        <v>1E-3</v>
      </c>
      <c r="V1737" s="145">
        <v>0.04</v>
      </c>
      <c r="W1737" s="145" t="s">
        <v>400</v>
      </c>
      <c r="X1737" s="145" t="s">
        <v>400</v>
      </c>
      <c r="Y1737" s="145" t="s">
        <v>400</v>
      </c>
      <c r="Z1737" s="146" t="s">
        <v>400</v>
      </c>
      <c r="AA1737" s="145">
        <v>1.4999999999999999E-2</v>
      </c>
      <c r="AB1737" s="145" t="s">
        <v>400</v>
      </c>
      <c r="AC1737" s="145">
        <v>1.4999999999999999E-2</v>
      </c>
      <c r="AD1737" s="145" t="s">
        <v>400</v>
      </c>
      <c r="AE1737" s="145" t="s">
        <v>400</v>
      </c>
      <c r="AF1737" s="145" t="s">
        <v>400</v>
      </c>
      <c r="AG1737" s="145" t="s">
        <v>400</v>
      </c>
      <c r="AH1737" s="145" t="s">
        <v>400</v>
      </c>
      <c r="AI1737" s="146" t="s">
        <v>400</v>
      </c>
      <c r="AJ1737" s="145" t="s">
        <v>400</v>
      </c>
      <c r="AK1737" s="145" t="s">
        <v>400</v>
      </c>
      <c r="AL1737" s="145">
        <v>9.0739999999999998</v>
      </c>
      <c r="AM1737" s="145">
        <v>10.144</v>
      </c>
    </row>
    <row r="1738" spans="1:39">
      <c r="A1738" s="143" t="s">
        <v>2798</v>
      </c>
      <c r="B1738" s="144">
        <v>100</v>
      </c>
      <c r="C1738" s="145">
        <v>2.524</v>
      </c>
      <c r="D1738" s="145">
        <v>8.9999999999999993E-3</v>
      </c>
      <c r="E1738" s="145" t="s">
        <v>400</v>
      </c>
      <c r="F1738" s="145">
        <v>2E-3</v>
      </c>
      <c r="G1738" s="145">
        <v>1E-3</v>
      </c>
      <c r="H1738" s="145">
        <v>4.0000000000000001E-3</v>
      </c>
      <c r="I1738" s="145">
        <v>1E-3</v>
      </c>
      <c r="J1738" s="145">
        <v>3.0000000000000001E-3</v>
      </c>
      <c r="K1738" s="145" t="s">
        <v>400</v>
      </c>
      <c r="L1738" s="145">
        <v>0.67200000000000004</v>
      </c>
      <c r="M1738" s="145" t="s">
        <v>400</v>
      </c>
      <c r="N1738" s="145" t="s">
        <v>400</v>
      </c>
      <c r="O1738" s="145">
        <v>2.98</v>
      </c>
      <c r="P1738" s="145">
        <v>0.218</v>
      </c>
      <c r="Q1738" s="145">
        <v>0.99299999999999999</v>
      </c>
      <c r="R1738" s="145">
        <v>0.02</v>
      </c>
      <c r="S1738" s="145">
        <v>2.98</v>
      </c>
      <c r="T1738" s="145">
        <v>36.768000000000001</v>
      </c>
      <c r="U1738" s="145">
        <v>0.01</v>
      </c>
      <c r="V1738" s="145">
        <v>0.02</v>
      </c>
      <c r="W1738" s="145" t="s">
        <v>400</v>
      </c>
      <c r="X1738" s="145" t="s">
        <v>400</v>
      </c>
      <c r="Y1738" s="145">
        <v>1.4E-2</v>
      </c>
      <c r="Z1738" s="146" t="s">
        <v>400</v>
      </c>
      <c r="AA1738" s="145" t="s">
        <v>400</v>
      </c>
      <c r="AB1738" s="145" t="s">
        <v>400</v>
      </c>
      <c r="AC1738" s="145" t="s">
        <v>400</v>
      </c>
      <c r="AD1738" s="145" t="s">
        <v>400</v>
      </c>
      <c r="AE1738" s="145">
        <v>4.9660000000000002</v>
      </c>
      <c r="AF1738" s="145" t="s">
        <v>400</v>
      </c>
      <c r="AG1738" s="145" t="s">
        <v>400</v>
      </c>
      <c r="AH1738" s="145" t="s">
        <v>400</v>
      </c>
      <c r="AI1738" s="145" t="s">
        <v>400</v>
      </c>
      <c r="AJ1738" s="145">
        <v>2E-3</v>
      </c>
      <c r="AK1738" s="145" t="s">
        <v>400</v>
      </c>
      <c r="AL1738" s="145">
        <v>0.33900000000000002</v>
      </c>
      <c r="AM1738" s="145">
        <v>0.35899999999999999</v>
      </c>
    </row>
    <row r="1739" spans="1:39">
      <c r="A1739" s="143" t="s">
        <v>2799</v>
      </c>
      <c r="B1739" s="144">
        <v>100</v>
      </c>
      <c r="C1739" s="145">
        <v>39</v>
      </c>
      <c r="D1739" s="145" t="s">
        <v>400</v>
      </c>
      <c r="E1739" s="145" t="s">
        <v>400</v>
      </c>
      <c r="F1739" s="145" t="s">
        <v>400</v>
      </c>
      <c r="G1739" s="145" t="s">
        <v>400</v>
      </c>
      <c r="H1739" s="145" t="s">
        <v>400</v>
      </c>
      <c r="I1739" s="145" t="s">
        <v>400</v>
      </c>
      <c r="J1739" s="145" t="s">
        <v>400</v>
      </c>
      <c r="K1739" s="145" t="s">
        <v>400</v>
      </c>
      <c r="L1739" s="145">
        <v>10</v>
      </c>
      <c r="M1739" s="145" t="s">
        <v>400</v>
      </c>
      <c r="N1739" s="145">
        <v>1</v>
      </c>
      <c r="O1739" s="145" t="s">
        <v>400</v>
      </c>
      <c r="P1739" s="145" t="s">
        <v>400</v>
      </c>
      <c r="Q1739" s="145" t="s">
        <v>400</v>
      </c>
      <c r="R1739" s="145" t="s">
        <v>400</v>
      </c>
      <c r="S1739" s="145">
        <v>9</v>
      </c>
      <c r="T1739" s="145">
        <v>1</v>
      </c>
      <c r="U1739" s="145" t="s">
        <v>400</v>
      </c>
      <c r="V1739" s="145" t="s">
        <v>400</v>
      </c>
      <c r="W1739" s="145" t="s">
        <v>400</v>
      </c>
      <c r="X1739" s="145" t="s">
        <v>400</v>
      </c>
      <c r="Y1739" s="145" t="s">
        <v>400</v>
      </c>
      <c r="Z1739" s="146" t="s">
        <v>400</v>
      </c>
      <c r="AA1739" s="145" t="s">
        <v>400</v>
      </c>
      <c r="AB1739" s="145" t="s">
        <v>400</v>
      </c>
      <c r="AC1739" s="145" t="s">
        <v>400</v>
      </c>
      <c r="AD1739" s="145" t="s">
        <v>400</v>
      </c>
      <c r="AE1739" s="145" t="s">
        <v>400</v>
      </c>
      <c r="AF1739" s="145" t="s">
        <v>400</v>
      </c>
      <c r="AG1739" s="145" t="s">
        <v>400</v>
      </c>
      <c r="AH1739" s="145" t="s">
        <v>400</v>
      </c>
      <c r="AI1739" s="145" t="s">
        <v>400</v>
      </c>
      <c r="AJ1739" s="145" t="s">
        <v>400</v>
      </c>
      <c r="AK1739" s="145" t="s">
        <v>400</v>
      </c>
      <c r="AL1739" s="145">
        <v>10</v>
      </c>
      <c r="AM1739" s="145">
        <v>10</v>
      </c>
    </row>
    <row r="1740" spans="1:39">
      <c r="A1740" s="143" t="s">
        <v>2800</v>
      </c>
      <c r="B1740" s="144">
        <v>100</v>
      </c>
      <c r="C1740" s="145">
        <v>27.010999999999999</v>
      </c>
      <c r="D1740" s="145" t="s">
        <v>400</v>
      </c>
      <c r="E1740" s="145">
        <v>0.1</v>
      </c>
      <c r="F1740" s="145" t="s">
        <v>400</v>
      </c>
      <c r="G1740" s="145" t="s">
        <v>400</v>
      </c>
      <c r="H1740" s="145" t="s">
        <v>400</v>
      </c>
      <c r="I1740" s="145" t="s">
        <v>400</v>
      </c>
      <c r="J1740" s="145" t="s">
        <v>400</v>
      </c>
      <c r="K1740" s="145" t="s">
        <v>400</v>
      </c>
      <c r="L1740" s="145">
        <v>6.7629999999999999</v>
      </c>
      <c r="M1740" s="145" t="s">
        <v>400</v>
      </c>
      <c r="N1740" s="145">
        <v>1</v>
      </c>
      <c r="O1740" s="145">
        <v>2.0009999999999999</v>
      </c>
      <c r="P1740" s="145">
        <v>0.05</v>
      </c>
      <c r="Q1740" s="145">
        <v>7.0030000000000001</v>
      </c>
      <c r="R1740" s="145">
        <v>0.22</v>
      </c>
      <c r="S1740" s="145">
        <v>30.012</v>
      </c>
      <c r="T1740" s="145">
        <v>14.006</v>
      </c>
      <c r="U1740" s="145">
        <v>0.25</v>
      </c>
      <c r="V1740" s="145">
        <v>0.2</v>
      </c>
      <c r="W1740" s="145" t="s">
        <v>400</v>
      </c>
      <c r="X1740" s="145">
        <v>1.0999999999999999E-2</v>
      </c>
      <c r="Y1740" s="145">
        <v>1E-3</v>
      </c>
      <c r="Z1740" s="146">
        <v>6.0999999999999999E-2</v>
      </c>
      <c r="AA1740" s="145">
        <v>0.61599999999999999</v>
      </c>
      <c r="AB1740" s="145">
        <v>0.4</v>
      </c>
      <c r="AC1740" s="145">
        <v>0.61599999999999999</v>
      </c>
      <c r="AD1740" s="145">
        <v>0.45</v>
      </c>
      <c r="AE1740" s="145" t="s">
        <v>400</v>
      </c>
      <c r="AF1740" s="145" t="s">
        <v>400</v>
      </c>
      <c r="AG1740" s="145" t="s">
        <v>400</v>
      </c>
      <c r="AH1740" s="145" t="s">
        <v>400</v>
      </c>
      <c r="AI1740" s="154" t="s">
        <v>400</v>
      </c>
      <c r="AJ1740" s="145">
        <v>0.3</v>
      </c>
      <c r="AK1740" s="145" t="s">
        <v>400</v>
      </c>
      <c r="AL1740" s="145">
        <v>5.9020000000000001</v>
      </c>
      <c r="AM1740" s="145">
        <v>5.9029999999999996</v>
      </c>
    </row>
    <row r="1741" spans="1:39">
      <c r="A1741" s="143" t="s">
        <v>2801</v>
      </c>
      <c r="B1741" s="144">
        <v>100</v>
      </c>
      <c r="C1741" s="145">
        <v>45.347999999999999</v>
      </c>
      <c r="D1741" s="145">
        <v>0.252</v>
      </c>
      <c r="E1741" s="145">
        <v>8.1000000000000003E-2</v>
      </c>
      <c r="F1741" s="145" t="s">
        <v>400</v>
      </c>
      <c r="G1741" s="145" t="s">
        <v>400</v>
      </c>
      <c r="H1741" s="145" t="s">
        <v>400</v>
      </c>
      <c r="I1741" s="145" t="s">
        <v>400</v>
      </c>
      <c r="J1741" s="145" t="s">
        <v>400</v>
      </c>
      <c r="K1741" s="145" t="s">
        <v>400</v>
      </c>
      <c r="L1741" s="145">
        <v>11.025</v>
      </c>
      <c r="M1741" s="145" t="s">
        <v>400</v>
      </c>
      <c r="N1741" s="145">
        <v>13.1</v>
      </c>
      <c r="O1741" s="145">
        <v>3.0230000000000001</v>
      </c>
      <c r="P1741" s="145">
        <v>3.0000000000000001E-3</v>
      </c>
      <c r="Q1741" s="145" t="s">
        <v>400</v>
      </c>
      <c r="R1741" s="145">
        <v>0.02</v>
      </c>
      <c r="S1741" s="145">
        <v>84.649000000000001</v>
      </c>
      <c r="T1741" s="145">
        <v>3.0230000000000001</v>
      </c>
      <c r="U1741" s="145">
        <v>5.0000000000000001E-3</v>
      </c>
      <c r="V1741" s="145" t="s">
        <v>400</v>
      </c>
      <c r="W1741" s="145" t="s">
        <v>400</v>
      </c>
      <c r="X1741" s="145">
        <v>2.5000000000000001E-2</v>
      </c>
      <c r="Y1741" s="145">
        <v>0.57899999999999996</v>
      </c>
      <c r="Z1741" s="145">
        <v>1.9750000000000001</v>
      </c>
      <c r="AA1741" s="145">
        <v>8.5660000000000007</v>
      </c>
      <c r="AB1741" s="145" t="s">
        <v>400</v>
      </c>
      <c r="AC1741" s="145">
        <v>8.5660000000000007</v>
      </c>
      <c r="AD1741" s="145">
        <v>1.764</v>
      </c>
      <c r="AE1741" s="145" t="s">
        <v>400</v>
      </c>
      <c r="AF1741" s="145" t="s">
        <v>400</v>
      </c>
      <c r="AG1741" s="145" t="s">
        <v>400</v>
      </c>
      <c r="AH1741" s="145" t="s">
        <v>400</v>
      </c>
      <c r="AI1741" s="145" t="s">
        <v>400</v>
      </c>
      <c r="AJ1741" s="145">
        <v>0.20200000000000001</v>
      </c>
      <c r="AK1741" s="145" t="s">
        <v>400</v>
      </c>
      <c r="AL1741" s="145">
        <v>10.138</v>
      </c>
      <c r="AM1741" s="145">
        <v>10.145</v>
      </c>
    </row>
    <row r="1742" spans="1:39">
      <c r="A1742" s="143" t="s">
        <v>2802</v>
      </c>
      <c r="B1742" s="144">
        <v>100</v>
      </c>
      <c r="C1742" s="145">
        <v>1.0009999999999999</v>
      </c>
      <c r="D1742" s="145" t="s">
        <v>400</v>
      </c>
      <c r="E1742" s="145" t="s">
        <v>400</v>
      </c>
      <c r="F1742" s="145">
        <v>2E-3</v>
      </c>
      <c r="G1742" s="145">
        <v>1E-3</v>
      </c>
      <c r="H1742" s="145">
        <v>4.0000000000000001E-3</v>
      </c>
      <c r="I1742" s="145">
        <v>1E-3</v>
      </c>
      <c r="J1742" s="145">
        <v>3.0000000000000001E-3</v>
      </c>
      <c r="K1742" s="145" t="s">
        <v>400</v>
      </c>
      <c r="L1742" s="145">
        <v>0.3</v>
      </c>
      <c r="M1742" s="145" t="s">
        <v>400</v>
      </c>
      <c r="N1742" s="145" t="s">
        <v>400</v>
      </c>
      <c r="O1742" s="145">
        <v>3.0030000000000001</v>
      </c>
      <c r="P1742" s="145">
        <v>0.219</v>
      </c>
      <c r="Q1742" s="145">
        <v>1.0009999999999999</v>
      </c>
      <c r="R1742" s="145">
        <v>0.02</v>
      </c>
      <c r="S1742" s="145">
        <v>3.0030000000000001</v>
      </c>
      <c r="T1742" s="145">
        <v>37.033999999999999</v>
      </c>
      <c r="U1742" s="145">
        <v>0.01</v>
      </c>
      <c r="V1742" s="145">
        <v>0.02</v>
      </c>
      <c r="W1742" s="145" t="s">
        <v>400</v>
      </c>
      <c r="X1742" s="145" t="s">
        <v>400</v>
      </c>
      <c r="Y1742" s="145">
        <v>1.4E-2</v>
      </c>
      <c r="Z1742" s="145" t="s">
        <v>400</v>
      </c>
      <c r="AA1742" s="145" t="s">
        <v>400</v>
      </c>
      <c r="AB1742" s="145" t="s">
        <v>400</v>
      </c>
      <c r="AC1742" s="145" t="s">
        <v>400</v>
      </c>
      <c r="AD1742" s="145" t="s">
        <v>400</v>
      </c>
      <c r="AE1742" s="145">
        <v>5.0049999999999999</v>
      </c>
      <c r="AF1742" s="145" t="s">
        <v>400</v>
      </c>
      <c r="AG1742" s="145" t="s">
        <v>400</v>
      </c>
      <c r="AH1742" s="145" t="s">
        <v>400</v>
      </c>
      <c r="AI1742" s="145" t="s">
        <v>400</v>
      </c>
      <c r="AJ1742" s="145" t="s">
        <v>400</v>
      </c>
      <c r="AK1742" s="145" t="s">
        <v>400</v>
      </c>
      <c r="AL1742" s="145" t="s">
        <v>400</v>
      </c>
      <c r="AM1742" s="145" t="s">
        <v>400</v>
      </c>
    </row>
    <row r="1743" spans="1:39">
      <c r="A1743" s="143" t="s">
        <v>2803</v>
      </c>
      <c r="B1743" s="144">
        <v>100</v>
      </c>
      <c r="C1743" s="145">
        <v>27.707000000000001</v>
      </c>
      <c r="D1743" s="145">
        <v>0.255</v>
      </c>
      <c r="E1743" s="145">
        <v>0.84299999999999997</v>
      </c>
      <c r="F1743" s="145">
        <v>0.78800000000000003</v>
      </c>
      <c r="G1743" s="145">
        <v>3.0000000000000001E-3</v>
      </c>
      <c r="H1743" s="145">
        <v>1E-3</v>
      </c>
      <c r="I1743" s="145">
        <v>1E-3</v>
      </c>
      <c r="J1743" s="145" t="s">
        <v>400</v>
      </c>
      <c r="K1743" s="145" t="s">
        <v>400</v>
      </c>
      <c r="L1743" s="145">
        <v>5.1660000000000004</v>
      </c>
      <c r="M1743" s="145">
        <v>0.13</v>
      </c>
      <c r="N1743" s="145">
        <v>4.0510000000000002</v>
      </c>
      <c r="O1743" s="145">
        <v>3.1150000000000002</v>
      </c>
      <c r="P1743" s="145">
        <v>1.0999999999999999E-2</v>
      </c>
      <c r="Q1743" s="145">
        <v>1.9570000000000001</v>
      </c>
      <c r="R1743" s="145">
        <v>0.03</v>
      </c>
      <c r="S1743" s="145">
        <v>50.095999999999997</v>
      </c>
      <c r="T1743" s="145">
        <v>22.940999999999999</v>
      </c>
      <c r="U1743" s="145">
        <v>1.0999999999999999E-2</v>
      </c>
      <c r="V1743" s="145">
        <v>1.6E-2</v>
      </c>
      <c r="W1743" s="145" t="s">
        <v>400</v>
      </c>
      <c r="X1743" s="145">
        <v>1E-3</v>
      </c>
      <c r="Y1743" s="145">
        <v>1E-3</v>
      </c>
      <c r="Z1743" s="146" t="s">
        <v>400</v>
      </c>
      <c r="AA1743" s="145">
        <v>0.182</v>
      </c>
      <c r="AB1743" s="145" t="s">
        <v>400</v>
      </c>
      <c r="AC1743" s="145">
        <v>0.221</v>
      </c>
      <c r="AD1743" s="145" t="s">
        <v>400</v>
      </c>
      <c r="AE1743" s="145" t="s">
        <v>400</v>
      </c>
      <c r="AF1743" s="145" t="s">
        <v>400</v>
      </c>
      <c r="AG1743" s="145">
        <v>1.6E-2</v>
      </c>
      <c r="AH1743" s="145">
        <v>2E-3</v>
      </c>
      <c r="AI1743" s="145" t="s">
        <v>400</v>
      </c>
      <c r="AJ1743" s="145">
        <v>0.111</v>
      </c>
      <c r="AK1743" s="145" t="s">
        <v>400</v>
      </c>
      <c r="AL1743" s="145">
        <v>4.3520000000000003</v>
      </c>
      <c r="AM1743" s="145">
        <v>4.67</v>
      </c>
    </row>
    <row r="1744" spans="1:39">
      <c r="A1744" s="143" t="s">
        <v>2804</v>
      </c>
      <c r="B1744" s="144">
        <v>100</v>
      </c>
      <c r="C1744" s="145" t="s">
        <v>400</v>
      </c>
      <c r="D1744" s="145" t="s">
        <v>400</v>
      </c>
      <c r="E1744" s="145" t="s">
        <v>400</v>
      </c>
      <c r="F1744" s="145" t="s">
        <v>400</v>
      </c>
      <c r="G1744" s="145" t="s">
        <v>400</v>
      </c>
      <c r="H1744" s="145" t="s">
        <v>400</v>
      </c>
      <c r="I1744" s="145" t="s">
        <v>400</v>
      </c>
      <c r="J1744" s="145" t="s">
        <v>400</v>
      </c>
      <c r="K1744" s="145" t="s">
        <v>400</v>
      </c>
      <c r="L1744" s="145" t="s">
        <v>400</v>
      </c>
      <c r="M1744" s="145" t="s">
        <v>400</v>
      </c>
      <c r="N1744" s="145" t="s">
        <v>400</v>
      </c>
      <c r="O1744" s="145" t="s">
        <v>400</v>
      </c>
      <c r="P1744" s="145" t="s">
        <v>400</v>
      </c>
      <c r="Q1744" s="145" t="s">
        <v>400</v>
      </c>
      <c r="R1744" s="145" t="s">
        <v>400</v>
      </c>
      <c r="S1744" s="145">
        <v>15</v>
      </c>
      <c r="T1744" s="145" t="s">
        <v>400</v>
      </c>
      <c r="U1744" s="145" t="s">
        <v>400</v>
      </c>
      <c r="V1744" s="145" t="s">
        <v>400</v>
      </c>
      <c r="W1744" s="145" t="s">
        <v>400</v>
      </c>
      <c r="X1744" s="145" t="s">
        <v>400</v>
      </c>
      <c r="Y1744" s="145" t="s">
        <v>400</v>
      </c>
      <c r="Z1744" s="146" t="s">
        <v>400</v>
      </c>
      <c r="AA1744" s="145" t="s">
        <v>400</v>
      </c>
      <c r="AB1744" s="145" t="s">
        <v>400</v>
      </c>
      <c r="AC1744" s="145" t="s">
        <v>400</v>
      </c>
      <c r="AD1744" s="145" t="s">
        <v>400</v>
      </c>
      <c r="AE1744" s="145" t="s">
        <v>400</v>
      </c>
      <c r="AF1744" s="145" t="s">
        <v>400</v>
      </c>
      <c r="AG1744" s="145" t="s">
        <v>400</v>
      </c>
      <c r="AH1744" s="145" t="s">
        <v>400</v>
      </c>
      <c r="AI1744" s="145" t="s">
        <v>400</v>
      </c>
      <c r="AJ1744" s="145" t="s">
        <v>400</v>
      </c>
      <c r="AK1744" s="145" t="s">
        <v>400</v>
      </c>
      <c r="AL1744" s="145" t="s">
        <v>400</v>
      </c>
      <c r="AM1744" s="145" t="s">
        <v>400</v>
      </c>
    </row>
    <row r="1745" spans="1:39">
      <c r="A1745" s="143" t="s">
        <v>2805</v>
      </c>
      <c r="B1745" s="144">
        <v>100</v>
      </c>
      <c r="C1745" s="145" t="s">
        <v>400</v>
      </c>
      <c r="D1745" s="145" t="s">
        <v>400</v>
      </c>
      <c r="E1745" s="145" t="s">
        <v>400</v>
      </c>
      <c r="F1745" s="145" t="s">
        <v>400</v>
      </c>
      <c r="G1745" s="145" t="s">
        <v>400</v>
      </c>
      <c r="H1745" s="145" t="s">
        <v>400</v>
      </c>
      <c r="I1745" s="145" t="s">
        <v>400</v>
      </c>
      <c r="J1745" s="145" t="s">
        <v>400</v>
      </c>
      <c r="K1745" s="145" t="s">
        <v>400</v>
      </c>
      <c r="L1745" s="145" t="s">
        <v>400</v>
      </c>
      <c r="M1745" s="145" t="s">
        <v>400</v>
      </c>
      <c r="N1745" s="145" t="s">
        <v>400</v>
      </c>
      <c r="O1745" s="145" t="s">
        <v>400</v>
      </c>
      <c r="P1745" s="145" t="s">
        <v>400</v>
      </c>
      <c r="Q1745" s="145" t="s">
        <v>400</v>
      </c>
      <c r="R1745" s="145" t="s">
        <v>400</v>
      </c>
      <c r="S1745" s="145">
        <v>15</v>
      </c>
      <c r="T1745" s="145" t="s">
        <v>400</v>
      </c>
      <c r="U1745" s="145" t="s">
        <v>400</v>
      </c>
      <c r="V1745" s="145" t="s">
        <v>400</v>
      </c>
      <c r="W1745" s="145" t="s">
        <v>400</v>
      </c>
      <c r="X1745" s="145" t="s">
        <v>400</v>
      </c>
      <c r="Y1745" s="145" t="s">
        <v>400</v>
      </c>
      <c r="Z1745" s="146" t="s">
        <v>400</v>
      </c>
      <c r="AA1745" s="145" t="s">
        <v>400</v>
      </c>
      <c r="AB1745" s="145" t="s">
        <v>400</v>
      </c>
      <c r="AC1745" s="145" t="s">
        <v>400</v>
      </c>
      <c r="AD1745" s="145" t="s">
        <v>400</v>
      </c>
      <c r="AE1745" s="145" t="s">
        <v>400</v>
      </c>
      <c r="AF1745" s="145" t="s">
        <v>400</v>
      </c>
      <c r="AG1745" s="145" t="s">
        <v>400</v>
      </c>
      <c r="AH1745" s="145" t="s">
        <v>400</v>
      </c>
      <c r="AI1745" s="145" t="s">
        <v>400</v>
      </c>
      <c r="AJ1745" s="145" t="s">
        <v>400</v>
      </c>
      <c r="AK1745" s="145" t="s">
        <v>400</v>
      </c>
      <c r="AL1745" s="145" t="s">
        <v>400</v>
      </c>
      <c r="AM1745" s="145" t="s">
        <v>400</v>
      </c>
    </row>
    <row r="1746" spans="1:39">
      <c r="A1746" s="143" t="s">
        <v>2806</v>
      </c>
      <c r="B1746" s="144">
        <v>100</v>
      </c>
      <c r="C1746" s="145" t="s">
        <v>400</v>
      </c>
      <c r="D1746" s="145">
        <v>0.1</v>
      </c>
      <c r="E1746" s="145" t="s">
        <v>400</v>
      </c>
      <c r="F1746" s="145" t="s">
        <v>400</v>
      </c>
      <c r="G1746" s="145" t="s">
        <v>400</v>
      </c>
      <c r="H1746" s="145" t="s">
        <v>400</v>
      </c>
      <c r="I1746" s="145" t="s">
        <v>400</v>
      </c>
      <c r="J1746" s="145" t="s">
        <v>400</v>
      </c>
      <c r="K1746" s="145" t="s">
        <v>400</v>
      </c>
      <c r="L1746" s="145" t="s">
        <v>400</v>
      </c>
      <c r="M1746" s="145" t="s">
        <v>400</v>
      </c>
      <c r="N1746" s="145">
        <v>4.0039999999999996</v>
      </c>
      <c r="O1746" s="145">
        <v>1.0009999999999999</v>
      </c>
      <c r="P1746" s="145">
        <v>1.7000000000000001E-2</v>
      </c>
      <c r="Q1746" s="145" t="s">
        <v>400</v>
      </c>
      <c r="R1746" s="145">
        <v>0.04</v>
      </c>
      <c r="S1746" s="145">
        <v>6.0060000000000002</v>
      </c>
      <c r="T1746" s="145">
        <v>2.0019999999999998</v>
      </c>
      <c r="U1746" s="145">
        <v>2.5000000000000001E-2</v>
      </c>
      <c r="V1746" s="145" t="s">
        <v>400</v>
      </c>
      <c r="W1746" s="145" t="s">
        <v>400</v>
      </c>
      <c r="X1746" s="145" t="s">
        <v>400</v>
      </c>
      <c r="Y1746" s="145" t="s">
        <v>400</v>
      </c>
      <c r="Z1746" s="146" t="s">
        <v>400</v>
      </c>
      <c r="AA1746" s="145" t="s">
        <v>400</v>
      </c>
      <c r="AB1746" s="145" t="s">
        <v>400</v>
      </c>
      <c r="AC1746" s="145" t="s">
        <v>400</v>
      </c>
      <c r="AD1746" s="145" t="s">
        <v>400</v>
      </c>
      <c r="AE1746" s="145" t="s">
        <v>400</v>
      </c>
      <c r="AF1746" s="145" t="s">
        <v>400</v>
      </c>
      <c r="AG1746" s="145" t="s">
        <v>400</v>
      </c>
      <c r="AH1746" s="145" t="s">
        <v>400</v>
      </c>
      <c r="AI1746" s="145" t="s">
        <v>400</v>
      </c>
      <c r="AJ1746" s="145" t="s">
        <v>400</v>
      </c>
      <c r="AK1746" s="145" t="s">
        <v>400</v>
      </c>
      <c r="AL1746" s="145" t="s">
        <v>400</v>
      </c>
      <c r="AM1746" s="145" t="s">
        <v>400</v>
      </c>
    </row>
    <row r="1747" spans="1:39">
      <c r="A1747" s="143" t="s">
        <v>2807</v>
      </c>
      <c r="B1747" s="144">
        <v>100</v>
      </c>
      <c r="C1747" s="145" t="s">
        <v>400</v>
      </c>
      <c r="D1747" s="145">
        <v>0.1</v>
      </c>
      <c r="E1747" s="145" t="s">
        <v>400</v>
      </c>
      <c r="F1747" s="145" t="s">
        <v>400</v>
      </c>
      <c r="G1747" s="145" t="s">
        <v>400</v>
      </c>
      <c r="H1747" s="145" t="s">
        <v>400</v>
      </c>
      <c r="I1747" s="145" t="s">
        <v>400</v>
      </c>
      <c r="J1747" s="145" t="s">
        <v>400</v>
      </c>
      <c r="K1747" s="145" t="s">
        <v>400</v>
      </c>
      <c r="L1747" s="145" t="s">
        <v>400</v>
      </c>
      <c r="M1747" s="145" t="s">
        <v>400</v>
      </c>
      <c r="N1747" s="145">
        <v>4.0039999999999996</v>
      </c>
      <c r="O1747" s="145">
        <v>1.0009999999999999</v>
      </c>
      <c r="P1747" s="145">
        <v>1.7000000000000001E-2</v>
      </c>
      <c r="Q1747" s="145" t="s">
        <v>400</v>
      </c>
      <c r="R1747" s="145">
        <v>0.04</v>
      </c>
      <c r="S1747" s="145">
        <v>6.0060000000000002</v>
      </c>
      <c r="T1747" s="145">
        <v>2.0019999999999998</v>
      </c>
      <c r="U1747" s="145">
        <v>2.5000000000000001E-2</v>
      </c>
      <c r="V1747" s="145" t="s">
        <v>400</v>
      </c>
      <c r="W1747" s="145" t="s">
        <v>400</v>
      </c>
      <c r="X1747" s="145" t="s">
        <v>400</v>
      </c>
      <c r="Y1747" s="145" t="s">
        <v>400</v>
      </c>
      <c r="Z1747" s="146" t="s">
        <v>400</v>
      </c>
      <c r="AA1747" s="145" t="s">
        <v>400</v>
      </c>
      <c r="AB1747" s="145" t="s">
        <v>400</v>
      </c>
      <c r="AC1747" s="145" t="s">
        <v>400</v>
      </c>
      <c r="AD1747" s="145" t="s">
        <v>400</v>
      </c>
      <c r="AE1747" s="145" t="s">
        <v>400</v>
      </c>
      <c r="AF1747" s="145" t="s">
        <v>400</v>
      </c>
      <c r="AG1747" s="145" t="s">
        <v>400</v>
      </c>
      <c r="AH1747" s="145" t="s">
        <v>400</v>
      </c>
      <c r="AI1747" s="145" t="s">
        <v>400</v>
      </c>
      <c r="AJ1747" s="145" t="s">
        <v>400</v>
      </c>
      <c r="AK1747" s="145" t="s">
        <v>400</v>
      </c>
      <c r="AL1747" s="145" t="s">
        <v>400</v>
      </c>
      <c r="AM1747" s="145" t="s">
        <v>400</v>
      </c>
    </row>
    <row r="1748" spans="1:39">
      <c r="A1748" s="143" t="s">
        <v>2808</v>
      </c>
      <c r="B1748" s="144">
        <v>100</v>
      </c>
      <c r="C1748" s="145">
        <v>2.8029999999999999</v>
      </c>
      <c r="D1748" s="145">
        <v>0.25</v>
      </c>
      <c r="E1748" s="145" t="s">
        <v>400</v>
      </c>
      <c r="F1748" s="145" t="s">
        <v>400</v>
      </c>
      <c r="G1748" s="145" t="s">
        <v>400</v>
      </c>
      <c r="H1748" s="145" t="s">
        <v>400</v>
      </c>
      <c r="I1748" s="145" t="s">
        <v>400</v>
      </c>
      <c r="J1748" s="145" t="s">
        <v>400</v>
      </c>
      <c r="K1748" s="145" t="s">
        <v>400</v>
      </c>
      <c r="L1748" s="145">
        <v>2.3119999999999998</v>
      </c>
      <c r="M1748" s="145">
        <v>1.8620000000000001</v>
      </c>
      <c r="N1748" s="145">
        <v>4.7039999999999997</v>
      </c>
      <c r="O1748" s="145">
        <v>1.125</v>
      </c>
      <c r="P1748" s="145">
        <v>38.335000000000001</v>
      </c>
      <c r="Q1748" s="145">
        <v>0.88100000000000001</v>
      </c>
      <c r="R1748" s="145">
        <v>0.15</v>
      </c>
      <c r="S1748" s="145">
        <v>0.26900000000000002</v>
      </c>
      <c r="T1748" s="145">
        <v>11.01</v>
      </c>
      <c r="U1748" s="145">
        <v>0.3</v>
      </c>
      <c r="V1748" s="145">
        <v>1.3009999999999999</v>
      </c>
      <c r="W1748" s="145" t="s">
        <v>400</v>
      </c>
      <c r="X1748" s="145">
        <v>2.8000000000000001E-2</v>
      </c>
      <c r="Y1748" s="145">
        <v>1.4E-2</v>
      </c>
      <c r="Z1748" s="146">
        <v>1.7999999999999999E-2</v>
      </c>
      <c r="AA1748" s="145">
        <v>2.4E-2</v>
      </c>
      <c r="AB1748" s="145">
        <v>0.16</v>
      </c>
      <c r="AC1748" s="145">
        <v>7.3999999999999996E-2</v>
      </c>
      <c r="AD1748" s="145" t="s">
        <v>400</v>
      </c>
      <c r="AE1748" s="145">
        <v>1.0009999999999999</v>
      </c>
      <c r="AF1748" s="145" t="s">
        <v>400</v>
      </c>
      <c r="AG1748" s="145" t="s">
        <v>400</v>
      </c>
      <c r="AH1748" s="145" t="s">
        <v>400</v>
      </c>
      <c r="AI1748" s="145" t="s">
        <v>400</v>
      </c>
      <c r="AJ1748" s="145">
        <v>7.3999999999999996E-2</v>
      </c>
      <c r="AK1748" s="145" t="s">
        <v>400</v>
      </c>
      <c r="AL1748" s="145">
        <v>6.4000000000000001E-2</v>
      </c>
      <c r="AM1748" s="145" t="s">
        <v>400</v>
      </c>
    </row>
    <row r="1749" spans="1:39">
      <c r="A1749" s="143" t="s">
        <v>2809</v>
      </c>
      <c r="B1749" s="144">
        <v>100</v>
      </c>
      <c r="C1749" s="145">
        <v>40.017000000000003</v>
      </c>
      <c r="D1749" s="145">
        <v>0.05</v>
      </c>
      <c r="E1749" s="145">
        <v>0.02</v>
      </c>
      <c r="F1749" s="145" t="s">
        <v>400</v>
      </c>
      <c r="G1749" s="145" t="s">
        <v>400</v>
      </c>
      <c r="H1749" s="145" t="s">
        <v>400</v>
      </c>
      <c r="I1749" s="145" t="s">
        <v>400</v>
      </c>
      <c r="J1749" s="145" t="s">
        <v>400</v>
      </c>
      <c r="K1749" s="145" t="s">
        <v>400</v>
      </c>
      <c r="L1749" s="145">
        <v>10.144</v>
      </c>
      <c r="M1749" s="145" t="s">
        <v>400</v>
      </c>
      <c r="N1749" s="145">
        <v>2.0009999999999999</v>
      </c>
      <c r="O1749" s="145">
        <v>1</v>
      </c>
      <c r="P1749" s="145">
        <v>2E-3</v>
      </c>
      <c r="Q1749" s="145" t="s">
        <v>400</v>
      </c>
      <c r="R1749" s="145">
        <v>0.11</v>
      </c>
      <c r="S1749" s="145">
        <v>9.0039999999999996</v>
      </c>
      <c r="T1749" s="145">
        <v>1</v>
      </c>
      <c r="U1749" s="145">
        <v>1E-3</v>
      </c>
      <c r="V1749" s="145">
        <v>0.04</v>
      </c>
      <c r="W1749" s="145" t="s">
        <v>400</v>
      </c>
      <c r="X1749" s="145" t="s">
        <v>400</v>
      </c>
      <c r="Y1749" s="145" t="s">
        <v>400</v>
      </c>
      <c r="Z1749" s="146" t="s">
        <v>400</v>
      </c>
      <c r="AA1749" s="145">
        <v>1.4999999999999999E-2</v>
      </c>
      <c r="AB1749" s="145" t="s">
        <v>400</v>
      </c>
      <c r="AC1749" s="145">
        <v>1.4999999999999999E-2</v>
      </c>
      <c r="AD1749" s="145" t="s">
        <v>400</v>
      </c>
      <c r="AE1749" s="145" t="s">
        <v>400</v>
      </c>
      <c r="AF1749" s="145" t="s">
        <v>400</v>
      </c>
      <c r="AG1749" s="145" t="s">
        <v>400</v>
      </c>
      <c r="AH1749" s="145" t="s">
        <v>400</v>
      </c>
      <c r="AI1749" s="146" t="s">
        <v>400</v>
      </c>
      <c r="AJ1749" s="145" t="s">
        <v>400</v>
      </c>
      <c r="AK1749" s="145" t="s">
        <v>400</v>
      </c>
      <c r="AL1749" s="145">
        <v>9.0739999999999998</v>
      </c>
      <c r="AM1749" s="145">
        <v>10.144</v>
      </c>
    </row>
    <row r="1750" spans="1:39">
      <c r="A1750" s="143" t="s">
        <v>2810</v>
      </c>
      <c r="B1750" s="144">
        <v>100</v>
      </c>
      <c r="C1750" s="145">
        <v>2.0019999999999998</v>
      </c>
      <c r="D1750" s="145">
        <v>0.11</v>
      </c>
      <c r="E1750" s="145">
        <v>0.03</v>
      </c>
      <c r="F1750" s="145" t="s">
        <v>400</v>
      </c>
      <c r="G1750" s="145" t="s">
        <v>400</v>
      </c>
      <c r="H1750" s="145" t="s">
        <v>400</v>
      </c>
      <c r="I1750" s="145" t="s">
        <v>400</v>
      </c>
      <c r="J1750" s="145" t="s">
        <v>400</v>
      </c>
      <c r="K1750" s="145" t="s">
        <v>400</v>
      </c>
      <c r="L1750" s="145">
        <v>0.28999999999999998</v>
      </c>
      <c r="M1750" s="145" t="s">
        <v>400</v>
      </c>
      <c r="N1750" s="145">
        <v>3.0030000000000001</v>
      </c>
      <c r="O1750" s="145">
        <v>1.0009999999999999</v>
      </c>
      <c r="P1750" s="145">
        <v>0.107</v>
      </c>
      <c r="Q1750" s="145">
        <v>9.0079999999999991</v>
      </c>
      <c r="R1750" s="145">
        <v>0.11</v>
      </c>
      <c r="S1750" s="145">
        <v>8.0069999999999997</v>
      </c>
      <c r="T1750" s="145">
        <v>8.0069999999999997</v>
      </c>
      <c r="U1750" s="145">
        <v>2E-3</v>
      </c>
      <c r="V1750" s="145">
        <v>0.01</v>
      </c>
      <c r="W1750" s="145" t="s">
        <v>400</v>
      </c>
      <c r="X1750" s="145">
        <v>5.0000000000000001E-3</v>
      </c>
      <c r="Y1750" s="145">
        <v>2.3E-2</v>
      </c>
      <c r="Z1750" s="146" t="s">
        <v>400</v>
      </c>
      <c r="AA1750" s="145" t="s">
        <v>400</v>
      </c>
      <c r="AB1750" s="145" t="s">
        <v>400</v>
      </c>
      <c r="AC1750" s="145" t="s">
        <v>400</v>
      </c>
      <c r="AD1750" s="145" t="s">
        <v>400</v>
      </c>
      <c r="AE1750" s="145" t="s">
        <v>400</v>
      </c>
      <c r="AF1750" s="145" t="s">
        <v>400</v>
      </c>
      <c r="AG1750" s="145" t="s">
        <v>400</v>
      </c>
      <c r="AH1750" s="145" t="s">
        <v>400</v>
      </c>
      <c r="AI1750" s="145" t="s">
        <v>400</v>
      </c>
      <c r="AJ1750" s="145" t="s">
        <v>400</v>
      </c>
      <c r="AK1750" s="145" t="s">
        <v>400</v>
      </c>
      <c r="AL1750" s="145" t="s">
        <v>400</v>
      </c>
      <c r="AM1750" s="145" t="s">
        <v>400</v>
      </c>
    </row>
    <row r="1751" spans="1:39">
      <c r="A1751" s="143" t="s">
        <v>2811</v>
      </c>
      <c r="B1751" s="144">
        <v>100</v>
      </c>
      <c r="C1751" s="145">
        <v>15.28</v>
      </c>
      <c r="D1751" s="145" t="s">
        <v>400</v>
      </c>
      <c r="E1751" s="145">
        <v>4.0000000000000001E-3</v>
      </c>
      <c r="F1751" s="145">
        <v>2E-3</v>
      </c>
      <c r="G1751" s="145" t="s">
        <v>400</v>
      </c>
      <c r="H1751" s="145" t="s">
        <v>400</v>
      </c>
      <c r="I1751" s="145" t="s">
        <v>400</v>
      </c>
      <c r="J1751" s="145" t="s">
        <v>400</v>
      </c>
      <c r="K1751" s="145" t="s">
        <v>400</v>
      </c>
      <c r="L1751" s="145">
        <v>3.9079999999999999</v>
      </c>
      <c r="M1751" s="145" t="s">
        <v>400</v>
      </c>
      <c r="N1751" s="145">
        <v>5.68</v>
      </c>
      <c r="O1751" s="145" t="s">
        <v>400</v>
      </c>
      <c r="P1751" s="145">
        <v>1E-3</v>
      </c>
      <c r="Q1751" s="145" t="s">
        <v>400</v>
      </c>
      <c r="R1751" s="145">
        <v>0.02</v>
      </c>
      <c r="S1751" s="145">
        <v>1.68</v>
      </c>
      <c r="T1751" s="145">
        <v>0.2</v>
      </c>
      <c r="U1751" s="145">
        <v>5.0000000000000001E-3</v>
      </c>
      <c r="V1751" s="145">
        <v>4.0000000000000001E-3</v>
      </c>
      <c r="W1751" s="145" t="s">
        <v>400</v>
      </c>
      <c r="X1751" s="145" t="s">
        <v>400</v>
      </c>
      <c r="Y1751" s="145">
        <v>1E-3</v>
      </c>
      <c r="Z1751" s="146" t="s">
        <v>400</v>
      </c>
      <c r="AA1751" s="145">
        <v>1E-3</v>
      </c>
      <c r="AB1751" s="145">
        <v>1.4119999999999999</v>
      </c>
      <c r="AC1751" s="145">
        <v>1E-3</v>
      </c>
      <c r="AD1751" s="145" t="s">
        <v>400</v>
      </c>
      <c r="AE1751" s="145" t="s">
        <v>400</v>
      </c>
      <c r="AF1751" s="145" t="s">
        <v>400</v>
      </c>
      <c r="AG1751" s="145" t="s">
        <v>400</v>
      </c>
      <c r="AH1751" s="145" t="s">
        <v>400</v>
      </c>
      <c r="AI1751" s="145" t="s">
        <v>400</v>
      </c>
      <c r="AJ1751" s="145">
        <v>2.8000000000000001E-2</v>
      </c>
      <c r="AK1751" s="145" t="s">
        <v>400</v>
      </c>
      <c r="AL1751" s="145">
        <v>3.8079999999999998</v>
      </c>
      <c r="AM1751" s="145">
        <v>3.81</v>
      </c>
    </row>
    <row r="1752" spans="1:39">
      <c r="A1752" s="143" t="s">
        <v>2812</v>
      </c>
      <c r="B1752" s="144">
        <v>100</v>
      </c>
      <c r="C1752" s="145">
        <v>15.28</v>
      </c>
      <c r="D1752" s="145" t="s">
        <v>400</v>
      </c>
      <c r="E1752" s="145">
        <v>4.0000000000000001E-3</v>
      </c>
      <c r="F1752" s="145">
        <v>2E-3</v>
      </c>
      <c r="G1752" s="145" t="s">
        <v>400</v>
      </c>
      <c r="H1752" s="145" t="s">
        <v>400</v>
      </c>
      <c r="I1752" s="145" t="s">
        <v>400</v>
      </c>
      <c r="J1752" s="145" t="s">
        <v>400</v>
      </c>
      <c r="K1752" s="145" t="s">
        <v>400</v>
      </c>
      <c r="L1752" s="145">
        <v>3.9079999999999999</v>
      </c>
      <c r="M1752" s="145" t="s">
        <v>400</v>
      </c>
      <c r="N1752" s="145">
        <v>5.68</v>
      </c>
      <c r="O1752" s="145" t="s">
        <v>400</v>
      </c>
      <c r="P1752" s="145">
        <v>1E-3</v>
      </c>
      <c r="Q1752" s="145" t="s">
        <v>400</v>
      </c>
      <c r="R1752" s="145">
        <v>0.02</v>
      </c>
      <c r="S1752" s="145">
        <v>1.68</v>
      </c>
      <c r="T1752" s="145">
        <v>0.2</v>
      </c>
      <c r="U1752" s="145">
        <v>5.0000000000000001E-3</v>
      </c>
      <c r="V1752" s="145">
        <v>4.0000000000000001E-3</v>
      </c>
      <c r="W1752" s="145" t="s">
        <v>400</v>
      </c>
      <c r="X1752" s="145" t="s">
        <v>400</v>
      </c>
      <c r="Y1752" s="145">
        <v>1E-3</v>
      </c>
      <c r="Z1752" s="146" t="s">
        <v>400</v>
      </c>
      <c r="AA1752" s="145">
        <v>1E-3</v>
      </c>
      <c r="AB1752" s="145">
        <v>1.4119999999999999</v>
      </c>
      <c r="AC1752" s="145">
        <v>1E-3</v>
      </c>
      <c r="AD1752" s="145" t="s">
        <v>400</v>
      </c>
      <c r="AE1752" s="145" t="s">
        <v>400</v>
      </c>
      <c r="AF1752" s="145" t="s">
        <v>400</v>
      </c>
      <c r="AG1752" s="145" t="s">
        <v>400</v>
      </c>
      <c r="AH1752" s="145" t="s">
        <v>400</v>
      </c>
      <c r="AI1752" s="145" t="s">
        <v>400</v>
      </c>
      <c r="AJ1752" s="145">
        <v>2.8000000000000001E-2</v>
      </c>
      <c r="AK1752" s="145" t="s">
        <v>400</v>
      </c>
      <c r="AL1752" s="145">
        <v>3.8079999999999998</v>
      </c>
      <c r="AM1752" s="145">
        <v>3.81</v>
      </c>
    </row>
    <row r="1753" spans="1:39">
      <c r="A1753" s="143" t="s">
        <v>2813</v>
      </c>
      <c r="B1753" s="144">
        <v>100</v>
      </c>
      <c r="C1753" s="145">
        <v>15.28</v>
      </c>
      <c r="D1753" s="145" t="s">
        <v>400</v>
      </c>
      <c r="E1753" s="145">
        <v>4.0000000000000001E-3</v>
      </c>
      <c r="F1753" s="145">
        <v>2E-3</v>
      </c>
      <c r="G1753" s="145" t="s">
        <v>400</v>
      </c>
      <c r="H1753" s="145" t="s">
        <v>400</v>
      </c>
      <c r="I1753" s="145" t="s">
        <v>400</v>
      </c>
      <c r="J1753" s="145" t="s">
        <v>400</v>
      </c>
      <c r="K1753" s="145" t="s">
        <v>400</v>
      </c>
      <c r="L1753" s="145">
        <v>3.9079999999999999</v>
      </c>
      <c r="M1753" s="145" t="s">
        <v>400</v>
      </c>
      <c r="N1753" s="145">
        <v>5.68</v>
      </c>
      <c r="O1753" s="145" t="s">
        <v>400</v>
      </c>
      <c r="P1753" s="145">
        <v>1E-3</v>
      </c>
      <c r="Q1753" s="145" t="s">
        <v>400</v>
      </c>
      <c r="R1753" s="145">
        <v>0.02</v>
      </c>
      <c r="S1753" s="145">
        <v>1.68</v>
      </c>
      <c r="T1753" s="145">
        <v>0.2</v>
      </c>
      <c r="U1753" s="145">
        <v>5.0000000000000001E-3</v>
      </c>
      <c r="V1753" s="145">
        <v>4.0000000000000001E-3</v>
      </c>
      <c r="W1753" s="145" t="s">
        <v>400</v>
      </c>
      <c r="X1753" s="145" t="s">
        <v>400</v>
      </c>
      <c r="Y1753" s="145">
        <v>1E-3</v>
      </c>
      <c r="Z1753" s="146" t="s">
        <v>400</v>
      </c>
      <c r="AA1753" s="145">
        <v>1E-3</v>
      </c>
      <c r="AB1753" s="145">
        <v>1.4119999999999999</v>
      </c>
      <c r="AC1753" s="145">
        <v>1E-3</v>
      </c>
      <c r="AD1753" s="145" t="s">
        <v>400</v>
      </c>
      <c r="AE1753" s="145" t="s">
        <v>400</v>
      </c>
      <c r="AF1753" s="145" t="s">
        <v>400</v>
      </c>
      <c r="AG1753" s="145" t="s">
        <v>400</v>
      </c>
      <c r="AH1753" s="145" t="s">
        <v>400</v>
      </c>
      <c r="AI1753" s="145" t="s">
        <v>400</v>
      </c>
      <c r="AJ1753" s="145">
        <v>2.8000000000000001E-2</v>
      </c>
      <c r="AK1753" s="145" t="s">
        <v>400</v>
      </c>
      <c r="AL1753" s="145">
        <v>3.8079999999999998</v>
      </c>
      <c r="AM1753" s="145">
        <v>3.81</v>
      </c>
    </row>
    <row r="1754" spans="1:39">
      <c r="A1754" s="143" t="s">
        <v>2814</v>
      </c>
      <c r="B1754" s="144">
        <v>100</v>
      </c>
      <c r="C1754" s="145">
        <v>12.766</v>
      </c>
      <c r="D1754" s="145">
        <v>0.13500000000000001</v>
      </c>
      <c r="E1754" s="145">
        <v>1.0049999999999999</v>
      </c>
      <c r="F1754" s="145">
        <v>0.94299999999999995</v>
      </c>
      <c r="G1754" s="145">
        <v>3.0000000000000001E-3</v>
      </c>
      <c r="H1754" s="145">
        <v>1E-3</v>
      </c>
      <c r="I1754" s="145" t="s">
        <v>400</v>
      </c>
      <c r="J1754" s="145" t="s">
        <v>400</v>
      </c>
      <c r="K1754" s="145" t="s">
        <v>400</v>
      </c>
      <c r="L1754" s="145">
        <v>0.90800000000000003</v>
      </c>
      <c r="M1754" s="145">
        <v>4.9000000000000002E-2</v>
      </c>
      <c r="N1754" s="145">
        <v>3.39</v>
      </c>
      <c r="O1754" s="145">
        <v>1.794</v>
      </c>
      <c r="P1754" s="145">
        <v>4.0000000000000001E-3</v>
      </c>
      <c r="Q1754" s="145">
        <v>0.73699999999999999</v>
      </c>
      <c r="R1754" s="145">
        <v>1.2E-2</v>
      </c>
      <c r="S1754" s="145">
        <v>24.951000000000001</v>
      </c>
      <c r="T1754" s="145">
        <v>8.8119999999999994</v>
      </c>
      <c r="U1754" s="145">
        <v>0.01</v>
      </c>
      <c r="V1754" s="145">
        <v>1.2999999999999999E-2</v>
      </c>
      <c r="W1754" s="145" t="s">
        <v>400</v>
      </c>
      <c r="X1754" s="145" t="s">
        <v>400</v>
      </c>
      <c r="Y1754" s="145" t="s">
        <v>400</v>
      </c>
      <c r="Z1754" s="146" t="s">
        <v>400</v>
      </c>
      <c r="AA1754" s="145">
        <v>6.9000000000000006E-2</v>
      </c>
      <c r="AB1754" s="145" t="s">
        <v>400</v>
      </c>
      <c r="AC1754" s="145">
        <v>8.7999999999999995E-2</v>
      </c>
      <c r="AD1754" s="145" t="s">
        <v>400</v>
      </c>
      <c r="AE1754" s="145" t="s">
        <v>400</v>
      </c>
      <c r="AF1754" s="145" t="s">
        <v>400</v>
      </c>
      <c r="AG1754" s="145">
        <v>7.0000000000000001E-3</v>
      </c>
      <c r="AH1754" s="145">
        <v>3.0000000000000001E-3</v>
      </c>
      <c r="AI1754" s="145" t="s">
        <v>400</v>
      </c>
      <c r="AJ1754" s="145">
        <v>3.4000000000000002E-2</v>
      </c>
      <c r="AK1754" s="145" t="s">
        <v>400</v>
      </c>
      <c r="AL1754" s="145">
        <v>0.18</v>
      </c>
      <c r="AM1754" s="145">
        <v>0.32200000000000001</v>
      </c>
    </row>
    <row r="1755" spans="1:39">
      <c r="A1755" s="143" t="s">
        <v>2815</v>
      </c>
      <c r="B1755" s="144">
        <v>100</v>
      </c>
      <c r="C1755" s="145">
        <v>12.766</v>
      </c>
      <c r="D1755" s="145">
        <v>0.13500000000000001</v>
      </c>
      <c r="E1755" s="145">
        <v>1.0049999999999999</v>
      </c>
      <c r="F1755" s="145">
        <v>0.94299999999999995</v>
      </c>
      <c r="G1755" s="145">
        <v>3.0000000000000001E-3</v>
      </c>
      <c r="H1755" s="145">
        <v>1E-3</v>
      </c>
      <c r="I1755" s="145" t="s">
        <v>400</v>
      </c>
      <c r="J1755" s="145" t="s">
        <v>400</v>
      </c>
      <c r="K1755" s="145" t="s">
        <v>400</v>
      </c>
      <c r="L1755" s="145">
        <v>0.90800000000000003</v>
      </c>
      <c r="M1755" s="145">
        <v>4.9000000000000002E-2</v>
      </c>
      <c r="N1755" s="145">
        <v>3.39</v>
      </c>
      <c r="O1755" s="145">
        <v>1.794</v>
      </c>
      <c r="P1755" s="145">
        <v>4.0000000000000001E-3</v>
      </c>
      <c r="Q1755" s="145">
        <v>0.73699999999999999</v>
      </c>
      <c r="R1755" s="145">
        <v>1.2E-2</v>
      </c>
      <c r="S1755" s="145">
        <v>24.951000000000001</v>
      </c>
      <c r="T1755" s="145">
        <v>8.8119999999999994</v>
      </c>
      <c r="U1755" s="145">
        <v>0.01</v>
      </c>
      <c r="V1755" s="145">
        <v>1.2999999999999999E-2</v>
      </c>
      <c r="W1755" s="145" t="s">
        <v>400</v>
      </c>
      <c r="X1755" s="145" t="s">
        <v>400</v>
      </c>
      <c r="Y1755" s="145" t="s">
        <v>400</v>
      </c>
      <c r="Z1755" s="146" t="s">
        <v>400</v>
      </c>
      <c r="AA1755" s="145">
        <v>6.9000000000000006E-2</v>
      </c>
      <c r="AB1755" s="145" t="s">
        <v>400</v>
      </c>
      <c r="AC1755" s="145">
        <v>8.7999999999999995E-2</v>
      </c>
      <c r="AD1755" s="145" t="s">
        <v>400</v>
      </c>
      <c r="AE1755" s="145" t="s">
        <v>400</v>
      </c>
      <c r="AF1755" s="145" t="s">
        <v>400</v>
      </c>
      <c r="AG1755" s="145">
        <v>7.0000000000000001E-3</v>
      </c>
      <c r="AH1755" s="145">
        <v>3.0000000000000001E-3</v>
      </c>
      <c r="AI1755" s="145" t="s">
        <v>400</v>
      </c>
      <c r="AJ1755" s="145">
        <v>3.4000000000000002E-2</v>
      </c>
      <c r="AK1755" s="145" t="s">
        <v>400</v>
      </c>
      <c r="AL1755" s="145">
        <v>0.18</v>
      </c>
      <c r="AM1755" s="145">
        <v>0.32200000000000001</v>
      </c>
    </row>
    <row r="1756" spans="1:39">
      <c r="A1756" s="143" t="s">
        <v>2816</v>
      </c>
      <c r="B1756" s="144">
        <v>100</v>
      </c>
      <c r="C1756" s="145">
        <v>40.017000000000003</v>
      </c>
      <c r="D1756" s="145">
        <v>0.05</v>
      </c>
      <c r="E1756" s="145">
        <v>0.02</v>
      </c>
      <c r="F1756" s="145" t="s">
        <v>400</v>
      </c>
      <c r="G1756" s="145" t="s">
        <v>400</v>
      </c>
      <c r="H1756" s="145" t="s">
        <v>400</v>
      </c>
      <c r="I1756" s="145" t="s">
        <v>400</v>
      </c>
      <c r="J1756" s="145" t="s">
        <v>400</v>
      </c>
      <c r="K1756" s="145" t="s">
        <v>400</v>
      </c>
      <c r="L1756" s="145">
        <v>10.144</v>
      </c>
      <c r="M1756" s="145" t="s">
        <v>400</v>
      </c>
      <c r="N1756" s="145">
        <v>2.0009999999999999</v>
      </c>
      <c r="O1756" s="145">
        <v>1</v>
      </c>
      <c r="P1756" s="145">
        <v>2E-3</v>
      </c>
      <c r="Q1756" s="145" t="s">
        <v>400</v>
      </c>
      <c r="R1756" s="145">
        <v>0.11</v>
      </c>
      <c r="S1756" s="145">
        <v>9.0039999999999996</v>
      </c>
      <c r="T1756" s="145">
        <v>1</v>
      </c>
      <c r="U1756" s="145">
        <v>1E-3</v>
      </c>
      <c r="V1756" s="145">
        <v>0.04</v>
      </c>
      <c r="W1756" s="145" t="s">
        <v>400</v>
      </c>
      <c r="X1756" s="145" t="s">
        <v>400</v>
      </c>
      <c r="Y1756" s="145" t="s">
        <v>400</v>
      </c>
      <c r="Z1756" s="146" t="s">
        <v>400</v>
      </c>
      <c r="AA1756" s="145">
        <v>1.4999999999999999E-2</v>
      </c>
      <c r="AB1756" s="145" t="s">
        <v>400</v>
      </c>
      <c r="AC1756" s="145">
        <v>1.4999999999999999E-2</v>
      </c>
      <c r="AD1756" s="145" t="s">
        <v>400</v>
      </c>
      <c r="AE1756" s="145" t="s">
        <v>400</v>
      </c>
      <c r="AF1756" s="145" t="s">
        <v>400</v>
      </c>
      <c r="AG1756" s="145" t="s">
        <v>400</v>
      </c>
      <c r="AH1756" s="145" t="s">
        <v>400</v>
      </c>
      <c r="AI1756" s="146" t="s">
        <v>400</v>
      </c>
      <c r="AJ1756" s="145" t="s">
        <v>400</v>
      </c>
      <c r="AK1756" s="145" t="s">
        <v>400</v>
      </c>
      <c r="AL1756" s="145">
        <v>9.0739999999999998</v>
      </c>
      <c r="AM1756" s="145">
        <v>10.144</v>
      </c>
    </row>
    <row r="1757" spans="1:39">
      <c r="A1757" s="143" t="s">
        <v>2817</v>
      </c>
      <c r="B1757" s="144">
        <v>100</v>
      </c>
      <c r="C1757" s="145">
        <v>40.017000000000003</v>
      </c>
      <c r="D1757" s="145">
        <v>0.05</v>
      </c>
      <c r="E1757" s="145">
        <v>0.02</v>
      </c>
      <c r="F1757" s="145" t="s">
        <v>400</v>
      </c>
      <c r="G1757" s="145" t="s">
        <v>400</v>
      </c>
      <c r="H1757" s="145" t="s">
        <v>400</v>
      </c>
      <c r="I1757" s="145" t="s">
        <v>400</v>
      </c>
      <c r="J1757" s="145" t="s">
        <v>400</v>
      </c>
      <c r="K1757" s="145" t="s">
        <v>400</v>
      </c>
      <c r="L1757" s="145">
        <v>10.144</v>
      </c>
      <c r="M1757" s="145" t="s">
        <v>400</v>
      </c>
      <c r="N1757" s="145">
        <v>2.0009999999999999</v>
      </c>
      <c r="O1757" s="145">
        <v>1</v>
      </c>
      <c r="P1757" s="145">
        <v>2E-3</v>
      </c>
      <c r="Q1757" s="145" t="s">
        <v>400</v>
      </c>
      <c r="R1757" s="145">
        <v>0.11</v>
      </c>
      <c r="S1757" s="145">
        <v>9.0039999999999996</v>
      </c>
      <c r="T1757" s="145">
        <v>1</v>
      </c>
      <c r="U1757" s="145">
        <v>1E-3</v>
      </c>
      <c r="V1757" s="145">
        <v>0.04</v>
      </c>
      <c r="W1757" s="145" t="s">
        <v>400</v>
      </c>
      <c r="X1757" s="145" t="s">
        <v>400</v>
      </c>
      <c r="Y1757" s="145" t="s">
        <v>400</v>
      </c>
      <c r="Z1757" s="146" t="s">
        <v>400</v>
      </c>
      <c r="AA1757" s="145">
        <v>1.4999999999999999E-2</v>
      </c>
      <c r="AB1757" s="145" t="s">
        <v>400</v>
      </c>
      <c r="AC1757" s="145">
        <v>1.4999999999999999E-2</v>
      </c>
      <c r="AD1757" s="145" t="s">
        <v>400</v>
      </c>
      <c r="AE1757" s="145" t="s">
        <v>400</v>
      </c>
      <c r="AF1757" s="145" t="s">
        <v>400</v>
      </c>
      <c r="AG1757" s="145" t="s">
        <v>400</v>
      </c>
      <c r="AH1757" s="145" t="s">
        <v>400</v>
      </c>
      <c r="AI1757" s="146" t="s">
        <v>400</v>
      </c>
      <c r="AJ1757" s="145" t="s">
        <v>400</v>
      </c>
      <c r="AK1757" s="145" t="s">
        <v>400</v>
      </c>
      <c r="AL1757" s="145">
        <v>9.0739999999999998</v>
      </c>
      <c r="AM1757" s="145">
        <v>10.144</v>
      </c>
    </row>
    <row r="1758" spans="1:39">
      <c r="A1758" s="143" t="s">
        <v>2818</v>
      </c>
      <c r="B1758" s="144">
        <v>100</v>
      </c>
      <c r="C1758" s="145">
        <v>2.8029999999999999</v>
      </c>
      <c r="D1758" s="145">
        <v>0.25</v>
      </c>
      <c r="E1758" s="145" t="s">
        <v>400</v>
      </c>
      <c r="F1758" s="145" t="s">
        <v>400</v>
      </c>
      <c r="G1758" s="145" t="s">
        <v>400</v>
      </c>
      <c r="H1758" s="145" t="s">
        <v>400</v>
      </c>
      <c r="I1758" s="145" t="s">
        <v>400</v>
      </c>
      <c r="J1758" s="145" t="s">
        <v>400</v>
      </c>
      <c r="K1758" s="145" t="s">
        <v>400</v>
      </c>
      <c r="L1758" s="145">
        <v>2.3119999999999998</v>
      </c>
      <c r="M1758" s="145">
        <v>1.8620000000000001</v>
      </c>
      <c r="N1758" s="145">
        <v>4.7039999999999997</v>
      </c>
      <c r="O1758" s="145">
        <v>1.125</v>
      </c>
      <c r="P1758" s="145">
        <v>38.335000000000001</v>
      </c>
      <c r="Q1758" s="145">
        <v>0.88100000000000001</v>
      </c>
      <c r="R1758" s="145">
        <v>0.15</v>
      </c>
      <c r="S1758" s="145">
        <v>0.26900000000000002</v>
      </c>
      <c r="T1758" s="145">
        <v>11.01</v>
      </c>
      <c r="U1758" s="145">
        <v>0.3</v>
      </c>
      <c r="V1758" s="145">
        <v>1.3009999999999999</v>
      </c>
      <c r="W1758" s="145" t="s">
        <v>400</v>
      </c>
      <c r="X1758" s="145">
        <v>2.8000000000000001E-2</v>
      </c>
      <c r="Y1758" s="145">
        <v>1.4E-2</v>
      </c>
      <c r="Z1758" s="146">
        <v>1.7999999999999999E-2</v>
      </c>
      <c r="AA1758" s="145">
        <v>2.4E-2</v>
      </c>
      <c r="AB1758" s="145">
        <v>0.16</v>
      </c>
      <c r="AC1758" s="145">
        <v>7.3999999999999996E-2</v>
      </c>
      <c r="AD1758" s="145" t="s">
        <v>400</v>
      </c>
      <c r="AE1758" s="145">
        <v>1.0009999999999999</v>
      </c>
      <c r="AF1758" s="145" t="s">
        <v>400</v>
      </c>
      <c r="AG1758" s="145" t="s">
        <v>400</v>
      </c>
      <c r="AH1758" s="145" t="s">
        <v>400</v>
      </c>
      <c r="AI1758" s="145" t="s">
        <v>400</v>
      </c>
      <c r="AJ1758" s="145">
        <v>7.3999999999999996E-2</v>
      </c>
      <c r="AK1758" s="145" t="s">
        <v>400</v>
      </c>
      <c r="AL1758" s="145">
        <v>6.4000000000000001E-2</v>
      </c>
      <c r="AM1758" s="145" t="s">
        <v>400</v>
      </c>
    </row>
    <row r="1759" spans="1:39">
      <c r="A1759" s="143" t="s">
        <v>2819</v>
      </c>
      <c r="B1759" s="144">
        <v>100</v>
      </c>
      <c r="C1759" s="145">
        <v>2.8029999999999999</v>
      </c>
      <c r="D1759" s="145">
        <v>0.25</v>
      </c>
      <c r="E1759" s="145" t="s">
        <v>400</v>
      </c>
      <c r="F1759" s="145" t="s">
        <v>400</v>
      </c>
      <c r="G1759" s="145" t="s">
        <v>400</v>
      </c>
      <c r="H1759" s="145" t="s">
        <v>400</v>
      </c>
      <c r="I1759" s="145" t="s">
        <v>400</v>
      </c>
      <c r="J1759" s="145" t="s">
        <v>400</v>
      </c>
      <c r="K1759" s="145" t="s">
        <v>400</v>
      </c>
      <c r="L1759" s="145">
        <v>2.3119999999999998</v>
      </c>
      <c r="M1759" s="145">
        <v>1.8620000000000001</v>
      </c>
      <c r="N1759" s="145">
        <v>4.7039999999999997</v>
      </c>
      <c r="O1759" s="145">
        <v>1.125</v>
      </c>
      <c r="P1759" s="145">
        <v>38.335000000000001</v>
      </c>
      <c r="Q1759" s="145">
        <v>0.88100000000000001</v>
      </c>
      <c r="R1759" s="145">
        <v>0.15</v>
      </c>
      <c r="S1759" s="145">
        <v>0.26900000000000002</v>
      </c>
      <c r="T1759" s="145">
        <v>11.01</v>
      </c>
      <c r="U1759" s="145">
        <v>0.3</v>
      </c>
      <c r="V1759" s="145">
        <v>1.3009999999999999</v>
      </c>
      <c r="W1759" s="145" t="s">
        <v>400</v>
      </c>
      <c r="X1759" s="145">
        <v>2.8000000000000001E-2</v>
      </c>
      <c r="Y1759" s="145">
        <v>1.4E-2</v>
      </c>
      <c r="Z1759" s="146">
        <v>1.7999999999999999E-2</v>
      </c>
      <c r="AA1759" s="145">
        <v>2.4E-2</v>
      </c>
      <c r="AB1759" s="145">
        <v>0.16</v>
      </c>
      <c r="AC1759" s="145">
        <v>7.3999999999999996E-2</v>
      </c>
      <c r="AD1759" s="145" t="s">
        <v>400</v>
      </c>
      <c r="AE1759" s="145">
        <v>1.0009999999999999</v>
      </c>
      <c r="AF1759" s="145" t="s">
        <v>400</v>
      </c>
      <c r="AG1759" s="145" t="s">
        <v>400</v>
      </c>
      <c r="AH1759" s="145" t="s">
        <v>400</v>
      </c>
      <c r="AI1759" s="145" t="s">
        <v>400</v>
      </c>
      <c r="AJ1759" s="145">
        <v>7.3999999999999996E-2</v>
      </c>
      <c r="AK1759" s="145" t="s">
        <v>400</v>
      </c>
      <c r="AL1759" s="145">
        <v>6.4000000000000001E-2</v>
      </c>
      <c r="AM1759" s="145" t="s">
        <v>400</v>
      </c>
    </row>
    <row r="1760" spans="1:39">
      <c r="A1760" s="143" t="s">
        <v>2820</v>
      </c>
      <c r="B1760" s="144">
        <v>100</v>
      </c>
      <c r="C1760" s="145">
        <v>1.873</v>
      </c>
      <c r="D1760" s="145">
        <v>0.24199999999999999</v>
      </c>
      <c r="E1760" s="145">
        <v>2.1000000000000001E-2</v>
      </c>
      <c r="F1760" s="145">
        <v>4.0000000000000001E-3</v>
      </c>
      <c r="G1760" s="145" t="s">
        <v>400</v>
      </c>
      <c r="H1760" s="145">
        <v>8.9999999999999993E-3</v>
      </c>
      <c r="I1760" s="145">
        <v>1E-3</v>
      </c>
      <c r="J1760" s="145">
        <v>7.0000000000000001E-3</v>
      </c>
      <c r="K1760" s="145" t="s">
        <v>400</v>
      </c>
      <c r="L1760" s="145">
        <v>0.30499999999999999</v>
      </c>
      <c r="M1760" s="145">
        <v>0.19500000000000001</v>
      </c>
      <c r="N1760" s="145">
        <v>12.974</v>
      </c>
      <c r="O1760" s="145">
        <v>7.5259999999999998</v>
      </c>
      <c r="P1760" s="145">
        <v>7.5999999999999998E-2</v>
      </c>
      <c r="Q1760" s="145">
        <v>4.5609999999999999</v>
      </c>
      <c r="R1760" s="145">
        <v>0.29099999999999998</v>
      </c>
      <c r="S1760" s="145">
        <v>52.143999999999998</v>
      </c>
      <c r="T1760" s="145">
        <v>37.966000000000001</v>
      </c>
      <c r="U1760" s="145">
        <v>1.4E-2</v>
      </c>
      <c r="V1760" s="145">
        <v>6.2E-2</v>
      </c>
      <c r="W1760" s="145" t="s">
        <v>400</v>
      </c>
      <c r="X1760" s="145">
        <v>8.0000000000000002E-3</v>
      </c>
      <c r="Y1760" s="145">
        <v>1.9E-2</v>
      </c>
      <c r="Z1760" s="146">
        <v>0.02</v>
      </c>
      <c r="AA1760" s="145">
        <v>0.04</v>
      </c>
      <c r="AB1760" s="145">
        <v>0.79800000000000004</v>
      </c>
      <c r="AC1760" s="145">
        <v>9.4E-2</v>
      </c>
      <c r="AD1760" s="145" t="s">
        <v>400</v>
      </c>
      <c r="AE1760" s="145">
        <v>11.891999999999999</v>
      </c>
      <c r="AF1760" s="145" t="s">
        <v>400</v>
      </c>
      <c r="AG1760" s="145">
        <v>0.16900000000000001</v>
      </c>
      <c r="AH1760" s="145" t="s">
        <v>400</v>
      </c>
      <c r="AI1760" s="145" t="s">
        <v>400</v>
      </c>
      <c r="AJ1760" s="145">
        <v>0.122</v>
      </c>
      <c r="AK1760" s="145">
        <v>42.680999999999997</v>
      </c>
      <c r="AL1760" s="145">
        <v>7.1999999999999995E-2</v>
      </c>
      <c r="AM1760" s="145" t="s">
        <v>400</v>
      </c>
    </row>
    <row r="1761" spans="1:39">
      <c r="A1761" s="143" t="s">
        <v>2821</v>
      </c>
      <c r="B1761" s="144">
        <v>100</v>
      </c>
      <c r="C1761" s="145">
        <v>181.00049999999999</v>
      </c>
      <c r="D1761" s="145">
        <v>0.86</v>
      </c>
      <c r="E1761" s="145">
        <v>0.16</v>
      </c>
      <c r="F1761" s="145">
        <v>5.1000000000000004E-2</v>
      </c>
      <c r="G1761" s="145">
        <v>5.7500000000000002E-2</v>
      </c>
      <c r="H1761" s="145">
        <v>5.0000000000000001E-4</v>
      </c>
      <c r="I1761" s="145">
        <v>1.55E-2</v>
      </c>
      <c r="J1761" s="145">
        <v>5.0000000000000001E-3</v>
      </c>
      <c r="K1761" s="145" t="s">
        <v>400</v>
      </c>
      <c r="L1761" s="145">
        <v>44.185000000000002</v>
      </c>
      <c r="M1761" s="145">
        <v>3.4350000000000001</v>
      </c>
      <c r="N1761" s="145">
        <v>33.500999999999998</v>
      </c>
      <c r="O1761" s="145">
        <v>20.0015</v>
      </c>
      <c r="P1761" s="145">
        <v>1.15E-2</v>
      </c>
      <c r="Q1761" s="145">
        <v>22.5015</v>
      </c>
      <c r="R1761" s="145">
        <v>0.55500000000000005</v>
      </c>
      <c r="S1761" s="145">
        <v>1.5009999999999999</v>
      </c>
      <c r="T1761" s="145">
        <v>194.52250000000001</v>
      </c>
      <c r="U1761" s="145">
        <v>4.1000000000000002E-2</v>
      </c>
      <c r="V1761" s="145">
        <v>0.21</v>
      </c>
      <c r="W1761" s="145" t="s">
        <v>400</v>
      </c>
      <c r="X1761" s="145">
        <v>7.7000000000000013E-2</v>
      </c>
      <c r="Y1761" s="145">
        <v>3.7999999999999999E-2</v>
      </c>
      <c r="Z1761" s="146">
        <v>5.0000000000000001E-4</v>
      </c>
      <c r="AA1761" s="145">
        <v>9.5500000000000002E-2</v>
      </c>
      <c r="AB1761" s="145" t="s">
        <v>400</v>
      </c>
      <c r="AC1761" s="145">
        <v>9.5500000000000002E-2</v>
      </c>
      <c r="AD1761" s="145" t="s">
        <v>400</v>
      </c>
      <c r="AE1761" s="145">
        <v>1.0009999999999999</v>
      </c>
      <c r="AF1761" s="145" t="s">
        <v>400</v>
      </c>
      <c r="AG1761" s="145">
        <v>5.0000000000000001E-3</v>
      </c>
      <c r="AH1761" s="145" t="s">
        <v>400</v>
      </c>
      <c r="AI1761" s="145" t="s">
        <v>400</v>
      </c>
      <c r="AJ1761" s="145" t="s">
        <v>400</v>
      </c>
      <c r="AK1761" s="145" t="s">
        <v>400</v>
      </c>
      <c r="AL1761" s="145" t="s">
        <v>400</v>
      </c>
      <c r="AM1761" s="145" t="s">
        <v>400</v>
      </c>
    </row>
    <row r="1762" spans="1:39">
      <c r="A1762" s="143" t="s">
        <v>2822</v>
      </c>
      <c r="B1762" s="144">
        <v>100</v>
      </c>
      <c r="C1762" s="145">
        <v>43.185000000000002</v>
      </c>
      <c r="D1762" s="145">
        <v>0.46200000000000002</v>
      </c>
      <c r="E1762" s="145" t="s">
        <v>400</v>
      </c>
      <c r="F1762" s="145" t="s">
        <v>400</v>
      </c>
      <c r="G1762" s="145" t="s">
        <v>400</v>
      </c>
      <c r="H1762" s="145" t="s">
        <v>400</v>
      </c>
      <c r="I1762" s="145" t="s">
        <v>400</v>
      </c>
      <c r="J1762" s="145" t="s">
        <v>400</v>
      </c>
      <c r="K1762" s="145" t="s">
        <v>400</v>
      </c>
      <c r="L1762" s="145">
        <v>3.5649999999999999</v>
      </c>
      <c r="M1762" s="145" t="s">
        <v>400</v>
      </c>
      <c r="N1762" s="145">
        <v>4.0170000000000003</v>
      </c>
      <c r="O1762" s="145">
        <v>6.0259999999999998</v>
      </c>
      <c r="P1762" s="145">
        <v>8.0000000000000002E-3</v>
      </c>
      <c r="Q1762" s="145">
        <v>14.06</v>
      </c>
      <c r="R1762" s="145">
        <v>0.02</v>
      </c>
      <c r="S1762" s="145">
        <v>4.0170000000000003</v>
      </c>
      <c r="T1762" s="145">
        <v>27.116</v>
      </c>
      <c r="U1762" s="145">
        <v>5.0000000000000001E-3</v>
      </c>
      <c r="V1762" s="145">
        <v>0.01</v>
      </c>
      <c r="W1762" s="145" t="s">
        <v>400</v>
      </c>
      <c r="X1762" s="145">
        <v>5.0000000000000001E-3</v>
      </c>
      <c r="Y1762" s="145">
        <v>2.5000000000000001E-2</v>
      </c>
      <c r="Z1762" s="146">
        <v>4.5999999999999999E-2</v>
      </c>
      <c r="AA1762" s="145">
        <v>0.51500000000000001</v>
      </c>
      <c r="AB1762" s="145" t="s">
        <v>400</v>
      </c>
      <c r="AC1762" s="145">
        <v>0.51500000000000001</v>
      </c>
      <c r="AD1762" s="145">
        <v>0.02</v>
      </c>
      <c r="AE1762" s="145">
        <v>6.0259999999999998</v>
      </c>
      <c r="AF1762" s="145" t="s">
        <v>400</v>
      </c>
      <c r="AG1762" s="145" t="s">
        <v>400</v>
      </c>
      <c r="AH1762" s="145" t="s">
        <v>400</v>
      </c>
      <c r="AI1762" s="145" t="s">
        <v>400</v>
      </c>
      <c r="AJ1762" s="145">
        <v>0.60299999999999998</v>
      </c>
      <c r="AK1762" s="145" t="s">
        <v>400</v>
      </c>
      <c r="AL1762" s="145" t="s">
        <v>400</v>
      </c>
      <c r="AM1762" s="145" t="s">
        <v>400</v>
      </c>
    </row>
    <row r="1763" spans="1:39">
      <c r="A1763" s="143" t="s">
        <v>2823</v>
      </c>
      <c r="B1763" s="144">
        <v>100</v>
      </c>
      <c r="C1763" s="145">
        <v>43.185000000000002</v>
      </c>
      <c r="D1763" s="145">
        <v>0.46200000000000002</v>
      </c>
      <c r="E1763" s="145" t="s">
        <v>400</v>
      </c>
      <c r="F1763" s="145" t="s">
        <v>400</v>
      </c>
      <c r="G1763" s="145" t="s">
        <v>400</v>
      </c>
      <c r="H1763" s="145" t="s">
        <v>400</v>
      </c>
      <c r="I1763" s="145" t="s">
        <v>400</v>
      </c>
      <c r="J1763" s="145" t="s">
        <v>400</v>
      </c>
      <c r="K1763" s="145" t="s">
        <v>400</v>
      </c>
      <c r="L1763" s="145">
        <v>3.5649999999999999</v>
      </c>
      <c r="M1763" s="145" t="s">
        <v>400</v>
      </c>
      <c r="N1763" s="145">
        <v>4.0170000000000003</v>
      </c>
      <c r="O1763" s="145">
        <v>6.0259999999999998</v>
      </c>
      <c r="P1763" s="145">
        <v>8.0000000000000002E-3</v>
      </c>
      <c r="Q1763" s="145">
        <v>14.06</v>
      </c>
      <c r="R1763" s="145">
        <v>0.02</v>
      </c>
      <c r="S1763" s="145">
        <v>4.0170000000000003</v>
      </c>
      <c r="T1763" s="145">
        <v>27.116</v>
      </c>
      <c r="U1763" s="145">
        <v>5.0000000000000001E-3</v>
      </c>
      <c r="V1763" s="145">
        <v>0.01</v>
      </c>
      <c r="W1763" s="145" t="s">
        <v>400</v>
      </c>
      <c r="X1763" s="145">
        <v>5.0000000000000001E-3</v>
      </c>
      <c r="Y1763" s="145">
        <v>2.5000000000000001E-2</v>
      </c>
      <c r="Z1763" s="146">
        <v>4.5999999999999999E-2</v>
      </c>
      <c r="AA1763" s="145">
        <v>0.51500000000000001</v>
      </c>
      <c r="AB1763" s="145" t="s">
        <v>400</v>
      </c>
      <c r="AC1763" s="145">
        <v>0.51500000000000001</v>
      </c>
      <c r="AD1763" s="145">
        <v>0.02</v>
      </c>
      <c r="AE1763" s="145">
        <v>6.0259999999999998</v>
      </c>
      <c r="AF1763" s="145" t="s">
        <v>400</v>
      </c>
      <c r="AG1763" s="145" t="s">
        <v>400</v>
      </c>
      <c r="AH1763" s="145" t="s">
        <v>400</v>
      </c>
      <c r="AI1763" s="145" t="s">
        <v>400</v>
      </c>
      <c r="AJ1763" s="145">
        <v>0.60299999999999998</v>
      </c>
      <c r="AK1763" s="145" t="s">
        <v>400</v>
      </c>
      <c r="AL1763" s="145" t="s">
        <v>400</v>
      </c>
      <c r="AM1763" s="145" t="s">
        <v>400</v>
      </c>
    </row>
    <row r="1764" spans="1:39">
      <c r="A1764" s="143" t="s">
        <v>2824</v>
      </c>
      <c r="B1764" s="144">
        <v>100</v>
      </c>
      <c r="C1764" s="145">
        <v>216</v>
      </c>
      <c r="D1764" s="145" t="s">
        <v>400</v>
      </c>
      <c r="E1764" s="145" t="s">
        <v>400</v>
      </c>
      <c r="F1764" s="145" t="s">
        <v>400</v>
      </c>
      <c r="G1764" s="145" t="s">
        <v>400</v>
      </c>
      <c r="H1764" s="145" t="s">
        <v>400</v>
      </c>
      <c r="I1764" s="145" t="s">
        <v>400</v>
      </c>
      <c r="J1764" s="145" t="s">
        <v>400</v>
      </c>
      <c r="K1764" s="145" t="s">
        <v>400</v>
      </c>
      <c r="L1764" s="145" t="s">
        <v>400</v>
      </c>
      <c r="M1764" s="145" t="s">
        <v>400</v>
      </c>
      <c r="N1764" s="145" t="s">
        <v>400</v>
      </c>
      <c r="O1764" s="145" t="s">
        <v>400</v>
      </c>
      <c r="P1764" s="145" t="s">
        <v>400</v>
      </c>
      <c r="Q1764" s="145" t="s">
        <v>400</v>
      </c>
      <c r="R1764" s="145" t="s">
        <v>400</v>
      </c>
      <c r="S1764" s="145">
        <v>3</v>
      </c>
      <c r="T1764" s="145" t="s">
        <v>400</v>
      </c>
      <c r="U1764" s="145">
        <v>0.06</v>
      </c>
      <c r="V1764" s="145" t="s">
        <v>400</v>
      </c>
      <c r="W1764" s="145" t="s">
        <v>400</v>
      </c>
      <c r="X1764" s="145" t="s">
        <v>400</v>
      </c>
      <c r="Y1764" s="145" t="s">
        <v>400</v>
      </c>
      <c r="Z1764" s="146" t="s">
        <v>400</v>
      </c>
      <c r="AA1764" s="145" t="s">
        <v>400</v>
      </c>
      <c r="AB1764" s="145" t="s">
        <v>400</v>
      </c>
      <c r="AC1764" s="145" t="s">
        <v>400</v>
      </c>
      <c r="AD1764" s="145" t="s">
        <v>400</v>
      </c>
      <c r="AE1764" s="145" t="s">
        <v>400</v>
      </c>
      <c r="AF1764" s="145" t="s">
        <v>400</v>
      </c>
      <c r="AG1764" s="145" t="s">
        <v>400</v>
      </c>
      <c r="AH1764" s="145" t="s">
        <v>400</v>
      </c>
      <c r="AI1764" s="145" t="s">
        <v>400</v>
      </c>
      <c r="AJ1764" s="145" t="s">
        <v>400</v>
      </c>
      <c r="AK1764" s="145" t="s">
        <v>400</v>
      </c>
      <c r="AL1764" s="145" t="s">
        <v>400</v>
      </c>
      <c r="AM1764" s="145" t="s">
        <v>400</v>
      </c>
    </row>
    <row r="1765" spans="1:39">
      <c r="A1765" s="143" t="s">
        <v>2825</v>
      </c>
      <c r="B1765" s="144">
        <v>100</v>
      </c>
      <c r="C1765" s="145">
        <v>216</v>
      </c>
      <c r="D1765" s="145" t="s">
        <v>400</v>
      </c>
      <c r="E1765" s="145" t="s">
        <v>400</v>
      </c>
      <c r="F1765" s="145" t="s">
        <v>400</v>
      </c>
      <c r="G1765" s="145" t="s">
        <v>400</v>
      </c>
      <c r="H1765" s="145" t="s">
        <v>400</v>
      </c>
      <c r="I1765" s="145" t="s">
        <v>400</v>
      </c>
      <c r="J1765" s="145" t="s">
        <v>400</v>
      </c>
      <c r="K1765" s="145" t="s">
        <v>400</v>
      </c>
      <c r="L1765" s="145" t="s">
        <v>400</v>
      </c>
      <c r="M1765" s="145" t="s">
        <v>400</v>
      </c>
      <c r="N1765" s="145" t="s">
        <v>400</v>
      </c>
      <c r="O1765" s="145" t="s">
        <v>400</v>
      </c>
      <c r="P1765" s="145" t="s">
        <v>400</v>
      </c>
      <c r="Q1765" s="145" t="s">
        <v>400</v>
      </c>
      <c r="R1765" s="145" t="s">
        <v>400</v>
      </c>
      <c r="S1765" s="145">
        <v>3</v>
      </c>
      <c r="T1765" s="145" t="s">
        <v>400</v>
      </c>
      <c r="U1765" s="145">
        <v>0.06</v>
      </c>
      <c r="V1765" s="145" t="s">
        <v>400</v>
      </c>
      <c r="W1765" s="145" t="s">
        <v>400</v>
      </c>
      <c r="X1765" s="145" t="s">
        <v>400</v>
      </c>
      <c r="Y1765" s="145" t="s">
        <v>400</v>
      </c>
      <c r="Z1765" s="146" t="s">
        <v>400</v>
      </c>
      <c r="AA1765" s="145" t="s">
        <v>400</v>
      </c>
      <c r="AB1765" s="145" t="s">
        <v>400</v>
      </c>
      <c r="AC1765" s="145" t="s">
        <v>400</v>
      </c>
      <c r="AD1765" s="145" t="s">
        <v>400</v>
      </c>
      <c r="AE1765" s="145" t="s">
        <v>400</v>
      </c>
      <c r="AF1765" s="145" t="s">
        <v>400</v>
      </c>
      <c r="AG1765" s="145" t="s">
        <v>400</v>
      </c>
      <c r="AH1765" s="145" t="s">
        <v>400</v>
      </c>
      <c r="AI1765" s="145" t="s">
        <v>400</v>
      </c>
      <c r="AJ1765" s="145" t="s">
        <v>400</v>
      </c>
      <c r="AK1765" s="145" t="s">
        <v>400</v>
      </c>
      <c r="AL1765" s="145" t="s">
        <v>400</v>
      </c>
      <c r="AM1765" s="145" t="s">
        <v>400</v>
      </c>
    </row>
    <row r="1766" spans="1:39">
      <c r="A1766" s="143" t="s">
        <v>2826</v>
      </c>
      <c r="B1766" s="144">
        <v>100</v>
      </c>
      <c r="C1766" s="145">
        <v>187.38</v>
      </c>
      <c r="D1766" s="145">
        <v>0.54100000000000004</v>
      </c>
      <c r="E1766" s="145">
        <v>3.6930000000000001</v>
      </c>
      <c r="F1766" s="145">
        <v>3.2320000000000002</v>
      </c>
      <c r="G1766" s="145">
        <v>0.161</v>
      </c>
      <c r="H1766" s="145">
        <v>5.8000000000000003E-2</v>
      </c>
      <c r="I1766" s="145">
        <v>0.05</v>
      </c>
      <c r="J1766" s="145">
        <v>8.0000000000000002E-3</v>
      </c>
      <c r="K1766" s="145" t="s">
        <v>400</v>
      </c>
      <c r="L1766" s="145">
        <v>22.143999999999998</v>
      </c>
      <c r="M1766" s="145">
        <v>0.32</v>
      </c>
      <c r="N1766" s="145">
        <v>7.0739999999999998</v>
      </c>
      <c r="O1766" s="145">
        <v>8.2579999999999991</v>
      </c>
      <c r="P1766" s="145">
        <v>0.36599999999999999</v>
      </c>
      <c r="Q1766" s="145">
        <v>17.535</v>
      </c>
      <c r="R1766" s="145">
        <v>0.39</v>
      </c>
      <c r="S1766" s="145">
        <v>1.6020000000000001</v>
      </c>
      <c r="T1766" s="145">
        <v>92.644000000000005</v>
      </c>
      <c r="U1766" s="145">
        <v>7.5999999999999998E-2</v>
      </c>
      <c r="V1766" s="145">
        <v>0.161</v>
      </c>
      <c r="W1766" s="145" t="s">
        <v>400</v>
      </c>
      <c r="X1766" s="145">
        <v>3.1E-2</v>
      </c>
      <c r="Y1766" s="145">
        <v>1.2999999999999999E-2</v>
      </c>
      <c r="Z1766" s="146">
        <v>0.05</v>
      </c>
      <c r="AA1766" s="145">
        <v>0.185</v>
      </c>
      <c r="AB1766" s="145">
        <v>4.7270000000000003</v>
      </c>
      <c r="AC1766" s="145">
        <v>0.25900000000000001</v>
      </c>
      <c r="AD1766" s="145" t="s">
        <v>400</v>
      </c>
      <c r="AE1766" s="145">
        <v>10.393000000000001</v>
      </c>
      <c r="AF1766" s="145" t="s">
        <v>400</v>
      </c>
      <c r="AG1766" s="145">
        <v>2.5000000000000001E-2</v>
      </c>
      <c r="AH1766" s="145" t="s">
        <v>400</v>
      </c>
      <c r="AI1766" s="146" t="s">
        <v>400</v>
      </c>
      <c r="AJ1766" s="145">
        <v>0.24399999999999999</v>
      </c>
      <c r="AK1766" s="145">
        <v>0.111</v>
      </c>
      <c r="AL1766" s="145">
        <v>20.777999999999999</v>
      </c>
      <c r="AM1766" s="145">
        <v>15.742000000000001</v>
      </c>
    </row>
    <row r="1767" spans="1:39">
      <c r="A1767" s="143" t="s">
        <v>2827</v>
      </c>
      <c r="B1767" s="144">
        <v>100</v>
      </c>
      <c r="C1767" s="145">
        <v>230.18199999999999</v>
      </c>
      <c r="D1767" s="145" t="s">
        <v>400</v>
      </c>
      <c r="E1767" s="145" t="s">
        <v>400</v>
      </c>
      <c r="F1767" s="145" t="s">
        <v>400</v>
      </c>
      <c r="G1767" s="145" t="s">
        <v>400</v>
      </c>
      <c r="H1767" s="145" t="s">
        <v>400</v>
      </c>
      <c r="I1767" s="145" t="s">
        <v>400</v>
      </c>
      <c r="J1767" s="145" t="s">
        <v>400</v>
      </c>
      <c r="K1767" s="145" t="s">
        <v>400</v>
      </c>
      <c r="L1767" s="145" t="s">
        <v>400</v>
      </c>
      <c r="M1767" s="145" t="s">
        <v>400</v>
      </c>
      <c r="N1767" s="145" t="s">
        <v>400</v>
      </c>
      <c r="O1767" s="145" t="s">
        <v>400</v>
      </c>
      <c r="P1767" s="145">
        <v>1.7999999999999999E-2</v>
      </c>
      <c r="Q1767" s="145">
        <v>3.9860000000000002</v>
      </c>
      <c r="R1767" s="145">
        <v>0.04</v>
      </c>
      <c r="S1767" s="145">
        <v>0.996</v>
      </c>
      <c r="T1767" s="145">
        <v>1.9930000000000001</v>
      </c>
      <c r="U1767" s="145">
        <v>2.1000000000000001E-2</v>
      </c>
      <c r="V1767" s="145">
        <v>0.04</v>
      </c>
      <c r="W1767" s="145" t="s">
        <v>400</v>
      </c>
      <c r="X1767" s="145">
        <v>6.0000000000000001E-3</v>
      </c>
      <c r="Y1767" s="145">
        <v>4.0000000000000001E-3</v>
      </c>
      <c r="Z1767" s="146">
        <v>1E-3</v>
      </c>
      <c r="AA1767" s="145">
        <v>1.2999999999999999E-2</v>
      </c>
      <c r="AB1767" s="145" t="s">
        <v>400</v>
      </c>
      <c r="AC1767" s="145">
        <v>1.2999999999999999E-2</v>
      </c>
      <c r="AD1767" s="145" t="s">
        <v>400</v>
      </c>
      <c r="AE1767" s="145" t="s">
        <v>400</v>
      </c>
      <c r="AF1767" s="145" t="s">
        <v>400</v>
      </c>
      <c r="AG1767" s="145" t="s">
        <v>400</v>
      </c>
      <c r="AH1767" s="145" t="s">
        <v>400</v>
      </c>
      <c r="AI1767" s="145" t="s">
        <v>400</v>
      </c>
      <c r="AJ1767" s="145" t="s">
        <v>400</v>
      </c>
      <c r="AK1767" s="145" t="s">
        <v>400</v>
      </c>
      <c r="AL1767" s="145" t="s">
        <v>400</v>
      </c>
      <c r="AM1767" s="145" t="s">
        <v>400</v>
      </c>
    </row>
    <row r="1768" spans="1:39">
      <c r="A1768" s="143" t="s">
        <v>2828</v>
      </c>
      <c r="B1768" s="144">
        <v>100</v>
      </c>
      <c r="C1768" s="145">
        <v>217.15299999999999</v>
      </c>
      <c r="D1768" s="145" t="s">
        <v>400</v>
      </c>
      <c r="E1768" s="145" t="s">
        <v>400</v>
      </c>
      <c r="F1768" s="145" t="s">
        <v>400</v>
      </c>
      <c r="G1768" s="145" t="s">
        <v>400</v>
      </c>
      <c r="H1768" s="145" t="s">
        <v>400</v>
      </c>
      <c r="I1768" s="145" t="s">
        <v>400</v>
      </c>
      <c r="J1768" s="145" t="s">
        <v>400</v>
      </c>
      <c r="K1768" s="145" t="s">
        <v>400</v>
      </c>
      <c r="L1768" s="145" t="s">
        <v>400</v>
      </c>
      <c r="M1768" s="145" t="s">
        <v>400</v>
      </c>
      <c r="N1768" s="145" t="s">
        <v>400</v>
      </c>
      <c r="O1768" s="145" t="s">
        <v>400</v>
      </c>
      <c r="P1768" s="145">
        <v>1.7000000000000001E-2</v>
      </c>
      <c r="Q1768" s="145">
        <v>3.76</v>
      </c>
      <c r="R1768" s="145">
        <v>3.7999999999999999E-2</v>
      </c>
      <c r="S1768" s="145">
        <v>0.94</v>
      </c>
      <c r="T1768" s="145">
        <v>1.88</v>
      </c>
      <c r="U1768" s="145">
        <v>0.02</v>
      </c>
      <c r="V1768" s="145">
        <v>3.7999999999999999E-2</v>
      </c>
      <c r="W1768" s="145" t="s">
        <v>400</v>
      </c>
      <c r="X1768" s="145">
        <v>6.0000000000000001E-3</v>
      </c>
      <c r="Y1768" s="145">
        <v>4.0000000000000001E-3</v>
      </c>
      <c r="Z1768" s="146">
        <v>1E-3</v>
      </c>
      <c r="AA1768" s="145">
        <v>1.2E-2</v>
      </c>
      <c r="AB1768" s="145" t="s">
        <v>400</v>
      </c>
      <c r="AC1768" s="145">
        <v>1.2E-2</v>
      </c>
      <c r="AD1768" s="145" t="s">
        <v>400</v>
      </c>
      <c r="AE1768" s="145" t="s">
        <v>400</v>
      </c>
      <c r="AF1768" s="145" t="s">
        <v>400</v>
      </c>
      <c r="AG1768" s="145" t="s">
        <v>400</v>
      </c>
      <c r="AH1768" s="145" t="s">
        <v>400</v>
      </c>
      <c r="AI1768" s="145" t="s">
        <v>400</v>
      </c>
      <c r="AJ1768" s="145" t="s">
        <v>400</v>
      </c>
      <c r="AK1768" s="145" t="s">
        <v>400</v>
      </c>
      <c r="AL1768" s="145" t="s">
        <v>400</v>
      </c>
      <c r="AM1768" s="145" t="s">
        <v>400</v>
      </c>
    </row>
    <row r="1769" spans="1:39">
      <c r="A1769" s="143" t="s">
        <v>2829</v>
      </c>
      <c r="B1769" s="144">
        <v>100</v>
      </c>
      <c r="C1769" s="145">
        <v>230.18199999999999</v>
      </c>
      <c r="D1769" s="145" t="s">
        <v>400</v>
      </c>
      <c r="E1769" s="145" t="s">
        <v>400</v>
      </c>
      <c r="F1769" s="145" t="s">
        <v>400</v>
      </c>
      <c r="G1769" s="145" t="s">
        <v>400</v>
      </c>
      <c r="H1769" s="145" t="s">
        <v>400</v>
      </c>
      <c r="I1769" s="145" t="s">
        <v>400</v>
      </c>
      <c r="J1769" s="145" t="s">
        <v>400</v>
      </c>
      <c r="K1769" s="145" t="s">
        <v>400</v>
      </c>
      <c r="L1769" s="145" t="s">
        <v>400</v>
      </c>
      <c r="M1769" s="145" t="s">
        <v>400</v>
      </c>
      <c r="N1769" s="145" t="s">
        <v>400</v>
      </c>
      <c r="O1769" s="145" t="s">
        <v>400</v>
      </c>
      <c r="P1769" s="145">
        <v>1.7999999999999999E-2</v>
      </c>
      <c r="Q1769" s="145">
        <v>3.9860000000000002</v>
      </c>
      <c r="R1769" s="145">
        <v>0.04</v>
      </c>
      <c r="S1769" s="145">
        <v>0.996</v>
      </c>
      <c r="T1769" s="145">
        <v>1.9930000000000001</v>
      </c>
      <c r="U1769" s="145">
        <v>2.1000000000000001E-2</v>
      </c>
      <c r="V1769" s="145">
        <v>0.04</v>
      </c>
      <c r="W1769" s="145" t="s">
        <v>400</v>
      </c>
      <c r="X1769" s="145">
        <v>6.0000000000000001E-3</v>
      </c>
      <c r="Y1769" s="145">
        <v>4.0000000000000001E-3</v>
      </c>
      <c r="Z1769" s="146">
        <v>1E-3</v>
      </c>
      <c r="AA1769" s="145">
        <v>1.2999999999999999E-2</v>
      </c>
      <c r="AB1769" s="145" t="s">
        <v>400</v>
      </c>
      <c r="AC1769" s="145">
        <v>1.2999999999999999E-2</v>
      </c>
      <c r="AD1769" s="145" t="s">
        <v>400</v>
      </c>
      <c r="AE1769" s="145" t="s">
        <v>400</v>
      </c>
      <c r="AF1769" s="145" t="s">
        <v>400</v>
      </c>
      <c r="AG1769" s="145" t="s">
        <v>400</v>
      </c>
      <c r="AH1769" s="145" t="s">
        <v>400</v>
      </c>
      <c r="AI1769" s="145" t="s">
        <v>400</v>
      </c>
      <c r="AJ1769" s="145" t="s">
        <v>400</v>
      </c>
      <c r="AK1769" s="145" t="s">
        <v>400</v>
      </c>
      <c r="AL1769" s="145" t="s">
        <v>400</v>
      </c>
      <c r="AM1769" s="145" t="s">
        <v>400</v>
      </c>
    </row>
    <row r="1770" spans="1:39">
      <c r="A1770" s="143" t="s">
        <v>2830</v>
      </c>
      <c r="B1770" s="144">
        <v>100</v>
      </c>
      <c r="C1770" s="145">
        <v>230.18199999999999</v>
      </c>
      <c r="D1770" s="145" t="s">
        <v>400</v>
      </c>
      <c r="E1770" s="145" t="s">
        <v>400</v>
      </c>
      <c r="F1770" s="145" t="s">
        <v>400</v>
      </c>
      <c r="G1770" s="145" t="s">
        <v>400</v>
      </c>
      <c r="H1770" s="145" t="s">
        <v>400</v>
      </c>
      <c r="I1770" s="145" t="s">
        <v>400</v>
      </c>
      <c r="J1770" s="145" t="s">
        <v>400</v>
      </c>
      <c r="K1770" s="145" t="s">
        <v>400</v>
      </c>
      <c r="L1770" s="145" t="s">
        <v>400</v>
      </c>
      <c r="M1770" s="145" t="s">
        <v>400</v>
      </c>
      <c r="N1770" s="145" t="s">
        <v>400</v>
      </c>
      <c r="O1770" s="145" t="s">
        <v>400</v>
      </c>
      <c r="P1770" s="145">
        <v>1.7999999999999999E-2</v>
      </c>
      <c r="Q1770" s="145">
        <v>3.9860000000000002</v>
      </c>
      <c r="R1770" s="145">
        <v>0.04</v>
      </c>
      <c r="S1770" s="145">
        <v>0.996</v>
      </c>
      <c r="T1770" s="145">
        <v>1.9930000000000001</v>
      </c>
      <c r="U1770" s="145">
        <v>2.1000000000000001E-2</v>
      </c>
      <c r="V1770" s="145">
        <v>0.04</v>
      </c>
      <c r="W1770" s="145" t="s">
        <v>400</v>
      </c>
      <c r="X1770" s="145">
        <v>6.0000000000000001E-3</v>
      </c>
      <c r="Y1770" s="145">
        <v>4.0000000000000001E-3</v>
      </c>
      <c r="Z1770" s="146">
        <v>1E-3</v>
      </c>
      <c r="AA1770" s="145">
        <v>1.2999999999999999E-2</v>
      </c>
      <c r="AB1770" s="145" t="s">
        <v>400</v>
      </c>
      <c r="AC1770" s="145">
        <v>1.2999999999999999E-2</v>
      </c>
      <c r="AD1770" s="145" t="s">
        <v>400</v>
      </c>
      <c r="AE1770" s="145" t="s">
        <v>400</v>
      </c>
      <c r="AF1770" s="145" t="s">
        <v>400</v>
      </c>
      <c r="AG1770" s="145" t="s">
        <v>400</v>
      </c>
      <c r="AH1770" s="145" t="s">
        <v>400</v>
      </c>
      <c r="AI1770" s="145" t="s">
        <v>400</v>
      </c>
      <c r="AJ1770" s="145" t="s">
        <v>400</v>
      </c>
      <c r="AK1770" s="145" t="s">
        <v>400</v>
      </c>
      <c r="AL1770" s="145" t="s">
        <v>400</v>
      </c>
      <c r="AM1770" s="145" t="s">
        <v>400</v>
      </c>
    </row>
    <row r="1771" spans="1:39">
      <c r="A1771" s="143" t="s">
        <v>2831</v>
      </c>
      <c r="B1771" s="144">
        <v>100</v>
      </c>
      <c r="C1771" s="145">
        <v>82</v>
      </c>
      <c r="D1771" s="145">
        <v>7.0000000000000007E-2</v>
      </c>
      <c r="E1771" s="145" t="s">
        <v>400</v>
      </c>
      <c r="F1771" s="145" t="s">
        <v>400</v>
      </c>
      <c r="G1771" s="145" t="s">
        <v>400</v>
      </c>
      <c r="H1771" s="145" t="s">
        <v>400</v>
      </c>
      <c r="I1771" s="145" t="s">
        <v>400</v>
      </c>
      <c r="J1771" s="145" t="s">
        <v>400</v>
      </c>
      <c r="K1771" s="145" t="s">
        <v>400</v>
      </c>
      <c r="L1771" s="145">
        <v>2.6</v>
      </c>
      <c r="M1771" s="145" t="s">
        <v>400</v>
      </c>
      <c r="N1771" s="145">
        <v>9</v>
      </c>
      <c r="O1771" s="145">
        <v>10</v>
      </c>
      <c r="P1771" s="145">
        <v>0.11700000000000001</v>
      </c>
      <c r="Q1771" s="145">
        <v>18</v>
      </c>
      <c r="R1771" s="145">
        <v>0.27</v>
      </c>
      <c r="S1771" s="145">
        <v>5</v>
      </c>
      <c r="T1771" s="145">
        <v>71</v>
      </c>
      <c r="U1771" s="145">
        <v>4.0000000000000001E-3</v>
      </c>
      <c r="V1771" s="145">
        <v>0.12</v>
      </c>
      <c r="W1771" s="145" t="s">
        <v>400</v>
      </c>
      <c r="X1771" s="145">
        <v>5.0000000000000001E-3</v>
      </c>
      <c r="Y1771" s="145">
        <v>1.4999999999999999E-2</v>
      </c>
      <c r="Z1771" s="146">
        <v>0.05</v>
      </c>
      <c r="AA1771" s="145">
        <v>0.108</v>
      </c>
      <c r="AB1771" s="145" t="s">
        <v>400</v>
      </c>
      <c r="AC1771" s="145">
        <v>0.108</v>
      </c>
      <c r="AD1771" s="145" t="s">
        <v>400</v>
      </c>
      <c r="AE1771" s="145">
        <v>1</v>
      </c>
      <c r="AF1771" s="145" t="s">
        <v>400</v>
      </c>
      <c r="AG1771" s="145" t="s">
        <v>400</v>
      </c>
      <c r="AH1771" s="145" t="s">
        <v>400</v>
      </c>
      <c r="AI1771" s="146" t="s">
        <v>400</v>
      </c>
      <c r="AJ1771" s="145">
        <v>0.1</v>
      </c>
      <c r="AK1771" s="145" t="s">
        <v>400</v>
      </c>
      <c r="AL1771" s="145">
        <v>7.0000000000000007E-2</v>
      </c>
      <c r="AM1771" s="145" t="s">
        <v>400</v>
      </c>
    </row>
    <row r="1772" spans="1:39">
      <c r="A1772" s="143" t="s">
        <v>2832</v>
      </c>
      <c r="B1772" s="144">
        <v>100</v>
      </c>
      <c r="C1772" s="145">
        <v>82</v>
      </c>
      <c r="D1772" s="145">
        <v>7.0000000000000007E-2</v>
      </c>
      <c r="E1772" s="145" t="s">
        <v>400</v>
      </c>
      <c r="F1772" s="145" t="s">
        <v>400</v>
      </c>
      <c r="G1772" s="145" t="s">
        <v>400</v>
      </c>
      <c r="H1772" s="145" t="s">
        <v>400</v>
      </c>
      <c r="I1772" s="145" t="s">
        <v>400</v>
      </c>
      <c r="J1772" s="145" t="s">
        <v>400</v>
      </c>
      <c r="K1772" s="145" t="s">
        <v>400</v>
      </c>
      <c r="L1772" s="145">
        <v>2.6</v>
      </c>
      <c r="M1772" s="145" t="s">
        <v>400</v>
      </c>
      <c r="N1772" s="145">
        <v>9</v>
      </c>
      <c r="O1772" s="145">
        <v>10</v>
      </c>
      <c r="P1772" s="145">
        <v>0.11700000000000001</v>
      </c>
      <c r="Q1772" s="145">
        <v>18</v>
      </c>
      <c r="R1772" s="145">
        <v>0.27</v>
      </c>
      <c r="S1772" s="145">
        <v>5</v>
      </c>
      <c r="T1772" s="145">
        <v>71</v>
      </c>
      <c r="U1772" s="145">
        <v>4.0000000000000001E-3</v>
      </c>
      <c r="V1772" s="145">
        <v>0.12</v>
      </c>
      <c r="W1772" s="145" t="s">
        <v>400</v>
      </c>
      <c r="X1772" s="145">
        <v>5.0000000000000001E-3</v>
      </c>
      <c r="Y1772" s="145">
        <v>1.4999999999999999E-2</v>
      </c>
      <c r="Z1772" s="146">
        <v>0.05</v>
      </c>
      <c r="AA1772" s="145">
        <v>0.108</v>
      </c>
      <c r="AB1772" s="145" t="s">
        <v>400</v>
      </c>
      <c r="AC1772" s="145">
        <v>0.108</v>
      </c>
      <c r="AD1772" s="145" t="s">
        <v>400</v>
      </c>
      <c r="AE1772" s="145">
        <v>1</v>
      </c>
      <c r="AF1772" s="145" t="s">
        <v>400</v>
      </c>
      <c r="AG1772" s="145" t="s">
        <v>400</v>
      </c>
      <c r="AH1772" s="145" t="s">
        <v>400</v>
      </c>
      <c r="AI1772" s="146" t="s">
        <v>400</v>
      </c>
      <c r="AJ1772" s="145">
        <v>0.1</v>
      </c>
      <c r="AK1772" s="145" t="s">
        <v>400</v>
      </c>
      <c r="AL1772" s="145">
        <v>7.0000000000000007E-2</v>
      </c>
      <c r="AM1772" s="145" t="s">
        <v>400</v>
      </c>
    </row>
    <row r="1773" spans="1:39">
      <c r="A1773" s="143" t="s">
        <v>2833</v>
      </c>
      <c r="B1773" s="144">
        <v>100</v>
      </c>
      <c r="C1773" s="145">
        <v>194.43600000000001</v>
      </c>
      <c r="D1773" s="145">
        <v>1.4E-2</v>
      </c>
      <c r="E1773" s="145" t="s">
        <v>400</v>
      </c>
      <c r="F1773" s="145" t="s">
        <v>400</v>
      </c>
      <c r="G1773" s="145" t="s">
        <v>400</v>
      </c>
      <c r="H1773" s="145" t="s">
        <v>400</v>
      </c>
      <c r="I1773" s="145" t="s">
        <v>400</v>
      </c>
      <c r="J1773" s="145" t="s">
        <v>400</v>
      </c>
      <c r="K1773" s="145" t="s">
        <v>400</v>
      </c>
      <c r="L1773" s="145">
        <v>0.52900000000000003</v>
      </c>
      <c r="M1773" s="145" t="s">
        <v>400</v>
      </c>
      <c r="N1773" s="145">
        <v>1.6220000000000001</v>
      </c>
      <c r="O1773" s="145">
        <v>2.4340000000000002</v>
      </c>
      <c r="P1773" s="145">
        <v>4.1000000000000002E-2</v>
      </c>
      <c r="Q1773" s="145">
        <v>7.7329999999999997</v>
      </c>
      <c r="R1773" s="145">
        <v>0.124</v>
      </c>
      <c r="S1773" s="145">
        <v>1.5780000000000001</v>
      </c>
      <c r="T1773" s="145">
        <v>27.291</v>
      </c>
      <c r="U1773" s="145">
        <v>1.7999999999999999E-2</v>
      </c>
      <c r="V1773" s="145">
        <v>5.8999999999999997E-2</v>
      </c>
      <c r="W1773" s="145" t="s">
        <v>400</v>
      </c>
      <c r="X1773" s="145">
        <v>6.0000000000000001E-3</v>
      </c>
      <c r="Y1773" s="145">
        <v>8.9999999999999993E-3</v>
      </c>
      <c r="Z1773" s="146">
        <v>1.2E-2</v>
      </c>
      <c r="AA1773" s="145">
        <v>5.5E-2</v>
      </c>
      <c r="AB1773" s="145" t="s">
        <v>400</v>
      </c>
      <c r="AC1773" s="145">
        <v>5.5E-2</v>
      </c>
      <c r="AD1773" s="145" t="s">
        <v>400</v>
      </c>
      <c r="AE1773" s="145">
        <v>0.20300000000000001</v>
      </c>
      <c r="AF1773" s="145" t="s">
        <v>400</v>
      </c>
      <c r="AG1773" s="145" t="s">
        <v>400</v>
      </c>
      <c r="AH1773" s="145" t="s">
        <v>400</v>
      </c>
      <c r="AI1773" s="145" t="s">
        <v>400</v>
      </c>
      <c r="AJ1773" s="145">
        <v>4.1000000000000002E-2</v>
      </c>
      <c r="AK1773" s="145">
        <v>1.7000000000000001E-2</v>
      </c>
      <c r="AL1773" s="145">
        <v>5.0000000000000001E-3</v>
      </c>
      <c r="AM1773" s="145" t="s">
        <v>400</v>
      </c>
    </row>
    <row r="1774" spans="1:39">
      <c r="A1774" s="143" t="s">
        <v>2834</v>
      </c>
      <c r="B1774" s="144">
        <v>100</v>
      </c>
      <c r="C1774" s="145">
        <v>231</v>
      </c>
      <c r="D1774" s="145" t="s">
        <v>400</v>
      </c>
      <c r="E1774" s="145" t="s">
        <v>400</v>
      </c>
      <c r="F1774" s="145" t="s">
        <v>400</v>
      </c>
      <c r="G1774" s="145" t="s">
        <v>400</v>
      </c>
      <c r="H1774" s="145" t="s">
        <v>400</v>
      </c>
      <c r="I1774" s="145" t="s">
        <v>400</v>
      </c>
      <c r="J1774" s="145" t="s">
        <v>400</v>
      </c>
      <c r="K1774" s="145" t="s">
        <v>400</v>
      </c>
      <c r="L1774" s="145" t="s">
        <v>400</v>
      </c>
      <c r="M1774" s="145" t="s">
        <v>400</v>
      </c>
      <c r="N1774" s="145" t="s">
        <v>400</v>
      </c>
      <c r="O1774" s="145" t="s">
        <v>400</v>
      </c>
      <c r="P1774" s="145">
        <v>1.7999999999999999E-2</v>
      </c>
      <c r="Q1774" s="145">
        <v>4</v>
      </c>
      <c r="R1774" s="145">
        <v>0.04</v>
      </c>
      <c r="S1774" s="145">
        <v>1</v>
      </c>
      <c r="T1774" s="145">
        <v>2</v>
      </c>
      <c r="U1774" s="145">
        <v>2.1000000000000001E-2</v>
      </c>
      <c r="V1774" s="145">
        <v>0.04</v>
      </c>
      <c r="W1774" s="145" t="s">
        <v>400</v>
      </c>
      <c r="X1774" s="145">
        <v>6.0000000000000001E-3</v>
      </c>
      <c r="Y1774" s="145">
        <v>4.0000000000000001E-3</v>
      </c>
      <c r="Z1774" s="146">
        <v>1E-3</v>
      </c>
      <c r="AA1774" s="145">
        <v>1.2999999999999999E-2</v>
      </c>
      <c r="AB1774" s="145" t="s">
        <v>400</v>
      </c>
      <c r="AC1774" s="145">
        <v>1.2999999999999999E-2</v>
      </c>
      <c r="AD1774" s="145" t="s">
        <v>400</v>
      </c>
      <c r="AE1774" s="145" t="s">
        <v>400</v>
      </c>
      <c r="AF1774" s="145" t="s">
        <v>400</v>
      </c>
      <c r="AG1774" s="145" t="s">
        <v>400</v>
      </c>
      <c r="AH1774" s="145" t="s">
        <v>400</v>
      </c>
      <c r="AI1774" s="145" t="s">
        <v>400</v>
      </c>
      <c r="AJ1774" s="145" t="s">
        <v>400</v>
      </c>
      <c r="AK1774" s="145" t="s">
        <v>400</v>
      </c>
      <c r="AL1774" s="145" t="s">
        <v>400</v>
      </c>
      <c r="AM1774" s="145" t="s">
        <v>400</v>
      </c>
    </row>
    <row r="1775" spans="1:39">
      <c r="A1775" s="143" t="s">
        <v>2835</v>
      </c>
      <c r="B1775" s="144">
        <v>100</v>
      </c>
      <c r="C1775" s="145">
        <v>216</v>
      </c>
      <c r="D1775" s="145" t="s">
        <v>400</v>
      </c>
      <c r="E1775" s="145" t="s">
        <v>400</v>
      </c>
      <c r="F1775" s="145" t="s">
        <v>400</v>
      </c>
      <c r="G1775" s="145" t="s">
        <v>400</v>
      </c>
      <c r="H1775" s="145" t="s">
        <v>400</v>
      </c>
      <c r="I1775" s="145" t="s">
        <v>400</v>
      </c>
      <c r="J1775" s="145" t="s">
        <v>400</v>
      </c>
      <c r="K1775" s="145" t="s">
        <v>400</v>
      </c>
      <c r="L1775" s="145" t="s">
        <v>400</v>
      </c>
      <c r="M1775" s="145" t="s">
        <v>400</v>
      </c>
      <c r="N1775" s="145" t="s">
        <v>400</v>
      </c>
      <c r="O1775" s="145" t="s">
        <v>400</v>
      </c>
      <c r="P1775" s="145" t="s">
        <v>400</v>
      </c>
      <c r="Q1775" s="145" t="s">
        <v>400</v>
      </c>
      <c r="R1775" s="145" t="s">
        <v>400</v>
      </c>
      <c r="S1775" s="145">
        <v>3</v>
      </c>
      <c r="T1775" s="145" t="s">
        <v>400</v>
      </c>
      <c r="U1775" s="145">
        <v>0.06</v>
      </c>
      <c r="V1775" s="145" t="s">
        <v>400</v>
      </c>
      <c r="W1775" s="145" t="s">
        <v>400</v>
      </c>
      <c r="X1775" s="145" t="s">
        <v>400</v>
      </c>
      <c r="Y1775" s="145" t="s">
        <v>400</v>
      </c>
      <c r="Z1775" s="146" t="s">
        <v>400</v>
      </c>
      <c r="AA1775" s="145" t="s">
        <v>400</v>
      </c>
      <c r="AB1775" s="145" t="s">
        <v>400</v>
      </c>
      <c r="AC1775" s="145" t="s">
        <v>400</v>
      </c>
      <c r="AD1775" s="145" t="s">
        <v>400</v>
      </c>
      <c r="AE1775" s="145" t="s">
        <v>400</v>
      </c>
      <c r="AF1775" s="145" t="s">
        <v>400</v>
      </c>
      <c r="AG1775" s="145" t="s">
        <v>400</v>
      </c>
      <c r="AH1775" s="145" t="s">
        <v>400</v>
      </c>
      <c r="AI1775" s="145" t="s">
        <v>400</v>
      </c>
      <c r="AJ1775" s="145" t="s">
        <v>400</v>
      </c>
      <c r="AK1775" s="145" t="s">
        <v>400</v>
      </c>
      <c r="AL1775" s="145" t="s">
        <v>400</v>
      </c>
      <c r="AM1775" s="145" t="s">
        <v>400</v>
      </c>
    </row>
    <row r="1776" spans="1:39">
      <c r="A1776" s="143" t="s">
        <v>2836</v>
      </c>
      <c r="B1776" s="144">
        <v>100</v>
      </c>
      <c r="C1776" s="145">
        <v>282.649</v>
      </c>
      <c r="D1776" s="145" t="s">
        <v>400</v>
      </c>
      <c r="E1776" s="145" t="s">
        <v>400</v>
      </c>
      <c r="F1776" s="145" t="s">
        <v>400</v>
      </c>
      <c r="G1776" s="145" t="s">
        <v>400</v>
      </c>
      <c r="H1776" s="145" t="s">
        <v>400</v>
      </c>
      <c r="I1776" s="145" t="s">
        <v>400</v>
      </c>
      <c r="J1776" s="145" t="s">
        <v>400</v>
      </c>
      <c r="K1776" s="145" t="s">
        <v>400</v>
      </c>
      <c r="L1776" s="145">
        <v>33.639000000000003</v>
      </c>
      <c r="M1776" s="145" t="s">
        <v>400</v>
      </c>
      <c r="N1776" s="145">
        <v>0.995</v>
      </c>
      <c r="O1776" s="145" t="s">
        <v>400</v>
      </c>
      <c r="P1776" s="145">
        <v>1.6E-2</v>
      </c>
      <c r="Q1776" s="145">
        <v>0.995</v>
      </c>
      <c r="R1776" s="145">
        <v>0.06</v>
      </c>
      <c r="S1776" s="145">
        <v>1.99</v>
      </c>
      <c r="T1776" s="145">
        <v>1.99</v>
      </c>
      <c r="U1776" s="145">
        <v>0.08</v>
      </c>
      <c r="V1776" s="145">
        <v>7.0000000000000007E-2</v>
      </c>
      <c r="W1776" s="145" t="s">
        <v>400</v>
      </c>
      <c r="X1776" s="145" t="s">
        <v>400</v>
      </c>
      <c r="Y1776" s="145" t="s">
        <v>400</v>
      </c>
      <c r="Z1776" s="146" t="s">
        <v>400</v>
      </c>
      <c r="AA1776" s="145" t="s">
        <v>400</v>
      </c>
      <c r="AB1776" s="145" t="s">
        <v>400</v>
      </c>
      <c r="AC1776" s="145" t="s">
        <v>400</v>
      </c>
      <c r="AD1776" s="145" t="s">
        <v>400</v>
      </c>
      <c r="AE1776" s="145" t="s">
        <v>400</v>
      </c>
      <c r="AF1776" s="145" t="s">
        <v>400</v>
      </c>
      <c r="AG1776" s="145" t="s">
        <v>400</v>
      </c>
      <c r="AH1776" s="145" t="s">
        <v>400</v>
      </c>
      <c r="AI1776" s="146" t="s">
        <v>400</v>
      </c>
      <c r="AJ1776" s="145">
        <v>0.498</v>
      </c>
      <c r="AK1776" s="145" t="s">
        <v>400</v>
      </c>
      <c r="AL1776" s="145">
        <v>28.265000000000001</v>
      </c>
      <c r="AM1776" s="145" t="s">
        <v>400</v>
      </c>
    </row>
    <row r="1777" spans="1:39">
      <c r="A1777" s="143" t="s">
        <v>2837</v>
      </c>
      <c r="B1777" s="144">
        <v>100</v>
      </c>
      <c r="C1777" s="145">
        <v>45</v>
      </c>
      <c r="D1777" s="145">
        <v>0.8</v>
      </c>
      <c r="E1777" s="145" t="s">
        <v>400</v>
      </c>
      <c r="F1777" s="145" t="s">
        <v>400</v>
      </c>
      <c r="G1777" s="145" t="s">
        <v>400</v>
      </c>
      <c r="H1777" s="145" t="s">
        <v>400</v>
      </c>
      <c r="I1777" s="145" t="s">
        <v>400</v>
      </c>
      <c r="J1777" s="145" t="s">
        <v>400</v>
      </c>
      <c r="K1777" s="145" t="s">
        <v>400</v>
      </c>
      <c r="L1777" s="145">
        <v>11.5</v>
      </c>
      <c r="M1777" s="145">
        <v>1.5</v>
      </c>
      <c r="N1777" s="145" t="s">
        <v>400</v>
      </c>
      <c r="O1777" s="145" t="s">
        <v>400</v>
      </c>
      <c r="P1777" s="145" t="s">
        <v>400</v>
      </c>
      <c r="Q1777" s="145" t="s">
        <v>400</v>
      </c>
      <c r="R1777" s="145" t="s">
        <v>400</v>
      </c>
      <c r="S1777" s="145">
        <v>15</v>
      </c>
      <c r="T1777" s="145" t="s">
        <v>400</v>
      </c>
      <c r="U1777" s="145" t="s">
        <v>400</v>
      </c>
      <c r="V1777" s="145" t="s">
        <v>400</v>
      </c>
      <c r="W1777" s="145" t="s">
        <v>400</v>
      </c>
      <c r="X1777" s="145" t="s">
        <v>400</v>
      </c>
      <c r="Y1777" s="145" t="s">
        <v>400</v>
      </c>
      <c r="Z1777" s="146" t="s">
        <v>400</v>
      </c>
      <c r="AA1777" s="145" t="s">
        <v>400</v>
      </c>
      <c r="AB1777" s="145" t="s">
        <v>400</v>
      </c>
      <c r="AC1777" s="145" t="s">
        <v>400</v>
      </c>
      <c r="AD1777" s="145" t="s">
        <v>400</v>
      </c>
      <c r="AE1777" s="145" t="s">
        <v>400</v>
      </c>
      <c r="AF1777" s="145" t="s">
        <v>400</v>
      </c>
      <c r="AG1777" s="145" t="s">
        <v>400</v>
      </c>
      <c r="AH1777" s="145" t="s">
        <v>400</v>
      </c>
      <c r="AI1777" s="145" t="s">
        <v>400</v>
      </c>
      <c r="AJ1777" s="145" t="s">
        <v>400</v>
      </c>
      <c r="AK1777" s="145" t="s">
        <v>400</v>
      </c>
      <c r="AL1777" s="145" t="s">
        <v>400</v>
      </c>
      <c r="AM1777" s="145" t="s">
        <v>400</v>
      </c>
    </row>
    <row r="1778" spans="1:39">
      <c r="A1778" s="143" t="s">
        <v>2838</v>
      </c>
      <c r="B1778" s="144">
        <v>100</v>
      </c>
      <c r="C1778" s="145">
        <v>84.504000000000005</v>
      </c>
      <c r="D1778" s="145">
        <v>7.0000000000000007E-2</v>
      </c>
      <c r="E1778" s="145" t="s">
        <v>400</v>
      </c>
      <c r="F1778" s="145" t="s">
        <v>400</v>
      </c>
      <c r="G1778" s="145" t="s">
        <v>400</v>
      </c>
      <c r="H1778" s="145" t="s">
        <v>400</v>
      </c>
      <c r="I1778" s="145" t="s">
        <v>400</v>
      </c>
      <c r="J1778" s="145" t="s">
        <v>400</v>
      </c>
      <c r="K1778" s="145" t="s">
        <v>400</v>
      </c>
      <c r="L1778" s="145">
        <v>2.5950000000000002</v>
      </c>
      <c r="M1778" s="145" t="s">
        <v>400</v>
      </c>
      <c r="N1778" s="145">
        <v>7.9530000000000003</v>
      </c>
      <c r="O1778" s="145">
        <v>11.93</v>
      </c>
      <c r="P1778" s="145">
        <v>0.13100000000000001</v>
      </c>
      <c r="Q1778" s="145">
        <v>22.866</v>
      </c>
      <c r="R1778" s="145">
        <v>0.45700000000000002</v>
      </c>
      <c r="S1778" s="145">
        <v>3.9769999999999999</v>
      </c>
      <c r="T1778" s="145">
        <v>126.258</v>
      </c>
      <c r="U1778" s="145">
        <v>1.0999999999999999E-2</v>
      </c>
      <c r="V1778" s="145">
        <v>0.13900000000000001</v>
      </c>
      <c r="W1778" s="145" t="s">
        <v>400</v>
      </c>
      <c r="X1778" s="145">
        <v>5.0000000000000001E-3</v>
      </c>
      <c r="Y1778" s="145">
        <v>3.1E-2</v>
      </c>
      <c r="Z1778" s="146">
        <v>5.7000000000000002E-2</v>
      </c>
      <c r="AA1778" s="145">
        <v>0.223</v>
      </c>
      <c r="AB1778" s="145" t="s">
        <v>400</v>
      </c>
      <c r="AC1778" s="145">
        <v>0.223</v>
      </c>
      <c r="AD1778" s="145" t="s">
        <v>400</v>
      </c>
      <c r="AE1778" s="145">
        <v>0.99399999999999999</v>
      </c>
      <c r="AF1778" s="145" t="s">
        <v>400</v>
      </c>
      <c r="AG1778" s="145" t="s">
        <v>400</v>
      </c>
      <c r="AH1778" s="145" t="s">
        <v>400</v>
      </c>
      <c r="AI1778" s="145" t="s">
        <v>400</v>
      </c>
      <c r="AJ1778" s="145">
        <v>0.19900000000000001</v>
      </c>
      <c r="AK1778" s="145">
        <v>8.3000000000000004E-2</v>
      </c>
      <c r="AL1778" s="145">
        <v>2.3E-2</v>
      </c>
      <c r="AM1778" s="145" t="s">
        <v>400</v>
      </c>
    </row>
    <row r="1779" spans="1:39">
      <c r="A1779" s="143" t="s">
        <v>2839</v>
      </c>
      <c r="B1779" s="144">
        <v>100</v>
      </c>
      <c r="C1779" s="145">
        <v>216</v>
      </c>
      <c r="D1779" s="145" t="s">
        <v>400</v>
      </c>
      <c r="E1779" s="145" t="s">
        <v>400</v>
      </c>
      <c r="F1779" s="145" t="s">
        <v>400</v>
      </c>
      <c r="G1779" s="145" t="s">
        <v>400</v>
      </c>
      <c r="H1779" s="145" t="s">
        <v>400</v>
      </c>
      <c r="I1779" s="145" t="s">
        <v>400</v>
      </c>
      <c r="J1779" s="145" t="s">
        <v>400</v>
      </c>
      <c r="K1779" s="145" t="s">
        <v>400</v>
      </c>
      <c r="L1779" s="145" t="s">
        <v>400</v>
      </c>
      <c r="M1779" s="145" t="s">
        <v>400</v>
      </c>
      <c r="N1779" s="145" t="s">
        <v>400</v>
      </c>
      <c r="O1779" s="145" t="s">
        <v>400</v>
      </c>
      <c r="P1779" s="145" t="s">
        <v>400</v>
      </c>
      <c r="Q1779" s="145" t="s">
        <v>400</v>
      </c>
      <c r="R1779" s="145" t="s">
        <v>400</v>
      </c>
      <c r="S1779" s="145">
        <v>3</v>
      </c>
      <c r="T1779" s="145" t="s">
        <v>400</v>
      </c>
      <c r="U1779" s="145">
        <v>0.06</v>
      </c>
      <c r="V1779" s="145" t="s">
        <v>400</v>
      </c>
      <c r="W1779" s="145" t="s">
        <v>400</v>
      </c>
      <c r="X1779" s="145" t="s">
        <v>400</v>
      </c>
      <c r="Y1779" s="145" t="s">
        <v>400</v>
      </c>
      <c r="Z1779" s="146" t="s">
        <v>400</v>
      </c>
      <c r="AA1779" s="145" t="s">
        <v>400</v>
      </c>
      <c r="AB1779" s="145" t="s">
        <v>400</v>
      </c>
      <c r="AC1779" s="145" t="s">
        <v>400</v>
      </c>
      <c r="AD1779" s="145" t="s">
        <v>400</v>
      </c>
      <c r="AE1779" s="145" t="s">
        <v>400</v>
      </c>
      <c r="AF1779" s="145" t="s">
        <v>400</v>
      </c>
      <c r="AG1779" s="145" t="s">
        <v>400</v>
      </c>
      <c r="AH1779" s="145" t="s">
        <v>400</v>
      </c>
      <c r="AI1779" s="145" t="s">
        <v>400</v>
      </c>
      <c r="AJ1779" s="145" t="s">
        <v>400</v>
      </c>
      <c r="AK1779" s="145" t="s">
        <v>400</v>
      </c>
      <c r="AL1779" s="145" t="s">
        <v>400</v>
      </c>
      <c r="AM1779" s="145" t="s">
        <v>400</v>
      </c>
    </row>
    <row r="1780" spans="1:39">
      <c r="A1780" s="143" t="s">
        <v>2840</v>
      </c>
      <c r="B1780" s="144">
        <v>100</v>
      </c>
      <c r="C1780" s="145">
        <v>187.38</v>
      </c>
      <c r="D1780" s="145">
        <v>0.54100000000000004</v>
      </c>
      <c r="E1780" s="145">
        <v>3.6930000000000001</v>
      </c>
      <c r="F1780" s="145">
        <v>3.2320000000000002</v>
      </c>
      <c r="G1780" s="145">
        <v>0.161</v>
      </c>
      <c r="H1780" s="145">
        <v>5.8000000000000003E-2</v>
      </c>
      <c r="I1780" s="145">
        <v>0.05</v>
      </c>
      <c r="J1780" s="145">
        <v>8.0000000000000002E-3</v>
      </c>
      <c r="K1780" s="145" t="s">
        <v>400</v>
      </c>
      <c r="L1780" s="145">
        <v>22.143999999999998</v>
      </c>
      <c r="M1780" s="145">
        <v>0.32</v>
      </c>
      <c r="N1780" s="145">
        <v>7.0739999999999998</v>
      </c>
      <c r="O1780" s="145">
        <v>8.2579999999999991</v>
      </c>
      <c r="P1780" s="145">
        <v>0.36599999999999999</v>
      </c>
      <c r="Q1780" s="145">
        <v>17.535</v>
      </c>
      <c r="R1780" s="145">
        <v>0.39</v>
      </c>
      <c r="S1780" s="145">
        <v>1.6020000000000001</v>
      </c>
      <c r="T1780" s="145">
        <v>92.644000000000005</v>
      </c>
      <c r="U1780" s="145">
        <v>7.5999999999999998E-2</v>
      </c>
      <c r="V1780" s="145">
        <v>0.161</v>
      </c>
      <c r="W1780" s="145" t="s">
        <v>400</v>
      </c>
      <c r="X1780" s="145">
        <v>3.1E-2</v>
      </c>
      <c r="Y1780" s="145">
        <v>1.2999999999999999E-2</v>
      </c>
      <c r="Z1780" s="146">
        <v>0.05</v>
      </c>
      <c r="AA1780" s="145">
        <v>0.185</v>
      </c>
      <c r="AB1780" s="145">
        <v>4.7270000000000003</v>
      </c>
      <c r="AC1780" s="145">
        <v>0.25900000000000001</v>
      </c>
      <c r="AD1780" s="145" t="s">
        <v>400</v>
      </c>
      <c r="AE1780" s="145">
        <v>10.393000000000001</v>
      </c>
      <c r="AF1780" s="145" t="s">
        <v>400</v>
      </c>
      <c r="AG1780" s="145">
        <v>2.5000000000000001E-2</v>
      </c>
      <c r="AH1780" s="145" t="s">
        <v>400</v>
      </c>
      <c r="AI1780" s="146" t="s">
        <v>400</v>
      </c>
      <c r="AJ1780" s="145">
        <v>0.24399999999999999</v>
      </c>
      <c r="AK1780" s="145">
        <v>0.111</v>
      </c>
      <c r="AL1780" s="145">
        <v>20.777999999999999</v>
      </c>
      <c r="AM1780" s="145">
        <v>15.742000000000001</v>
      </c>
    </row>
    <row r="1781" spans="1:39">
      <c r="A1781" s="143" t="s">
        <v>2841</v>
      </c>
      <c r="B1781" s="144">
        <v>100</v>
      </c>
      <c r="C1781" s="145">
        <v>143.899</v>
      </c>
      <c r="D1781" s="145">
        <v>0.104</v>
      </c>
      <c r="E1781" s="145">
        <v>0.1</v>
      </c>
      <c r="F1781" s="145">
        <v>0.01</v>
      </c>
      <c r="G1781" s="145">
        <v>3.0000000000000001E-3</v>
      </c>
      <c r="H1781" s="145">
        <v>2.1999999999999999E-2</v>
      </c>
      <c r="I1781" s="145">
        <v>1.6E-2</v>
      </c>
      <c r="J1781" s="145">
        <v>6.0000000000000001E-3</v>
      </c>
      <c r="K1781" s="145" t="s">
        <v>400</v>
      </c>
      <c r="L1781" s="145">
        <v>37.896999999999998</v>
      </c>
      <c r="M1781" s="145">
        <v>0.104</v>
      </c>
      <c r="N1781" s="145">
        <v>5.7469999999999999</v>
      </c>
      <c r="O1781" s="145">
        <v>2.5470000000000002</v>
      </c>
      <c r="P1781" s="145">
        <v>5.0000000000000001E-3</v>
      </c>
      <c r="Q1781" s="145">
        <v>2.339</v>
      </c>
      <c r="R1781" s="145">
        <v>3.5999999999999997E-2</v>
      </c>
      <c r="S1781" s="145">
        <v>14.382</v>
      </c>
      <c r="T1781" s="145">
        <v>27.169</v>
      </c>
      <c r="U1781" s="145">
        <v>1.2999999999999999E-2</v>
      </c>
      <c r="V1781" s="145">
        <v>7.2999999999999995E-2</v>
      </c>
      <c r="W1781" s="145" t="s">
        <v>400</v>
      </c>
      <c r="X1781" s="145">
        <v>1.7999999999999999E-2</v>
      </c>
      <c r="Y1781" s="145">
        <v>7.0000000000000001E-3</v>
      </c>
      <c r="Z1781" s="146">
        <v>1.0999999999999999E-2</v>
      </c>
      <c r="AA1781" s="145">
        <v>5.0999999999999997E-2</v>
      </c>
      <c r="AB1781" s="145">
        <v>6.4459999999999997</v>
      </c>
      <c r="AC1781" s="145">
        <v>5.0999999999999997E-2</v>
      </c>
      <c r="AD1781" s="145" t="s">
        <v>400</v>
      </c>
      <c r="AE1781" s="145">
        <v>2.5990000000000002</v>
      </c>
      <c r="AF1781" s="145" t="s">
        <v>400</v>
      </c>
      <c r="AG1781" s="145">
        <v>3.9E-2</v>
      </c>
      <c r="AH1781" s="145" t="s">
        <v>400</v>
      </c>
      <c r="AI1781" s="145" t="s">
        <v>400</v>
      </c>
      <c r="AJ1781" s="145">
        <v>0.27200000000000002</v>
      </c>
      <c r="AK1781" s="145">
        <v>0.184</v>
      </c>
      <c r="AL1781" s="145">
        <v>32.076000000000001</v>
      </c>
      <c r="AM1781" s="145">
        <v>36.213000000000001</v>
      </c>
    </row>
    <row r="1782" spans="1:39">
      <c r="A1782" s="143" t="s">
        <v>2842</v>
      </c>
      <c r="B1782" s="144">
        <v>100</v>
      </c>
      <c r="C1782" s="145">
        <v>216</v>
      </c>
      <c r="D1782" s="145" t="s">
        <v>400</v>
      </c>
      <c r="E1782" s="145" t="s">
        <v>400</v>
      </c>
      <c r="F1782" s="145" t="s">
        <v>400</v>
      </c>
      <c r="G1782" s="145" t="s">
        <v>400</v>
      </c>
      <c r="H1782" s="145" t="s">
        <v>400</v>
      </c>
      <c r="I1782" s="145" t="s">
        <v>400</v>
      </c>
      <c r="J1782" s="145" t="s">
        <v>400</v>
      </c>
      <c r="K1782" s="145" t="s">
        <v>400</v>
      </c>
      <c r="L1782" s="145" t="s">
        <v>400</v>
      </c>
      <c r="M1782" s="145" t="s">
        <v>400</v>
      </c>
      <c r="N1782" s="145" t="s">
        <v>400</v>
      </c>
      <c r="O1782" s="145" t="s">
        <v>400</v>
      </c>
      <c r="P1782" s="145" t="s">
        <v>400</v>
      </c>
      <c r="Q1782" s="145" t="s">
        <v>400</v>
      </c>
      <c r="R1782" s="145" t="s">
        <v>400</v>
      </c>
      <c r="S1782" s="145">
        <v>3</v>
      </c>
      <c r="T1782" s="145" t="s">
        <v>400</v>
      </c>
      <c r="U1782" s="145">
        <v>0.06</v>
      </c>
      <c r="V1782" s="145" t="s">
        <v>400</v>
      </c>
      <c r="W1782" s="145" t="s">
        <v>400</v>
      </c>
      <c r="X1782" s="145" t="s">
        <v>400</v>
      </c>
      <c r="Y1782" s="145" t="s">
        <v>400</v>
      </c>
      <c r="Z1782" s="146" t="s">
        <v>400</v>
      </c>
      <c r="AA1782" s="145" t="s">
        <v>400</v>
      </c>
      <c r="AB1782" s="145" t="s">
        <v>400</v>
      </c>
      <c r="AC1782" s="145" t="s">
        <v>400</v>
      </c>
      <c r="AD1782" s="145" t="s">
        <v>400</v>
      </c>
      <c r="AE1782" s="145" t="s">
        <v>400</v>
      </c>
      <c r="AF1782" s="145" t="s">
        <v>400</v>
      </c>
      <c r="AG1782" s="145" t="s">
        <v>400</v>
      </c>
      <c r="AH1782" s="145" t="s">
        <v>400</v>
      </c>
      <c r="AI1782" s="145" t="s">
        <v>400</v>
      </c>
      <c r="AJ1782" s="145" t="s">
        <v>400</v>
      </c>
      <c r="AK1782" s="145" t="s">
        <v>400</v>
      </c>
      <c r="AL1782" s="145" t="s">
        <v>400</v>
      </c>
      <c r="AM1782" s="145" t="s">
        <v>400</v>
      </c>
    </row>
    <row r="1783" spans="1:39">
      <c r="A1783" s="143" t="s">
        <v>2843</v>
      </c>
      <c r="B1783" s="144">
        <v>100</v>
      </c>
      <c r="C1783" s="145">
        <v>84.504000000000005</v>
      </c>
      <c r="D1783" s="145">
        <v>7.0000000000000007E-2</v>
      </c>
      <c r="E1783" s="145" t="s">
        <v>400</v>
      </c>
      <c r="F1783" s="145" t="s">
        <v>400</v>
      </c>
      <c r="G1783" s="145" t="s">
        <v>400</v>
      </c>
      <c r="H1783" s="145" t="s">
        <v>400</v>
      </c>
      <c r="I1783" s="145" t="s">
        <v>400</v>
      </c>
      <c r="J1783" s="145" t="s">
        <v>400</v>
      </c>
      <c r="K1783" s="145" t="s">
        <v>400</v>
      </c>
      <c r="L1783" s="145">
        <v>2.5950000000000002</v>
      </c>
      <c r="M1783" s="145" t="s">
        <v>400</v>
      </c>
      <c r="N1783" s="145">
        <v>7.9530000000000003</v>
      </c>
      <c r="O1783" s="145">
        <v>11.93</v>
      </c>
      <c r="P1783" s="145">
        <v>0.13100000000000001</v>
      </c>
      <c r="Q1783" s="145">
        <v>22.866</v>
      </c>
      <c r="R1783" s="145">
        <v>0.45700000000000002</v>
      </c>
      <c r="S1783" s="145">
        <v>3.9769999999999999</v>
      </c>
      <c r="T1783" s="145">
        <v>126.258</v>
      </c>
      <c r="U1783" s="145">
        <v>1.0999999999999999E-2</v>
      </c>
      <c r="V1783" s="145">
        <v>0.13900000000000001</v>
      </c>
      <c r="W1783" s="145" t="s">
        <v>400</v>
      </c>
      <c r="X1783" s="145">
        <v>5.0000000000000001E-3</v>
      </c>
      <c r="Y1783" s="145">
        <v>3.1E-2</v>
      </c>
      <c r="Z1783" s="146">
        <v>5.7000000000000002E-2</v>
      </c>
      <c r="AA1783" s="145">
        <v>0.223</v>
      </c>
      <c r="AB1783" s="145" t="s">
        <v>400</v>
      </c>
      <c r="AC1783" s="145">
        <v>0.223</v>
      </c>
      <c r="AD1783" s="145" t="s">
        <v>400</v>
      </c>
      <c r="AE1783" s="145">
        <v>0.99399999999999999</v>
      </c>
      <c r="AF1783" s="145" t="s">
        <v>400</v>
      </c>
      <c r="AG1783" s="145" t="s">
        <v>400</v>
      </c>
      <c r="AH1783" s="145" t="s">
        <v>400</v>
      </c>
      <c r="AI1783" s="145" t="s">
        <v>400</v>
      </c>
      <c r="AJ1783" s="145">
        <v>0.19900000000000001</v>
      </c>
      <c r="AK1783" s="145">
        <v>8.3000000000000004E-2</v>
      </c>
      <c r="AL1783" s="145">
        <v>2.3E-2</v>
      </c>
      <c r="AM1783" s="145" t="s">
        <v>400</v>
      </c>
    </row>
    <row r="1784" spans="1:39">
      <c r="A1784" s="143" t="s">
        <v>2844</v>
      </c>
      <c r="B1784" s="144">
        <v>100</v>
      </c>
      <c r="C1784" s="145">
        <v>29</v>
      </c>
      <c r="D1784" s="145">
        <v>0.24</v>
      </c>
      <c r="E1784" s="145" t="s">
        <v>400</v>
      </c>
      <c r="F1784" s="145" t="s">
        <v>400</v>
      </c>
      <c r="G1784" s="145" t="s">
        <v>400</v>
      </c>
      <c r="H1784" s="145" t="s">
        <v>400</v>
      </c>
      <c r="I1784" s="145" t="s">
        <v>400</v>
      </c>
      <c r="J1784" s="145" t="s">
        <v>400</v>
      </c>
      <c r="K1784" s="145" t="s">
        <v>400</v>
      </c>
      <c r="L1784" s="145">
        <v>1.64</v>
      </c>
      <c r="M1784" s="145" t="s">
        <v>400</v>
      </c>
      <c r="N1784" s="145">
        <v>4</v>
      </c>
      <c r="O1784" s="145">
        <v>5</v>
      </c>
      <c r="P1784" s="145">
        <v>6.0000000000000001E-3</v>
      </c>
      <c r="Q1784" s="145">
        <v>12</v>
      </c>
      <c r="R1784" s="145">
        <v>0.03</v>
      </c>
      <c r="S1784" s="145">
        <v>4</v>
      </c>
      <c r="T1784" s="145">
        <v>21</v>
      </c>
      <c r="U1784" s="145">
        <v>6.0000000000000001E-3</v>
      </c>
      <c r="V1784" s="145">
        <v>0.01</v>
      </c>
      <c r="W1784" s="145" t="s">
        <v>400</v>
      </c>
      <c r="X1784" s="145">
        <v>5.0000000000000001E-3</v>
      </c>
      <c r="Y1784" s="145">
        <v>1.4999999999999999E-2</v>
      </c>
      <c r="Z1784" s="146">
        <v>3.4000000000000002E-2</v>
      </c>
      <c r="AA1784" s="145">
        <v>0.39100000000000001</v>
      </c>
      <c r="AB1784" s="145" t="s">
        <v>400</v>
      </c>
      <c r="AC1784" s="145">
        <v>0.39100000000000001</v>
      </c>
      <c r="AD1784" s="145">
        <v>0.02</v>
      </c>
      <c r="AE1784" s="145">
        <v>6</v>
      </c>
      <c r="AF1784" s="145" t="s">
        <v>400</v>
      </c>
      <c r="AG1784" s="145" t="s">
        <v>400</v>
      </c>
      <c r="AH1784" s="145" t="s">
        <v>400</v>
      </c>
      <c r="AI1784" s="146" t="s">
        <v>400</v>
      </c>
      <c r="AJ1784" s="145">
        <v>0.4</v>
      </c>
      <c r="AK1784" s="145" t="s">
        <v>400</v>
      </c>
      <c r="AL1784" s="145">
        <v>0.09</v>
      </c>
      <c r="AM1784" s="145" t="s">
        <v>400</v>
      </c>
    </row>
    <row r="1785" spans="1:39">
      <c r="A1785" s="143" t="s">
        <v>2845</v>
      </c>
      <c r="B1785" s="144">
        <v>100</v>
      </c>
      <c r="C1785" s="145">
        <v>216</v>
      </c>
      <c r="D1785" s="145" t="s">
        <v>400</v>
      </c>
      <c r="E1785" s="145" t="s">
        <v>400</v>
      </c>
      <c r="F1785" s="145" t="s">
        <v>400</v>
      </c>
      <c r="G1785" s="145" t="s">
        <v>400</v>
      </c>
      <c r="H1785" s="145" t="s">
        <v>400</v>
      </c>
      <c r="I1785" s="145" t="s">
        <v>400</v>
      </c>
      <c r="J1785" s="145" t="s">
        <v>400</v>
      </c>
      <c r="K1785" s="145" t="s">
        <v>400</v>
      </c>
      <c r="L1785" s="145" t="s">
        <v>400</v>
      </c>
      <c r="M1785" s="145" t="s">
        <v>400</v>
      </c>
      <c r="N1785" s="145" t="s">
        <v>400</v>
      </c>
      <c r="O1785" s="145" t="s">
        <v>400</v>
      </c>
      <c r="P1785" s="145" t="s">
        <v>400</v>
      </c>
      <c r="Q1785" s="145" t="s">
        <v>400</v>
      </c>
      <c r="R1785" s="145" t="s">
        <v>400</v>
      </c>
      <c r="S1785" s="145">
        <v>3</v>
      </c>
      <c r="T1785" s="145" t="s">
        <v>400</v>
      </c>
      <c r="U1785" s="145">
        <v>0.06</v>
      </c>
      <c r="V1785" s="145" t="s">
        <v>400</v>
      </c>
      <c r="W1785" s="145" t="s">
        <v>400</v>
      </c>
      <c r="X1785" s="145" t="s">
        <v>400</v>
      </c>
      <c r="Y1785" s="145" t="s">
        <v>400</v>
      </c>
      <c r="Z1785" s="146" t="s">
        <v>400</v>
      </c>
      <c r="AA1785" s="145" t="s">
        <v>400</v>
      </c>
      <c r="AB1785" s="145" t="s">
        <v>400</v>
      </c>
      <c r="AC1785" s="145" t="s">
        <v>400</v>
      </c>
      <c r="AD1785" s="145" t="s">
        <v>400</v>
      </c>
      <c r="AE1785" s="145" t="s">
        <v>400</v>
      </c>
      <c r="AF1785" s="145" t="s">
        <v>400</v>
      </c>
      <c r="AG1785" s="145" t="s">
        <v>400</v>
      </c>
      <c r="AH1785" s="145" t="s">
        <v>400</v>
      </c>
      <c r="AI1785" s="145" t="s">
        <v>400</v>
      </c>
      <c r="AJ1785" s="145" t="s">
        <v>400</v>
      </c>
      <c r="AK1785" s="145" t="s">
        <v>400</v>
      </c>
      <c r="AL1785" s="145" t="s">
        <v>400</v>
      </c>
      <c r="AM1785" s="145" t="s">
        <v>400</v>
      </c>
    </row>
    <row r="1786" spans="1:39">
      <c r="A1786" s="143" t="s">
        <v>2846</v>
      </c>
      <c r="B1786" s="144">
        <v>100</v>
      </c>
      <c r="C1786" s="145">
        <v>887.80499999999995</v>
      </c>
      <c r="D1786" s="145" t="s">
        <v>400</v>
      </c>
      <c r="E1786" s="145">
        <v>100.43</v>
      </c>
      <c r="F1786" s="145">
        <v>13.867000000000001</v>
      </c>
      <c r="G1786" s="145">
        <v>73.275000000000006</v>
      </c>
      <c r="H1786" s="145">
        <v>10.568</v>
      </c>
      <c r="I1786" s="145">
        <v>9.8040000000000003</v>
      </c>
      <c r="J1786" s="145">
        <v>0.76400000000000001</v>
      </c>
      <c r="K1786" s="145" t="s">
        <v>400</v>
      </c>
      <c r="L1786" s="145" t="s">
        <v>400</v>
      </c>
      <c r="M1786" s="145" t="s">
        <v>400</v>
      </c>
      <c r="N1786" s="145">
        <v>1.004</v>
      </c>
      <c r="O1786" s="145" t="s">
        <v>400</v>
      </c>
      <c r="P1786" s="145" t="s">
        <v>400</v>
      </c>
      <c r="Q1786" s="145" t="s">
        <v>400</v>
      </c>
      <c r="R1786" s="145">
        <v>0.56200000000000006</v>
      </c>
      <c r="S1786" s="145">
        <v>2.0089999999999999</v>
      </c>
      <c r="T1786" s="145">
        <v>1.004</v>
      </c>
      <c r="U1786" s="145" t="s">
        <v>400</v>
      </c>
      <c r="V1786" s="145" t="s">
        <v>400</v>
      </c>
      <c r="W1786" s="145" t="s">
        <v>400</v>
      </c>
      <c r="X1786" s="145" t="s">
        <v>400</v>
      </c>
      <c r="Y1786" s="145" t="s">
        <v>400</v>
      </c>
      <c r="Z1786" s="146" t="s">
        <v>400</v>
      </c>
      <c r="AA1786" s="145" t="s">
        <v>400</v>
      </c>
      <c r="AB1786" s="145" t="s">
        <v>400</v>
      </c>
      <c r="AC1786" s="145" t="s">
        <v>400</v>
      </c>
      <c r="AD1786" s="145" t="s">
        <v>400</v>
      </c>
      <c r="AE1786" s="145" t="s">
        <v>400</v>
      </c>
      <c r="AF1786" s="145" t="s">
        <v>400</v>
      </c>
      <c r="AG1786" s="145">
        <v>14.412000000000001</v>
      </c>
      <c r="AH1786" s="145">
        <v>0.161</v>
      </c>
      <c r="AI1786" s="145" t="s">
        <v>400</v>
      </c>
      <c r="AJ1786" s="145" t="s">
        <v>400</v>
      </c>
      <c r="AK1786" s="145" t="s">
        <v>400</v>
      </c>
      <c r="AL1786" s="145" t="s">
        <v>400</v>
      </c>
      <c r="AM1786" s="145" t="s">
        <v>400</v>
      </c>
    </row>
    <row r="1787" spans="1:39">
      <c r="A1787" s="143" t="s">
        <v>2847</v>
      </c>
      <c r="B1787" s="144">
        <v>100</v>
      </c>
      <c r="C1787" s="145">
        <v>879.73400000000004</v>
      </c>
      <c r="D1787" s="145" t="s">
        <v>400</v>
      </c>
      <c r="E1787" s="145">
        <v>99.516999999999996</v>
      </c>
      <c r="F1787" s="145">
        <v>15.574</v>
      </c>
      <c r="G1787" s="145">
        <v>22.672999999999998</v>
      </c>
      <c r="H1787" s="145">
        <v>57.460999999999999</v>
      </c>
      <c r="I1787" s="145">
        <v>50.706000000000003</v>
      </c>
      <c r="J1787" s="145">
        <v>6.7560000000000002</v>
      </c>
      <c r="K1787" s="145" t="s">
        <v>400</v>
      </c>
      <c r="L1787" s="145" t="s">
        <v>400</v>
      </c>
      <c r="M1787" s="145" t="s">
        <v>400</v>
      </c>
      <c r="N1787" s="145" t="s">
        <v>400</v>
      </c>
      <c r="O1787" s="145" t="s">
        <v>400</v>
      </c>
      <c r="P1787" s="145" t="s">
        <v>400</v>
      </c>
      <c r="Q1787" s="145" t="s">
        <v>400</v>
      </c>
      <c r="R1787" s="145">
        <v>0.05</v>
      </c>
      <c r="S1787" s="145" t="s">
        <v>400</v>
      </c>
      <c r="T1787" s="145" t="s">
        <v>400</v>
      </c>
      <c r="U1787" s="145" t="s">
        <v>400</v>
      </c>
      <c r="V1787" s="145">
        <v>0.01</v>
      </c>
      <c r="W1787" s="145" t="s">
        <v>400</v>
      </c>
      <c r="X1787" s="145" t="s">
        <v>400</v>
      </c>
      <c r="Y1787" s="145" t="s">
        <v>400</v>
      </c>
      <c r="Z1787" s="146" t="s">
        <v>400</v>
      </c>
      <c r="AA1787" s="145" t="s">
        <v>400</v>
      </c>
      <c r="AB1787" s="145" t="s">
        <v>400</v>
      </c>
      <c r="AC1787" s="145" t="s">
        <v>400</v>
      </c>
      <c r="AD1787" s="145" t="s">
        <v>400</v>
      </c>
      <c r="AE1787" s="145" t="s">
        <v>400</v>
      </c>
      <c r="AF1787" s="145" t="s">
        <v>400</v>
      </c>
      <c r="AG1787" s="145">
        <v>8.141</v>
      </c>
      <c r="AH1787" s="145">
        <v>0.53</v>
      </c>
      <c r="AI1787" s="145" t="s">
        <v>400</v>
      </c>
      <c r="AJ1787" s="145">
        <v>45.609000000000002</v>
      </c>
      <c r="AK1787" s="145" t="s">
        <v>400</v>
      </c>
      <c r="AL1787" s="145" t="s">
        <v>400</v>
      </c>
      <c r="AM1787" s="145" t="s">
        <v>400</v>
      </c>
    </row>
    <row r="1788" spans="1:39">
      <c r="A1788" s="143" t="s">
        <v>2848</v>
      </c>
      <c r="B1788" s="144">
        <v>100</v>
      </c>
      <c r="C1788" s="145">
        <v>902</v>
      </c>
      <c r="D1788" s="145" t="s">
        <v>400</v>
      </c>
      <c r="E1788" s="145">
        <v>100</v>
      </c>
      <c r="F1788" s="145">
        <v>39.200000000000003</v>
      </c>
      <c r="G1788" s="145">
        <v>45.1</v>
      </c>
      <c r="H1788" s="145">
        <v>11.2</v>
      </c>
      <c r="I1788" s="145">
        <v>10.199999999999999</v>
      </c>
      <c r="J1788" s="145">
        <v>1</v>
      </c>
      <c r="K1788" s="145">
        <v>95</v>
      </c>
      <c r="L1788" s="145" t="s">
        <v>400</v>
      </c>
      <c r="M1788" s="145" t="s">
        <v>400</v>
      </c>
      <c r="N1788" s="145" t="s">
        <v>400</v>
      </c>
      <c r="O1788" s="145" t="s">
        <v>400</v>
      </c>
      <c r="P1788" s="145" t="s">
        <v>400</v>
      </c>
      <c r="Q1788" s="145" t="s">
        <v>400</v>
      </c>
      <c r="R1788" s="145" t="s">
        <v>400</v>
      </c>
      <c r="S1788" s="145" t="s">
        <v>400</v>
      </c>
      <c r="T1788" s="145" t="s">
        <v>400</v>
      </c>
      <c r="U1788" s="145">
        <v>7.0000000000000007E-2</v>
      </c>
      <c r="V1788" s="145">
        <v>0.11</v>
      </c>
      <c r="W1788" s="145" t="s">
        <v>400</v>
      </c>
      <c r="X1788" s="145" t="s">
        <v>400</v>
      </c>
      <c r="Y1788" s="145" t="s">
        <v>400</v>
      </c>
      <c r="Z1788" s="146">
        <v>0.02</v>
      </c>
      <c r="AA1788" s="145" t="s">
        <v>400</v>
      </c>
      <c r="AB1788" s="145" t="s">
        <v>400</v>
      </c>
      <c r="AC1788" s="145" t="s">
        <v>400</v>
      </c>
      <c r="AD1788" s="145" t="s">
        <v>400</v>
      </c>
      <c r="AE1788" s="145" t="s">
        <v>400</v>
      </c>
      <c r="AF1788" s="145" t="s">
        <v>400</v>
      </c>
      <c r="AG1788" s="145">
        <v>0.6</v>
      </c>
      <c r="AH1788" s="145">
        <v>1.08</v>
      </c>
      <c r="AI1788" s="146" t="s">
        <v>400</v>
      </c>
      <c r="AJ1788" s="145">
        <v>0.2</v>
      </c>
      <c r="AK1788" s="145" t="s">
        <v>400</v>
      </c>
      <c r="AL1788" s="145" t="s">
        <v>400</v>
      </c>
      <c r="AM1788" s="145" t="s">
        <v>400</v>
      </c>
    </row>
    <row r="1789" spans="1:39">
      <c r="A1789" s="143" t="s">
        <v>2849</v>
      </c>
      <c r="B1789" s="144">
        <v>100</v>
      </c>
      <c r="C1789" s="145">
        <v>680</v>
      </c>
      <c r="D1789" s="145">
        <v>10.65</v>
      </c>
      <c r="E1789" s="145">
        <v>70.33</v>
      </c>
      <c r="F1789" s="145">
        <v>28.5</v>
      </c>
      <c r="G1789" s="145">
        <v>30.45</v>
      </c>
      <c r="H1789" s="145">
        <v>2.66</v>
      </c>
      <c r="I1789" s="145">
        <v>1.62</v>
      </c>
      <c r="J1789" s="145">
        <v>1.04</v>
      </c>
      <c r="K1789" s="145">
        <v>95</v>
      </c>
      <c r="L1789" s="145" t="s">
        <v>400</v>
      </c>
      <c r="M1789" s="145" t="s">
        <v>400</v>
      </c>
      <c r="N1789" s="145">
        <v>19</v>
      </c>
      <c r="O1789" s="145">
        <v>6</v>
      </c>
      <c r="P1789" s="145" t="s">
        <v>400</v>
      </c>
      <c r="Q1789" s="145">
        <v>64</v>
      </c>
      <c r="R1789" s="145">
        <v>1.08</v>
      </c>
      <c r="S1789" s="145">
        <v>23</v>
      </c>
      <c r="T1789" s="145">
        <v>99</v>
      </c>
      <c r="U1789" s="145">
        <v>0.04</v>
      </c>
      <c r="V1789" s="145">
        <v>1.24</v>
      </c>
      <c r="W1789" s="145" t="s">
        <v>400</v>
      </c>
      <c r="X1789" s="145">
        <v>0.03</v>
      </c>
      <c r="Y1789" s="145">
        <v>4.5999999999999999E-2</v>
      </c>
      <c r="Z1789" s="146">
        <v>0.14000000000000001</v>
      </c>
      <c r="AA1789" s="145">
        <v>1.528</v>
      </c>
      <c r="AB1789" s="145" t="s">
        <v>400</v>
      </c>
      <c r="AC1789" s="145">
        <v>2.6949999999999998</v>
      </c>
      <c r="AD1789" s="145">
        <v>0.9</v>
      </c>
      <c r="AE1789" s="145" t="s">
        <v>400</v>
      </c>
      <c r="AF1789" s="145" t="s">
        <v>400</v>
      </c>
      <c r="AG1789" s="145" t="s">
        <v>400</v>
      </c>
      <c r="AH1789" s="145">
        <v>3.38</v>
      </c>
      <c r="AI1789" s="146" t="s">
        <v>400</v>
      </c>
      <c r="AJ1789" s="145">
        <v>8.3000000000000007</v>
      </c>
      <c r="AK1789" s="145" t="s">
        <v>400</v>
      </c>
      <c r="AL1789" s="145" t="s">
        <v>400</v>
      </c>
      <c r="AM1789" s="145" t="s">
        <v>400</v>
      </c>
    </row>
    <row r="1790" spans="1:39">
      <c r="A1790" s="143" t="s">
        <v>2850</v>
      </c>
      <c r="B1790" s="144">
        <v>100</v>
      </c>
      <c r="C1790" s="145">
        <v>879.73400000000004</v>
      </c>
      <c r="D1790" s="145" t="s">
        <v>400</v>
      </c>
      <c r="E1790" s="145">
        <v>99.516999999999996</v>
      </c>
      <c r="F1790" s="145">
        <v>15.574</v>
      </c>
      <c r="G1790" s="145">
        <v>22.672999999999998</v>
      </c>
      <c r="H1790" s="145">
        <v>57.460999999999999</v>
      </c>
      <c r="I1790" s="145">
        <v>50.706000000000003</v>
      </c>
      <c r="J1790" s="145">
        <v>6.7560000000000002</v>
      </c>
      <c r="K1790" s="145" t="s">
        <v>400</v>
      </c>
      <c r="L1790" s="145" t="s">
        <v>400</v>
      </c>
      <c r="M1790" s="145" t="s">
        <v>400</v>
      </c>
      <c r="N1790" s="145" t="s">
        <v>400</v>
      </c>
      <c r="O1790" s="145" t="s">
        <v>400</v>
      </c>
      <c r="P1790" s="145" t="s">
        <v>400</v>
      </c>
      <c r="Q1790" s="145" t="s">
        <v>400</v>
      </c>
      <c r="R1790" s="145">
        <v>0.05</v>
      </c>
      <c r="S1790" s="145" t="s">
        <v>400</v>
      </c>
      <c r="T1790" s="145" t="s">
        <v>400</v>
      </c>
      <c r="U1790" s="145" t="s">
        <v>400</v>
      </c>
      <c r="V1790" s="145">
        <v>0.01</v>
      </c>
      <c r="W1790" s="145" t="s">
        <v>400</v>
      </c>
      <c r="X1790" s="145" t="s">
        <v>400</v>
      </c>
      <c r="Y1790" s="145" t="s">
        <v>400</v>
      </c>
      <c r="Z1790" s="146" t="s">
        <v>400</v>
      </c>
      <c r="AA1790" s="145" t="s">
        <v>400</v>
      </c>
      <c r="AB1790" s="145" t="s">
        <v>400</v>
      </c>
      <c r="AC1790" s="145" t="s">
        <v>400</v>
      </c>
      <c r="AD1790" s="145" t="s">
        <v>400</v>
      </c>
      <c r="AE1790" s="145" t="s">
        <v>400</v>
      </c>
      <c r="AF1790" s="145" t="s">
        <v>400</v>
      </c>
      <c r="AG1790" s="145">
        <v>8.141</v>
      </c>
      <c r="AH1790" s="145">
        <v>0.53</v>
      </c>
      <c r="AI1790" s="145" t="s">
        <v>400</v>
      </c>
      <c r="AJ1790" s="145">
        <v>45.609000000000002</v>
      </c>
      <c r="AK1790" s="145" t="s">
        <v>400</v>
      </c>
      <c r="AL1790" s="145" t="s">
        <v>400</v>
      </c>
      <c r="AM1790" s="145" t="s">
        <v>400</v>
      </c>
    </row>
    <row r="1791" spans="1:39">
      <c r="A1791" s="143" t="s">
        <v>2851</v>
      </c>
      <c r="B1791" s="144">
        <v>100</v>
      </c>
      <c r="C1791" s="145">
        <v>857.84</v>
      </c>
      <c r="D1791" s="145" t="s">
        <v>400</v>
      </c>
      <c r="E1791" s="145">
        <v>99.516999999999996</v>
      </c>
      <c r="F1791" s="145">
        <v>81.106999999999999</v>
      </c>
      <c r="G1791" s="145">
        <v>11.345000000000001</v>
      </c>
      <c r="H1791" s="145">
        <v>1.5920000000000001</v>
      </c>
      <c r="I1791" s="145">
        <v>1.5920000000000001</v>
      </c>
      <c r="J1791" s="145" t="s">
        <v>400</v>
      </c>
      <c r="K1791" s="145" t="s">
        <v>400</v>
      </c>
      <c r="L1791" s="145" t="s">
        <v>400</v>
      </c>
      <c r="M1791" s="145" t="s">
        <v>400</v>
      </c>
      <c r="N1791" s="145" t="s">
        <v>400</v>
      </c>
      <c r="O1791" s="145" t="s">
        <v>400</v>
      </c>
      <c r="P1791" s="145" t="s">
        <v>400</v>
      </c>
      <c r="Q1791" s="145" t="s">
        <v>400</v>
      </c>
      <c r="R1791" s="145" t="s">
        <v>400</v>
      </c>
      <c r="S1791" s="145" t="s">
        <v>400</v>
      </c>
      <c r="T1791" s="145" t="s">
        <v>400</v>
      </c>
      <c r="U1791" s="145">
        <v>0.1</v>
      </c>
      <c r="V1791" s="145" t="s">
        <v>400</v>
      </c>
      <c r="W1791" s="145" t="s">
        <v>400</v>
      </c>
      <c r="X1791" s="145" t="s">
        <v>400</v>
      </c>
      <c r="Y1791" s="145" t="s">
        <v>400</v>
      </c>
      <c r="Z1791" s="146" t="s">
        <v>400</v>
      </c>
      <c r="AA1791" s="145" t="s">
        <v>400</v>
      </c>
      <c r="AB1791" s="145" t="s">
        <v>400</v>
      </c>
      <c r="AC1791" s="145" t="s">
        <v>400</v>
      </c>
      <c r="AD1791" s="145" t="s">
        <v>400</v>
      </c>
      <c r="AE1791" s="145" t="s">
        <v>400</v>
      </c>
      <c r="AF1791" s="145" t="s">
        <v>400</v>
      </c>
      <c r="AG1791" s="145">
        <v>3.7919999999999998</v>
      </c>
      <c r="AH1791" s="145">
        <v>0.17399999999999999</v>
      </c>
      <c r="AI1791" s="145" t="s">
        <v>400</v>
      </c>
      <c r="AJ1791" s="145" t="s">
        <v>400</v>
      </c>
      <c r="AK1791" s="145" t="s">
        <v>400</v>
      </c>
      <c r="AL1791" s="145" t="s">
        <v>400</v>
      </c>
      <c r="AM1791" s="145" t="s">
        <v>400</v>
      </c>
    </row>
    <row r="1792" spans="1:39">
      <c r="A1792" s="143" t="s">
        <v>2852</v>
      </c>
      <c r="B1792" s="144">
        <v>100</v>
      </c>
      <c r="C1792" s="145">
        <v>274.60000000000002</v>
      </c>
      <c r="D1792" s="145">
        <v>13.409000000000001</v>
      </c>
      <c r="E1792" s="145">
        <v>16.878</v>
      </c>
      <c r="F1792" s="145">
        <v>4.6059999999999999</v>
      </c>
      <c r="G1792" s="145">
        <v>5.4889999999999999</v>
      </c>
      <c r="H1792" s="145">
        <v>5.3659999999999997</v>
      </c>
      <c r="I1792" s="145">
        <v>4.7169999999999996</v>
      </c>
      <c r="J1792" s="145">
        <v>0.59299999999999997</v>
      </c>
      <c r="K1792" s="145">
        <v>107.652</v>
      </c>
      <c r="L1792" s="145">
        <v>16.544</v>
      </c>
      <c r="M1792" s="145">
        <v>0.876</v>
      </c>
      <c r="N1792" s="145">
        <v>84.477999999999994</v>
      </c>
      <c r="O1792" s="145">
        <v>19.5</v>
      </c>
      <c r="P1792" s="145">
        <v>0.184</v>
      </c>
      <c r="Q1792" s="145">
        <v>154.245</v>
      </c>
      <c r="R1792" s="145">
        <v>2.0489999999999999</v>
      </c>
      <c r="S1792" s="145">
        <v>165.15899999999999</v>
      </c>
      <c r="T1792" s="145">
        <v>213.10499999999999</v>
      </c>
      <c r="U1792" s="145">
        <v>0.08</v>
      </c>
      <c r="V1792" s="145">
        <v>2.4849999999999999</v>
      </c>
      <c r="W1792" s="145">
        <v>43.722999999999999</v>
      </c>
      <c r="X1792" s="145">
        <v>0.22500000000000001</v>
      </c>
      <c r="Y1792" s="145">
        <v>0.26500000000000001</v>
      </c>
      <c r="Z1792" s="146">
        <v>0.19</v>
      </c>
      <c r="AA1792" s="145">
        <v>3.0110000000000001</v>
      </c>
      <c r="AB1792" s="145">
        <v>1.647</v>
      </c>
      <c r="AC1792" s="145">
        <v>4.6230000000000002</v>
      </c>
      <c r="AD1792" s="145">
        <v>1.27</v>
      </c>
      <c r="AE1792" s="145">
        <v>50.527999999999999</v>
      </c>
      <c r="AF1792" s="145">
        <v>0.64400000000000002</v>
      </c>
      <c r="AG1792" s="145">
        <v>1.008</v>
      </c>
      <c r="AH1792" s="145">
        <v>0.432</v>
      </c>
      <c r="AI1792" s="145" t="s">
        <v>400</v>
      </c>
      <c r="AJ1792" s="145">
        <v>21.361000000000001</v>
      </c>
      <c r="AK1792" s="145">
        <v>48.167999999999999</v>
      </c>
      <c r="AL1792" s="145">
        <v>2.6789999999999998</v>
      </c>
      <c r="AM1792" s="145">
        <v>1.819</v>
      </c>
    </row>
    <row r="1793" spans="1:39">
      <c r="A1793" s="143" t="s">
        <v>2853</v>
      </c>
      <c r="B1793" s="144">
        <v>100</v>
      </c>
      <c r="C1793" s="145">
        <v>319.80700000000002</v>
      </c>
      <c r="D1793" s="145">
        <v>10.384</v>
      </c>
      <c r="E1793" s="145">
        <v>15.676</v>
      </c>
      <c r="F1793" s="145">
        <v>3.161</v>
      </c>
      <c r="G1793" s="145">
        <v>4.2439999999999998</v>
      </c>
      <c r="H1793" s="145">
        <v>7.28</v>
      </c>
      <c r="I1793" s="145">
        <v>6.4119999999999999</v>
      </c>
      <c r="J1793" s="145">
        <v>0.80900000000000005</v>
      </c>
      <c r="K1793" s="145">
        <v>61.192</v>
      </c>
      <c r="L1793" s="145">
        <v>33.512999999999998</v>
      </c>
      <c r="M1793" s="145">
        <v>1.4470000000000001</v>
      </c>
      <c r="N1793" s="145">
        <v>18.338999999999999</v>
      </c>
      <c r="O1793" s="145">
        <v>16.773</v>
      </c>
      <c r="P1793" s="145">
        <v>0.31</v>
      </c>
      <c r="Q1793" s="145">
        <v>108.94799999999999</v>
      </c>
      <c r="R1793" s="145">
        <v>2.4750000000000001</v>
      </c>
      <c r="S1793" s="145">
        <v>413.19499999999999</v>
      </c>
      <c r="T1793" s="145">
        <v>127.61199999999999</v>
      </c>
      <c r="U1793" s="145">
        <v>9.4E-2</v>
      </c>
      <c r="V1793" s="145">
        <v>0.92500000000000004</v>
      </c>
      <c r="W1793" s="145">
        <v>19.178000000000001</v>
      </c>
      <c r="X1793" s="145">
        <v>0.42099999999999999</v>
      </c>
      <c r="Y1793" s="145">
        <v>0.30299999999999999</v>
      </c>
      <c r="Z1793" s="146">
        <v>0.1</v>
      </c>
      <c r="AA1793" s="145">
        <v>3.33</v>
      </c>
      <c r="AB1793" s="145">
        <v>1.1850000000000001</v>
      </c>
      <c r="AC1793" s="145">
        <v>5.4640000000000004</v>
      </c>
      <c r="AD1793" s="145">
        <v>0.28000000000000003</v>
      </c>
      <c r="AE1793" s="145">
        <v>92.195999999999998</v>
      </c>
      <c r="AF1793" s="145">
        <v>0.49099999999999999</v>
      </c>
      <c r="AG1793" s="145">
        <v>1.212</v>
      </c>
      <c r="AH1793" s="145">
        <v>6.8000000000000005E-2</v>
      </c>
      <c r="AI1793" s="145">
        <v>100</v>
      </c>
      <c r="AJ1793" s="145">
        <v>30.806000000000001</v>
      </c>
      <c r="AK1793" s="145">
        <v>20.353000000000002</v>
      </c>
      <c r="AL1793" s="145">
        <v>0.36299999999999999</v>
      </c>
      <c r="AM1793" s="145" t="s">
        <v>400</v>
      </c>
    </row>
    <row r="1794" spans="1:39">
      <c r="A1794" s="143" t="s">
        <v>2854</v>
      </c>
      <c r="B1794" s="144">
        <v>100</v>
      </c>
      <c r="C1794" s="145">
        <v>274.60000000000002</v>
      </c>
      <c r="D1794" s="145">
        <v>13.409000000000001</v>
      </c>
      <c r="E1794" s="145">
        <v>16.878</v>
      </c>
      <c r="F1794" s="145">
        <v>4.6059999999999999</v>
      </c>
      <c r="G1794" s="145">
        <v>5.4889999999999999</v>
      </c>
      <c r="H1794" s="145">
        <v>5.3659999999999997</v>
      </c>
      <c r="I1794" s="145">
        <v>4.7169999999999996</v>
      </c>
      <c r="J1794" s="145">
        <v>0.59299999999999997</v>
      </c>
      <c r="K1794" s="145">
        <v>107.652</v>
      </c>
      <c r="L1794" s="145">
        <v>16.544</v>
      </c>
      <c r="M1794" s="145">
        <v>0.876</v>
      </c>
      <c r="N1794" s="145">
        <v>84.477999999999994</v>
      </c>
      <c r="O1794" s="145">
        <v>19.5</v>
      </c>
      <c r="P1794" s="145">
        <v>0.184</v>
      </c>
      <c r="Q1794" s="145">
        <v>154.245</v>
      </c>
      <c r="R1794" s="145">
        <v>2.0489999999999999</v>
      </c>
      <c r="S1794" s="145">
        <v>165.15899999999999</v>
      </c>
      <c r="T1794" s="145">
        <v>213.10499999999999</v>
      </c>
      <c r="U1794" s="145">
        <v>0.08</v>
      </c>
      <c r="V1794" s="145">
        <v>2.4849999999999999</v>
      </c>
      <c r="W1794" s="145">
        <v>43.722999999999999</v>
      </c>
      <c r="X1794" s="145">
        <v>0.22500000000000001</v>
      </c>
      <c r="Y1794" s="145">
        <v>0.26500000000000001</v>
      </c>
      <c r="Z1794" s="146">
        <v>0.19</v>
      </c>
      <c r="AA1794" s="145">
        <v>3.0110000000000001</v>
      </c>
      <c r="AB1794" s="145">
        <v>1.647</v>
      </c>
      <c r="AC1794" s="145">
        <v>4.6230000000000002</v>
      </c>
      <c r="AD1794" s="145">
        <v>1.27</v>
      </c>
      <c r="AE1794" s="145">
        <v>50.527999999999999</v>
      </c>
      <c r="AF1794" s="145">
        <v>0.64400000000000002</v>
      </c>
      <c r="AG1794" s="145">
        <v>1.008</v>
      </c>
      <c r="AH1794" s="145">
        <v>0.432</v>
      </c>
      <c r="AI1794" s="145" t="s">
        <v>400</v>
      </c>
      <c r="AJ1794" s="145">
        <v>21.361000000000001</v>
      </c>
      <c r="AK1794" s="145">
        <v>48.167999999999999</v>
      </c>
      <c r="AL1794" s="145">
        <v>2.6789999999999998</v>
      </c>
      <c r="AM1794" s="145">
        <v>1.819</v>
      </c>
    </row>
    <row r="1795" spans="1:39">
      <c r="A1795" s="143" t="s">
        <v>2855</v>
      </c>
      <c r="B1795" s="144">
        <v>100</v>
      </c>
      <c r="C1795" s="145">
        <v>274.60000000000002</v>
      </c>
      <c r="D1795" s="145">
        <v>13.409000000000001</v>
      </c>
      <c r="E1795" s="145">
        <v>16.878</v>
      </c>
      <c r="F1795" s="145">
        <v>4.6059999999999999</v>
      </c>
      <c r="G1795" s="145">
        <v>5.4889999999999999</v>
      </c>
      <c r="H1795" s="145">
        <v>5.3659999999999997</v>
      </c>
      <c r="I1795" s="145">
        <v>4.7169999999999996</v>
      </c>
      <c r="J1795" s="145">
        <v>0.59299999999999997</v>
      </c>
      <c r="K1795" s="145">
        <v>107.652</v>
      </c>
      <c r="L1795" s="145">
        <v>16.544</v>
      </c>
      <c r="M1795" s="145">
        <v>0.876</v>
      </c>
      <c r="N1795" s="145">
        <v>84.477999999999994</v>
      </c>
      <c r="O1795" s="145">
        <v>19.5</v>
      </c>
      <c r="P1795" s="145">
        <v>0.184</v>
      </c>
      <c r="Q1795" s="145">
        <v>154.245</v>
      </c>
      <c r="R1795" s="145">
        <v>2.0489999999999999</v>
      </c>
      <c r="S1795" s="145">
        <v>165.15899999999999</v>
      </c>
      <c r="T1795" s="145">
        <v>213.10499999999999</v>
      </c>
      <c r="U1795" s="145">
        <v>0.08</v>
      </c>
      <c r="V1795" s="145">
        <v>2.4849999999999999</v>
      </c>
      <c r="W1795" s="145">
        <v>43.722999999999999</v>
      </c>
      <c r="X1795" s="145">
        <v>0.22500000000000001</v>
      </c>
      <c r="Y1795" s="145">
        <v>0.26500000000000001</v>
      </c>
      <c r="Z1795" s="146">
        <v>0.19</v>
      </c>
      <c r="AA1795" s="145">
        <v>3.0110000000000001</v>
      </c>
      <c r="AB1795" s="145">
        <v>1.647</v>
      </c>
      <c r="AC1795" s="145">
        <v>4.6230000000000002</v>
      </c>
      <c r="AD1795" s="145">
        <v>1.27</v>
      </c>
      <c r="AE1795" s="145">
        <v>50.527999999999999</v>
      </c>
      <c r="AF1795" s="145">
        <v>0.64400000000000002</v>
      </c>
      <c r="AG1795" s="145">
        <v>1.008</v>
      </c>
      <c r="AH1795" s="145">
        <v>0.432</v>
      </c>
      <c r="AI1795" s="145" t="s">
        <v>400</v>
      </c>
      <c r="AJ1795" s="145">
        <v>21.361000000000001</v>
      </c>
      <c r="AK1795" s="145">
        <v>48.167999999999999</v>
      </c>
      <c r="AL1795" s="145">
        <v>2.6789999999999998</v>
      </c>
      <c r="AM1795" s="145">
        <v>1.819</v>
      </c>
    </row>
    <row r="1796" spans="1:39">
      <c r="A1796" s="143" t="s">
        <v>2856</v>
      </c>
      <c r="B1796" s="144">
        <v>100</v>
      </c>
      <c r="C1796" s="145">
        <v>153.96299999999999</v>
      </c>
      <c r="D1796" s="145">
        <v>7.8869999999999996</v>
      </c>
      <c r="E1796" s="145">
        <v>7.9080000000000004</v>
      </c>
      <c r="F1796" s="145">
        <v>2.7069999999999999</v>
      </c>
      <c r="G1796" s="145">
        <v>3.109</v>
      </c>
      <c r="H1796" s="145">
        <v>1.589</v>
      </c>
      <c r="I1796" s="145">
        <v>1.462</v>
      </c>
      <c r="J1796" s="145">
        <v>8.7999999999999995E-2</v>
      </c>
      <c r="K1796" s="145">
        <v>17.315999999999999</v>
      </c>
      <c r="L1796" s="145">
        <v>12.471</v>
      </c>
      <c r="M1796" s="145">
        <v>1.03</v>
      </c>
      <c r="N1796" s="145">
        <v>12.561999999999999</v>
      </c>
      <c r="O1796" s="145">
        <v>11.321</v>
      </c>
      <c r="P1796" s="145">
        <v>0.188</v>
      </c>
      <c r="Q1796" s="145">
        <v>74.337000000000003</v>
      </c>
      <c r="R1796" s="145">
        <v>1.056</v>
      </c>
      <c r="S1796" s="145">
        <v>193.95400000000001</v>
      </c>
      <c r="T1796" s="145">
        <v>136.56299999999999</v>
      </c>
      <c r="U1796" s="145">
        <v>7.0999999999999994E-2</v>
      </c>
      <c r="V1796" s="145">
        <v>0.43</v>
      </c>
      <c r="W1796" s="145">
        <v>1.4370000000000001</v>
      </c>
      <c r="X1796" s="145">
        <v>0.153</v>
      </c>
      <c r="Y1796" s="145">
        <v>0.109</v>
      </c>
      <c r="Z1796" s="146">
        <v>0.13200000000000001</v>
      </c>
      <c r="AA1796" s="145">
        <v>3.6240000000000001</v>
      </c>
      <c r="AB1796" s="145">
        <v>1.7829999999999999</v>
      </c>
      <c r="AC1796" s="145">
        <v>5.024</v>
      </c>
      <c r="AD1796" s="145">
        <v>0.104</v>
      </c>
      <c r="AE1796" s="145">
        <v>33.268000000000001</v>
      </c>
      <c r="AF1796" s="145">
        <v>3.2000000000000001E-2</v>
      </c>
      <c r="AG1796" s="145">
        <v>0.216</v>
      </c>
      <c r="AH1796" s="145">
        <v>0.73399999999999999</v>
      </c>
      <c r="AI1796" s="145" t="s">
        <v>400</v>
      </c>
      <c r="AJ1796" s="145">
        <v>8.4640000000000004</v>
      </c>
      <c r="AK1796" s="145">
        <v>80.471000000000004</v>
      </c>
      <c r="AL1796" s="145">
        <v>1.2170000000000001</v>
      </c>
      <c r="AM1796" s="145" t="s">
        <v>400</v>
      </c>
    </row>
    <row r="1797" spans="1:39">
      <c r="A1797" s="143" t="s">
        <v>2857</v>
      </c>
      <c r="B1797" s="144">
        <v>100</v>
      </c>
      <c r="C1797" s="145">
        <v>274.60000000000002</v>
      </c>
      <c r="D1797" s="145">
        <v>13.409000000000001</v>
      </c>
      <c r="E1797" s="145">
        <v>16.878</v>
      </c>
      <c r="F1797" s="145">
        <v>4.6059999999999999</v>
      </c>
      <c r="G1797" s="145">
        <v>5.4889999999999999</v>
      </c>
      <c r="H1797" s="145">
        <v>5.3659999999999997</v>
      </c>
      <c r="I1797" s="145">
        <v>4.7169999999999996</v>
      </c>
      <c r="J1797" s="145">
        <v>0.59299999999999997</v>
      </c>
      <c r="K1797" s="145">
        <v>107.652</v>
      </c>
      <c r="L1797" s="145">
        <v>16.544</v>
      </c>
      <c r="M1797" s="145">
        <v>0.876</v>
      </c>
      <c r="N1797" s="145">
        <v>84.477999999999994</v>
      </c>
      <c r="O1797" s="145">
        <v>19.5</v>
      </c>
      <c r="P1797" s="145">
        <v>0.184</v>
      </c>
      <c r="Q1797" s="145">
        <v>154.245</v>
      </c>
      <c r="R1797" s="145">
        <v>2.0489999999999999</v>
      </c>
      <c r="S1797" s="145">
        <v>165.15899999999999</v>
      </c>
      <c r="T1797" s="145">
        <v>213.10499999999999</v>
      </c>
      <c r="U1797" s="145">
        <v>0.08</v>
      </c>
      <c r="V1797" s="145">
        <v>2.4849999999999999</v>
      </c>
      <c r="W1797" s="145">
        <v>43.722999999999999</v>
      </c>
      <c r="X1797" s="145">
        <v>0.22500000000000001</v>
      </c>
      <c r="Y1797" s="145">
        <v>0.26500000000000001</v>
      </c>
      <c r="Z1797" s="146">
        <v>0.19</v>
      </c>
      <c r="AA1797" s="145">
        <v>3.0110000000000001</v>
      </c>
      <c r="AB1797" s="145">
        <v>1.647</v>
      </c>
      <c r="AC1797" s="145">
        <v>4.6230000000000002</v>
      </c>
      <c r="AD1797" s="145">
        <v>1.27</v>
      </c>
      <c r="AE1797" s="145">
        <v>50.527999999999999</v>
      </c>
      <c r="AF1797" s="145">
        <v>0.64400000000000002</v>
      </c>
      <c r="AG1797" s="145">
        <v>1.008</v>
      </c>
      <c r="AH1797" s="145">
        <v>0.432</v>
      </c>
      <c r="AI1797" s="145" t="s">
        <v>400</v>
      </c>
      <c r="AJ1797" s="145">
        <v>21.361000000000001</v>
      </c>
      <c r="AK1797" s="145">
        <v>48.167999999999999</v>
      </c>
      <c r="AL1797" s="145">
        <v>2.6789999999999998</v>
      </c>
      <c r="AM1797" s="145">
        <v>1.819</v>
      </c>
    </row>
    <row r="1798" spans="1:39">
      <c r="A1798" s="143" t="s">
        <v>2858</v>
      </c>
      <c r="B1798" s="144">
        <v>100</v>
      </c>
      <c r="C1798" s="145">
        <v>289</v>
      </c>
      <c r="D1798" s="145">
        <v>8.3000000000000007</v>
      </c>
      <c r="E1798" s="145">
        <v>19.899999999999999</v>
      </c>
      <c r="F1798" s="145">
        <v>9.1</v>
      </c>
      <c r="G1798" s="145">
        <v>7.8</v>
      </c>
      <c r="H1798" s="145">
        <v>2.1</v>
      </c>
      <c r="I1798" s="145">
        <v>2.0099999999999998</v>
      </c>
      <c r="J1798" s="145">
        <v>0.12</v>
      </c>
      <c r="K1798" s="145">
        <v>25</v>
      </c>
      <c r="L1798" s="145">
        <v>19.100000000000001</v>
      </c>
      <c r="M1798" s="145">
        <v>9.4</v>
      </c>
      <c r="N1798" s="145">
        <v>124</v>
      </c>
      <c r="O1798" s="145">
        <v>51</v>
      </c>
      <c r="P1798" s="145">
        <v>0.59</v>
      </c>
      <c r="Q1798" s="145">
        <v>142</v>
      </c>
      <c r="R1798" s="145">
        <v>1.9</v>
      </c>
      <c r="S1798" s="145">
        <v>305</v>
      </c>
      <c r="T1798" s="145">
        <v>354</v>
      </c>
      <c r="U1798" s="145">
        <v>0.23</v>
      </c>
      <c r="V1798" s="145">
        <v>1.2</v>
      </c>
      <c r="W1798" s="145" t="s">
        <v>400</v>
      </c>
      <c r="X1798" s="145">
        <v>0.06</v>
      </c>
      <c r="Y1798" s="145" t="s">
        <v>400</v>
      </c>
      <c r="Z1798" s="146" t="s">
        <v>400</v>
      </c>
      <c r="AA1798" s="145" t="s">
        <v>400</v>
      </c>
      <c r="AB1798" s="145" t="s">
        <v>400</v>
      </c>
      <c r="AC1798" s="145" t="s">
        <v>400</v>
      </c>
      <c r="AD1798" s="145" t="s">
        <v>400</v>
      </c>
      <c r="AE1798" s="145" t="s">
        <v>400</v>
      </c>
      <c r="AF1798" s="145" t="s">
        <v>400</v>
      </c>
      <c r="AG1798" s="145" t="s">
        <v>400</v>
      </c>
      <c r="AH1798" s="145" t="s">
        <v>400</v>
      </c>
      <c r="AI1798" s="145" t="s">
        <v>400</v>
      </c>
      <c r="AJ1798" s="145" t="s">
        <v>400</v>
      </c>
      <c r="AK1798" s="145" t="s">
        <v>400</v>
      </c>
      <c r="AL1798" s="145" t="s">
        <v>400</v>
      </c>
      <c r="AM1798" s="145" t="s">
        <v>400</v>
      </c>
    </row>
    <row r="1799" spans="1:39">
      <c r="A1799" s="143" t="s">
        <v>2859</v>
      </c>
      <c r="B1799" s="144">
        <v>100</v>
      </c>
      <c r="C1799" s="145">
        <v>544</v>
      </c>
      <c r="D1799" s="145">
        <v>61.3</v>
      </c>
      <c r="E1799" s="145">
        <v>31.3</v>
      </c>
      <c r="F1799" s="145">
        <v>11.37</v>
      </c>
      <c r="G1799" s="145">
        <v>14.78</v>
      </c>
      <c r="H1799" s="145">
        <v>3.64</v>
      </c>
      <c r="I1799" s="145">
        <v>3.35</v>
      </c>
      <c r="J1799" s="145">
        <v>0.26</v>
      </c>
      <c r="K1799" s="145">
        <v>95</v>
      </c>
      <c r="L1799" s="145" t="s">
        <v>400</v>
      </c>
      <c r="M1799" s="145" t="s">
        <v>400</v>
      </c>
      <c r="N1799" s="145">
        <v>30</v>
      </c>
      <c r="O1799" s="145">
        <v>11</v>
      </c>
      <c r="P1799" s="145">
        <v>6.9000000000000006E-2</v>
      </c>
      <c r="Q1799" s="145">
        <v>85</v>
      </c>
      <c r="R1799" s="145">
        <v>0.88</v>
      </c>
      <c r="S1799" s="145">
        <v>1838</v>
      </c>
      <c r="T1799" s="145">
        <v>127</v>
      </c>
      <c r="U1799" s="145">
        <v>9.4E-2</v>
      </c>
      <c r="V1799" s="145">
        <v>0.56000000000000005</v>
      </c>
      <c r="W1799" s="145">
        <v>12</v>
      </c>
      <c r="X1799" s="145">
        <v>9.9000000000000005E-2</v>
      </c>
      <c r="Y1799" s="145">
        <v>0.28299999999999997</v>
      </c>
      <c r="Z1799" s="146">
        <v>2.3E-2</v>
      </c>
      <c r="AA1799" s="145">
        <v>1.5489999999999999</v>
      </c>
      <c r="AB1799" s="145">
        <v>0.5</v>
      </c>
      <c r="AC1799" s="145">
        <v>3.516</v>
      </c>
      <c r="AD1799" s="145">
        <v>0.64</v>
      </c>
      <c r="AE1799" s="145" t="s">
        <v>400</v>
      </c>
      <c r="AF1799" s="145" t="s">
        <v>400</v>
      </c>
      <c r="AG1799" s="145">
        <v>0.53</v>
      </c>
      <c r="AH1799" s="145">
        <v>0.31</v>
      </c>
      <c r="AI1799" s="145" t="s">
        <v>400</v>
      </c>
      <c r="AJ1799" s="145">
        <v>41</v>
      </c>
      <c r="AK1799" s="145">
        <v>12</v>
      </c>
      <c r="AL1799" s="145" t="s">
        <v>400</v>
      </c>
      <c r="AM1799" s="145" t="s">
        <v>400</v>
      </c>
    </row>
    <row r="1800" spans="1:39">
      <c r="A1800" s="143" t="s">
        <v>2860</v>
      </c>
      <c r="B1800" s="144">
        <v>100</v>
      </c>
      <c r="C1800" s="145">
        <v>274.60000000000002</v>
      </c>
      <c r="D1800" s="145">
        <v>13.409000000000001</v>
      </c>
      <c r="E1800" s="145">
        <v>16.878</v>
      </c>
      <c r="F1800" s="145">
        <v>4.6059999999999999</v>
      </c>
      <c r="G1800" s="145">
        <v>5.4889999999999999</v>
      </c>
      <c r="H1800" s="145">
        <v>5.3659999999999997</v>
      </c>
      <c r="I1800" s="145">
        <v>4.7169999999999996</v>
      </c>
      <c r="J1800" s="145">
        <v>0.59299999999999997</v>
      </c>
      <c r="K1800" s="145">
        <v>107.652</v>
      </c>
      <c r="L1800" s="145">
        <v>16.544</v>
      </c>
      <c r="M1800" s="145">
        <v>0.876</v>
      </c>
      <c r="N1800" s="145">
        <v>84.477999999999994</v>
      </c>
      <c r="O1800" s="145">
        <v>19.5</v>
      </c>
      <c r="P1800" s="145">
        <v>0.184</v>
      </c>
      <c r="Q1800" s="145">
        <v>154.245</v>
      </c>
      <c r="R1800" s="145">
        <v>2.0489999999999999</v>
      </c>
      <c r="S1800" s="145">
        <v>165.15899999999999</v>
      </c>
      <c r="T1800" s="145">
        <v>213.10499999999999</v>
      </c>
      <c r="U1800" s="145">
        <v>0.08</v>
      </c>
      <c r="V1800" s="145">
        <v>2.4849999999999999</v>
      </c>
      <c r="W1800" s="145">
        <v>43.722999999999999</v>
      </c>
      <c r="X1800" s="145">
        <v>0.22500000000000001</v>
      </c>
      <c r="Y1800" s="145">
        <v>0.26500000000000001</v>
      </c>
      <c r="Z1800" s="146">
        <v>0.19</v>
      </c>
      <c r="AA1800" s="145">
        <v>3.0110000000000001</v>
      </c>
      <c r="AB1800" s="145">
        <v>1.647</v>
      </c>
      <c r="AC1800" s="145">
        <v>4.6230000000000002</v>
      </c>
      <c r="AD1800" s="145">
        <v>1.27</v>
      </c>
      <c r="AE1800" s="145">
        <v>50.527999999999999</v>
      </c>
      <c r="AF1800" s="145">
        <v>0.64400000000000002</v>
      </c>
      <c r="AG1800" s="145">
        <v>1.008</v>
      </c>
      <c r="AH1800" s="145">
        <v>0.432</v>
      </c>
      <c r="AI1800" s="145" t="s">
        <v>400</v>
      </c>
      <c r="AJ1800" s="145">
        <v>21.361000000000001</v>
      </c>
      <c r="AK1800" s="145">
        <v>48.167999999999999</v>
      </c>
      <c r="AL1800" s="145">
        <v>2.6789999999999998</v>
      </c>
      <c r="AM1800" s="145">
        <v>1.819</v>
      </c>
    </row>
    <row r="1801" spans="1:39">
      <c r="A1801" s="143" t="s">
        <v>2861</v>
      </c>
      <c r="B1801" s="144">
        <v>100</v>
      </c>
      <c r="C1801" s="145">
        <v>289</v>
      </c>
      <c r="D1801" s="145">
        <v>8.3000000000000007</v>
      </c>
      <c r="E1801" s="145">
        <v>19.899999999999999</v>
      </c>
      <c r="F1801" s="145">
        <v>9.1</v>
      </c>
      <c r="G1801" s="145">
        <v>7.8</v>
      </c>
      <c r="H1801" s="145">
        <v>2.1</v>
      </c>
      <c r="I1801" s="145">
        <v>2.0099999999999998</v>
      </c>
      <c r="J1801" s="145">
        <v>0.12</v>
      </c>
      <c r="K1801" s="145">
        <v>25</v>
      </c>
      <c r="L1801" s="145">
        <v>19.100000000000001</v>
      </c>
      <c r="M1801" s="145">
        <v>9.4</v>
      </c>
      <c r="N1801" s="145">
        <v>124</v>
      </c>
      <c r="O1801" s="145">
        <v>51</v>
      </c>
      <c r="P1801" s="145">
        <v>0.59</v>
      </c>
      <c r="Q1801" s="145">
        <v>142</v>
      </c>
      <c r="R1801" s="145">
        <v>1.9</v>
      </c>
      <c r="S1801" s="145">
        <v>305</v>
      </c>
      <c r="T1801" s="145">
        <v>354</v>
      </c>
      <c r="U1801" s="145">
        <v>0.23</v>
      </c>
      <c r="V1801" s="145">
        <v>1.2</v>
      </c>
      <c r="W1801" s="145" t="s">
        <v>400</v>
      </c>
      <c r="X1801" s="145">
        <v>0.06</v>
      </c>
      <c r="Y1801" s="145" t="s">
        <v>400</v>
      </c>
      <c r="Z1801" s="146" t="s">
        <v>400</v>
      </c>
      <c r="AA1801" s="145" t="s">
        <v>400</v>
      </c>
      <c r="AB1801" s="145" t="s">
        <v>400</v>
      </c>
      <c r="AC1801" s="145" t="s">
        <v>400</v>
      </c>
      <c r="AD1801" s="145" t="s">
        <v>400</v>
      </c>
      <c r="AE1801" s="145" t="s">
        <v>400</v>
      </c>
      <c r="AF1801" s="145" t="s">
        <v>400</v>
      </c>
      <c r="AG1801" s="145" t="s">
        <v>400</v>
      </c>
      <c r="AH1801" s="145" t="s">
        <v>400</v>
      </c>
      <c r="AI1801" s="145" t="s">
        <v>400</v>
      </c>
      <c r="AJ1801" s="145" t="s">
        <v>400</v>
      </c>
      <c r="AK1801" s="145" t="s">
        <v>400</v>
      </c>
      <c r="AL1801" s="145" t="s">
        <v>400</v>
      </c>
      <c r="AM1801" s="145" t="s">
        <v>400</v>
      </c>
    </row>
    <row r="1802" spans="1:39">
      <c r="A1802" s="143" t="s">
        <v>2862</v>
      </c>
      <c r="B1802" s="144">
        <v>100</v>
      </c>
      <c r="C1802" s="145">
        <v>354.00202000000002</v>
      </c>
      <c r="D1802" s="145">
        <v>13.443</v>
      </c>
      <c r="E1802" s="145">
        <v>13.428509999999999</v>
      </c>
      <c r="F1802" s="145">
        <v>5.4522199999999996</v>
      </c>
      <c r="G1802" s="145">
        <v>4.6311900000000001</v>
      </c>
      <c r="H1802" s="145">
        <v>1.9118299999999999</v>
      </c>
      <c r="I1802" s="145">
        <v>1.6489799999999999</v>
      </c>
      <c r="J1802" s="145">
        <v>0.24528</v>
      </c>
      <c r="K1802" s="145">
        <v>47</v>
      </c>
      <c r="L1802" s="145">
        <v>43.95</v>
      </c>
      <c r="M1802" s="145">
        <v>3.2</v>
      </c>
      <c r="N1802" s="145">
        <v>38.61</v>
      </c>
      <c r="O1802" s="145">
        <v>24.14</v>
      </c>
      <c r="P1802" s="145">
        <v>9.4000000000000004E-3</v>
      </c>
      <c r="Q1802" s="145">
        <v>59.54</v>
      </c>
      <c r="R1802" s="145">
        <v>1.4444999999999999</v>
      </c>
      <c r="S1802" s="145">
        <v>913.71</v>
      </c>
      <c r="T1802" s="145">
        <v>210.42</v>
      </c>
      <c r="U1802" s="145">
        <v>5.4099999999999995E-2</v>
      </c>
      <c r="V1802" s="145">
        <v>3.8193000000000001</v>
      </c>
      <c r="W1802" s="145" t="s">
        <v>400</v>
      </c>
      <c r="X1802" s="145">
        <v>7.0000000000000007E-2</v>
      </c>
      <c r="Y1802" s="145">
        <v>2.8199999999999996E-2</v>
      </c>
      <c r="Z1802" s="146" t="s">
        <v>400</v>
      </c>
      <c r="AA1802" s="145" t="s">
        <v>400</v>
      </c>
      <c r="AB1802" s="145" t="s">
        <v>400</v>
      </c>
      <c r="AC1802" s="145" t="s">
        <v>400</v>
      </c>
      <c r="AD1802" s="145" t="s">
        <v>400</v>
      </c>
      <c r="AE1802" s="145" t="s">
        <v>400</v>
      </c>
      <c r="AF1802" s="145" t="s">
        <v>400</v>
      </c>
      <c r="AG1802" s="145">
        <v>0.24423</v>
      </c>
      <c r="AH1802" s="145">
        <v>1.5900000000000001E-2</v>
      </c>
      <c r="AI1802" s="145" t="s">
        <v>400</v>
      </c>
      <c r="AJ1802" s="145">
        <v>1.3682700000000001</v>
      </c>
      <c r="AK1802" s="145" t="s">
        <v>400</v>
      </c>
      <c r="AL1802" s="145" t="s">
        <v>400</v>
      </c>
      <c r="AM1802" s="145" t="s">
        <v>400</v>
      </c>
    </row>
    <row r="1803" spans="1:39">
      <c r="A1803" s="143" t="s">
        <v>2863</v>
      </c>
      <c r="B1803" s="144">
        <v>100</v>
      </c>
      <c r="C1803" s="145">
        <v>74.596000000000004</v>
      </c>
      <c r="D1803" s="145">
        <v>1.454</v>
      </c>
      <c r="E1803" s="145">
        <v>1.7809999999999999</v>
      </c>
      <c r="F1803" s="145">
        <v>1.0289999999999999</v>
      </c>
      <c r="G1803" s="145">
        <v>0.46</v>
      </c>
      <c r="H1803" s="145">
        <v>0.14399999999999999</v>
      </c>
      <c r="I1803" s="145">
        <v>0.13500000000000001</v>
      </c>
      <c r="J1803" s="145">
        <v>8.9999999999999993E-3</v>
      </c>
      <c r="K1803" s="145">
        <v>4.202</v>
      </c>
      <c r="L1803" s="145">
        <v>13</v>
      </c>
      <c r="M1803" s="145">
        <v>0.26100000000000001</v>
      </c>
      <c r="N1803" s="145">
        <v>3.43</v>
      </c>
      <c r="O1803" s="145">
        <v>5.2839999999999998</v>
      </c>
      <c r="P1803" s="145">
        <v>1.7999999999999999E-2</v>
      </c>
      <c r="Q1803" s="145">
        <v>12.39</v>
      </c>
      <c r="R1803" s="145">
        <v>0.64100000000000001</v>
      </c>
      <c r="S1803" s="145">
        <v>250.51499999999999</v>
      </c>
      <c r="T1803" s="145">
        <v>22.89</v>
      </c>
      <c r="U1803" s="145">
        <v>2.1000000000000001E-2</v>
      </c>
      <c r="V1803" s="145">
        <v>7.8E-2</v>
      </c>
      <c r="W1803" s="145">
        <v>13.113</v>
      </c>
      <c r="X1803" s="145">
        <v>0.105</v>
      </c>
      <c r="Y1803" s="145">
        <v>6.3E-2</v>
      </c>
      <c r="Z1803" s="146">
        <v>2.4E-2</v>
      </c>
      <c r="AA1803" s="145">
        <v>0.81100000000000005</v>
      </c>
      <c r="AB1803" s="145" t="s">
        <v>400</v>
      </c>
      <c r="AC1803" s="145">
        <v>0.98299999999999998</v>
      </c>
      <c r="AD1803" s="145">
        <v>3.0000000000000001E-3</v>
      </c>
      <c r="AE1803" s="145">
        <v>39.496000000000002</v>
      </c>
      <c r="AF1803" s="145">
        <v>2.7E-2</v>
      </c>
      <c r="AG1803" s="145">
        <v>6.5000000000000002E-2</v>
      </c>
      <c r="AH1803" s="145">
        <v>6.4000000000000001E-2</v>
      </c>
      <c r="AI1803" s="145" t="s">
        <v>400</v>
      </c>
      <c r="AJ1803" s="145">
        <v>2.7959999999999998</v>
      </c>
      <c r="AK1803" s="145">
        <v>13.39</v>
      </c>
      <c r="AL1803" s="145">
        <v>0.52100000000000002</v>
      </c>
      <c r="AM1803" s="145" t="s">
        <v>400</v>
      </c>
    </row>
    <row r="1804" spans="1:39">
      <c r="A1804" s="143" t="s">
        <v>2864</v>
      </c>
      <c r="B1804" s="144">
        <v>100</v>
      </c>
      <c r="C1804" s="145">
        <v>60.584000000000003</v>
      </c>
      <c r="D1804" s="145">
        <v>1.4370000000000001</v>
      </c>
      <c r="E1804" s="145">
        <v>0.19600000000000001</v>
      </c>
      <c r="F1804" s="145">
        <v>2.5000000000000001E-2</v>
      </c>
      <c r="G1804" s="145">
        <v>4.9000000000000002E-2</v>
      </c>
      <c r="H1804" s="145">
        <v>8.4000000000000005E-2</v>
      </c>
      <c r="I1804" s="145">
        <v>8.2000000000000003E-2</v>
      </c>
      <c r="J1804" s="145">
        <v>2E-3</v>
      </c>
      <c r="K1804" s="145" t="s">
        <v>400</v>
      </c>
      <c r="L1804" s="145">
        <v>12.999000000000001</v>
      </c>
      <c r="M1804" s="145">
        <v>0.26100000000000001</v>
      </c>
      <c r="N1804" s="145">
        <v>2.9609999999999999</v>
      </c>
      <c r="O1804" s="145">
        <v>5.2450000000000001</v>
      </c>
      <c r="P1804" s="145">
        <v>1.7999999999999999E-2</v>
      </c>
      <c r="Q1804" s="145">
        <v>11.920999999999999</v>
      </c>
      <c r="R1804" s="145">
        <v>0.64100000000000001</v>
      </c>
      <c r="S1804" s="145">
        <v>239.25899999999999</v>
      </c>
      <c r="T1804" s="145">
        <v>22.420999999999999</v>
      </c>
      <c r="U1804" s="145">
        <v>2.1000000000000001E-2</v>
      </c>
      <c r="V1804" s="145">
        <v>7.5999999999999998E-2</v>
      </c>
      <c r="W1804" s="145" t="s">
        <v>400</v>
      </c>
      <c r="X1804" s="145">
        <v>0.105</v>
      </c>
      <c r="Y1804" s="145">
        <v>6.2E-2</v>
      </c>
      <c r="Z1804" s="146">
        <v>2.4E-2</v>
      </c>
      <c r="AA1804" s="145">
        <v>0.81</v>
      </c>
      <c r="AB1804" s="145" t="s">
        <v>400</v>
      </c>
      <c r="AC1804" s="145">
        <v>0.97899999999999998</v>
      </c>
      <c r="AD1804" s="145" t="s">
        <v>400</v>
      </c>
      <c r="AE1804" s="145">
        <v>39.436999999999998</v>
      </c>
      <c r="AF1804" s="145" t="s">
        <v>400</v>
      </c>
      <c r="AG1804" s="145">
        <v>0.02</v>
      </c>
      <c r="AH1804" s="145" t="s">
        <v>400</v>
      </c>
      <c r="AI1804" s="145" t="s">
        <v>400</v>
      </c>
      <c r="AJ1804" s="145">
        <v>2.7770000000000001</v>
      </c>
      <c r="AK1804" s="145">
        <v>0.02</v>
      </c>
      <c r="AL1804" s="145">
        <v>0.51900000000000002</v>
      </c>
      <c r="AM1804" s="145" t="s">
        <v>400</v>
      </c>
    </row>
    <row r="1805" spans="1:39">
      <c r="A1805" s="143" t="s">
        <v>2865</v>
      </c>
      <c r="B1805" s="144">
        <v>100</v>
      </c>
      <c r="C1805" s="145">
        <v>74.596000000000004</v>
      </c>
      <c r="D1805" s="145">
        <v>1.454</v>
      </c>
      <c r="E1805" s="145">
        <v>1.7809999999999999</v>
      </c>
      <c r="F1805" s="145">
        <v>1.0289999999999999</v>
      </c>
      <c r="G1805" s="145">
        <v>0.46</v>
      </c>
      <c r="H1805" s="145">
        <v>0.14399999999999999</v>
      </c>
      <c r="I1805" s="145">
        <v>0.13500000000000001</v>
      </c>
      <c r="J1805" s="145">
        <v>8.9999999999999993E-3</v>
      </c>
      <c r="K1805" s="145">
        <v>4.202</v>
      </c>
      <c r="L1805" s="145">
        <v>13</v>
      </c>
      <c r="M1805" s="145">
        <v>0.26100000000000001</v>
      </c>
      <c r="N1805" s="145">
        <v>3.43</v>
      </c>
      <c r="O1805" s="145">
        <v>5.2839999999999998</v>
      </c>
      <c r="P1805" s="145">
        <v>1.7999999999999999E-2</v>
      </c>
      <c r="Q1805" s="145">
        <v>12.39</v>
      </c>
      <c r="R1805" s="145">
        <v>0.64100000000000001</v>
      </c>
      <c r="S1805" s="145">
        <v>250.51499999999999</v>
      </c>
      <c r="T1805" s="145">
        <v>22.89</v>
      </c>
      <c r="U1805" s="145">
        <v>2.1000000000000001E-2</v>
      </c>
      <c r="V1805" s="145">
        <v>7.8E-2</v>
      </c>
      <c r="W1805" s="145">
        <v>13.113</v>
      </c>
      <c r="X1805" s="145">
        <v>0.105</v>
      </c>
      <c r="Y1805" s="145">
        <v>6.3E-2</v>
      </c>
      <c r="Z1805" s="146">
        <v>2.4E-2</v>
      </c>
      <c r="AA1805" s="145">
        <v>0.81100000000000005</v>
      </c>
      <c r="AB1805" s="145" t="s">
        <v>400</v>
      </c>
      <c r="AC1805" s="145">
        <v>0.98299999999999998</v>
      </c>
      <c r="AD1805" s="145">
        <v>3.0000000000000001E-3</v>
      </c>
      <c r="AE1805" s="145">
        <v>39.496000000000002</v>
      </c>
      <c r="AF1805" s="145">
        <v>2.7E-2</v>
      </c>
      <c r="AG1805" s="145">
        <v>6.5000000000000002E-2</v>
      </c>
      <c r="AH1805" s="145">
        <v>6.4000000000000001E-2</v>
      </c>
      <c r="AI1805" s="145" t="s">
        <v>400</v>
      </c>
      <c r="AJ1805" s="145">
        <v>2.7959999999999998</v>
      </c>
      <c r="AK1805" s="145">
        <v>13.39</v>
      </c>
      <c r="AL1805" s="145">
        <v>0.52100000000000002</v>
      </c>
      <c r="AM1805" s="145" t="s">
        <v>400</v>
      </c>
    </row>
    <row r="1806" spans="1:39">
      <c r="A1806" s="143" t="s">
        <v>2866</v>
      </c>
      <c r="B1806" s="144">
        <v>100</v>
      </c>
      <c r="C1806" s="145">
        <v>359.42200000000003</v>
      </c>
      <c r="D1806" s="145">
        <v>9.7579999999999991</v>
      </c>
      <c r="E1806" s="145">
        <v>18.882000000000001</v>
      </c>
      <c r="F1806" s="145">
        <v>11.726000000000001</v>
      </c>
      <c r="G1806" s="145">
        <v>4.9530000000000003</v>
      </c>
      <c r="H1806" s="145">
        <v>0.85599999999999998</v>
      </c>
      <c r="I1806" s="145">
        <v>0.749</v>
      </c>
      <c r="J1806" s="145">
        <v>0.107</v>
      </c>
      <c r="K1806" s="145">
        <v>53.944000000000003</v>
      </c>
      <c r="L1806" s="145">
        <v>37.51</v>
      </c>
      <c r="M1806" s="145">
        <v>1.4570000000000001</v>
      </c>
      <c r="N1806" s="145">
        <v>240.03299999999999</v>
      </c>
      <c r="O1806" s="145">
        <v>16.105</v>
      </c>
      <c r="P1806" s="145">
        <v>0.32900000000000001</v>
      </c>
      <c r="Q1806" s="145">
        <v>183.36500000000001</v>
      </c>
      <c r="R1806" s="145">
        <v>2.4620000000000002</v>
      </c>
      <c r="S1806" s="145">
        <v>821.947</v>
      </c>
      <c r="T1806" s="145">
        <v>71.721000000000004</v>
      </c>
      <c r="U1806" s="145">
        <v>7.5999999999999998E-2</v>
      </c>
      <c r="V1806" s="145">
        <v>0.88600000000000001</v>
      </c>
      <c r="W1806" s="145">
        <v>149.761</v>
      </c>
      <c r="X1806" s="145">
        <v>0.38</v>
      </c>
      <c r="Y1806" s="145">
        <v>0.3</v>
      </c>
      <c r="Z1806" s="146">
        <v>3.5000000000000003E-2</v>
      </c>
      <c r="AA1806" s="145">
        <v>2.8490000000000002</v>
      </c>
      <c r="AB1806" s="145" t="s">
        <v>400</v>
      </c>
      <c r="AC1806" s="145">
        <v>4.9850000000000003</v>
      </c>
      <c r="AD1806" s="145">
        <v>0.186</v>
      </c>
      <c r="AE1806" s="145">
        <v>99.731999999999999</v>
      </c>
      <c r="AF1806" s="145">
        <v>0.26</v>
      </c>
      <c r="AG1806" s="145">
        <v>0.44800000000000001</v>
      </c>
      <c r="AH1806" s="145">
        <v>0.65600000000000003</v>
      </c>
      <c r="AI1806" s="145" t="s">
        <v>400</v>
      </c>
      <c r="AJ1806" s="145">
        <v>19.861000000000001</v>
      </c>
      <c r="AK1806" s="145">
        <v>153.02099999999999</v>
      </c>
      <c r="AL1806" s="145">
        <v>0.7</v>
      </c>
      <c r="AM1806" s="145" t="s">
        <v>400</v>
      </c>
    </row>
    <row r="1807" spans="1:39">
      <c r="A1807" s="143" t="s">
        <v>2867</v>
      </c>
      <c r="B1807" s="144">
        <v>100</v>
      </c>
      <c r="C1807" s="145">
        <v>346.452</v>
      </c>
      <c r="D1807" s="145">
        <v>11.895</v>
      </c>
      <c r="E1807" s="145">
        <v>21.378</v>
      </c>
      <c r="F1807" s="145">
        <v>12.013999999999999</v>
      </c>
      <c r="G1807" s="145">
        <v>6.6109999999999998</v>
      </c>
      <c r="H1807" s="145">
        <v>0.875</v>
      </c>
      <c r="I1807" s="145">
        <v>0.77400000000000002</v>
      </c>
      <c r="J1807" s="145">
        <v>8.3000000000000004E-2</v>
      </c>
      <c r="K1807" s="145">
        <v>67.244</v>
      </c>
      <c r="L1807" s="145">
        <v>26.195</v>
      </c>
      <c r="M1807" s="145">
        <v>1.075</v>
      </c>
      <c r="N1807" s="145">
        <v>20.681999999999999</v>
      </c>
      <c r="O1807" s="145">
        <v>14.555</v>
      </c>
      <c r="P1807" s="145">
        <v>0.26200000000000001</v>
      </c>
      <c r="Q1807" s="145">
        <v>107.973</v>
      </c>
      <c r="R1807" s="145">
        <v>2.431</v>
      </c>
      <c r="S1807" s="145">
        <v>224.209</v>
      </c>
      <c r="T1807" s="145">
        <v>156.62899999999999</v>
      </c>
      <c r="U1807" s="145">
        <v>8.7999999999999995E-2</v>
      </c>
      <c r="V1807" s="145">
        <v>2.2160000000000002</v>
      </c>
      <c r="W1807" s="145">
        <v>127.086</v>
      </c>
      <c r="X1807" s="145">
        <v>0.28100000000000003</v>
      </c>
      <c r="Y1807" s="145">
        <v>0.23200000000000001</v>
      </c>
      <c r="Z1807" s="146">
        <v>0.14299999999999999</v>
      </c>
      <c r="AA1807" s="145">
        <v>3.6459999999999999</v>
      </c>
      <c r="AB1807" s="145" t="s">
        <v>400</v>
      </c>
      <c r="AC1807" s="145">
        <v>5.0469999999999997</v>
      </c>
      <c r="AD1807" s="145">
        <v>0.91</v>
      </c>
      <c r="AE1807" s="145">
        <v>72.397999999999996</v>
      </c>
      <c r="AF1807" s="145">
        <v>0.375</v>
      </c>
      <c r="AG1807" s="145">
        <v>0.60299999999999998</v>
      </c>
      <c r="AH1807" s="145">
        <v>0.96899999999999997</v>
      </c>
      <c r="AI1807" s="145" t="s">
        <v>400</v>
      </c>
      <c r="AJ1807" s="145">
        <v>18.097999999999999</v>
      </c>
      <c r="AK1807" s="145">
        <v>129.577</v>
      </c>
      <c r="AL1807" s="145">
        <v>0.13300000000000001</v>
      </c>
      <c r="AM1807" s="145" t="s">
        <v>400</v>
      </c>
    </row>
    <row r="1808" spans="1:39">
      <c r="A1808" s="143" t="s">
        <v>2868</v>
      </c>
      <c r="B1808" s="144">
        <v>100</v>
      </c>
      <c r="C1808" s="145">
        <v>359.42200000000003</v>
      </c>
      <c r="D1808" s="145">
        <v>9.7579999999999991</v>
      </c>
      <c r="E1808" s="145">
        <v>18.882000000000001</v>
      </c>
      <c r="F1808" s="145">
        <v>11.726000000000001</v>
      </c>
      <c r="G1808" s="145">
        <v>4.9530000000000003</v>
      </c>
      <c r="H1808" s="145">
        <v>0.85599999999999998</v>
      </c>
      <c r="I1808" s="145">
        <v>0.749</v>
      </c>
      <c r="J1808" s="145">
        <v>0.107</v>
      </c>
      <c r="K1808" s="145">
        <v>53.944000000000003</v>
      </c>
      <c r="L1808" s="145">
        <v>37.51</v>
      </c>
      <c r="M1808" s="145">
        <v>1.4570000000000001</v>
      </c>
      <c r="N1808" s="145">
        <v>240.03299999999999</v>
      </c>
      <c r="O1808" s="145">
        <v>16.105</v>
      </c>
      <c r="P1808" s="145">
        <v>0.32900000000000001</v>
      </c>
      <c r="Q1808" s="145">
        <v>183.36500000000001</v>
      </c>
      <c r="R1808" s="145">
        <v>2.4620000000000002</v>
      </c>
      <c r="S1808" s="145">
        <v>821.947</v>
      </c>
      <c r="T1808" s="145">
        <v>71.721000000000004</v>
      </c>
      <c r="U1808" s="145">
        <v>7.5999999999999998E-2</v>
      </c>
      <c r="V1808" s="145">
        <v>0.88600000000000001</v>
      </c>
      <c r="W1808" s="145">
        <v>149.761</v>
      </c>
      <c r="X1808" s="145">
        <v>0.38</v>
      </c>
      <c r="Y1808" s="145">
        <v>0.3</v>
      </c>
      <c r="Z1808" s="146">
        <v>3.5000000000000003E-2</v>
      </c>
      <c r="AA1808" s="145">
        <v>2.8490000000000002</v>
      </c>
      <c r="AB1808" s="145" t="s">
        <v>400</v>
      </c>
      <c r="AC1808" s="145">
        <v>4.9850000000000003</v>
      </c>
      <c r="AD1808" s="145">
        <v>0.186</v>
      </c>
      <c r="AE1808" s="145">
        <v>99.731999999999999</v>
      </c>
      <c r="AF1808" s="145">
        <v>0.26</v>
      </c>
      <c r="AG1808" s="145">
        <v>0.44800000000000001</v>
      </c>
      <c r="AH1808" s="145">
        <v>0.65600000000000003</v>
      </c>
      <c r="AI1808" s="145" t="s">
        <v>400</v>
      </c>
      <c r="AJ1808" s="145">
        <v>19.861000000000001</v>
      </c>
      <c r="AK1808" s="145">
        <v>153.02099999999999</v>
      </c>
      <c r="AL1808" s="145">
        <v>0.7</v>
      </c>
      <c r="AM1808" s="145" t="s">
        <v>400</v>
      </c>
    </row>
    <row r="1809" spans="1:39">
      <c r="A1809" s="143" t="s">
        <v>2869</v>
      </c>
      <c r="B1809" s="144">
        <v>100</v>
      </c>
      <c r="C1809" s="145">
        <v>320.39400000000001</v>
      </c>
      <c r="D1809" s="145">
        <v>7.5439999999999996</v>
      </c>
      <c r="E1809" s="145">
        <v>15.254</v>
      </c>
      <c r="F1809" s="145">
        <v>9.42</v>
      </c>
      <c r="G1809" s="145">
        <v>3.931</v>
      </c>
      <c r="H1809" s="145">
        <v>0.74399999999999999</v>
      </c>
      <c r="I1809" s="145">
        <v>0.66800000000000004</v>
      </c>
      <c r="J1809" s="145">
        <v>7.5999999999999998E-2</v>
      </c>
      <c r="K1809" s="145">
        <v>41.369</v>
      </c>
      <c r="L1809" s="145">
        <v>38.088000000000001</v>
      </c>
      <c r="M1809" s="145">
        <v>1.4570000000000001</v>
      </c>
      <c r="N1809" s="145">
        <v>174.33600000000001</v>
      </c>
      <c r="O1809" s="145">
        <v>14.804</v>
      </c>
      <c r="P1809" s="145">
        <v>0.33</v>
      </c>
      <c r="Q1809" s="145">
        <v>133.71299999999999</v>
      </c>
      <c r="R1809" s="145">
        <v>2.5139999999999998</v>
      </c>
      <c r="S1809" s="145">
        <v>759.06799999999998</v>
      </c>
      <c r="T1809" s="145">
        <v>82.561999999999998</v>
      </c>
      <c r="U1809" s="145">
        <v>7.9000000000000001E-2</v>
      </c>
      <c r="V1809" s="145">
        <v>0.64300000000000002</v>
      </c>
      <c r="W1809" s="145">
        <v>130.898</v>
      </c>
      <c r="X1809" s="145">
        <v>0.38100000000000001</v>
      </c>
      <c r="Y1809" s="145">
        <v>0.28199999999999997</v>
      </c>
      <c r="Z1809" s="146">
        <v>2.5999999999999999E-2</v>
      </c>
      <c r="AA1809" s="145">
        <v>2.8460000000000001</v>
      </c>
      <c r="AB1809" s="145" t="s">
        <v>400</v>
      </c>
      <c r="AC1809" s="145">
        <v>4.3490000000000002</v>
      </c>
      <c r="AD1809" s="145">
        <v>0.09</v>
      </c>
      <c r="AE1809" s="145">
        <v>100.816</v>
      </c>
      <c r="AF1809" s="145">
        <v>0.23200000000000001</v>
      </c>
      <c r="AG1809" s="145">
        <v>0.41799999999999998</v>
      </c>
      <c r="AH1809" s="145">
        <v>0.57999999999999996</v>
      </c>
      <c r="AI1809" s="145" t="s">
        <v>400</v>
      </c>
      <c r="AJ1809" s="145">
        <v>19.991</v>
      </c>
      <c r="AK1809" s="145">
        <v>133.381</v>
      </c>
      <c r="AL1809" s="145">
        <v>0.46800000000000003</v>
      </c>
      <c r="AM1809" s="145" t="s">
        <v>400</v>
      </c>
    </row>
    <row r="1810" spans="1:39">
      <c r="A1810" s="143" t="s">
        <v>2870</v>
      </c>
      <c r="B1810" s="144">
        <v>100</v>
      </c>
      <c r="C1810" s="145">
        <v>222.39099999999999</v>
      </c>
      <c r="D1810" s="145">
        <v>9.4700000000000006</v>
      </c>
      <c r="E1810" s="145">
        <v>12.708</v>
      </c>
      <c r="F1810" s="145">
        <v>6.6059999999999999</v>
      </c>
      <c r="G1810" s="145">
        <v>3.8330000000000002</v>
      </c>
      <c r="H1810" s="145">
        <v>1.3140000000000001</v>
      </c>
      <c r="I1810" s="145">
        <v>1.1870000000000001</v>
      </c>
      <c r="J1810" s="145">
        <v>0.08</v>
      </c>
      <c r="K1810" s="145">
        <v>42.424999999999997</v>
      </c>
      <c r="L1810" s="145">
        <v>17.321999999999999</v>
      </c>
      <c r="M1810" s="145">
        <v>0.77500000000000002</v>
      </c>
      <c r="N1810" s="145">
        <v>18.196000000000002</v>
      </c>
      <c r="O1810" s="145">
        <v>11.125</v>
      </c>
      <c r="P1810" s="145">
        <v>0.22900000000000001</v>
      </c>
      <c r="Q1810" s="145">
        <v>82.283000000000001</v>
      </c>
      <c r="R1810" s="145">
        <v>1.3440000000000001</v>
      </c>
      <c r="S1810" s="145">
        <v>539.29600000000005</v>
      </c>
      <c r="T1810" s="145">
        <v>125.583</v>
      </c>
      <c r="U1810" s="145">
        <v>8.5000000000000006E-2</v>
      </c>
      <c r="V1810" s="145">
        <v>0.77400000000000002</v>
      </c>
      <c r="W1810" s="145">
        <v>76.260000000000005</v>
      </c>
      <c r="X1810" s="145">
        <v>0.17399999999999999</v>
      </c>
      <c r="Y1810" s="145">
        <v>0.14399999999999999</v>
      </c>
      <c r="Z1810" s="146">
        <v>0.13900000000000001</v>
      </c>
      <c r="AA1810" s="145">
        <v>3.9590000000000001</v>
      </c>
      <c r="AB1810" s="145" t="s">
        <v>400</v>
      </c>
      <c r="AC1810" s="145">
        <v>5.7759999999999998</v>
      </c>
      <c r="AD1810" s="145">
        <v>0.13600000000000001</v>
      </c>
      <c r="AE1810" s="145">
        <v>41.689</v>
      </c>
      <c r="AF1810" s="145">
        <v>0.19800000000000001</v>
      </c>
      <c r="AG1810" s="145">
        <v>0.38400000000000001</v>
      </c>
      <c r="AH1810" s="145">
        <v>0.41</v>
      </c>
      <c r="AI1810" s="145" t="s">
        <v>400</v>
      </c>
      <c r="AJ1810" s="145">
        <v>12.175000000000001</v>
      </c>
      <c r="AK1810" s="145">
        <v>77.710999999999999</v>
      </c>
      <c r="AL1810" s="145">
        <v>0.46200000000000002</v>
      </c>
      <c r="AM1810" s="145" t="s">
        <v>400</v>
      </c>
    </row>
    <row r="1811" spans="1:39">
      <c r="A1811" s="143" t="s">
        <v>2871</v>
      </c>
      <c r="B1811" s="144">
        <v>100</v>
      </c>
      <c r="C1811" s="145">
        <v>274.60000000000002</v>
      </c>
      <c r="D1811" s="145">
        <v>13.409000000000001</v>
      </c>
      <c r="E1811" s="145">
        <v>16.878</v>
      </c>
      <c r="F1811" s="145">
        <v>4.6059999999999999</v>
      </c>
      <c r="G1811" s="145">
        <v>5.4889999999999999</v>
      </c>
      <c r="H1811" s="145">
        <v>5.3659999999999997</v>
      </c>
      <c r="I1811" s="145">
        <v>4.7169999999999996</v>
      </c>
      <c r="J1811" s="145">
        <v>0.59299999999999997</v>
      </c>
      <c r="K1811" s="145">
        <v>107.652</v>
      </c>
      <c r="L1811" s="145">
        <v>16.544</v>
      </c>
      <c r="M1811" s="145">
        <v>0.876</v>
      </c>
      <c r="N1811" s="145">
        <v>84.477999999999994</v>
      </c>
      <c r="O1811" s="145">
        <v>19.5</v>
      </c>
      <c r="P1811" s="145">
        <v>0.184</v>
      </c>
      <c r="Q1811" s="145">
        <v>154.245</v>
      </c>
      <c r="R1811" s="145">
        <v>2.0489999999999999</v>
      </c>
      <c r="S1811" s="145">
        <v>165.15899999999999</v>
      </c>
      <c r="T1811" s="145">
        <v>213.10499999999999</v>
      </c>
      <c r="U1811" s="145">
        <v>0.08</v>
      </c>
      <c r="V1811" s="145">
        <v>2.4849999999999999</v>
      </c>
      <c r="W1811" s="145">
        <v>43.722999999999999</v>
      </c>
      <c r="X1811" s="145">
        <v>0.22500000000000001</v>
      </c>
      <c r="Y1811" s="145">
        <v>0.26500000000000001</v>
      </c>
      <c r="Z1811" s="146">
        <v>0.19</v>
      </c>
      <c r="AA1811" s="145">
        <v>3.0110000000000001</v>
      </c>
      <c r="AB1811" s="145">
        <v>1.647</v>
      </c>
      <c r="AC1811" s="145">
        <v>4.6230000000000002</v>
      </c>
      <c r="AD1811" s="145">
        <v>1.27</v>
      </c>
      <c r="AE1811" s="145">
        <v>50.527999999999999</v>
      </c>
      <c r="AF1811" s="145">
        <v>0.64400000000000002</v>
      </c>
      <c r="AG1811" s="145">
        <v>1.008</v>
      </c>
      <c r="AH1811" s="145">
        <v>0.432</v>
      </c>
      <c r="AI1811" s="145" t="s">
        <v>400</v>
      </c>
      <c r="AJ1811" s="145">
        <v>21.361000000000001</v>
      </c>
      <c r="AK1811" s="145">
        <v>48.167999999999999</v>
      </c>
      <c r="AL1811" s="145">
        <v>2.6789999999999998</v>
      </c>
      <c r="AM1811" s="145">
        <v>1.819</v>
      </c>
    </row>
    <row r="1812" spans="1:39">
      <c r="A1812" s="143" t="s">
        <v>2872</v>
      </c>
      <c r="B1812" s="144">
        <v>100</v>
      </c>
      <c r="C1812" s="145">
        <v>212.637</v>
      </c>
      <c r="D1812" s="145">
        <v>6.28</v>
      </c>
      <c r="E1812" s="145">
        <v>13.112</v>
      </c>
      <c r="F1812" s="145">
        <v>2.9129999999999998</v>
      </c>
      <c r="G1812" s="145">
        <v>3.76</v>
      </c>
      <c r="H1812" s="145">
        <v>5.5970000000000004</v>
      </c>
      <c r="I1812" s="145">
        <v>4.9370000000000003</v>
      </c>
      <c r="J1812" s="145">
        <v>0.65</v>
      </c>
      <c r="K1812" s="145">
        <v>15.914999999999999</v>
      </c>
      <c r="L1812" s="145">
        <v>18.513999999999999</v>
      </c>
      <c r="M1812" s="145">
        <v>2.7229999999999999</v>
      </c>
      <c r="N1812" s="145">
        <v>29.981999999999999</v>
      </c>
      <c r="O1812" s="145">
        <v>26.225000000000001</v>
      </c>
      <c r="P1812" s="145">
        <v>0.28499999999999998</v>
      </c>
      <c r="Q1812" s="145">
        <v>89.763999999999996</v>
      </c>
      <c r="R1812" s="145">
        <v>1.2849999999999999</v>
      </c>
      <c r="S1812" s="145">
        <v>398.22500000000002</v>
      </c>
      <c r="T1812" s="145">
        <v>333.125</v>
      </c>
      <c r="U1812" s="145">
        <v>0.13</v>
      </c>
      <c r="V1812" s="145">
        <v>1.359</v>
      </c>
      <c r="W1812" s="145">
        <v>2.786</v>
      </c>
      <c r="X1812" s="145">
        <v>8.5999999999999993E-2</v>
      </c>
      <c r="Y1812" s="145">
        <v>8.1000000000000003E-2</v>
      </c>
      <c r="Z1812" s="146">
        <v>0.22</v>
      </c>
      <c r="AA1812" s="145">
        <v>1.3160000000000001</v>
      </c>
      <c r="AB1812" s="145">
        <v>10.856999999999999</v>
      </c>
      <c r="AC1812" s="145">
        <v>2.16</v>
      </c>
      <c r="AD1812" s="145">
        <v>0.42</v>
      </c>
      <c r="AE1812" s="145">
        <v>36.213999999999999</v>
      </c>
      <c r="AF1812" s="145">
        <v>0.218</v>
      </c>
      <c r="AG1812" s="145">
        <v>1.5589999999999999</v>
      </c>
      <c r="AH1812" s="145">
        <v>0.16400000000000001</v>
      </c>
      <c r="AI1812" s="145" t="s">
        <v>400</v>
      </c>
      <c r="AJ1812" s="145">
        <v>9.6859999999999999</v>
      </c>
      <c r="AK1812" s="145">
        <v>17.802</v>
      </c>
      <c r="AL1812" s="145">
        <v>2.7469999999999999</v>
      </c>
      <c r="AM1812" s="145" t="s">
        <v>400</v>
      </c>
    </row>
    <row r="1813" spans="1:39">
      <c r="A1813" s="143" t="s">
        <v>2873</v>
      </c>
      <c r="B1813" s="144">
        <v>100</v>
      </c>
      <c r="C1813" s="145">
        <v>214.01300000000001</v>
      </c>
      <c r="D1813" s="145">
        <v>16.7</v>
      </c>
      <c r="E1813" s="145">
        <v>12.746</v>
      </c>
      <c r="F1813" s="145">
        <v>2.48</v>
      </c>
      <c r="G1813" s="145">
        <v>3.48</v>
      </c>
      <c r="H1813" s="145">
        <v>6.0149999999999997</v>
      </c>
      <c r="I1813" s="145">
        <v>5.181</v>
      </c>
      <c r="J1813" s="145">
        <v>0.65900000000000003</v>
      </c>
      <c r="K1813" s="145">
        <v>74.796000000000006</v>
      </c>
      <c r="L1813" s="145">
        <v>7.6859999999999999</v>
      </c>
      <c r="M1813" s="145">
        <v>0.83399999999999996</v>
      </c>
      <c r="N1813" s="145">
        <v>48.92</v>
      </c>
      <c r="O1813" s="145">
        <v>25.861000000000001</v>
      </c>
      <c r="P1813" s="145">
        <v>7.4999999999999997E-2</v>
      </c>
      <c r="Q1813" s="145">
        <v>184.309</v>
      </c>
      <c r="R1813" s="145">
        <v>0.95799999999999996</v>
      </c>
      <c r="S1813" s="145">
        <v>377.435</v>
      </c>
      <c r="T1813" s="145">
        <v>165.21100000000001</v>
      </c>
      <c r="U1813" s="145">
        <v>9.4E-2</v>
      </c>
      <c r="V1813" s="145">
        <v>0.63300000000000001</v>
      </c>
      <c r="W1813" s="145">
        <v>41.031999999999996</v>
      </c>
      <c r="X1813" s="145">
        <v>5.5E-2</v>
      </c>
      <c r="Y1813" s="145">
        <v>0.13200000000000001</v>
      </c>
      <c r="Z1813" s="146">
        <v>0.19600000000000001</v>
      </c>
      <c r="AA1813" s="145">
        <v>2.0979999999999999</v>
      </c>
      <c r="AB1813" s="145">
        <v>4.3600000000000003</v>
      </c>
      <c r="AC1813" s="145">
        <v>5.298</v>
      </c>
      <c r="AD1813" s="145">
        <v>0.30199999999999999</v>
      </c>
      <c r="AE1813" s="145">
        <v>10.481999999999999</v>
      </c>
      <c r="AF1813" s="145">
        <v>0.114</v>
      </c>
      <c r="AG1813" s="145">
        <v>1.4430000000000001</v>
      </c>
      <c r="AH1813" s="145">
        <v>0.626</v>
      </c>
      <c r="AI1813" s="145" t="s">
        <v>400</v>
      </c>
      <c r="AJ1813" s="145">
        <v>41.396999999999998</v>
      </c>
      <c r="AK1813" s="145">
        <v>46.999000000000002</v>
      </c>
      <c r="AL1813" s="145">
        <v>0.68</v>
      </c>
      <c r="AM1813" s="145" t="s">
        <v>400</v>
      </c>
    </row>
    <row r="1814" spans="1:39">
      <c r="A1814" s="143" t="s">
        <v>2874</v>
      </c>
      <c r="B1814" s="144">
        <v>100</v>
      </c>
      <c r="C1814" s="145">
        <v>272.46899999999999</v>
      </c>
      <c r="D1814" s="145">
        <v>8.7289999999999992</v>
      </c>
      <c r="E1814" s="145">
        <v>15.22</v>
      </c>
      <c r="F1814" s="145">
        <v>5.3209999999999997</v>
      </c>
      <c r="G1814" s="145">
        <v>6.2249999999999996</v>
      </c>
      <c r="H1814" s="145">
        <v>2.222</v>
      </c>
      <c r="I1814" s="145">
        <v>1.917</v>
      </c>
      <c r="J1814" s="145">
        <v>0.24199999999999999</v>
      </c>
      <c r="K1814" s="145">
        <v>23.59</v>
      </c>
      <c r="L1814" s="145">
        <v>24.8</v>
      </c>
      <c r="M1814" s="145">
        <v>1.0860000000000001</v>
      </c>
      <c r="N1814" s="145">
        <v>70.414000000000001</v>
      </c>
      <c r="O1814" s="145">
        <v>16.558</v>
      </c>
      <c r="P1814" s="145">
        <v>0.15</v>
      </c>
      <c r="Q1814" s="145">
        <v>69.343999999999994</v>
      </c>
      <c r="R1814" s="145">
        <v>1.8879999999999999</v>
      </c>
      <c r="S1814" s="145">
        <v>868.33500000000004</v>
      </c>
      <c r="T1814" s="145">
        <v>123.953</v>
      </c>
      <c r="U1814" s="145">
        <v>0.13100000000000001</v>
      </c>
      <c r="V1814" s="145">
        <v>0.93</v>
      </c>
      <c r="W1814" s="145">
        <v>5.7869999999999999</v>
      </c>
      <c r="X1814" s="145">
        <v>0.22600000000000001</v>
      </c>
      <c r="Y1814" s="145">
        <v>0.188</v>
      </c>
      <c r="Z1814" s="146">
        <v>0.105</v>
      </c>
      <c r="AA1814" s="145">
        <v>2.8519999999999999</v>
      </c>
      <c r="AB1814" s="145">
        <v>1.198</v>
      </c>
      <c r="AC1814" s="145">
        <v>4.3769999999999998</v>
      </c>
      <c r="AD1814" s="145">
        <v>0.35099999999999998</v>
      </c>
      <c r="AE1814" s="145">
        <v>74.198999999999998</v>
      </c>
      <c r="AF1814" s="145">
        <v>0.14099999999999999</v>
      </c>
      <c r="AG1814" s="145">
        <v>0.219</v>
      </c>
      <c r="AH1814" s="145">
        <v>0.65200000000000002</v>
      </c>
      <c r="AI1814" s="145" t="s">
        <v>400</v>
      </c>
      <c r="AJ1814" s="145">
        <v>14.432</v>
      </c>
      <c r="AK1814" s="145">
        <v>9.4320000000000004</v>
      </c>
      <c r="AL1814" s="145">
        <v>5.8129999999999997</v>
      </c>
      <c r="AM1814" s="145">
        <v>5.5019999999999998</v>
      </c>
    </row>
    <row r="1815" spans="1:39">
      <c r="A1815" s="143" t="s">
        <v>2875</v>
      </c>
      <c r="B1815" s="144">
        <v>100</v>
      </c>
      <c r="C1815" s="145">
        <v>267.16399999999999</v>
      </c>
      <c r="D1815" s="145">
        <v>13.08</v>
      </c>
      <c r="E1815" s="145">
        <v>9.2159999999999993</v>
      </c>
      <c r="F1815" s="145">
        <v>3.2850000000000001</v>
      </c>
      <c r="G1815" s="145">
        <v>3.536</v>
      </c>
      <c r="H1815" s="145">
        <v>1.409</v>
      </c>
      <c r="I1815" s="145">
        <v>1.2010000000000001</v>
      </c>
      <c r="J1815" s="145">
        <v>0.19800000000000001</v>
      </c>
      <c r="K1815" s="145">
        <v>23.713999999999999</v>
      </c>
      <c r="L1815" s="145">
        <v>32.356999999999999</v>
      </c>
      <c r="M1815" s="145">
        <v>1.6839999999999999</v>
      </c>
      <c r="N1815" s="145">
        <v>92.997</v>
      </c>
      <c r="O1815" s="145">
        <v>24.306000000000001</v>
      </c>
      <c r="P1815" s="145">
        <v>0.216</v>
      </c>
      <c r="Q1815" s="145">
        <v>101.46599999999999</v>
      </c>
      <c r="R1815" s="145">
        <v>2.7109999999999999</v>
      </c>
      <c r="S1815" s="145">
        <v>472.53199999999998</v>
      </c>
      <c r="T1815" s="145">
        <v>221.58</v>
      </c>
      <c r="U1815" s="145">
        <v>0.182</v>
      </c>
      <c r="V1815" s="145">
        <v>2.161</v>
      </c>
      <c r="W1815" s="145" t="s">
        <v>400</v>
      </c>
      <c r="X1815" s="145">
        <v>0.27800000000000002</v>
      </c>
      <c r="Y1815" s="145">
        <v>0.253</v>
      </c>
      <c r="Z1815" s="146">
        <v>0.18</v>
      </c>
      <c r="AA1815" s="145">
        <v>3.7269999999999999</v>
      </c>
      <c r="AB1815" s="145">
        <v>2.1779999999999999</v>
      </c>
      <c r="AC1815" s="145">
        <v>6.1230000000000002</v>
      </c>
      <c r="AD1815" s="145">
        <v>0.97099999999999997</v>
      </c>
      <c r="AE1815" s="145">
        <v>103.04</v>
      </c>
      <c r="AF1815" s="145">
        <v>0.1</v>
      </c>
      <c r="AG1815" s="145">
        <v>0.28999999999999998</v>
      </c>
      <c r="AH1815" s="145">
        <v>0.69099999999999995</v>
      </c>
      <c r="AI1815" s="146" t="s">
        <v>400</v>
      </c>
      <c r="AJ1815" s="145">
        <v>18.504000000000001</v>
      </c>
      <c r="AK1815" s="145">
        <v>4.09</v>
      </c>
      <c r="AL1815" s="145">
        <v>6.2350000000000003</v>
      </c>
      <c r="AM1815" s="145">
        <v>4.7679999999999998</v>
      </c>
    </row>
    <row r="1816" spans="1:39">
      <c r="A1816" s="143" t="s">
        <v>2876</v>
      </c>
      <c r="B1816" s="144">
        <v>100</v>
      </c>
      <c r="C1816" s="145">
        <v>279.85000000000002</v>
      </c>
      <c r="D1816" s="145">
        <v>14.147</v>
      </c>
      <c r="E1816" s="145">
        <v>11.808</v>
      </c>
      <c r="F1816" s="145">
        <v>5.2149999999999999</v>
      </c>
      <c r="G1816" s="145">
        <v>4.173</v>
      </c>
      <c r="H1816" s="145">
        <v>1.36</v>
      </c>
      <c r="I1816" s="145">
        <v>1.131</v>
      </c>
      <c r="J1816" s="145">
        <v>0.22</v>
      </c>
      <c r="K1816" s="145">
        <v>31.983000000000001</v>
      </c>
      <c r="L1816" s="145">
        <v>28.739000000000001</v>
      </c>
      <c r="M1816" s="145">
        <v>1.486</v>
      </c>
      <c r="N1816" s="145">
        <v>146.99700000000001</v>
      </c>
      <c r="O1816" s="145">
        <v>24.623000000000001</v>
      </c>
      <c r="P1816" s="145">
        <v>0.192</v>
      </c>
      <c r="Q1816" s="145">
        <v>149.88200000000001</v>
      </c>
      <c r="R1816" s="145">
        <v>2.415</v>
      </c>
      <c r="S1816" s="145">
        <v>592.11599999999999</v>
      </c>
      <c r="T1816" s="145">
        <v>215.39400000000001</v>
      </c>
      <c r="U1816" s="145">
        <v>0.16300000000000001</v>
      </c>
      <c r="V1816" s="145">
        <v>2.2410000000000001</v>
      </c>
      <c r="W1816" s="145">
        <v>29.059000000000001</v>
      </c>
      <c r="X1816" s="145">
        <v>0.248</v>
      </c>
      <c r="Y1816" s="145">
        <v>0.26500000000000001</v>
      </c>
      <c r="Z1816" s="146">
        <v>0.16700000000000001</v>
      </c>
      <c r="AA1816" s="145">
        <v>3.2970000000000002</v>
      </c>
      <c r="AB1816" s="145">
        <v>1.9219999999999999</v>
      </c>
      <c r="AC1816" s="145">
        <v>6.0439999999999996</v>
      </c>
      <c r="AD1816" s="145">
        <v>0.93899999999999995</v>
      </c>
      <c r="AE1816" s="145">
        <v>91.858999999999995</v>
      </c>
      <c r="AF1816" s="145">
        <v>0.113</v>
      </c>
      <c r="AG1816" s="145">
        <v>0.28699999999999998</v>
      </c>
      <c r="AH1816" s="145">
        <v>0.69899999999999995</v>
      </c>
      <c r="AI1816" s="145" t="s">
        <v>400</v>
      </c>
      <c r="AJ1816" s="145">
        <v>18.021000000000001</v>
      </c>
      <c r="AK1816" s="145">
        <v>33.472000000000001</v>
      </c>
      <c r="AL1816" s="145">
        <v>5.6529999999999996</v>
      </c>
      <c r="AM1816" s="145">
        <v>4.2069999999999999</v>
      </c>
    </row>
    <row r="1817" spans="1:39">
      <c r="A1817" s="143" t="s">
        <v>2877</v>
      </c>
      <c r="B1817" s="144">
        <v>100</v>
      </c>
      <c r="C1817" s="145">
        <v>269.43700000000001</v>
      </c>
      <c r="D1817" s="145">
        <v>13.281000000000001</v>
      </c>
      <c r="E1817" s="145">
        <v>16.103000000000002</v>
      </c>
      <c r="F1817" s="145">
        <v>3.714</v>
      </c>
      <c r="G1817" s="145">
        <v>4.859</v>
      </c>
      <c r="H1817" s="145">
        <v>5.952</v>
      </c>
      <c r="I1817" s="145">
        <v>5.2549999999999999</v>
      </c>
      <c r="J1817" s="145">
        <v>0.629</v>
      </c>
      <c r="K1817" s="145">
        <v>148.58600000000001</v>
      </c>
      <c r="L1817" s="145">
        <v>17.420999999999999</v>
      </c>
      <c r="M1817" s="145">
        <v>0.63600000000000001</v>
      </c>
      <c r="N1817" s="145">
        <v>60.167999999999999</v>
      </c>
      <c r="O1817" s="145">
        <v>16.201000000000001</v>
      </c>
      <c r="P1817" s="145">
        <v>0.10199999999999999</v>
      </c>
      <c r="Q1817" s="145">
        <v>121.63800000000001</v>
      </c>
      <c r="R1817" s="145">
        <v>2.0960000000000001</v>
      </c>
      <c r="S1817" s="145">
        <v>461.19400000000002</v>
      </c>
      <c r="T1817" s="145">
        <v>177.977</v>
      </c>
      <c r="U1817" s="145">
        <v>0.108</v>
      </c>
      <c r="V1817" s="145">
        <v>2.1909999999999998</v>
      </c>
      <c r="W1817" s="145">
        <v>56.405000000000001</v>
      </c>
      <c r="X1817" s="145">
        <v>0.14799999999999999</v>
      </c>
      <c r="Y1817" s="145">
        <v>0.30299999999999999</v>
      </c>
      <c r="Z1817" s="146">
        <v>0.21</v>
      </c>
      <c r="AA1817" s="145">
        <v>2.6589999999999998</v>
      </c>
      <c r="AB1817" s="145">
        <v>1.52</v>
      </c>
      <c r="AC1817" s="145">
        <v>4.5679999999999996</v>
      </c>
      <c r="AD1817" s="145">
        <v>1.0329999999999999</v>
      </c>
      <c r="AE1817" s="145">
        <v>64.858000000000004</v>
      </c>
      <c r="AF1817" s="145">
        <v>0.51300000000000001</v>
      </c>
      <c r="AG1817" s="145">
        <v>1.1859999999999999</v>
      </c>
      <c r="AH1817" s="145">
        <v>0.40500000000000003</v>
      </c>
      <c r="AI1817" s="145" t="s">
        <v>400</v>
      </c>
      <c r="AJ1817" s="145">
        <v>20.919</v>
      </c>
      <c r="AK1817" s="145">
        <v>61.557000000000002</v>
      </c>
      <c r="AL1817" s="145">
        <v>4.5590000000000002</v>
      </c>
      <c r="AM1817" s="145">
        <v>3.6880000000000002</v>
      </c>
    </row>
    <row r="1818" spans="1:39">
      <c r="A1818" s="143" t="s">
        <v>2878</v>
      </c>
      <c r="B1818" s="144">
        <v>100</v>
      </c>
      <c r="C1818" s="145">
        <v>229.465</v>
      </c>
      <c r="D1818" s="145">
        <v>13.667</v>
      </c>
      <c r="E1818" s="145">
        <v>12.997999999999999</v>
      </c>
      <c r="F1818" s="145">
        <v>4.4779999999999998</v>
      </c>
      <c r="G1818" s="145">
        <v>4.1790000000000003</v>
      </c>
      <c r="H1818" s="145">
        <v>3.746</v>
      </c>
      <c r="I1818" s="145">
        <v>3.2669999999999999</v>
      </c>
      <c r="J1818" s="145">
        <v>0.47799999999999998</v>
      </c>
      <c r="K1818" s="145">
        <v>35.152000000000001</v>
      </c>
      <c r="L1818" s="145">
        <v>13.965</v>
      </c>
      <c r="M1818" s="145">
        <v>0.78300000000000003</v>
      </c>
      <c r="N1818" s="145">
        <v>106.83499999999999</v>
      </c>
      <c r="O1818" s="145">
        <v>18.643000000000001</v>
      </c>
      <c r="P1818" s="145">
        <v>0.111</v>
      </c>
      <c r="Q1818" s="145">
        <v>186.113</v>
      </c>
      <c r="R1818" s="145">
        <v>1.462</v>
      </c>
      <c r="S1818" s="145">
        <v>890.08699999999999</v>
      </c>
      <c r="T1818" s="145">
        <v>234.26499999999999</v>
      </c>
      <c r="U1818" s="145">
        <v>0.123</v>
      </c>
      <c r="V1818" s="145">
        <v>1.46</v>
      </c>
      <c r="W1818" s="145">
        <v>33.865000000000002</v>
      </c>
      <c r="X1818" s="145">
        <v>0.38700000000000001</v>
      </c>
      <c r="Y1818" s="145">
        <v>0.254</v>
      </c>
      <c r="Z1818" s="146">
        <v>0.189</v>
      </c>
      <c r="AA1818" s="145">
        <v>3.44</v>
      </c>
      <c r="AB1818" s="145">
        <v>1.6240000000000001</v>
      </c>
      <c r="AC1818" s="145">
        <v>6.0270000000000001</v>
      </c>
      <c r="AD1818" s="145">
        <v>0.41299999999999998</v>
      </c>
      <c r="AE1818" s="145">
        <v>50.851999999999997</v>
      </c>
      <c r="AF1818" s="145">
        <v>0.33900000000000002</v>
      </c>
      <c r="AG1818" s="145">
        <v>0.56000000000000005</v>
      </c>
      <c r="AH1818" s="145">
        <v>0.29599999999999999</v>
      </c>
      <c r="AI1818" s="146" t="s">
        <v>400</v>
      </c>
      <c r="AJ1818" s="145">
        <v>14.207000000000001</v>
      </c>
      <c r="AK1818" s="145">
        <v>41.415999999999997</v>
      </c>
      <c r="AL1818" s="145">
        <v>2.31</v>
      </c>
      <c r="AM1818" s="145">
        <v>1.7949999999999999</v>
      </c>
    </row>
    <row r="1819" spans="1:39">
      <c r="A1819" s="143" t="s">
        <v>2879</v>
      </c>
      <c r="B1819" s="144">
        <v>100</v>
      </c>
      <c r="C1819" s="145">
        <v>236.679</v>
      </c>
      <c r="D1819" s="145">
        <v>10.054</v>
      </c>
      <c r="E1819" s="145">
        <v>14.215</v>
      </c>
      <c r="F1819" s="145">
        <v>3.96</v>
      </c>
      <c r="G1819" s="145">
        <v>4.01</v>
      </c>
      <c r="H1819" s="145">
        <v>5.1740000000000004</v>
      </c>
      <c r="I1819" s="145">
        <v>4.5339999999999998</v>
      </c>
      <c r="J1819" s="145">
        <v>0.58899999999999997</v>
      </c>
      <c r="K1819" s="145">
        <v>127.499</v>
      </c>
      <c r="L1819" s="145">
        <v>16.847999999999999</v>
      </c>
      <c r="M1819" s="145">
        <v>0.996</v>
      </c>
      <c r="N1819" s="145">
        <v>118.494</v>
      </c>
      <c r="O1819" s="145">
        <v>16.204999999999998</v>
      </c>
      <c r="P1819" s="145">
        <v>0.19500000000000001</v>
      </c>
      <c r="Q1819" s="145">
        <v>146.26599999999999</v>
      </c>
      <c r="R1819" s="145">
        <v>1.73</v>
      </c>
      <c r="S1819" s="145">
        <v>474.55700000000002</v>
      </c>
      <c r="T1819" s="145">
        <v>154.095</v>
      </c>
      <c r="U1819" s="145">
        <v>0.106</v>
      </c>
      <c r="V1819" s="145">
        <v>1.0029999999999999</v>
      </c>
      <c r="W1819" s="145">
        <v>62.866</v>
      </c>
      <c r="X1819" s="145">
        <v>0.23799999999999999</v>
      </c>
      <c r="Y1819" s="145">
        <v>0.30499999999999999</v>
      </c>
      <c r="Z1819" s="146">
        <v>0.11</v>
      </c>
      <c r="AA1819" s="145">
        <v>2.0499999999999998</v>
      </c>
      <c r="AB1819" s="145">
        <v>3.093</v>
      </c>
      <c r="AC1819" s="145">
        <v>4.0510000000000002</v>
      </c>
      <c r="AD1819" s="145">
        <v>0.43</v>
      </c>
      <c r="AE1819" s="145">
        <v>70.808999999999997</v>
      </c>
      <c r="AF1819" s="145">
        <v>0.432</v>
      </c>
      <c r="AG1819" s="145">
        <v>1.071</v>
      </c>
      <c r="AH1819" s="145">
        <v>0.28999999999999998</v>
      </c>
      <c r="AI1819" s="145" t="s">
        <v>400</v>
      </c>
      <c r="AJ1819" s="145">
        <v>20.285</v>
      </c>
      <c r="AK1819" s="145">
        <v>102.669</v>
      </c>
      <c r="AL1819" s="145">
        <v>2.254</v>
      </c>
      <c r="AM1819" s="145">
        <v>1.274</v>
      </c>
    </row>
    <row r="1820" spans="1:39">
      <c r="A1820" s="143" t="s">
        <v>2880</v>
      </c>
      <c r="B1820" s="144">
        <v>100</v>
      </c>
      <c r="C1820" s="145">
        <v>265.41699999999997</v>
      </c>
      <c r="D1820" s="145">
        <v>16.289000000000001</v>
      </c>
      <c r="E1820" s="145">
        <v>13.776999999999999</v>
      </c>
      <c r="F1820" s="145">
        <v>6.0289999999999999</v>
      </c>
      <c r="G1820" s="145">
        <v>5.1449999999999996</v>
      </c>
      <c r="H1820" s="145">
        <v>1.948</v>
      </c>
      <c r="I1820" s="145">
        <v>1.6739999999999999</v>
      </c>
      <c r="J1820" s="145">
        <v>0.27300000000000002</v>
      </c>
      <c r="K1820" s="145">
        <v>42.625</v>
      </c>
      <c r="L1820" s="145">
        <v>18.298999999999999</v>
      </c>
      <c r="M1820" s="145">
        <v>0.85099999999999998</v>
      </c>
      <c r="N1820" s="145">
        <v>168.755</v>
      </c>
      <c r="O1820" s="145">
        <v>22.532</v>
      </c>
      <c r="P1820" s="145">
        <v>0.188</v>
      </c>
      <c r="Q1820" s="145">
        <v>252.018</v>
      </c>
      <c r="R1820" s="145">
        <v>1.903</v>
      </c>
      <c r="S1820" s="145">
        <v>1175.6780000000001</v>
      </c>
      <c r="T1820" s="145">
        <v>235.316</v>
      </c>
      <c r="U1820" s="145">
        <v>0.153</v>
      </c>
      <c r="V1820" s="145">
        <v>1.833</v>
      </c>
      <c r="W1820" s="145">
        <v>77.165000000000006</v>
      </c>
      <c r="X1820" s="145">
        <v>0.46100000000000002</v>
      </c>
      <c r="Y1820" s="145">
        <v>0.32200000000000001</v>
      </c>
      <c r="Z1820" s="146">
        <v>0.16900000000000001</v>
      </c>
      <c r="AA1820" s="145">
        <v>4.0430000000000001</v>
      </c>
      <c r="AB1820" s="145">
        <v>7.0000000000000001E-3</v>
      </c>
      <c r="AC1820" s="145">
        <v>7.2530000000000001</v>
      </c>
      <c r="AD1820" s="145">
        <v>0.42599999999999999</v>
      </c>
      <c r="AE1820" s="145">
        <v>63.487000000000002</v>
      </c>
      <c r="AF1820" s="145">
        <v>0.36399999999999999</v>
      </c>
      <c r="AG1820" s="145">
        <v>0.36099999999999999</v>
      </c>
      <c r="AH1820" s="145">
        <v>1.254</v>
      </c>
      <c r="AI1820" s="146" t="s">
        <v>400</v>
      </c>
      <c r="AJ1820" s="145">
        <v>16.992000000000001</v>
      </c>
      <c r="AK1820" s="145">
        <v>79.894000000000005</v>
      </c>
      <c r="AL1820" s="145">
        <v>1.8180000000000001</v>
      </c>
      <c r="AM1820" s="145">
        <v>1.464</v>
      </c>
    </row>
    <row r="1821" spans="1:39">
      <c r="A1821" s="143" t="s">
        <v>2881</v>
      </c>
      <c r="B1821" s="144">
        <v>100</v>
      </c>
      <c r="C1821" s="145">
        <v>329.29300000000001</v>
      </c>
      <c r="D1821" s="145">
        <v>12.218999999999999</v>
      </c>
      <c r="E1821" s="145">
        <v>17.242000000000001</v>
      </c>
      <c r="F1821" s="145">
        <v>8.11</v>
      </c>
      <c r="G1821" s="145">
        <v>5.7069999999999999</v>
      </c>
      <c r="H1821" s="145">
        <v>2.3450000000000002</v>
      </c>
      <c r="I1821" s="145">
        <v>2.0449999999999999</v>
      </c>
      <c r="J1821" s="145">
        <v>0.3</v>
      </c>
      <c r="K1821" s="145">
        <v>32.106999999999999</v>
      </c>
      <c r="L1821" s="145">
        <v>31.085999999999999</v>
      </c>
      <c r="M1821" s="145">
        <v>1.446</v>
      </c>
      <c r="N1821" s="145">
        <v>281.21499999999997</v>
      </c>
      <c r="O1821" s="145">
        <v>23.248000000000001</v>
      </c>
      <c r="P1821" s="145">
        <v>0.29099999999999998</v>
      </c>
      <c r="Q1821" s="145">
        <v>236.17</v>
      </c>
      <c r="R1821" s="145">
        <v>2.3180000000000001</v>
      </c>
      <c r="S1821" s="145">
        <v>972.55499999999995</v>
      </c>
      <c r="T1821" s="145">
        <v>120.358</v>
      </c>
      <c r="U1821" s="145">
        <v>0.16</v>
      </c>
      <c r="V1821" s="145">
        <v>1.427</v>
      </c>
      <c r="W1821" s="145">
        <v>131.08699999999999</v>
      </c>
      <c r="X1821" s="145">
        <v>0.28399999999999997</v>
      </c>
      <c r="Y1821" s="145">
        <v>0.32200000000000001</v>
      </c>
      <c r="Z1821" s="146">
        <v>7.4999999999999997E-2</v>
      </c>
      <c r="AA1821" s="145">
        <v>2.6659999999999999</v>
      </c>
      <c r="AB1821" s="145">
        <v>1.0999999999999999E-2</v>
      </c>
      <c r="AC1821" s="145">
        <v>5.41</v>
      </c>
      <c r="AD1821" s="145">
        <v>0.245</v>
      </c>
      <c r="AE1821" s="145">
        <v>105.80200000000001</v>
      </c>
      <c r="AF1821" s="145">
        <v>7.1999999999999995E-2</v>
      </c>
      <c r="AG1821" s="145">
        <v>0.40100000000000002</v>
      </c>
      <c r="AH1821" s="145">
        <v>2.1110000000000002</v>
      </c>
      <c r="AI1821" s="145" t="s">
        <v>400</v>
      </c>
      <c r="AJ1821" s="145">
        <v>15.34</v>
      </c>
      <c r="AK1821" s="145">
        <v>135.72399999999999</v>
      </c>
      <c r="AL1821" s="145">
        <v>3.0880000000000001</v>
      </c>
      <c r="AM1821" s="145">
        <v>2.4870000000000001</v>
      </c>
    </row>
    <row r="1822" spans="1:39">
      <c r="A1822" s="143" t="s">
        <v>2882</v>
      </c>
      <c r="B1822" s="144">
        <v>100</v>
      </c>
      <c r="C1822" s="145">
        <v>282.988</v>
      </c>
      <c r="D1822" s="145">
        <v>8.9649999999999999</v>
      </c>
      <c r="E1822" s="145">
        <v>13.744</v>
      </c>
      <c r="F1822" s="145">
        <v>3.9790000000000001</v>
      </c>
      <c r="G1822" s="145">
        <v>5.6760000000000002</v>
      </c>
      <c r="H1822" s="145">
        <v>2.8330000000000002</v>
      </c>
      <c r="I1822" s="145">
        <v>2.5739999999999998</v>
      </c>
      <c r="J1822" s="145">
        <v>0.20699999999999999</v>
      </c>
      <c r="K1822" s="145">
        <v>22.658999999999999</v>
      </c>
      <c r="L1822" s="145">
        <v>30.268000000000001</v>
      </c>
      <c r="M1822" s="145">
        <v>1.395</v>
      </c>
      <c r="N1822" s="145">
        <v>96.691000000000003</v>
      </c>
      <c r="O1822" s="145">
        <v>17.364000000000001</v>
      </c>
      <c r="P1822" s="145">
        <v>0.28199999999999997</v>
      </c>
      <c r="Q1822" s="145">
        <v>98.272000000000006</v>
      </c>
      <c r="R1822" s="145">
        <v>2.577</v>
      </c>
      <c r="S1822" s="145">
        <v>839.12300000000005</v>
      </c>
      <c r="T1822" s="145">
        <v>110.334</v>
      </c>
      <c r="U1822" s="145">
        <v>0.17899999999999999</v>
      </c>
      <c r="V1822" s="145">
        <v>1.1040000000000001</v>
      </c>
      <c r="W1822" s="145">
        <v>48.834000000000003</v>
      </c>
      <c r="X1822" s="145">
        <v>0.315</v>
      </c>
      <c r="Y1822" s="145">
        <v>0.26600000000000001</v>
      </c>
      <c r="Z1822" s="146">
        <v>0.104</v>
      </c>
      <c r="AA1822" s="145">
        <v>3.5369999999999999</v>
      </c>
      <c r="AB1822" s="145">
        <v>1.0999999999999999E-2</v>
      </c>
      <c r="AC1822" s="145">
        <v>5.3019999999999996</v>
      </c>
      <c r="AD1822" s="145">
        <v>0.44</v>
      </c>
      <c r="AE1822" s="145">
        <v>100.209</v>
      </c>
      <c r="AF1822" s="145">
        <v>0.16300000000000001</v>
      </c>
      <c r="AG1822" s="145">
        <v>0.34799999999999998</v>
      </c>
      <c r="AH1822" s="145">
        <v>1.8759999999999999</v>
      </c>
      <c r="AI1822" s="146" t="s">
        <v>400</v>
      </c>
      <c r="AJ1822" s="145">
        <v>15.544</v>
      </c>
      <c r="AK1822" s="145">
        <v>51.055999999999997</v>
      </c>
      <c r="AL1822" s="145">
        <v>3.1640000000000001</v>
      </c>
      <c r="AM1822" s="145">
        <v>3.1920000000000002</v>
      </c>
    </row>
    <row r="1823" spans="1:39">
      <c r="A1823" s="143" t="s">
        <v>2883</v>
      </c>
      <c r="B1823" s="144">
        <v>100</v>
      </c>
      <c r="C1823" s="145">
        <v>230.333</v>
      </c>
      <c r="D1823" s="145">
        <v>10.968</v>
      </c>
      <c r="E1823" s="145">
        <v>12.15</v>
      </c>
      <c r="F1823" s="145">
        <v>2.532</v>
      </c>
      <c r="G1823" s="145">
        <v>3.74</v>
      </c>
      <c r="H1823" s="145">
        <v>5.1280000000000001</v>
      </c>
      <c r="I1823" s="145">
        <v>4.5350000000000001</v>
      </c>
      <c r="J1823" s="145">
        <v>0.59299999999999997</v>
      </c>
      <c r="K1823" s="145">
        <v>24.731999999999999</v>
      </c>
      <c r="L1823" s="145">
        <v>18.728999999999999</v>
      </c>
      <c r="M1823" s="145">
        <v>1.1060000000000001</v>
      </c>
      <c r="N1823" s="145">
        <v>63.463000000000001</v>
      </c>
      <c r="O1823" s="145">
        <v>17.849</v>
      </c>
      <c r="P1823" s="145">
        <v>0.20100000000000001</v>
      </c>
      <c r="Q1823" s="145">
        <v>141.518</v>
      </c>
      <c r="R1823" s="145">
        <v>1.857</v>
      </c>
      <c r="S1823" s="145">
        <v>844.22</v>
      </c>
      <c r="T1823" s="145">
        <v>223.881</v>
      </c>
      <c r="U1823" s="145">
        <v>0.15</v>
      </c>
      <c r="V1823" s="145">
        <v>1.18</v>
      </c>
      <c r="W1823" s="145">
        <v>7.8010000000000002</v>
      </c>
      <c r="X1823" s="145">
        <v>0.42799999999999999</v>
      </c>
      <c r="Y1823" s="145">
        <v>0.25</v>
      </c>
      <c r="Z1823" s="146">
        <v>0.20799999999999999</v>
      </c>
      <c r="AA1823" s="145">
        <v>3.798</v>
      </c>
      <c r="AB1823" s="145">
        <v>0.495</v>
      </c>
      <c r="AC1823" s="145">
        <v>5.7889999999999997</v>
      </c>
      <c r="AD1823" s="145">
        <v>0.28199999999999997</v>
      </c>
      <c r="AE1823" s="145">
        <v>67.94</v>
      </c>
      <c r="AF1823" s="145">
        <v>0.314</v>
      </c>
      <c r="AG1823" s="145">
        <v>0.73899999999999999</v>
      </c>
      <c r="AH1823" s="145">
        <v>0.26</v>
      </c>
      <c r="AI1823" s="145" t="s">
        <v>400</v>
      </c>
      <c r="AJ1823" s="145">
        <v>13.420999999999999</v>
      </c>
      <c r="AK1823" s="145">
        <v>11.461</v>
      </c>
      <c r="AL1823" s="145">
        <v>1.925</v>
      </c>
      <c r="AM1823" s="145">
        <v>1.704</v>
      </c>
    </row>
    <row r="1824" spans="1:39">
      <c r="A1824" s="143" t="s">
        <v>2884</v>
      </c>
      <c r="B1824" s="144">
        <v>100</v>
      </c>
      <c r="C1824" s="145">
        <v>265.41699999999997</v>
      </c>
      <c r="D1824" s="145">
        <v>16.289000000000001</v>
      </c>
      <c r="E1824" s="145">
        <v>13.776999999999999</v>
      </c>
      <c r="F1824" s="145">
        <v>6.0289999999999999</v>
      </c>
      <c r="G1824" s="145">
        <v>5.1449999999999996</v>
      </c>
      <c r="H1824" s="145">
        <v>1.948</v>
      </c>
      <c r="I1824" s="145">
        <v>1.6739999999999999</v>
      </c>
      <c r="J1824" s="145">
        <v>0.27300000000000002</v>
      </c>
      <c r="K1824" s="145">
        <v>42.625</v>
      </c>
      <c r="L1824" s="145">
        <v>18.298999999999999</v>
      </c>
      <c r="M1824" s="145">
        <v>0.85099999999999998</v>
      </c>
      <c r="N1824" s="145">
        <v>168.755</v>
      </c>
      <c r="O1824" s="145">
        <v>22.532</v>
      </c>
      <c r="P1824" s="145">
        <v>0.188</v>
      </c>
      <c r="Q1824" s="145">
        <v>252.018</v>
      </c>
      <c r="R1824" s="145">
        <v>1.903</v>
      </c>
      <c r="S1824" s="145">
        <v>1175.6780000000001</v>
      </c>
      <c r="T1824" s="145">
        <v>235.316</v>
      </c>
      <c r="U1824" s="145">
        <v>0.153</v>
      </c>
      <c r="V1824" s="145">
        <v>1.833</v>
      </c>
      <c r="W1824" s="145">
        <v>77.165000000000006</v>
      </c>
      <c r="X1824" s="145">
        <v>0.46100000000000002</v>
      </c>
      <c r="Y1824" s="145">
        <v>0.32200000000000001</v>
      </c>
      <c r="Z1824" s="146">
        <v>0.16900000000000001</v>
      </c>
      <c r="AA1824" s="145">
        <v>4.0430000000000001</v>
      </c>
      <c r="AB1824" s="145">
        <v>7.0000000000000001E-3</v>
      </c>
      <c r="AC1824" s="145">
        <v>7.2530000000000001</v>
      </c>
      <c r="AD1824" s="145">
        <v>0.42599999999999999</v>
      </c>
      <c r="AE1824" s="145">
        <v>63.487000000000002</v>
      </c>
      <c r="AF1824" s="145">
        <v>0.36399999999999999</v>
      </c>
      <c r="AG1824" s="145">
        <v>0.36099999999999999</v>
      </c>
      <c r="AH1824" s="145">
        <v>1.254</v>
      </c>
      <c r="AI1824" s="146" t="s">
        <v>400</v>
      </c>
      <c r="AJ1824" s="145">
        <v>16.992000000000001</v>
      </c>
      <c r="AK1824" s="145">
        <v>79.894000000000005</v>
      </c>
      <c r="AL1824" s="145">
        <v>1.8180000000000001</v>
      </c>
      <c r="AM1824" s="145">
        <v>1.464</v>
      </c>
    </row>
    <row r="1825" spans="1:39">
      <c r="A1825" s="143" t="s">
        <v>2885</v>
      </c>
      <c r="B1825" s="144">
        <v>100</v>
      </c>
      <c r="C1825" s="145">
        <v>315.97199999999998</v>
      </c>
      <c r="D1825" s="145">
        <v>8.6020000000000003</v>
      </c>
      <c r="E1825" s="145">
        <v>16.559000000000001</v>
      </c>
      <c r="F1825" s="145">
        <v>5.38</v>
      </c>
      <c r="G1825" s="145">
        <v>7.0179999999999998</v>
      </c>
      <c r="H1825" s="145">
        <v>2.8650000000000002</v>
      </c>
      <c r="I1825" s="145">
        <v>2.5790000000000002</v>
      </c>
      <c r="J1825" s="145">
        <v>0.26800000000000002</v>
      </c>
      <c r="K1825" s="145">
        <v>25.617000000000001</v>
      </c>
      <c r="L1825" s="145">
        <v>32.814</v>
      </c>
      <c r="M1825" s="145">
        <v>1.446</v>
      </c>
      <c r="N1825" s="145">
        <v>103.262</v>
      </c>
      <c r="O1825" s="145">
        <v>18.808</v>
      </c>
      <c r="P1825" s="145">
        <v>0.379</v>
      </c>
      <c r="Q1825" s="145">
        <v>104.669</v>
      </c>
      <c r="R1825" s="145">
        <v>2.6629999999999998</v>
      </c>
      <c r="S1825" s="145">
        <v>824.31700000000001</v>
      </c>
      <c r="T1825" s="145">
        <v>138.46</v>
      </c>
      <c r="U1825" s="145">
        <v>0.186</v>
      </c>
      <c r="V1825" s="145">
        <v>1.2150000000000001</v>
      </c>
      <c r="W1825" s="145">
        <v>46.722000000000001</v>
      </c>
      <c r="X1825" s="145">
        <v>0.32700000000000001</v>
      </c>
      <c r="Y1825" s="145">
        <v>0.253</v>
      </c>
      <c r="Z1825" s="146">
        <v>0.184</v>
      </c>
      <c r="AA1825" s="145">
        <v>3.7730000000000001</v>
      </c>
      <c r="AB1825" s="145">
        <v>3.7690000000000001</v>
      </c>
      <c r="AC1825" s="145">
        <v>5.3959999999999999</v>
      </c>
      <c r="AD1825" s="145">
        <v>0.375</v>
      </c>
      <c r="AE1825" s="145">
        <v>104.435</v>
      </c>
      <c r="AF1825" s="145">
        <v>0.10199999999999999</v>
      </c>
      <c r="AG1825" s="145">
        <v>0.309</v>
      </c>
      <c r="AH1825" s="145">
        <v>2.0459999999999998</v>
      </c>
      <c r="AI1825" s="145" t="s">
        <v>400</v>
      </c>
      <c r="AJ1825" s="145">
        <v>14.657</v>
      </c>
      <c r="AK1825" s="145">
        <v>49.024999999999999</v>
      </c>
      <c r="AL1825" s="145">
        <v>3.4660000000000002</v>
      </c>
      <c r="AM1825" s="145">
        <v>4.7619999999999996</v>
      </c>
    </row>
    <row r="1826" spans="1:39">
      <c r="A1826" s="143" t="s">
        <v>2886</v>
      </c>
      <c r="B1826" s="144">
        <v>100</v>
      </c>
      <c r="C1826" s="145">
        <v>329.29300000000001</v>
      </c>
      <c r="D1826" s="145">
        <v>12.218999999999999</v>
      </c>
      <c r="E1826" s="145">
        <v>17.242000000000001</v>
      </c>
      <c r="F1826" s="145">
        <v>8.11</v>
      </c>
      <c r="G1826" s="145">
        <v>5.7069999999999999</v>
      </c>
      <c r="H1826" s="145">
        <v>2.3450000000000002</v>
      </c>
      <c r="I1826" s="145">
        <v>2.0449999999999999</v>
      </c>
      <c r="J1826" s="145">
        <v>0.3</v>
      </c>
      <c r="K1826" s="145">
        <v>32.106999999999999</v>
      </c>
      <c r="L1826" s="145">
        <v>31.085999999999999</v>
      </c>
      <c r="M1826" s="145">
        <v>1.446</v>
      </c>
      <c r="N1826" s="145">
        <v>281.21499999999997</v>
      </c>
      <c r="O1826" s="145">
        <v>23.248000000000001</v>
      </c>
      <c r="P1826" s="145">
        <v>0.29099999999999998</v>
      </c>
      <c r="Q1826" s="145">
        <v>236.17</v>
      </c>
      <c r="R1826" s="145">
        <v>2.3180000000000001</v>
      </c>
      <c r="S1826" s="145">
        <v>972.55499999999995</v>
      </c>
      <c r="T1826" s="145">
        <v>120.358</v>
      </c>
      <c r="U1826" s="145">
        <v>0.16</v>
      </c>
      <c r="V1826" s="145">
        <v>1.427</v>
      </c>
      <c r="W1826" s="145">
        <v>131.08699999999999</v>
      </c>
      <c r="X1826" s="145">
        <v>0.28399999999999997</v>
      </c>
      <c r="Y1826" s="145">
        <v>0.32200000000000001</v>
      </c>
      <c r="Z1826" s="146">
        <v>7.4999999999999997E-2</v>
      </c>
      <c r="AA1826" s="145">
        <v>2.6659999999999999</v>
      </c>
      <c r="AB1826" s="145">
        <v>1.0999999999999999E-2</v>
      </c>
      <c r="AC1826" s="145">
        <v>5.41</v>
      </c>
      <c r="AD1826" s="145">
        <v>0.245</v>
      </c>
      <c r="AE1826" s="145">
        <v>105.80200000000001</v>
      </c>
      <c r="AF1826" s="145">
        <v>7.1999999999999995E-2</v>
      </c>
      <c r="AG1826" s="145">
        <v>0.40100000000000002</v>
      </c>
      <c r="AH1826" s="145">
        <v>2.1110000000000002</v>
      </c>
      <c r="AI1826" s="145" t="s">
        <v>400</v>
      </c>
      <c r="AJ1826" s="145">
        <v>15.34</v>
      </c>
      <c r="AK1826" s="145">
        <v>135.72399999999999</v>
      </c>
      <c r="AL1826" s="145">
        <v>3.0880000000000001</v>
      </c>
      <c r="AM1826" s="145">
        <v>2.4870000000000001</v>
      </c>
    </row>
    <row r="1827" spans="1:39">
      <c r="A1827" s="143" t="s">
        <v>2887</v>
      </c>
      <c r="B1827" s="144">
        <v>100</v>
      </c>
      <c r="C1827" s="145">
        <v>279.85000000000002</v>
      </c>
      <c r="D1827" s="145">
        <v>14.147</v>
      </c>
      <c r="E1827" s="145">
        <v>11.808</v>
      </c>
      <c r="F1827" s="145">
        <v>5.2149999999999999</v>
      </c>
      <c r="G1827" s="145">
        <v>4.173</v>
      </c>
      <c r="H1827" s="145">
        <v>1.36</v>
      </c>
      <c r="I1827" s="145">
        <v>1.131</v>
      </c>
      <c r="J1827" s="145">
        <v>0.22</v>
      </c>
      <c r="K1827" s="145">
        <v>31.983000000000001</v>
      </c>
      <c r="L1827" s="145">
        <v>28.739000000000001</v>
      </c>
      <c r="M1827" s="145">
        <v>1.486</v>
      </c>
      <c r="N1827" s="145">
        <v>146.99700000000001</v>
      </c>
      <c r="O1827" s="145">
        <v>24.623000000000001</v>
      </c>
      <c r="P1827" s="145">
        <v>0.192</v>
      </c>
      <c r="Q1827" s="145">
        <v>149.88200000000001</v>
      </c>
      <c r="R1827" s="145">
        <v>2.415</v>
      </c>
      <c r="S1827" s="145">
        <v>592.11599999999999</v>
      </c>
      <c r="T1827" s="145">
        <v>215.39400000000001</v>
      </c>
      <c r="U1827" s="145">
        <v>0.16300000000000001</v>
      </c>
      <c r="V1827" s="145">
        <v>2.2410000000000001</v>
      </c>
      <c r="W1827" s="145">
        <v>29.059000000000001</v>
      </c>
      <c r="X1827" s="145">
        <v>0.248</v>
      </c>
      <c r="Y1827" s="145">
        <v>0.26500000000000001</v>
      </c>
      <c r="Z1827" s="146">
        <v>0.16700000000000001</v>
      </c>
      <c r="AA1827" s="145">
        <v>3.2970000000000002</v>
      </c>
      <c r="AB1827" s="145">
        <v>1.9219999999999999</v>
      </c>
      <c r="AC1827" s="145">
        <v>6.0439999999999996</v>
      </c>
      <c r="AD1827" s="145">
        <v>0.93899999999999995</v>
      </c>
      <c r="AE1827" s="145">
        <v>91.858999999999995</v>
      </c>
      <c r="AF1827" s="145">
        <v>0.113</v>
      </c>
      <c r="AG1827" s="145">
        <v>0.28699999999999998</v>
      </c>
      <c r="AH1827" s="145">
        <v>0.69899999999999995</v>
      </c>
      <c r="AI1827" s="145" t="s">
        <v>400</v>
      </c>
      <c r="AJ1827" s="145">
        <v>18.021000000000001</v>
      </c>
      <c r="AK1827" s="145">
        <v>33.472000000000001</v>
      </c>
      <c r="AL1827" s="145">
        <v>5.6529999999999996</v>
      </c>
      <c r="AM1827" s="145">
        <v>4.2069999999999999</v>
      </c>
    </row>
    <row r="1828" spans="1:39">
      <c r="A1828" s="143" t="s">
        <v>2888</v>
      </c>
      <c r="B1828" s="144">
        <v>100</v>
      </c>
      <c r="C1828" s="145">
        <v>279.85000000000002</v>
      </c>
      <c r="D1828" s="145">
        <v>14.147</v>
      </c>
      <c r="E1828" s="145">
        <v>11.808</v>
      </c>
      <c r="F1828" s="145">
        <v>5.2149999999999999</v>
      </c>
      <c r="G1828" s="145">
        <v>4.173</v>
      </c>
      <c r="H1828" s="145">
        <v>1.36</v>
      </c>
      <c r="I1828" s="145">
        <v>1.131</v>
      </c>
      <c r="J1828" s="145">
        <v>0.22</v>
      </c>
      <c r="K1828" s="145">
        <v>31.983000000000001</v>
      </c>
      <c r="L1828" s="145">
        <v>28.739000000000001</v>
      </c>
      <c r="M1828" s="145">
        <v>1.486</v>
      </c>
      <c r="N1828" s="145">
        <v>146.99700000000001</v>
      </c>
      <c r="O1828" s="145">
        <v>24.623000000000001</v>
      </c>
      <c r="P1828" s="145">
        <v>0.192</v>
      </c>
      <c r="Q1828" s="145">
        <v>149.88200000000001</v>
      </c>
      <c r="R1828" s="145">
        <v>2.415</v>
      </c>
      <c r="S1828" s="145">
        <v>592.11599999999999</v>
      </c>
      <c r="T1828" s="145">
        <v>215.39400000000001</v>
      </c>
      <c r="U1828" s="145">
        <v>0.16300000000000001</v>
      </c>
      <c r="V1828" s="145">
        <v>2.2410000000000001</v>
      </c>
      <c r="W1828" s="145">
        <v>29.059000000000001</v>
      </c>
      <c r="X1828" s="145">
        <v>0.248</v>
      </c>
      <c r="Y1828" s="145">
        <v>0.26500000000000001</v>
      </c>
      <c r="Z1828" s="146">
        <v>0.16700000000000001</v>
      </c>
      <c r="AA1828" s="145">
        <v>3.2970000000000002</v>
      </c>
      <c r="AB1828" s="145">
        <v>1.9219999999999999</v>
      </c>
      <c r="AC1828" s="145">
        <v>6.0439999999999996</v>
      </c>
      <c r="AD1828" s="145">
        <v>0.93899999999999995</v>
      </c>
      <c r="AE1828" s="145">
        <v>91.858999999999995</v>
      </c>
      <c r="AF1828" s="145">
        <v>0.113</v>
      </c>
      <c r="AG1828" s="145">
        <v>0.28699999999999998</v>
      </c>
      <c r="AH1828" s="145">
        <v>0.69899999999999995</v>
      </c>
      <c r="AI1828" s="145" t="s">
        <v>400</v>
      </c>
      <c r="AJ1828" s="145">
        <v>18.021000000000001</v>
      </c>
      <c r="AK1828" s="145">
        <v>33.472000000000001</v>
      </c>
      <c r="AL1828" s="145">
        <v>5.6529999999999996</v>
      </c>
      <c r="AM1828" s="145">
        <v>4.2069999999999999</v>
      </c>
    </row>
    <row r="1829" spans="1:39">
      <c r="A1829" s="143" t="s">
        <v>2889</v>
      </c>
      <c r="B1829" s="144">
        <v>100</v>
      </c>
      <c r="C1829" s="145">
        <v>245.583</v>
      </c>
      <c r="D1829" s="145">
        <v>11.212999999999999</v>
      </c>
      <c r="E1829" s="145">
        <v>10.837999999999999</v>
      </c>
      <c r="F1829" s="145">
        <v>1.958</v>
      </c>
      <c r="G1829" s="145">
        <v>2.85</v>
      </c>
      <c r="H1829" s="145">
        <v>4.9989999999999997</v>
      </c>
      <c r="I1829" s="145">
        <v>4.4089999999999998</v>
      </c>
      <c r="J1829" s="145">
        <v>0.52500000000000002</v>
      </c>
      <c r="K1829" s="145">
        <v>26.282</v>
      </c>
      <c r="L1829" s="145">
        <v>25.576000000000001</v>
      </c>
      <c r="M1829" s="145">
        <v>1.4710000000000001</v>
      </c>
      <c r="N1829" s="145">
        <v>81.834000000000003</v>
      </c>
      <c r="O1829" s="145">
        <v>20.068000000000001</v>
      </c>
      <c r="P1829" s="145">
        <v>0.249</v>
      </c>
      <c r="Q1829" s="145">
        <v>103.372</v>
      </c>
      <c r="R1829" s="145">
        <v>2.218</v>
      </c>
      <c r="S1829" s="145">
        <v>436.02699999999999</v>
      </c>
      <c r="T1829" s="145">
        <v>147.941</v>
      </c>
      <c r="U1829" s="145">
        <v>0.14799999999999999</v>
      </c>
      <c r="V1829" s="145">
        <v>0.94099999999999995</v>
      </c>
      <c r="W1829" s="145">
        <v>11.496</v>
      </c>
      <c r="X1829" s="145">
        <v>0.23799999999999999</v>
      </c>
      <c r="Y1829" s="145">
        <v>0.21199999999999999</v>
      </c>
      <c r="Z1829" s="146">
        <v>0.222</v>
      </c>
      <c r="AA1829" s="145">
        <v>4.4160000000000004</v>
      </c>
      <c r="AB1829" s="145">
        <v>2.125</v>
      </c>
      <c r="AC1829" s="145">
        <v>6.5940000000000003</v>
      </c>
      <c r="AD1829" s="145">
        <v>0.115</v>
      </c>
      <c r="AE1829" s="145">
        <v>86.721000000000004</v>
      </c>
      <c r="AF1829" s="145">
        <v>0.13</v>
      </c>
      <c r="AG1829" s="145">
        <v>0.73699999999999999</v>
      </c>
      <c r="AH1829" s="145">
        <v>0.373</v>
      </c>
      <c r="AI1829" s="146" t="s">
        <v>400</v>
      </c>
      <c r="AJ1829" s="145">
        <v>14.148</v>
      </c>
      <c r="AK1829" s="145">
        <v>18.898</v>
      </c>
      <c r="AL1829" s="145">
        <v>3.8109999999999999</v>
      </c>
      <c r="AM1829" s="145">
        <v>3.319</v>
      </c>
    </row>
    <row r="1830" spans="1:39">
      <c r="A1830" s="143" t="s">
        <v>2890</v>
      </c>
      <c r="B1830" s="144">
        <v>100</v>
      </c>
      <c r="C1830" s="145">
        <v>41.826000000000001</v>
      </c>
      <c r="D1830" s="145">
        <v>0.58799999999999997</v>
      </c>
      <c r="E1830" s="145">
        <v>0.13900000000000001</v>
      </c>
      <c r="F1830" s="145">
        <v>1.7999999999999999E-2</v>
      </c>
      <c r="G1830" s="145">
        <v>2.5000000000000001E-2</v>
      </c>
      <c r="H1830" s="145">
        <v>3.4000000000000002E-2</v>
      </c>
      <c r="I1830" s="145">
        <v>2.7E-2</v>
      </c>
      <c r="J1830" s="145">
        <v>7.0000000000000001E-3</v>
      </c>
      <c r="K1830" s="145" t="s">
        <v>400</v>
      </c>
      <c r="L1830" s="145">
        <v>9.8089999999999993</v>
      </c>
      <c r="M1830" s="145">
        <v>0.309</v>
      </c>
      <c r="N1830" s="145">
        <v>7.9669999999999996</v>
      </c>
      <c r="O1830" s="145">
        <v>10.954000000000001</v>
      </c>
      <c r="P1830" s="145">
        <v>1.4E-2</v>
      </c>
      <c r="Q1830" s="145">
        <v>13.942</v>
      </c>
      <c r="R1830" s="145">
        <v>0.438</v>
      </c>
      <c r="S1830" s="145">
        <v>1.992</v>
      </c>
      <c r="T1830" s="145">
        <v>174.274</v>
      </c>
      <c r="U1830" s="145">
        <v>5.7000000000000002E-2</v>
      </c>
      <c r="V1830" s="145">
        <v>7.0000000000000007E-2</v>
      </c>
      <c r="W1830" s="145" t="s">
        <v>400</v>
      </c>
      <c r="X1830" s="145">
        <v>0.06</v>
      </c>
      <c r="Y1830" s="145">
        <v>2.8000000000000001E-2</v>
      </c>
      <c r="Z1830" s="146">
        <v>8.7999999999999995E-2</v>
      </c>
      <c r="AA1830" s="145">
        <v>0.313</v>
      </c>
      <c r="AB1830" s="145">
        <v>34.256999999999998</v>
      </c>
      <c r="AC1830" s="145">
        <v>0.34599999999999997</v>
      </c>
      <c r="AD1830" s="145" t="s">
        <v>400</v>
      </c>
      <c r="AE1830" s="145">
        <v>17.925000000000001</v>
      </c>
      <c r="AF1830" s="145" t="s">
        <v>400</v>
      </c>
      <c r="AG1830" s="145">
        <v>0.19900000000000001</v>
      </c>
      <c r="AH1830" s="145" t="s">
        <v>400</v>
      </c>
      <c r="AI1830" s="145" t="s">
        <v>400</v>
      </c>
      <c r="AJ1830" s="145">
        <v>0.1</v>
      </c>
      <c r="AK1830" s="145">
        <v>8.7550000000000008</v>
      </c>
      <c r="AL1830" s="145">
        <v>8.1159999999999997</v>
      </c>
      <c r="AM1830" s="145" t="s">
        <v>400</v>
      </c>
    </row>
    <row r="1831" spans="1:39">
      <c r="A1831" s="143" t="s">
        <v>2891</v>
      </c>
      <c r="B1831" s="144">
        <v>100</v>
      </c>
      <c r="C1831" s="145">
        <v>53.206000000000003</v>
      </c>
      <c r="D1831" s="145">
        <v>0.36099999999999999</v>
      </c>
      <c r="E1831" s="145">
        <v>0.12</v>
      </c>
      <c r="F1831" s="145">
        <v>8.0000000000000002E-3</v>
      </c>
      <c r="G1831" s="145">
        <v>1.4E-2</v>
      </c>
      <c r="H1831" s="145">
        <v>4.2000000000000003E-2</v>
      </c>
      <c r="I1831" s="145">
        <v>2.4E-2</v>
      </c>
      <c r="J1831" s="145">
        <v>1.7999999999999999E-2</v>
      </c>
      <c r="K1831" s="145" t="s">
        <v>400</v>
      </c>
      <c r="L1831" s="145">
        <v>12.92</v>
      </c>
      <c r="M1831" s="145">
        <v>0.20100000000000001</v>
      </c>
      <c r="N1831" s="145">
        <v>13.05</v>
      </c>
      <c r="O1831" s="145">
        <v>12.047000000000001</v>
      </c>
      <c r="P1831" s="145">
        <v>0.50600000000000001</v>
      </c>
      <c r="Q1831" s="145">
        <v>8.0310000000000006</v>
      </c>
      <c r="R1831" s="145">
        <v>0.311</v>
      </c>
      <c r="S1831" s="145">
        <v>2.008</v>
      </c>
      <c r="T1831" s="145">
        <v>130.505</v>
      </c>
      <c r="U1831" s="145">
        <v>6.9000000000000006E-2</v>
      </c>
      <c r="V1831" s="145">
        <v>0.11</v>
      </c>
      <c r="W1831" s="145" t="s">
        <v>400</v>
      </c>
      <c r="X1831" s="145">
        <v>5.8000000000000003E-2</v>
      </c>
      <c r="Y1831" s="145">
        <v>2.1000000000000001E-2</v>
      </c>
      <c r="Z1831" s="146">
        <v>0.1</v>
      </c>
      <c r="AA1831" s="145">
        <v>0.2</v>
      </c>
      <c r="AB1831" s="145">
        <v>10.039</v>
      </c>
      <c r="AC1831" s="145">
        <v>0.2</v>
      </c>
      <c r="AD1831" s="145" t="s">
        <v>400</v>
      </c>
      <c r="AE1831" s="145">
        <v>18.07</v>
      </c>
      <c r="AF1831" s="145" t="s">
        <v>400</v>
      </c>
      <c r="AG1831" s="145">
        <v>0.02</v>
      </c>
      <c r="AH1831" s="145" t="s">
        <v>400</v>
      </c>
      <c r="AI1831" s="145" t="s">
        <v>400</v>
      </c>
      <c r="AJ1831" s="145">
        <v>0.1</v>
      </c>
      <c r="AK1831" s="145">
        <v>0.251</v>
      </c>
      <c r="AL1831" s="145">
        <v>10.029</v>
      </c>
      <c r="AM1831" s="145" t="s">
        <v>400</v>
      </c>
    </row>
    <row r="1832" spans="1:39">
      <c r="A1832" s="143" t="s">
        <v>2892</v>
      </c>
      <c r="B1832" s="144">
        <v>100</v>
      </c>
      <c r="C1832" s="145">
        <v>23.056000000000001</v>
      </c>
      <c r="D1832" s="145">
        <v>0.40100000000000002</v>
      </c>
      <c r="E1832" s="145">
        <v>0.30099999999999999</v>
      </c>
      <c r="F1832" s="145">
        <v>6.8000000000000005E-2</v>
      </c>
      <c r="G1832" s="145">
        <v>8.2000000000000003E-2</v>
      </c>
      <c r="H1832" s="145">
        <v>0.09</v>
      </c>
      <c r="I1832" s="145">
        <v>4.5999999999999999E-2</v>
      </c>
      <c r="J1832" s="145">
        <v>4.3999999999999997E-2</v>
      </c>
      <c r="K1832" s="145" t="s">
        <v>400</v>
      </c>
      <c r="L1832" s="145">
        <v>4.8120000000000003</v>
      </c>
      <c r="M1832" s="145">
        <v>0.30099999999999999</v>
      </c>
      <c r="N1832" s="145">
        <v>10.023999999999999</v>
      </c>
      <c r="O1832" s="145">
        <v>12.029</v>
      </c>
      <c r="P1832" s="145">
        <v>6.6000000000000003E-2</v>
      </c>
      <c r="Q1832" s="145">
        <v>9.0220000000000002</v>
      </c>
      <c r="R1832" s="145">
        <v>0.501</v>
      </c>
      <c r="S1832" s="145">
        <v>3.0070000000000001</v>
      </c>
      <c r="T1832" s="145">
        <v>97.236999999999995</v>
      </c>
      <c r="U1832" s="145">
        <v>8.5999999999999993E-2</v>
      </c>
      <c r="V1832" s="145">
        <v>0.1</v>
      </c>
      <c r="W1832" s="145" t="s">
        <v>400</v>
      </c>
      <c r="X1832" s="145">
        <v>0.02</v>
      </c>
      <c r="Y1832" s="145">
        <v>0.06</v>
      </c>
      <c r="Z1832" s="146">
        <v>4.0000000000000001E-3</v>
      </c>
      <c r="AA1832" s="145">
        <v>0.40100000000000002</v>
      </c>
      <c r="AB1832" s="145">
        <v>1603.912</v>
      </c>
      <c r="AC1832" s="145">
        <v>0.40100000000000002</v>
      </c>
      <c r="AD1832" s="145" t="s">
        <v>400</v>
      </c>
      <c r="AE1832" s="145">
        <v>14.034000000000001</v>
      </c>
      <c r="AF1832" s="145" t="s">
        <v>400</v>
      </c>
      <c r="AG1832" s="145">
        <v>0.18</v>
      </c>
      <c r="AH1832" s="145" t="s">
        <v>400</v>
      </c>
      <c r="AI1832" s="145" t="s">
        <v>400</v>
      </c>
      <c r="AJ1832" s="145">
        <v>0.1</v>
      </c>
      <c r="AK1832" s="145">
        <v>25.478999999999999</v>
      </c>
      <c r="AL1832" s="145">
        <v>4.4109999999999996</v>
      </c>
      <c r="AM1832" s="145" t="s">
        <v>400</v>
      </c>
    </row>
    <row r="1833" spans="1:39">
      <c r="A1833" s="143" t="s">
        <v>2893</v>
      </c>
      <c r="B1833" s="144">
        <v>100</v>
      </c>
      <c r="C1833" s="145">
        <v>30.771999999999998</v>
      </c>
      <c r="D1833" s="145">
        <v>0.81100000000000005</v>
      </c>
      <c r="E1833" s="145">
        <v>0.11700000000000001</v>
      </c>
      <c r="F1833" s="145">
        <v>2.1000000000000001E-2</v>
      </c>
      <c r="G1833" s="145">
        <v>8.9999999999999993E-3</v>
      </c>
      <c r="H1833" s="145">
        <v>5.2999999999999999E-2</v>
      </c>
      <c r="I1833" s="145">
        <v>4.5999999999999999E-2</v>
      </c>
      <c r="J1833" s="145">
        <v>6.0000000000000001E-3</v>
      </c>
      <c r="K1833" s="145" t="s">
        <v>400</v>
      </c>
      <c r="L1833" s="145">
        <v>7.1079999999999997</v>
      </c>
      <c r="M1833" s="145">
        <v>0.75700000000000001</v>
      </c>
      <c r="N1833" s="145">
        <v>17.143999999999998</v>
      </c>
      <c r="O1833" s="145">
        <v>11.734</v>
      </c>
      <c r="P1833" s="145">
        <v>0.123</v>
      </c>
      <c r="Q1833" s="145">
        <v>31.27</v>
      </c>
      <c r="R1833" s="145">
        <v>0.39</v>
      </c>
      <c r="S1833" s="145">
        <v>28.027999999999999</v>
      </c>
      <c r="T1833" s="145">
        <v>222.57900000000001</v>
      </c>
      <c r="U1833" s="145">
        <v>3.7999999999999999E-2</v>
      </c>
      <c r="V1833" s="145">
        <v>0.158</v>
      </c>
      <c r="W1833" s="145" t="s">
        <v>400</v>
      </c>
      <c r="X1833" s="145">
        <v>6.0999999999999999E-2</v>
      </c>
      <c r="Y1833" s="145">
        <v>0.04</v>
      </c>
      <c r="Z1833" s="146">
        <v>0.14499999999999999</v>
      </c>
      <c r="AA1833" s="145">
        <v>0.28499999999999998</v>
      </c>
      <c r="AB1833" s="145">
        <v>5.81</v>
      </c>
      <c r="AC1833" s="145">
        <v>0.432</v>
      </c>
      <c r="AD1833" s="145" t="s">
        <v>400</v>
      </c>
      <c r="AE1833" s="145">
        <v>12.664</v>
      </c>
      <c r="AF1833" s="145" t="s">
        <v>400</v>
      </c>
      <c r="AG1833" s="145">
        <v>0.73599999999999999</v>
      </c>
      <c r="AH1833" s="145" t="s">
        <v>400</v>
      </c>
      <c r="AI1833" s="145" t="s">
        <v>400</v>
      </c>
      <c r="AJ1833" s="145">
        <v>0.46700000000000003</v>
      </c>
      <c r="AK1833" s="145">
        <v>602.41899999999998</v>
      </c>
      <c r="AL1833" s="145">
        <v>4.7060000000000004</v>
      </c>
      <c r="AM1833" s="145" t="s">
        <v>400</v>
      </c>
    </row>
    <row r="1834" spans="1:39">
      <c r="A1834" s="143" t="s">
        <v>2894</v>
      </c>
      <c r="B1834" s="144">
        <v>100</v>
      </c>
      <c r="C1834" s="145">
        <v>24.5</v>
      </c>
      <c r="D1834" s="145">
        <v>0.6</v>
      </c>
      <c r="E1834" s="145">
        <v>0.5</v>
      </c>
      <c r="F1834" s="145">
        <v>0.2</v>
      </c>
      <c r="G1834" s="145">
        <v>0.1</v>
      </c>
      <c r="H1834" s="145">
        <v>0.05</v>
      </c>
      <c r="I1834" s="145">
        <v>1.4999999999999999E-2</v>
      </c>
      <c r="J1834" s="145">
        <v>4.4999999999999998E-2</v>
      </c>
      <c r="K1834" s="145" t="s">
        <v>400</v>
      </c>
      <c r="L1834" s="145">
        <v>5.2</v>
      </c>
      <c r="M1834" s="145">
        <v>1.55</v>
      </c>
      <c r="N1834" s="145">
        <v>6.5</v>
      </c>
      <c r="O1834" s="145">
        <v>9</v>
      </c>
      <c r="P1834" s="145">
        <v>3.5000000000000003E-2</v>
      </c>
      <c r="Q1834" s="145">
        <v>10.5</v>
      </c>
      <c r="R1834" s="145">
        <v>0.25</v>
      </c>
      <c r="S1834" s="145">
        <v>1.5</v>
      </c>
      <c r="T1834" s="145">
        <v>165.5</v>
      </c>
      <c r="U1834" s="145">
        <v>3.5000000000000003E-2</v>
      </c>
      <c r="V1834" s="145">
        <v>0.15</v>
      </c>
      <c r="W1834" s="145" t="s">
        <v>400</v>
      </c>
      <c r="X1834" s="145">
        <v>0.185</v>
      </c>
      <c r="Y1834" s="145">
        <v>0.02</v>
      </c>
      <c r="Z1834" s="146">
        <v>3.5000000000000003E-2</v>
      </c>
      <c r="AA1834" s="145">
        <v>2.17</v>
      </c>
      <c r="AB1834" s="145">
        <v>12.25</v>
      </c>
      <c r="AC1834" s="145" t="s">
        <v>400</v>
      </c>
      <c r="AD1834" s="145" t="s">
        <v>400</v>
      </c>
      <c r="AE1834" s="145" t="s">
        <v>400</v>
      </c>
      <c r="AF1834" s="145" t="s">
        <v>400</v>
      </c>
      <c r="AG1834" s="145" t="s">
        <v>400</v>
      </c>
      <c r="AH1834" s="145" t="s">
        <v>400</v>
      </c>
      <c r="AI1834" s="145" t="s">
        <v>400</v>
      </c>
      <c r="AJ1834" s="145" t="s">
        <v>400</v>
      </c>
      <c r="AK1834" s="145" t="s">
        <v>400</v>
      </c>
      <c r="AL1834" s="145" t="s">
        <v>400</v>
      </c>
      <c r="AM1834" s="145" t="s">
        <v>400</v>
      </c>
    </row>
    <row r="1835" spans="1:39">
      <c r="A1835" s="143" t="s">
        <v>2895</v>
      </c>
      <c r="B1835" s="144">
        <v>100</v>
      </c>
      <c r="C1835" s="145">
        <v>62.283999999999999</v>
      </c>
      <c r="D1835" s="145">
        <v>0.371</v>
      </c>
      <c r="E1835" s="145">
        <v>0.13800000000000001</v>
      </c>
      <c r="F1835" s="145">
        <v>0.04</v>
      </c>
      <c r="G1835" s="145">
        <v>1.2999999999999999E-2</v>
      </c>
      <c r="H1835" s="145">
        <v>5.8000000000000003E-2</v>
      </c>
      <c r="I1835" s="145">
        <v>4.2000000000000003E-2</v>
      </c>
      <c r="J1835" s="145">
        <v>1.6E-2</v>
      </c>
      <c r="K1835" s="145" t="s">
        <v>400</v>
      </c>
      <c r="L1835" s="145">
        <v>15.619</v>
      </c>
      <c r="M1835" s="145">
        <v>0.78500000000000003</v>
      </c>
      <c r="N1835" s="145">
        <v>2.7530000000000001</v>
      </c>
      <c r="O1835" s="145">
        <v>3.1989999999999998</v>
      </c>
      <c r="P1835" s="145">
        <v>2.1999999999999999E-2</v>
      </c>
      <c r="Q1835" s="145">
        <v>5.8170000000000002</v>
      </c>
      <c r="R1835" s="145">
        <v>3.9E-2</v>
      </c>
      <c r="S1835" s="145">
        <v>0.29099999999999998</v>
      </c>
      <c r="T1835" s="145">
        <v>60.91</v>
      </c>
      <c r="U1835" s="145">
        <v>3.3000000000000002E-2</v>
      </c>
      <c r="V1835" s="145">
        <v>3.3000000000000002E-2</v>
      </c>
      <c r="W1835" s="145" t="s">
        <v>400</v>
      </c>
      <c r="X1835" s="145">
        <v>0.01</v>
      </c>
      <c r="Y1835" s="145">
        <v>8.0000000000000002E-3</v>
      </c>
      <c r="Z1835" s="146">
        <v>1.6E-2</v>
      </c>
      <c r="AA1835" s="145">
        <v>0.158</v>
      </c>
      <c r="AB1835" s="145">
        <v>33.198999999999998</v>
      </c>
      <c r="AC1835" s="145">
        <v>0.21099999999999999</v>
      </c>
      <c r="AD1835" s="145" t="s">
        <v>400</v>
      </c>
      <c r="AE1835" s="145">
        <v>7.125</v>
      </c>
      <c r="AF1835" s="145" t="s">
        <v>400</v>
      </c>
      <c r="AG1835" s="145">
        <v>0.106</v>
      </c>
      <c r="AH1835" s="145" t="s">
        <v>400</v>
      </c>
      <c r="AI1835" s="145" t="s">
        <v>400</v>
      </c>
      <c r="AJ1835" s="145">
        <v>0.16800000000000001</v>
      </c>
      <c r="AK1835" s="145">
        <v>4.532</v>
      </c>
      <c r="AL1835" s="145">
        <v>14.808999999999999</v>
      </c>
      <c r="AM1835" s="145">
        <v>13.536</v>
      </c>
    </row>
    <row r="1836" spans="1:39">
      <c r="A1836" s="143" t="s">
        <v>2896</v>
      </c>
      <c r="B1836" s="144">
        <v>100</v>
      </c>
      <c r="C1836" s="145">
        <v>41.826000000000001</v>
      </c>
      <c r="D1836" s="145">
        <v>0.58799999999999997</v>
      </c>
      <c r="E1836" s="145">
        <v>0.13900000000000001</v>
      </c>
      <c r="F1836" s="145">
        <v>1.7999999999999999E-2</v>
      </c>
      <c r="G1836" s="145">
        <v>2.5000000000000001E-2</v>
      </c>
      <c r="H1836" s="145">
        <v>3.4000000000000002E-2</v>
      </c>
      <c r="I1836" s="145">
        <v>2.7E-2</v>
      </c>
      <c r="J1836" s="145">
        <v>7.0000000000000001E-3</v>
      </c>
      <c r="K1836" s="145" t="s">
        <v>400</v>
      </c>
      <c r="L1836" s="145">
        <v>9.8089999999999993</v>
      </c>
      <c r="M1836" s="145">
        <v>0.309</v>
      </c>
      <c r="N1836" s="145">
        <v>7.9669999999999996</v>
      </c>
      <c r="O1836" s="145">
        <v>10.954000000000001</v>
      </c>
      <c r="P1836" s="145">
        <v>1.4E-2</v>
      </c>
      <c r="Q1836" s="145">
        <v>13.942</v>
      </c>
      <c r="R1836" s="145">
        <v>0.438</v>
      </c>
      <c r="S1836" s="145">
        <v>1.992</v>
      </c>
      <c r="T1836" s="145">
        <v>174.274</v>
      </c>
      <c r="U1836" s="145">
        <v>5.7000000000000002E-2</v>
      </c>
      <c r="V1836" s="145">
        <v>7.0000000000000007E-2</v>
      </c>
      <c r="W1836" s="145" t="s">
        <v>400</v>
      </c>
      <c r="X1836" s="145">
        <v>0.06</v>
      </c>
      <c r="Y1836" s="145">
        <v>2.8000000000000001E-2</v>
      </c>
      <c r="Z1836" s="146">
        <v>8.7999999999999995E-2</v>
      </c>
      <c r="AA1836" s="145">
        <v>0.313</v>
      </c>
      <c r="AB1836" s="145">
        <v>34.256999999999998</v>
      </c>
      <c r="AC1836" s="145">
        <v>0.34599999999999997</v>
      </c>
      <c r="AD1836" s="145" t="s">
        <v>400</v>
      </c>
      <c r="AE1836" s="145">
        <v>17.925000000000001</v>
      </c>
      <c r="AF1836" s="145" t="s">
        <v>400</v>
      </c>
      <c r="AG1836" s="145">
        <v>0.19900000000000001</v>
      </c>
      <c r="AH1836" s="145" t="s">
        <v>400</v>
      </c>
      <c r="AI1836" s="145" t="s">
        <v>400</v>
      </c>
      <c r="AJ1836" s="145">
        <v>0.1</v>
      </c>
      <c r="AK1836" s="145">
        <v>8.7550000000000008</v>
      </c>
      <c r="AL1836" s="145">
        <v>8.1159999999999997</v>
      </c>
      <c r="AM1836" s="145" t="s">
        <v>400</v>
      </c>
    </row>
    <row r="1837" spans="1:39">
      <c r="A1837" s="143" t="s">
        <v>2897</v>
      </c>
      <c r="B1837" s="144">
        <v>100</v>
      </c>
      <c r="C1837" s="145">
        <v>56.798999999999999</v>
      </c>
      <c r="D1837" s="145">
        <v>0.75600000000000001</v>
      </c>
      <c r="E1837" s="145">
        <v>0.19800000000000001</v>
      </c>
      <c r="F1837" s="145">
        <v>4.3999999999999997E-2</v>
      </c>
      <c r="G1837" s="145">
        <v>2.8000000000000001E-2</v>
      </c>
      <c r="H1837" s="145">
        <v>4.5999999999999999E-2</v>
      </c>
      <c r="I1837" s="145">
        <v>3.4000000000000002E-2</v>
      </c>
      <c r="J1837" s="145">
        <v>1.2999999999999999E-2</v>
      </c>
      <c r="K1837" s="145" t="s">
        <v>400</v>
      </c>
      <c r="L1837" s="145">
        <v>13.84</v>
      </c>
      <c r="M1837" s="145">
        <v>0.93300000000000005</v>
      </c>
      <c r="N1837" s="145">
        <v>7.6609999999999996</v>
      </c>
      <c r="O1837" s="145">
        <v>15.851000000000001</v>
      </c>
      <c r="P1837" s="145">
        <v>8.2000000000000003E-2</v>
      </c>
      <c r="Q1837" s="145">
        <v>16.907</v>
      </c>
      <c r="R1837" s="145">
        <v>0.41699999999999998</v>
      </c>
      <c r="S1837" s="145">
        <v>1.849</v>
      </c>
      <c r="T1837" s="145">
        <v>233.27</v>
      </c>
      <c r="U1837" s="145">
        <v>6.6000000000000003E-2</v>
      </c>
      <c r="V1837" s="145">
        <v>9.5000000000000001E-2</v>
      </c>
      <c r="W1837" s="145" t="s">
        <v>400</v>
      </c>
      <c r="X1837" s="145">
        <v>5.6000000000000001E-2</v>
      </c>
      <c r="Y1837" s="145">
        <v>4.1000000000000002E-2</v>
      </c>
      <c r="Z1837" s="146">
        <v>0.16700000000000001</v>
      </c>
      <c r="AA1837" s="145">
        <v>0.42499999999999999</v>
      </c>
      <c r="AB1837" s="145">
        <v>29.562000000000001</v>
      </c>
      <c r="AC1837" s="145">
        <v>0.49099999999999999</v>
      </c>
      <c r="AD1837" s="145" t="s">
        <v>400</v>
      </c>
      <c r="AE1837" s="145">
        <v>19.548999999999999</v>
      </c>
      <c r="AF1837" s="145" t="s">
        <v>400</v>
      </c>
      <c r="AG1837" s="145">
        <v>0.193</v>
      </c>
      <c r="AH1837" s="145" t="s">
        <v>400</v>
      </c>
      <c r="AI1837" s="145" t="s">
        <v>400</v>
      </c>
      <c r="AJ1837" s="145">
        <v>0.34300000000000003</v>
      </c>
      <c r="AK1837" s="145">
        <v>7.8150000000000004</v>
      </c>
      <c r="AL1837" s="145">
        <v>9.69</v>
      </c>
      <c r="AM1837" s="145" t="s">
        <v>400</v>
      </c>
    </row>
    <row r="1838" spans="1:39">
      <c r="A1838" s="143" t="s">
        <v>2898</v>
      </c>
      <c r="B1838" s="144">
        <v>100</v>
      </c>
      <c r="C1838" s="145">
        <v>30.771999999999998</v>
      </c>
      <c r="D1838" s="145">
        <v>0.81100000000000005</v>
      </c>
      <c r="E1838" s="145">
        <v>0.11700000000000001</v>
      </c>
      <c r="F1838" s="145">
        <v>2.1000000000000001E-2</v>
      </c>
      <c r="G1838" s="145">
        <v>8.9999999999999993E-3</v>
      </c>
      <c r="H1838" s="145">
        <v>5.2999999999999999E-2</v>
      </c>
      <c r="I1838" s="145">
        <v>4.5999999999999999E-2</v>
      </c>
      <c r="J1838" s="145">
        <v>6.0000000000000001E-3</v>
      </c>
      <c r="K1838" s="145" t="s">
        <v>400</v>
      </c>
      <c r="L1838" s="145">
        <v>7.1079999999999997</v>
      </c>
      <c r="M1838" s="145">
        <v>0.75700000000000001</v>
      </c>
      <c r="N1838" s="145">
        <v>17.143999999999998</v>
      </c>
      <c r="O1838" s="145">
        <v>11.734</v>
      </c>
      <c r="P1838" s="145">
        <v>0.123</v>
      </c>
      <c r="Q1838" s="145">
        <v>31.27</v>
      </c>
      <c r="R1838" s="145">
        <v>0.39</v>
      </c>
      <c r="S1838" s="145">
        <v>28.027999999999999</v>
      </c>
      <c r="T1838" s="145">
        <v>222.57900000000001</v>
      </c>
      <c r="U1838" s="145">
        <v>3.7999999999999999E-2</v>
      </c>
      <c r="V1838" s="145">
        <v>0.158</v>
      </c>
      <c r="W1838" s="145" t="s">
        <v>400</v>
      </c>
      <c r="X1838" s="145">
        <v>6.0999999999999999E-2</v>
      </c>
      <c r="Y1838" s="145">
        <v>0.04</v>
      </c>
      <c r="Z1838" s="146">
        <v>0.14499999999999999</v>
      </c>
      <c r="AA1838" s="145">
        <v>0.28499999999999998</v>
      </c>
      <c r="AB1838" s="145">
        <v>5.81</v>
      </c>
      <c r="AC1838" s="145">
        <v>0.432</v>
      </c>
      <c r="AD1838" s="145" t="s">
        <v>400</v>
      </c>
      <c r="AE1838" s="145">
        <v>12.664</v>
      </c>
      <c r="AF1838" s="145" t="s">
        <v>400</v>
      </c>
      <c r="AG1838" s="145">
        <v>0.73599999999999999</v>
      </c>
      <c r="AH1838" s="145" t="s">
        <v>400</v>
      </c>
      <c r="AI1838" s="145" t="s">
        <v>400</v>
      </c>
      <c r="AJ1838" s="145">
        <v>0.46700000000000003</v>
      </c>
      <c r="AK1838" s="145">
        <v>602.41899999999998</v>
      </c>
      <c r="AL1838" s="145">
        <v>4.7060000000000004</v>
      </c>
      <c r="AM1838" s="145" t="s">
        <v>400</v>
      </c>
    </row>
    <row r="1839" spans="1:39">
      <c r="A1839" s="143" t="s">
        <v>2899</v>
      </c>
      <c r="B1839" s="144">
        <v>100</v>
      </c>
      <c r="C1839" s="145">
        <v>30.771999999999998</v>
      </c>
      <c r="D1839" s="145">
        <v>0.81100000000000005</v>
      </c>
      <c r="E1839" s="145">
        <v>0.11700000000000001</v>
      </c>
      <c r="F1839" s="145">
        <v>2.1000000000000001E-2</v>
      </c>
      <c r="G1839" s="145">
        <v>8.9999999999999993E-3</v>
      </c>
      <c r="H1839" s="145">
        <v>5.2999999999999999E-2</v>
      </c>
      <c r="I1839" s="145">
        <v>4.5999999999999999E-2</v>
      </c>
      <c r="J1839" s="145">
        <v>6.0000000000000001E-3</v>
      </c>
      <c r="K1839" s="145" t="s">
        <v>400</v>
      </c>
      <c r="L1839" s="145">
        <v>7.1079999999999997</v>
      </c>
      <c r="M1839" s="145">
        <v>0.75700000000000001</v>
      </c>
      <c r="N1839" s="145">
        <v>17.143999999999998</v>
      </c>
      <c r="O1839" s="145">
        <v>11.734</v>
      </c>
      <c r="P1839" s="145">
        <v>0.123</v>
      </c>
      <c r="Q1839" s="145">
        <v>31.27</v>
      </c>
      <c r="R1839" s="145">
        <v>0.39</v>
      </c>
      <c r="S1839" s="145">
        <v>28.027999999999999</v>
      </c>
      <c r="T1839" s="145">
        <v>222.57900000000001</v>
      </c>
      <c r="U1839" s="145">
        <v>3.7999999999999999E-2</v>
      </c>
      <c r="V1839" s="145">
        <v>0.158</v>
      </c>
      <c r="W1839" s="145" t="s">
        <v>400</v>
      </c>
      <c r="X1839" s="145">
        <v>6.0999999999999999E-2</v>
      </c>
      <c r="Y1839" s="145">
        <v>0.04</v>
      </c>
      <c r="Z1839" s="146">
        <v>0.14499999999999999</v>
      </c>
      <c r="AA1839" s="145">
        <v>0.28499999999999998</v>
      </c>
      <c r="AB1839" s="145">
        <v>5.81</v>
      </c>
      <c r="AC1839" s="145">
        <v>0.432</v>
      </c>
      <c r="AD1839" s="145" t="s">
        <v>400</v>
      </c>
      <c r="AE1839" s="145">
        <v>12.664</v>
      </c>
      <c r="AF1839" s="145" t="s">
        <v>400</v>
      </c>
      <c r="AG1839" s="145">
        <v>0.73599999999999999</v>
      </c>
      <c r="AH1839" s="145" t="s">
        <v>400</v>
      </c>
      <c r="AI1839" s="145" t="s">
        <v>400</v>
      </c>
      <c r="AJ1839" s="145">
        <v>0.46700000000000003</v>
      </c>
      <c r="AK1839" s="145">
        <v>602.41899999999998</v>
      </c>
      <c r="AL1839" s="145">
        <v>4.7060000000000004</v>
      </c>
      <c r="AM1839" s="145" t="s">
        <v>400</v>
      </c>
    </row>
    <row r="1840" spans="1:39">
      <c r="A1840" s="143" t="s">
        <v>2900</v>
      </c>
      <c r="B1840" s="144">
        <v>100</v>
      </c>
      <c r="C1840" s="145">
        <v>30.771999999999998</v>
      </c>
      <c r="D1840" s="145">
        <v>0.81100000000000005</v>
      </c>
      <c r="E1840" s="145">
        <v>0.11700000000000001</v>
      </c>
      <c r="F1840" s="145">
        <v>2.1000000000000001E-2</v>
      </c>
      <c r="G1840" s="145">
        <v>8.9999999999999993E-3</v>
      </c>
      <c r="H1840" s="145">
        <v>5.2999999999999999E-2</v>
      </c>
      <c r="I1840" s="145">
        <v>4.5999999999999999E-2</v>
      </c>
      <c r="J1840" s="145">
        <v>6.0000000000000001E-3</v>
      </c>
      <c r="K1840" s="145" t="s">
        <v>400</v>
      </c>
      <c r="L1840" s="145">
        <v>7.1079999999999997</v>
      </c>
      <c r="M1840" s="145">
        <v>0.75700000000000001</v>
      </c>
      <c r="N1840" s="145">
        <v>17.143999999999998</v>
      </c>
      <c r="O1840" s="145">
        <v>11.734</v>
      </c>
      <c r="P1840" s="145">
        <v>0.123</v>
      </c>
      <c r="Q1840" s="145">
        <v>31.27</v>
      </c>
      <c r="R1840" s="145">
        <v>0.39</v>
      </c>
      <c r="S1840" s="145">
        <v>28.027999999999999</v>
      </c>
      <c r="T1840" s="145">
        <v>222.57900000000001</v>
      </c>
      <c r="U1840" s="145">
        <v>3.7999999999999999E-2</v>
      </c>
      <c r="V1840" s="145">
        <v>0.158</v>
      </c>
      <c r="W1840" s="145" t="s">
        <v>400</v>
      </c>
      <c r="X1840" s="145">
        <v>6.0999999999999999E-2</v>
      </c>
      <c r="Y1840" s="145">
        <v>0.04</v>
      </c>
      <c r="Z1840" s="146">
        <v>0.14499999999999999</v>
      </c>
      <c r="AA1840" s="145">
        <v>0.28499999999999998</v>
      </c>
      <c r="AB1840" s="145">
        <v>5.81</v>
      </c>
      <c r="AC1840" s="145">
        <v>0.432</v>
      </c>
      <c r="AD1840" s="145" t="s">
        <v>400</v>
      </c>
      <c r="AE1840" s="145">
        <v>12.664</v>
      </c>
      <c r="AF1840" s="145" t="s">
        <v>400</v>
      </c>
      <c r="AG1840" s="145">
        <v>0.73599999999999999</v>
      </c>
      <c r="AH1840" s="145" t="s">
        <v>400</v>
      </c>
      <c r="AI1840" s="145" t="s">
        <v>400</v>
      </c>
      <c r="AJ1840" s="145">
        <v>0.46700000000000003</v>
      </c>
      <c r="AK1840" s="145">
        <v>602.41899999999998</v>
      </c>
      <c r="AL1840" s="145">
        <v>4.7060000000000004</v>
      </c>
      <c r="AM1840" s="145" t="s">
        <v>400</v>
      </c>
    </row>
    <row r="1841" spans="1:39">
      <c r="A1841" s="143" t="s">
        <v>2901</v>
      </c>
      <c r="B1841" s="144">
        <v>100</v>
      </c>
      <c r="C1841" s="145">
        <v>57.13</v>
      </c>
      <c r="D1841" s="145">
        <v>0.17</v>
      </c>
      <c r="E1841" s="145">
        <v>0.15</v>
      </c>
      <c r="F1841" s="145">
        <v>4.7E-2</v>
      </c>
      <c r="G1841" s="145">
        <v>4.1000000000000002E-2</v>
      </c>
      <c r="H1841" s="145">
        <v>3.5000000000000003E-2</v>
      </c>
      <c r="I1841" s="145">
        <v>7.0000000000000001E-3</v>
      </c>
      <c r="J1841" s="145">
        <v>2.8000000000000001E-2</v>
      </c>
      <c r="K1841" s="145" t="s">
        <v>400</v>
      </c>
      <c r="L1841" s="145">
        <v>14.542999999999999</v>
      </c>
      <c r="M1841" s="145">
        <v>0.60099999999999998</v>
      </c>
      <c r="N1841" s="145">
        <v>10.023</v>
      </c>
      <c r="O1841" s="145">
        <v>3.0070000000000001</v>
      </c>
      <c r="P1841" s="145">
        <v>1.2999999999999999E-2</v>
      </c>
      <c r="Q1841" s="145" t="s">
        <v>400</v>
      </c>
      <c r="R1841" s="145">
        <v>0.34100000000000003</v>
      </c>
      <c r="S1841" s="145">
        <v>5.0110000000000001</v>
      </c>
      <c r="T1841" s="145">
        <v>31.071000000000002</v>
      </c>
      <c r="U1841" s="145">
        <v>1.2999999999999999E-2</v>
      </c>
      <c r="V1841" s="145">
        <v>0.15</v>
      </c>
      <c r="W1841" s="145" t="s">
        <v>400</v>
      </c>
      <c r="X1841" s="145">
        <v>6.0000000000000001E-3</v>
      </c>
      <c r="Y1841" s="145">
        <v>4.0000000000000001E-3</v>
      </c>
      <c r="Z1841" s="146">
        <v>8.9999999999999993E-3</v>
      </c>
      <c r="AA1841" s="145">
        <v>0.15</v>
      </c>
      <c r="AB1841" s="145">
        <v>3.0070000000000001</v>
      </c>
      <c r="AC1841" s="145">
        <v>0.15</v>
      </c>
      <c r="AD1841" s="145" t="s">
        <v>400</v>
      </c>
      <c r="AE1841" s="145">
        <v>2.0049999999999999</v>
      </c>
      <c r="AF1841" s="145" t="s">
        <v>400</v>
      </c>
      <c r="AG1841" s="145">
        <v>0.24099999999999999</v>
      </c>
      <c r="AH1841" s="145" t="s">
        <v>400</v>
      </c>
      <c r="AI1841" s="145" t="s">
        <v>400</v>
      </c>
      <c r="AJ1841" s="145">
        <v>0.30099999999999999</v>
      </c>
      <c r="AK1841" s="145">
        <v>18.082999999999998</v>
      </c>
      <c r="AL1841" s="145">
        <v>10.603999999999999</v>
      </c>
      <c r="AM1841" s="145" t="s">
        <v>400</v>
      </c>
    </row>
    <row r="1842" spans="1:39">
      <c r="A1842" s="143" t="s">
        <v>2902</v>
      </c>
      <c r="B1842" s="144">
        <v>100</v>
      </c>
      <c r="C1842" s="145">
        <v>50.862000000000002</v>
      </c>
      <c r="D1842" s="145">
        <v>0.11</v>
      </c>
      <c r="E1842" s="145">
        <v>0.06</v>
      </c>
      <c r="F1842" s="145">
        <v>1.4E-2</v>
      </c>
      <c r="G1842" s="145">
        <v>2.1999999999999999E-2</v>
      </c>
      <c r="H1842" s="145">
        <v>1.0999999999999999E-2</v>
      </c>
      <c r="I1842" s="145">
        <v>3.0000000000000001E-3</v>
      </c>
      <c r="J1842" s="145">
        <v>8.0000000000000002E-3</v>
      </c>
      <c r="K1842" s="145" t="s">
        <v>400</v>
      </c>
      <c r="L1842" s="145">
        <v>13.084</v>
      </c>
      <c r="M1842" s="145">
        <v>0.29899999999999999</v>
      </c>
      <c r="N1842" s="145">
        <v>16.954000000000001</v>
      </c>
      <c r="O1842" s="145">
        <v>2.992</v>
      </c>
      <c r="P1842" s="145">
        <v>2.8000000000000001E-2</v>
      </c>
      <c r="Q1842" s="145">
        <v>1.9950000000000001</v>
      </c>
      <c r="R1842" s="145">
        <v>0.35899999999999999</v>
      </c>
      <c r="S1842" s="145">
        <v>4.9859999999999998</v>
      </c>
      <c r="T1842" s="145">
        <v>23.934999999999999</v>
      </c>
      <c r="U1842" s="145">
        <v>1.4999999999999999E-2</v>
      </c>
      <c r="V1842" s="145">
        <v>0.02</v>
      </c>
      <c r="W1842" s="145" t="s">
        <v>400</v>
      </c>
      <c r="X1842" s="145">
        <v>3.0000000000000001E-3</v>
      </c>
      <c r="Y1842" s="145">
        <v>3.0000000000000001E-3</v>
      </c>
      <c r="Z1842" s="146">
        <v>1.4999999999999999E-2</v>
      </c>
      <c r="AA1842" s="145">
        <v>0.08</v>
      </c>
      <c r="AB1842" s="145">
        <v>15.159000000000001</v>
      </c>
      <c r="AC1842" s="145">
        <v>0.113</v>
      </c>
      <c r="AD1842" s="145" t="s">
        <v>400</v>
      </c>
      <c r="AE1842" s="145">
        <v>6.9809999999999999</v>
      </c>
      <c r="AF1842" s="145" t="s">
        <v>400</v>
      </c>
      <c r="AG1842" s="145">
        <v>0.20899999999999999</v>
      </c>
      <c r="AH1842" s="145" t="s">
        <v>400</v>
      </c>
      <c r="AI1842" s="145" t="s">
        <v>400</v>
      </c>
      <c r="AJ1842" s="145">
        <v>0.39900000000000002</v>
      </c>
      <c r="AK1842" s="145">
        <v>34.49</v>
      </c>
      <c r="AL1842" s="145">
        <v>12.416</v>
      </c>
      <c r="AM1842" s="145">
        <v>9.4280000000000008</v>
      </c>
    </row>
    <row r="1843" spans="1:39">
      <c r="A1843" s="143" t="s">
        <v>2903</v>
      </c>
      <c r="B1843" s="144">
        <v>100</v>
      </c>
      <c r="C1843" s="145">
        <v>60.137</v>
      </c>
      <c r="D1843" s="145">
        <v>0.67200000000000004</v>
      </c>
      <c r="E1843" s="145">
        <v>0.18</v>
      </c>
      <c r="F1843" s="145">
        <v>1.4999999999999999E-2</v>
      </c>
      <c r="G1843" s="145">
        <v>2.1999999999999999E-2</v>
      </c>
      <c r="H1843" s="145">
        <v>0.106</v>
      </c>
      <c r="I1843" s="145">
        <v>0.105</v>
      </c>
      <c r="J1843" s="145" t="s">
        <v>400</v>
      </c>
      <c r="K1843" s="145" t="s">
        <v>400</v>
      </c>
      <c r="L1843" s="145">
        <v>14.483000000000001</v>
      </c>
      <c r="M1843" s="145">
        <v>0.2</v>
      </c>
      <c r="N1843" s="145">
        <v>4.0090000000000003</v>
      </c>
      <c r="O1843" s="145">
        <v>17.039000000000001</v>
      </c>
      <c r="P1843" s="145">
        <v>1.2999999999999999E-2</v>
      </c>
      <c r="Q1843" s="145">
        <v>25.056999999999999</v>
      </c>
      <c r="R1843" s="145">
        <v>0.36099999999999999</v>
      </c>
      <c r="S1843" s="145">
        <v>6.0140000000000002</v>
      </c>
      <c r="T1843" s="145">
        <v>278.63299999999998</v>
      </c>
      <c r="U1843" s="145">
        <v>0.05</v>
      </c>
      <c r="V1843" s="145">
        <v>0.06</v>
      </c>
      <c r="W1843" s="145" t="s">
        <v>400</v>
      </c>
      <c r="X1843" s="145" t="s">
        <v>400</v>
      </c>
      <c r="Y1843" s="145">
        <v>0.10100000000000001</v>
      </c>
      <c r="Z1843" s="146">
        <v>0.06</v>
      </c>
      <c r="AA1843" s="145">
        <v>2.2450000000000001</v>
      </c>
      <c r="AB1843" s="145">
        <v>18.241</v>
      </c>
      <c r="AC1843" s="145">
        <v>2.2450000000000001</v>
      </c>
      <c r="AD1843" s="145" t="s">
        <v>400</v>
      </c>
      <c r="AE1843" s="145">
        <v>8.0180000000000007</v>
      </c>
      <c r="AF1843" s="145" t="s">
        <v>400</v>
      </c>
      <c r="AG1843" s="145">
        <v>0.01</v>
      </c>
      <c r="AH1843" s="145" t="s">
        <v>400</v>
      </c>
      <c r="AI1843" s="145" t="s">
        <v>400</v>
      </c>
      <c r="AJ1843" s="145">
        <v>0.1</v>
      </c>
      <c r="AK1843" s="145">
        <v>47.274000000000001</v>
      </c>
      <c r="AL1843" s="145">
        <v>11.436</v>
      </c>
      <c r="AM1843" s="145" t="s">
        <v>400</v>
      </c>
    </row>
    <row r="1844" spans="1:39">
      <c r="A1844" s="143" t="s">
        <v>2904</v>
      </c>
      <c r="B1844" s="144">
        <v>100</v>
      </c>
      <c r="C1844" s="145">
        <v>31.79</v>
      </c>
      <c r="D1844" s="145">
        <v>0.64600000000000002</v>
      </c>
      <c r="E1844" s="145">
        <v>0.159</v>
      </c>
      <c r="F1844" s="145">
        <v>1.7000000000000001E-2</v>
      </c>
      <c r="G1844" s="145">
        <v>3.9E-2</v>
      </c>
      <c r="H1844" s="145">
        <v>5.2999999999999999E-2</v>
      </c>
      <c r="I1844" s="145">
        <v>5.2999999999999999E-2</v>
      </c>
      <c r="J1844" s="145" t="s">
        <v>400</v>
      </c>
      <c r="K1844" s="145" t="s">
        <v>400</v>
      </c>
      <c r="L1844" s="145">
        <v>8.0009999999999994</v>
      </c>
      <c r="M1844" s="145">
        <v>0.42399999999999999</v>
      </c>
      <c r="N1844" s="145">
        <v>7.4180000000000001</v>
      </c>
      <c r="O1844" s="145">
        <v>10.597</v>
      </c>
      <c r="P1844" s="145">
        <v>0.04</v>
      </c>
      <c r="Q1844" s="145">
        <v>11.656000000000001</v>
      </c>
      <c r="R1844" s="145">
        <v>0.254</v>
      </c>
      <c r="S1844" s="145">
        <v>1.06</v>
      </c>
      <c r="T1844" s="145">
        <v>118.684</v>
      </c>
      <c r="U1844" s="145">
        <v>4.4999999999999998E-2</v>
      </c>
      <c r="V1844" s="145">
        <v>0.106</v>
      </c>
      <c r="W1844" s="145" t="s">
        <v>400</v>
      </c>
      <c r="X1844" s="145">
        <v>3.5000000000000003E-2</v>
      </c>
      <c r="Y1844" s="145">
        <v>2.1999999999999999E-2</v>
      </c>
      <c r="Z1844" s="146">
        <v>4.8000000000000001E-2</v>
      </c>
      <c r="AA1844" s="145">
        <v>0.189</v>
      </c>
      <c r="AB1844" s="145">
        <v>8.5830000000000002</v>
      </c>
      <c r="AC1844" s="145">
        <v>0.312</v>
      </c>
      <c r="AD1844" s="145" t="s">
        <v>400</v>
      </c>
      <c r="AE1844" s="145">
        <v>3.1789999999999998</v>
      </c>
      <c r="AF1844" s="145" t="s">
        <v>400</v>
      </c>
      <c r="AG1844" s="145">
        <v>5.2999999999999999E-2</v>
      </c>
      <c r="AH1844" s="145" t="s">
        <v>400</v>
      </c>
      <c r="AI1844" s="145" t="s">
        <v>400</v>
      </c>
      <c r="AJ1844" s="145">
        <v>0.42399999999999999</v>
      </c>
      <c r="AK1844" s="145">
        <v>9.0660000000000007</v>
      </c>
      <c r="AL1844" s="145">
        <v>6.5810000000000004</v>
      </c>
      <c r="AM1844" s="145" t="s">
        <v>400</v>
      </c>
    </row>
    <row r="1845" spans="1:39">
      <c r="A1845" s="143" t="s">
        <v>2905</v>
      </c>
      <c r="B1845" s="144">
        <v>100</v>
      </c>
      <c r="C1845" s="145">
        <v>59.209000000000003</v>
      </c>
      <c r="D1845" s="145">
        <v>0.56899999999999995</v>
      </c>
      <c r="E1845" s="145">
        <v>9.5000000000000001E-2</v>
      </c>
      <c r="F1845" s="145">
        <v>2.4E-2</v>
      </c>
      <c r="G1845" s="145">
        <v>6.0000000000000001E-3</v>
      </c>
      <c r="H1845" s="145">
        <v>3.1E-2</v>
      </c>
      <c r="I1845" s="145">
        <v>2.1999999999999999E-2</v>
      </c>
      <c r="J1845" s="145">
        <v>8.9999999999999993E-3</v>
      </c>
      <c r="K1845" s="145" t="s">
        <v>400</v>
      </c>
      <c r="L1845" s="145">
        <v>14.509</v>
      </c>
      <c r="M1845" s="145">
        <v>0.22800000000000001</v>
      </c>
      <c r="N1845" s="145">
        <v>9.4920000000000009</v>
      </c>
      <c r="O1845" s="145">
        <v>10.227</v>
      </c>
      <c r="P1845" s="145">
        <v>0.36299999999999999</v>
      </c>
      <c r="Q1845" s="145">
        <v>11.9</v>
      </c>
      <c r="R1845" s="145">
        <v>0.252</v>
      </c>
      <c r="S1845" s="145">
        <v>2.8730000000000002</v>
      </c>
      <c r="T1845" s="145">
        <v>133.74299999999999</v>
      </c>
      <c r="U1845" s="145">
        <v>2.9000000000000001E-2</v>
      </c>
      <c r="V1845" s="145">
        <v>5.6000000000000001E-2</v>
      </c>
      <c r="W1845" s="145" t="s">
        <v>400</v>
      </c>
      <c r="X1845" s="145">
        <v>2.5999999999999999E-2</v>
      </c>
      <c r="Y1845" s="145">
        <v>3.5999999999999997E-2</v>
      </c>
      <c r="Z1845" s="146">
        <v>6.4000000000000001E-2</v>
      </c>
      <c r="AA1845" s="145">
        <v>0.27100000000000002</v>
      </c>
      <c r="AB1845" s="145">
        <v>4.0380000000000003</v>
      </c>
      <c r="AC1845" s="145">
        <v>0.28000000000000003</v>
      </c>
      <c r="AD1845" s="145" t="s">
        <v>400</v>
      </c>
      <c r="AE1845" s="145">
        <v>4.4160000000000004</v>
      </c>
      <c r="AF1845" s="145" t="s">
        <v>400</v>
      </c>
      <c r="AG1845" s="145">
        <v>1.9E-2</v>
      </c>
      <c r="AH1845" s="145" t="s">
        <v>400</v>
      </c>
      <c r="AI1845" s="145" t="s">
        <v>400</v>
      </c>
      <c r="AJ1845" s="145">
        <v>0.12</v>
      </c>
      <c r="AK1845" s="145">
        <v>0.42899999999999999</v>
      </c>
      <c r="AL1845" s="145">
        <v>14.454000000000001</v>
      </c>
      <c r="AM1845" s="145" t="s">
        <v>400</v>
      </c>
    </row>
    <row r="1846" spans="1:39">
      <c r="A1846" s="143" t="s">
        <v>2906</v>
      </c>
      <c r="B1846" s="144">
        <v>100</v>
      </c>
      <c r="C1846" s="145">
        <v>53.993000000000002</v>
      </c>
      <c r="D1846" s="145">
        <v>0.27</v>
      </c>
      <c r="E1846" s="145">
        <v>0.02</v>
      </c>
      <c r="F1846" s="145">
        <v>2E-3</v>
      </c>
      <c r="G1846" s="145">
        <v>8.0000000000000002E-3</v>
      </c>
      <c r="H1846" s="145">
        <v>1.0999999999999999E-2</v>
      </c>
      <c r="I1846" s="145">
        <v>0.01</v>
      </c>
      <c r="J1846" s="145" t="s">
        <v>400</v>
      </c>
      <c r="K1846" s="145" t="s">
        <v>400</v>
      </c>
      <c r="L1846" s="145">
        <v>13.917999999999999</v>
      </c>
      <c r="M1846" s="145">
        <v>0.6</v>
      </c>
      <c r="N1846" s="145">
        <v>4.9989999999999997</v>
      </c>
      <c r="O1846" s="145">
        <v>3.9990000000000001</v>
      </c>
      <c r="P1846" s="145">
        <v>1.9E-2</v>
      </c>
      <c r="Q1846" s="145">
        <v>5.9989999999999997</v>
      </c>
      <c r="R1846" s="145">
        <v>0.19</v>
      </c>
      <c r="S1846" s="145">
        <v>6.9989999999999997</v>
      </c>
      <c r="T1846" s="145">
        <v>39.994999999999997</v>
      </c>
      <c r="U1846" s="145">
        <v>6.9000000000000006E-2</v>
      </c>
      <c r="V1846" s="145">
        <v>0.08</v>
      </c>
      <c r="W1846" s="145" t="s">
        <v>400</v>
      </c>
      <c r="X1846" s="145">
        <v>3.0000000000000001E-3</v>
      </c>
      <c r="Y1846" s="145">
        <v>1.4E-2</v>
      </c>
      <c r="Z1846" s="146">
        <v>7.0000000000000001E-3</v>
      </c>
      <c r="AA1846" s="145">
        <v>0.28799999999999998</v>
      </c>
      <c r="AB1846" s="145">
        <v>5.2990000000000004</v>
      </c>
      <c r="AC1846" s="145">
        <v>0.28799999999999998</v>
      </c>
      <c r="AD1846" s="145" t="s">
        <v>400</v>
      </c>
      <c r="AE1846" s="145">
        <v>1</v>
      </c>
      <c r="AF1846" s="145" t="s">
        <v>400</v>
      </c>
      <c r="AG1846" s="145">
        <v>0.28999999999999998</v>
      </c>
      <c r="AH1846" s="145" t="s">
        <v>400</v>
      </c>
      <c r="AI1846" s="145" t="s">
        <v>400</v>
      </c>
      <c r="AJ1846" s="145">
        <v>0.2</v>
      </c>
      <c r="AK1846" s="145">
        <v>12.872999999999999</v>
      </c>
      <c r="AL1846" s="145">
        <v>13.238</v>
      </c>
      <c r="AM1846" s="145">
        <v>9.2970000000000006</v>
      </c>
    </row>
    <row r="1847" spans="1:39">
      <c r="A1847" s="143" t="s">
        <v>2907</v>
      </c>
      <c r="B1847" s="144">
        <v>100</v>
      </c>
      <c r="C1847" s="145">
        <v>53.993000000000002</v>
      </c>
      <c r="D1847" s="145">
        <v>0.27</v>
      </c>
      <c r="E1847" s="145">
        <v>0.02</v>
      </c>
      <c r="F1847" s="145">
        <v>2E-3</v>
      </c>
      <c r="G1847" s="145">
        <v>8.0000000000000002E-3</v>
      </c>
      <c r="H1847" s="145">
        <v>1.0999999999999999E-2</v>
      </c>
      <c r="I1847" s="145">
        <v>0.01</v>
      </c>
      <c r="J1847" s="145" t="s">
        <v>400</v>
      </c>
      <c r="K1847" s="145" t="s">
        <v>400</v>
      </c>
      <c r="L1847" s="145">
        <v>13.917999999999999</v>
      </c>
      <c r="M1847" s="145">
        <v>0.6</v>
      </c>
      <c r="N1847" s="145">
        <v>4.9989999999999997</v>
      </c>
      <c r="O1847" s="145">
        <v>3.9990000000000001</v>
      </c>
      <c r="P1847" s="145">
        <v>1.9E-2</v>
      </c>
      <c r="Q1847" s="145">
        <v>5.9989999999999997</v>
      </c>
      <c r="R1847" s="145">
        <v>0.19</v>
      </c>
      <c r="S1847" s="145">
        <v>6.9989999999999997</v>
      </c>
      <c r="T1847" s="145">
        <v>39.994999999999997</v>
      </c>
      <c r="U1847" s="145">
        <v>6.9000000000000006E-2</v>
      </c>
      <c r="V1847" s="145">
        <v>0.08</v>
      </c>
      <c r="W1847" s="145" t="s">
        <v>400</v>
      </c>
      <c r="X1847" s="145">
        <v>3.0000000000000001E-3</v>
      </c>
      <c r="Y1847" s="145">
        <v>1.4E-2</v>
      </c>
      <c r="Z1847" s="146">
        <v>7.0000000000000001E-3</v>
      </c>
      <c r="AA1847" s="145">
        <v>0.28799999999999998</v>
      </c>
      <c r="AB1847" s="145">
        <v>5.2990000000000004</v>
      </c>
      <c r="AC1847" s="145">
        <v>0.28799999999999998</v>
      </c>
      <c r="AD1847" s="145" t="s">
        <v>400</v>
      </c>
      <c r="AE1847" s="145">
        <v>1</v>
      </c>
      <c r="AF1847" s="145" t="s">
        <v>400</v>
      </c>
      <c r="AG1847" s="145">
        <v>0.28999999999999998</v>
      </c>
      <c r="AH1847" s="145" t="s">
        <v>400</v>
      </c>
      <c r="AI1847" s="145" t="s">
        <v>400</v>
      </c>
      <c r="AJ1847" s="145">
        <v>0.2</v>
      </c>
      <c r="AK1847" s="145">
        <v>12.872999999999999</v>
      </c>
      <c r="AL1847" s="145">
        <v>13.238</v>
      </c>
      <c r="AM1847" s="145">
        <v>9.2970000000000006</v>
      </c>
    </row>
    <row r="1848" spans="1:39">
      <c r="A1848" s="143" t="s">
        <v>2908</v>
      </c>
      <c r="B1848" s="144">
        <v>100</v>
      </c>
      <c r="C1848" s="145">
        <v>92.781000000000006</v>
      </c>
      <c r="D1848" s="145">
        <v>2.472</v>
      </c>
      <c r="E1848" s="145">
        <v>2.3109999999999999</v>
      </c>
      <c r="F1848" s="145">
        <v>1.3069999999999999</v>
      </c>
      <c r="G1848" s="145">
        <v>0.56499999999999995</v>
      </c>
      <c r="H1848" s="145">
        <v>0.151</v>
      </c>
      <c r="I1848" s="145">
        <v>9.2999999999999999E-2</v>
      </c>
      <c r="J1848" s="145">
        <v>5.8000000000000003E-2</v>
      </c>
      <c r="K1848" s="145">
        <v>6.867</v>
      </c>
      <c r="L1848" s="145">
        <v>16.393000000000001</v>
      </c>
      <c r="M1848" s="145">
        <v>0.621</v>
      </c>
      <c r="N1848" s="145">
        <v>78.870999999999995</v>
      </c>
      <c r="O1848" s="145">
        <v>13.318</v>
      </c>
      <c r="P1848" s="145">
        <v>6.7000000000000004E-2</v>
      </c>
      <c r="Q1848" s="145">
        <v>67.747</v>
      </c>
      <c r="R1848" s="145">
        <v>8.4000000000000005E-2</v>
      </c>
      <c r="S1848" s="145">
        <v>27.707000000000001</v>
      </c>
      <c r="T1848" s="145">
        <v>183.88900000000001</v>
      </c>
      <c r="U1848" s="145">
        <v>2.5999999999999999E-2</v>
      </c>
      <c r="V1848" s="145">
        <v>0.311</v>
      </c>
      <c r="W1848" s="145">
        <v>19.228000000000002</v>
      </c>
      <c r="X1848" s="145">
        <v>3.7999999999999999E-2</v>
      </c>
      <c r="Y1848" s="145">
        <v>0.14499999999999999</v>
      </c>
      <c r="Z1848" s="146">
        <v>0.112</v>
      </c>
      <c r="AA1848" s="145">
        <v>0.23200000000000001</v>
      </c>
      <c r="AB1848" s="145">
        <v>2.0790000000000002</v>
      </c>
      <c r="AC1848" s="145">
        <v>1.127</v>
      </c>
      <c r="AD1848" s="145">
        <v>0.30199999999999999</v>
      </c>
      <c r="AE1848" s="145">
        <v>8.2119999999999997</v>
      </c>
      <c r="AF1848" s="145">
        <v>0.68700000000000006</v>
      </c>
      <c r="AG1848" s="145">
        <v>7.1999999999999995E-2</v>
      </c>
      <c r="AH1848" s="145">
        <v>0.08</v>
      </c>
      <c r="AI1848" s="145" t="s">
        <v>400</v>
      </c>
      <c r="AJ1848" s="145">
        <v>2.827</v>
      </c>
      <c r="AK1848" s="145">
        <v>20.280999999999999</v>
      </c>
      <c r="AL1848" s="145">
        <v>14.36</v>
      </c>
      <c r="AM1848" s="145">
        <v>7.8319999999999999</v>
      </c>
    </row>
    <row r="1849" spans="1:39">
      <c r="A1849" s="143" t="s">
        <v>2909</v>
      </c>
      <c r="B1849" s="144">
        <v>100</v>
      </c>
      <c r="C1849" s="145">
        <v>92.781000000000006</v>
      </c>
      <c r="D1849" s="145">
        <v>2.472</v>
      </c>
      <c r="E1849" s="145">
        <v>2.3109999999999999</v>
      </c>
      <c r="F1849" s="145">
        <v>1.3069999999999999</v>
      </c>
      <c r="G1849" s="145">
        <v>0.56499999999999995</v>
      </c>
      <c r="H1849" s="145">
        <v>0.151</v>
      </c>
      <c r="I1849" s="145">
        <v>9.2999999999999999E-2</v>
      </c>
      <c r="J1849" s="145">
        <v>5.8000000000000003E-2</v>
      </c>
      <c r="K1849" s="145">
        <v>6.867</v>
      </c>
      <c r="L1849" s="145">
        <v>16.393000000000001</v>
      </c>
      <c r="M1849" s="145">
        <v>0.621</v>
      </c>
      <c r="N1849" s="145">
        <v>78.870999999999995</v>
      </c>
      <c r="O1849" s="145">
        <v>13.318</v>
      </c>
      <c r="P1849" s="145">
        <v>6.7000000000000004E-2</v>
      </c>
      <c r="Q1849" s="145">
        <v>67.747</v>
      </c>
      <c r="R1849" s="145">
        <v>8.4000000000000005E-2</v>
      </c>
      <c r="S1849" s="145">
        <v>27.707000000000001</v>
      </c>
      <c r="T1849" s="145">
        <v>183.88900000000001</v>
      </c>
      <c r="U1849" s="145">
        <v>2.5999999999999999E-2</v>
      </c>
      <c r="V1849" s="145">
        <v>0.311</v>
      </c>
      <c r="W1849" s="145">
        <v>19.228000000000002</v>
      </c>
      <c r="X1849" s="145">
        <v>3.7999999999999999E-2</v>
      </c>
      <c r="Y1849" s="145">
        <v>0.14499999999999999</v>
      </c>
      <c r="Z1849" s="146">
        <v>0.112</v>
      </c>
      <c r="AA1849" s="145">
        <v>0.23200000000000001</v>
      </c>
      <c r="AB1849" s="145">
        <v>2.0790000000000002</v>
      </c>
      <c r="AC1849" s="145">
        <v>1.127</v>
      </c>
      <c r="AD1849" s="145">
        <v>0.30199999999999999</v>
      </c>
      <c r="AE1849" s="145">
        <v>8.2119999999999997</v>
      </c>
      <c r="AF1849" s="145">
        <v>0.68700000000000006</v>
      </c>
      <c r="AG1849" s="145">
        <v>7.1999999999999995E-2</v>
      </c>
      <c r="AH1849" s="145">
        <v>0.08</v>
      </c>
      <c r="AI1849" s="145" t="s">
        <v>400</v>
      </c>
      <c r="AJ1849" s="145">
        <v>2.827</v>
      </c>
      <c r="AK1849" s="145">
        <v>20.280999999999999</v>
      </c>
      <c r="AL1849" s="145">
        <v>14.36</v>
      </c>
      <c r="AM1849" s="145">
        <v>7.8319999999999999</v>
      </c>
    </row>
    <row r="1850" spans="1:39">
      <c r="A1850" s="143" t="s">
        <v>2910</v>
      </c>
      <c r="B1850" s="144">
        <v>100</v>
      </c>
      <c r="C1850" s="145">
        <v>108.45699999999999</v>
      </c>
      <c r="D1850" s="145">
        <v>3.0579999999999998</v>
      </c>
      <c r="E1850" s="145">
        <v>2.5390000000000001</v>
      </c>
      <c r="F1850" s="145">
        <v>1.294</v>
      </c>
      <c r="G1850" s="145">
        <v>0.64300000000000002</v>
      </c>
      <c r="H1850" s="145">
        <v>0.27</v>
      </c>
      <c r="I1850" s="145">
        <v>0.21</v>
      </c>
      <c r="J1850" s="145">
        <v>0.06</v>
      </c>
      <c r="K1850" s="145">
        <v>6.4740000000000002</v>
      </c>
      <c r="L1850" s="145">
        <v>19.202999999999999</v>
      </c>
      <c r="M1850" s="145">
        <v>1.145</v>
      </c>
      <c r="N1850" s="145">
        <v>77.233000000000004</v>
      </c>
      <c r="O1850" s="145">
        <v>20.198</v>
      </c>
      <c r="P1850" s="145">
        <v>0.26400000000000001</v>
      </c>
      <c r="Q1850" s="145">
        <v>86.573999999999998</v>
      </c>
      <c r="R1850" s="145">
        <v>0.314</v>
      </c>
      <c r="S1850" s="145">
        <v>26.452999999999999</v>
      </c>
      <c r="T1850" s="145">
        <v>193.404</v>
      </c>
      <c r="U1850" s="145">
        <v>4.5999999999999999E-2</v>
      </c>
      <c r="V1850" s="145">
        <v>0.49399999999999999</v>
      </c>
      <c r="W1850" s="145">
        <v>18.126000000000001</v>
      </c>
      <c r="X1850" s="145">
        <v>6.0999999999999999E-2</v>
      </c>
      <c r="Y1850" s="145">
        <v>0.14499999999999999</v>
      </c>
      <c r="Z1850" s="146">
        <v>0.112</v>
      </c>
      <c r="AA1850" s="145">
        <v>0.28100000000000003</v>
      </c>
      <c r="AB1850" s="145">
        <v>1.96</v>
      </c>
      <c r="AC1850" s="145">
        <v>1.292</v>
      </c>
      <c r="AD1850" s="145">
        <v>0.28499999999999998</v>
      </c>
      <c r="AE1850" s="145">
        <v>9.5139999999999993</v>
      </c>
      <c r="AF1850" s="145">
        <v>0.64700000000000002</v>
      </c>
      <c r="AG1850" s="145">
        <v>9.0999999999999998E-2</v>
      </c>
      <c r="AH1850" s="145">
        <v>7.4999999999999997E-2</v>
      </c>
      <c r="AI1850" s="145" t="s">
        <v>400</v>
      </c>
      <c r="AJ1850" s="145">
        <v>4.2649999999999997</v>
      </c>
      <c r="AK1850" s="145">
        <v>19.119</v>
      </c>
      <c r="AL1850" s="145">
        <v>13.593</v>
      </c>
      <c r="AM1850" s="145">
        <v>7.383</v>
      </c>
    </row>
    <row r="1851" spans="1:39">
      <c r="A1851" s="143" t="s">
        <v>2911</v>
      </c>
      <c r="B1851" s="144">
        <v>100</v>
      </c>
      <c r="C1851" s="145">
        <v>80.590999999999994</v>
      </c>
      <c r="D1851" s="145">
        <v>2.42</v>
      </c>
      <c r="E1851" s="145">
        <v>2.3420000000000001</v>
      </c>
      <c r="F1851" s="145">
        <v>1.3360000000000001</v>
      </c>
      <c r="G1851" s="145">
        <v>0.58599999999999997</v>
      </c>
      <c r="H1851" s="145">
        <v>0.14499999999999999</v>
      </c>
      <c r="I1851" s="145">
        <v>8.6999999999999994E-2</v>
      </c>
      <c r="J1851" s="145">
        <v>5.8999999999999997E-2</v>
      </c>
      <c r="K1851" s="145">
        <v>7.1159999999999997</v>
      </c>
      <c r="L1851" s="145">
        <v>12.95</v>
      </c>
      <c r="M1851" s="145">
        <v>0.379</v>
      </c>
      <c r="N1851" s="145">
        <v>85.552000000000007</v>
      </c>
      <c r="O1851" s="145">
        <v>9.2249999999999996</v>
      </c>
      <c r="P1851" s="145">
        <v>4.0000000000000001E-3</v>
      </c>
      <c r="Q1851" s="145">
        <v>65.813000000000002</v>
      </c>
      <c r="R1851" s="145">
        <v>4.2999999999999997E-2</v>
      </c>
      <c r="S1851" s="145">
        <v>29.097999999999999</v>
      </c>
      <c r="T1851" s="145">
        <v>156.101</v>
      </c>
      <c r="U1851" s="145">
        <v>1.0999999999999999E-2</v>
      </c>
      <c r="V1851" s="145">
        <v>0.29899999999999999</v>
      </c>
      <c r="W1851" s="145">
        <v>19.925999999999998</v>
      </c>
      <c r="X1851" s="145">
        <v>3.6999999999999998E-2</v>
      </c>
      <c r="Y1851" s="145">
        <v>0.13800000000000001</v>
      </c>
      <c r="Z1851" s="146">
        <v>0.03</v>
      </c>
      <c r="AA1851" s="145">
        <v>0.14699999999999999</v>
      </c>
      <c r="AB1851" s="145">
        <v>13.029</v>
      </c>
      <c r="AC1851" s="145">
        <v>1.0649999999999999</v>
      </c>
      <c r="AD1851" s="145">
        <v>0.313</v>
      </c>
      <c r="AE1851" s="145">
        <v>11.57</v>
      </c>
      <c r="AF1851" s="145">
        <v>0.71199999999999997</v>
      </c>
      <c r="AG1851" s="145">
        <v>0.19700000000000001</v>
      </c>
      <c r="AH1851" s="145">
        <v>8.3000000000000004E-2</v>
      </c>
      <c r="AI1851" s="145" t="s">
        <v>400</v>
      </c>
      <c r="AJ1851" s="145">
        <v>2.806</v>
      </c>
      <c r="AK1851" s="145">
        <v>31.757000000000001</v>
      </c>
      <c r="AL1851" s="145">
        <v>12.428000000000001</v>
      </c>
      <c r="AM1851" s="145">
        <v>7.665</v>
      </c>
    </row>
    <row r="1852" spans="1:39">
      <c r="A1852" s="143" t="s">
        <v>2912</v>
      </c>
      <c r="B1852" s="144">
        <v>100</v>
      </c>
      <c r="C1852" s="145">
        <v>100.188</v>
      </c>
      <c r="D1852" s="145">
        <v>2.7440000000000002</v>
      </c>
      <c r="E1852" s="145">
        <v>4.6349999999999998</v>
      </c>
      <c r="F1852" s="145">
        <v>1.7490000000000001</v>
      </c>
      <c r="G1852" s="145">
        <v>1.875</v>
      </c>
      <c r="H1852" s="145">
        <v>0.53400000000000003</v>
      </c>
      <c r="I1852" s="145">
        <v>0.46</v>
      </c>
      <c r="J1852" s="145">
        <v>7.3999999999999996E-2</v>
      </c>
      <c r="K1852" s="145">
        <v>6.867</v>
      </c>
      <c r="L1852" s="145">
        <v>12.804</v>
      </c>
      <c r="M1852" s="145">
        <v>1.3380000000000001</v>
      </c>
      <c r="N1852" s="145">
        <v>80.066000000000003</v>
      </c>
      <c r="O1852" s="145">
        <v>12.601000000000001</v>
      </c>
      <c r="P1852" s="145">
        <v>2.5000000000000001E-2</v>
      </c>
      <c r="Q1852" s="145">
        <v>72.046999999999997</v>
      </c>
      <c r="R1852" s="145">
        <v>6.2E-2</v>
      </c>
      <c r="S1852" s="145">
        <v>27.946000000000002</v>
      </c>
      <c r="T1852" s="145">
        <v>182.21600000000001</v>
      </c>
      <c r="U1852" s="145">
        <v>8.2000000000000003E-2</v>
      </c>
      <c r="V1852" s="145">
        <v>0.37</v>
      </c>
      <c r="W1852" s="145">
        <v>19.228000000000002</v>
      </c>
      <c r="X1852" s="145">
        <v>3.5000000000000003E-2</v>
      </c>
      <c r="Y1852" s="145">
        <v>0.14000000000000001</v>
      </c>
      <c r="Z1852" s="146">
        <v>4.2999999999999997E-2</v>
      </c>
      <c r="AA1852" s="145">
        <v>0.23400000000000001</v>
      </c>
      <c r="AB1852" s="145">
        <v>4.157</v>
      </c>
      <c r="AC1852" s="145">
        <v>1.204</v>
      </c>
      <c r="AD1852" s="145">
        <v>0.30199999999999999</v>
      </c>
      <c r="AE1852" s="145">
        <v>11.795999999999999</v>
      </c>
      <c r="AF1852" s="145">
        <v>0.68700000000000006</v>
      </c>
      <c r="AG1852" s="145">
        <v>0.67700000000000005</v>
      </c>
      <c r="AH1852" s="145">
        <v>0.08</v>
      </c>
      <c r="AI1852" s="145" t="s">
        <v>400</v>
      </c>
      <c r="AJ1852" s="145">
        <v>2.6829999999999998</v>
      </c>
      <c r="AK1852" s="145">
        <v>21.196000000000002</v>
      </c>
      <c r="AL1852" s="145">
        <v>12.016999999999999</v>
      </c>
      <c r="AM1852" s="145">
        <v>7.8319999999999999</v>
      </c>
    </row>
    <row r="1853" spans="1:39">
      <c r="A1853" s="143" t="s">
        <v>2913</v>
      </c>
      <c r="B1853" s="144">
        <v>100</v>
      </c>
      <c r="C1853" s="145">
        <v>74.606999999999999</v>
      </c>
      <c r="D1853" s="145">
        <v>1.9590000000000001</v>
      </c>
      <c r="E1853" s="145">
        <v>1.827</v>
      </c>
      <c r="F1853" s="145">
        <v>0.98499999999999999</v>
      </c>
      <c r="G1853" s="145">
        <v>0.44400000000000001</v>
      </c>
      <c r="H1853" s="145">
        <v>0.16400000000000001</v>
      </c>
      <c r="I1853" s="145">
        <v>9.9000000000000005E-2</v>
      </c>
      <c r="J1853" s="145">
        <v>6.5000000000000002E-2</v>
      </c>
      <c r="K1853" s="145">
        <v>5.2510000000000003</v>
      </c>
      <c r="L1853" s="145">
        <v>13.273999999999999</v>
      </c>
      <c r="M1853" s="145">
        <v>0.79900000000000004</v>
      </c>
      <c r="N1853" s="145">
        <v>65.81</v>
      </c>
      <c r="O1853" s="145">
        <v>10.445</v>
      </c>
      <c r="P1853" s="145">
        <v>0.156</v>
      </c>
      <c r="Q1853" s="145">
        <v>57.375</v>
      </c>
      <c r="R1853" s="145">
        <v>0.18</v>
      </c>
      <c r="S1853" s="145">
        <v>21.405000000000001</v>
      </c>
      <c r="T1853" s="145">
        <v>136.374</v>
      </c>
      <c r="U1853" s="145">
        <v>2.5000000000000001E-2</v>
      </c>
      <c r="V1853" s="145">
        <v>0.26600000000000001</v>
      </c>
      <c r="W1853" s="145">
        <v>14.704000000000001</v>
      </c>
      <c r="X1853" s="145">
        <v>3.3000000000000002E-2</v>
      </c>
      <c r="Y1853" s="145">
        <v>0.106</v>
      </c>
      <c r="Z1853" s="146">
        <v>3.7999999999999999E-2</v>
      </c>
      <c r="AA1853" s="145">
        <v>0.21</v>
      </c>
      <c r="AB1853" s="145">
        <v>23.491</v>
      </c>
      <c r="AC1853" s="145">
        <v>0.92</v>
      </c>
      <c r="AD1853" s="145">
        <v>0.23100000000000001</v>
      </c>
      <c r="AE1853" s="145">
        <v>12.214</v>
      </c>
      <c r="AF1853" s="145">
        <v>0.52500000000000002</v>
      </c>
      <c r="AG1853" s="145">
        <v>0.14299999999999999</v>
      </c>
      <c r="AH1853" s="145">
        <v>6.0999999999999999E-2</v>
      </c>
      <c r="AI1853" s="145" t="s">
        <v>400</v>
      </c>
      <c r="AJ1853" s="145">
        <v>2.15</v>
      </c>
      <c r="AK1853" s="145">
        <v>15.156000000000001</v>
      </c>
      <c r="AL1853" s="145">
        <v>12.545999999999999</v>
      </c>
      <c r="AM1853" s="145">
        <v>7.8319999999999999</v>
      </c>
    </row>
    <row r="1854" spans="1:39">
      <c r="A1854" s="143" t="s">
        <v>2914</v>
      </c>
      <c r="B1854" s="144">
        <v>100</v>
      </c>
      <c r="C1854" s="145">
        <v>83.164000000000001</v>
      </c>
      <c r="D1854" s="145">
        <v>1.8049999999999999</v>
      </c>
      <c r="E1854" s="145">
        <v>1.651</v>
      </c>
      <c r="F1854" s="145">
        <v>0.92300000000000004</v>
      </c>
      <c r="G1854" s="145">
        <v>0.40200000000000002</v>
      </c>
      <c r="H1854" s="145">
        <v>0.113</v>
      </c>
      <c r="I1854" s="145">
        <v>7.0000000000000007E-2</v>
      </c>
      <c r="J1854" s="145">
        <v>4.3999999999999997E-2</v>
      </c>
      <c r="K1854" s="145">
        <v>4.8360000000000003</v>
      </c>
      <c r="L1854" s="145">
        <v>16.199000000000002</v>
      </c>
      <c r="M1854" s="145">
        <v>0.76900000000000002</v>
      </c>
      <c r="N1854" s="145">
        <v>59.341000000000001</v>
      </c>
      <c r="O1854" s="145">
        <v>9.7609999999999992</v>
      </c>
      <c r="P1854" s="145">
        <v>3.9E-2</v>
      </c>
      <c r="Q1854" s="145">
        <v>49.206000000000003</v>
      </c>
      <c r="R1854" s="145">
        <v>7.0000000000000007E-2</v>
      </c>
      <c r="S1854" s="145">
        <v>19.831</v>
      </c>
      <c r="T1854" s="145">
        <v>158.11000000000001</v>
      </c>
      <c r="U1854" s="145">
        <v>2.1999999999999999E-2</v>
      </c>
      <c r="V1854" s="145">
        <v>0.22800000000000001</v>
      </c>
      <c r="W1854" s="145">
        <v>13.54</v>
      </c>
      <c r="X1854" s="145">
        <v>3.2000000000000001E-2</v>
      </c>
      <c r="Y1854" s="145">
        <v>0.107</v>
      </c>
      <c r="Z1854" s="146">
        <v>6.6000000000000003E-2</v>
      </c>
      <c r="AA1854" s="145">
        <v>0.183</v>
      </c>
      <c r="AB1854" s="145">
        <v>9.6340000000000003</v>
      </c>
      <c r="AC1854" s="145">
        <v>0.82399999999999995</v>
      </c>
      <c r="AD1854" s="145">
        <v>0.21299999999999999</v>
      </c>
      <c r="AE1854" s="145">
        <v>9.3699999999999992</v>
      </c>
      <c r="AF1854" s="145">
        <v>0.48399999999999999</v>
      </c>
      <c r="AG1854" s="145">
        <v>0.14599999999999999</v>
      </c>
      <c r="AH1854" s="145">
        <v>5.6000000000000001E-2</v>
      </c>
      <c r="AI1854" s="145" t="s">
        <v>400</v>
      </c>
      <c r="AJ1854" s="145">
        <v>2.0169999999999999</v>
      </c>
      <c r="AK1854" s="145">
        <v>21.475000000000001</v>
      </c>
      <c r="AL1854" s="145">
        <v>14.263999999999999</v>
      </c>
      <c r="AM1854" s="145">
        <v>7.7480000000000002</v>
      </c>
    </row>
    <row r="1855" spans="1:39">
      <c r="A1855" s="143" t="s">
        <v>2915</v>
      </c>
      <c r="B1855" s="144">
        <v>100</v>
      </c>
      <c r="C1855" s="145">
        <v>82.986000000000004</v>
      </c>
      <c r="D1855" s="145">
        <v>2.2759999999999998</v>
      </c>
      <c r="E1855" s="145">
        <v>2.2629999999999999</v>
      </c>
      <c r="F1855" s="145">
        <v>1.286</v>
      </c>
      <c r="G1855" s="145">
        <v>0.55900000000000005</v>
      </c>
      <c r="H1855" s="145">
        <v>0.14299999999999999</v>
      </c>
      <c r="I1855" s="145">
        <v>0.09</v>
      </c>
      <c r="J1855" s="145">
        <v>5.2999999999999999E-2</v>
      </c>
      <c r="K1855" s="145">
        <v>6.867</v>
      </c>
      <c r="L1855" s="145">
        <v>13.984</v>
      </c>
      <c r="M1855" s="145">
        <v>0.311</v>
      </c>
      <c r="N1855" s="145">
        <v>78.870999999999995</v>
      </c>
      <c r="O1855" s="145">
        <v>7.8230000000000004</v>
      </c>
      <c r="P1855" s="145">
        <v>1.0999999999999999E-2</v>
      </c>
      <c r="Q1855" s="145">
        <v>65.119</v>
      </c>
      <c r="R1855" s="145">
        <v>3.7999999999999999E-2</v>
      </c>
      <c r="S1855" s="145">
        <v>27.468</v>
      </c>
      <c r="T1855" s="145">
        <v>119.85899999999999</v>
      </c>
      <c r="U1855" s="145">
        <v>1.4999999999999999E-2</v>
      </c>
      <c r="V1855" s="145">
        <v>0.28699999999999998</v>
      </c>
      <c r="W1855" s="145">
        <v>19.228000000000002</v>
      </c>
      <c r="X1855" s="145">
        <v>3.5000000000000003E-2</v>
      </c>
      <c r="Y1855" s="145">
        <v>0.13400000000000001</v>
      </c>
      <c r="Z1855" s="146">
        <v>3.4000000000000002E-2</v>
      </c>
      <c r="AA1855" s="145">
        <v>9.5000000000000001E-2</v>
      </c>
      <c r="AB1855" s="145">
        <v>0.95599999999999996</v>
      </c>
      <c r="AC1855" s="145">
        <v>0.95799999999999996</v>
      </c>
      <c r="AD1855" s="145">
        <v>0.30199999999999999</v>
      </c>
      <c r="AE1855" s="145">
        <v>3.4340000000000002</v>
      </c>
      <c r="AF1855" s="145">
        <v>0.68700000000000006</v>
      </c>
      <c r="AG1855" s="145">
        <v>5.2999999999999999E-2</v>
      </c>
      <c r="AH1855" s="145">
        <v>0.08</v>
      </c>
      <c r="AI1855" s="145" t="s">
        <v>400</v>
      </c>
      <c r="AJ1855" s="145">
        <v>2.5880000000000001</v>
      </c>
      <c r="AK1855" s="145">
        <v>19.981999999999999</v>
      </c>
      <c r="AL1855" s="145">
        <v>13.853</v>
      </c>
      <c r="AM1855" s="145">
        <v>7.8319999999999999</v>
      </c>
    </row>
    <row r="1856" spans="1:39">
      <c r="A1856" s="143" t="s">
        <v>2916</v>
      </c>
      <c r="B1856" s="144">
        <v>100</v>
      </c>
      <c r="C1856" s="145">
        <v>46.805</v>
      </c>
      <c r="D1856" s="145" t="s">
        <v>400</v>
      </c>
      <c r="E1856" s="145" t="s">
        <v>400</v>
      </c>
      <c r="F1856" s="145">
        <v>1E-3</v>
      </c>
      <c r="G1856" s="145">
        <v>2E-3</v>
      </c>
      <c r="H1856" s="145">
        <v>3.0000000000000001E-3</v>
      </c>
      <c r="I1856" s="145">
        <v>2E-3</v>
      </c>
      <c r="J1856" s="145">
        <v>1E-3</v>
      </c>
      <c r="K1856" s="145" t="s">
        <v>400</v>
      </c>
      <c r="L1856" s="145">
        <v>11.92</v>
      </c>
      <c r="M1856" s="145">
        <v>0.19900000000000001</v>
      </c>
      <c r="N1856" s="145">
        <v>7.9669999999999996</v>
      </c>
      <c r="O1856" s="145">
        <v>2.988</v>
      </c>
      <c r="P1856" s="145">
        <v>8.4000000000000005E-2</v>
      </c>
      <c r="Q1856" s="145">
        <v>2.988</v>
      </c>
      <c r="R1856" s="145">
        <v>0.09</v>
      </c>
      <c r="S1856" s="145">
        <v>37.841999999999999</v>
      </c>
      <c r="T1856" s="145">
        <v>30.870999999999999</v>
      </c>
      <c r="U1856" s="145">
        <v>0.01</v>
      </c>
      <c r="V1856" s="145">
        <v>0.01</v>
      </c>
      <c r="W1856" s="145" t="s">
        <v>400</v>
      </c>
      <c r="X1856" s="145">
        <v>5.0000000000000001E-3</v>
      </c>
      <c r="Y1856" s="145">
        <v>2.3E-2</v>
      </c>
      <c r="Z1856" s="146">
        <v>1.0999999999999999E-2</v>
      </c>
      <c r="AA1856" s="145">
        <v>2.1000000000000001E-2</v>
      </c>
      <c r="AB1856" s="145">
        <v>22.675999999999998</v>
      </c>
      <c r="AC1856" s="145">
        <v>2.1000000000000001E-2</v>
      </c>
      <c r="AD1856" s="145" t="s">
        <v>400</v>
      </c>
      <c r="AE1856" s="145">
        <v>0.996</v>
      </c>
      <c r="AF1856" s="145" t="s">
        <v>400</v>
      </c>
      <c r="AG1856" s="145">
        <v>0.01</v>
      </c>
      <c r="AH1856" s="145" t="s">
        <v>400</v>
      </c>
      <c r="AI1856" s="145" t="s">
        <v>400</v>
      </c>
      <c r="AJ1856" s="145">
        <v>0.19900000000000001</v>
      </c>
      <c r="AK1856" s="145">
        <v>1.3280000000000001</v>
      </c>
      <c r="AL1856" s="145">
        <v>10.755000000000001</v>
      </c>
      <c r="AM1856" s="145">
        <v>11.865</v>
      </c>
    </row>
    <row r="1857" spans="1:39">
      <c r="A1857" s="143" t="s">
        <v>2917</v>
      </c>
      <c r="B1857" s="144">
        <v>100</v>
      </c>
      <c r="C1857" s="145">
        <v>46.805</v>
      </c>
      <c r="D1857" s="145" t="s">
        <v>400</v>
      </c>
      <c r="E1857" s="145" t="s">
        <v>400</v>
      </c>
      <c r="F1857" s="145">
        <v>1E-3</v>
      </c>
      <c r="G1857" s="145">
        <v>2E-3</v>
      </c>
      <c r="H1857" s="145">
        <v>3.0000000000000001E-3</v>
      </c>
      <c r="I1857" s="145">
        <v>2E-3</v>
      </c>
      <c r="J1857" s="145">
        <v>1E-3</v>
      </c>
      <c r="K1857" s="145" t="s">
        <v>400</v>
      </c>
      <c r="L1857" s="145">
        <v>11.92</v>
      </c>
      <c r="M1857" s="145">
        <v>0.19900000000000001</v>
      </c>
      <c r="N1857" s="145">
        <v>7.9669999999999996</v>
      </c>
      <c r="O1857" s="145">
        <v>2.988</v>
      </c>
      <c r="P1857" s="145">
        <v>8.4000000000000005E-2</v>
      </c>
      <c r="Q1857" s="145">
        <v>2.988</v>
      </c>
      <c r="R1857" s="145">
        <v>0.09</v>
      </c>
      <c r="S1857" s="145">
        <v>37.841999999999999</v>
      </c>
      <c r="T1857" s="145">
        <v>30.870999999999999</v>
      </c>
      <c r="U1857" s="145">
        <v>0.01</v>
      </c>
      <c r="V1857" s="145">
        <v>0.01</v>
      </c>
      <c r="W1857" s="145" t="s">
        <v>400</v>
      </c>
      <c r="X1857" s="145">
        <v>5.0000000000000001E-3</v>
      </c>
      <c r="Y1857" s="145">
        <v>2.3E-2</v>
      </c>
      <c r="Z1857" s="146">
        <v>1.0999999999999999E-2</v>
      </c>
      <c r="AA1857" s="145">
        <v>2.1000000000000001E-2</v>
      </c>
      <c r="AB1857" s="145">
        <v>22.675999999999998</v>
      </c>
      <c r="AC1857" s="145">
        <v>2.1000000000000001E-2</v>
      </c>
      <c r="AD1857" s="145" t="s">
        <v>400</v>
      </c>
      <c r="AE1857" s="145">
        <v>0.996</v>
      </c>
      <c r="AF1857" s="145" t="s">
        <v>400</v>
      </c>
      <c r="AG1857" s="145">
        <v>0.01</v>
      </c>
      <c r="AH1857" s="145" t="s">
        <v>400</v>
      </c>
      <c r="AI1857" s="145" t="s">
        <v>400</v>
      </c>
      <c r="AJ1857" s="145">
        <v>0.19900000000000001</v>
      </c>
      <c r="AK1857" s="145">
        <v>1.3280000000000001</v>
      </c>
      <c r="AL1857" s="145">
        <v>10.755000000000001</v>
      </c>
      <c r="AM1857" s="145">
        <v>11.865</v>
      </c>
    </row>
    <row r="1858" spans="1:39">
      <c r="A1858" s="143" t="s">
        <v>2918</v>
      </c>
      <c r="B1858" s="144">
        <v>100</v>
      </c>
      <c r="C1858" s="145">
        <v>46.805</v>
      </c>
      <c r="D1858" s="145" t="s">
        <v>400</v>
      </c>
      <c r="E1858" s="145" t="s">
        <v>400</v>
      </c>
      <c r="F1858" s="145">
        <v>1E-3</v>
      </c>
      <c r="G1858" s="145">
        <v>2E-3</v>
      </c>
      <c r="H1858" s="145">
        <v>3.0000000000000001E-3</v>
      </c>
      <c r="I1858" s="145">
        <v>2E-3</v>
      </c>
      <c r="J1858" s="145">
        <v>1E-3</v>
      </c>
      <c r="K1858" s="145" t="s">
        <v>400</v>
      </c>
      <c r="L1858" s="145">
        <v>11.92</v>
      </c>
      <c r="M1858" s="145">
        <v>0.19900000000000001</v>
      </c>
      <c r="N1858" s="145">
        <v>7.9669999999999996</v>
      </c>
      <c r="O1858" s="145">
        <v>2.988</v>
      </c>
      <c r="P1858" s="145">
        <v>8.4000000000000005E-2</v>
      </c>
      <c r="Q1858" s="145">
        <v>2.988</v>
      </c>
      <c r="R1858" s="145">
        <v>0.09</v>
      </c>
      <c r="S1858" s="145">
        <v>37.841999999999999</v>
      </c>
      <c r="T1858" s="145">
        <v>30.870999999999999</v>
      </c>
      <c r="U1858" s="145">
        <v>0.01</v>
      </c>
      <c r="V1858" s="145">
        <v>0.01</v>
      </c>
      <c r="W1858" s="145" t="s">
        <v>400</v>
      </c>
      <c r="X1858" s="145">
        <v>5.0000000000000001E-3</v>
      </c>
      <c r="Y1858" s="145">
        <v>2.3E-2</v>
      </c>
      <c r="Z1858" s="146">
        <v>1.0999999999999999E-2</v>
      </c>
      <c r="AA1858" s="145">
        <v>2.1000000000000001E-2</v>
      </c>
      <c r="AB1858" s="145">
        <v>22.675999999999998</v>
      </c>
      <c r="AC1858" s="145">
        <v>2.1000000000000001E-2</v>
      </c>
      <c r="AD1858" s="145" t="s">
        <v>400</v>
      </c>
      <c r="AE1858" s="145">
        <v>0.996</v>
      </c>
      <c r="AF1858" s="145" t="s">
        <v>400</v>
      </c>
      <c r="AG1858" s="145">
        <v>0.01</v>
      </c>
      <c r="AH1858" s="145" t="s">
        <v>400</v>
      </c>
      <c r="AI1858" s="145" t="s">
        <v>400</v>
      </c>
      <c r="AJ1858" s="145">
        <v>0.19900000000000001</v>
      </c>
      <c r="AK1858" s="145">
        <v>1.3280000000000001</v>
      </c>
      <c r="AL1858" s="145">
        <v>10.755000000000001</v>
      </c>
      <c r="AM1858" s="145">
        <v>11.865</v>
      </c>
    </row>
    <row r="1859" spans="1:39">
      <c r="A1859" s="143" t="s">
        <v>2919</v>
      </c>
      <c r="B1859" s="144">
        <v>100</v>
      </c>
      <c r="C1859" s="145">
        <v>46.805</v>
      </c>
      <c r="D1859" s="145" t="s">
        <v>400</v>
      </c>
      <c r="E1859" s="145" t="s">
        <v>400</v>
      </c>
      <c r="F1859" s="145">
        <v>1E-3</v>
      </c>
      <c r="G1859" s="145">
        <v>2E-3</v>
      </c>
      <c r="H1859" s="145">
        <v>3.0000000000000001E-3</v>
      </c>
      <c r="I1859" s="145">
        <v>2E-3</v>
      </c>
      <c r="J1859" s="145">
        <v>1E-3</v>
      </c>
      <c r="K1859" s="145" t="s">
        <v>400</v>
      </c>
      <c r="L1859" s="145">
        <v>11.92</v>
      </c>
      <c r="M1859" s="145">
        <v>0.19900000000000001</v>
      </c>
      <c r="N1859" s="145">
        <v>7.9669999999999996</v>
      </c>
      <c r="O1859" s="145">
        <v>2.988</v>
      </c>
      <c r="P1859" s="145">
        <v>8.4000000000000005E-2</v>
      </c>
      <c r="Q1859" s="145">
        <v>2.988</v>
      </c>
      <c r="R1859" s="145">
        <v>0.09</v>
      </c>
      <c r="S1859" s="145">
        <v>37.841999999999999</v>
      </c>
      <c r="T1859" s="145">
        <v>30.870999999999999</v>
      </c>
      <c r="U1859" s="145">
        <v>0.01</v>
      </c>
      <c r="V1859" s="145">
        <v>0.01</v>
      </c>
      <c r="W1859" s="145" t="s">
        <v>400</v>
      </c>
      <c r="X1859" s="145">
        <v>5.0000000000000001E-3</v>
      </c>
      <c r="Y1859" s="145">
        <v>2.3E-2</v>
      </c>
      <c r="Z1859" s="146">
        <v>1.0999999999999999E-2</v>
      </c>
      <c r="AA1859" s="145">
        <v>2.1000000000000001E-2</v>
      </c>
      <c r="AB1859" s="145">
        <v>22.675999999999998</v>
      </c>
      <c r="AC1859" s="145">
        <v>2.1000000000000001E-2</v>
      </c>
      <c r="AD1859" s="145" t="s">
        <v>400</v>
      </c>
      <c r="AE1859" s="145">
        <v>0.996</v>
      </c>
      <c r="AF1859" s="145" t="s">
        <v>400</v>
      </c>
      <c r="AG1859" s="145">
        <v>0.01</v>
      </c>
      <c r="AH1859" s="145" t="s">
        <v>400</v>
      </c>
      <c r="AI1859" s="145" t="s">
        <v>400</v>
      </c>
      <c r="AJ1859" s="145">
        <v>0.19900000000000001</v>
      </c>
      <c r="AK1859" s="145">
        <v>1.3280000000000001</v>
      </c>
      <c r="AL1859" s="145">
        <v>10.755000000000001</v>
      </c>
      <c r="AM1859" s="145">
        <v>11.865</v>
      </c>
    </row>
    <row r="1860" spans="1:39">
      <c r="A1860" s="143" t="s">
        <v>2920</v>
      </c>
      <c r="B1860" s="144">
        <v>100</v>
      </c>
      <c r="C1860" s="145">
        <v>46.805</v>
      </c>
      <c r="D1860" s="145" t="s">
        <v>400</v>
      </c>
      <c r="E1860" s="145" t="s">
        <v>400</v>
      </c>
      <c r="F1860" s="145">
        <v>1E-3</v>
      </c>
      <c r="G1860" s="145">
        <v>2E-3</v>
      </c>
      <c r="H1860" s="145">
        <v>3.0000000000000001E-3</v>
      </c>
      <c r="I1860" s="145">
        <v>2E-3</v>
      </c>
      <c r="J1860" s="145">
        <v>1E-3</v>
      </c>
      <c r="K1860" s="145" t="s">
        <v>400</v>
      </c>
      <c r="L1860" s="145">
        <v>11.92</v>
      </c>
      <c r="M1860" s="145">
        <v>0.19900000000000001</v>
      </c>
      <c r="N1860" s="145">
        <v>7.9669999999999996</v>
      </c>
      <c r="O1860" s="145">
        <v>2.988</v>
      </c>
      <c r="P1860" s="145">
        <v>8.4000000000000005E-2</v>
      </c>
      <c r="Q1860" s="145">
        <v>2.988</v>
      </c>
      <c r="R1860" s="145">
        <v>0.09</v>
      </c>
      <c r="S1860" s="145">
        <v>37.841999999999999</v>
      </c>
      <c r="T1860" s="145">
        <v>30.870999999999999</v>
      </c>
      <c r="U1860" s="145">
        <v>0.01</v>
      </c>
      <c r="V1860" s="145">
        <v>0.01</v>
      </c>
      <c r="W1860" s="145" t="s">
        <v>400</v>
      </c>
      <c r="X1860" s="145">
        <v>5.0000000000000001E-3</v>
      </c>
      <c r="Y1860" s="145">
        <v>2.3E-2</v>
      </c>
      <c r="Z1860" s="146">
        <v>1.0999999999999999E-2</v>
      </c>
      <c r="AA1860" s="145">
        <v>2.1000000000000001E-2</v>
      </c>
      <c r="AB1860" s="145">
        <v>22.675999999999998</v>
      </c>
      <c r="AC1860" s="145">
        <v>2.1000000000000001E-2</v>
      </c>
      <c r="AD1860" s="145" t="s">
        <v>400</v>
      </c>
      <c r="AE1860" s="145">
        <v>0.996</v>
      </c>
      <c r="AF1860" s="145" t="s">
        <v>400</v>
      </c>
      <c r="AG1860" s="145">
        <v>0.01</v>
      </c>
      <c r="AH1860" s="145" t="s">
        <v>400</v>
      </c>
      <c r="AI1860" s="145" t="s">
        <v>400</v>
      </c>
      <c r="AJ1860" s="145">
        <v>0.19900000000000001</v>
      </c>
      <c r="AK1860" s="145">
        <v>1.3280000000000001</v>
      </c>
      <c r="AL1860" s="145">
        <v>10.755000000000001</v>
      </c>
      <c r="AM1860" s="145">
        <v>11.865</v>
      </c>
    </row>
    <row r="1861" spans="1:39">
      <c r="A1861" s="143" t="s">
        <v>2921</v>
      </c>
      <c r="B1861" s="144">
        <v>100</v>
      </c>
      <c r="C1861" s="145">
        <v>46.805</v>
      </c>
      <c r="D1861" s="145" t="s">
        <v>400</v>
      </c>
      <c r="E1861" s="145" t="s">
        <v>400</v>
      </c>
      <c r="F1861" s="145">
        <v>1E-3</v>
      </c>
      <c r="G1861" s="145">
        <v>2E-3</v>
      </c>
      <c r="H1861" s="145">
        <v>3.0000000000000001E-3</v>
      </c>
      <c r="I1861" s="145">
        <v>2E-3</v>
      </c>
      <c r="J1861" s="145">
        <v>1E-3</v>
      </c>
      <c r="K1861" s="145" t="s">
        <v>400</v>
      </c>
      <c r="L1861" s="145">
        <v>11.92</v>
      </c>
      <c r="M1861" s="145">
        <v>0.19900000000000001</v>
      </c>
      <c r="N1861" s="145">
        <v>7.9669999999999996</v>
      </c>
      <c r="O1861" s="145">
        <v>2.988</v>
      </c>
      <c r="P1861" s="145">
        <v>8.4000000000000005E-2</v>
      </c>
      <c r="Q1861" s="145">
        <v>2.988</v>
      </c>
      <c r="R1861" s="145">
        <v>0.09</v>
      </c>
      <c r="S1861" s="145">
        <v>37.841999999999999</v>
      </c>
      <c r="T1861" s="145">
        <v>30.870999999999999</v>
      </c>
      <c r="U1861" s="145">
        <v>0.01</v>
      </c>
      <c r="V1861" s="145">
        <v>0.01</v>
      </c>
      <c r="W1861" s="145" t="s">
        <v>400</v>
      </c>
      <c r="X1861" s="145">
        <v>5.0000000000000001E-3</v>
      </c>
      <c r="Y1861" s="145">
        <v>2.3E-2</v>
      </c>
      <c r="Z1861" s="146">
        <v>1.0999999999999999E-2</v>
      </c>
      <c r="AA1861" s="145">
        <v>2.1000000000000001E-2</v>
      </c>
      <c r="AB1861" s="145">
        <v>22.675999999999998</v>
      </c>
      <c r="AC1861" s="145">
        <v>2.1000000000000001E-2</v>
      </c>
      <c r="AD1861" s="145" t="s">
        <v>400</v>
      </c>
      <c r="AE1861" s="145">
        <v>0.996</v>
      </c>
      <c r="AF1861" s="145" t="s">
        <v>400</v>
      </c>
      <c r="AG1861" s="145">
        <v>0.01</v>
      </c>
      <c r="AH1861" s="145" t="s">
        <v>400</v>
      </c>
      <c r="AI1861" s="145" t="s">
        <v>400</v>
      </c>
      <c r="AJ1861" s="145">
        <v>0.19900000000000001</v>
      </c>
      <c r="AK1861" s="145">
        <v>1.3280000000000001</v>
      </c>
      <c r="AL1861" s="145">
        <v>10.755000000000001</v>
      </c>
      <c r="AM1861" s="145">
        <v>11.865</v>
      </c>
    </row>
    <row r="1862" spans="1:39">
      <c r="A1862" s="143" t="s">
        <v>2922</v>
      </c>
      <c r="B1862" s="144">
        <v>100</v>
      </c>
      <c r="C1862" s="145">
        <v>26</v>
      </c>
      <c r="D1862" s="145">
        <v>2.11</v>
      </c>
      <c r="E1862" s="145">
        <v>0.36</v>
      </c>
      <c r="F1862" s="145">
        <v>4.7E-2</v>
      </c>
      <c r="G1862" s="145">
        <v>2.5999999999999999E-2</v>
      </c>
      <c r="H1862" s="145">
        <v>0.17299999999999999</v>
      </c>
      <c r="I1862" s="145">
        <v>7.0000000000000007E-2</v>
      </c>
      <c r="J1862" s="145">
        <v>9.2999999999999999E-2</v>
      </c>
      <c r="K1862" s="145" t="s">
        <v>400</v>
      </c>
      <c r="L1862" s="145">
        <v>4.91</v>
      </c>
      <c r="M1862" s="145">
        <v>2.8</v>
      </c>
      <c r="N1862" s="145">
        <v>140</v>
      </c>
      <c r="O1862" s="145">
        <v>20</v>
      </c>
      <c r="P1862" s="145">
        <v>0.436</v>
      </c>
      <c r="Q1862" s="145">
        <v>30</v>
      </c>
      <c r="R1862" s="145">
        <v>1.1599999999999999</v>
      </c>
      <c r="S1862" s="145">
        <v>16</v>
      </c>
      <c r="T1862" s="145">
        <v>116</v>
      </c>
      <c r="U1862" s="145">
        <v>3.7999999999999999E-2</v>
      </c>
      <c r="V1862" s="145">
        <v>0.23</v>
      </c>
      <c r="W1862" s="145" t="s">
        <v>400</v>
      </c>
      <c r="X1862" s="145">
        <v>0.04</v>
      </c>
      <c r="Y1862" s="145">
        <v>0.106</v>
      </c>
      <c r="Z1862" s="145">
        <v>0.128</v>
      </c>
      <c r="AA1862" s="145">
        <v>0.57499999999999996</v>
      </c>
      <c r="AB1862" s="145">
        <v>18.2</v>
      </c>
      <c r="AC1862" s="145">
        <v>1.0249999999999999</v>
      </c>
      <c r="AD1862" s="145" t="s">
        <v>400</v>
      </c>
      <c r="AE1862" s="145">
        <v>93</v>
      </c>
      <c r="AF1862" s="145" t="s">
        <v>400</v>
      </c>
      <c r="AG1862" s="145">
        <v>0.88</v>
      </c>
      <c r="AH1862" s="145" t="s">
        <v>400</v>
      </c>
      <c r="AI1862" s="145">
        <v>199</v>
      </c>
      <c r="AJ1862" s="145">
        <v>0.5</v>
      </c>
      <c r="AK1862" s="145">
        <v>405.75</v>
      </c>
      <c r="AL1862" s="145">
        <v>1.41</v>
      </c>
      <c r="AM1862" s="145" t="s">
        <v>400</v>
      </c>
    </row>
    <row r="1863" spans="1:39">
      <c r="A1863" s="143" t="s">
        <v>2923</v>
      </c>
      <c r="B1863" s="144">
        <v>100</v>
      </c>
      <c r="C1863" s="145">
        <v>209.79400000000001</v>
      </c>
      <c r="D1863" s="145">
        <v>2.7130000000000001</v>
      </c>
      <c r="E1863" s="145">
        <v>16.824999999999999</v>
      </c>
      <c r="F1863" s="145">
        <v>2.7170000000000001</v>
      </c>
      <c r="G1863" s="145">
        <v>4.3220000000000001</v>
      </c>
      <c r="H1863" s="145">
        <v>8.4740000000000002</v>
      </c>
      <c r="I1863" s="145">
        <v>7.5190000000000001</v>
      </c>
      <c r="J1863" s="145">
        <v>0.93200000000000005</v>
      </c>
      <c r="K1863" s="145">
        <v>56.023000000000003</v>
      </c>
      <c r="L1863" s="145">
        <v>12.645</v>
      </c>
      <c r="M1863" s="145">
        <v>1.375</v>
      </c>
      <c r="N1863" s="145">
        <v>15.73</v>
      </c>
      <c r="O1863" s="145">
        <v>14.113</v>
      </c>
      <c r="P1863" s="145">
        <v>0.10199999999999999</v>
      </c>
      <c r="Q1863" s="145">
        <v>50.838000000000001</v>
      </c>
      <c r="R1863" s="145">
        <v>0.39900000000000002</v>
      </c>
      <c r="S1863" s="145">
        <v>281.90800000000002</v>
      </c>
      <c r="T1863" s="145">
        <v>221.94900000000001</v>
      </c>
      <c r="U1863" s="145">
        <v>0.105</v>
      </c>
      <c r="V1863" s="145">
        <v>0.32700000000000001</v>
      </c>
      <c r="W1863" s="145">
        <v>34.878</v>
      </c>
      <c r="X1863" s="145">
        <v>7.5999999999999998E-2</v>
      </c>
      <c r="Y1863" s="145">
        <v>8.5000000000000006E-2</v>
      </c>
      <c r="Z1863" s="146">
        <v>0.28699999999999998</v>
      </c>
      <c r="AA1863" s="145">
        <v>0.76200000000000001</v>
      </c>
      <c r="AB1863" s="145">
        <v>4.7469999999999999</v>
      </c>
      <c r="AC1863" s="145">
        <v>1.3819999999999999</v>
      </c>
      <c r="AD1863" s="145">
        <v>0.192</v>
      </c>
      <c r="AE1863" s="145">
        <v>14.012</v>
      </c>
      <c r="AF1863" s="145">
        <v>0.20499999999999999</v>
      </c>
      <c r="AG1863" s="145">
        <v>1.1879999999999999</v>
      </c>
      <c r="AH1863" s="145">
        <v>5.3999999999999999E-2</v>
      </c>
      <c r="AI1863" s="145" t="s">
        <v>400</v>
      </c>
      <c r="AJ1863" s="145">
        <v>4.3890000000000002</v>
      </c>
      <c r="AK1863" s="145">
        <v>36.368000000000002</v>
      </c>
      <c r="AL1863" s="145">
        <v>1.2010000000000001</v>
      </c>
      <c r="AM1863" s="145">
        <v>0.48</v>
      </c>
    </row>
    <row r="1864" spans="1:39">
      <c r="A1864" s="143" t="s">
        <v>2924</v>
      </c>
      <c r="B1864" s="144">
        <v>100</v>
      </c>
      <c r="C1864" s="145">
        <v>281.19799999999998</v>
      </c>
      <c r="D1864" s="145">
        <v>14.597</v>
      </c>
      <c r="E1864" s="145">
        <v>11.349</v>
      </c>
      <c r="F1864" s="145">
        <v>5.57</v>
      </c>
      <c r="G1864" s="145">
        <v>3.0150000000000001</v>
      </c>
      <c r="H1864" s="145">
        <v>2.1040000000000001</v>
      </c>
      <c r="I1864" s="145">
        <v>1.8180000000000001</v>
      </c>
      <c r="J1864" s="145">
        <v>0.28499999999999998</v>
      </c>
      <c r="K1864" s="145">
        <v>21.884</v>
      </c>
      <c r="L1864" s="145">
        <v>29.818999999999999</v>
      </c>
      <c r="M1864" s="145">
        <v>1.7390000000000001</v>
      </c>
      <c r="N1864" s="145">
        <v>308.76799999999997</v>
      </c>
      <c r="O1864" s="145">
        <v>24.059000000000001</v>
      </c>
      <c r="P1864" s="145">
        <v>0.28799999999999998</v>
      </c>
      <c r="Q1864" s="145">
        <v>264.19099999999997</v>
      </c>
      <c r="R1864" s="145">
        <v>2.161</v>
      </c>
      <c r="S1864" s="145">
        <v>736.75400000000002</v>
      </c>
      <c r="T1864" s="145">
        <v>184.62</v>
      </c>
      <c r="U1864" s="145">
        <v>0.106</v>
      </c>
      <c r="V1864" s="145">
        <v>1.5960000000000001</v>
      </c>
      <c r="W1864" s="145">
        <v>51.246000000000002</v>
      </c>
      <c r="X1864" s="145">
        <v>0.32600000000000001</v>
      </c>
      <c r="Y1864" s="145">
        <v>0.35499999999999998</v>
      </c>
      <c r="Z1864" s="146">
        <v>9.7000000000000003E-2</v>
      </c>
      <c r="AA1864" s="145">
        <v>2.5659999999999998</v>
      </c>
      <c r="AB1864" s="145">
        <v>2.1680000000000001</v>
      </c>
      <c r="AC1864" s="145">
        <v>7.2629999999999999</v>
      </c>
      <c r="AD1864" s="145">
        <v>0.89600000000000002</v>
      </c>
      <c r="AE1864" s="145">
        <v>93.332999999999998</v>
      </c>
      <c r="AF1864" s="145">
        <v>0.08</v>
      </c>
      <c r="AG1864" s="145">
        <v>0.78300000000000003</v>
      </c>
      <c r="AH1864" s="145">
        <v>0.183</v>
      </c>
      <c r="AI1864" s="145" t="s">
        <v>400</v>
      </c>
      <c r="AJ1864" s="145">
        <v>19.309000000000001</v>
      </c>
      <c r="AK1864" s="145">
        <v>57.591999999999999</v>
      </c>
      <c r="AL1864" s="145">
        <v>2.194</v>
      </c>
      <c r="AM1864" s="145">
        <v>0.443</v>
      </c>
    </row>
    <row r="1865" spans="1:39">
      <c r="A1865" s="143" t="s">
        <v>2925</v>
      </c>
      <c r="B1865" s="144">
        <v>100</v>
      </c>
      <c r="C1865" s="145">
        <v>158.63300000000001</v>
      </c>
      <c r="D1865" s="145">
        <v>10.782</v>
      </c>
      <c r="E1865" s="145">
        <v>7.3140000000000001</v>
      </c>
      <c r="F1865" s="145">
        <v>3.8170000000000002</v>
      </c>
      <c r="G1865" s="145">
        <v>2.5</v>
      </c>
      <c r="H1865" s="145">
        <v>0.33800000000000002</v>
      </c>
      <c r="I1865" s="145">
        <v>0.27300000000000002</v>
      </c>
      <c r="J1865" s="145">
        <v>5.5E-2</v>
      </c>
      <c r="K1865" s="145">
        <v>28.56</v>
      </c>
      <c r="L1865" s="145">
        <v>12.336</v>
      </c>
      <c r="M1865" s="145">
        <v>1.1140000000000001</v>
      </c>
      <c r="N1865" s="145">
        <v>150.19200000000001</v>
      </c>
      <c r="O1865" s="145">
        <v>19.885999999999999</v>
      </c>
      <c r="P1865" s="145">
        <v>0.16200000000000001</v>
      </c>
      <c r="Q1865" s="145">
        <v>145.82300000000001</v>
      </c>
      <c r="R1865" s="145">
        <v>1.456</v>
      </c>
      <c r="S1865" s="145">
        <v>319</v>
      </c>
      <c r="T1865" s="145">
        <v>206.387</v>
      </c>
      <c r="U1865" s="145">
        <v>9.1999999999999998E-2</v>
      </c>
      <c r="V1865" s="145">
        <v>1.6539999999999999</v>
      </c>
      <c r="W1865" s="145">
        <v>40.68</v>
      </c>
      <c r="X1865" s="145">
        <v>0.104</v>
      </c>
      <c r="Y1865" s="145">
        <v>0.161</v>
      </c>
      <c r="Z1865" s="146">
        <v>0.13300000000000001</v>
      </c>
      <c r="AA1865" s="145">
        <v>1.5740000000000001</v>
      </c>
      <c r="AB1865" s="145">
        <v>3.556</v>
      </c>
      <c r="AC1865" s="145">
        <v>3.351</v>
      </c>
      <c r="AD1865" s="145">
        <v>0.57999999999999996</v>
      </c>
      <c r="AE1865" s="145">
        <v>43.921999999999997</v>
      </c>
      <c r="AF1865" s="145">
        <v>0.09</v>
      </c>
      <c r="AG1865" s="145">
        <v>0.53300000000000003</v>
      </c>
      <c r="AH1865" s="145">
        <v>0.27400000000000002</v>
      </c>
      <c r="AI1865" s="146" t="s">
        <v>400</v>
      </c>
      <c r="AJ1865" s="145">
        <v>15.599</v>
      </c>
      <c r="AK1865" s="145">
        <v>47.148000000000003</v>
      </c>
      <c r="AL1865" s="145">
        <v>2.266</v>
      </c>
      <c r="AM1865" s="145">
        <v>0.17499999999999999</v>
      </c>
    </row>
    <row r="1866" spans="1:39">
      <c r="A1866" s="143" t="s">
        <v>2926</v>
      </c>
      <c r="B1866" s="144">
        <v>100</v>
      </c>
      <c r="C1866" s="145">
        <v>190.542</v>
      </c>
      <c r="D1866" s="145">
        <v>9.3079999999999998</v>
      </c>
      <c r="E1866" s="145">
        <v>13.18</v>
      </c>
      <c r="F1866" s="145">
        <v>4.5179999999999998</v>
      </c>
      <c r="G1866" s="145">
        <v>3.5190000000000001</v>
      </c>
      <c r="H1866" s="145">
        <v>4.34</v>
      </c>
      <c r="I1866" s="145">
        <v>3.8050000000000002</v>
      </c>
      <c r="J1866" s="145">
        <v>0.50800000000000001</v>
      </c>
      <c r="K1866" s="145">
        <v>70.213999999999999</v>
      </c>
      <c r="L1866" s="145">
        <v>8.4849999999999994</v>
      </c>
      <c r="M1866" s="145">
        <v>0.25900000000000001</v>
      </c>
      <c r="N1866" s="145">
        <v>190.1</v>
      </c>
      <c r="O1866" s="145">
        <v>11.303000000000001</v>
      </c>
      <c r="P1866" s="145">
        <v>7.1999999999999995E-2</v>
      </c>
      <c r="Q1866" s="145">
        <v>151.28200000000001</v>
      </c>
      <c r="R1866" s="145">
        <v>0.75800000000000001</v>
      </c>
      <c r="S1866" s="145">
        <v>196.30099999999999</v>
      </c>
      <c r="T1866" s="145">
        <v>72.180999999999997</v>
      </c>
      <c r="U1866" s="145">
        <v>4.9000000000000002E-2</v>
      </c>
      <c r="V1866" s="145">
        <v>0.94</v>
      </c>
      <c r="W1866" s="145">
        <v>61.89</v>
      </c>
      <c r="X1866" s="145">
        <v>8.4000000000000005E-2</v>
      </c>
      <c r="Y1866" s="145">
        <v>0.20499999999999999</v>
      </c>
      <c r="Z1866" s="146">
        <v>2.9000000000000001E-2</v>
      </c>
      <c r="AA1866" s="145">
        <v>0.54400000000000004</v>
      </c>
      <c r="AB1866" s="145" t="s">
        <v>400</v>
      </c>
      <c r="AC1866" s="145">
        <v>2.4569999999999999</v>
      </c>
      <c r="AD1866" s="145">
        <v>0.434</v>
      </c>
      <c r="AE1866" s="145">
        <v>27.532</v>
      </c>
      <c r="AF1866" s="145">
        <v>0.245</v>
      </c>
      <c r="AG1866" s="145">
        <v>0.73699999999999999</v>
      </c>
      <c r="AH1866" s="145">
        <v>0.17199999999999999</v>
      </c>
      <c r="AI1866" s="145" t="s">
        <v>400</v>
      </c>
      <c r="AJ1866" s="145">
        <v>16.288</v>
      </c>
      <c r="AK1866" s="145">
        <v>62.774000000000001</v>
      </c>
      <c r="AL1866" s="145">
        <v>0.66200000000000003</v>
      </c>
      <c r="AM1866" s="145" t="s">
        <v>400</v>
      </c>
    </row>
    <row r="1867" spans="1:39">
      <c r="A1867" s="143" t="s">
        <v>2927</v>
      </c>
      <c r="B1867" s="144">
        <v>100</v>
      </c>
      <c r="C1867" s="145">
        <v>120.86</v>
      </c>
      <c r="D1867" s="145">
        <v>5.9390000000000001</v>
      </c>
      <c r="E1867" s="145">
        <v>6.8010000000000002</v>
      </c>
      <c r="F1867" s="145">
        <v>2.5</v>
      </c>
      <c r="G1867" s="145">
        <v>3.0659999999999998</v>
      </c>
      <c r="H1867" s="145">
        <v>0.68200000000000005</v>
      </c>
      <c r="I1867" s="145">
        <v>0.59399999999999997</v>
      </c>
      <c r="J1867" s="145">
        <v>6.9000000000000006E-2</v>
      </c>
      <c r="K1867" s="145">
        <v>43.323999999999998</v>
      </c>
      <c r="L1867" s="145">
        <v>9.2170000000000005</v>
      </c>
      <c r="M1867" s="145">
        <v>1.0129999999999999</v>
      </c>
      <c r="N1867" s="145">
        <v>66.897000000000006</v>
      </c>
      <c r="O1867" s="145">
        <v>19.097999999999999</v>
      </c>
      <c r="P1867" s="145">
        <v>0.17199999999999999</v>
      </c>
      <c r="Q1867" s="145">
        <v>84.010999999999996</v>
      </c>
      <c r="R1867" s="145">
        <v>1.417</v>
      </c>
      <c r="S1867" s="145">
        <v>430.517</v>
      </c>
      <c r="T1867" s="145">
        <v>234.52600000000001</v>
      </c>
      <c r="U1867" s="145">
        <v>8.5999999999999993E-2</v>
      </c>
      <c r="V1867" s="145">
        <v>1.016</v>
      </c>
      <c r="W1867" s="145">
        <v>34.121000000000002</v>
      </c>
      <c r="X1867" s="145">
        <v>8.7999999999999995E-2</v>
      </c>
      <c r="Y1867" s="145">
        <v>0.14699999999999999</v>
      </c>
      <c r="Z1867" s="146">
        <v>0.129</v>
      </c>
      <c r="AA1867" s="145">
        <v>1.36</v>
      </c>
      <c r="AB1867" s="145">
        <v>5.2519999999999998</v>
      </c>
      <c r="AC1867" s="145">
        <v>2.2170000000000001</v>
      </c>
      <c r="AD1867" s="145">
        <v>0.441</v>
      </c>
      <c r="AE1867" s="145">
        <v>31.85</v>
      </c>
      <c r="AF1867" s="145">
        <v>0.17799999999999999</v>
      </c>
      <c r="AG1867" s="145">
        <v>0.995</v>
      </c>
      <c r="AH1867" s="145">
        <v>0.50700000000000001</v>
      </c>
      <c r="AI1867" s="145" t="s">
        <v>400</v>
      </c>
      <c r="AJ1867" s="145">
        <v>7.3390000000000004</v>
      </c>
      <c r="AK1867" s="145">
        <v>78.287000000000006</v>
      </c>
      <c r="AL1867" s="145">
        <v>2.698</v>
      </c>
      <c r="AM1867" s="145">
        <v>0.189</v>
      </c>
    </row>
    <row r="1868" spans="1:39">
      <c r="A1868" s="143" t="s">
        <v>2928</v>
      </c>
      <c r="B1868" s="144">
        <v>100</v>
      </c>
      <c r="C1868" s="145">
        <v>95.24</v>
      </c>
      <c r="D1868" s="145">
        <v>5.5250000000000004</v>
      </c>
      <c r="E1868" s="145">
        <v>2.5859999999999999</v>
      </c>
      <c r="F1868" s="145">
        <v>0.98399999999999999</v>
      </c>
      <c r="G1868" s="145">
        <v>0.93200000000000005</v>
      </c>
      <c r="H1868" s="145">
        <v>0.308</v>
      </c>
      <c r="I1868" s="145">
        <v>0.246</v>
      </c>
      <c r="J1868" s="145">
        <v>3.6999999999999998E-2</v>
      </c>
      <c r="K1868" s="145">
        <v>54.491</v>
      </c>
      <c r="L1868" s="145">
        <v>12.597</v>
      </c>
      <c r="M1868" s="145">
        <v>1.196</v>
      </c>
      <c r="N1868" s="145">
        <v>48.554000000000002</v>
      </c>
      <c r="O1868" s="145">
        <v>16.713999999999999</v>
      </c>
      <c r="P1868" s="145">
        <v>0.183</v>
      </c>
      <c r="Q1868" s="145">
        <v>70.192999999999998</v>
      </c>
      <c r="R1868" s="145">
        <v>1.4770000000000001</v>
      </c>
      <c r="S1868" s="145">
        <v>499.601</v>
      </c>
      <c r="T1868" s="145">
        <v>176.18700000000001</v>
      </c>
      <c r="U1868" s="145">
        <v>0.08</v>
      </c>
      <c r="V1868" s="145">
        <v>0.82699999999999996</v>
      </c>
      <c r="W1868" s="145">
        <v>18.667999999999999</v>
      </c>
      <c r="X1868" s="145">
        <v>0.129</v>
      </c>
      <c r="Y1868" s="145">
        <v>0.158</v>
      </c>
      <c r="Z1868" s="146">
        <v>0.108</v>
      </c>
      <c r="AA1868" s="145">
        <v>1.4630000000000001</v>
      </c>
      <c r="AB1868" s="145">
        <v>4.2069999999999999</v>
      </c>
      <c r="AC1868" s="145">
        <v>2.4260000000000002</v>
      </c>
      <c r="AD1868" s="145">
        <v>0.312</v>
      </c>
      <c r="AE1868" s="145">
        <v>42.530999999999999</v>
      </c>
      <c r="AF1868" s="145">
        <v>0.17</v>
      </c>
      <c r="AG1868" s="145">
        <v>0.75700000000000001</v>
      </c>
      <c r="AH1868" s="145">
        <v>5.8999999999999997E-2</v>
      </c>
      <c r="AI1868" s="145" t="s">
        <v>400</v>
      </c>
      <c r="AJ1868" s="145">
        <v>9.2140000000000004</v>
      </c>
      <c r="AK1868" s="145">
        <v>59.534999999999997</v>
      </c>
      <c r="AL1868" s="145">
        <v>2.0059999999999998</v>
      </c>
      <c r="AM1868" s="145">
        <v>0.26900000000000002</v>
      </c>
    </row>
    <row r="1869" spans="1:39">
      <c r="A1869" s="143" t="s">
        <v>2929</v>
      </c>
      <c r="B1869" s="144">
        <v>100</v>
      </c>
      <c r="C1869" s="145">
        <v>95.24</v>
      </c>
      <c r="D1869" s="145">
        <v>5.5250000000000004</v>
      </c>
      <c r="E1869" s="145">
        <v>2.5859999999999999</v>
      </c>
      <c r="F1869" s="145">
        <v>0.98399999999999999</v>
      </c>
      <c r="G1869" s="145">
        <v>0.93200000000000005</v>
      </c>
      <c r="H1869" s="145">
        <v>0.308</v>
      </c>
      <c r="I1869" s="145">
        <v>0.246</v>
      </c>
      <c r="J1869" s="145">
        <v>3.6999999999999998E-2</v>
      </c>
      <c r="K1869" s="145">
        <v>54.491</v>
      </c>
      <c r="L1869" s="145">
        <v>12.597</v>
      </c>
      <c r="M1869" s="145">
        <v>1.196</v>
      </c>
      <c r="N1869" s="145">
        <v>48.554000000000002</v>
      </c>
      <c r="O1869" s="145">
        <v>16.713999999999999</v>
      </c>
      <c r="P1869" s="145">
        <v>0.183</v>
      </c>
      <c r="Q1869" s="145">
        <v>70.192999999999998</v>
      </c>
      <c r="R1869" s="145">
        <v>1.4770000000000001</v>
      </c>
      <c r="S1869" s="145">
        <v>499.601</v>
      </c>
      <c r="T1869" s="145">
        <v>176.18700000000001</v>
      </c>
      <c r="U1869" s="145">
        <v>0.08</v>
      </c>
      <c r="V1869" s="145">
        <v>0.82699999999999996</v>
      </c>
      <c r="W1869" s="145">
        <v>18.667999999999999</v>
      </c>
      <c r="X1869" s="145">
        <v>0.129</v>
      </c>
      <c r="Y1869" s="145">
        <v>0.158</v>
      </c>
      <c r="Z1869" s="146">
        <v>0.108</v>
      </c>
      <c r="AA1869" s="145">
        <v>1.4630000000000001</v>
      </c>
      <c r="AB1869" s="145">
        <v>4.2069999999999999</v>
      </c>
      <c r="AC1869" s="145">
        <v>2.4260000000000002</v>
      </c>
      <c r="AD1869" s="145">
        <v>0.312</v>
      </c>
      <c r="AE1869" s="145">
        <v>42.530999999999999</v>
      </c>
      <c r="AF1869" s="145">
        <v>0.17</v>
      </c>
      <c r="AG1869" s="145">
        <v>0.75700000000000001</v>
      </c>
      <c r="AH1869" s="145">
        <v>5.8999999999999997E-2</v>
      </c>
      <c r="AI1869" s="145" t="s">
        <v>400</v>
      </c>
      <c r="AJ1869" s="145">
        <v>9.2140000000000004</v>
      </c>
      <c r="AK1869" s="145">
        <v>59.534999999999997</v>
      </c>
      <c r="AL1869" s="145">
        <v>2.0059999999999998</v>
      </c>
      <c r="AM1869" s="145">
        <v>0.26900000000000002</v>
      </c>
    </row>
    <row r="1870" spans="1:39">
      <c r="A1870" s="143" t="s">
        <v>2930</v>
      </c>
      <c r="B1870" s="144">
        <v>100</v>
      </c>
      <c r="C1870" s="145">
        <v>245.75</v>
      </c>
      <c r="D1870" s="145">
        <v>12.829000000000001</v>
      </c>
      <c r="E1870" s="145">
        <v>9.8450000000000006</v>
      </c>
      <c r="F1870" s="145">
        <v>5.2409999999999997</v>
      </c>
      <c r="G1870" s="145">
        <v>3.105</v>
      </c>
      <c r="H1870" s="145">
        <v>0.70199999999999996</v>
      </c>
      <c r="I1870" s="145">
        <v>0.59599999999999997</v>
      </c>
      <c r="J1870" s="145">
        <v>0.08</v>
      </c>
      <c r="K1870" s="145">
        <v>47.296999999999997</v>
      </c>
      <c r="L1870" s="145">
        <v>25.802</v>
      </c>
      <c r="M1870" s="145">
        <v>1.18</v>
      </c>
      <c r="N1870" s="145">
        <v>213.03200000000001</v>
      </c>
      <c r="O1870" s="145">
        <v>19.039000000000001</v>
      </c>
      <c r="P1870" s="145">
        <v>0.24199999999999999</v>
      </c>
      <c r="Q1870" s="145">
        <v>208.42099999999999</v>
      </c>
      <c r="R1870" s="145">
        <v>1.9330000000000001</v>
      </c>
      <c r="S1870" s="145">
        <v>511</v>
      </c>
      <c r="T1870" s="145">
        <v>143.54300000000001</v>
      </c>
      <c r="U1870" s="145">
        <v>8.5000000000000006E-2</v>
      </c>
      <c r="V1870" s="145">
        <v>1.42</v>
      </c>
      <c r="W1870" s="145">
        <v>61.99</v>
      </c>
      <c r="X1870" s="145">
        <v>0.3</v>
      </c>
      <c r="Y1870" s="145">
        <v>0.33500000000000002</v>
      </c>
      <c r="Z1870" s="146">
        <v>8.2000000000000003E-2</v>
      </c>
      <c r="AA1870" s="145">
        <v>2.4750000000000001</v>
      </c>
      <c r="AB1870" s="145">
        <v>3.92</v>
      </c>
      <c r="AC1870" s="145">
        <v>6.1319999999999997</v>
      </c>
      <c r="AD1870" s="145">
        <v>0.752</v>
      </c>
      <c r="AE1870" s="145">
        <v>86.006</v>
      </c>
      <c r="AF1870" s="145">
        <v>0.17499999999999999</v>
      </c>
      <c r="AG1870" s="145">
        <v>0.30299999999999999</v>
      </c>
      <c r="AH1870" s="145">
        <v>0.19600000000000001</v>
      </c>
      <c r="AI1870" s="145" t="s">
        <v>400</v>
      </c>
      <c r="AJ1870" s="145">
        <v>19.315000000000001</v>
      </c>
      <c r="AK1870" s="145">
        <v>70.055999999999997</v>
      </c>
      <c r="AL1870" s="145">
        <v>1.518</v>
      </c>
      <c r="AM1870" s="145">
        <v>0.66300000000000003</v>
      </c>
    </row>
    <row r="1871" spans="1:39">
      <c r="A1871" s="143" t="s">
        <v>2931</v>
      </c>
      <c r="B1871" s="144">
        <v>100</v>
      </c>
      <c r="C1871" s="145">
        <v>203.179</v>
      </c>
      <c r="D1871" s="145">
        <v>13.96</v>
      </c>
      <c r="E1871" s="145">
        <v>12.457000000000001</v>
      </c>
      <c r="F1871" s="145">
        <v>4.8029999999999999</v>
      </c>
      <c r="G1871" s="145">
        <v>5.1420000000000003</v>
      </c>
      <c r="H1871" s="145">
        <v>1.258</v>
      </c>
      <c r="I1871" s="145">
        <v>1.129</v>
      </c>
      <c r="J1871" s="145">
        <v>8.8999999999999996E-2</v>
      </c>
      <c r="K1871" s="145">
        <v>77.230999999999995</v>
      </c>
      <c r="L1871" s="145">
        <v>8.266</v>
      </c>
      <c r="M1871" s="145">
        <v>0.65900000000000003</v>
      </c>
      <c r="N1871" s="145">
        <v>91.912999999999997</v>
      </c>
      <c r="O1871" s="145">
        <v>21.818999999999999</v>
      </c>
      <c r="P1871" s="145">
        <v>0.13400000000000001</v>
      </c>
      <c r="Q1871" s="145">
        <v>162.99700000000001</v>
      </c>
      <c r="R1871" s="145">
        <v>1.544</v>
      </c>
      <c r="S1871" s="145">
        <v>332.45100000000002</v>
      </c>
      <c r="T1871" s="145">
        <v>198.63900000000001</v>
      </c>
      <c r="U1871" s="145">
        <v>8.8999999999999996E-2</v>
      </c>
      <c r="V1871" s="145">
        <v>2.698</v>
      </c>
      <c r="W1871" s="145">
        <v>60.536000000000001</v>
      </c>
      <c r="X1871" s="145">
        <v>9.2999999999999999E-2</v>
      </c>
      <c r="Y1871" s="145">
        <v>0.24199999999999999</v>
      </c>
      <c r="Z1871" s="146">
        <v>0.14799999999999999</v>
      </c>
      <c r="AA1871" s="145">
        <v>2.4260000000000002</v>
      </c>
      <c r="AB1871" s="145">
        <v>0.78200000000000003</v>
      </c>
      <c r="AC1871" s="145">
        <v>4.2489999999999997</v>
      </c>
      <c r="AD1871" s="145">
        <v>1.093</v>
      </c>
      <c r="AE1871" s="145">
        <v>24.126999999999999</v>
      </c>
      <c r="AF1871" s="145">
        <v>0.57299999999999995</v>
      </c>
      <c r="AG1871" s="145">
        <v>1.0169999999999999</v>
      </c>
      <c r="AH1871" s="145">
        <v>0.76400000000000001</v>
      </c>
      <c r="AI1871" s="145" t="s">
        <v>400</v>
      </c>
      <c r="AJ1871" s="145">
        <v>13.677</v>
      </c>
      <c r="AK1871" s="145">
        <v>67.245999999999995</v>
      </c>
      <c r="AL1871" s="145">
        <v>1.7509999999999999</v>
      </c>
      <c r="AM1871" s="145" t="s">
        <v>400</v>
      </c>
    </row>
    <row r="1872" spans="1:39">
      <c r="A1872" s="143" t="s">
        <v>2932</v>
      </c>
      <c r="B1872" s="144">
        <v>100</v>
      </c>
      <c r="C1872" s="145">
        <v>284.72199999999998</v>
      </c>
      <c r="D1872" s="145">
        <v>13.742000000000001</v>
      </c>
      <c r="E1872" s="145">
        <v>12.214</v>
      </c>
      <c r="F1872" s="145">
        <v>5.1040000000000001</v>
      </c>
      <c r="G1872" s="145">
        <v>3.7469999999999999</v>
      </c>
      <c r="H1872" s="145">
        <v>2.464</v>
      </c>
      <c r="I1872" s="145">
        <v>2.149</v>
      </c>
      <c r="J1872" s="145">
        <v>0.28000000000000003</v>
      </c>
      <c r="K1872" s="145">
        <v>25.027999999999999</v>
      </c>
      <c r="L1872" s="145">
        <v>29.513999999999999</v>
      </c>
      <c r="M1872" s="145">
        <v>1.748</v>
      </c>
      <c r="N1872" s="145">
        <v>223.245</v>
      </c>
      <c r="O1872" s="145">
        <v>22.972999999999999</v>
      </c>
      <c r="P1872" s="145">
        <v>0.28799999999999998</v>
      </c>
      <c r="Q1872" s="145">
        <v>220.63499999999999</v>
      </c>
      <c r="R1872" s="145">
        <v>2.2970000000000002</v>
      </c>
      <c r="S1872" s="145">
        <v>762.04600000000005</v>
      </c>
      <c r="T1872" s="145">
        <v>207.60300000000001</v>
      </c>
      <c r="U1872" s="145">
        <v>0.113</v>
      </c>
      <c r="V1872" s="145">
        <v>1.462</v>
      </c>
      <c r="W1872" s="145">
        <v>36.756999999999998</v>
      </c>
      <c r="X1872" s="145">
        <v>0.34899999999999998</v>
      </c>
      <c r="Y1872" s="145">
        <v>0.34</v>
      </c>
      <c r="Z1872" s="146">
        <v>0.125</v>
      </c>
      <c r="AA1872" s="145">
        <v>3.278</v>
      </c>
      <c r="AB1872" s="145">
        <v>2.2599999999999998</v>
      </c>
      <c r="AC1872" s="145">
        <v>7.0759999999999996</v>
      </c>
      <c r="AD1872" s="145">
        <v>0.755</v>
      </c>
      <c r="AE1872" s="145">
        <v>92.960999999999999</v>
      </c>
      <c r="AF1872" s="145">
        <v>6.0999999999999999E-2</v>
      </c>
      <c r="AG1872" s="145">
        <v>0.80500000000000005</v>
      </c>
      <c r="AH1872" s="145">
        <v>0.14699999999999999</v>
      </c>
      <c r="AI1872" s="145" t="s">
        <v>400</v>
      </c>
      <c r="AJ1872" s="145">
        <v>17.434999999999999</v>
      </c>
      <c r="AK1872" s="145">
        <v>42.692999999999998</v>
      </c>
      <c r="AL1872" s="145">
        <v>2.1280000000000001</v>
      </c>
      <c r="AM1872" s="145">
        <v>0.44600000000000001</v>
      </c>
    </row>
    <row r="1873" spans="1:39">
      <c r="A1873" s="143" t="s">
        <v>2933</v>
      </c>
      <c r="B1873" s="144">
        <v>100</v>
      </c>
      <c r="C1873" s="145">
        <v>281.19799999999998</v>
      </c>
      <c r="D1873" s="145">
        <v>14.597</v>
      </c>
      <c r="E1873" s="145">
        <v>11.349</v>
      </c>
      <c r="F1873" s="145">
        <v>5.57</v>
      </c>
      <c r="G1873" s="145">
        <v>3.0150000000000001</v>
      </c>
      <c r="H1873" s="145">
        <v>2.1040000000000001</v>
      </c>
      <c r="I1873" s="145">
        <v>1.8180000000000001</v>
      </c>
      <c r="J1873" s="145">
        <v>0.28499999999999998</v>
      </c>
      <c r="K1873" s="145">
        <v>21.884</v>
      </c>
      <c r="L1873" s="145">
        <v>29.818999999999999</v>
      </c>
      <c r="M1873" s="145">
        <v>1.7390000000000001</v>
      </c>
      <c r="N1873" s="145">
        <v>308.76799999999997</v>
      </c>
      <c r="O1873" s="145">
        <v>24.059000000000001</v>
      </c>
      <c r="P1873" s="145">
        <v>0.28799999999999998</v>
      </c>
      <c r="Q1873" s="145">
        <v>264.19099999999997</v>
      </c>
      <c r="R1873" s="145">
        <v>2.161</v>
      </c>
      <c r="S1873" s="145">
        <v>736.75400000000002</v>
      </c>
      <c r="T1873" s="145">
        <v>184.62</v>
      </c>
      <c r="U1873" s="145">
        <v>0.106</v>
      </c>
      <c r="V1873" s="145">
        <v>1.5960000000000001</v>
      </c>
      <c r="W1873" s="145">
        <v>51.246000000000002</v>
      </c>
      <c r="X1873" s="145">
        <v>0.32600000000000001</v>
      </c>
      <c r="Y1873" s="145">
        <v>0.35499999999999998</v>
      </c>
      <c r="Z1873" s="146">
        <v>9.7000000000000003E-2</v>
      </c>
      <c r="AA1873" s="145">
        <v>2.5659999999999998</v>
      </c>
      <c r="AB1873" s="145">
        <v>2.1680000000000001</v>
      </c>
      <c r="AC1873" s="145">
        <v>7.2629999999999999</v>
      </c>
      <c r="AD1873" s="145">
        <v>0.89600000000000002</v>
      </c>
      <c r="AE1873" s="145">
        <v>93.332999999999998</v>
      </c>
      <c r="AF1873" s="145">
        <v>0.08</v>
      </c>
      <c r="AG1873" s="145">
        <v>0.78300000000000003</v>
      </c>
      <c r="AH1873" s="145">
        <v>0.183</v>
      </c>
      <c r="AI1873" s="145" t="s">
        <v>400</v>
      </c>
      <c r="AJ1873" s="145">
        <v>19.309000000000001</v>
      </c>
      <c r="AK1873" s="145">
        <v>57.591999999999999</v>
      </c>
      <c r="AL1873" s="145">
        <v>2.194</v>
      </c>
      <c r="AM1873" s="145">
        <v>0.443</v>
      </c>
    </row>
    <row r="1874" spans="1:39">
      <c r="A1874" s="143" t="s">
        <v>2934</v>
      </c>
      <c r="B1874" s="144">
        <v>100</v>
      </c>
      <c r="C1874" s="145">
        <v>284.72199999999998</v>
      </c>
      <c r="D1874" s="145">
        <v>13.742000000000001</v>
      </c>
      <c r="E1874" s="145">
        <v>12.214</v>
      </c>
      <c r="F1874" s="145">
        <v>5.1040000000000001</v>
      </c>
      <c r="G1874" s="145">
        <v>3.7469999999999999</v>
      </c>
      <c r="H1874" s="145">
        <v>2.464</v>
      </c>
      <c r="I1874" s="145">
        <v>2.149</v>
      </c>
      <c r="J1874" s="145">
        <v>0.28000000000000003</v>
      </c>
      <c r="K1874" s="145">
        <v>25.027999999999999</v>
      </c>
      <c r="L1874" s="145">
        <v>29.513999999999999</v>
      </c>
      <c r="M1874" s="145">
        <v>1.748</v>
      </c>
      <c r="N1874" s="145">
        <v>223.245</v>
      </c>
      <c r="O1874" s="145">
        <v>22.972999999999999</v>
      </c>
      <c r="P1874" s="145">
        <v>0.28799999999999998</v>
      </c>
      <c r="Q1874" s="145">
        <v>220.63499999999999</v>
      </c>
      <c r="R1874" s="145">
        <v>2.2970000000000002</v>
      </c>
      <c r="S1874" s="145">
        <v>762.04600000000005</v>
      </c>
      <c r="T1874" s="145">
        <v>207.60300000000001</v>
      </c>
      <c r="U1874" s="145">
        <v>0.113</v>
      </c>
      <c r="V1874" s="145">
        <v>1.462</v>
      </c>
      <c r="W1874" s="145">
        <v>36.756999999999998</v>
      </c>
      <c r="X1874" s="145">
        <v>0.34899999999999998</v>
      </c>
      <c r="Y1874" s="145">
        <v>0.34</v>
      </c>
      <c r="Z1874" s="146">
        <v>0.125</v>
      </c>
      <c r="AA1874" s="145">
        <v>3.278</v>
      </c>
      <c r="AB1874" s="145">
        <v>2.2599999999999998</v>
      </c>
      <c r="AC1874" s="145">
        <v>7.0759999999999996</v>
      </c>
      <c r="AD1874" s="145">
        <v>0.755</v>
      </c>
      <c r="AE1874" s="145">
        <v>92.960999999999999</v>
      </c>
      <c r="AF1874" s="145">
        <v>6.0999999999999999E-2</v>
      </c>
      <c r="AG1874" s="145">
        <v>0.80500000000000005</v>
      </c>
      <c r="AH1874" s="145">
        <v>0.14699999999999999</v>
      </c>
      <c r="AI1874" s="145" t="s">
        <v>400</v>
      </c>
      <c r="AJ1874" s="145">
        <v>17.434999999999999</v>
      </c>
      <c r="AK1874" s="145">
        <v>42.692999999999998</v>
      </c>
      <c r="AL1874" s="145">
        <v>2.1280000000000001</v>
      </c>
      <c r="AM1874" s="145">
        <v>0.44600000000000001</v>
      </c>
    </row>
    <row r="1875" spans="1:39">
      <c r="A1875" s="143" t="s">
        <v>2935</v>
      </c>
      <c r="B1875" s="144">
        <v>100</v>
      </c>
      <c r="C1875" s="145">
        <v>247.48699999999999</v>
      </c>
      <c r="D1875" s="145">
        <v>11.753</v>
      </c>
      <c r="E1875" s="145">
        <v>12.228999999999999</v>
      </c>
      <c r="F1875" s="145">
        <v>4.798</v>
      </c>
      <c r="G1875" s="145">
        <v>4.048</v>
      </c>
      <c r="H1875" s="145">
        <v>2.0230000000000001</v>
      </c>
      <c r="I1875" s="145">
        <v>1.7729999999999999</v>
      </c>
      <c r="J1875" s="145">
        <v>0.21199999999999999</v>
      </c>
      <c r="K1875" s="145">
        <v>26.193000000000001</v>
      </c>
      <c r="L1875" s="145">
        <v>22.402000000000001</v>
      </c>
      <c r="M1875" s="145">
        <v>1.5609999999999999</v>
      </c>
      <c r="N1875" s="145">
        <v>160.09899999999999</v>
      </c>
      <c r="O1875" s="145">
        <v>20.309999999999999</v>
      </c>
      <c r="P1875" s="145">
        <v>0.28199999999999997</v>
      </c>
      <c r="Q1875" s="145">
        <v>176.50899999999999</v>
      </c>
      <c r="R1875" s="145">
        <v>1.865</v>
      </c>
      <c r="S1875" s="145">
        <v>668.21500000000003</v>
      </c>
      <c r="T1875" s="145">
        <v>214.72300000000001</v>
      </c>
      <c r="U1875" s="145">
        <v>0.12</v>
      </c>
      <c r="V1875" s="145">
        <v>1.2889999999999999</v>
      </c>
      <c r="W1875" s="145">
        <v>25.495999999999999</v>
      </c>
      <c r="X1875" s="145">
        <v>0.28499999999999998</v>
      </c>
      <c r="Y1875" s="145">
        <v>0.27900000000000003</v>
      </c>
      <c r="Z1875" s="146">
        <v>0.158</v>
      </c>
      <c r="AA1875" s="145">
        <v>2.8919999999999999</v>
      </c>
      <c r="AB1875" s="145">
        <v>10.218</v>
      </c>
      <c r="AC1875" s="145">
        <v>5.9779999999999998</v>
      </c>
      <c r="AD1875" s="145">
        <v>0.67</v>
      </c>
      <c r="AE1875" s="145">
        <v>68.768000000000001</v>
      </c>
      <c r="AF1875" s="145">
        <v>0.08</v>
      </c>
      <c r="AG1875" s="145">
        <v>0.61299999999999999</v>
      </c>
      <c r="AH1875" s="145">
        <v>0.23899999999999999</v>
      </c>
      <c r="AI1875" s="145" t="s">
        <v>400</v>
      </c>
      <c r="AJ1875" s="145">
        <v>15.557</v>
      </c>
      <c r="AK1875" s="145">
        <v>32.113999999999997</v>
      </c>
      <c r="AL1875" s="145">
        <v>2.306</v>
      </c>
      <c r="AM1875" s="145">
        <v>0.309</v>
      </c>
    </row>
    <row r="1876" spans="1:39">
      <c r="A1876" s="143" t="s">
        <v>2936</v>
      </c>
      <c r="B1876" s="144">
        <v>100</v>
      </c>
      <c r="C1876" s="145">
        <v>120.586</v>
      </c>
      <c r="D1876" s="145">
        <v>6.2229999999999999</v>
      </c>
      <c r="E1876" s="145">
        <v>2.7869999999999999</v>
      </c>
      <c r="F1876" s="145">
        <v>0.74199999999999999</v>
      </c>
      <c r="G1876" s="145">
        <v>0.82699999999999996</v>
      </c>
      <c r="H1876" s="145">
        <v>0.82799999999999996</v>
      </c>
      <c r="I1876" s="145">
        <v>0.73099999999999998</v>
      </c>
      <c r="J1876" s="145">
        <v>9.0999999999999998E-2</v>
      </c>
      <c r="K1876" s="145">
        <v>9.4309999999999992</v>
      </c>
      <c r="L1876" s="145">
        <v>17.417999999999999</v>
      </c>
      <c r="M1876" s="145">
        <v>1.25</v>
      </c>
      <c r="N1876" s="145">
        <v>12.244</v>
      </c>
      <c r="O1876" s="145">
        <v>15.385</v>
      </c>
      <c r="P1876" s="145">
        <v>0.21</v>
      </c>
      <c r="Q1876" s="145">
        <v>61.222999999999999</v>
      </c>
      <c r="R1876" s="145">
        <v>1.3380000000000001</v>
      </c>
      <c r="S1876" s="145">
        <v>82.207999999999998</v>
      </c>
      <c r="T1876" s="145">
        <v>137.203</v>
      </c>
      <c r="U1876" s="145">
        <v>8.7999999999999995E-2</v>
      </c>
      <c r="V1876" s="145">
        <v>1.054</v>
      </c>
      <c r="W1876" s="145" t="s">
        <v>400</v>
      </c>
      <c r="X1876" s="145">
        <v>0.156</v>
      </c>
      <c r="Y1876" s="145">
        <v>9.6000000000000002E-2</v>
      </c>
      <c r="Z1876" s="145">
        <v>9.4E-2</v>
      </c>
      <c r="AA1876" s="145">
        <v>1.6140000000000001</v>
      </c>
      <c r="AB1876" s="145">
        <v>8.9369999999999994</v>
      </c>
      <c r="AC1876" s="145">
        <v>2.6419999999999999</v>
      </c>
      <c r="AD1876" s="145">
        <v>0.27400000000000002</v>
      </c>
      <c r="AE1876" s="145">
        <v>69.108999999999995</v>
      </c>
      <c r="AF1876" s="145">
        <v>4.9000000000000002E-2</v>
      </c>
      <c r="AG1876" s="145">
        <v>0.34100000000000003</v>
      </c>
      <c r="AH1876" s="145">
        <v>8.1000000000000003E-2</v>
      </c>
      <c r="AI1876" s="145" t="s">
        <v>400</v>
      </c>
      <c r="AJ1876" s="145">
        <v>16.280999999999999</v>
      </c>
      <c r="AK1876" s="145">
        <v>12.706</v>
      </c>
      <c r="AL1876" s="145">
        <v>1.403</v>
      </c>
      <c r="AM1876" s="145">
        <v>0.16</v>
      </c>
    </row>
    <row r="1877" spans="1:39">
      <c r="A1877" s="143" t="s">
        <v>2937</v>
      </c>
      <c r="B1877" s="144">
        <v>100</v>
      </c>
      <c r="C1877" s="145">
        <v>261.65899999999999</v>
      </c>
      <c r="D1877" s="145">
        <v>27.3</v>
      </c>
      <c r="E1877" s="145">
        <v>16.163</v>
      </c>
      <c r="F1877" s="145">
        <v>4.1909999999999998</v>
      </c>
      <c r="G1877" s="145">
        <v>5.9240000000000004</v>
      </c>
      <c r="H1877" s="145">
        <v>4.45</v>
      </c>
      <c r="I1877" s="145">
        <v>3.8759999999999999</v>
      </c>
      <c r="J1877" s="145">
        <v>0.28399999999999997</v>
      </c>
      <c r="K1877" s="145">
        <v>88</v>
      </c>
      <c r="L1877" s="145" t="s">
        <v>400</v>
      </c>
      <c r="M1877" s="145" t="s">
        <v>400</v>
      </c>
      <c r="N1877" s="145">
        <v>15</v>
      </c>
      <c r="O1877" s="145">
        <v>23</v>
      </c>
      <c r="P1877" s="145">
        <v>0.02</v>
      </c>
      <c r="Q1877" s="145">
        <v>182</v>
      </c>
      <c r="R1877" s="145">
        <v>1.2609999999999999</v>
      </c>
      <c r="S1877" s="145">
        <v>82</v>
      </c>
      <c r="T1877" s="145">
        <v>223</v>
      </c>
      <c r="U1877" s="145">
        <v>6.6000000000000003E-2</v>
      </c>
      <c r="V1877" s="145">
        <v>1.94</v>
      </c>
      <c r="W1877" s="145">
        <v>48</v>
      </c>
      <c r="X1877" s="145">
        <v>6.3E-2</v>
      </c>
      <c r="Y1877" s="145">
        <v>0.16800000000000001</v>
      </c>
      <c r="Z1877" s="146">
        <v>0.4</v>
      </c>
      <c r="AA1877" s="145">
        <v>8.4870000000000001</v>
      </c>
      <c r="AB1877" s="145" t="s">
        <v>400</v>
      </c>
      <c r="AC1877" s="145">
        <v>13.57</v>
      </c>
      <c r="AD1877" s="145">
        <v>0.3</v>
      </c>
      <c r="AE1877" s="145">
        <v>5</v>
      </c>
      <c r="AF1877" s="145">
        <v>0.3</v>
      </c>
      <c r="AG1877" s="145">
        <v>0.48</v>
      </c>
      <c r="AH1877" s="145">
        <v>0.46400000000000002</v>
      </c>
      <c r="AI1877" s="145">
        <v>333</v>
      </c>
      <c r="AJ1877" s="145">
        <v>25.074999999999999</v>
      </c>
      <c r="AK1877" s="145">
        <v>48</v>
      </c>
      <c r="AL1877" s="145" t="s">
        <v>400</v>
      </c>
      <c r="AM1877" s="145" t="s">
        <v>400</v>
      </c>
    </row>
    <row r="1878" spans="1:39">
      <c r="A1878" s="143" t="s">
        <v>2938</v>
      </c>
      <c r="B1878" s="144">
        <v>100</v>
      </c>
      <c r="C1878" s="145">
        <v>365</v>
      </c>
      <c r="D1878" s="145">
        <v>22.6</v>
      </c>
      <c r="E1878" s="145">
        <v>29.79</v>
      </c>
      <c r="F1878" s="145">
        <v>12.01</v>
      </c>
      <c r="G1878" s="145">
        <v>12.8</v>
      </c>
      <c r="H1878" s="145">
        <v>1.05</v>
      </c>
      <c r="I1878" s="145">
        <v>0.7</v>
      </c>
      <c r="J1878" s="145">
        <v>0.33</v>
      </c>
      <c r="K1878" s="145">
        <v>84</v>
      </c>
      <c r="L1878" s="145" t="s">
        <v>400</v>
      </c>
      <c r="M1878" s="145" t="s">
        <v>400</v>
      </c>
      <c r="N1878" s="145">
        <v>11</v>
      </c>
      <c r="O1878" s="145">
        <v>20</v>
      </c>
      <c r="P1878" s="145">
        <v>1.2999999999999999E-2</v>
      </c>
      <c r="Q1878" s="145">
        <v>176</v>
      </c>
      <c r="R1878" s="145">
        <v>2.35</v>
      </c>
      <c r="S1878" s="145">
        <v>64</v>
      </c>
      <c r="T1878" s="145">
        <v>302</v>
      </c>
      <c r="U1878" s="145">
        <v>8.4000000000000005E-2</v>
      </c>
      <c r="V1878" s="145">
        <v>5.4</v>
      </c>
      <c r="W1878" s="145" t="s">
        <v>400</v>
      </c>
      <c r="X1878" s="145">
        <v>7.0000000000000007E-2</v>
      </c>
      <c r="Y1878" s="145">
        <v>0.17</v>
      </c>
      <c r="Z1878" s="146">
        <v>0.23</v>
      </c>
      <c r="AA1878" s="145">
        <v>3.43</v>
      </c>
      <c r="AB1878" s="145" t="s">
        <v>400</v>
      </c>
      <c r="AC1878" s="145">
        <v>7.6470000000000002</v>
      </c>
      <c r="AD1878" s="145">
        <v>2.5499999999999998</v>
      </c>
      <c r="AE1878" s="145">
        <v>7</v>
      </c>
      <c r="AF1878" s="145">
        <v>0.6</v>
      </c>
      <c r="AG1878" s="145">
        <v>0.24</v>
      </c>
      <c r="AH1878" s="145">
        <v>1.35</v>
      </c>
      <c r="AI1878" s="145">
        <v>333</v>
      </c>
      <c r="AJ1878" s="145">
        <v>22.4</v>
      </c>
      <c r="AK1878" s="145" t="s">
        <v>400</v>
      </c>
      <c r="AL1878" s="145" t="s">
        <v>400</v>
      </c>
      <c r="AM1878" s="145" t="s">
        <v>400</v>
      </c>
    </row>
    <row r="1879" spans="1:39">
      <c r="A1879" s="143" t="s">
        <v>2939</v>
      </c>
      <c r="B1879" s="144">
        <v>100</v>
      </c>
      <c r="C1879" s="145">
        <v>468.154</v>
      </c>
      <c r="D1879" s="145">
        <v>6.5919999999999996</v>
      </c>
      <c r="E1879" s="145">
        <v>23.277000000000001</v>
      </c>
      <c r="F1879" s="145">
        <v>5.3879999999999999</v>
      </c>
      <c r="G1879" s="145">
        <v>12.228999999999999</v>
      </c>
      <c r="H1879" s="145">
        <v>4.3710000000000004</v>
      </c>
      <c r="I1879" s="145">
        <v>4.2510000000000003</v>
      </c>
      <c r="J1879" s="145">
        <v>0.11899999999999999</v>
      </c>
      <c r="K1879" s="145">
        <v>4.0179999999999998</v>
      </c>
      <c r="L1879" s="145">
        <v>62.512</v>
      </c>
      <c r="M1879" s="145">
        <v>6.0220000000000002</v>
      </c>
      <c r="N1879" s="145">
        <v>8.6620000000000008</v>
      </c>
      <c r="O1879" s="145">
        <v>66.932000000000002</v>
      </c>
      <c r="P1879" s="145">
        <v>0.56999999999999995</v>
      </c>
      <c r="Q1879" s="145">
        <v>160.88200000000001</v>
      </c>
      <c r="R1879" s="145">
        <v>1.3680000000000001</v>
      </c>
      <c r="S1879" s="145">
        <v>505.54399999999998</v>
      </c>
      <c r="T1879" s="145">
        <v>172.50800000000001</v>
      </c>
      <c r="U1879" s="145">
        <v>0.14799999999999999</v>
      </c>
      <c r="V1879" s="145">
        <v>1.4319999999999999</v>
      </c>
      <c r="W1879" s="145">
        <v>17.419</v>
      </c>
      <c r="X1879" s="145">
        <v>7.4999999999999997E-2</v>
      </c>
      <c r="Y1879" s="145">
        <v>4.3999999999999997E-2</v>
      </c>
      <c r="Z1879" s="146">
        <v>7.8E-2</v>
      </c>
      <c r="AA1879" s="145">
        <v>1.8460000000000001</v>
      </c>
      <c r="AB1879" s="145">
        <v>1E-3</v>
      </c>
      <c r="AC1879" s="145">
        <v>2.66</v>
      </c>
      <c r="AD1879" s="145">
        <v>4.0000000000000001E-3</v>
      </c>
      <c r="AE1879" s="145">
        <v>22.19</v>
      </c>
      <c r="AF1879" s="145">
        <v>2.5999999999999999E-2</v>
      </c>
      <c r="AG1879" s="145">
        <v>1.8120000000000001</v>
      </c>
      <c r="AH1879" s="145">
        <v>4.8339999999999996</v>
      </c>
      <c r="AI1879" s="145" t="s">
        <v>400</v>
      </c>
      <c r="AJ1879" s="145">
        <v>1.0429999999999999</v>
      </c>
      <c r="AK1879" s="145">
        <v>21.597000000000001</v>
      </c>
      <c r="AL1879" s="145">
        <v>29.5</v>
      </c>
      <c r="AM1879" s="145">
        <v>31.706</v>
      </c>
    </row>
    <row r="1880" spans="1:39">
      <c r="A1880" s="143" t="s">
        <v>2940</v>
      </c>
      <c r="B1880" s="144">
        <v>100</v>
      </c>
      <c r="C1880" s="145">
        <v>1.0009999999999999</v>
      </c>
      <c r="D1880" s="145">
        <v>0.12</v>
      </c>
      <c r="E1880" s="145">
        <v>0.02</v>
      </c>
      <c r="F1880" s="145">
        <v>2E-3</v>
      </c>
      <c r="G1880" s="145">
        <v>1.4999999999999999E-2</v>
      </c>
      <c r="H1880" s="145">
        <v>1E-3</v>
      </c>
      <c r="I1880" s="145">
        <v>1E-3</v>
      </c>
      <c r="J1880" s="145" t="s">
        <v>400</v>
      </c>
      <c r="K1880" s="145" t="s">
        <v>400</v>
      </c>
      <c r="L1880" s="145">
        <v>0.47</v>
      </c>
      <c r="M1880" s="145">
        <v>0.47</v>
      </c>
      <c r="N1880" s="145">
        <v>2.0019999999999998</v>
      </c>
      <c r="O1880" s="145">
        <v>3.0030000000000001</v>
      </c>
      <c r="P1880" s="145">
        <v>2.3E-2</v>
      </c>
      <c r="Q1880" s="145">
        <v>3.0030000000000001</v>
      </c>
      <c r="R1880" s="145">
        <v>0.01</v>
      </c>
      <c r="S1880" s="145">
        <v>2.0019999999999998</v>
      </c>
      <c r="T1880" s="145">
        <v>49.045000000000002</v>
      </c>
      <c r="U1880" s="145">
        <v>2E-3</v>
      </c>
      <c r="V1880" s="145">
        <v>0.02</v>
      </c>
      <c r="W1880" s="145" t="s">
        <v>400</v>
      </c>
      <c r="X1880" s="145">
        <v>1.4E-2</v>
      </c>
      <c r="Y1880" s="145">
        <v>7.5999999999999998E-2</v>
      </c>
      <c r="Z1880" s="146">
        <v>1E-3</v>
      </c>
      <c r="AA1880" s="145">
        <v>0.191</v>
      </c>
      <c r="AB1880" s="145" t="s">
        <v>400</v>
      </c>
      <c r="AC1880" s="145">
        <v>0.191</v>
      </c>
      <c r="AD1880" s="145" t="s">
        <v>400</v>
      </c>
      <c r="AE1880" s="145">
        <v>2.0019999999999998</v>
      </c>
      <c r="AF1880" s="145" t="s">
        <v>400</v>
      </c>
      <c r="AG1880" s="145">
        <v>0.01</v>
      </c>
      <c r="AH1880" s="145" t="s">
        <v>400</v>
      </c>
      <c r="AI1880" s="145" t="s">
        <v>400</v>
      </c>
      <c r="AJ1880" s="145" t="s">
        <v>400</v>
      </c>
      <c r="AK1880" s="145" t="s">
        <v>400</v>
      </c>
      <c r="AL1880" s="145" t="s">
        <v>400</v>
      </c>
      <c r="AM1880" s="145" t="s">
        <v>400</v>
      </c>
    </row>
    <row r="1881" spans="1:39">
      <c r="A1881" s="143" t="s">
        <v>2941</v>
      </c>
      <c r="B1881" s="144">
        <v>100</v>
      </c>
      <c r="C1881" s="145">
        <v>31.440999999999999</v>
      </c>
      <c r="D1881" s="145">
        <v>1.7210000000000001</v>
      </c>
      <c r="E1881" s="145">
        <v>1.6859999999999999</v>
      </c>
      <c r="F1881" s="145">
        <v>0.96299999999999997</v>
      </c>
      <c r="G1881" s="145">
        <v>0.42599999999999999</v>
      </c>
      <c r="H1881" s="145">
        <v>0.10100000000000001</v>
      </c>
      <c r="I1881" s="145">
        <v>6.2E-2</v>
      </c>
      <c r="J1881" s="145">
        <v>3.9E-2</v>
      </c>
      <c r="K1881" s="145">
        <v>5.157</v>
      </c>
      <c r="L1881" s="145">
        <v>2.5659999999999998</v>
      </c>
      <c r="M1881" s="145">
        <v>0.23499999999999999</v>
      </c>
      <c r="N1881" s="145">
        <v>59.273000000000003</v>
      </c>
      <c r="O1881" s="145">
        <v>6.6580000000000004</v>
      </c>
      <c r="P1881" s="145">
        <v>1.2999999999999999E-2</v>
      </c>
      <c r="Q1881" s="145">
        <v>48.427999999999997</v>
      </c>
      <c r="R1881" s="145">
        <v>0.02</v>
      </c>
      <c r="S1881" s="145">
        <v>21.628</v>
      </c>
      <c r="T1881" s="145">
        <v>98.265000000000001</v>
      </c>
      <c r="U1881" s="145">
        <v>7.0000000000000001E-3</v>
      </c>
      <c r="V1881" s="145">
        <v>0.216</v>
      </c>
      <c r="W1881" s="145">
        <v>14.439</v>
      </c>
      <c r="X1881" s="145">
        <v>0.03</v>
      </c>
      <c r="Y1881" s="145">
        <v>0.13200000000000001</v>
      </c>
      <c r="Z1881" s="146">
        <v>1.9E-2</v>
      </c>
      <c r="AA1881" s="145">
        <v>0.151</v>
      </c>
      <c r="AB1881" s="145" t="s">
        <v>400</v>
      </c>
      <c r="AC1881" s="145">
        <v>0.79500000000000004</v>
      </c>
      <c r="AD1881" s="145">
        <v>0.22700000000000001</v>
      </c>
      <c r="AE1881" s="145">
        <v>3.5790000000000002</v>
      </c>
      <c r="AF1881" s="145">
        <v>0.51600000000000001</v>
      </c>
      <c r="AG1881" s="145">
        <v>3.5999999999999997E-2</v>
      </c>
      <c r="AH1881" s="145">
        <v>0.06</v>
      </c>
      <c r="AI1881" s="145" t="s">
        <v>400</v>
      </c>
      <c r="AJ1881" s="145">
        <v>1.9079999999999999</v>
      </c>
      <c r="AK1881" s="145">
        <v>14.654</v>
      </c>
      <c r="AL1881" s="145">
        <v>2.7120000000000002</v>
      </c>
      <c r="AM1881" s="145" t="s">
        <v>400</v>
      </c>
    </row>
    <row r="1882" spans="1:39">
      <c r="A1882" s="143" t="s">
        <v>2942</v>
      </c>
      <c r="B1882" s="144">
        <v>100</v>
      </c>
      <c r="C1882" s="145">
        <v>2.4449999999999998</v>
      </c>
      <c r="D1882" s="145">
        <v>0.124</v>
      </c>
      <c r="E1882" s="145">
        <v>5.0000000000000001E-3</v>
      </c>
      <c r="F1882" s="145">
        <v>2E-3</v>
      </c>
      <c r="G1882" s="145" t="s">
        <v>400</v>
      </c>
      <c r="H1882" s="145">
        <v>2E-3</v>
      </c>
      <c r="I1882" s="145">
        <v>2E-3</v>
      </c>
      <c r="J1882" s="145" t="s">
        <v>400</v>
      </c>
      <c r="K1882" s="145" t="s">
        <v>400</v>
      </c>
      <c r="L1882" s="145">
        <v>0.76500000000000001</v>
      </c>
      <c r="M1882" s="145">
        <v>0.20499999999999999</v>
      </c>
      <c r="N1882" s="145">
        <v>4.4359999999999999</v>
      </c>
      <c r="O1882" s="145">
        <v>4.319</v>
      </c>
      <c r="P1882" s="145">
        <v>1.7000000000000001E-2</v>
      </c>
      <c r="Q1882" s="145">
        <v>3.0739999999999998</v>
      </c>
      <c r="R1882" s="145">
        <v>4.4999999999999998E-2</v>
      </c>
      <c r="S1882" s="145">
        <v>4.3819999999999997</v>
      </c>
      <c r="T1882" s="145">
        <v>35.860999999999997</v>
      </c>
      <c r="U1882" s="145">
        <v>1.0999999999999999E-2</v>
      </c>
      <c r="V1882" s="145">
        <v>1.4E-2</v>
      </c>
      <c r="W1882" s="145" t="s">
        <v>400</v>
      </c>
      <c r="X1882" s="145" t="s">
        <v>400</v>
      </c>
      <c r="Y1882" s="145">
        <v>1E-3</v>
      </c>
      <c r="Z1882" s="146" t="s">
        <v>400</v>
      </c>
      <c r="AA1882" s="145">
        <v>0.28599999999999998</v>
      </c>
      <c r="AB1882" s="145" t="s">
        <v>400</v>
      </c>
      <c r="AC1882" s="145">
        <v>0.29099999999999998</v>
      </c>
      <c r="AD1882" s="145" t="s">
        <v>400</v>
      </c>
      <c r="AE1882" s="145" t="s">
        <v>400</v>
      </c>
      <c r="AF1882" s="145" t="s">
        <v>400</v>
      </c>
      <c r="AG1882" s="145">
        <v>2.4E-2</v>
      </c>
      <c r="AH1882" s="145" t="s">
        <v>400</v>
      </c>
      <c r="AI1882" s="145" t="s">
        <v>400</v>
      </c>
      <c r="AJ1882" s="145">
        <v>0.128</v>
      </c>
      <c r="AK1882" s="145" t="s">
        <v>400</v>
      </c>
      <c r="AL1882" s="145">
        <v>5.0000000000000001E-3</v>
      </c>
      <c r="AM1882" s="145" t="s">
        <v>400</v>
      </c>
    </row>
    <row r="1883" spans="1:39">
      <c r="A1883" s="143" t="s">
        <v>2943</v>
      </c>
      <c r="B1883" s="144">
        <v>100</v>
      </c>
      <c r="C1883" s="145">
        <v>27.707000000000001</v>
      </c>
      <c r="D1883" s="145">
        <v>0.255</v>
      </c>
      <c r="E1883" s="145">
        <v>0.84299999999999997</v>
      </c>
      <c r="F1883" s="145">
        <v>0.78800000000000003</v>
      </c>
      <c r="G1883" s="145">
        <v>3.0000000000000001E-3</v>
      </c>
      <c r="H1883" s="145">
        <v>1E-3</v>
      </c>
      <c r="I1883" s="145">
        <v>1E-3</v>
      </c>
      <c r="J1883" s="145" t="s">
        <v>400</v>
      </c>
      <c r="K1883" s="145" t="s">
        <v>400</v>
      </c>
      <c r="L1883" s="145">
        <v>5.1660000000000004</v>
      </c>
      <c r="M1883" s="145">
        <v>0.13</v>
      </c>
      <c r="N1883" s="145">
        <v>4.0510000000000002</v>
      </c>
      <c r="O1883" s="145">
        <v>3.1150000000000002</v>
      </c>
      <c r="P1883" s="145">
        <v>1.0999999999999999E-2</v>
      </c>
      <c r="Q1883" s="145">
        <v>1.9570000000000001</v>
      </c>
      <c r="R1883" s="145">
        <v>0.03</v>
      </c>
      <c r="S1883" s="145">
        <v>50.095999999999997</v>
      </c>
      <c r="T1883" s="145">
        <v>22.940999999999999</v>
      </c>
      <c r="U1883" s="145">
        <v>1.0999999999999999E-2</v>
      </c>
      <c r="V1883" s="145">
        <v>1.6E-2</v>
      </c>
      <c r="W1883" s="145" t="s">
        <v>400</v>
      </c>
      <c r="X1883" s="145">
        <v>1E-3</v>
      </c>
      <c r="Y1883" s="145">
        <v>1E-3</v>
      </c>
      <c r="Z1883" s="146" t="s">
        <v>400</v>
      </c>
      <c r="AA1883" s="145">
        <v>0.182</v>
      </c>
      <c r="AB1883" s="145" t="s">
        <v>400</v>
      </c>
      <c r="AC1883" s="145">
        <v>0.221</v>
      </c>
      <c r="AD1883" s="145" t="s">
        <v>400</v>
      </c>
      <c r="AE1883" s="145" t="s">
        <v>400</v>
      </c>
      <c r="AF1883" s="145" t="s">
        <v>400</v>
      </c>
      <c r="AG1883" s="145">
        <v>1.6E-2</v>
      </c>
      <c r="AH1883" s="145">
        <v>2E-3</v>
      </c>
      <c r="AI1883" s="145" t="s">
        <v>400</v>
      </c>
      <c r="AJ1883" s="145">
        <v>0.111</v>
      </c>
      <c r="AK1883" s="145" t="s">
        <v>400</v>
      </c>
      <c r="AL1883" s="145">
        <v>4.3520000000000003</v>
      </c>
      <c r="AM1883" s="145">
        <v>4.67</v>
      </c>
    </row>
    <row r="1884" spans="1:39">
      <c r="A1884" s="143" t="s">
        <v>2944</v>
      </c>
      <c r="B1884" s="144">
        <v>100</v>
      </c>
      <c r="C1884" s="145">
        <v>160.14099999999999</v>
      </c>
      <c r="D1884" s="145">
        <v>3.32</v>
      </c>
      <c r="E1884" s="145">
        <v>7.1779999999999999</v>
      </c>
      <c r="F1884" s="145">
        <v>1.1200000000000001</v>
      </c>
      <c r="G1884" s="145">
        <v>1.718</v>
      </c>
      <c r="H1884" s="145">
        <v>4.0090000000000003</v>
      </c>
      <c r="I1884" s="145">
        <v>3.5910000000000002</v>
      </c>
      <c r="J1884" s="145">
        <v>0.41799999999999998</v>
      </c>
      <c r="K1884" s="145" t="s">
        <v>400</v>
      </c>
      <c r="L1884" s="145">
        <v>25.11</v>
      </c>
      <c r="M1884" s="145">
        <v>4.25</v>
      </c>
      <c r="N1884" s="145">
        <v>3.1520000000000001</v>
      </c>
      <c r="O1884" s="145">
        <v>26.006</v>
      </c>
      <c r="P1884" s="145">
        <v>0.159</v>
      </c>
      <c r="Q1884" s="145">
        <v>75</v>
      </c>
      <c r="R1884" s="145">
        <v>0.44500000000000001</v>
      </c>
      <c r="S1884" s="145">
        <v>244.964</v>
      </c>
      <c r="T1884" s="145">
        <v>212.05099999999999</v>
      </c>
      <c r="U1884" s="145">
        <v>4.7E-2</v>
      </c>
      <c r="V1884" s="145">
        <v>0.61099999999999999</v>
      </c>
      <c r="W1884" s="145" t="s">
        <v>400</v>
      </c>
      <c r="X1884" s="145">
        <v>0.215</v>
      </c>
      <c r="Y1884" s="145">
        <v>7.1999999999999995E-2</v>
      </c>
      <c r="Z1884" s="146">
        <v>0.06</v>
      </c>
      <c r="AA1884" s="145">
        <v>1.6140000000000001</v>
      </c>
      <c r="AB1884" s="145">
        <v>6.2</v>
      </c>
      <c r="AC1884" s="145">
        <v>1.9970000000000001</v>
      </c>
      <c r="AD1884" s="145" t="s">
        <v>400</v>
      </c>
      <c r="AE1884" s="145">
        <v>46</v>
      </c>
      <c r="AF1884" s="145" t="s">
        <v>400</v>
      </c>
      <c r="AG1884" s="145">
        <v>0.57199999999999995</v>
      </c>
      <c r="AH1884" s="145">
        <v>3.1E-2</v>
      </c>
      <c r="AI1884" s="145">
        <v>245</v>
      </c>
      <c r="AJ1884" s="145">
        <v>2.9039999999999999</v>
      </c>
      <c r="AK1884" s="145">
        <v>13.167</v>
      </c>
      <c r="AL1884" s="145">
        <v>3.16</v>
      </c>
      <c r="AM1884" s="145" t="s">
        <v>400</v>
      </c>
    </row>
    <row r="1885" spans="1:39">
      <c r="A1885" s="143" t="s">
        <v>2945</v>
      </c>
      <c r="B1885" s="144">
        <v>100</v>
      </c>
      <c r="C1885" s="145">
        <v>263.5</v>
      </c>
      <c r="D1885" s="145">
        <v>2.871</v>
      </c>
      <c r="E1885" s="145">
        <v>13.64</v>
      </c>
      <c r="F1885" s="145">
        <v>2.1520000000000001</v>
      </c>
      <c r="G1885" s="145">
        <v>3.073</v>
      </c>
      <c r="H1885" s="145">
        <v>7.851</v>
      </c>
      <c r="I1885" s="145">
        <v>6.9180000000000001</v>
      </c>
      <c r="J1885" s="145">
        <v>0.93100000000000005</v>
      </c>
      <c r="K1885" s="145" t="s">
        <v>400</v>
      </c>
      <c r="L1885" s="145">
        <v>33.6</v>
      </c>
      <c r="M1885" s="145">
        <v>3.4420000000000002</v>
      </c>
      <c r="N1885" s="145">
        <v>13.433</v>
      </c>
      <c r="O1885" s="145">
        <v>33.582999999999998</v>
      </c>
      <c r="P1885" s="145">
        <v>0.23499999999999999</v>
      </c>
      <c r="Q1885" s="145">
        <v>67.165999999999997</v>
      </c>
      <c r="R1885" s="145">
        <v>0.52700000000000002</v>
      </c>
      <c r="S1885" s="145">
        <v>8.3960000000000008</v>
      </c>
      <c r="T1885" s="145">
        <v>550.76400000000001</v>
      </c>
      <c r="U1885" s="145">
        <v>0.28000000000000003</v>
      </c>
      <c r="V1885" s="145">
        <v>0.45500000000000002</v>
      </c>
      <c r="W1885" s="145" t="s">
        <v>400</v>
      </c>
      <c r="X1885" s="145">
        <v>0.16500000000000001</v>
      </c>
      <c r="Y1885" s="145">
        <v>3.2000000000000001E-2</v>
      </c>
      <c r="Z1885" s="146">
        <v>0.45200000000000001</v>
      </c>
      <c r="AA1885" s="145">
        <v>2.2029999999999998</v>
      </c>
      <c r="AB1885" s="145">
        <v>12.426</v>
      </c>
      <c r="AC1885" s="145">
        <v>2.9590000000000001</v>
      </c>
      <c r="AD1885" s="145" t="s">
        <v>400</v>
      </c>
      <c r="AE1885" s="145">
        <v>15.112</v>
      </c>
      <c r="AF1885" s="145" t="s">
        <v>400</v>
      </c>
      <c r="AG1885" s="145">
        <v>1.2030000000000001</v>
      </c>
      <c r="AH1885" s="145">
        <v>7.1999999999999995E-2</v>
      </c>
      <c r="AI1885" s="145">
        <v>380</v>
      </c>
      <c r="AJ1885" s="145">
        <v>6.6779999999999999</v>
      </c>
      <c r="AK1885" s="145">
        <v>0.28000000000000003</v>
      </c>
      <c r="AL1885" s="145">
        <v>1.444</v>
      </c>
      <c r="AM1885" s="145" t="s">
        <v>400</v>
      </c>
    </row>
    <row r="1886" spans="1:39">
      <c r="A1886" s="143" t="s">
        <v>2946</v>
      </c>
      <c r="B1886" s="144">
        <v>100</v>
      </c>
      <c r="C1886" s="145">
        <v>545.70299999999997</v>
      </c>
      <c r="D1886" s="145">
        <v>5.2409999999999997</v>
      </c>
      <c r="E1886" s="145">
        <v>35.244</v>
      </c>
      <c r="F1886" s="145">
        <v>5.55</v>
      </c>
      <c r="G1886" s="145">
        <v>7.9580000000000002</v>
      </c>
      <c r="H1886" s="145">
        <v>20.303000000000001</v>
      </c>
      <c r="I1886" s="145">
        <v>17.896999999999998</v>
      </c>
      <c r="J1886" s="145">
        <v>2.4060000000000001</v>
      </c>
      <c r="K1886" s="145" t="s">
        <v>400</v>
      </c>
      <c r="L1886" s="145">
        <v>54.521000000000001</v>
      </c>
      <c r="M1886" s="145">
        <v>4.5270000000000001</v>
      </c>
      <c r="N1886" s="145">
        <v>26.55</v>
      </c>
      <c r="O1886" s="145">
        <v>62.502000000000002</v>
      </c>
      <c r="P1886" s="145">
        <v>0.71599999999999997</v>
      </c>
      <c r="Q1886" s="145">
        <v>156.21199999999999</v>
      </c>
      <c r="R1886" s="145">
        <v>0.71799999999999997</v>
      </c>
      <c r="S1886" s="145">
        <v>701.60500000000002</v>
      </c>
      <c r="T1886" s="145">
        <v>448.36900000000003</v>
      </c>
      <c r="U1886" s="145">
        <v>6.6000000000000003E-2</v>
      </c>
      <c r="V1886" s="145">
        <v>0.58499999999999996</v>
      </c>
      <c r="W1886" s="145" t="s">
        <v>400</v>
      </c>
      <c r="X1886" s="145">
        <v>0.28899999999999998</v>
      </c>
      <c r="Y1886" s="145">
        <v>0.161</v>
      </c>
      <c r="Z1886" s="145">
        <v>0.54900000000000004</v>
      </c>
      <c r="AA1886" s="145">
        <v>3.0379999999999998</v>
      </c>
      <c r="AB1886" s="145">
        <v>23.591000000000001</v>
      </c>
      <c r="AC1886" s="145">
        <v>3.931</v>
      </c>
      <c r="AD1886" s="145" t="s">
        <v>400</v>
      </c>
      <c r="AE1886" s="145">
        <v>25.504000000000001</v>
      </c>
      <c r="AF1886" s="145" t="s">
        <v>400</v>
      </c>
      <c r="AG1886" s="145">
        <v>3.0270000000000001</v>
      </c>
      <c r="AH1886" s="145">
        <v>0.186</v>
      </c>
      <c r="AI1886" s="145" t="s">
        <v>400</v>
      </c>
      <c r="AJ1886" s="145">
        <v>33.274999999999999</v>
      </c>
      <c r="AK1886" s="145">
        <v>0.372</v>
      </c>
      <c r="AL1886" s="145">
        <v>1.1990000000000001</v>
      </c>
      <c r="AM1886" s="145" t="s">
        <v>400</v>
      </c>
    </row>
    <row r="1887" spans="1:39">
      <c r="A1887" s="143" t="s">
        <v>2947</v>
      </c>
      <c r="B1887" s="144">
        <v>100</v>
      </c>
      <c r="C1887" s="145">
        <v>146</v>
      </c>
      <c r="D1887" s="145">
        <v>4</v>
      </c>
      <c r="E1887" s="145">
        <v>3.9</v>
      </c>
      <c r="F1887" s="145" t="s">
        <v>400</v>
      </c>
      <c r="G1887" s="145" t="s">
        <v>400</v>
      </c>
      <c r="H1887" s="145" t="s">
        <v>400</v>
      </c>
      <c r="I1887" s="145" t="s">
        <v>400</v>
      </c>
      <c r="J1887" s="145" t="s">
        <v>400</v>
      </c>
      <c r="K1887" s="145" t="s">
        <v>400</v>
      </c>
      <c r="L1887" s="145">
        <v>24.4</v>
      </c>
      <c r="M1887" s="145">
        <v>2.4</v>
      </c>
      <c r="N1887" s="145" t="s">
        <v>400</v>
      </c>
      <c r="O1887" s="145" t="s">
        <v>400</v>
      </c>
      <c r="P1887" s="145" t="s">
        <v>400</v>
      </c>
      <c r="Q1887" s="145" t="s">
        <v>400</v>
      </c>
      <c r="R1887" s="145" t="s">
        <v>400</v>
      </c>
      <c r="S1887" s="145" t="s">
        <v>400</v>
      </c>
      <c r="T1887" s="145" t="s">
        <v>400</v>
      </c>
      <c r="U1887" s="145" t="s">
        <v>400</v>
      </c>
      <c r="V1887" s="145" t="s">
        <v>400</v>
      </c>
      <c r="W1887" s="145" t="s">
        <v>400</v>
      </c>
      <c r="X1887" s="145" t="s">
        <v>400</v>
      </c>
      <c r="Y1887" s="145" t="s">
        <v>400</v>
      </c>
      <c r="Z1887" s="146" t="s">
        <v>400</v>
      </c>
      <c r="AA1887" s="145" t="s">
        <v>400</v>
      </c>
      <c r="AB1887" s="145" t="s">
        <v>400</v>
      </c>
      <c r="AC1887" s="145" t="s">
        <v>400</v>
      </c>
      <c r="AD1887" s="145" t="s">
        <v>400</v>
      </c>
      <c r="AE1887" s="145" t="s">
        <v>400</v>
      </c>
      <c r="AF1887" s="145" t="s">
        <v>400</v>
      </c>
      <c r="AG1887" s="145" t="s">
        <v>400</v>
      </c>
      <c r="AH1887" s="145" t="s">
        <v>400</v>
      </c>
      <c r="AI1887" s="145" t="s">
        <v>400</v>
      </c>
      <c r="AJ1887" s="145" t="s">
        <v>400</v>
      </c>
      <c r="AK1887" s="145" t="s">
        <v>400</v>
      </c>
      <c r="AL1887" s="145" t="s">
        <v>400</v>
      </c>
      <c r="AM1887" s="145" t="s">
        <v>400</v>
      </c>
    </row>
    <row r="1888" spans="1:39">
      <c r="A1888" s="143" t="s">
        <v>2948</v>
      </c>
      <c r="B1888" s="144">
        <v>100</v>
      </c>
      <c r="C1888" s="145">
        <v>146</v>
      </c>
      <c r="D1888" s="145">
        <v>4</v>
      </c>
      <c r="E1888" s="145">
        <v>3.9</v>
      </c>
      <c r="F1888" s="145" t="s">
        <v>400</v>
      </c>
      <c r="G1888" s="145" t="s">
        <v>400</v>
      </c>
      <c r="H1888" s="145" t="s">
        <v>400</v>
      </c>
      <c r="I1888" s="145" t="s">
        <v>400</v>
      </c>
      <c r="J1888" s="145" t="s">
        <v>400</v>
      </c>
      <c r="K1888" s="145" t="s">
        <v>400</v>
      </c>
      <c r="L1888" s="145">
        <v>24.4</v>
      </c>
      <c r="M1888" s="145">
        <v>2.4</v>
      </c>
      <c r="N1888" s="145" t="s">
        <v>400</v>
      </c>
      <c r="O1888" s="145" t="s">
        <v>400</v>
      </c>
      <c r="P1888" s="145" t="s">
        <v>400</v>
      </c>
      <c r="Q1888" s="145" t="s">
        <v>400</v>
      </c>
      <c r="R1888" s="145" t="s">
        <v>400</v>
      </c>
      <c r="S1888" s="145" t="s">
        <v>400</v>
      </c>
      <c r="T1888" s="145" t="s">
        <v>400</v>
      </c>
      <c r="U1888" s="145" t="s">
        <v>400</v>
      </c>
      <c r="V1888" s="145" t="s">
        <v>400</v>
      </c>
      <c r="W1888" s="145" t="s">
        <v>400</v>
      </c>
      <c r="X1888" s="145" t="s">
        <v>400</v>
      </c>
      <c r="Y1888" s="145" t="s">
        <v>400</v>
      </c>
      <c r="Z1888" s="146" t="s">
        <v>400</v>
      </c>
      <c r="AA1888" s="145" t="s">
        <v>400</v>
      </c>
      <c r="AB1888" s="145" t="s">
        <v>400</v>
      </c>
      <c r="AC1888" s="145" t="s">
        <v>400</v>
      </c>
      <c r="AD1888" s="145" t="s">
        <v>400</v>
      </c>
      <c r="AE1888" s="145" t="s">
        <v>400</v>
      </c>
      <c r="AF1888" s="145" t="s">
        <v>400</v>
      </c>
      <c r="AG1888" s="145" t="s">
        <v>400</v>
      </c>
      <c r="AH1888" s="145" t="s">
        <v>400</v>
      </c>
      <c r="AI1888" s="145" t="s">
        <v>400</v>
      </c>
      <c r="AJ1888" s="145" t="s">
        <v>400</v>
      </c>
      <c r="AK1888" s="145" t="s">
        <v>400</v>
      </c>
      <c r="AL1888" s="145" t="s">
        <v>400</v>
      </c>
      <c r="AM1888" s="145" t="s">
        <v>400</v>
      </c>
    </row>
    <row r="1889" spans="1:39">
      <c r="A1889" s="143" t="s">
        <v>2949</v>
      </c>
      <c r="B1889" s="144">
        <v>100</v>
      </c>
      <c r="C1889" s="145">
        <v>78.242999999999995</v>
      </c>
      <c r="D1889" s="145">
        <v>2.4220000000000002</v>
      </c>
      <c r="E1889" s="145">
        <v>3.0619999999999998</v>
      </c>
      <c r="F1889" s="145">
        <v>1.3480000000000001</v>
      </c>
      <c r="G1889" s="145">
        <v>0.89</v>
      </c>
      <c r="H1889" s="145">
        <v>0.55500000000000005</v>
      </c>
      <c r="I1889" s="145">
        <v>0.498</v>
      </c>
      <c r="J1889" s="145">
        <v>5.7000000000000002E-2</v>
      </c>
      <c r="K1889" s="145">
        <v>6.0229999999999997</v>
      </c>
      <c r="L1889" s="145">
        <v>10.456</v>
      </c>
      <c r="M1889" s="145">
        <v>0.17399999999999999</v>
      </c>
      <c r="N1889" s="145">
        <v>124.56699999999999</v>
      </c>
      <c r="O1889" s="145">
        <v>13.224</v>
      </c>
      <c r="P1889" s="145">
        <v>2.9000000000000001E-2</v>
      </c>
      <c r="Q1889" s="145">
        <v>95.381</v>
      </c>
      <c r="R1889" s="145">
        <v>0.221</v>
      </c>
      <c r="S1889" s="145">
        <v>319.33100000000002</v>
      </c>
      <c r="T1889" s="145">
        <v>156.846</v>
      </c>
      <c r="U1889" s="145">
        <v>1.4999999999999999E-2</v>
      </c>
      <c r="V1889" s="145">
        <v>0.44900000000000001</v>
      </c>
      <c r="W1889" s="145">
        <v>21.164999999999999</v>
      </c>
      <c r="X1889" s="145">
        <v>6.8000000000000005E-2</v>
      </c>
      <c r="Y1889" s="145">
        <v>0.17699999999999999</v>
      </c>
      <c r="Z1889" s="146">
        <v>4.2999999999999997E-2</v>
      </c>
      <c r="AA1889" s="145">
        <v>0.32200000000000001</v>
      </c>
      <c r="AB1889" s="145">
        <v>0.14699999999999999</v>
      </c>
      <c r="AC1889" s="145">
        <v>1.1659999999999999</v>
      </c>
      <c r="AD1889" s="145">
        <v>0.30199999999999999</v>
      </c>
      <c r="AE1889" s="145">
        <v>11.233000000000001</v>
      </c>
      <c r="AF1889" s="145">
        <v>0.50800000000000001</v>
      </c>
      <c r="AG1889" s="145">
        <v>0.187</v>
      </c>
      <c r="AH1889" s="145">
        <v>0.22600000000000001</v>
      </c>
      <c r="AI1889" s="145" t="s">
        <v>400</v>
      </c>
      <c r="AJ1889" s="145">
        <v>4.0279999999999996</v>
      </c>
      <c r="AK1889" s="145">
        <v>30.094999999999999</v>
      </c>
      <c r="AL1889" s="145">
        <v>7.1959999999999997</v>
      </c>
      <c r="AM1889" s="145">
        <v>2.0779999999999998</v>
      </c>
    </row>
    <row r="1890" spans="1:39">
      <c r="A1890" s="143" t="s">
        <v>2950</v>
      </c>
      <c r="B1890" s="144">
        <v>100</v>
      </c>
      <c r="C1890" s="145">
        <v>406</v>
      </c>
      <c r="D1890" s="145">
        <v>2.1</v>
      </c>
      <c r="E1890" s="145">
        <v>9.1</v>
      </c>
      <c r="F1890" s="145">
        <v>1.9</v>
      </c>
      <c r="G1890" s="145">
        <v>2.4</v>
      </c>
      <c r="H1890" s="145">
        <v>2.5</v>
      </c>
      <c r="I1890" s="145">
        <v>2.29</v>
      </c>
      <c r="J1890" s="145">
        <v>0.19</v>
      </c>
      <c r="K1890" s="145" t="s">
        <v>400</v>
      </c>
      <c r="L1890" s="145">
        <v>80.3</v>
      </c>
      <c r="M1890" s="145">
        <v>7.8</v>
      </c>
      <c r="N1890" s="145">
        <v>66</v>
      </c>
      <c r="O1890" s="145">
        <v>34</v>
      </c>
      <c r="P1890" s="145">
        <v>0.28999999999999998</v>
      </c>
      <c r="Q1890" s="145">
        <v>45</v>
      </c>
      <c r="R1890" s="145">
        <v>1.4</v>
      </c>
      <c r="S1890" s="145">
        <v>575</v>
      </c>
      <c r="T1890" s="145">
        <v>201</v>
      </c>
      <c r="U1890" s="145" t="s">
        <v>400</v>
      </c>
      <c r="V1890" s="145">
        <v>0.2</v>
      </c>
      <c r="W1890" s="145" t="s">
        <v>400</v>
      </c>
      <c r="X1890" s="145">
        <v>0.1</v>
      </c>
      <c r="Y1890" s="145" t="s">
        <v>400</v>
      </c>
      <c r="Z1890" s="146">
        <v>0.15</v>
      </c>
      <c r="AA1890" s="145" t="s">
        <v>400</v>
      </c>
      <c r="AB1890" s="145" t="s">
        <v>400</v>
      </c>
      <c r="AC1890" s="145" t="s">
        <v>400</v>
      </c>
      <c r="AD1890" s="145" t="s">
        <v>400</v>
      </c>
      <c r="AE1890" s="145" t="s">
        <v>400</v>
      </c>
      <c r="AF1890" s="145" t="s">
        <v>400</v>
      </c>
      <c r="AG1890" s="145" t="s">
        <v>400</v>
      </c>
      <c r="AH1890" s="145" t="s">
        <v>400</v>
      </c>
      <c r="AI1890" s="145" t="s">
        <v>400</v>
      </c>
      <c r="AJ1890" s="145" t="s">
        <v>400</v>
      </c>
      <c r="AK1890" s="145" t="s">
        <v>400</v>
      </c>
      <c r="AL1890" s="145" t="s">
        <v>400</v>
      </c>
      <c r="AM1890" s="145" t="s">
        <v>400</v>
      </c>
    </row>
    <row r="1891" spans="1:39">
      <c r="A1891" s="143" t="s">
        <v>2951</v>
      </c>
      <c r="B1891" s="144">
        <v>100</v>
      </c>
      <c r="C1891" s="145">
        <v>78.242999999999995</v>
      </c>
      <c r="D1891" s="145">
        <v>2.4220000000000002</v>
      </c>
      <c r="E1891" s="145">
        <v>3.0619999999999998</v>
      </c>
      <c r="F1891" s="145">
        <v>1.3480000000000001</v>
      </c>
      <c r="G1891" s="145">
        <v>0.89</v>
      </c>
      <c r="H1891" s="145">
        <v>0.55500000000000005</v>
      </c>
      <c r="I1891" s="145">
        <v>0.498</v>
      </c>
      <c r="J1891" s="145">
        <v>5.7000000000000002E-2</v>
      </c>
      <c r="K1891" s="145">
        <v>6.0229999999999997</v>
      </c>
      <c r="L1891" s="145">
        <v>10.456</v>
      </c>
      <c r="M1891" s="145">
        <v>0.17399999999999999</v>
      </c>
      <c r="N1891" s="145">
        <v>124.56699999999999</v>
      </c>
      <c r="O1891" s="145">
        <v>13.224</v>
      </c>
      <c r="P1891" s="145">
        <v>2.9000000000000001E-2</v>
      </c>
      <c r="Q1891" s="145">
        <v>95.381</v>
      </c>
      <c r="R1891" s="145">
        <v>0.221</v>
      </c>
      <c r="S1891" s="145">
        <v>319.33100000000002</v>
      </c>
      <c r="T1891" s="145">
        <v>156.846</v>
      </c>
      <c r="U1891" s="145">
        <v>1.4999999999999999E-2</v>
      </c>
      <c r="V1891" s="145">
        <v>0.44900000000000001</v>
      </c>
      <c r="W1891" s="145">
        <v>21.164999999999999</v>
      </c>
      <c r="X1891" s="145">
        <v>6.8000000000000005E-2</v>
      </c>
      <c r="Y1891" s="145">
        <v>0.17699999999999999</v>
      </c>
      <c r="Z1891" s="146">
        <v>4.2999999999999997E-2</v>
      </c>
      <c r="AA1891" s="145">
        <v>0.32200000000000001</v>
      </c>
      <c r="AB1891" s="145">
        <v>0.14699999999999999</v>
      </c>
      <c r="AC1891" s="145">
        <v>1.1659999999999999</v>
      </c>
      <c r="AD1891" s="145">
        <v>0.30199999999999999</v>
      </c>
      <c r="AE1891" s="145">
        <v>11.233000000000001</v>
      </c>
      <c r="AF1891" s="145">
        <v>0.50800000000000001</v>
      </c>
      <c r="AG1891" s="145">
        <v>0.187</v>
      </c>
      <c r="AH1891" s="145">
        <v>0.22600000000000001</v>
      </c>
      <c r="AI1891" s="145" t="s">
        <v>400</v>
      </c>
      <c r="AJ1891" s="145">
        <v>4.0279999999999996</v>
      </c>
      <c r="AK1891" s="145">
        <v>30.094999999999999</v>
      </c>
      <c r="AL1891" s="145">
        <v>7.1959999999999997</v>
      </c>
      <c r="AM1891" s="145">
        <v>2.0779999999999998</v>
      </c>
    </row>
    <row r="1892" spans="1:39">
      <c r="A1892" s="143" t="s">
        <v>2952</v>
      </c>
      <c r="B1892" s="144">
        <v>100</v>
      </c>
      <c r="C1892" s="145">
        <v>16</v>
      </c>
      <c r="D1892" s="145">
        <v>2</v>
      </c>
      <c r="E1892" s="145">
        <v>0.6</v>
      </c>
      <c r="F1892" s="145">
        <v>0.14199999999999999</v>
      </c>
      <c r="G1892" s="145">
        <v>0.121</v>
      </c>
      <c r="H1892" s="145">
        <v>0.16200000000000001</v>
      </c>
      <c r="I1892" s="145">
        <v>6.0000000000000001E-3</v>
      </c>
      <c r="J1892" s="145">
        <v>6.0000000000000001E-3</v>
      </c>
      <c r="K1892" s="145" t="s">
        <v>400</v>
      </c>
      <c r="L1892" s="145">
        <v>0.4</v>
      </c>
      <c r="M1892" s="145" t="s">
        <v>400</v>
      </c>
      <c r="N1892" s="145">
        <v>30</v>
      </c>
      <c r="O1892" s="145">
        <v>1</v>
      </c>
      <c r="P1892" s="145">
        <v>2.5999999999999999E-2</v>
      </c>
      <c r="Q1892" s="145">
        <v>30</v>
      </c>
      <c r="R1892" s="145">
        <v>0.21</v>
      </c>
      <c r="S1892" s="145">
        <v>318</v>
      </c>
      <c r="T1892" s="145">
        <v>86</v>
      </c>
      <c r="U1892" s="145">
        <v>5.0999999999999997E-2</v>
      </c>
      <c r="V1892" s="145">
        <v>0.1</v>
      </c>
      <c r="W1892" s="145">
        <v>1</v>
      </c>
      <c r="X1892" s="145" t="s">
        <v>400</v>
      </c>
      <c r="Y1892" s="145">
        <v>0.03</v>
      </c>
      <c r="Z1892" s="146">
        <v>0.01</v>
      </c>
      <c r="AA1892" s="145">
        <v>1.37</v>
      </c>
      <c r="AB1892" s="145" t="s">
        <v>400</v>
      </c>
      <c r="AC1892" s="145">
        <v>1.7529999999999999</v>
      </c>
      <c r="AD1892" s="145">
        <v>0.1</v>
      </c>
      <c r="AE1892" s="145">
        <v>4</v>
      </c>
      <c r="AF1892" s="145">
        <v>0.192</v>
      </c>
      <c r="AG1892" s="145">
        <v>0.15</v>
      </c>
      <c r="AH1892" s="145" t="s">
        <v>400</v>
      </c>
      <c r="AI1892" s="145" t="s">
        <v>400</v>
      </c>
      <c r="AJ1892" s="145">
        <v>0.7</v>
      </c>
      <c r="AK1892" s="145">
        <v>1</v>
      </c>
      <c r="AL1892" s="145">
        <v>0.16200000000000001</v>
      </c>
      <c r="AM1892" s="145" t="s">
        <v>400</v>
      </c>
    </row>
    <row r="1893" spans="1:39">
      <c r="A1893" s="143" t="s">
        <v>2953</v>
      </c>
      <c r="B1893" s="144">
        <v>100</v>
      </c>
      <c r="C1893" s="145">
        <v>297.322</v>
      </c>
      <c r="D1893" s="145">
        <v>6.7069999999999999</v>
      </c>
      <c r="E1893" s="145">
        <v>5.8010000000000002</v>
      </c>
      <c r="F1893" s="145">
        <v>2.7810000000000001</v>
      </c>
      <c r="G1893" s="145">
        <v>1.5629999999999999</v>
      </c>
      <c r="H1893" s="145">
        <v>0.61099999999999999</v>
      </c>
      <c r="I1893" s="145">
        <v>0.52500000000000002</v>
      </c>
      <c r="J1893" s="145">
        <v>1.7999999999999999E-2</v>
      </c>
      <c r="K1893" s="145">
        <v>152.614</v>
      </c>
      <c r="L1893" s="145">
        <v>54.893999999999998</v>
      </c>
      <c r="M1893" s="145">
        <v>0.84699999999999998</v>
      </c>
      <c r="N1893" s="145">
        <v>23.321000000000002</v>
      </c>
      <c r="O1893" s="145">
        <v>12.119</v>
      </c>
      <c r="P1893" s="145">
        <v>0.26500000000000001</v>
      </c>
      <c r="Q1893" s="145">
        <v>89.873999999999995</v>
      </c>
      <c r="R1893" s="145">
        <v>1.478</v>
      </c>
      <c r="S1893" s="145">
        <v>58.58</v>
      </c>
      <c r="T1893" s="145">
        <v>142.547</v>
      </c>
      <c r="U1893" s="145">
        <v>5.8000000000000003E-2</v>
      </c>
      <c r="V1893" s="145">
        <v>0.61299999999999999</v>
      </c>
      <c r="W1893" s="145">
        <v>60.47</v>
      </c>
      <c r="X1893" s="145">
        <v>0.183</v>
      </c>
      <c r="Y1893" s="145">
        <v>0.28999999999999998</v>
      </c>
      <c r="Z1893" s="146">
        <v>0.08</v>
      </c>
      <c r="AA1893" s="145">
        <v>1.208</v>
      </c>
      <c r="AB1893" s="145">
        <v>5.7549999999999999</v>
      </c>
      <c r="AC1893" s="145">
        <v>2.5569999999999999</v>
      </c>
      <c r="AD1893" s="145">
        <v>0.4</v>
      </c>
      <c r="AE1893" s="145">
        <v>57.473999999999997</v>
      </c>
      <c r="AF1893" s="145">
        <v>0.46100000000000002</v>
      </c>
      <c r="AG1893" s="145">
        <v>0.435</v>
      </c>
      <c r="AH1893" s="145" t="s">
        <v>400</v>
      </c>
      <c r="AI1893" s="145" t="s">
        <v>400</v>
      </c>
      <c r="AJ1893" s="145">
        <v>18.509</v>
      </c>
      <c r="AK1893" s="145">
        <v>62.411999999999999</v>
      </c>
      <c r="AL1893" s="145">
        <v>39.670999999999999</v>
      </c>
      <c r="AM1893" s="145">
        <v>37.768999999999998</v>
      </c>
    </row>
    <row r="1894" spans="1:39">
      <c r="A1894" s="143" t="s">
        <v>2954</v>
      </c>
      <c r="B1894" s="144">
        <v>100</v>
      </c>
      <c r="C1894" s="145">
        <v>113.01600000000001</v>
      </c>
      <c r="D1894" s="145">
        <v>6.6639999999999997</v>
      </c>
      <c r="E1894" s="145">
        <v>1.994</v>
      </c>
      <c r="F1894" s="145">
        <v>0.41899999999999998</v>
      </c>
      <c r="G1894" s="145">
        <v>0.65100000000000002</v>
      </c>
      <c r="H1894" s="145">
        <v>0.69899999999999995</v>
      </c>
      <c r="I1894" s="145">
        <v>0.61099999999999999</v>
      </c>
      <c r="J1894" s="145">
        <v>5.3999999999999999E-2</v>
      </c>
      <c r="K1894" s="145">
        <v>14.141</v>
      </c>
      <c r="L1894" s="145">
        <v>17.163</v>
      </c>
      <c r="M1894" s="145">
        <v>1.101</v>
      </c>
      <c r="N1894" s="145">
        <v>19.366</v>
      </c>
      <c r="O1894" s="145">
        <v>15.379</v>
      </c>
      <c r="P1894" s="145">
        <v>0.23699999999999999</v>
      </c>
      <c r="Q1894" s="145">
        <v>66.147999999999996</v>
      </c>
      <c r="R1894" s="145">
        <v>1.024</v>
      </c>
      <c r="S1894" s="145">
        <v>307.726</v>
      </c>
      <c r="T1894" s="145">
        <v>182.1</v>
      </c>
      <c r="U1894" s="145">
        <v>8.2000000000000003E-2</v>
      </c>
      <c r="V1894" s="145">
        <v>0.53300000000000003</v>
      </c>
      <c r="W1894" s="145">
        <v>1.4970000000000001</v>
      </c>
      <c r="X1894" s="145">
        <v>8.7999999999999995E-2</v>
      </c>
      <c r="Y1894" s="145">
        <v>4.7E-2</v>
      </c>
      <c r="Z1894" s="146">
        <v>0.17799999999999999</v>
      </c>
      <c r="AA1894" s="145">
        <v>2.9769999999999999</v>
      </c>
      <c r="AB1894" s="145">
        <v>2.8279999999999998</v>
      </c>
      <c r="AC1894" s="145">
        <v>4.2460000000000004</v>
      </c>
      <c r="AD1894" s="145">
        <v>5.7000000000000002E-2</v>
      </c>
      <c r="AE1894" s="145">
        <v>20.518000000000001</v>
      </c>
      <c r="AF1894" s="145">
        <v>3.3000000000000002E-2</v>
      </c>
      <c r="AG1894" s="145">
        <v>0.79600000000000004</v>
      </c>
      <c r="AH1894" s="145">
        <v>1.7000000000000001E-2</v>
      </c>
      <c r="AI1894" s="145" t="s">
        <v>400</v>
      </c>
      <c r="AJ1894" s="145">
        <v>7.5019999999999998</v>
      </c>
      <c r="AK1894" s="145">
        <v>152.80799999999999</v>
      </c>
      <c r="AL1894" s="145">
        <v>3.5990000000000002</v>
      </c>
      <c r="AM1894" s="145">
        <v>3.3650000000000002</v>
      </c>
    </row>
    <row r="1895" spans="1:39">
      <c r="A1895" s="143" t="s">
        <v>2955</v>
      </c>
      <c r="B1895" s="144">
        <v>100</v>
      </c>
      <c r="C1895" s="145">
        <v>226.06800000000001</v>
      </c>
      <c r="D1895" s="145">
        <v>13.773999999999999</v>
      </c>
      <c r="E1895" s="145">
        <v>15.61</v>
      </c>
      <c r="F1895" s="145">
        <v>6.633</v>
      </c>
      <c r="G1895" s="145">
        <v>5.0259999999999998</v>
      </c>
      <c r="H1895" s="145">
        <v>2.9329999999999998</v>
      </c>
      <c r="I1895" s="145">
        <v>1.889</v>
      </c>
      <c r="J1895" s="145">
        <v>0.14699999999999999</v>
      </c>
      <c r="K1895" s="145">
        <v>40.610999999999997</v>
      </c>
      <c r="L1895" s="145">
        <v>9.2759999999999998</v>
      </c>
      <c r="M1895" s="145">
        <v>1.3240000000000001</v>
      </c>
      <c r="N1895" s="145">
        <v>30.675999999999998</v>
      </c>
      <c r="O1895" s="145">
        <v>53.585999999999999</v>
      </c>
      <c r="P1895" s="145">
        <v>0.373</v>
      </c>
      <c r="Q1895" s="145">
        <v>173.179</v>
      </c>
      <c r="R1895" s="145">
        <v>1.7030000000000001</v>
      </c>
      <c r="S1895" s="145">
        <v>225.27500000000001</v>
      </c>
      <c r="T1895" s="145">
        <v>391.077</v>
      </c>
      <c r="U1895" s="145">
        <v>0.38200000000000001</v>
      </c>
      <c r="V1895" s="145">
        <v>1.1719999999999999</v>
      </c>
      <c r="W1895" s="145">
        <v>10.36</v>
      </c>
      <c r="X1895" s="145">
        <v>0.18099999999999999</v>
      </c>
      <c r="Y1895" s="145">
        <v>0.21199999999999999</v>
      </c>
      <c r="Z1895" s="146">
        <v>0.39800000000000002</v>
      </c>
      <c r="AA1895" s="145">
        <v>5.0380000000000003</v>
      </c>
      <c r="AB1895" s="145">
        <v>9.7279999999999998</v>
      </c>
      <c r="AC1895" s="145">
        <v>7.7249999999999996</v>
      </c>
      <c r="AD1895" s="145">
        <v>1.121</v>
      </c>
      <c r="AE1895" s="145">
        <v>41.161999999999999</v>
      </c>
      <c r="AF1895" s="145">
        <v>10.286</v>
      </c>
      <c r="AG1895" s="145">
        <v>2.2770000000000001</v>
      </c>
      <c r="AH1895" s="145">
        <v>4.9000000000000002E-2</v>
      </c>
      <c r="AI1895" s="145" t="s">
        <v>400</v>
      </c>
      <c r="AJ1895" s="145">
        <v>21.718</v>
      </c>
      <c r="AK1895" s="145">
        <v>19.683</v>
      </c>
      <c r="AL1895" s="145">
        <v>2.2850000000000001</v>
      </c>
      <c r="AM1895" s="145">
        <v>0.26700000000000002</v>
      </c>
    </row>
    <row r="1896" spans="1:39">
      <c r="A1896" s="143" t="s">
        <v>2956</v>
      </c>
      <c r="B1896" s="144">
        <v>100</v>
      </c>
      <c r="C1896" s="145">
        <v>406</v>
      </c>
      <c r="D1896" s="145">
        <v>2.1</v>
      </c>
      <c r="E1896" s="145">
        <v>9.1</v>
      </c>
      <c r="F1896" s="145">
        <v>1.9</v>
      </c>
      <c r="G1896" s="145">
        <v>2.4</v>
      </c>
      <c r="H1896" s="145">
        <v>2.5</v>
      </c>
      <c r="I1896" s="145">
        <v>2.29</v>
      </c>
      <c r="J1896" s="145">
        <v>0.19</v>
      </c>
      <c r="K1896" s="145" t="s">
        <v>400</v>
      </c>
      <c r="L1896" s="145">
        <v>80.3</v>
      </c>
      <c r="M1896" s="145">
        <v>7.8</v>
      </c>
      <c r="N1896" s="145">
        <v>66</v>
      </c>
      <c r="O1896" s="145">
        <v>34</v>
      </c>
      <c r="P1896" s="145">
        <v>0.28999999999999998</v>
      </c>
      <c r="Q1896" s="145">
        <v>45</v>
      </c>
      <c r="R1896" s="145">
        <v>1.4</v>
      </c>
      <c r="S1896" s="145">
        <v>575</v>
      </c>
      <c r="T1896" s="145">
        <v>201</v>
      </c>
      <c r="U1896" s="145" t="s">
        <v>400</v>
      </c>
      <c r="V1896" s="145">
        <v>0.2</v>
      </c>
      <c r="W1896" s="145" t="s">
        <v>400</v>
      </c>
      <c r="X1896" s="145">
        <v>0.1</v>
      </c>
      <c r="Y1896" s="145" t="s">
        <v>400</v>
      </c>
      <c r="Z1896" s="146">
        <v>0.15</v>
      </c>
      <c r="AA1896" s="145" t="s">
        <v>400</v>
      </c>
      <c r="AB1896" s="145" t="s">
        <v>400</v>
      </c>
      <c r="AC1896" s="145" t="s">
        <v>400</v>
      </c>
      <c r="AD1896" s="145" t="s">
        <v>400</v>
      </c>
      <c r="AE1896" s="145" t="s">
        <v>400</v>
      </c>
      <c r="AF1896" s="145" t="s">
        <v>400</v>
      </c>
      <c r="AG1896" s="145" t="s">
        <v>400</v>
      </c>
      <c r="AH1896" s="145" t="s">
        <v>400</v>
      </c>
      <c r="AI1896" s="145" t="s">
        <v>400</v>
      </c>
      <c r="AJ1896" s="145" t="s">
        <v>400</v>
      </c>
      <c r="AK1896" s="145" t="s">
        <v>400</v>
      </c>
      <c r="AL1896" s="145" t="s">
        <v>400</v>
      </c>
      <c r="AM1896" s="145" t="s">
        <v>400</v>
      </c>
    </row>
    <row r="1897" spans="1:39">
      <c r="A1897" s="143" t="s">
        <v>2957</v>
      </c>
      <c r="B1897" s="144">
        <v>100</v>
      </c>
      <c r="C1897" s="145">
        <v>7.02</v>
      </c>
      <c r="D1897" s="145">
        <v>1.361</v>
      </c>
      <c r="E1897" s="145" t="s">
        <v>400</v>
      </c>
      <c r="F1897" s="145" t="s">
        <v>400</v>
      </c>
      <c r="G1897" s="145" t="s">
        <v>400</v>
      </c>
      <c r="H1897" s="145" t="s">
        <v>400</v>
      </c>
      <c r="I1897" s="145" t="s">
        <v>400</v>
      </c>
      <c r="J1897" s="145" t="s">
        <v>400</v>
      </c>
      <c r="K1897" s="145" t="s">
        <v>400</v>
      </c>
      <c r="L1897" s="145">
        <v>0.45400000000000001</v>
      </c>
      <c r="M1897" s="145" t="s">
        <v>400</v>
      </c>
      <c r="N1897" s="145">
        <v>5.03</v>
      </c>
      <c r="O1897" s="145">
        <v>2.6150000000000002</v>
      </c>
      <c r="P1897" s="145">
        <v>0.01</v>
      </c>
      <c r="Q1897" s="145">
        <v>14.04</v>
      </c>
      <c r="R1897" s="145">
        <v>0.23</v>
      </c>
      <c r="S1897" s="145">
        <v>200.78700000000001</v>
      </c>
      <c r="T1897" s="145">
        <v>67.456999999999994</v>
      </c>
      <c r="U1897" s="145">
        <v>6.0000000000000001E-3</v>
      </c>
      <c r="V1897" s="145">
        <v>0.01</v>
      </c>
      <c r="W1897" s="145" t="s">
        <v>400</v>
      </c>
      <c r="X1897" s="145">
        <v>8.9999999999999993E-3</v>
      </c>
      <c r="Y1897" s="145">
        <v>1.2E-2</v>
      </c>
      <c r="Z1897" s="146">
        <v>1.0999999999999999E-2</v>
      </c>
      <c r="AA1897" s="145">
        <v>0.313</v>
      </c>
      <c r="AB1897" s="145">
        <v>0.378</v>
      </c>
      <c r="AC1897" s="145">
        <v>0.55600000000000005</v>
      </c>
      <c r="AD1897" s="145">
        <v>7.5999999999999998E-2</v>
      </c>
      <c r="AE1897" s="145">
        <v>2.7</v>
      </c>
      <c r="AF1897" s="145" t="s">
        <v>400</v>
      </c>
      <c r="AG1897" s="145">
        <v>5.0000000000000001E-3</v>
      </c>
      <c r="AH1897" s="145" t="s">
        <v>400</v>
      </c>
      <c r="AI1897" s="145" t="s">
        <v>400</v>
      </c>
      <c r="AJ1897" s="145">
        <v>0.75600000000000001</v>
      </c>
      <c r="AK1897" s="145" t="s">
        <v>400</v>
      </c>
      <c r="AL1897" s="145">
        <v>0.16800000000000001</v>
      </c>
      <c r="AM1897" s="145" t="s">
        <v>400</v>
      </c>
    </row>
    <row r="1898" spans="1:39">
      <c r="A1898" s="143" t="s">
        <v>2958</v>
      </c>
      <c r="B1898" s="144">
        <v>100</v>
      </c>
      <c r="C1898" s="145">
        <v>75.498999999999995</v>
      </c>
      <c r="D1898" s="145">
        <v>4.7839999999999998</v>
      </c>
      <c r="E1898" s="145">
        <v>1.7649999999999999</v>
      </c>
      <c r="F1898" s="145">
        <v>0.57099999999999995</v>
      </c>
      <c r="G1898" s="145">
        <v>0.73799999999999999</v>
      </c>
      <c r="H1898" s="145">
        <v>0.23300000000000001</v>
      </c>
      <c r="I1898" s="145">
        <v>0.188</v>
      </c>
      <c r="J1898" s="145">
        <v>3.1E-2</v>
      </c>
      <c r="K1898" s="145">
        <v>4.3170000000000002</v>
      </c>
      <c r="L1898" s="145">
        <v>10.332000000000001</v>
      </c>
      <c r="M1898" s="145">
        <v>2.1960000000000002</v>
      </c>
      <c r="N1898" s="145">
        <v>33.667999999999999</v>
      </c>
      <c r="O1898" s="145">
        <v>23.402999999999999</v>
      </c>
      <c r="P1898" s="145">
        <v>0.221</v>
      </c>
      <c r="Q1898" s="145">
        <v>60.154000000000003</v>
      </c>
      <c r="R1898" s="145">
        <v>1.3520000000000001</v>
      </c>
      <c r="S1898" s="145">
        <v>401.38600000000002</v>
      </c>
      <c r="T1898" s="145">
        <v>221.40100000000001</v>
      </c>
      <c r="U1898" s="145">
        <v>0.107</v>
      </c>
      <c r="V1898" s="145">
        <v>0.61199999999999999</v>
      </c>
      <c r="W1898" s="145">
        <v>0.432</v>
      </c>
      <c r="X1898" s="145">
        <v>5.8000000000000003E-2</v>
      </c>
      <c r="Y1898" s="145">
        <v>2.9000000000000001E-2</v>
      </c>
      <c r="Z1898" s="146">
        <v>5.0999999999999997E-2</v>
      </c>
      <c r="AA1898" s="145">
        <v>0.51600000000000001</v>
      </c>
      <c r="AB1898" s="145">
        <v>0.39400000000000002</v>
      </c>
      <c r="AC1898" s="145">
        <v>1.381</v>
      </c>
      <c r="AD1898" s="145">
        <v>4.8000000000000001E-2</v>
      </c>
      <c r="AE1898" s="145">
        <v>27.922999999999998</v>
      </c>
      <c r="AF1898" s="145">
        <v>2.7E-2</v>
      </c>
      <c r="AG1898" s="145">
        <v>0.36499999999999999</v>
      </c>
      <c r="AH1898" s="145">
        <v>1.2E-2</v>
      </c>
      <c r="AI1898" s="146" t="s">
        <v>400</v>
      </c>
      <c r="AJ1898" s="145">
        <v>2.8879999999999999</v>
      </c>
      <c r="AK1898" s="145">
        <v>7.4180000000000001</v>
      </c>
      <c r="AL1898" s="145">
        <v>1.08</v>
      </c>
      <c r="AM1898" s="145">
        <v>0.82299999999999995</v>
      </c>
    </row>
    <row r="1899" spans="1:39">
      <c r="A1899" s="143" t="s">
        <v>2959</v>
      </c>
      <c r="B1899" s="144">
        <v>100</v>
      </c>
      <c r="C1899" s="145">
        <v>7.02</v>
      </c>
      <c r="D1899" s="145">
        <v>1.361</v>
      </c>
      <c r="E1899" s="145" t="s">
        <v>400</v>
      </c>
      <c r="F1899" s="145" t="s">
        <v>400</v>
      </c>
      <c r="G1899" s="145" t="s">
        <v>400</v>
      </c>
      <c r="H1899" s="145" t="s">
        <v>400</v>
      </c>
      <c r="I1899" s="145" t="s">
        <v>400</v>
      </c>
      <c r="J1899" s="145" t="s">
        <v>400</v>
      </c>
      <c r="K1899" s="145" t="s">
        <v>400</v>
      </c>
      <c r="L1899" s="145">
        <v>0.45400000000000001</v>
      </c>
      <c r="M1899" s="145" t="s">
        <v>400</v>
      </c>
      <c r="N1899" s="145">
        <v>5.03</v>
      </c>
      <c r="O1899" s="145">
        <v>2.6150000000000002</v>
      </c>
      <c r="P1899" s="145">
        <v>0.01</v>
      </c>
      <c r="Q1899" s="145">
        <v>14.04</v>
      </c>
      <c r="R1899" s="145">
        <v>0.23</v>
      </c>
      <c r="S1899" s="145">
        <v>200.78700000000001</v>
      </c>
      <c r="T1899" s="145">
        <v>67.456999999999994</v>
      </c>
      <c r="U1899" s="145">
        <v>6.0000000000000001E-3</v>
      </c>
      <c r="V1899" s="145">
        <v>0.01</v>
      </c>
      <c r="W1899" s="145" t="s">
        <v>400</v>
      </c>
      <c r="X1899" s="145">
        <v>8.9999999999999993E-3</v>
      </c>
      <c r="Y1899" s="145">
        <v>1.2E-2</v>
      </c>
      <c r="Z1899" s="146">
        <v>1.0999999999999999E-2</v>
      </c>
      <c r="AA1899" s="145">
        <v>0.313</v>
      </c>
      <c r="AB1899" s="145">
        <v>0.378</v>
      </c>
      <c r="AC1899" s="145">
        <v>0.55600000000000005</v>
      </c>
      <c r="AD1899" s="145">
        <v>7.5999999999999998E-2</v>
      </c>
      <c r="AE1899" s="145">
        <v>2.7</v>
      </c>
      <c r="AF1899" s="145" t="s">
        <v>400</v>
      </c>
      <c r="AG1899" s="145">
        <v>5.0000000000000001E-3</v>
      </c>
      <c r="AH1899" s="145" t="s">
        <v>400</v>
      </c>
      <c r="AI1899" s="145" t="s">
        <v>400</v>
      </c>
      <c r="AJ1899" s="145">
        <v>0.75600000000000001</v>
      </c>
      <c r="AK1899" s="145" t="s">
        <v>400</v>
      </c>
      <c r="AL1899" s="145">
        <v>0.16800000000000001</v>
      </c>
      <c r="AM1899" s="145" t="s">
        <v>400</v>
      </c>
    </row>
    <row r="1900" spans="1:39">
      <c r="A1900" s="143" t="s">
        <v>2960</v>
      </c>
      <c r="B1900" s="144">
        <v>100</v>
      </c>
      <c r="C1900" s="145">
        <v>136</v>
      </c>
      <c r="D1900" s="145">
        <v>6.2</v>
      </c>
      <c r="E1900" s="145">
        <v>3.2</v>
      </c>
      <c r="F1900" s="145">
        <v>0.6</v>
      </c>
      <c r="G1900" s="145">
        <v>1</v>
      </c>
      <c r="H1900" s="145">
        <v>1.5</v>
      </c>
      <c r="I1900" s="145">
        <v>1.36</v>
      </c>
      <c r="J1900" s="145">
        <v>0.13</v>
      </c>
      <c r="K1900" s="145">
        <v>4</v>
      </c>
      <c r="L1900" s="145">
        <v>20.399999999999999</v>
      </c>
      <c r="M1900" s="145">
        <v>5.0999999999999996</v>
      </c>
      <c r="N1900" s="145">
        <v>33</v>
      </c>
      <c r="O1900" s="145">
        <v>19</v>
      </c>
      <c r="P1900" s="145">
        <v>0.27</v>
      </c>
      <c r="Q1900" s="145">
        <v>72</v>
      </c>
      <c r="R1900" s="145">
        <v>0.6</v>
      </c>
      <c r="S1900" s="145">
        <v>93</v>
      </c>
      <c r="T1900" s="145">
        <v>157</v>
      </c>
      <c r="U1900" s="145">
        <v>0.08</v>
      </c>
      <c r="V1900" s="145">
        <v>0.6</v>
      </c>
      <c r="W1900" s="145" t="s">
        <v>400</v>
      </c>
      <c r="X1900" s="145">
        <v>0.04</v>
      </c>
      <c r="Y1900" s="145" t="s">
        <v>400</v>
      </c>
      <c r="Z1900" s="146">
        <v>0.04</v>
      </c>
      <c r="AA1900" s="145" t="s">
        <v>400</v>
      </c>
      <c r="AB1900" s="145" t="s">
        <v>400</v>
      </c>
      <c r="AC1900" s="145" t="s">
        <v>400</v>
      </c>
      <c r="AD1900" s="145" t="s">
        <v>400</v>
      </c>
      <c r="AE1900" s="145" t="s">
        <v>400</v>
      </c>
      <c r="AF1900" s="145" t="s">
        <v>400</v>
      </c>
      <c r="AG1900" s="145" t="s">
        <v>400</v>
      </c>
      <c r="AH1900" s="145" t="s">
        <v>400</v>
      </c>
      <c r="AI1900" s="145" t="s">
        <v>400</v>
      </c>
      <c r="AJ1900" s="145" t="s">
        <v>400</v>
      </c>
      <c r="AK1900" s="145" t="s">
        <v>400</v>
      </c>
      <c r="AL1900" s="145" t="s">
        <v>400</v>
      </c>
      <c r="AM1900" s="145" t="s">
        <v>400</v>
      </c>
    </row>
    <row r="1901" spans="1:39">
      <c r="A1901" s="143" t="s">
        <v>2961</v>
      </c>
      <c r="B1901" s="144">
        <v>100</v>
      </c>
      <c r="C1901" s="145">
        <v>204</v>
      </c>
      <c r="D1901" s="145">
        <v>30.67</v>
      </c>
      <c r="E1901" s="145">
        <v>9</v>
      </c>
      <c r="F1901" s="145">
        <v>3.415</v>
      </c>
      <c r="G1901" s="145">
        <v>3.9180000000000001</v>
      </c>
      <c r="H1901" s="145">
        <v>0.34699999999999998</v>
      </c>
      <c r="I1901" s="145">
        <v>0.23799999999999999</v>
      </c>
      <c r="J1901" s="145">
        <v>8.6999999999999994E-2</v>
      </c>
      <c r="K1901" s="145">
        <v>58</v>
      </c>
      <c r="L1901" s="145" t="s">
        <v>400</v>
      </c>
      <c r="M1901" s="145" t="s">
        <v>400</v>
      </c>
      <c r="N1901" s="145">
        <v>7</v>
      </c>
      <c r="O1901" s="145">
        <v>20</v>
      </c>
      <c r="P1901" s="145">
        <v>1.0999999999999999E-2</v>
      </c>
      <c r="Q1901" s="145">
        <v>193</v>
      </c>
      <c r="R1901" s="145">
        <v>2.5299999999999998</v>
      </c>
      <c r="S1901" s="145">
        <v>41</v>
      </c>
      <c r="T1901" s="145">
        <v>252</v>
      </c>
      <c r="U1901" s="145">
        <v>7.3999999999999996E-2</v>
      </c>
      <c r="V1901" s="145">
        <v>5.2</v>
      </c>
      <c r="W1901" s="145" t="s">
        <v>400</v>
      </c>
      <c r="X1901" s="145">
        <v>7.0000000000000007E-2</v>
      </c>
      <c r="Y1901" s="145">
        <v>0.16300000000000001</v>
      </c>
      <c r="Z1901" s="146">
        <v>0.40300000000000002</v>
      </c>
      <c r="AA1901" s="145">
        <v>5.36</v>
      </c>
      <c r="AB1901" s="145" t="s">
        <v>400</v>
      </c>
      <c r="AC1901" s="145">
        <v>8.7270000000000003</v>
      </c>
      <c r="AD1901" s="145">
        <v>1.71</v>
      </c>
      <c r="AE1901" s="145">
        <v>10</v>
      </c>
      <c r="AF1901" s="145">
        <v>0.6</v>
      </c>
      <c r="AG1901" s="145">
        <v>0.43</v>
      </c>
      <c r="AH1901" s="145">
        <v>0.40899999999999997</v>
      </c>
      <c r="AI1901" s="145">
        <v>333</v>
      </c>
      <c r="AJ1901" s="145">
        <v>31.7</v>
      </c>
      <c r="AK1901" s="145" t="s">
        <v>400</v>
      </c>
      <c r="AL1901" s="145" t="s">
        <v>400</v>
      </c>
      <c r="AM1901" s="145" t="s">
        <v>400</v>
      </c>
    </row>
    <row r="1902" spans="1:39">
      <c r="A1902" s="143" t="s">
        <v>2962</v>
      </c>
      <c r="B1902" s="144">
        <v>100</v>
      </c>
      <c r="C1902" s="145">
        <v>146.77500000000001</v>
      </c>
      <c r="D1902" s="145">
        <v>5.5570000000000004</v>
      </c>
      <c r="E1902" s="145">
        <v>0.45</v>
      </c>
      <c r="F1902" s="145">
        <v>0.114</v>
      </c>
      <c r="G1902" s="145">
        <v>0.104</v>
      </c>
      <c r="H1902" s="145">
        <v>0.157</v>
      </c>
      <c r="I1902" s="145">
        <v>7.2999999999999995E-2</v>
      </c>
      <c r="J1902" s="145">
        <v>1.6E-2</v>
      </c>
      <c r="K1902" s="145">
        <v>7.3780000000000001</v>
      </c>
      <c r="L1902" s="145">
        <v>29.192</v>
      </c>
      <c r="M1902" s="145">
        <v>0.91100000000000003</v>
      </c>
      <c r="N1902" s="145">
        <v>16.78</v>
      </c>
      <c r="O1902" s="145">
        <v>21.242000000000001</v>
      </c>
      <c r="P1902" s="145">
        <v>0.44</v>
      </c>
      <c r="Q1902" s="145">
        <v>79.555000000000007</v>
      </c>
      <c r="R1902" s="145">
        <v>1.2669999999999999</v>
      </c>
      <c r="S1902" s="145">
        <v>216</v>
      </c>
      <c r="T1902" s="145">
        <v>100.86199999999999</v>
      </c>
      <c r="U1902" s="145">
        <v>8.1000000000000003E-2</v>
      </c>
      <c r="V1902" s="145">
        <v>0.59599999999999997</v>
      </c>
      <c r="W1902" s="145">
        <v>1.41</v>
      </c>
      <c r="X1902" s="145">
        <v>0.17799999999999999</v>
      </c>
      <c r="Y1902" s="145">
        <v>4.3999999999999997E-2</v>
      </c>
      <c r="Z1902" s="146">
        <v>0.125</v>
      </c>
      <c r="AA1902" s="145">
        <v>1.6519999999999999</v>
      </c>
      <c r="AB1902" s="145">
        <v>1.544</v>
      </c>
      <c r="AC1902" s="145">
        <v>2.6579999999999999</v>
      </c>
      <c r="AD1902" s="145">
        <v>0.27200000000000002</v>
      </c>
      <c r="AE1902" s="145">
        <v>44.91</v>
      </c>
      <c r="AF1902" s="145">
        <v>0.21099999999999999</v>
      </c>
      <c r="AG1902" s="145">
        <v>0.16500000000000001</v>
      </c>
      <c r="AH1902" s="145" t="s">
        <v>400</v>
      </c>
      <c r="AI1902" s="146" t="s">
        <v>400</v>
      </c>
      <c r="AJ1902" s="145">
        <v>12.475</v>
      </c>
      <c r="AK1902" s="145">
        <v>37.26</v>
      </c>
      <c r="AL1902" s="145">
        <v>5.6820000000000004</v>
      </c>
      <c r="AM1902" s="145">
        <v>4.5970000000000004</v>
      </c>
    </row>
    <row r="1903" spans="1:39">
      <c r="A1903" s="143" t="s">
        <v>2963</v>
      </c>
      <c r="B1903" s="144">
        <v>100</v>
      </c>
      <c r="C1903" s="145">
        <v>51.241</v>
      </c>
      <c r="D1903" s="145">
        <v>0.622</v>
      </c>
      <c r="E1903" s="145">
        <v>0.14199999999999999</v>
      </c>
      <c r="F1903" s="145">
        <v>2.9000000000000001E-2</v>
      </c>
      <c r="G1903" s="145">
        <v>1.2E-2</v>
      </c>
      <c r="H1903" s="145">
        <v>3.9E-2</v>
      </c>
      <c r="I1903" s="145">
        <v>3.1E-2</v>
      </c>
      <c r="J1903" s="145">
        <v>8.0000000000000002E-3</v>
      </c>
      <c r="K1903" s="145" t="s">
        <v>400</v>
      </c>
      <c r="L1903" s="145">
        <v>13.311999999999999</v>
      </c>
      <c r="M1903" s="145">
        <v>1.6839999999999999</v>
      </c>
      <c r="N1903" s="145">
        <v>15.878</v>
      </c>
      <c r="O1903" s="145">
        <v>7.4989999999999997</v>
      </c>
      <c r="P1903" s="145">
        <v>3.6999999999999998E-2</v>
      </c>
      <c r="Q1903" s="145">
        <v>13.342000000000001</v>
      </c>
      <c r="R1903" s="145">
        <v>0.16400000000000001</v>
      </c>
      <c r="S1903" s="145">
        <v>0.81899999999999995</v>
      </c>
      <c r="T1903" s="145">
        <v>154.023</v>
      </c>
      <c r="U1903" s="145">
        <v>6.2E-2</v>
      </c>
      <c r="V1903" s="145">
        <v>6.0999999999999999E-2</v>
      </c>
      <c r="W1903" s="145" t="s">
        <v>400</v>
      </c>
      <c r="X1903" s="145">
        <v>0.05</v>
      </c>
      <c r="Y1903" s="145">
        <v>3.9E-2</v>
      </c>
      <c r="Z1903" s="146">
        <v>5.7000000000000002E-2</v>
      </c>
      <c r="AA1903" s="145">
        <v>0.19700000000000001</v>
      </c>
      <c r="AB1903" s="145">
        <v>23.195</v>
      </c>
      <c r="AC1903" s="145">
        <v>0.308</v>
      </c>
      <c r="AD1903" s="145" t="s">
        <v>400</v>
      </c>
      <c r="AE1903" s="145">
        <v>10.257</v>
      </c>
      <c r="AF1903" s="145" t="s">
        <v>400</v>
      </c>
      <c r="AG1903" s="145">
        <v>0.245</v>
      </c>
      <c r="AH1903" s="145" t="s">
        <v>400</v>
      </c>
      <c r="AI1903" s="145" t="s">
        <v>400</v>
      </c>
      <c r="AJ1903" s="145">
        <v>0.44</v>
      </c>
      <c r="AK1903" s="145">
        <v>4.5140000000000002</v>
      </c>
      <c r="AL1903" s="145">
        <v>10.260999999999999</v>
      </c>
      <c r="AM1903" s="145" t="s">
        <v>400</v>
      </c>
    </row>
    <row r="1904" spans="1:39">
      <c r="A1904" s="143" t="s">
        <v>2964</v>
      </c>
      <c r="B1904" s="144">
        <v>100</v>
      </c>
      <c r="C1904" s="145">
        <v>28.776</v>
      </c>
      <c r="D1904" s="145">
        <v>1.629</v>
      </c>
      <c r="E1904" s="145">
        <v>0.78</v>
      </c>
      <c r="F1904" s="145">
        <v>0.307</v>
      </c>
      <c r="G1904" s="145">
        <v>0.32100000000000001</v>
      </c>
      <c r="H1904" s="145">
        <v>4.9000000000000002E-2</v>
      </c>
      <c r="I1904" s="145">
        <v>3.9E-2</v>
      </c>
      <c r="J1904" s="145">
        <v>8.0000000000000002E-3</v>
      </c>
      <c r="K1904" s="145">
        <v>3.476</v>
      </c>
      <c r="L1904" s="145">
        <v>3.81</v>
      </c>
      <c r="M1904" s="145">
        <v>0.64300000000000002</v>
      </c>
      <c r="N1904" s="145">
        <v>6.74</v>
      </c>
      <c r="O1904" s="145">
        <v>5.38</v>
      </c>
      <c r="P1904" s="145">
        <v>5.5E-2</v>
      </c>
      <c r="Q1904" s="145">
        <v>20.167999999999999</v>
      </c>
      <c r="R1904" s="145">
        <v>0.216</v>
      </c>
      <c r="S1904" s="145">
        <v>333.11399999999998</v>
      </c>
      <c r="T1904" s="145">
        <v>57.451000000000001</v>
      </c>
      <c r="U1904" s="145">
        <v>2.5999999999999999E-2</v>
      </c>
      <c r="V1904" s="145">
        <v>0.24199999999999999</v>
      </c>
      <c r="W1904" s="145" t="s">
        <v>400</v>
      </c>
      <c r="X1904" s="145">
        <v>1.6E-2</v>
      </c>
      <c r="Y1904" s="145">
        <v>1.7999999999999999E-2</v>
      </c>
      <c r="Z1904" s="146">
        <v>4.3999999999999997E-2</v>
      </c>
      <c r="AA1904" s="145">
        <v>0.69299999999999995</v>
      </c>
      <c r="AB1904" s="145">
        <v>0.51100000000000001</v>
      </c>
      <c r="AC1904" s="145">
        <v>0.94199999999999995</v>
      </c>
      <c r="AD1904" s="145">
        <v>7.3999999999999996E-2</v>
      </c>
      <c r="AE1904" s="145">
        <v>2.903</v>
      </c>
      <c r="AF1904" s="145">
        <v>0.02</v>
      </c>
      <c r="AG1904" s="145">
        <v>5.6000000000000001E-2</v>
      </c>
      <c r="AH1904" s="145">
        <v>3.3000000000000002E-2</v>
      </c>
      <c r="AI1904" s="145" t="s">
        <v>400</v>
      </c>
      <c r="AJ1904" s="145">
        <v>2.226</v>
      </c>
      <c r="AK1904" s="145">
        <v>28.687000000000001</v>
      </c>
      <c r="AL1904" s="145">
        <v>0.23200000000000001</v>
      </c>
      <c r="AM1904" s="145" t="s">
        <v>400</v>
      </c>
    </row>
    <row r="1905" spans="1:39">
      <c r="A1905" s="143" t="s">
        <v>2965</v>
      </c>
      <c r="B1905" s="144">
        <v>100</v>
      </c>
      <c r="C1905" s="145">
        <v>202.85300000000001</v>
      </c>
      <c r="D1905" s="145">
        <v>14.260999999999999</v>
      </c>
      <c r="E1905" s="145">
        <v>14.414</v>
      </c>
      <c r="F1905" s="145">
        <v>2.68</v>
      </c>
      <c r="G1905" s="145">
        <v>4.0149999999999997</v>
      </c>
      <c r="H1905" s="145">
        <v>6.351</v>
      </c>
      <c r="I1905" s="145">
        <v>5.5750000000000002</v>
      </c>
      <c r="J1905" s="145">
        <v>0.66600000000000004</v>
      </c>
      <c r="K1905" s="145">
        <v>114.279</v>
      </c>
      <c r="L1905" s="145">
        <v>3.9340000000000002</v>
      </c>
      <c r="M1905" s="145">
        <v>0.55100000000000005</v>
      </c>
      <c r="N1905" s="145">
        <v>28.292999999999999</v>
      </c>
      <c r="O1905" s="145">
        <v>16.513000000000002</v>
      </c>
      <c r="P1905" s="145">
        <v>4.9000000000000002E-2</v>
      </c>
      <c r="Q1905" s="145">
        <v>123.926</v>
      </c>
      <c r="R1905" s="145">
        <v>0.91300000000000003</v>
      </c>
      <c r="S1905" s="145">
        <v>202.76300000000001</v>
      </c>
      <c r="T1905" s="145">
        <v>173.16</v>
      </c>
      <c r="U1905" s="145">
        <v>4.3999999999999997E-2</v>
      </c>
      <c r="V1905" s="145">
        <v>0.746</v>
      </c>
      <c r="W1905" s="145">
        <v>44.841000000000001</v>
      </c>
      <c r="X1905" s="145">
        <v>5.6000000000000001E-2</v>
      </c>
      <c r="Y1905" s="145">
        <v>0.16</v>
      </c>
      <c r="Z1905" s="146">
        <v>0.33800000000000002</v>
      </c>
      <c r="AA1905" s="145">
        <v>4.7290000000000001</v>
      </c>
      <c r="AB1905" s="145">
        <v>3.081</v>
      </c>
      <c r="AC1905" s="145">
        <v>7.5190000000000001</v>
      </c>
      <c r="AD1905" s="145">
        <v>0.374</v>
      </c>
      <c r="AE1905" s="145">
        <v>20.356999999999999</v>
      </c>
      <c r="AF1905" s="145">
        <v>0.34899999999999998</v>
      </c>
      <c r="AG1905" s="145">
        <v>1.113</v>
      </c>
      <c r="AH1905" s="145">
        <v>7.0000000000000007E-2</v>
      </c>
      <c r="AI1905" s="145" t="s">
        <v>400</v>
      </c>
      <c r="AJ1905" s="145">
        <v>15.643000000000001</v>
      </c>
      <c r="AK1905" s="145">
        <v>55.817999999999998</v>
      </c>
      <c r="AL1905" s="145">
        <v>2.9089999999999998</v>
      </c>
      <c r="AM1905" s="145">
        <v>2.0910000000000002</v>
      </c>
    </row>
    <row r="1906" spans="1:39">
      <c r="A1906" s="143" t="s">
        <v>2966</v>
      </c>
      <c r="B1906" s="144">
        <v>100</v>
      </c>
      <c r="C1906" s="145">
        <v>84.911000000000001</v>
      </c>
      <c r="D1906" s="145">
        <v>9.6259999999999994</v>
      </c>
      <c r="E1906" s="145">
        <v>1.298</v>
      </c>
      <c r="F1906" s="145">
        <v>0.42099999999999999</v>
      </c>
      <c r="G1906" s="145">
        <v>0.49</v>
      </c>
      <c r="H1906" s="145">
        <v>0.10299999999999999</v>
      </c>
      <c r="I1906" s="145">
        <v>8.5000000000000006E-2</v>
      </c>
      <c r="J1906" s="145">
        <v>1.0999999999999999E-2</v>
      </c>
      <c r="K1906" s="145">
        <v>20.791</v>
      </c>
      <c r="L1906" s="145">
        <v>8.7530000000000001</v>
      </c>
      <c r="M1906" s="145">
        <v>1.196</v>
      </c>
      <c r="N1906" s="145">
        <v>19.306000000000001</v>
      </c>
      <c r="O1906" s="145">
        <v>17.969000000000001</v>
      </c>
      <c r="P1906" s="145">
        <v>0.16500000000000001</v>
      </c>
      <c r="Q1906" s="145">
        <v>79.98</v>
      </c>
      <c r="R1906" s="145">
        <v>1.385</v>
      </c>
      <c r="S1906" s="145">
        <v>415.85</v>
      </c>
      <c r="T1906" s="145">
        <v>255.667</v>
      </c>
      <c r="U1906" s="145">
        <v>0.10100000000000001</v>
      </c>
      <c r="V1906" s="145">
        <v>1.2849999999999999</v>
      </c>
      <c r="W1906" s="145" t="s">
        <v>400</v>
      </c>
      <c r="X1906" s="145">
        <v>6.7000000000000004E-2</v>
      </c>
      <c r="Y1906" s="145">
        <v>9.2999999999999999E-2</v>
      </c>
      <c r="Z1906" s="146">
        <v>0.14699999999999999</v>
      </c>
      <c r="AA1906" s="145">
        <v>1.5620000000000001</v>
      </c>
      <c r="AB1906" s="145">
        <v>10.504</v>
      </c>
      <c r="AC1906" s="145">
        <v>2.6819999999999999</v>
      </c>
      <c r="AD1906" s="145">
        <v>0.624</v>
      </c>
      <c r="AE1906" s="145">
        <v>19.510999999999999</v>
      </c>
      <c r="AF1906" s="145">
        <v>0.19</v>
      </c>
      <c r="AG1906" s="145">
        <v>0.55600000000000005</v>
      </c>
      <c r="AH1906" s="145">
        <v>5.1999999999999998E-2</v>
      </c>
      <c r="AI1906" s="145" t="s">
        <v>400</v>
      </c>
      <c r="AJ1906" s="145">
        <v>9.1080000000000005</v>
      </c>
      <c r="AK1906" s="145">
        <v>6.8129999999999997</v>
      </c>
      <c r="AL1906" s="145">
        <v>2.8090000000000002</v>
      </c>
      <c r="AM1906" s="145">
        <v>0.33700000000000002</v>
      </c>
    </row>
    <row r="1907" spans="1:39">
      <c r="A1907" s="143" t="s">
        <v>2967</v>
      </c>
      <c r="B1907" s="144">
        <v>100</v>
      </c>
      <c r="C1907" s="145">
        <v>92.004999999999995</v>
      </c>
      <c r="D1907" s="145">
        <v>2.165</v>
      </c>
      <c r="E1907" s="145">
        <v>1.6870000000000001</v>
      </c>
      <c r="F1907" s="145">
        <v>0.27800000000000002</v>
      </c>
      <c r="G1907" s="145">
        <v>0.38300000000000001</v>
      </c>
      <c r="H1907" s="145">
        <v>0.91100000000000003</v>
      </c>
      <c r="I1907" s="145">
        <v>0.80500000000000005</v>
      </c>
      <c r="J1907" s="145">
        <v>0.105</v>
      </c>
      <c r="K1907" s="145" t="s">
        <v>400</v>
      </c>
      <c r="L1907" s="145">
        <v>17.466000000000001</v>
      </c>
      <c r="M1907" s="145">
        <v>1.0009999999999999</v>
      </c>
      <c r="N1907" s="145">
        <v>16.893000000000001</v>
      </c>
      <c r="O1907" s="145">
        <v>14.616</v>
      </c>
      <c r="P1907" s="145">
        <v>0.32300000000000001</v>
      </c>
      <c r="Q1907" s="145">
        <v>46.654000000000003</v>
      </c>
      <c r="R1907" s="145">
        <v>1.179</v>
      </c>
      <c r="S1907" s="145">
        <v>179.393</v>
      </c>
      <c r="T1907" s="145">
        <v>222.66300000000001</v>
      </c>
      <c r="U1907" s="145">
        <v>0.10299999999999999</v>
      </c>
      <c r="V1907" s="145">
        <v>0.36299999999999999</v>
      </c>
      <c r="W1907" s="145" t="s">
        <v>400</v>
      </c>
      <c r="X1907" s="145">
        <v>0.109</v>
      </c>
      <c r="Y1907" s="145">
        <v>0.03</v>
      </c>
      <c r="Z1907" s="146">
        <v>0.14299999999999999</v>
      </c>
      <c r="AA1907" s="145">
        <v>1.1479999999999999</v>
      </c>
      <c r="AB1907" s="145">
        <v>24.315999999999999</v>
      </c>
      <c r="AC1907" s="145">
        <v>1.5269999999999999</v>
      </c>
      <c r="AD1907" s="145" t="s">
        <v>400</v>
      </c>
      <c r="AE1907" s="145">
        <v>31.768999999999998</v>
      </c>
      <c r="AF1907" s="145" t="s">
        <v>400</v>
      </c>
      <c r="AG1907" s="145">
        <v>0.66700000000000004</v>
      </c>
      <c r="AH1907" s="145">
        <v>7.0000000000000001E-3</v>
      </c>
      <c r="AI1907" s="145" t="s">
        <v>400</v>
      </c>
      <c r="AJ1907" s="145">
        <v>4.4619999999999997</v>
      </c>
      <c r="AK1907" s="145">
        <v>25.36</v>
      </c>
      <c r="AL1907" s="145">
        <v>3.0430000000000001</v>
      </c>
      <c r="AM1907" s="145">
        <v>0.42899999999999999</v>
      </c>
    </row>
    <row r="1908" spans="1:39">
      <c r="A1908" s="143" t="s">
        <v>2968</v>
      </c>
      <c r="B1908" s="144">
        <v>100</v>
      </c>
      <c r="C1908" s="145">
        <v>198.85599999999999</v>
      </c>
      <c r="D1908" s="145">
        <v>9.3339999999999996</v>
      </c>
      <c r="E1908" s="145">
        <v>8.4659999999999993</v>
      </c>
      <c r="F1908" s="145">
        <v>2.9670000000000001</v>
      </c>
      <c r="G1908" s="145">
        <v>3.1419999999999999</v>
      </c>
      <c r="H1908" s="145">
        <v>1.5069999999999999</v>
      </c>
      <c r="I1908" s="145">
        <v>1.296</v>
      </c>
      <c r="J1908" s="145">
        <v>0.157</v>
      </c>
      <c r="K1908" s="145">
        <v>19.413</v>
      </c>
      <c r="L1908" s="145">
        <v>21.725000000000001</v>
      </c>
      <c r="M1908" s="145">
        <v>3.4670000000000001</v>
      </c>
      <c r="N1908" s="145">
        <v>57.813000000000002</v>
      </c>
      <c r="O1908" s="145">
        <v>36.444000000000003</v>
      </c>
      <c r="P1908" s="145">
        <v>0.371</v>
      </c>
      <c r="Q1908" s="145">
        <v>114.56399999999999</v>
      </c>
      <c r="R1908" s="145">
        <v>2.2200000000000002</v>
      </c>
      <c r="S1908" s="145">
        <v>478.42099999999999</v>
      </c>
      <c r="T1908" s="145">
        <v>375.01299999999998</v>
      </c>
      <c r="U1908" s="145">
        <v>0.17699999999999999</v>
      </c>
      <c r="V1908" s="145">
        <v>1.1439999999999999</v>
      </c>
      <c r="W1908" s="145">
        <v>13.46</v>
      </c>
      <c r="X1908" s="145">
        <v>0.124</v>
      </c>
      <c r="Y1908" s="145">
        <v>7.0999999999999994E-2</v>
      </c>
      <c r="Z1908" s="146">
        <v>0.13400000000000001</v>
      </c>
      <c r="AA1908" s="145">
        <v>1.5349999999999999</v>
      </c>
      <c r="AB1908" s="145">
        <v>6.6989999999999998</v>
      </c>
      <c r="AC1908" s="145">
        <v>3.1230000000000002</v>
      </c>
      <c r="AD1908" s="145">
        <v>0.2</v>
      </c>
      <c r="AE1908" s="145">
        <v>42.61</v>
      </c>
      <c r="AF1908" s="145">
        <v>7.5999999999999998E-2</v>
      </c>
      <c r="AG1908" s="145">
        <v>0.73899999999999999</v>
      </c>
      <c r="AH1908" s="145">
        <v>9.6000000000000002E-2</v>
      </c>
      <c r="AI1908" s="145" t="s">
        <v>400</v>
      </c>
      <c r="AJ1908" s="145">
        <v>6.06</v>
      </c>
      <c r="AK1908" s="145">
        <v>94.406999999999996</v>
      </c>
      <c r="AL1908" s="145">
        <v>1.028</v>
      </c>
      <c r="AM1908" s="145">
        <v>0.107</v>
      </c>
    </row>
    <row r="1909" spans="1:39">
      <c r="A1909" s="143" t="s">
        <v>2969</v>
      </c>
      <c r="B1909" s="144">
        <v>100</v>
      </c>
      <c r="C1909" s="145">
        <v>72.099999999999994</v>
      </c>
      <c r="D1909" s="145">
        <v>2.6309999999999998</v>
      </c>
      <c r="E1909" s="145">
        <v>4.42</v>
      </c>
      <c r="F1909" s="145">
        <v>1.69</v>
      </c>
      <c r="G1909" s="145">
        <v>1.2170000000000001</v>
      </c>
      <c r="H1909" s="145">
        <v>1.1819999999999999</v>
      </c>
      <c r="I1909" s="145">
        <v>1.0920000000000001</v>
      </c>
      <c r="J1909" s="145">
        <v>7.4999999999999997E-2</v>
      </c>
      <c r="K1909" s="145">
        <v>12.984</v>
      </c>
      <c r="L1909" s="145">
        <v>5.476</v>
      </c>
      <c r="M1909" s="145">
        <v>0.154</v>
      </c>
      <c r="N1909" s="145">
        <v>62.244</v>
      </c>
      <c r="O1909" s="145">
        <v>8.2070000000000007</v>
      </c>
      <c r="P1909" s="145">
        <v>2.7E-2</v>
      </c>
      <c r="Q1909" s="145">
        <v>56.011000000000003</v>
      </c>
      <c r="R1909" s="145">
        <v>0.28699999999999998</v>
      </c>
      <c r="S1909" s="145">
        <v>381.15100000000001</v>
      </c>
      <c r="T1909" s="145">
        <v>106.068</v>
      </c>
      <c r="U1909" s="145">
        <v>2.9000000000000001E-2</v>
      </c>
      <c r="V1909" s="145">
        <v>0.29199999999999998</v>
      </c>
      <c r="W1909" s="145">
        <v>21.376000000000001</v>
      </c>
      <c r="X1909" s="145">
        <v>4.2000000000000003E-2</v>
      </c>
      <c r="Y1909" s="145">
        <v>0.11</v>
      </c>
      <c r="Z1909" s="146">
        <v>2.9000000000000001E-2</v>
      </c>
      <c r="AA1909" s="145">
        <v>0.33100000000000002</v>
      </c>
      <c r="AB1909" s="145">
        <v>0.56499999999999995</v>
      </c>
      <c r="AC1909" s="145">
        <v>1.173</v>
      </c>
      <c r="AD1909" s="145">
        <v>0.26900000000000002</v>
      </c>
      <c r="AE1909" s="145">
        <v>7.3209999999999997</v>
      </c>
      <c r="AF1909" s="145">
        <v>0.624</v>
      </c>
      <c r="AG1909" s="145">
        <v>0.59899999999999998</v>
      </c>
      <c r="AH1909" s="145">
        <v>0.184</v>
      </c>
      <c r="AI1909" s="145" t="s">
        <v>400</v>
      </c>
      <c r="AJ1909" s="145">
        <v>4.4809999999999999</v>
      </c>
      <c r="AK1909" s="145">
        <v>23.32</v>
      </c>
      <c r="AL1909" s="145">
        <v>3.0089999999999999</v>
      </c>
      <c r="AM1909" s="145" t="s">
        <v>400</v>
      </c>
    </row>
    <row r="1910" spans="1:39">
      <c r="A1910" s="143" t="s">
        <v>2970</v>
      </c>
      <c r="B1910" s="144">
        <v>100</v>
      </c>
      <c r="C1910" s="145">
        <v>215.87</v>
      </c>
      <c r="D1910" s="145">
        <v>6.07</v>
      </c>
      <c r="E1910" s="145">
        <v>20.07</v>
      </c>
      <c r="F1910" s="145">
        <v>9.8000000000000007</v>
      </c>
      <c r="G1910" s="145">
        <v>7.34</v>
      </c>
      <c r="H1910" s="145">
        <v>1.96</v>
      </c>
      <c r="I1910" s="145" t="s">
        <v>400</v>
      </c>
      <c r="J1910" s="145" t="s">
        <v>400</v>
      </c>
      <c r="K1910" s="145">
        <v>47.04</v>
      </c>
      <c r="L1910" s="145">
        <v>4.07</v>
      </c>
      <c r="M1910" s="145">
        <v>1.41</v>
      </c>
      <c r="N1910" s="145">
        <v>44.86</v>
      </c>
      <c r="O1910" s="145">
        <v>40.28</v>
      </c>
      <c r="P1910" s="145" t="s">
        <v>400</v>
      </c>
      <c r="Q1910" s="145">
        <v>64.599999999999994</v>
      </c>
      <c r="R1910" s="145">
        <v>1</v>
      </c>
      <c r="S1910" s="145">
        <v>59.85</v>
      </c>
      <c r="T1910" s="145">
        <v>225.69</v>
      </c>
      <c r="U1910" s="145">
        <v>0.09</v>
      </c>
      <c r="V1910" s="145">
        <v>0.69</v>
      </c>
      <c r="W1910" s="145">
        <v>48.23</v>
      </c>
      <c r="X1910" s="145">
        <v>0.08</v>
      </c>
      <c r="Y1910" s="145">
        <v>0.04</v>
      </c>
      <c r="Z1910" s="146">
        <v>0.13</v>
      </c>
      <c r="AA1910" s="145" t="s">
        <v>400</v>
      </c>
      <c r="AB1910" s="145">
        <v>9.6999999999999993</v>
      </c>
      <c r="AC1910" s="145" t="s">
        <v>400</v>
      </c>
      <c r="AD1910" s="145">
        <v>0.36</v>
      </c>
      <c r="AE1910" s="145" t="s">
        <v>400</v>
      </c>
      <c r="AF1910" s="145">
        <v>0.86</v>
      </c>
      <c r="AG1910" s="145">
        <v>7.55</v>
      </c>
      <c r="AH1910" s="145" t="s">
        <v>400</v>
      </c>
      <c r="AI1910" s="145" t="s">
        <v>400</v>
      </c>
      <c r="AJ1910" s="145">
        <v>9.83</v>
      </c>
      <c r="AK1910" s="145" t="s">
        <v>400</v>
      </c>
      <c r="AL1910" s="145" t="s">
        <v>400</v>
      </c>
      <c r="AM1910" s="145" t="s">
        <v>400</v>
      </c>
    </row>
    <row r="1911" spans="1:39">
      <c r="A1911" s="143" t="s">
        <v>2971</v>
      </c>
      <c r="B1911" s="144">
        <v>100</v>
      </c>
      <c r="C1911" s="145">
        <v>142</v>
      </c>
      <c r="D1911" s="145">
        <v>2.6</v>
      </c>
      <c r="E1911" s="145">
        <v>4.5999999999999996</v>
      </c>
      <c r="F1911" s="145">
        <v>1.8</v>
      </c>
      <c r="G1911" s="145">
        <v>1.8</v>
      </c>
      <c r="H1911" s="145">
        <v>0.8</v>
      </c>
      <c r="I1911" s="145">
        <v>0.69</v>
      </c>
      <c r="J1911" s="145">
        <v>0.1</v>
      </c>
      <c r="K1911" s="145">
        <v>15</v>
      </c>
      <c r="L1911" s="145">
        <v>22.5</v>
      </c>
      <c r="M1911" s="145">
        <v>2.4</v>
      </c>
      <c r="N1911" s="145">
        <v>14</v>
      </c>
      <c r="O1911" s="145">
        <v>5</v>
      </c>
      <c r="P1911" s="145">
        <v>0.06</v>
      </c>
      <c r="Q1911" s="145">
        <v>26</v>
      </c>
      <c r="R1911" s="145">
        <v>0.3</v>
      </c>
      <c r="S1911" s="145">
        <v>236</v>
      </c>
      <c r="T1911" s="145">
        <v>53</v>
      </c>
      <c r="U1911" s="145">
        <v>0.05</v>
      </c>
      <c r="V1911" s="145">
        <v>0.2</v>
      </c>
      <c r="W1911" s="145" t="s">
        <v>400</v>
      </c>
      <c r="X1911" s="145" t="s">
        <v>400</v>
      </c>
      <c r="Y1911" s="145" t="s">
        <v>400</v>
      </c>
      <c r="Z1911" s="146" t="s">
        <v>400</v>
      </c>
      <c r="AA1911" s="145">
        <v>0.93</v>
      </c>
      <c r="AB1911" s="145" t="s">
        <v>400</v>
      </c>
      <c r="AC1911" s="145" t="s">
        <v>400</v>
      </c>
      <c r="AD1911" s="145" t="s">
        <v>400</v>
      </c>
      <c r="AE1911" s="145" t="s">
        <v>400</v>
      </c>
      <c r="AF1911" s="145" t="s">
        <v>400</v>
      </c>
      <c r="AG1911" s="145" t="s">
        <v>400</v>
      </c>
      <c r="AH1911" s="145" t="s">
        <v>400</v>
      </c>
      <c r="AI1911" s="145" t="s">
        <v>400</v>
      </c>
      <c r="AJ1911" s="145" t="s">
        <v>400</v>
      </c>
      <c r="AK1911" s="145" t="s">
        <v>400</v>
      </c>
      <c r="AL1911" s="145" t="s">
        <v>400</v>
      </c>
      <c r="AM1911" s="145" t="s">
        <v>400</v>
      </c>
    </row>
    <row r="1912" spans="1:39">
      <c r="A1912" s="143" t="s">
        <v>2972</v>
      </c>
      <c r="B1912" s="144">
        <v>100</v>
      </c>
      <c r="C1912" s="145">
        <v>153.96299999999999</v>
      </c>
      <c r="D1912" s="145">
        <v>7.8869999999999996</v>
      </c>
      <c r="E1912" s="145">
        <v>7.9080000000000004</v>
      </c>
      <c r="F1912" s="145">
        <v>2.7069999999999999</v>
      </c>
      <c r="G1912" s="145">
        <v>3.109</v>
      </c>
      <c r="H1912" s="145">
        <v>1.589</v>
      </c>
      <c r="I1912" s="145">
        <v>1.462</v>
      </c>
      <c r="J1912" s="145">
        <v>8.7999999999999995E-2</v>
      </c>
      <c r="K1912" s="145">
        <v>17.315999999999999</v>
      </c>
      <c r="L1912" s="145">
        <v>12.471</v>
      </c>
      <c r="M1912" s="145">
        <v>1.03</v>
      </c>
      <c r="N1912" s="145">
        <v>12.561999999999999</v>
      </c>
      <c r="O1912" s="145">
        <v>11.321</v>
      </c>
      <c r="P1912" s="145">
        <v>0.188</v>
      </c>
      <c r="Q1912" s="145">
        <v>74.337000000000003</v>
      </c>
      <c r="R1912" s="145">
        <v>1.056</v>
      </c>
      <c r="S1912" s="145">
        <v>193.95400000000001</v>
      </c>
      <c r="T1912" s="145">
        <v>136.56299999999999</v>
      </c>
      <c r="U1912" s="145">
        <v>7.0999999999999994E-2</v>
      </c>
      <c r="V1912" s="145">
        <v>0.43</v>
      </c>
      <c r="W1912" s="145">
        <v>1.4370000000000001</v>
      </c>
      <c r="X1912" s="145">
        <v>0.153</v>
      </c>
      <c r="Y1912" s="145">
        <v>0.109</v>
      </c>
      <c r="Z1912" s="146">
        <v>0.13200000000000001</v>
      </c>
      <c r="AA1912" s="145">
        <v>3.6240000000000001</v>
      </c>
      <c r="AB1912" s="145">
        <v>1.7829999999999999</v>
      </c>
      <c r="AC1912" s="145">
        <v>5.024</v>
      </c>
      <c r="AD1912" s="145">
        <v>0.104</v>
      </c>
      <c r="AE1912" s="145">
        <v>33.268000000000001</v>
      </c>
      <c r="AF1912" s="145">
        <v>3.2000000000000001E-2</v>
      </c>
      <c r="AG1912" s="145">
        <v>0.216</v>
      </c>
      <c r="AH1912" s="145">
        <v>0.73399999999999999</v>
      </c>
      <c r="AI1912" s="145" t="s">
        <v>400</v>
      </c>
      <c r="AJ1912" s="145">
        <v>8.4640000000000004</v>
      </c>
      <c r="AK1912" s="145">
        <v>80.471000000000004</v>
      </c>
      <c r="AL1912" s="145">
        <v>1.2170000000000001</v>
      </c>
      <c r="AM1912" s="145" t="s">
        <v>400</v>
      </c>
    </row>
    <row r="1913" spans="1:39">
      <c r="A1913" s="143" t="s">
        <v>2973</v>
      </c>
      <c r="B1913" s="144">
        <v>100</v>
      </c>
      <c r="C1913" s="145">
        <v>309.55250000000001</v>
      </c>
      <c r="D1913" s="145">
        <v>1.6579999999999999</v>
      </c>
      <c r="E1913" s="145">
        <v>11.173</v>
      </c>
      <c r="F1913" s="145">
        <v>2.02</v>
      </c>
      <c r="G1913" s="145">
        <v>2.6850000000000001</v>
      </c>
      <c r="H1913" s="145">
        <v>5.0084999999999997</v>
      </c>
      <c r="I1913" s="145">
        <v>4.4515000000000002</v>
      </c>
      <c r="J1913" s="145">
        <v>0.54700000000000004</v>
      </c>
      <c r="K1913" s="145" t="s">
        <v>400</v>
      </c>
      <c r="L1913" s="145">
        <v>52.887</v>
      </c>
      <c r="M1913" s="145">
        <v>5.35</v>
      </c>
      <c r="N1913" s="145">
        <v>35.788499999999999</v>
      </c>
      <c r="O1913" s="145">
        <v>32.0565</v>
      </c>
      <c r="P1913" s="145">
        <v>0.29549999999999998</v>
      </c>
      <c r="Q1913" s="145">
        <v>34.768500000000003</v>
      </c>
      <c r="R1913" s="145">
        <v>0.84799999999999998</v>
      </c>
      <c r="S1913" s="145">
        <v>288.0575</v>
      </c>
      <c r="T1913" s="145">
        <v>300.14099999999996</v>
      </c>
      <c r="U1913" s="145">
        <v>4.3499999999999997E-2</v>
      </c>
      <c r="V1913" s="145">
        <v>0.1845</v>
      </c>
      <c r="W1913" s="145">
        <v>3.5785</v>
      </c>
      <c r="X1913" s="145">
        <v>6.7500000000000004E-2</v>
      </c>
      <c r="Y1913" s="145">
        <v>4.0500000000000001E-2</v>
      </c>
      <c r="Z1913" s="146">
        <v>0.27949999999999997</v>
      </c>
      <c r="AA1913" s="145">
        <v>0.371</v>
      </c>
      <c r="AB1913" s="145">
        <v>4.8514999999999997</v>
      </c>
      <c r="AC1913" s="145" t="s">
        <v>400</v>
      </c>
      <c r="AD1913" s="145" t="s">
        <v>400</v>
      </c>
      <c r="AE1913" s="145" t="s">
        <v>400</v>
      </c>
      <c r="AF1913" s="145" t="s">
        <v>400</v>
      </c>
      <c r="AG1913" s="145" t="s">
        <v>400</v>
      </c>
      <c r="AH1913" s="145" t="s">
        <v>400</v>
      </c>
      <c r="AI1913" s="145" t="s">
        <v>400</v>
      </c>
      <c r="AJ1913" s="145" t="s">
        <v>400</v>
      </c>
      <c r="AK1913" s="145" t="s">
        <v>400</v>
      </c>
      <c r="AL1913" s="145" t="s">
        <v>400</v>
      </c>
      <c r="AM1913" s="145" t="s">
        <v>400</v>
      </c>
    </row>
    <row r="1914" spans="1:39">
      <c r="A1914" s="143" t="s">
        <v>2974</v>
      </c>
      <c r="B1914" s="144">
        <v>100</v>
      </c>
      <c r="C1914" s="145">
        <v>198.85599999999999</v>
      </c>
      <c r="D1914" s="145">
        <v>9.3339999999999996</v>
      </c>
      <c r="E1914" s="145">
        <v>8.4659999999999993</v>
      </c>
      <c r="F1914" s="145">
        <v>2.9670000000000001</v>
      </c>
      <c r="G1914" s="145">
        <v>3.1419999999999999</v>
      </c>
      <c r="H1914" s="145">
        <v>1.5069999999999999</v>
      </c>
      <c r="I1914" s="145">
        <v>1.296</v>
      </c>
      <c r="J1914" s="145">
        <v>0.157</v>
      </c>
      <c r="K1914" s="145">
        <v>19.413</v>
      </c>
      <c r="L1914" s="145">
        <v>21.725000000000001</v>
      </c>
      <c r="M1914" s="145">
        <v>3.4670000000000001</v>
      </c>
      <c r="N1914" s="145">
        <v>57.813000000000002</v>
      </c>
      <c r="O1914" s="145">
        <v>36.444000000000003</v>
      </c>
      <c r="P1914" s="145">
        <v>0.371</v>
      </c>
      <c r="Q1914" s="145">
        <v>114.56399999999999</v>
      </c>
      <c r="R1914" s="145">
        <v>2.2200000000000002</v>
      </c>
      <c r="S1914" s="145">
        <v>478.42099999999999</v>
      </c>
      <c r="T1914" s="145">
        <v>375.01299999999998</v>
      </c>
      <c r="U1914" s="145">
        <v>0.17699999999999999</v>
      </c>
      <c r="V1914" s="145">
        <v>1.1439999999999999</v>
      </c>
      <c r="W1914" s="145">
        <v>13.46</v>
      </c>
      <c r="X1914" s="145">
        <v>0.124</v>
      </c>
      <c r="Y1914" s="145">
        <v>7.0999999999999994E-2</v>
      </c>
      <c r="Z1914" s="146">
        <v>0.13400000000000001</v>
      </c>
      <c r="AA1914" s="145">
        <v>1.5349999999999999</v>
      </c>
      <c r="AB1914" s="145">
        <v>6.6989999999999998</v>
      </c>
      <c r="AC1914" s="145">
        <v>3.1230000000000002</v>
      </c>
      <c r="AD1914" s="145">
        <v>0.2</v>
      </c>
      <c r="AE1914" s="145">
        <v>42.61</v>
      </c>
      <c r="AF1914" s="145">
        <v>7.5999999999999998E-2</v>
      </c>
      <c r="AG1914" s="145">
        <v>0.73899999999999999</v>
      </c>
      <c r="AH1914" s="145">
        <v>9.6000000000000002E-2</v>
      </c>
      <c r="AI1914" s="145" t="s">
        <v>400</v>
      </c>
      <c r="AJ1914" s="145">
        <v>6.06</v>
      </c>
      <c r="AK1914" s="145">
        <v>94.406999999999996</v>
      </c>
      <c r="AL1914" s="145">
        <v>1.028</v>
      </c>
      <c r="AM1914" s="145">
        <v>0.107</v>
      </c>
    </row>
    <row r="1915" spans="1:39">
      <c r="A1915" s="143" t="s">
        <v>2975</v>
      </c>
      <c r="B1915" s="144">
        <v>100</v>
      </c>
      <c r="C1915" s="145">
        <v>143.501</v>
      </c>
      <c r="D1915" s="145">
        <v>4.4649999999999999</v>
      </c>
      <c r="E1915" s="145">
        <v>3.073</v>
      </c>
      <c r="F1915" s="145">
        <v>0.54700000000000004</v>
      </c>
      <c r="G1915" s="145">
        <v>0.752</v>
      </c>
      <c r="H1915" s="145">
        <v>1.5880000000000001</v>
      </c>
      <c r="I1915" s="145">
        <v>1.393</v>
      </c>
      <c r="J1915" s="145">
        <v>0.182</v>
      </c>
      <c r="K1915" s="145">
        <v>5.34</v>
      </c>
      <c r="L1915" s="145">
        <v>23.925999999999998</v>
      </c>
      <c r="M1915" s="145">
        <v>0.65</v>
      </c>
      <c r="N1915" s="145">
        <v>16.956</v>
      </c>
      <c r="O1915" s="145">
        <v>14.278</v>
      </c>
      <c r="P1915" s="145">
        <v>0.41299999999999998</v>
      </c>
      <c r="Q1915" s="145">
        <v>58.718000000000004</v>
      </c>
      <c r="R1915" s="145">
        <v>1.1759999999999999</v>
      </c>
      <c r="S1915" s="145">
        <v>534.10299999999995</v>
      </c>
      <c r="T1915" s="145">
        <v>99.561999999999998</v>
      </c>
      <c r="U1915" s="145">
        <v>9.0999999999999998E-2</v>
      </c>
      <c r="V1915" s="145">
        <v>0.53500000000000003</v>
      </c>
      <c r="W1915" s="145">
        <v>0.55200000000000005</v>
      </c>
      <c r="X1915" s="145">
        <v>0.14399999999999999</v>
      </c>
      <c r="Y1915" s="145">
        <v>0.04</v>
      </c>
      <c r="Z1915" s="146">
        <v>0.14099999999999999</v>
      </c>
      <c r="AA1915" s="145">
        <v>2.177</v>
      </c>
      <c r="AB1915" s="145">
        <v>1.325</v>
      </c>
      <c r="AC1915" s="145">
        <v>3.0249999999999999</v>
      </c>
      <c r="AD1915" s="145">
        <v>2.4E-2</v>
      </c>
      <c r="AE1915" s="145">
        <v>37.396000000000001</v>
      </c>
      <c r="AF1915" s="145">
        <v>3.5000000000000003E-2</v>
      </c>
      <c r="AG1915" s="145">
        <v>0.27100000000000002</v>
      </c>
      <c r="AH1915" s="145">
        <v>0.02</v>
      </c>
      <c r="AI1915" s="145" t="s">
        <v>400</v>
      </c>
      <c r="AJ1915" s="145">
        <v>9.4220000000000006</v>
      </c>
      <c r="AK1915" s="145">
        <v>1.8779999999999999</v>
      </c>
      <c r="AL1915" s="145">
        <v>0.82799999999999996</v>
      </c>
      <c r="AM1915" s="145">
        <v>3.9E-2</v>
      </c>
    </row>
    <row r="1916" spans="1:39">
      <c r="A1916" s="143" t="s">
        <v>2976</v>
      </c>
      <c r="B1916" s="144">
        <v>100</v>
      </c>
      <c r="C1916" s="145">
        <v>143.501</v>
      </c>
      <c r="D1916" s="145">
        <v>4.4649999999999999</v>
      </c>
      <c r="E1916" s="145">
        <v>3.073</v>
      </c>
      <c r="F1916" s="145">
        <v>0.54700000000000004</v>
      </c>
      <c r="G1916" s="145">
        <v>0.752</v>
      </c>
      <c r="H1916" s="145">
        <v>1.5880000000000001</v>
      </c>
      <c r="I1916" s="145">
        <v>1.393</v>
      </c>
      <c r="J1916" s="145">
        <v>0.182</v>
      </c>
      <c r="K1916" s="145">
        <v>5.34</v>
      </c>
      <c r="L1916" s="145">
        <v>23.925999999999998</v>
      </c>
      <c r="M1916" s="145">
        <v>0.65</v>
      </c>
      <c r="N1916" s="145">
        <v>16.956</v>
      </c>
      <c r="O1916" s="145">
        <v>14.278</v>
      </c>
      <c r="P1916" s="145">
        <v>0.41299999999999998</v>
      </c>
      <c r="Q1916" s="145">
        <v>58.718000000000004</v>
      </c>
      <c r="R1916" s="145">
        <v>1.1759999999999999</v>
      </c>
      <c r="S1916" s="145">
        <v>534.10299999999995</v>
      </c>
      <c r="T1916" s="145">
        <v>99.561999999999998</v>
      </c>
      <c r="U1916" s="145">
        <v>9.0999999999999998E-2</v>
      </c>
      <c r="V1916" s="145">
        <v>0.53500000000000003</v>
      </c>
      <c r="W1916" s="145">
        <v>0.55200000000000005</v>
      </c>
      <c r="X1916" s="145">
        <v>0.14399999999999999</v>
      </c>
      <c r="Y1916" s="145">
        <v>0.04</v>
      </c>
      <c r="Z1916" s="146">
        <v>0.14099999999999999</v>
      </c>
      <c r="AA1916" s="145">
        <v>2.177</v>
      </c>
      <c r="AB1916" s="145">
        <v>1.325</v>
      </c>
      <c r="AC1916" s="145">
        <v>3.0249999999999999</v>
      </c>
      <c r="AD1916" s="145">
        <v>2.4E-2</v>
      </c>
      <c r="AE1916" s="145">
        <v>37.396000000000001</v>
      </c>
      <c r="AF1916" s="145">
        <v>3.5000000000000003E-2</v>
      </c>
      <c r="AG1916" s="145">
        <v>0.27100000000000002</v>
      </c>
      <c r="AH1916" s="145">
        <v>0.02</v>
      </c>
      <c r="AI1916" s="145" t="s">
        <v>400</v>
      </c>
      <c r="AJ1916" s="145">
        <v>9.4220000000000006</v>
      </c>
      <c r="AK1916" s="145">
        <v>1.8779999999999999</v>
      </c>
      <c r="AL1916" s="145">
        <v>0.82799999999999996</v>
      </c>
      <c r="AM1916" s="145">
        <v>3.9E-2</v>
      </c>
    </row>
    <row r="1917" spans="1:39">
      <c r="A1917" s="143" t="s">
        <v>2977</v>
      </c>
      <c r="B1917" s="144">
        <v>100</v>
      </c>
      <c r="C1917" s="145">
        <v>130.13</v>
      </c>
      <c r="D1917" s="145">
        <v>13.618</v>
      </c>
      <c r="E1917" s="145">
        <v>7.5359999999999996</v>
      </c>
      <c r="F1917" s="145">
        <v>5.0990000000000002</v>
      </c>
      <c r="G1917" s="145">
        <v>1.079</v>
      </c>
      <c r="H1917" s="145">
        <v>0.51300000000000001</v>
      </c>
      <c r="I1917" s="145">
        <v>0.122</v>
      </c>
      <c r="J1917" s="145">
        <v>6.0000000000000001E-3</v>
      </c>
      <c r="K1917" s="145">
        <v>41.655999999999999</v>
      </c>
      <c r="L1917" s="145">
        <v>1.6639999999999999</v>
      </c>
      <c r="M1917" s="145">
        <v>0.16800000000000001</v>
      </c>
      <c r="N1917" s="145">
        <v>39.939</v>
      </c>
      <c r="O1917" s="145">
        <v>24.913</v>
      </c>
      <c r="P1917" s="145">
        <v>0.14099999999999999</v>
      </c>
      <c r="Q1917" s="145">
        <v>171.452</v>
      </c>
      <c r="R1917" s="145">
        <v>3.3490000000000002</v>
      </c>
      <c r="S1917" s="145">
        <v>242.18600000000001</v>
      </c>
      <c r="T1917" s="145">
        <v>309.45</v>
      </c>
      <c r="U1917" s="145">
        <v>0.249</v>
      </c>
      <c r="V1917" s="145">
        <v>0.92900000000000005</v>
      </c>
      <c r="W1917" s="145">
        <v>29.9</v>
      </c>
      <c r="X1917" s="145">
        <v>0.11</v>
      </c>
      <c r="Y1917" s="145">
        <v>9.9000000000000005E-2</v>
      </c>
      <c r="Z1917" s="145">
        <v>0.11700000000000001</v>
      </c>
      <c r="AA1917" s="145">
        <v>1.8260000000000001</v>
      </c>
      <c r="AB1917" s="145">
        <v>5.9039999999999999</v>
      </c>
      <c r="AC1917" s="145">
        <v>4.4589999999999996</v>
      </c>
      <c r="AD1917" s="145">
        <v>10.403</v>
      </c>
      <c r="AE1917" s="145">
        <v>11.304</v>
      </c>
      <c r="AF1917" s="145">
        <v>1.7350000000000001</v>
      </c>
      <c r="AG1917" s="145">
        <v>0.88100000000000001</v>
      </c>
      <c r="AH1917" s="145">
        <v>1.0999999999999999E-2</v>
      </c>
      <c r="AI1917" s="145" t="s">
        <v>400</v>
      </c>
      <c r="AJ1917" s="145">
        <v>26.568999999999999</v>
      </c>
      <c r="AK1917" s="145">
        <v>35.218000000000004</v>
      </c>
      <c r="AL1917" s="145">
        <v>0.54500000000000004</v>
      </c>
      <c r="AM1917" s="145" t="s">
        <v>400</v>
      </c>
    </row>
    <row r="1918" spans="1:39">
      <c r="A1918" s="143" t="s">
        <v>2978</v>
      </c>
      <c r="B1918" s="144">
        <v>100</v>
      </c>
      <c r="C1918" s="145">
        <v>241.61799999999999</v>
      </c>
      <c r="D1918" s="145">
        <v>11.035</v>
      </c>
      <c r="E1918" s="145">
        <v>21.259</v>
      </c>
      <c r="F1918" s="145">
        <v>4.7359999999999998</v>
      </c>
      <c r="G1918" s="145">
        <v>6.2990000000000004</v>
      </c>
      <c r="H1918" s="145">
        <v>8.141</v>
      </c>
      <c r="I1918" s="145">
        <v>7.1319999999999997</v>
      </c>
      <c r="J1918" s="145">
        <v>0.84199999999999997</v>
      </c>
      <c r="K1918" s="145">
        <v>371.93</v>
      </c>
      <c r="L1918" s="145">
        <v>0.98199999999999998</v>
      </c>
      <c r="M1918" s="145" t="s">
        <v>400</v>
      </c>
      <c r="N1918" s="145">
        <v>44.402999999999999</v>
      </c>
      <c r="O1918" s="145">
        <v>8.9079999999999995</v>
      </c>
      <c r="P1918" s="145">
        <v>2.3E-2</v>
      </c>
      <c r="Q1918" s="145">
        <v>150.87700000000001</v>
      </c>
      <c r="R1918" s="145">
        <v>1.052</v>
      </c>
      <c r="S1918" s="145">
        <v>357.47899999999998</v>
      </c>
      <c r="T1918" s="145">
        <v>110.578</v>
      </c>
      <c r="U1918" s="145">
        <v>1.2999999999999999E-2</v>
      </c>
      <c r="V1918" s="145">
        <v>0.92400000000000004</v>
      </c>
      <c r="W1918" s="145">
        <v>147.36799999999999</v>
      </c>
      <c r="X1918" s="145">
        <v>5.8000000000000003E-2</v>
      </c>
      <c r="Y1918" s="145">
        <v>0.45</v>
      </c>
      <c r="Z1918" s="146">
        <v>0.106</v>
      </c>
      <c r="AA1918" s="145">
        <v>5.6000000000000001E-2</v>
      </c>
      <c r="AB1918" s="145" t="s">
        <v>400</v>
      </c>
      <c r="AC1918" s="145">
        <v>2.2930000000000001</v>
      </c>
      <c r="AD1918" s="145">
        <v>0.97399999999999998</v>
      </c>
      <c r="AE1918" s="145">
        <v>38.595999999999997</v>
      </c>
      <c r="AF1918" s="145">
        <v>1.123</v>
      </c>
      <c r="AG1918" s="145">
        <v>1.881</v>
      </c>
      <c r="AH1918" s="145">
        <v>6.4000000000000001E-2</v>
      </c>
      <c r="AI1918" s="145" t="s">
        <v>400</v>
      </c>
      <c r="AJ1918" s="145">
        <v>32.496000000000002</v>
      </c>
      <c r="AK1918" s="145">
        <v>148.53800000000001</v>
      </c>
      <c r="AL1918" s="145">
        <v>1.07</v>
      </c>
      <c r="AM1918" s="145" t="s">
        <v>400</v>
      </c>
    </row>
    <row r="1919" spans="1:39">
      <c r="A1919" s="143" t="s">
        <v>2979</v>
      </c>
      <c r="B1919" s="144">
        <v>100</v>
      </c>
      <c r="C1919" s="145">
        <v>119.648</v>
      </c>
      <c r="D1919" s="145">
        <v>8.0510000000000002</v>
      </c>
      <c r="E1919" s="145">
        <v>5.7610000000000001</v>
      </c>
      <c r="F1919" s="145">
        <v>2.835</v>
      </c>
      <c r="G1919" s="145">
        <v>1.5880000000000001</v>
      </c>
      <c r="H1919" s="145">
        <v>0.90500000000000003</v>
      </c>
      <c r="I1919" s="145">
        <v>0.624</v>
      </c>
      <c r="J1919" s="145">
        <v>0.13600000000000001</v>
      </c>
      <c r="K1919" s="145">
        <v>30.161000000000001</v>
      </c>
      <c r="L1919" s="145">
        <v>8.9</v>
      </c>
      <c r="M1919" s="145">
        <v>0.753</v>
      </c>
      <c r="N1919" s="145">
        <v>61.417000000000002</v>
      </c>
      <c r="O1919" s="145">
        <v>24.896999999999998</v>
      </c>
      <c r="P1919" s="145">
        <v>6.8000000000000005E-2</v>
      </c>
      <c r="Q1919" s="145">
        <v>128.38300000000001</v>
      </c>
      <c r="R1919" s="145">
        <v>0.30499999999999999</v>
      </c>
      <c r="S1919" s="145">
        <v>128.846</v>
      </c>
      <c r="T1919" s="145">
        <v>255.101</v>
      </c>
      <c r="U1919" s="145">
        <v>6.3E-2</v>
      </c>
      <c r="V1919" s="145">
        <v>0.45</v>
      </c>
      <c r="W1919" s="145">
        <v>39.600999999999999</v>
      </c>
      <c r="X1919" s="145">
        <v>7.9000000000000001E-2</v>
      </c>
      <c r="Y1919" s="145">
        <v>0.124</v>
      </c>
      <c r="Z1919" s="146">
        <v>0.157</v>
      </c>
      <c r="AA1919" s="145">
        <v>1.079</v>
      </c>
      <c r="AB1919" s="145">
        <v>2.5390000000000001</v>
      </c>
      <c r="AC1919" s="145">
        <v>2.8290000000000002</v>
      </c>
      <c r="AD1919" s="145">
        <v>0.76200000000000001</v>
      </c>
      <c r="AE1919" s="145">
        <v>10.113</v>
      </c>
      <c r="AF1919" s="145">
        <v>0.68100000000000005</v>
      </c>
      <c r="AG1919" s="145">
        <v>0.38200000000000001</v>
      </c>
      <c r="AH1919" s="145">
        <v>0.152</v>
      </c>
      <c r="AI1919" s="145" t="s">
        <v>400</v>
      </c>
      <c r="AJ1919" s="145">
        <v>16.196999999999999</v>
      </c>
      <c r="AK1919" s="145">
        <v>67.823999999999998</v>
      </c>
      <c r="AL1919" s="145">
        <v>3.0369999999999999</v>
      </c>
      <c r="AM1919" s="145">
        <v>7.4999999999999997E-2</v>
      </c>
    </row>
    <row r="1920" spans="1:39">
      <c r="A1920" s="143" t="s">
        <v>2980</v>
      </c>
      <c r="B1920" s="144">
        <v>100</v>
      </c>
      <c r="C1920" s="145">
        <v>36.387</v>
      </c>
      <c r="D1920" s="145">
        <v>0.72</v>
      </c>
      <c r="E1920" s="145">
        <v>1.9239999999999999</v>
      </c>
      <c r="F1920" s="145">
        <v>0.32700000000000001</v>
      </c>
      <c r="G1920" s="145">
        <v>0.43099999999999999</v>
      </c>
      <c r="H1920" s="145">
        <v>1.0740000000000001</v>
      </c>
      <c r="I1920" s="145">
        <v>0.94699999999999995</v>
      </c>
      <c r="J1920" s="145">
        <v>0.128</v>
      </c>
      <c r="K1920" s="145" t="s">
        <v>400</v>
      </c>
      <c r="L1920" s="145">
        <v>4.9000000000000004</v>
      </c>
      <c r="M1920" s="145">
        <v>1.1000000000000001</v>
      </c>
      <c r="N1920" s="145">
        <v>15</v>
      </c>
      <c r="O1920" s="145">
        <v>9</v>
      </c>
      <c r="P1920" s="145">
        <v>8.8999999999999996E-2</v>
      </c>
      <c r="Q1920" s="145">
        <v>30</v>
      </c>
      <c r="R1920" s="145">
        <v>0.57099999999999995</v>
      </c>
      <c r="S1920" s="145">
        <v>1</v>
      </c>
      <c r="T1920" s="145">
        <v>230</v>
      </c>
      <c r="U1920" s="145">
        <v>9.0999999999999998E-2</v>
      </c>
      <c r="V1920" s="145">
        <v>0.23</v>
      </c>
      <c r="W1920" s="145" t="s">
        <v>400</v>
      </c>
      <c r="X1920" s="145">
        <v>3.1E-2</v>
      </c>
      <c r="Y1920" s="145">
        <v>7.8E-2</v>
      </c>
      <c r="Z1920" s="146">
        <v>4.3999999999999997E-2</v>
      </c>
      <c r="AA1920" s="145">
        <v>0.41299999999999998</v>
      </c>
      <c r="AB1920" s="145">
        <v>4.7</v>
      </c>
      <c r="AC1920" s="145">
        <v>0.56299999999999994</v>
      </c>
      <c r="AD1920" s="145" t="s">
        <v>400</v>
      </c>
      <c r="AE1920" s="145">
        <v>9</v>
      </c>
      <c r="AF1920" s="145" t="s">
        <v>400</v>
      </c>
      <c r="AG1920" s="145">
        <v>0.95199999999999996</v>
      </c>
      <c r="AH1920" s="145">
        <v>0.01</v>
      </c>
      <c r="AI1920" s="145">
        <v>154</v>
      </c>
      <c r="AJ1920" s="145">
        <v>1.05</v>
      </c>
      <c r="AK1920" s="145">
        <v>249.583</v>
      </c>
      <c r="AL1920" s="145">
        <v>3.3</v>
      </c>
      <c r="AM1920" s="145" t="s">
        <v>400</v>
      </c>
    </row>
    <row r="1921" spans="1:39">
      <c r="A1921" s="143" t="s">
        <v>2981</v>
      </c>
      <c r="B1921" s="144">
        <v>100</v>
      </c>
      <c r="C1921" s="145">
        <v>282.726</v>
      </c>
      <c r="D1921" s="145">
        <v>10.340999999999999</v>
      </c>
      <c r="E1921" s="145">
        <v>20.442</v>
      </c>
      <c r="F1921" s="145">
        <v>8.6750000000000007</v>
      </c>
      <c r="G1921" s="145">
        <v>7.7069999999999999</v>
      </c>
      <c r="H1921" s="145">
        <v>2.6230000000000002</v>
      </c>
      <c r="I1921" s="145">
        <v>2.3730000000000002</v>
      </c>
      <c r="J1921" s="145">
        <v>0.19500000000000001</v>
      </c>
      <c r="K1921" s="145">
        <v>97.703000000000003</v>
      </c>
      <c r="L1921" s="145">
        <v>13.846</v>
      </c>
      <c r="M1921" s="145">
        <v>0.55900000000000005</v>
      </c>
      <c r="N1921" s="145">
        <v>156.434</v>
      </c>
      <c r="O1921" s="145">
        <v>14.823</v>
      </c>
      <c r="P1921" s="145">
        <v>0.11799999999999999</v>
      </c>
      <c r="Q1921" s="145">
        <v>177.965</v>
      </c>
      <c r="R1921" s="145">
        <v>0.97</v>
      </c>
      <c r="S1921" s="145">
        <v>408.79300000000001</v>
      </c>
      <c r="T1921" s="145">
        <v>145.809</v>
      </c>
      <c r="U1921" s="145">
        <v>4.4999999999999998E-2</v>
      </c>
      <c r="V1921" s="145">
        <v>1.0389999999999999</v>
      </c>
      <c r="W1921" s="145">
        <v>70.83</v>
      </c>
      <c r="X1921" s="145">
        <v>0.161</v>
      </c>
      <c r="Y1921" s="145">
        <v>0.27900000000000003</v>
      </c>
      <c r="Z1921" s="146">
        <v>7.9000000000000001E-2</v>
      </c>
      <c r="AA1921" s="145">
        <v>1.4419999999999999</v>
      </c>
      <c r="AB1921" s="145">
        <v>0.51</v>
      </c>
      <c r="AC1921" s="145">
        <v>3.78</v>
      </c>
      <c r="AD1921" s="145">
        <v>0.52700000000000002</v>
      </c>
      <c r="AE1921" s="145">
        <v>39.621000000000002</v>
      </c>
      <c r="AF1921" s="145">
        <v>0.63900000000000001</v>
      </c>
      <c r="AG1921" s="145">
        <v>0.34300000000000003</v>
      </c>
      <c r="AH1921" s="145">
        <v>1.0860000000000001</v>
      </c>
      <c r="AI1921" s="145" t="s">
        <v>400</v>
      </c>
      <c r="AJ1921" s="145">
        <v>16.768999999999998</v>
      </c>
      <c r="AK1921" s="145">
        <v>72.128</v>
      </c>
      <c r="AL1921" s="145">
        <v>3.14</v>
      </c>
      <c r="AM1921" s="145">
        <v>7.0999999999999994E-2</v>
      </c>
    </row>
    <row r="1922" spans="1:39">
      <c r="A1922" s="143" t="s">
        <v>2982</v>
      </c>
      <c r="B1922" s="144">
        <v>100</v>
      </c>
      <c r="C1922" s="145">
        <v>126.098</v>
      </c>
      <c r="D1922" s="145">
        <v>5.1130000000000004</v>
      </c>
      <c r="E1922" s="145">
        <v>9.1739999999999995</v>
      </c>
      <c r="F1922" s="145">
        <v>5.0140000000000002</v>
      </c>
      <c r="G1922" s="145">
        <v>2.5920000000000001</v>
      </c>
      <c r="H1922" s="145">
        <v>0.61899999999999999</v>
      </c>
      <c r="I1922" s="145">
        <v>0.49099999999999999</v>
      </c>
      <c r="J1922" s="145">
        <v>9.0999999999999998E-2</v>
      </c>
      <c r="K1922" s="145">
        <v>100.956</v>
      </c>
      <c r="L1922" s="145">
        <v>6.4020000000000001</v>
      </c>
      <c r="M1922" s="145">
        <v>1.0960000000000001</v>
      </c>
      <c r="N1922" s="145">
        <v>101.629</v>
      </c>
      <c r="O1922" s="145">
        <v>40.895000000000003</v>
      </c>
      <c r="P1922" s="145">
        <v>0.40500000000000003</v>
      </c>
      <c r="Q1922" s="145">
        <v>90.537000000000006</v>
      </c>
      <c r="R1922" s="145">
        <v>1.8460000000000001</v>
      </c>
      <c r="S1922" s="145">
        <v>487</v>
      </c>
      <c r="T1922" s="145">
        <v>444.31200000000001</v>
      </c>
      <c r="U1922" s="145">
        <v>8.2000000000000003E-2</v>
      </c>
      <c r="V1922" s="145">
        <v>0.66600000000000004</v>
      </c>
      <c r="W1922" s="145">
        <v>90.465999999999994</v>
      </c>
      <c r="X1922" s="145">
        <v>9.7000000000000003E-2</v>
      </c>
      <c r="Y1922" s="145">
        <v>0.27200000000000002</v>
      </c>
      <c r="Z1922" s="146">
        <v>0.13300000000000001</v>
      </c>
      <c r="AA1922" s="145">
        <v>0.48199999999999998</v>
      </c>
      <c r="AB1922" s="145">
        <v>3.9079999999999999</v>
      </c>
      <c r="AC1922" s="145">
        <v>1.734</v>
      </c>
      <c r="AD1922" s="145">
        <v>0.36599999999999999</v>
      </c>
      <c r="AE1922" s="145">
        <v>75.983999999999995</v>
      </c>
      <c r="AF1922" s="145">
        <v>0.66500000000000004</v>
      </c>
      <c r="AG1922" s="145">
        <v>1.2070000000000001</v>
      </c>
      <c r="AH1922" s="145">
        <v>0.27700000000000002</v>
      </c>
      <c r="AI1922" s="145" t="s">
        <v>400</v>
      </c>
      <c r="AJ1922" s="145">
        <v>9.1630000000000003</v>
      </c>
      <c r="AK1922" s="145">
        <v>297.30700000000002</v>
      </c>
      <c r="AL1922" s="145">
        <v>2.3159999999999998</v>
      </c>
      <c r="AM1922" s="145" t="s">
        <v>400</v>
      </c>
    </row>
    <row r="1923" spans="1:39">
      <c r="A1923" s="143" t="s">
        <v>2983</v>
      </c>
      <c r="B1923" s="144">
        <v>100</v>
      </c>
      <c r="C1923" s="145">
        <v>123.7645</v>
      </c>
      <c r="D1923" s="145">
        <v>5.4142000000000001</v>
      </c>
      <c r="E1923" s="145">
        <v>1.6446000000000001</v>
      </c>
      <c r="F1923" s="145">
        <v>0.28270000000000001</v>
      </c>
      <c r="G1923" s="145">
        <v>0.35200000000000004</v>
      </c>
      <c r="H1923" s="145">
        <v>0.90539999999999998</v>
      </c>
      <c r="I1923" s="145">
        <v>0.77429999999999999</v>
      </c>
      <c r="J1923" s="145">
        <v>0.1351</v>
      </c>
      <c r="K1923" s="145" t="s">
        <v>400</v>
      </c>
      <c r="L1923" s="145">
        <v>22.3386</v>
      </c>
      <c r="M1923" s="145">
        <v>4.0419999999999998</v>
      </c>
      <c r="N1923" s="145">
        <v>56.181800000000003</v>
      </c>
      <c r="O1923" s="145">
        <v>38.080900000000007</v>
      </c>
      <c r="P1923" s="145">
        <v>0.34379999999999999</v>
      </c>
      <c r="Q1923" s="145">
        <v>65.22</v>
      </c>
      <c r="R1923" s="145">
        <v>2.1089000000000002</v>
      </c>
      <c r="S1923" s="145">
        <v>4.7827000000000002</v>
      </c>
      <c r="T1923" s="145">
        <v>336.94</v>
      </c>
      <c r="U1923" s="145">
        <v>0.16639999999999999</v>
      </c>
      <c r="V1923" s="145">
        <v>0.78880000000000006</v>
      </c>
      <c r="W1923" s="145" t="s">
        <v>400</v>
      </c>
      <c r="X1923" s="145">
        <v>7.7899999999999997E-2</v>
      </c>
      <c r="Y1923" s="145">
        <v>2.52E-2</v>
      </c>
      <c r="Z1923" s="146">
        <v>5.04E-2</v>
      </c>
      <c r="AA1923" s="145">
        <v>7.5600000000000001E-2</v>
      </c>
      <c r="AB1923" s="145" t="s">
        <v>400</v>
      </c>
      <c r="AC1923" s="145">
        <v>1.1106</v>
      </c>
      <c r="AD1923" s="145" t="s">
        <v>400</v>
      </c>
      <c r="AE1923" s="145">
        <v>43.74</v>
      </c>
      <c r="AF1923" s="145" t="s">
        <v>400</v>
      </c>
      <c r="AG1923" s="145">
        <v>0.62459999999999993</v>
      </c>
      <c r="AH1923" s="145">
        <v>7.2000000000000007E-3</v>
      </c>
      <c r="AI1923" s="145">
        <v>197.1</v>
      </c>
      <c r="AJ1923" s="145">
        <v>1.3553999999999999</v>
      </c>
      <c r="AK1923" s="145" t="s">
        <v>400</v>
      </c>
      <c r="AL1923" s="145">
        <v>0.27</v>
      </c>
      <c r="AM1923" s="145" t="s">
        <v>400</v>
      </c>
    </row>
    <row r="1924" spans="1:39">
      <c r="A1924" s="143" t="s">
        <v>2984</v>
      </c>
      <c r="B1924" s="144">
        <v>100</v>
      </c>
      <c r="C1924" s="145">
        <v>100.524</v>
      </c>
      <c r="D1924" s="145">
        <v>14.335000000000001</v>
      </c>
      <c r="E1924" s="145">
        <v>3.6640000000000001</v>
      </c>
      <c r="F1924" s="145">
        <v>0.86699999999999999</v>
      </c>
      <c r="G1924" s="145">
        <v>0.82599999999999996</v>
      </c>
      <c r="H1924" s="145">
        <v>1.3420000000000001</v>
      </c>
      <c r="I1924" s="145">
        <v>0.82499999999999996</v>
      </c>
      <c r="J1924" s="145">
        <v>0.112</v>
      </c>
      <c r="K1924" s="145">
        <v>43.847999999999999</v>
      </c>
      <c r="L1924" s="145">
        <v>1.7509999999999999</v>
      </c>
      <c r="M1924" s="145">
        <v>0.17699999999999999</v>
      </c>
      <c r="N1924" s="145">
        <v>42.040999999999997</v>
      </c>
      <c r="O1924" s="145">
        <v>26.224</v>
      </c>
      <c r="P1924" s="145">
        <v>0.14899999999999999</v>
      </c>
      <c r="Q1924" s="145">
        <v>180.47499999999999</v>
      </c>
      <c r="R1924" s="145">
        <v>3.5259999999999998</v>
      </c>
      <c r="S1924" s="145">
        <v>254.93299999999999</v>
      </c>
      <c r="T1924" s="145">
        <v>325.73599999999999</v>
      </c>
      <c r="U1924" s="145">
        <v>0.25600000000000001</v>
      </c>
      <c r="V1924" s="145">
        <v>0.97799999999999998</v>
      </c>
      <c r="W1924" s="145">
        <v>31.474</v>
      </c>
      <c r="X1924" s="145">
        <v>0.11600000000000001</v>
      </c>
      <c r="Y1924" s="145">
        <v>0.104</v>
      </c>
      <c r="Z1924" s="146">
        <v>0.123</v>
      </c>
      <c r="AA1924" s="145">
        <v>1.9219999999999999</v>
      </c>
      <c r="AB1924" s="145">
        <v>6.2149999999999999</v>
      </c>
      <c r="AC1924" s="145">
        <v>4.6929999999999996</v>
      </c>
      <c r="AD1924" s="145">
        <v>10.951000000000001</v>
      </c>
      <c r="AE1924" s="145">
        <v>11.898999999999999</v>
      </c>
      <c r="AF1924" s="145">
        <v>1.8260000000000001</v>
      </c>
      <c r="AG1924" s="145">
        <v>0.83199999999999996</v>
      </c>
      <c r="AH1924" s="145">
        <v>8.9999999999999993E-3</v>
      </c>
      <c r="AI1924" s="145" t="s">
        <v>400</v>
      </c>
      <c r="AJ1924" s="145">
        <v>28.678000000000001</v>
      </c>
      <c r="AK1924" s="145">
        <v>37.070999999999998</v>
      </c>
      <c r="AL1924" s="145">
        <v>0.57399999999999995</v>
      </c>
      <c r="AM1924" s="145" t="s">
        <v>400</v>
      </c>
    </row>
    <row r="1925" spans="1:39">
      <c r="A1925" s="143" t="s">
        <v>2985</v>
      </c>
      <c r="B1925" s="144">
        <v>100</v>
      </c>
      <c r="C1925" s="145">
        <v>181.84899999999999</v>
      </c>
      <c r="D1925" s="145">
        <v>15.087</v>
      </c>
      <c r="E1925" s="145">
        <v>12.163</v>
      </c>
      <c r="F1925" s="145">
        <v>3.7770000000000001</v>
      </c>
      <c r="G1925" s="145">
        <v>4.9029999999999996</v>
      </c>
      <c r="H1925" s="145">
        <v>2.2490000000000001</v>
      </c>
      <c r="I1925" s="145">
        <v>1.952</v>
      </c>
      <c r="J1925" s="145">
        <v>0.20799999999999999</v>
      </c>
      <c r="K1925" s="145">
        <v>47.476999999999997</v>
      </c>
      <c r="L1925" s="145">
        <v>2.9239999999999999</v>
      </c>
      <c r="M1925" s="145">
        <v>1.3129999999999999</v>
      </c>
      <c r="N1925" s="145">
        <v>74.710999999999999</v>
      </c>
      <c r="O1925" s="145">
        <v>20.789000000000001</v>
      </c>
      <c r="P1925" s="145">
        <v>0.22700000000000001</v>
      </c>
      <c r="Q1925" s="145">
        <v>130.078</v>
      </c>
      <c r="R1925" s="145">
        <v>1.345</v>
      </c>
      <c r="S1925" s="145">
        <v>508.51900000000001</v>
      </c>
      <c r="T1925" s="145">
        <v>228.63399999999999</v>
      </c>
      <c r="U1925" s="145">
        <v>0.06</v>
      </c>
      <c r="V1925" s="145">
        <v>1.829</v>
      </c>
      <c r="W1925" s="145">
        <v>2.8650000000000002</v>
      </c>
      <c r="X1925" s="145">
        <v>0.22700000000000001</v>
      </c>
      <c r="Y1925" s="145">
        <v>0.188</v>
      </c>
      <c r="Z1925" s="145">
        <v>0.26600000000000001</v>
      </c>
      <c r="AA1925" s="145">
        <v>3.3809999999999998</v>
      </c>
      <c r="AB1925" s="145">
        <v>8.9350000000000005</v>
      </c>
      <c r="AC1925" s="145">
        <v>5.9690000000000003</v>
      </c>
      <c r="AD1925" s="145">
        <v>0.54400000000000004</v>
      </c>
      <c r="AE1925" s="145">
        <v>46.058</v>
      </c>
      <c r="AF1925" s="145">
        <v>0.24299999999999999</v>
      </c>
      <c r="AG1925" s="145">
        <v>0.76900000000000002</v>
      </c>
      <c r="AH1925" s="145">
        <v>6.3E-2</v>
      </c>
      <c r="AI1925" s="145" t="s">
        <v>400</v>
      </c>
      <c r="AJ1925" s="145">
        <v>15.829000000000001</v>
      </c>
      <c r="AK1925" s="145">
        <v>189.51499999999999</v>
      </c>
      <c r="AL1925" s="145">
        <v>0.91200000000000003</v>
      </c>
      <c r="AM1925" s="145">
        <v>0.26600000000000001</v>
      </c>
    </row>
    <row r="1926" spans="1:39">
      <c r="A1926" s="143" t="s">
        <v>2986</v>
      </c>
      <c r="B1926" s="144">
        <v>100</v>
      </c>
      <c r="C1926" s="145">
        <v>94.918000000000006</v>
      </c>
      <c r="D1926" s="145">
        <v>3.5289999999999999</v>
      </c>
      <c r="E1926" s="145">
        <v>2.895</v>
      </c>
      <c r="F1926" s="145">
        <v>0.90900000000000003</v>
      </c>
      <c r="G1926" s="145">
        <v>1.2030000000000001</v>
      </c>
      <c r="H1926" s="145">
        <v>0.433</v>
      </c>
      <c r="I1926" s="145">
        <v>0.35699999999999998</v>
      </c>
      <c r="J1926" s="145">
        <v>4.3999999999999997E-2</v>
      </c>
      <c r="K1926" s="145">
        <v>8.0939999999999994</v>
      </c>
      <c r="L1926" s="145">
        <v>14.186</v>
      </c>
      <c r="M1926" s="145">
        <v>2.137</v>
      </c>
      <c r="N1926" s="145">
        <v>40.01</v>
      </c>
      <c r="O1926" s="145">
        <v>16.599</v>
      </c>
      <c r="P1926" s="145">
        <v>0.156</v>
      </c>
      <c r="Q1926" s="145">
        <v>43.753</v>
      </c>
      <c r="R1926" s="145">
        <v>0.38400000000000001</v>
      </c>
      <c r="S1926" s="145">
        <v>1291.1110000000001</v>
      </c>
      <c r="T1926" s="145">
        <v>278.27300000000002</v>
      </c>
      <c r="U1926" s="145">
        <v>0.126</v>
      </c>
      <c r="V1926" s="145">
        <v>0.40699999999999997</v>
      </c>
      <c r="W1926" s="145">
        <v>1.1559999999999999</v>
      </c>
      <c r="X1926" s="145">
        <v>0.104</v>
      </c>
      <c r="Y1926" s="145">
        <v>6.0999999999999999E-2</v>
      </c>
      <c r="Z1926" s="146">
        <v>0.24199999999999999</v>
      </c>
      <c r="AA1926" s="145">
        <v>1.617</v>
      </c>
      <c r="AB1926" s="145">
        <v>12.835000000000001</v>
      </c>
      <c r="AC1926" s="145">
        <v>2.2730000000000001</v>
      </c>
      <c r="AD1926" s="145">
        <v>0.114</v>
      </c>
      <c r="AE1926" s="145">
        <v>43.698999999999998</v>
      </c>
      <c r="AF1926" s="145" t="s">
        <v>400</v>
      </c>
      <c r="AG1926" s="145">
        <v>0.60399999999999998</v>
      </c>
      <c r="AH1926" s="145">
        <v>1.0999999999999999E-2</v>
      </c>
      <c r="AI1926" s="146" t="s">
        <v>400</v>
      </c>
      <c r="AJ1926" s="145">
        <v>0.49099999999999999</v>
      </c>
      <c r="AK1926" s="145">
        <v>76.802999999999997</v>
      </c>
      <c r="AL1926" s="145">
        <v>0.93700000000000006</v>
      </c>
      <c r="AM1926" s="145" t="s">
        <v>400</v>
      </c>
    </row>
    <row r="1927" spans="1:39">
      <c r="A1927" s="143" t="s">
        <v>2987</v>
      </c>
      <c r="B1927" s="144">
        <v>100</v>
      </c>
      <c r="C1927" s="145">
        <v>102.73606199499331</v>
      </c>
      <c r="D1927" s="145">
        <v>2.380278864333333</v>
      </c>
      <c r="E1927" s="145">
        <v>0.94802940000000002</v>
      </c>
      <c r="F1927" s="145">
        <v>0.26046564</v>
      </c>
      <c r="G1927" s="145">
        <v>0.16453677999999999</v>
      </c>
      <c r="H1927" s="145">
        <v>0.44518245999999995</v>
      </c>
      <c r="I1927" s="145">
        <v>0.41043156000000003</v>
      </c>
      <c r="J1927" s="145">
        <v>7.3346159999999994E-2</v>
      </c>
      <c r="K1927" s="145" t="s">
        <v>400</v>
      </c>
      <c r="L1927" s="145">
        <v>20.922404428999993</v>
      </c>
      <c r="M1927" s="145">
        <v>1.9219915399999996</v>
      </c>
      <c r="N1927" s="145">
        <v>44.456719206666669</v>
      </c>
      <c r="O1927" s="145">
        <v>7.5618754666666668</v>
      </c>
      <c r="P1927" s="145">
        <v>0.33763153333333329</v>
      </c>
      <c r="Q1927" s="145">
        <v>21.438397299999998</v>
      </c>
      <c r="R1927" s="145">
        <v>0.40148373333333331</v>
      </c>
      <c r="S1927" s="145">
        <v>5.6322300933333329</v>
      </c>
      <c r="T1927" s="145">
        <v>44.970905313333333</v>
      </c>
      <c r="U1927" s="145">
        <v>2.2397099999999996E-2</v>
      </c>
      <c r="V1927" s="145">
        <v>0.40963138666666665</v>
      </c>
      <c r="W1927" s="145" t="s">
        <v>400</v>
      </c>
      <c r="X1927" s="145">
        <v>1.2E-2</v>
      </c>
      <c r="Y1927" s="145">
        <v>3.3000000000000002E-2</v>
      </c>
      <c r="Z1927" s="146">
        <v>3.9E-2</v>
      </c>
      <c r="AA1927" s="145">
        <v>0.17399999999999999</v>
      </c>
      <c r="AB1927" s="145">
        <v>5.46</v>
      </c>
      <c r="AC1927" s="145">
        <v>0.309</v>
      </c>
      <c r="AD1927" s="145" t="s">
        <v>400</v>
      </c>
      <c r="AE1927" s="145">
        <v>27.9</v>
      </c>
      <c r="AF1927" s="145" t="s">
        <v>400</v>
      </c>
      <c r="AG1927" s="145">
        <v>0.26400000000000001</v>
      </c>
      <c r="AH1927" s="145" t="s">
        <v>400</v>
      </c>
      <c r="AI1927" s="145">
        <v>327.10000000000002</v>
      </c>
      <c r="AJ1927" s="145">
        <v>0.15</v>
      </c>
      <c r="AK1927" s="145">
        <v>121.72499999999999</v>
      </c>
      <c r="AL1927" s="145">
        <v>0.42299999999999999</v>
      </c>
      <c r="AM1927" s="145" t="s">
        <v>400</v>
      </c>
    </row>
    <row r="1928" spans="1:39">
      <c r="A1928" s="143" t="s">
        <v>2988</v>
      </c>
      <c r="B1928" s="144">
        <v>100</v>
      </c>
      <c r="C1928" s="145">
        <v>125.337</v>
      </c>
      <c r="D1928" s="145">
        <v>9.01</v>
      </c>
      <c r="E1928" s="145">
        <v>5.7519999999999998</v>
      </c>
      <c r="F1928" s="145">
        <v>1.7849999999999999</v>
      </c>
      <c r="G1928" s="145">
        <v>1.851</v>
      </c>
      <c r="H1928" s="145">
        <v>1.2709999999999999</v>
      </c>
      <c r="I1928" s="145">
        <v>1.0349999999999999</v>
      </c>
      <c r="J1928" s="145">
        <v>0.14799999999999999</v>
      </c>
      <c r="K1928" s="145">
        <v>69.2</v>
      </c>
      <c r="L1928" s="145">
        <v>8.8650000000000002</v>
      </c>
      <c r="M1928" s="145">
        <v>0.307</v>
      </c>
      <c r="N1928" s="145">
        <v>5.3380000000000001</v>
      </c>
      <c r="O1928" s="145">
        <v>10.949</v>
      </c>
      <c r="P1928" s="145">
        <v>6.2E-2</v>
      </c>
      <c r="Q1928" s="145">
        <v>102.453</v>
      </c>
      <c r="R1928" s="145">
        <v>2.0150000000000001</v>
      </c>
      <c r="S1928" s="145">
        <v>315.95699999999999</v>
      </c>
      <c r="T1928" s="145">
        <v>133.87299999999999</v>
      </c>
      <c r="U1928" s="145">
        <v>1.5169999999999999</v>
      </c>
      <c r="V1928" s="145">
        <v>1.423</v>
      </c>
      <c r="W1928" s="145">
        <v>942.8</v>
      </c>
      <c r="X1928" s="145">
        <v>0.10199999999999999</v>
      </c>
      <c r="Y1928" s="145">
        <v>0.52400000000000002</v>
      </c>
      <c r="Z1928" s="145">
        <v>0.17299999999999999</v>
      </c>
      <c r="AA1928" s="145">
        <v>3.347</v>
      </c>
      <c r="AB1928" s="145">
        <v>0.89</v>
      </c>
      <c r="AC1928" s="145">
        <v>5.0369999999999999</v>
      </c>
      <c r="AD1928" s="145">
        <v>8.3930000000000007</v>
      </c>
      <c r="AE1928" s="145">
        <v>51.262</v>
      </c>
      <c r="AF1928" s="145">
        <v>0.1</v>
      </c>
      <c r="AG1928" s="145">
        <v>0.39200000000000002</v>
      </c>
      <c r="AH1928" s="145">
        <v>0.18099999999999999</v>
      </c>
      <c r="AI1928" s="145" t="s">
        <v>400</v>
      </c>
      <c r="AJ1928" s="145">
        <v>12.177</v>
      </c>
      <c r="AK1928" s="145">
        <v>945.99599999999998</v>
      </c>
      <c r="AL1928" s="145">
        <v>0.73699999999999999</v>
      </c>
      <c r="AM1928" s="145" t="s">
        <v>400</v>
      </c>
    </row>
    <row r="1929" spans="1:39">
      <c r="A1929" s="143" t="s">
        <v>2989</v>
      </c>
      <c r="B1929" s="144">
        <v>100</v>
      </c>
      <c r="C1929" s="145">
        <v>535</v>
      </c>
      <c r="D1929" s="145">
        <v>7.65</v>
      </c>
      <c r="E1929" s="145">
        <v>29.66</v>
      </c>
      <c r="F1929" s="145">
        <v>20.78</v>
      </c>
      <c r="G1929" s="145">
        <v>15.869</v>
      </c>
      <c r="H1929" s="145">
        <v>1.256</v>
      </c>
      <c r="I1929" s="145">
        <v>1.0629999999999999</v>
      </c>
      <c r="J1929" s="145">
        <v>0.122</v>
      </c>
      <c r="K1929" s="145">
        <v>23</v>
      </c>
      <c r="L1929" s="145">
        <v>59.4</v>
      </c>
      <c r="M1929" s="145">
        <v>3.4</v>
      </c>
      <c r="N1929" s="145">
        <v>189</v>
      </c>
      <c r="O1929" s="145">
        <v>63</v>
      </c>
      <c r="P1929" s="145">
        <v>0.47099999999999997</v>
      </c>
      <c r="Q1929" s="145">
        <v>208</v>
      </c>
      <c r="R1929" s="145">
        <v>2.35</v>
      </c>
      <c r="S1929" s="145">
        <v>79</v>
      </c>
      <c r="T1929" s="145">
        <v>372</v>
      </c>
      <c r="U1929" s="145">
        <v>0.49099999999999999</v>
      </c>
      <c r="V1929" s="145">
        <v>2.2999999999999998</v>
      </c>
      <c r="W1929" s="145">
        <v>56</v>
      </c>
      <c r="X1929" s="145">
        <v>0.112</v>
      </c>
      <c r="Y1929" s="145">
        <v>0.29799999999999999</v>
      </c>
      <c r="Z1929" s="146">
        <v>3.5999999999999997E-2</v>
      </c>
      <c r="AA1929" s="145">
        <v>0.38600000000000001</v>
      </c>
      <c r="AB1929" s="145" t="s">
        <v>400</v>
      </c>
      <c r="AC1929" s="145">
        <v>1.869</v>
      </c>
      <c r="AD1929" s="145">
        <v>0.75</v>
      </c>
      <c r="AE1929" s="145">
        <v>11</v>
      </c>
      <c r="AF1929" s="145" t="s">
        <v>400</v>
      </c>
      <c r="AG1929" s="145">
        <v>0.51</v>
      </c>
      <c r="AH1929" s="145">
        <v>0.09</v>
      </c>
      <c r="AI1929" s="145" t="s">
        <v>400</v>
      </c>
      <c r="AJ1929" s="145">
        <v>4.5</v>
      </c>
      <c r="AK1929" s="145">
        <v>56.667000000000002</v>
      </c>
      <c r="AL1929" s="145">
        <v>54.8</v>
      </c>
      <c r="AM1929" s="145">
        <v>46.991</v>
      </c>
    </row>
    <row r="1930" spans="1:39">
      <c r="A1930" s="143" t="s">
        <v>2990</v>
      </c>
      <c r="B1930" s="144">
        <v>100</v>
      </c>
      <c r="C1930" s="145">
        <v>134.79400000000001</v>
      </c>
      <c r="D1930" s="145">
        <v>3.8039999999999998</v>
      </c>
      <c r="E1930" s="145">
        <v>7.4690000000000003</v>
      </c>
      <c r="F1930" s="145">
        <v>4.4359999999999999</v>
      </c>
      <c r="G1930" s="145">
        <v>2.23</v>
      </c>
      <c r="H1930" s="145">
        <v>0.33800000000000002</v>
      </c>
      <c r="I1930" s="145">
        <v>0.22700000000000001</v>
      </c>
      <c r="J1930" s="145">
        <v>0.10100000000000001</v>
      </c>
      <c r="K1930" s="145">
        <v>58.91</v>
      </c>
      <c r="L1930" s="145">
        <v>13.519</v>
      </c>
      <c r="M1930" s="145" t="s">
        <v>400</v>
      </c>
      <c r="N1930" s="145">
        <v>129.80099999999999</v>
      </c>
      <c r="O1930" s="145">
        <v>18.971</v>
      </c>
      <c r="P1930" s="145">
        <v>5.0000000000000001E-3</v>
      </c>
      <c r="Q1930" s="145">
        <v>108.833</v>
      </c>
      <c r="R1930" s="145">
        <v>0.2</v>
      </c>
      <c r="S1930" s="145">
        <v>53.917000000000002</v>
      </c>
      <c r="T1930" s="145">
        <v>164.74799999999999</v>
      </c>
      <c r="U1930" s="145">
        <v>1.2999999999999999E-2</v>
      </c>
      <c r="V1930" s="145">
        <v>0.45900000000000002</v>
      </c>
      <c r="W1930" s="145">
        <v>44.930999999999997</v>
      </c>
      <c r="X1930" s="145">
        <v>3.4000000000000002E-2</v>
      </c>
      <c r="Y1930" s="145">
        <v>0.19</v>
      </c>
      <c r="Z1930" s="146">
        <v>0.05</v>
      </c>
      <c r="AA1930" s="145">
        <v>0.105</v>
      </c>
      <c r="AB1930" s="145">
        <v>1.498</v>
      </c>
      <c r="AC1930" s="145">
        <v>1.0029999999999999</v>
      </c>
      <c r="AD1930" s="145">
        <v>0.44900000000000001</v>
      </c>
      <c r="AE1930" s="145">
        <v>0.998</v>
      </c>
      <c r="AF1930" s="145">
        <v>0.98499999999999999</v>
      </c>
      <c r="AG1930" s="145">
        <v>0.2</v>
      </c>
      <c r="AH1930" s="145">
        <v>0.19</v>
      </c>
      <c r="AI1930" s="145" t="s">
        <v>400</v>
      </c>
      <c r="AJ1930" s="145">
        <v>4.194</v>
      </c>
      <c r="AK1930" s="145">
        <v>45.472000000000001</v>
      </c>
      <c r="AL1930" s="145">
        <v>4.2930000000000001</v>
      </c>
      <c r="AM1930" s="145" t="s">
        <v>400</v>
      </c>
    </row>
    <row r="1931" spans="1:39">
      <c r="A1931" s="143" t="s">
        <v>2991</v>
      </c>
      <c r="B1931" s="144">
        <v>100</v>
      </c>
      <c r="C1931" s="145">
        <v>110</v>
      </c>
      <c r="D1931" s="145">
        <v>0.7</v>
      </c>
      <c r="E1931" s="145">
        <v>3.7</v>
      </c>
      <c r="F1931" s="145">
        <v>0.7</v>
      </c>
      <c r="G1931" s="145">
        <v>1.9</v>
      </c>
      <c r="H1931" s="145">
        <v>0.3</v>
      </c>
      <c r="I1931" s="145">
        <v>0.3</v>
      </c>
      <c r="J1931" s="145">
        <v>0.02</v>
      </c>
      <c r="K1931" s="145" t="s">
        <v>400</v>
      </c>
      <c r="L1931" s="145">
        <v>21.5</v>
      </c>
      <c r="M1931" s="145">
        <v>1.7</v>
      </c>
      <c r="N1931" s="145">
        <v>22</v>
      </c>
      <c r="O1931" s="145">
        <v>13</v>
      </c>
      <c r="P1931" s="145">
        <v>3.29</v>
      </c>
      <c r="Q1931" s="145">
        <v>11</v>
      </c>
      <c r="R1931" s="145">
        <v>0.3</v>
      </c>
      <c r="S1931" s="145">
        <v>15</v>
      </c>
      <c r="T1931" s="145">
        <v>75</v>
      </c>
      <c r="U1931" s="145">
        <v>0.14000000000000001</v>
      </c>
      <c r="V1931" s="145">
        <v>0.2</v>
      </c>
      <c r="W1931" s="145" t="s">
        <v>400</v>
      </c>
      <c r="X1931" s="145" t="s">
        <v>400</v>
      </c>
      <c r="Y1931" s="145" t="s">
        <v>400</v>
      </c>
      <c r="Z1931" s="146">
        <v>7.0000000000000007E-2</v>
      </c>
      <c r="AA1931" s="145" t="s">
        <v>400</v>
      </c>
      <c r="AB1931" s="145">
        <v>10.3</v>
      </c>
      <c r="AC1931" s="145" t="s">
        <v>400</v>
      </c>
      <c r="AD1931" s="145" t="s">
        <v>400</v>
      </c>
      <c r="AE1931" s="145" t="s">
        <v>400</v>
      </c>
      <c r="AF1931" s="145" t="s">
        <v>400</v>
      </c>
      <c r="AG1931" s="145" t="s">
        <v>400</v>
      </c>
      <c r="AH1931" s="145" t="s">
        <v>400</v>
      </c>
      <c r="AI1931" s="145" t="s">
        <v>400</v>
      </c>
      <c r="AJ1931" s="145" t="s">
        <v>400</v>
      </c>
      <c r="AK1931" s="145" t="s">
        <v>400</v>
      </c>
      <c r="AL1931" s="145" t="s">
        <v>400</v>
      </c>
      <c r="AM1931" s="145" t="s">
        <v>400</v>
      </c>
    </row>
    <row r="1932" spans="1:39">
      <c r="A1932" s="143" t="s">
        <v>2992</v>
      </c>
      <c r="B1932" s="144">
        <v>100</v>
      </c>
      <c r="C1932" s="145">
        <v>41.826000000000001</v>
      </c>
      <c r="D1932" s="145">
        <v>0.58799999999999997</v>
      </c>
      <c r="E1932" s="145">
        <v>0.13900000000000001</v>
      </c>
      <c r="F1932" s="145">
        <v>1.7999999999999999E-2</v>
      </c>
      <c r="G1932" s="145">
        <v>2.5000000000000001E-2</v>
      </c>
      <c r="H1932" s="145">
        <v>3.4000000000000002E-2</v>
      </c>
      <c r="I1932" s="145">
        <v>2.7E-2</v>
      </c>
      <c r="J1932" s="145">
        <v>7.0000000000000001E-3</v>
      </c>
      <c r="K1932" s="145" t="s">
        <v>400</v>
      </c>
      <c r="L1932" s="145">
        <v>9.8089999999999993</v>
      </c>
      <c r="M1932" s="145">
        <v>0.309</v>
      </c>
      <c r="N1932" s="145">
        <v>7.9669999999999996</v>
      </c>
      <c r="O1932" s="145">
        <v>10.954000000000001</v>
      </c>
      <c r="P1932" s="145">
        <v>1.4E-2</v>
      </c>
      <c r="Q1932" s="145">
        <v>13.942</v>
      </c>
      <c r="R1932" s="145">
        <v>0.438</v>
      </c>
      <c r="S1932" s="145">
        <v>1.992</v>
      </c>
      <c r="T1932" s="145">
        <v>174.274</v>
      </c>
      <c r="U1932" s="145">
        <v>5.7000000000000002E-2</v>
      </c>
      <c r="V1932" s="145">
        <v>7.0000000000000007E-2</v>
      </c>
      <c r="W1932" s="145" t="s">
        <v>400</v>
      </c>
      <c r="X1932" s="145">
        <v>0.06</v>
      </c>
      <c r="Y1932" s="145">
        <v>2.8000000000000001E-2</v>
      </c>
      <c r="Z1932" s="146">
        <v>8.7999999999999995E-2</v>
      </c>
      <c r="AA1932" s="145">
        <v>0.313</v>
      </c>
      <c r="AB1932" s="145">
        <v>34.256999999999998</v>
      </c>
      <c r="AC1932" s="145">
        <v>0.34599999999999997</v>
      </c>
      <c r="AD1932" s="145" t="s">
        <v>400</v>
      </c>
      <c r="AE1932" s="145">
        <v>17.925000000000001</v>
      </c>
      <c r="AF1932" s="145" t="s">
        <v>400</v>
      </c>
      <c r="AG1932" s="145">
        <v>0.19900000000000001</v>
      </c>
      <c r="AH1932" s="145" t="s">
        <v>400</v>
      </c>
      <c r="AI1932" s="145" t="s">
        <v>400</v>
      </c>
      <c r="AJ1932" s="145">
        <v>0.1</v>
      </c>
      <c r="AK1932" s="145">
        <v>8.7550000000000008</v>
      </c>
      <c r="AL1932" s="145">
        <v>8.1159999999999997</v>
      </c>
      <c r="AM1932" s="145" t="s">
        <v>400</v>
      </c>
    </row>
    <row r="1933" spans="1:39">
      <c r="A1933" s="143" t="s">
        <v>2993</v>
      </c>
      <c r="B1933" s="144">
        <v>100</v>
      </c>
      <c r="C1933" s="145">
        <v>53.206000000000003</v>
      </c>
      <c r="D1933" s="145">
        <v>0.36099999999999999</v>
      </c>
      <c r="E1933" s="145">
        <v>0.12</v>
      </c>
      <c r="F1933" s="145">
        <v>8.0000000000000002E-3</v>
      </c>
      <c r="G1933" s="145">
        <v>1.4E-2</v>
      </c>
      <c r="H1933" s="145">
        <v>4.2000000000000003E-2</v>
      </c>
      <c r="I1933" s="145">
        <v>2.4E-2</v>
      </c>
      <c r="J1933" s="145">
        <v>1.7999999999999999E-2</v>
      </c>
      <c r="K1933" s="145" t="s">
        <v>400</v>
      </c>
      <c r="L1933" s="145">
        <v>12.92</v>
      </c>
      <c r="M1933" s="145">
        <v>0.20100000000000001</v>
      </c>
      <c r="N1933" s="145">
        <v>13.05</v>
      </c>
      <c r="O1933" s="145">
        <v>12.047000000000001</v>
      </c>
      <c r="P1933" s="145">
        <v>0.50600000000000001</v>
      </c>
      <c r="Q1933" s="145">
        <v>8.0310000000000006</v>
      </c>
      <c r="R1933" s="145">
        <v>0.311</v>
      </c>
      <c r="S1933" s="145">
        <v>2.008</v>
      </c>
      <c r="T1933" s="145">
        <v>130.505</v>
      </c>
      <c r="U1933" s="145">
        <v>6.9000000000000006E-2</v>
      </c>
      <c r="V1933" s="145">
        <v>0.11</v>
      </c>
      <c r="W1933" s="145" t="s">
        <v>400</v>
      </c>
      <c r="X1933" s="145">
        <v>5.8000000000000003E-2</v>
      </c>
      <c r="Y1933" s="145">
        <v>2.1000000000000001E-2</v>
      </c>
      <c r="Z1933" s="146">
        <v>0.1</v>
      </c>
      <c r="AA1933" s="145">
        <v>0.2</v>
      </c>
      <c r="AB1933" s="145">
        <v>10.039</v>
      </c>
      <c r="AC1933" s="145">
        <v>0.2</v>
      </c>
      <c r="AD1933" s="145" t="s">
        <v>400</v>
      </c>
      <c r="AE1933" s="145">
        <v>18.07</v>
      </c>
      <c r="AF1933" s="145" t="s">
        <v>400</v>
      </c>
      <c r="AG1933" s="145">
        <v>0.02</v>
      </c>
      <c r="AH1933" s="145" t="s">
        <v>400</v>
      </c>
      <c r="AI1933" s="145" t="s">
        <v>400</v>
      </c>
      <c r="AJ1933" s="145">
        <v>0.1</v>
      </c>
      <c r="AK1933" s="145">
        <v>0.251</v>
      </c>
      <c r="AL1933" s="145">
        <v>10.029</v>
      </c>
      <c r="AM1933" s="145" t="s">
        <v>400</v>
      </c>
    </row>
    <row r="1934" spans="1:39">
      <c r="A1934" s="143" t="s">
        <v>2994</v>
      </c>
      <c r="B1934" s="144">
        <v>100</v>
      </c>
      <c r="C1934" s="145">
        <v>23.056000000000001</v>
      </c>
      <c r="D1934" s="145">
        <v>0.40100000000000002</v>
      </c>
      <c r="E1934" s="145">
        <v>0.30099999999999999</v>
      </c>
      <c r="F1934" s="145">
        <v>6.8000000000000005E-2</v>
      </c>
      <c r="G1934" s="145">
        <v>8.2000000000000003E-2</v>
      </c>
      <c r="H1934" s="145">
        <v>0.09</v>
      </c>
      <c r="I1934" s="145">
        <v>4.5999999999999999E-2</v>
      </c>
      <c r="J1934" s="145">
        <v>4.3999999999999997E-2</v>
      </c>
      <c r="K1934" s="145" t="s">
        <v>400</v>
      </c>
      <c r="L1934" s="145">
        <v>4.8120000000000003</v>
      </c>
      <c r="M1934" s="145">
        <v>0.30099999999999999</v>
      </c>
      <c r="N1934" s="145">
        <v>10.023999999999999</v>
      </c>
      <c r="O1934" s="145">
        <v>12.029</v>
      </c>
      <c r="P1934" s="145">
        <v>6.6000000000000003E-2</v>
      </c>
      <c r="Q1934" s="145">
        <v>9.0220000000000002</v>
      </c>
      <c r="R1934" s="145">
        <v>0.501</v>
      </c>
      <c r="S1934" s="145">
        <v>3.0070000000000001</v>
      </c>
      <c r="T1934" s="145">
        <v>97.236999999999995</v>
      </c>
      <c r="U1934" s="145">
        <v>8.5999999999999993E-2</v>
      </c>
      <c r="V1934" s="145">
        <v>0.1</v>
      </c>
      <c r="W1934" s="145" t="s">
        <v>400</v>
      </c>
      <c r="X1934" s="145">
        <v>0.02</v>
      </c>
      <c r="Y1934" s="145">
        <v>0.06</v>
      </c>
      <c r="Z1934" s="146">
        <v>4.0000000000000001E-3</v>
      </c>
      <c r="AA1934" s="145">
        <v>0.40100000000000002</v>
      </c>
      <c r="AB1934" s="145">
        <v>1603.912</v>
      </c>
      <c r="AC1934" s="145">
        <v>0.40100000000000002</v>
      </c>
      <c r="AD1934" s="145" t="s">
        <v>400</v>
      </c>
      <c r="AE1934" s="145">
        <v>14.034000000000001</v>
      </c>
      <c r="AF1934" s="145" t="s">
        <v>400</v>
      </c>
      <c r="AG1934" s="145">
        <v>0.18</v>
      </c>
      <c r="AH1934" s="145" t="s">
        <v>400</v>
      </c>
      <c r="AI1934" s="145" t="s">
        <v>400</v>
      </c>
      <c r="AJ1934" s="145">
        <v>0.1</v>
      </c>
      <c r="AK1934" s="145">
        <v>25.478999999999999</v>
      </c>
      <c r="AL1934" s="145">
        <v>4.4109999999999996</v>
      </c>
      <c r="AM1934" s="145" t="s">
        <v>400</v>
      </c>
    </row>
    <row r="1935" spans="1:39">
      <c r="A1935" s="143" t="s">
        <v>2995</v>
      </c>
      <c r="B1935" s="144">
        <v>100</v>
      </c>
      <c r="C1935" s="145">
        <v>62.283999999999999</v>
      </c>
      <c r="D1935" s="145">
        <v>0.371</v>
      </c>
      <c r="E1935" s="145">
        <v>0.13800000000000001</v>
      </c>
      <c r="F1935" s="145">
        <v>0.04</v>
      </c>
      <c r="G1935" s="145">
        <v>1.2999999999999999E-2</v>
      </c>
      <c r="H1935" s="145">
        <v>5.8000000000000003E-2</v>
      </c>
      <c r="I1935" s="145">
        <v>4.2000000000000003E-2</v>
      </c>
      <c r="J1935" s="145">
        <v>1.6E-2</v>
      </c>
      <c r="K1935" s="145" t="s">
        <v>400</v>
      </c>
      <c r="L1935" s="145">
        <v>15.619</v>
      </c>
      <c r="M1935" s="145">
        <v>0.78500000000000003</v>
      </c>
      <c r="N1935" s="145">
        <v>2.7530000000000001</v>
      </c>
      <c r="O1935" s="145">
        <v>3.1989999999999998</v>
      </c>
      <c r="P1935" s="145">
        <v>2.1999999999999999E-2</v>
      </c>
      <c r="Q1935" s="145">
        <v>5.8170000000000002</v>
      </c>
      <c r="R1935" s="145">
        <v>3.9E-2</v>
      </c>
      <c r="S1935" s="145">
        <v>0.29099999999999998</v>
      </c>
      <c r="T1935" s="145">
        <v>60.91</v>
      </c>
      <c r="U1935" s="145">
        <v>3.3000000000000002E-2</v>
      </c>
      <c r="V1935" s="145">
        <v>3.3000000000000002E-2</v>
      </c>
      <c r="W1935" s="145" t="s">
        <v>400</v>
      </c>
      <c r="X1935" s="145">
        <v>0.01</v>
      </c>
      <c r="Y1935" s="145">
        <v>8.0000000000000002E-3</v>
      </c>
      <c r="Z1935" s="146">
        <v>1.6E-2</v>
      </c>
      <c r="AA1935" s="145">
        <v>0.158</v>
      </c>
      <c r="AB1935" s="145">
        <v>33.198999999999998</v>
      </c>
      <c r="AC1935" s="145">
        <v>0.21099999999999999</v>
      </c>
      <c r="AD1935" s="145" t="s">
        <v>400</v>
      </c>
      <c r="AE1935" s="145">
        <v>7.125</v>
      </c>
      <c r="AF1935" s="145" t="s">
        <v>400</v>
      </c>
      <c r="AG1935" s="145">
        <v>0.106</v>
      </c>
      <c r="AH1935" s="145" t="s">
        <v>400</v>
      </c>
      <c r="AI1935" s="145" t="s">
        <v>400</v>
      </c>
      <c r="AJ1935" s="145">
        <v>0.16800000000000001</v>
      </c>
      <c r="AK1935" s="145">
        <v>4.532</v>
      </c>
      <c r="AL1935" s="145">
        <v>14.808999999999999</v>
      </c>
      <c r="AM1935" s="145">
        <v>13.536</v>
      </c>
    </row>
    <row r="1936" spans="1:39">
      <c r="A1936" s="143" t="s">
        <v>2996</v>
      </c>
      <c r="B1936" s="144">
        <v>100</v>
      </c>
      <c r="C1936" s="145">
        <v>41.826000000000001</v>
      </c>
      <c r="D1936" s="145">
        <v>0.58799999999999997</v>
      </c>
      <c r="E1936" s="145">
        <v>0.13900000000000001</v>
      </c>
      <c r="F1936" s="145">
        <v>1.7999999999999999E-2</v>
      </c>
      <c r="G1936" s="145">
        <v>2.5000000000000001E-2</v>
      </c>
      <c r="H1936" s="145">
        <v>3.4000000000000002E-2</v>
      </c>
      <c r="I1936" s="145">
        <v>2.7E-2</v>
      </c>
      <c r="J1936" s="145">
        <v>7.0000000000000001E-3</v>
      </c>
      <c r="K1936" s="145" t="s">
        <v>400</v>
      </c>
      <c r="L1936" s="145">
        <v>9.8089999999999993</v>
      </c>
      <c r="M1936" s="145">
        <v>0.309</v>
      </c>
      <c r="N1936" s="145">
        <v>7.9669999999999996</v>
      </c>
      <c r="O1936" s="145">
        <v>10.954000000000001</v>
      </c>
      <c r="P1936" s="145">
        <v>1.4E-2</v>
      </c>
      <c r="Q1936" s="145">
        <v>13.942</v>
      </c>
      <c r="R1936" s="145">
        <v>0.438</v>
      </c>
      <c r="S1936" s="145">
        <v>1.992</v>
      </c>
      <c r="T1936" s="145">
        <v>174.274</v>
      </c>
      <c r="U1936" s="145">
        <v>5.7000000000000002E-2</v>
      </c>
      <c r="V1936" s="145">
        <v>7.0000000000000007E-2</v>
      </c>
      <c r="W1936" s="145" t="s">
        <v>400</v>
      </c>
      <c r="X1936" s="145">
        <v>0.06</v>
      </c>
      <c r="Y1936" s="145">
        <v>2.8000000000000001E-2</v>
      </c>
      <c r="Z1936" s="146">
        <v>8.7999999999999995E-2</v>
      </c>
      <c r="AA1936" s="145">
        <v>0.313</v>
      </c>
      <c r="AB1936" s="145">
        <v>34.256999999999998</v>
      </c>
      <c r="AC1936" s="145">
        <v>0.34599999999999997</v>
      </c>
      <c r="AD1936" s="145" t="s">
        <v>400</v>
      </c>
      <c r="AE1936" s="145">
        <v>17.925000000000001</v>
      </c>
      <c r="AF1936" s="145" t="s">
        <v>400</v>
      </c>
      <c r="AG1936" s="145">
        <v>0.19900000000000001</v>
      </c>
      <c r="AH1936" s="145" t="s">
        <v>400</v>
      </c>
      <c r="AI1936" s="145" t="s">
        <v>400</v>
      </c>
      <c r="AJ1936" s="145">
        <v>0.1</v>
      </c>
      <c r="AK1936" s="145">
        <v>8.7550000000000008</v>
      </c>
      <c r="AL1936" s="145">
        <v>8.1159999999999997</v>
      </c>
      <c r="AM1936" s="145" t="s">
        <v>400</v>
      </c>
    </row>
    <row r="1937" spans="1:39">
      <c r="A1937" s="143" t="s">
        <v>2997</v>
      </c>
      <c r="B1937" s="144">
        <v>100</v>
      </c>
      <c r="C1937" s="145">
        <v>30.771999999999998</v>
      </c>
      <c r="D1937" s="145">
        <v>0.81100000000000005</v>
      </c>
      <c r="E1937" s="145">
        <v>0.11700000000000001</v>
      </c>
      <c r="F1937" s="145">
        <v>2.1000000000000001E-2</v>
      </c>
      <c r="G1937" s="145">
        <v>8.9999999999999993E-3</v>
      </c>
      <c r="H1937" s="145">
        <v>5.2999999999999999E-2</v>
      </c>
      <c r="I1937" s="145">
        <v>4.5999999999999999E-2</v>
      </c>
      <c r="J1937" s="145">
        <v>6.0000000000000001E-3</v>
      </c>
      <c r="K1937" s="145" t="s">
        <v>400</v>
      </c>
      <c r="L1937" s="145">
        <v>7.1079999999999997</v>
      </c>
      <c r="M1937" s="145">
        <v>0.75700000000000001</v>
      </c>
      <c r="N1937" s="145">
        <v>17.143999999999998</v>
      </c>
      <c r="O1937" s="145">
        <v>11.734</v>
      </c>
      <c r="P1937" s="145">
        <v>0.123</v>
      </c>
      <c r="Q1937" s="145">
        <v>31.27</v>
      </c>
      <c r="R1937" s="145">
        <v>0.39</v>
      </c>
      <c r="S1937" s="145">
        <v>28.027999999999999</v>
      </c>
      <c r="T1937" s="145">
        <v>222.57900000000001</v>
      </c>
      <c r="U1937" s="145">
        <v>3.7999999999999999E-2</v>
      </c>
      <c r="V1937" s="145">
        <v>0.158</v>
      </c>
      <c r="W1937" s="145" t="s">
        <v>400</v>
      </c>
      <c r="X1937" s="145">
        <v>6.0999999999999999E-2</v>
      </c>
      <c r="Y1937" s="145">
        <v>0.04</v>
      </c>
      <c r="Z1937" s="146">
        <v>0.14499999999999999</v>
      </c>
      <c r="AA1937" s="145">
        <v>0.28499999999999998</v>
      </c>
      <c r="AB1937" s="145">
        <v>5.81</v>
      </c>
      <c r="AC1937" s="145">
        <v>0.432</v>
      </c>
      <c r="AD1937" s="145" t="s">
        <v>400</v>
      </c>
      <c r="AE1937" s="145">
        <v>12.664</v>
      </c>
      <c r="AF1937" s="145" t="s">
        <v>400</v>
      </c>
      <c r="AG1937" s="145">
        <v>0.73599999999999999</v>
      </c>
      <c r="AH1937" s="145" t="s">
        <v>400</v>
      </c>
      <c r="AI1937" s="145" t="s">
        <v>400</v>
      </c>
      <c r="AJ1937" s="145">
        <v>0.46700000000000003</v>
      </c>
      <c r="AK1937" s="145">
        <v>602.41899999999998</v>
      </c>
      <c r="AL1937" s="145">
        <v>4.7060000000000004</v>
      </c>
      <c r="AM1937" s="145" t="s">
        <v>400</v>
      </c>
    </row>
    <row r="1938" spans="1:39">
      <c r="A1938" s="143" t="s">
        <v>2998</v>
      </c>
      <c r="B1938" s="144">
        <v>100</v>
      </c>
      <c r="C1938" s="145">
        <v>50.862000000000002</v>
      </c>
      <c r="D1938" s="145">
        <v>0.11</v>
      </c>
      <c r="E1938" s="145">
        <v>0.06</v>
      </c>
      <c r="F1938" s="145">
        <v>1.4E-2</v>
      </c>
      <c r="G1938" s="145">
        <v>2.1999999999999999E-2</v>
      </c>
      <c r="H1938" s="145">
        <v>1.0999999999999999E-2</v>
      </c>
      <c r="I1938" s="145">
        <v>3.0000000000000001E-3</v>
      </c>
      <c r="J1938" s="145">
        <v>8.0000000000000002E-3</v>
      </c>
      <c r="K1938" s="145" t="s">
        <v>400</v>
      </c>
      <c r="L1938" s="145">
        <v>13.084</v>
      </c>
      <c r="M1938" s="145">
        <v>0.29899999999999999</v>
      </c>
      <c r="N1938" s="145">
        <v>16.954000000000001</v>
      </c>
      <c r="O1938" s="145">
        <v>2.992</v>
      </c>
      <c r="P1938" s="145">
        <v>2.8000000000000001E-2</v>
      </c>
      <c r="Q1938" s="145">
        <v>1.9950000000000001</v>
      </c>
      <c r="R1938" s="145">
        <v>0.35899999999999999</v>
      </c>
      <c r="S1938" s="145">
        <v>4.9859999999999998</v>
      </c>
      <c r="T1938" s="145">
        <v>23.934999999999999</v>
      </c>
      <c r="U1938" s="145">
        <v>1.4999999999999999E-2</v>
      </c>
      <c r="V1938" s="145">
        <v>0.02</v>
      </c>
      <c r="W1938" s="145" t="s">
        <v>400</v>
      </c>
      <c r="X1938" s="145">
        <v>3.0000000000000001E-3</v>
      </c>
      <c r="Y1938" s="145">
        <v>3.0000000000000001E-3</v>
      </c>
      <c r="Z1938" s="146">
        <v>1.4999999999999999E-2</v>
      </c>
      <c r="AA1938" s="145">
        <v>0.08</v>
      </c>
      <c r="AB1938" s="145">
        <v>15.159000000000001</v>
      </c>
      <c r="AC1938" s="145">
        <v>0.113</v>
      </c>
      <c r="AD1938" s="145" t="s">
        <v>400</v>
      </c>
      <c r="AE1938" s="145">
        <v>6.9809999999999999</v>
      </c>
      <c r="AF1938" s="145" t="s">
        <v>400</v>
      </c>
      <c r="AG1938" s="145">
        <v>0.20899999999999999</v>
      </c>
      <c r="AH1938" s="145" t="s">
        <v>400</v>
      </c>
      <c r="AI1938" s="145" t="s">
        <v>400</v>
      </c>
      <c r="AJ1938" s="145">
        <v>0.39900000000000002</v>
      </c>
      <c r="AK1938" s="145">
        <v>34.49</v>
      </c>
      <c r="AL1938" s="145">
        <v>12.416</v>
      </c>
      <c r="AM1938" s="145">
        <v>9.4280000000000008</v>
      </c>
    </row>
    <row r="1939" spans="1:39">
      <c r="A1939" s="143" t="s">
        <v>2999</v>
      </c>
      <c r="B1939" s="144">
        <v>100</v>
      </c>
      <c r="C1939" s="145">
        <v>60.137</v>
      </c>
      <c r="D1939" s="145">
        <v>0.67200000000000004</v>
      </c>
      <c r="E1939" s="145">
        <v>0.18</v>
      </c>
      <c r="F1939" s="145">
        <v>1.4999999999999999E-2</v>
      </c>
      <c r="G1939" s="145">
        <v>2.1999999999999999E-2</v>
      </c>
      <c r="H1939" s="145">
        <v>0.106</v>
      </c>
      <c r="I1939" s="145">
        <v>0.105</v>
      </c>
      <c r="J1939" s="145" t="s">
        <v>400</v>
      </c>
      <c r="K1939" s="145" t="s">
        <v>400</v>
      </c>
      <c r="L1939" s="145">
        <v>14.483000000000001</v>
      </c>
      <c r="M1939" s="145">
        <v>0.2</v>
      </c>
      <c r="N1939" s="145">
        <v>4.0090000000000003</v>
      </c>
      <c r="O1939" s="145">
        <v>17.039000000000001</v>
      </c>
      <c r="P1939" s="145">
        <v>1.2999999999999999E-2</v>
      </c>
      <c r="Q1939" s="145">
        <v>25.056999999999999</v>
      </c>
      <c r="R1939" s="145">
        <v>0.36099999999999999</v>
      </c>
      <c r="S1939" s="145">
        <v>6.0140000000000002</v>
      </c>
      <c r="T1939" s="145">
        <v>278.63299999999998</v>
      </c>
      <c r="U1939" s="145">
        <v>0.05</v>
      </c>
      <c r="V1939" s="145">
        <v>0.06</v>
      </c>
      <c r="W1939" s="145" t="s">
        <v>400</v>
      </c>
      <c r="X1939" s="145" t="s">
        <v>400</v>
      </c>
      <c r="Y1939" s="145">
        <v>0.10100000000000001</v>
      </c>
      <c r="Z1939" s="146">
        <v>0.06</v>
      </c>
      <c r="AA1939" s="145">
        <v>2.2450000000000001</v>
      </c>
      <c r="AB1939" s="145">
        <v>18.241</v>
      </c>
      <c r="AC1939" s="145">
        <v>2.2450000000000001</v>
      </c>
      <c r="AD1939" s="145" t="s">
        <v>400</v>
      </c>
      <c r="AE1939" s="145">
        <v>8.0180000000000007</v>
      </c>
      <c r="AF1939" s="145" t="s">
        <v>400</v>
      </c>
      <c r="AG1939" s="145">
        <v>0.01</v>
      </c>
      <c r="AH1939" s="145" t="s">
        <v>400</v>
      </c>
      <c r="AI1939" s="145" t="s">
        <v>400</v>
      </c>
      <c r="AJ1939" s="145">
        <v>0.1</v>
      </c>
      <c r="AK1939" s="145">
        <v>47.274000000000001</v>
      </c>
      <c r="AL1939" s="145">
        <v>11.436</v>
      </c>
      <c r="AM1939" s="145" t="s">
        <v>400</v>
      </c>
    </row>
    <row r="1940" spans="1:39">
      <c r="A1940" s="143" t="s">
        <v>3000</v>
      </c>
      <c r="B1940" s="144">
        <v>100</v>
      </c>
      <c r="C1940" s="145">
        <v>59.209000000000003</v>
      </c>
      <c r="D1940" s="145">
        <v>0.56899999999999995</v>
      </c>
      <c r="E1940" s="145">
        <v>9.5000000000000001E-2</v>
      </c>
      <c r="F1940" s="145">
        <v>2.4E-2</v>
      </c>
      <c r="G1940" s="145">
        <v>6.0000000000000001E-3</v>
      </c>
      <c r="H1940" s="145">
        <v>3.1E-2</v>
      </c>
      <c r="I1940" s="145">
        <v>2.1999999999999999E-2</v>
      </c>
      <c r="J1940" s="145">
        <v>8.9999999999999993E-3</v>
      </c>
      <c r="K1940" s="145" t="s">
        <v>400</v>
      </c>
      <c r="L1940" s="145">
        <v>14.509</v>
      </c>
      <c r="M1940" s="145">
        <v>0.22800000000000001</v>
      </c>
      <c r="N1940" s="145">
        <v>9.4920000000000009</v>
      </c>
      <c r="O1940" s="145">
        <v>10.227</v>
      </c>
      <c r="P1940" s="145">
        <v>0.36299999999999999</v>
      </c>
      <c r="Q1940" s="145">
        <v>11.9</v>
      </c>
      <c r="R1940" s="145">
        <v>0.252</v>
      </c>
      <c r="S1940" s="145">
        <v>2.8730000000000002</v>
      </c>
      <c r="T1940" s="145">
        <v>133.74299999999999</v>
      </c>
      <c r="U1940" s="145">
        <v>2.9000000000000001E-2</v>
      </c>
      <c r="V1940" s="145">
        <v>5.6000000000000001E-2</v>
      </c>
      <c r="W1940" s="145" t="s">
        <v>400</v>
      </c>
      <c r="X1940" s="145">
        <v>2.5999999999999999E-2</v>
      </c>
      <c r="Y1940" s="145">
        <v>3.5999999999999997E-2</v>
      </c>
      <c r="Z1940" s="146">
        <v>6.4000000000000001E-2</v>
      </c>
      <c r="AA1940" s="145">
        <v>0.27100000000000002</v>
      </c>
      <c r="AB1940" s="145">
        <v>4.0380000000000003</v>
      </c>
      <c r="AC1940" s="145">
        <v>0.28000000000000003</v>
      </c>
      <c r="AD1940" s="145" t="s">
        <v>400</v>
      </c>
      <c r="AE1940" s="145">
        <v>4.4160000000000004</v>
      </c>
      <c r="AF1940" s="145" t="s">
        <v>400</v>
      </c>
      <c r="AG1940" s="145">
        <v>1.9E-2</v>
      </c>
      <c r="AH1940" s="145" t="s">
        <v>400</v>
      </c>
      <c r="AI1940" s="145" t="s">
        <v>400</v>
      </c>
      <c r="AJ1940" s="145">
        <v>0.12</v>
      </c>
      <c r="AK1940" s="145">
        <v>0.42899999999999999</v>
      </c>
      <c r="AL1940" s="145">
        <v>14.454000000000001</v>
      </c>
      <c r="AM1940" s="145" t="s">
        <v>400</v>
      </c>
    </row>
    <row r="1941" spans="1:39">
      <c r="A1941" s="143" t="s">
        <v>3001</v>
      </c>
      <c r="B1941" s="144">
        <v>100</v>
      </c>
      <c r="C1941" s="145">
        <v>53.993000000000002</v>
      </c>
      <c r="D1941" s="145">
        <v>0.27</v>
      </c>
      <c r="E1941" s="145">
        <v>0.02</v>
      </c>
      <c r="F1941" s="145">
        <v>2E-3</v>
      </c>
      <c r="G1941" s="145">
        <v>8.0000000000000002E-3</v>
      </c>
      <c r="H1941" s="145">
        <v>1.0999999999999999E-2</v>
      </c>
      <c r="I1941" s="145">
        <v>0.01</v>
      </c>
      <c r="J1941" s="145" t="s">
        <v>400</v>
      </c>
      <c r="K1941" s="145" t="s">
        <v>400</v>
      </c>
      <c r="L1941" s="145">
        <v>13.917999999999999</v>
      </c>
      <c r="M1941" s="145">
        <v>0.6</v>
      </c>
      <c r="N1941" s="145">
        <v>4.9989999999999997</v>
      </c>
      <c r="O1941" s="145">
        <v>3.9990000000000001</v>
      </c>
      <c r="P1941" s="145">
        <v>1.9E-2</v>
      </c>
      <c r="Q1941" s="145">
        <v>5.9989999999999997</v>
      </c>
      <c r="R1941" s="145">
        <v>0.19</v>
      </c>
      <c r="S1941" s="145">
        <v>6.9989999999999997</v>
      </c>
      <c r="T1941" s="145">
        <v>39.994999999999997</v>
      </c>
      <c r="U1941" s="145">
        <v>6.9000000000000006E-2</v>
      </c>
      <c r="V1941" s="145">
        <v>0.08</v>
      </c>
      <c r="W1941" s="145" t="s">
        <v>400</v>
      </c>
      <c r="X1941" s="145">
        <v>3.0000000000000001E-3</v>
      </c>
      <c r="Y1941" s="145">
        <v>1.4E-2</v>
      </c>
      <c r="Z1941" s="146">
        <v>7.0000000000000001E-3</v>
      </c>
      <c r="AA1941" s="145">
        <v>0.28799999999999998</v>
      </c>
      <c r="AB1941" s="145">
        <v>5.2990000000000004</v>
      </c>
      <c r="AC1941" s="145">
        <v>0.28799999999999998</v>
      </c>
      <c r="AD1941" s="145" t="s">
        <v>400</v>
      </c>
      <c r="AE1941" s="145">
        <v>1</v>
      </c>
      <c r="AF1941" s="145" t="s">
        <v>400</v>
      </c>
      <c r="AG1941" s="145">
        <v>0.28999999999999998</v>
      </c>
      <c r="AH1941" s="145" t="s">
        <v>400</v>
      </c>
      <c r="AI1941" s="145" t="s">
        <v>400</v>
      </c>
      <c r="AJ1941" s="145">
        <v>0.2</v>
      </c>
      <c r="AK1941" s="145">
        <v>12.872999999999999</v>
      </c>
      <c r="AL1941" s="145">
        <v>13.238</v>
      </c>
      <c r="AM1941" s="145">
        <v>9.2970000000000006</v>
      </c>
    </row>
    <row r="1942" spans="1:39">
      <c r="A1942" s="143" t="s">
        <v>3002</v>
      </c>
      <c r="B1942" s="144">
        <v>100</v>
      </c>
      <c r="C1942" s="145">
        <v>53.993000000000002</v>
      </c>
      <c r="D1942" s="145">
        <v>0.27</v>
      </c>
      <c r="E1942" s="145">
        <v>0.02</v>
      </c>
      <c r="F1942" s="145">
        <v>2E-3</v>
      </c>
      <c r="G1942" s="145">
        <v>8.0000000000000002E-3</v>
      </c>
      <c r="H1942" s="145">
        <v>1.0999999999999999E-2</v>
      </c>
      <c r="I1942" s="145">
        <v>0.01</v>
      </c>
      <c r="J1942" s="145" t="s">
        <v>400</v>
      </c>
      <c r="K1942" s="145" t="s">
        <v>400</v>
      </c>
      <c r="L1942" s="145">
        <v>13.917999999999999</v>
      </c>
      <c r="M1942" s="145">
        <v>0.6</v>
      </c>
      <c r="N1942" s="145">
        <v>4.9989999999999997</v>
      </c>
      <c r="O1942" s="145">
        <v>3.9990000000000001</v>
      </c>
      <c r="P1942" s="145">
        <v>1.9E-2</v>
      </c>
      <c r="Q1942" s="145">
        <v>5.9989999999999997</v>
      </c>
      <c r="R1942" s="145">
        <v>0.19</v>
      </c>
      <c r="S1942" s="145">
        <v>6.9989999999999997</v>
      </c>
      <c r="T1942" s="145">
        <v>39.994999999999997</v>
      </c>
      <c r="U1942" s="145">
        <v>6.9000000000000006E-2</v>
      </c>
      <c r="V1942" s="145">
        <v>0.08</v>
      </c>
      <c r="W1942" s="145" t="s">
        <v>400</v>
      </c>
      <c r="X1942" s="145">
        <v>3.0000000000000001E-3</v>
      </c>
      <c r="Y1942" s="145">
        <v>1.4E-2</v>
      </c>
      <c r="Z1942" s="146">
        <v>7.0000000000000001E-3</v>
      </c>
      <c r="AA1942" s="145">
        <v>0.28799999999999998</v>
      </c>
      <c r="AB1942" s="145">
        <v>5.2990000000000004</v>
      </c>
      <c r="AC1942" s="145">
        <v>0.28799999999999998</v>
      </c>
      <c r="AD1942" s="145" t="s">
        <v>400</v>
      </c>
      <c r="AE1942" s="145">
        <v>1</v>
      </c>
      <c r="AF1942" s="145" t="s">
        <v>400</v>
      </c>
      <c r="AG1942" s="145">
        <v>0.28999999999999998</v>
      </c>
      <c r="AH1942" s="145" t="s">
        <v>400</v>
      </c>
      <c r="AI1942" s="145" t="s">
        <v>400</v>
      </c>
      <c r="AJ1942" s="145">
        <v>0.2</v>
      </c>
      <c r="AK1942" s="145">
        <v>12.872999999999999</v>
      </c>
      <c r="AL1942" s="145">
        <v>13.238</v>
      </c>
      <c r="AM1942" s="145">
        <v>9.2970000000000006</v>
      </c>
    </row>
    <row r="1943" spans="1:39">
      <c r="A1943" s="143" t="s">
        <v>3003</v>
      </c>
      <c r="B1943" s="144">
        <v>100</v>
      </c>
      <c r="C1943" s="145">
        <v>255.571</v>
      </c>
      <c r="D1943" s="145">
        <v>14.597</v>
      </c>
      <c r="E1943" s="145">
        <v>8.4499999999999993</v>
      </c>
      <c r="F1943" s="145">
        <v>5.1159999999999997</v>
      </c>
      <c r="G1943" s="145">
        <v>2.355</v>
      </c>
      <c r="H1943" s="145">
        <v>0.43</v>
      </c>
      <c r="I1943" s="145">
        <v>0.34100000000000003</v>
      </c>
      <c r="J1943" s="145">
        <v>8.7999999999999995E-2</v>
      </c>
      <c r="K1943" s="145">
        <v>21.884</v>
      </c>
      <c r="L1943" s="145">
        <v>29.818999999999999</v>
      </c>
      <c r="M1943" s="145">
        <v>1.7390000000000001</v>
      </c>
      <c r="N1943" s="145">
        <v>308.76799999999997</v>
      </c>
      <c r="O1943" s="145">
        <v>24.059000000000001</v>
      </c>
      <c r="P1943" s="145">
        <v>0.28799999999999998</v>
      </c>
      <c r="Q1943" s="145">
        <v>264.19099999999997</v>
      </c>
      <c r="R1943" s="145">
        <v>2.1589999999999998</v>
      </c>
      <c r="S1943" s="145">
        <v>736.75400000000002</v>
      </c>
      <c r="T1943" s="145">
        <v>184.62</v>
      </c>
      <c r="U1943" s="145">
        <v>0.106</v>
      </c>
      <c r="V1943" s="145">
        <v>1.595</v>
      </c>
      <c r="W1943" s="145">
        <v>51.246000000000002</v>
      </c>
      <c r="X1943" s="145">
        <v>0.32600000000000001</v>
      </c>
      <c r="Y1943" s="145">
        <v>0.35499999999999998</v>
      </c>
      <c r="Z1943" s="146">
        <v>9.7000000000000003E-2</v>
      </c>
      <c r="AA1943" s="145">
        <v>2.5659999999999998</v>
      </c>
      <c r="AB1943" s="145">
        <v>2.1680000000000001</v>
      </c>
      <c r="AC1943" s="145">
        <v>7.2629999999999999</v>
      </c>
      <c r="AD1943" s="145">
        <v>0.89600000000000002</v>
      </c>
      <c r="AE1943" s="145">
        <v>93.332999999999998</v>
      </c>
      <c r="AF1943" s="145">
        <v>0.08</v>
      </c>
      <c r="AG1943" s="145">
        <v>0.54500000000000004</v>
      </c>
      <c r="AH1943" s="145">
        <v>0.16800000000000001</v>
      </c>
      <c r="AI1943" s="145" t="s">
        <v>400</v>
      </c>
      <c r="AJ1943" s="145">
        <v>17.98</v>
      </c>
      <c r="AK1943" s="145">
        <v>57.591999999999999</v>
      </c>
      <c r="AL1943" s="145">
        <v>2.194</v>
      </c>
      <c r="AM1943" s="145">
        <v>0.443</v>
      </c>
    </row>
    <row r="1944" spans="1:39">
      <c r="A1944" s="143" t="s">
        <v>3004</v>
      </c>
      <c r="B1944" s="144">
        <v>100</v>
      </c>
      <c r="C1944" s="145">
        <v>144.333</v>
      </c>
      <c r="D1944" s="145">
        <v>10.925000000000001</v>
      </c>
      <c r="E1944" s="145">
        <v>5.67</v>
      </c>
      <c r="F1944" s="145">
        <v>3.2410000000000001</v>
      </c>
      <c r="G1944" s="145">
        <v>1.704</v>
      </c>
      <c r="H1944" s="145">
        <v>0.311</v>
      </c>
      <c r="I1944" s="145">
        <v>0.247</v>
      </c>
      <c r="J1944" s="145">
        <v>5.2999999999999999E-2</v>
      </c>
      <c r="K1944" s="145">
        <v>26.338999999999999</v>
      </c>
      <c r="L1944" s="145">
        <v>12.336</v>
      </c>
      <c r="M1944" s="145">
        <v>1.1140000000000001</v>
      </c>
      <c r="N1944" s="145">
        <v>146.58199999999999</v>
      </c>
      <c r="O1944" s="145">
        <v>19.885999999999999</v>
      </c>
      <c r="P1944" s="145">
        <v>0.16200000000000001</v>
      </c>
      <c r="Q1944" s="145">
        <v>143.74100000000001</v>
      </c>
      <c r="R1944" s="145">
        <v>1.514</v>
      </c>
      <c r="S1944" s="145">
        <v>314</v>
      </c>
      <c r="T1944" s="145">
        <v>200.97200000000001</v>
      </c>
      <c r="U1944" s="145">
        <v>9.0999999999999998E-2</v>
      </c>
      <c r="V1944" s="145">
        <v>1.75</v>
      </c>
      <c r="W1944" s="145">
        <v>40.68</v>
      </c>
      <c r="X1944" s="145">
        <v>0.10199999999999999</v>
      </c>
      <c r="Y1944" s="145">
        <v>0.159</v>
      </c>
      <c r="Z1944" s="146">
        <v>0.123</v>
      </c>
      <c r="AA1944" s="145">
        <v>1.6</v>
      </c>
      <c r="AB1944" s="145">
        <v>3.556</v>
      </c>
      <c r="AC1944" s="145">
        <v>3.5009999999999999</v>
      </c>
      <c r="AD1944" s="145">
        <v>0.51900000000000002</v>
      </c>
      <c r="AE1944" s="145">
        <v>43.088999999999999</v>
      </c>
      <c r="AF1944" s="145">
        <v>0.104</v>
      </c>
      <c r="AG1944" s="145">
        <v>0.51900000000000002</v>
      </c>
      <c r="AH1944" s="145">
        <v>0.13900000000000001</v>
      </c>
      <c r="AI1944" s="146" t="s">
        <v>400</v>
      </c>
      <c r="AJ1944" s="145">
        <v>15.641</v>
      </c>
      <c r="AK1944" s="145">
        <v>47.148000000000003</v>
      </c>
      <c r="AL1944" s="145">
        <v>2.266</v>
      </c>
      <c r="AM1944" s="145">
        <v>0.17499999999999999</v>
      </c>
    </row>
    <row r="1945" spans="1:39">
      <c r="A1945" s="143" t="s">
        <v>3005</v>
      </c>
      <c r="B1945" s="144">
        <v>100</v>
      </c>
      <c r="C1945" s="145">
        <v>189.86199999999999</v>
      </c>
      <c r="D1945" s="145">
        <v>5.6449999999999996</v>
      </c>
      <c r="E1945" s="145">
        <v>7.1769999999999996</v>
      </c>
      <c r="F1945" s="145">
        <v>2.363</v>
      </c>
      <c r="G1945" s="145">
        <v>1.8220000000000001</v>
      </c>
      <c r="H1945" s="145">
        <v>2.4849999999999999</v>
      </c>
      <c r="I1945" s="145">
        <v>2.2080000000000002</v>
      </c>
      <c r="J1945" s="145">
        <v>0.27500000000000002</v>
      </c>
      <c r="K1945" s="145">
        <v>8.2759999999999998</v>
      </c>
      <c r="L1945" s="145">
        <v>25.536999999999999</v>
      </c>
      <c r="M1945" s="145">
        <v>1.1599999999999999</v>
      </c>
      <c r="N1945" s="145">
        <v>94.043000000000006</v>
      </c>
      <c r="O1945" s="145">
        <v>19.725999999999999</v>
      </c>
      <c r="P1945" s="145">
        <v>0.20899999999999999</v>
      </c>
      <c r="Q1945" s="145">
        <v>101.25700000000001</v>
      </c>
      <c r="R1945" s="145">
        <v>0.86899999999999999</v>
      </c>
      <c r="S1945" s="145">
        <v>429.67599999999999</v>
      </c>
      <c r="T1945" s="145">
        <v>128.161</v>
      </c>
      <c r="U1945" s="145">
        <v>7.2999999999999995E-2</v>
      </c>
      <c r="V1945" s="145">
        <v>0.63700000000000001</v>
      </c>
      <c r="W1945" s="145">
        <v>33.878</v>
      </c>
      <c r="X1945" s="145">
        <v>0.20300000000000001</v>
      </c>
      <c r="Y1945" s="145">
        <v>0.19500000000000001</v>
      </c>
      <c r="Z1945" s="146">
        <v>5.8000000000000003E-2</v>
      </c>
      <c r="AA1945" s="145">
        <v>1.1339999999999999</v>
      </c>
      <c r="AB1945" s="145">
        <v>9.1999999999999998E-2</v>
      </c>
      <c r="AC1945" s="145">
        <v>2.452</v>
      </c>
      <c r="AD1945" s="145">
        <v>0.214</v>
      </c>
      <c r="AE1945" s="145">
        <v>81.111999999999995</v>
      </c>
      <c r="AF1945" s="145">
        <v>0.373</v>
      </c>
      <c r="AG1945" s="145">
        <v>0.42699999999999999</v>
      </c>
      <c r="AH1945" s="145">
        <v>0.20300000000000001</v>
      </c>
      <c r="AI1945" s="145" t="s">
        <v>400</v>
      </c>
      <c r="AJ1945" s="145">
        <v>20.213000000000001</v>
      </c>
      <c r="AK1945" s="145">
        <v>33.491999999999997</v>
      </c>
      <c r="AL1945" s="145">
        <v>4.4820000000000002</v>
      </c>
      <c r="AM1945" s="145">
        <v>1.728</v>
      </c>
    </row>
    <row r="1946" spans="1:39">
      <c r="A1946" s="143" t="s">
        <v>3006</v>
      </c>
      <c r="B1946" s="144">
        <v>100</v>
      </c>
      <c r="C1946" s="145">
        <v>229.61699999999999</v>
      </c>
      <c r="D1946" s="145">
        <v>11.753</v>
      </c>
      <c r="E1946" s="145">
        <v>10.207000000000001</v>
      </c>
      <c r="F1946" s="145">
        <v>4.4820000000000002</v>
      </c>
      <c r="G1946" s="145">
        <v>3.5870000000000002</v>
      </c>
      <c r="H1946" s="145">
        <v>0.85499999999999998</v>
      </c>
      <c r="I1946" s="145">
        <v>0.74299999999999999</v>
      </c>
      <c r="J1946" s="145">
        <v>7.3999999999999996E-2</v>
      </c>
      <c r="K1946" s="145">
        <v>26.193000000000001</v>
      </c>
      <c r="L1946" s="145">
        <v>22.402000000000001</v>
      </c>
      <c r="M1946" s="145">
        <v>1.5609999999999999</v>
      </c>
      <c r="N1946" s="145">
        <v>160.09899999999999</v>
      </c>
      <c r="O1946" s="145">
        <v>20.309999999999999</v>
      </c>
      <c r="P1946" s="145">
        <v>0.28199999999999997</v>
      </c>
      <c r="Q1946" s="145">
        <v>176.50899999999999</v>
      </c>
      <c r="R1946" s="145">
        <v>1.8640000000000001</v>
      </c>
      <c r="S1946" s="145">
        <v>668.21500000000003</v>
      </c>
      <c r="T1946" s="145">
        <v>214.72300000000001</v>
      </c>
      <c r="U1946" s="145">
        <v>0.12</v>
      </c>
      <c r="V1946" s="145">
        <v>1.2889999999999999</v>
      </c>
      <c r="W1946" s="145">
        <v>25.495999999999999</v>
      </c>
      <c r="X1946" s="145">
        <v>0.28499999999999998</v>
      </c>
      <c r="Y1946" s="145">
        <v>0.27900000000000003</v>
      </c>
      <c r="Z1946" s="146">
        <v>0.158</v>
      </c>
      <c r="AA1946" s="145">
        <v>2.8919999999999999</v>
      </c>
      <c r="AB1946" s="145">
        <v>10.218</v>
      </c>
      <c r="AC1946" s="145">
        <v>5.9779999999999998</v>
      </c>
      <c r="AD1946" s="145">
        <v>0.67</v>
      </c>
      <c r="AE1946" s="145">
        <v>68.768000000000001</v>
      </c>
      <c r="AF1946" s="145">
        <v>0.08</v>
      </c>
      <c r="AG1946" s="145">
        <v>0.44700000000000001</v>
      </c>
      <c r="AH1946" s="145">
        <v>0.22800000000000001</v>
      </c>
      <c r="AI1946" s="145" t="s">
        <v>400</v>
      </c>
      <c r="AJ1946" s="145">
        <v>14.631</v>
      </c>
      <c r="AK1946" s="145">
        <v>32.113999999999997</v>
      </c>
      <c r="AL1946" s="145">
        <v>2.306</v>
      </c>
      <c r="AM1946" s="145">
        <v>0.309</v>
      </c>
    </row>
    <row r="1947" spans="1:39">
      <c r="A1947" s="143" t="s">
        <v>3007</v>
      </c>
      <c r="B1947" s="144">
        <v>100</v>
      </c>
      <c r="C1947" s="145">
        <v>406</v>
      </c>
      <c r="D1947" s="145">
        <v>2.1</v>
      </c>
      <c r="E1947" s="145">
        <v>9.1</v>
      </c>
      <c r="F1947" s="145">
        <v>1.9</v>
      </c>
      <c r="G1947" s="145">
        <v>2.4</v>
      </c>
      <c r="H1947" s="145">
        <v>2.5</v>
      </c>
      <c r="I1947" s="145">
        <v>2.29</v>
      </c>
      <c r="J1947" s="145">
        <v>0.19</v>
      </c>
      <c r="K1947" s="145" t="s">
        <v>400</v>
      </c>
      <c r="L1947" s="145">
        <v>80.3</v>
      </c>
      <c r="M1947" s="145">
        <v>7.8</v>
      </c>
      <c r="N1947" s="145">
        <v>66</v>
      </c>
      <c r="O1947" s="145">
        <v>34</v>
      </c>
      <c r="P1947" s="145">
        <v>0.28999999999999998</v>
      </c>
      <c r="Q1947" s="145">
        <v>45</v>
      </c>
      <c r="R1947" s="145">
        <v>1.4</v>
      </c>
      <c r="S1947" s="145">
        <v>575</v>
      </c>
      <c r="T1947" s="145">
        <v>201</v>
      </c>
      <c r="U1947" s="145" t="s">
        <v>400</v>
      </c>
      <c r="V1947" s="145">
        <v>0.2</v>
      </c>
      <c r="W1947" s="145" t="s">
        <v>400</v>
      </c>
      <c r="X1947" s="145">
        <v>0.1</v>
      </c>
      <c r="Y1947" s="145" t="s">
        <v>400</v>
      </c>
      <c r="Z1947" s="146">
        <v>0.15</v>
      </c>
      <c r="AA1947" s="145" t="s">
        <v>400</v>
      </c>
      <c r="AB1947" s="145" t="s">
        <v>400</v>
      </c>
      <c r="AC1947" s="145" t="s">
        <v>400</v>
      </c>
      <c r="AD1947" s="145" t="s">
        <v>400</v>
      </c>
      <c r="AE1947" s="145" t="s">
        <v>400</v>
      </c>
      <c r="AF1947" s="145" t="s">
        <v>400</v>
      </c>
      <c r="AG1947" s="145" t="s">
        <v>400</v>
      </c>
      <c r="AH1947" s="145" t="s">
        <v>400</v>
      </c>
      <c r="AI1947" s="145" t="s">
        <v>400</v>
      </c>
      <c r="AJ1947" s="145" t="s">
        <v>400</v>
      </c>
      <c r="AK1947" s="145" t="s">
        <v>400</v>
      </c>
      <c r="AL1947" s="145" t="s">
        <v>400</v>
      </c>
      <c r="AM1947" s="145" t="s">
        <v>400</v>
      </c>
    </row>
    <row r="1948" spans="1:39">
      <c r="A1948" s="143" t="s">
        <v>3008</v>
      </c>
      <c r="B1948" s="144">
        <v>100</v>
      </c>
      <c r="C1948" s="145">
        <v>245</v>
      </c>
      <c r="D1948" s="145">
        <v>11.6</v>
      </c>
      <c r="E1948" s="145">
        <v>15.045</v>
      </c>
      <c r="F1948" s="145">
        <v>6.0549999999999997</v>
      </c>
      <c r="G1948" s="145">
        <v>6.45</v>
      </c>
      <c r="H1948" s="145">
        <v>0.57499999999999996</v>
      </c>
      <c r="I1948" s="145">
        <v>0.375</v>
      </c>
      <c r="J1948" s="145">
        <v>0.17</v>
      </c>
      <c r="K1948" s="145">
        <v>42</v>
      </c>
      <c r="L1948" s="145">
        <v>15.05</v>
      </c>
      <c r="M1948" s="145">
        <v>0.8</v>
      </c>
      <c r="N1948" s="145">
        <v>15</v>
      </c>
      <c r="O1948" s="145">
        <v>23.5</v>
      </c>
      <c r="P1948" s="145">
        <v>3.6499999999999998E-2</v>
      </c>
      <c r="Q1948" s="145">
        <v>99</v>
      </c>
      <c r="R1948" s="145">
        <v>1.2250000000000001</v>
      </c>
      <c r="S1948" s="145">
        <v>32.5</v>
      </c>
      <c r="T1948" s="145">
        <v>201</v>
      </c>
      <c r="U1948" s="145">
        <v>4.7E-2</v>
      </c>
      <c r="V1948" s="145">
        <v>2.8</v>
      </c>
      <c r="W1948" s="145" t="s">
        <v>400</v>
      </c>
      <c r="X1948" s="145">
        <v>6.5000000000000002E-2</v>
      </c>
      <c r="Y1948" s="145">
        <v>8.5000000000000006E-2</v>
      </c>
      <c r="Z1948" s="146">
        <v>0.13</v>
      </c>
      <c r="AA1948" s="145">
        <v>1.7150000000000001</v>
      </c>
      <c r="AB1948" s="145">
        <v>5.55</v>
      </c>
      <c r="AC1948" s="145">
        <v>3.8235000000000001</v>
      </c>
      <c r="AD1948" s="145">
        <v>1.2749999999999999</v>
      </c>
      <c r="AE1948" s="145">
        <v>3.5</v>
      </c>
      <c r="AF1948" s="145">
        <v>0.3</v>
      </c>
      <c r="AG1948" s="145">
        <v>0.12</v>
      </c>
      <c r="AH1948" s="145">
        <v>0.67500000000000004</v>
      </c>
      <c r="AI1948" s="145">
        <v>309.5</v>
      </c>
      <c r="AJ1948" s="145">
        <v>11.2</v>
      </c>
      <c r="AK1948" s="145" t="s">
        <v>400</v>
      </c>
      <c r="AL1948" s="145" t="s">
        <v>400</v>
      </c>
      <c r="AM1948" s="145" t="s">
        <v>400</v>
      </c>
    </row>
    <row r="1949" spans="1:39">
      <c r="A1949" s="143" t="s">
        <v>3009</v>
      </c>
      <c r="B1949" s="144">
        <v>100</v>
      </c>
      <c r="C1949" s="145">
        <v>18</v>
      </c>
      <c r="D1949" s="145">
        <v>0.88</v>
      </c>
      <c r="E1949" s="145">
        <v>0.2</v>
      </c>
      <c r="F1949" s="145">
        <v>2.8000000000000001E-2</v>
      </c>
      <c r="G1949" s="145">
        <v>3.1E-2</v>
      </c>
      <c r="H1949" s="145">
        <v>8.3000000000000004E-2</v>
      </c>
      <c r="I1949" s="145">
        <v>0.08</v>
      </c>
      <c r="J1949" s="145">
        <v>3.0000000000000001E-3</v>
      </c>
      <c r="K1949" s="145" t="s">
        <v>400</v>
      </c>
      <c r="L1949" s="145">
        <v>3.92</v>
      </c>
      <c r="M1949" s="145">
        <v>1.2</v>
      </c>
      <c r="N1949" s="145">
        <v>10</v>
      </c>
      <c r="O1949" s="145">
        <v>11</v>
      </c>
      <c r="P1949" s="145">
        <v>0.114</v>
      </c>
      <c r="Q1949" s="145">
        <v>24</v>
      </c>
      <c r="R1949" s="145">
        <v>0.27</v>
      </c>
      <c r="S1949" s="145">
        <v>5</v>
      </c>
      <c r="T1949" s="145">
        <v>237</v>
      </c>
      <c r="U1949" s="145">
        <v>5.8999999999999997E-2</v>
      </c>
      <c r="V1949" s="145">
        <v>0.17</v>
      </c>
      <c r="W1949" s="145" t="s">
        <v>400</v>
      </c>
      <c r="X1949" s="145">
        <v>3.6999999999999998E-2</v>
      </c>
      <c r="Y1949" s="145">
        <v>1.9E-2</v>
      </c>
      <c r="Z1949" s="146">
        <v>0.08</v>
      </c>
      <c r="AA1949" s="145">
        <v>0.59399999999999997</v>
      </c>
      <c r="AB1949" s="145">
        <v>12.7</v>
      </c>
      <c r="AC1949" s="145">
        <v>0.69399999999999995</v>
      </c>
      <c r="AD1949" s="145" t="s">
        <v>400</v>
      </c>
      <c r="AE1949" s="145">
        <v>15</v>
      </c>
      <c r="AF1949" s="145" t="s">
        <v>400</v>
      </c>
      <c r="AG1949" s="145">
        <v>0.54</v>
      </c>
      <c r="AH1949" s="145" t="s">
        <v>400</v>
      </c>
      <c r="AI1949" s="145" t="s">
        <v>400</v>
      </c>
      <c r="AJ1949" s="145" t="s">
        <v>400</v>
      </c>
      <c r="AK1949" s="145">
        <v>41.625</v>
      </c>
      <c r="AL1949" s="145">
        <v>2.62</v>
      </c>
      <c r="AM1949" s="145" t="s">
        <v>400</v>
      </c>
    </row>
    <row r="1950" spans="1:39">
      <c r="A1950" s="143" t="s">
        <v>3010</v>
      </c>
      <c r="B1950" s="144">
        <v>100</v>
      </c>
      <c r="C1950" s="145">
        <v>60.5</v>
      </c>
      <c r="D1950" s="145">
        <v>1.2350000000000001</v>
      </c>
      <c r="E1950" s="145">
        <v>0.14000000000000001</v>
      </c>
      <c r="F1950" s="145">
        <v>2.8000000000000001E-2</v>
      </c>
      <c r="G1950" s="145">
        <v>4.0000000000000001E-3</v>
      </c>
      <c r="H1950" s="145">
        <v>6.6000000000000003E-2</v>
      </c>
      <c r="I1950" s="145">
        <v>0.06</v>
      </c>
      <c r="J1950" s="145">
        <v>6.0000000000000001E-3</v>
      </c>
      <c r="K1950" s="145" t="s">
        <v>400</v>
      </c>
      <c r="L1950" s="145">
        <v>14.115</v>
      </c>
      <c r="M1950" s="145">
        <v>2.5249999999999999</v>
      </c>
      <c r="N1950" s="145">
        <v>19</v>
      </c>
      <c r="O1950" s="145">
        <v>15</v>
      </c>
      <c r="P1950" s="145">
        <v>0.14799999999999999</v>
      </c>
      <c r="Q1950" s="145">
        <v>35</v>
      </c>
      <c r="R1950" s="145">
        <v>0.32500000000000001</v>
      </c>
      <c r="S1950" s="145">
        <v>31.5</v>
      </c>
      <c r="T1950" s="145">
        <v>281.5</v>
      </c>
      <c r="U1950" s="145">
        <v>9.1999999999999998E-2</v>
      </c>
      <c r="V1950" s="145">
        <v>0.23499999999999999</v>
      </c>
      <c r="W1950" s="145" t="s">
        <v>400</v>
      </c>
      <c r="X1950" s="145">
        <v>8.2000000000000003E-2</v>
      </c>
      <c r="Y1950" s="145">
        <v>3.2000000000000001E-2</v>
      </c>
      <c r="Z1950" s="146">
        <v>0.21099999999999999</v>
      </c>
      <c r="AA1950" s="145">
        <v>0.97899999999999998</v>
      </c>
      <c r="AB1950" s="145">
        <v>5.5</v>
      </c>
      <c r="AC1950" s="145">
        <v>1.2869999999999999</v>
      </c>
      <c r="AD1950" s="145" t="s">
        <v>400</v>
      </c>
      <c r="AE1950" s="145">
        <v>11.5</v>
      </c>
      <c r="AF1950" s="145" t="s">
        <v>400</v>
      </c>
      <c r="AG1950" s="145">
        <v>0.54500000000000004</v>
      </c>
      <c r="AH1950" s="145" t="s">
        <v>400</v>
      </c>
      <c r="AI1950" s="145">
        <v>242</v>
      </c>
      <c r="AJ1950" s="145">
        <v>0.5</v>
      </c>
      <c r="AK1950" s="145">
        <v>425.91699999999997</v>
      </c>
      <c r="AL1950" s="145">
        <v>2.16</v>
      </c>
      <c r="AM1950" s="145" t="s">
        <v>400</v>
      </c>
    </row>
    <row r="1951" spans="1:39">
      <c r="A1951" s="143" t="s">
        <v>3011</v>
      </c>
      <c r="B1951" s="144">
        <v>100</v>
      </c>
      <c r="C1951" s="145">
        <v>31.440999999999999</v>
      </c>
      <c r="D1951" s="145">
        <v>1.7210000000000001</v>
      </c>
      <c r="E1951" s="145">
        <v>1.6859999999999999</v>
      </c>
      <c r="F1951" s="145">
        <v>0.96299999999999997</v>
      </c>
      <c r="G1951" s="145">
        <v>0.42599999999999999</v>
      </c>
      <c r="H1951" s="145">
        <v>0.10100000000000001</v>
      </c>
      <c r="I1951" s="145">
        <v>6.2E-2</v>
      </c>
      <c r="J1951" s="145">
        <v>3.9E-2</v>
      </c>
      <c r="K1951" s="145">
        <v>5.157</v>
      </c>
      <c r="L1951" s="145">
        <v>2.5659999999999998</v>
      </c>
      <c r="M1951" s="145">
        <v>0.23499999999999999</v>
      </c>
      <c r="N1951" s="145">
        <v>59.273000000000003</v>
      </c>
      <c r="O1951" s="145">
        <v>6.6580000000000004</v>
      </c>
      <c r="P1951" s="145">
        <v>1.2999999999999999E-2</v>
      </c>
      <c r="Q1951" s="145">
        <v>48.427999999999997</v>
      </c>
      <c r="R1951" s="145">
        <v>0.02</v>
      </c>
      <c r="S1951" s="145">
        <v>21.628</v>
      </c>
      <c r="T1951" s="145">
        <v>98.265000000000001</v>
      </c>
      <c r="U1951" s="145">
        <v>7.0000000000000001E-3</v>
      </c>
      <c r="V1951" s="145">
        <v>0.216</v>
      </c>
      <c r="W1951" s="145">
        <v>14.439</v>
      </c>
      <c r="X1951" s="145">
        <v>0.03</v>
      </c>
      <c r="Y1951" s="145">
        <v>0.13200000000000001</v>
      </c>
      <c r="Z1951" s="146">
        <v>1.9E-2</v>
      </c>
      <c r="AA1951" s="145">
        <v>0.151</v>
      </c>
      <c r="AB1951" s="145" t="s">
        <v>400</v>
      </c>
      <c r="AC1951" s="145">
        <v>0.79500000000000004</v>
      </c>
      <c r="AD1951" s="145">
        <v>0.22700000000000001</v>
      </c>
      <c r="AE1951" s="145">
        <v>3.5790000000000002</v>
      </c>
      <c r="AF1951" s="145">
        <v>0.51600000000000001</v>
      </c>
      <c r="AG1951" s="145">
        <v>3.5999999999999997E-2</v>
      </c>
      <c r="AH1951" s="145">
        <v>0.06</v>
      </c>
      <c r="AI1951" s="145" t="s">
        <v>400</v>
      </c>
      <c r="AJ1951" s="145">
        <v>1.9079999999999999</v>
      </c>
      <c r="AK1951" s="145">
        <v>14.654</v>
      </c>
      <c r="AL1951" s="145">
        <v>2.7120000000000002</v>
      </c>
      <c r="AM1951" s="145" t="s">
        <v>400</v>
      </c>
    </row>
    <row r="1952" spans="1:39">
      <c r="A1952" s="143" t="s">
        <v>3012</v>
      </c>
      <c r="B1952" s="144">
        <v>100</v>
      </c>
      <c r="C1952" s="145">
        <v>148.37413363637867</v>
      </c>
      <c r="D1952" s="145">
        <v>6.740453705866666</v>
      </c>
      <c r="E1952" s="145">
        <v>3.8605567466666666</v>
      </c>
      <c r="F1952" s="145">
        <v>0.97089298133333324</v>
      </c>
      <c r="G1952" s="145">
        <v>1.1584202293333334</v>
      </c>
      <c r="H1952" s="145">
        <v>1.3490549386666666</v>
      </c>
      <c r="I1952" s="145">
        <v>1.1855993920000001</v>
      </c>
      <c r="J1952" s="145">
        <v>0.17463677866666663</v>
      </c>
      <c r="K1952" s="145">
        <v>7</v>
      </c>
      <c r="L1952" s="145">
        <v>21.340793899466668</v>
      </c>
      <c r="M1952" s="145">
        <v>2.3101685279999997</v>
      </c>
      <c r="N1952" s="145">
        <v>24.251050394666667</v>
      </c>
      <c r="O1952" s="145">
        <v>21.943873493333331</v>
      </c>
      <c r="P1952" s="145">
        <v>0.30766223999999998</v>
      </c>
      <c r="Q1952" s="145">
        <v>64.883260026666662</v>
      </c>
      <c r="R1952" s="145">
        <v>1.4859239466666665</v>
      </c>
      <c r="S1952" s="145">
        <v>8.7744560319999998</v>
      </c>
      <c r="T1952" s="145">
        <v>173.51116753599999</v>
      </c>
      <c r="U1952" s="145">
        <v>0.10728471999999999</v>
      </c>
      <c r="V1952" s="145">
        <v>1.1099345706666666</v>
      </c>
      <c r="W1952" s="145" t="s">
        <v>400</v>
      </c>
      <c r="X1952" s="145">
        <v>0.11444000000000001</v>
      </c>
      <c r="Y1952" s="145">
        <v>7.1440000000000003E-2</v>
      </c>
      <c r="Z1952" s="146">
        <v>5.9080000000000001E-2</v>
      </c>
      <c r="AA1952" s="145">
        <v>0.82612000000000008</v>
      </c>
      <c r="AB1952" s="145" t="s">
        <v>400</v>
      </c>
      <c r="AC1952" s="145">
        <v>2.0687199999999999</v>
      </c>
      <c r="AD1952" s="145">
        <v>0.26413333333333333</v>
      </c>
      <c r="AE1952" s="145">
        <v>55.152000000000001</v>
      </c>
      <c r="AF1952" s="145">
        <v>6.5333333333333327E-2</v>
      </c>
      <c r="AG1952" s="145">
        <v>0.38709333333333334</v>
      </c>
      <c r="AH1952" s="145">
        <v>7.2746666666666654E-2</v>
      </c>
      <c r="AI1952" s="145">
        <v>245.88</v>
      </c>
      <c r="AJ1952" s="145">
        <v>11.493426666666668</v>
      </c>
      <c r="AK1952" s="145" t="s">
        <v>400</v>
      </c>
      <c r="AL1952" s="145">
        <v>0.27626666666666672</v>
      </c>
      <c r="AM1952" s="145" t="s">
        <v>400</v>
      </c>
    </row>
    <row r="1953" spans="1:39">
      <c r="A1953" s="143" t="s">
        <v>3013</v>
      </c>
      <c r="B1953" s="144">
        <v>100</v>
      </c>
      <c r="C1953" s="145">
        <v>129.20801482215074</v>
      </c>
      <c r="D1953" s="145">
        <v>6.4860004049275357</v>
      </c>
      <c r="E1953" s="145">
        <v>2.6564167536231884</v>
      </c>
      <c r="F1953" s="145">
        <v>0.80582570434782608</v>
      </c>
      <c r="G1953" s="145">
        <v>0.92947126376811584</v>
      </c>
      <c r="H1953" s="145">
        <v>0.63819015072463769</v>
      </c>
      <c r="I1953" s="145">
        <v>0.55365151304347826</v>
      </c>
      <c r="J1953" s="145">
        <v>9.437331014492753E-2</v>
      </c>
      <c r="K1953" s="145">
        <v>7.6086956521739131</v>
      </c>
      <c r="L1953" s="145">
        <v>19.483471629855071</v>
      </c>
      <c r="M1953" s="145">
        <v>2.3336614434782605</v>
      </c>
      <c r="N1953" s="145">
        <v>26.618388110144924</v>
      </c>
      <c r="O1953" s="145">
        <v>21.781311768115941</v>
      </c>
      <c r="P1953" s="145">
        <v>0.29435750724637683</v>
      </c>
      <c r="Q1953" s="145">
        <v>65.4841232173913</v>
      </c>
      <c r="R1953" s="145">
        <v>1.2920767536231883</v>
      </c>
      <c r="S1953" s="145">
        <v>69.851655107246373</v>
      </c>
      <c r="T1953" s="145">
        <v>187.90112413333333</v>
      </c>
      <c r="U1953" s="145">
        <v>0.10559933333333334</v>
      </c>
      <c r="V1953" s="145">
        <v>1.1087694608695653</v>
      </c>
      <c r="W1953" s="145" t="s">
        <v>400</v>
      </c>
      <c r="X1953" s="145">
        <v>5.0942028985507232E-2</v>
      </c>
      <c r="Y1953" s="145">
        <v>4.1246376811594203E-2</v>
      </c>
      <c r="Z1953" s="145">
        <v>5.7869565217391304E-2</v>
      </c>
      <c r="AA1953" s="145">
        <v>0.63537681159420289</v>
      </c>
      <c r="AB1953" s="145" t="s">
        <v>400</v>
      </c>
      <c r="AC1953" s="145">
        <v>1.7607246376811589</v>
      </c>
      <c r="AD1953" s="145">
        <v>0.2871014492753623</v>
      </c>
      <c r="AE1953" s="145">
        <v>22.216231884057972</v>
      </c>
      <c r="AF1953" s="145">
        <v>7.1014492753623176E-2</v>
      </c>
      <c r="AG1953" s="145">
        <v>0.30742028985507247</v>
      </c>
      <c r="AH1953" s="145">
        <v>7.2231884057971013E-2</v>
      </c>
      <c r="AI1953" s="145">
        <v>222.30434782608697</v>
      </c>
      <c r="AJ1953" s="145">
        <v>4.3517101449275364</v>
      </c>
      <c r="AK1953" s="145">
        <v>1.3913043478260868E-2</v>
      </c>
      <c r="AL1953" s="145">
        <v>0.28869565217391302</v>
      </c>
      <c r="AM1953" s="145" t="s">
        <v>400</v>
      </c>
    </row>
    <row r="1954" spans="1:39">
      <c r="A1954" s="143" t="s">
        <v>3014</v>
      </c>
      <c r="B1954" s="144">
        <v>100</v>
      </c>
      <c r="C1954" s="145">
        <v>157.09707108970369</v>
      </c>
      <c r="D1954" s="145">
        <v>6.5349162952861946</v>
      </c>
      <c r="E1954" s="145">
        <v>3.3608376430976432</v>
      </c>
      <c r="F1954" s="145">
        <v>0.98331605387205367</v>
      </c>
      <c r="G1954" s="145">
        <v>1.1512039932659932</v>
      </c>
      <c r="H1954" s="145">
        <v>0.89150034343434337</v>
      </c>
      <c r="I1954" s="145">
        <v>0.77871977104377099</v>
      </c>
      <c r="J1954" s="145">
        <v>0.13120805387205384</v>
      </c>
      <c r="K1954" s="145">
        <v>8.8383838383838391</v>
      </c>
      <c r="L1954" s="145">
        <v>24.986524283838385</v>
      </c>
      <c r="M1954" s="145">
        <v>2.9397750774410776</v>
      </c>
      <c r="N1954" s="145">
        <v>35.030787535353539</v>
      </c>
      <c r="O1954" s="145">
        <v>25.026776296296294</v>
      </c>
      <c r="P1954" s="145">
        <v>0.26920316498316499</v>
      </c>
      <c r="Q1954" s="145">
        <v>64.967079158249149</v>
      </c>
      <c r="R1954" s="145">
        <v>1.5198703030303029</v>
      </c>
      <c r="S1954" s="145">
        <v>10.816232363636365</v>
      </c>
      <c r="T1954" s="145">
        <v>239.4164573265993</v>
      </c>
      <c r="U1954" s="145">
        <v>0.10704299663299664</v>
      </c>
      <c r="V1954" s="145">
        <v>1.2556412929292928</v>
      </c>
      <c r="W1954" s="145" t="s">
        <v>400</v>
      </c>
      <c r="X1954" s="145">
        <v>5.8097643097643092E-2</v>
      </c>
      <c r="Y1954" s="145">
        <v>3.9831649831649829E-2</v>
      </c>
      <c r="Z1954" s="146">
        <v>5.6447811447811448E-2</v>
      </c>
      <c r="AA1954" s="145">
        <v>0.41752525252525247</v>
      </c>
      <c r="AB1954" s="145" t="s">
        <v>400</v>
      </c>
      <c r="AC1954" s="145">
        <v>1.4742424242424239</v>
      </c>
      <c r="AD1954" s="145">
        <v>0.33350168350168347</v>
      </c>
      <c r="AE1954" s="145">
        <v>23.969696969696969</v>
      </c>
      <c r="AF1954" s="145">
        <v>8.2491582491582477E-2</v>
      </c>
      <c r="AG1954" s="145">
        <v>0.36838383838383831</v>
      </c>
      <c r="AH1954" s="145">
        <v>8.5555555555555551E-2</v>
      </c>
      <c r="AI1954" s="145">
        <v>258.23232323232321</v>
      </c>
      <c r="AJ1954" s="145">
        <v>4.183383838383838</v>
      </c>
      <c r="AK1954" s="145" t="s">
        <v>400</v>
      </c>
      <c r="AL1954" s="145">
        <v>0.14141414141414141</v>
      </c>
      <c r="AM1954" s="145" t="s">
        <v>400</v>
      </c>
    </row>
    <row r="1955" spans="1:39">
      <c r="A1955" s="143" t="s">
        <v>3015</v>
      </c>
      <c r="B1955" s="144">
        <v>100</v>
      </c>
      <c r="C1955" s="145">
        <v>131.09430515522439</v>
      </c>
      <c r="D1955" s="145">
        <v>8.620414974878047</v>
      </c>
      <c r="E1955" s="145">
        <v>5.3011311707317077</v>
      </c>
      <c r="F1955" s="145">
        <v>1.6836094341463415</v>
      </c>
      <c r="G1955" s="145">
        <v>2.0346282585365856</v>
      </c>
      <c r="H1955" s="145">
        <v>0.99322098048780472</v>
      </c>
      <c r="I1955" s="145">
        <v>0.85036529756097556</v>
      </c>
      <c r="J1955" s="145">
        <v>0.14785071219512194</v>
      </c>
      <c r="K1955" s="145">
        <v>18.292682926829269</v>
      </c>
      <c r="L1955" s="145">
        <v>12.004384664146341</v>
      </c>
      <c r="M1955" s="145">
        <v>1.864178531707317</v>
      </c>
      <c r="N1955" s="145">
        <v>23.522302190243902</v>
      </c>
      <c r="O1955" s="145">
        <v>20.558420878048778</v>
      </c>
      <c r="P1955" s="145">
        <v>0.21663009756097559</v>
      </c>
      <c r="Q1955" s="145">
        <v>79.539567097560976</v>
      </c>
      <c r="R1955" s="145">
        <v>1.5134548292682928</v>
      </c>
      <c r="S1955" s="145">
        <v>19.354685395121955</v>
      </c>
      <c r="T1955" s="145">
        <v>246.56509225853659</v>
      </c>
      <c r="U1955" s="145">
        <v>9.7748219512195131E-2</v>
      </c>
      <c r="V1955" s="145">
        <v>1.8167694243902439</v>
      </c>
      <c r="W1955" s="145" t="s">
        <v>400</v>
      </c>
      <c r="X1955" s="145">
        <v>5.1804878048780492E-2</v>
      </c>
      <c r="Y1955" s="145">
        <v>6.8585365853658542E-2</v>
      </c>
      <c r="Z1955" s="146">
        <v>9.6926829268292686E-2</v>
      </c>
      <c r="AA1955" s="145">
        <v>0.92599999999999993</v>
      </c>
      <c r="AB1955" s="145">
        <v>2.4780487804878049</v>
      </c>
      <c r="AC1955" s="145">
        <v>2.4033170731707316</v>
      </c>
      <c r="AD1955" s="145">
        <v>0.69024390243902434</v>
      </c>
      <c r="AE1955" s="145">
        <v>21.717073170731709</v>
      </c>
      <c r="AF1955" s="145">
        <v>0.17073170731707318</v>
      </c>
      <c r="AG1955" s="145">
        <v>0.42770731707317078</v>
      </c>
      <c r="AH1955" s="145">
        <v>0.17199999999999999</v>
      </c>
      <c r="AI1955" s="145">
        <v>239.85365853658536</v>
      </c>
      <c r="AJ1955" s="145">
        <v>7.7032682926829272</v>
      </c>
      <c r="AK1955" s="145">
        <v>8.1229268292682928</v>
      </c>
      <c r="AL1955" s="145">
        <v>0.61365853658536584</v>
      </c>
      <c r="AM1955" s="145" t="s">
        <v>400</v>
      </c>
    </row>
    <row r="1956" spans="1:39">
      <c r="A1956" s="143" t="s">
        <v>3016</v>
      </c>
      <c r="B1956" s="144">
        <v>100</v>
      </c>
      <c r="C1956" s="145">
        <v>148.37413363637867</v>
      </c>
      <c r="D1956" s="145">
        <v>6.740453705866666</v>
      </c>
      <c r="E1956" s="145">
        <v>3.8605567466666666</v>
      </c>
      <c r="F1956" s="145">
        <v>0.97089298133333324</v>
      </c>
      <c r="G1956" s="145">
        <v>1.1584202293333334</v>
      </c>
      <c r="H1956" s="145">
        <v>1.3490549386666666</v>
      </c>
      <c r="I1956" s="145">
        <v>1.1855993920000001</v>
      </c>
      <c r="J1956" s="145">
        <v>0.17463677866666663</v>
      </c>
      <c r="K1956" s="145">
        <v>7</v>
      </c>
      <c r="L1956" s="145">
        <v>21.340793899466668</v>
      </c>
      <c r="M1956" s="145">
        <v>2.3101685279999997</v>
      </c>
      <c r="N1956" s="145">
        <v>24.251050394666667</v>
      </c>
      <c r="O1956" s="145">
        <v>21.943873493333331</v>
      </c>
      <c r="P1956" s="145">
        <v>0.30766223999999998</v>
      </c>
      <c r="Q1956" s="145">
        <v>64.883260026666662</v>
      </c>
      <c r="R1956" s="145">
        <v>1.4859239466666665</v>
      </c>
      <c r="S1956" s="145">
        <v>8.7744560319999998</v>
      </c>
      <c r="T1956" s="145">
        <v>173.51116753599999</v>
      </c>
      <c r="U1956" s="145">
        <v>0.10728471999999999</v>
      </c>
      <c r="V1956" s="145">
        <v>1.1099345706666666</v>
      </c>
      <c r="W1956" s="145" t="s">
        <v>400</v>
      </c>
      <c r="X1956" s="145">
        <v>0.11444000000000001</v>
      </c>
      <c r="Y1956" s="145">
        <v>7.1440000000000003E-2</v>
      </c>
      <c r="Z1956" s="146">
        <v>5.9080000000000001E-2</v>
      </c>
      <c r="AA1956" s="145">
        <v>0.82612000000000008</v>
      </c>
      <c r="AB1956" s="145" t="s">
        <v>400</v>
      </c>
      <c r="AC1956" s="145">
        <v>2.0687199999999999</v>
      </c>
      <c r="AD1956" s="145">
        <v>0.26413333333333333</v>
      </c>
      <c r="AE1956" s="145">
        <v>55.152000000000001</v>
      </c>
      <c r="AF1956" s="145">
        <v>6.5333333333333327E-2</v>
      </c>
      <c r="AG1956" s="145">
        <v>0.38709333333333334</v>
      </c>
      <c r="AH1956" s="145">
        <v>7.2746666666666654E-2</v>
      </c>
      <c r="AI1956" s="145">
        <v>245.88</v>
      </c>
      <c r="AJ1956" s="145">
        <v>11.493426666666668</v>
      </c>
      <c r="AK1956" s="145" t="s">
        <v>400</v>
      </c>
      <c r="AL1956" s="145">
        <v>0.27626666666666672</v>
      </c>
      <c r="AM1956" s="145" t="s">
        <v>400</v>
      </c>
    </row>
    <row r="1957" spans="1:39">
      <c r="A1957" s="143" t="s">
        <v>3017</v>
      </c>
      <c r="B1957" s="144">
        <v>100</v>
      </c>
      <c r="C1957" s="145">
        <v>105.9299423583826</v>
      </c>
      <c r="D1957" s="145">
        <v>5.6813627237681157</v>
      </c>
      <c r="E1957" s="145">
        <v>2.911793565217391</v>
      </c>
      <c r="F1957" s="145">
        <v>0.8441880231884058</v>
      </c>
      <c r="G1957" s="145">
        <v>0.98871764057971001</v>
      </c>
      <c r="H1957" s="145">
        <v>0.78601623768115936</v>
      </c>
      <c r="I1957" s="145">
        <v>0.68614426666666672</v>
      </c>
      <c r="J1957" s="145">
        <v>0.11202548405797101</v>
      </c>
      <c r="K1957" s="145">
        <v>7.6086956521739131</v>
      </c>
      <c r="L1957" s="145">
        <v>14.266080325507247</v>
      </c>
      <c r="M1957" s="145">
        <v>2.2154005739130431</v>
      </c>
      <c r="N1957" s="145">
        <v>26.446793907246377</v>
      </c>
      <c r="O1957" s="145">
        <v>20.663630608695655</v>
      </c>
      <c r="P1957" s="145">
        <v>0.25725605797101447</v>
      </c>
      <c r="Q1957" s="145">
        <v>57.597746405797089</v>
      </c>
      <c r="R1957" s="145">
        <v>1.2689897971014492</v>
      </c>
      <c r="S1957" s="145">
        <v>10.378031918840581</v>
      </c>
      <c r="T1957" s="145">
        <v>229.52663137971018</v>
      </c>
      <c r="U1957" s="145">
        <v>9.8642811594202906E-2</v>
      </c>
      <c r="V1957" s="145">
        <v>1.0832622144927535</v>
      </c>
      <c r="W1957" s="145" t="s">
        <v>400</v>
      </c>
      <c r="X1957" s="145">
        <v>4.6304347826086951E-2</v>
      </c>
      <c r="Y1957" s="145">
        <v>3.8927536231884059E-2</v>
      </c>
      <c r="Z1957" s="146">
        <v>6.7144927536231885E-2</v>
      </c>
      <c r="AA1957" s="145">
        <v>0.49624637681159417</v>
      </c>
      <c r="AB1957" s="145">
        <v>2.9449275362318841</v>
      </c>
      <c r="AC1957" s="145">
        <v>1.4291304347826082</v>
      </c>
      <c r="AD1957" s="145">
        <v>0.2871014492753623</v>
      </c>
      <c r="AE1957" s="145">
        <v>24.11304347826087</v>
      </c>
      <c r="AF1957" s="145">
        <v>7.1014492753623176E-2</v>
      </c>
      <c r="AG1957" s="145">
        <v>0.44234782608695655</v>
      </c>
      <c r="AH1957" s="145">
        <v>7.3652173913043475E-2</v>
      </c>
      <c r="AI1957" s="145">
        <v>222.30434782608697</v>
      </c>
      <c r="AJ1957" s="145">
        <v>3.6013478260869562</v>
      </c>
      <c r="AK1957" s="145">
        <v>9.6533333333333342</v>
      </c>
      <c r="AL1957" s="145">
        <v>0.7292753623188406</v>
      </c>
      <c r="AM1957" s="145" t="s">
        <v>400</v>
      </c>
    </row>
    <row r="1958" spans="1:39">
      <c r="A1958" s="143" t="s">
        <v>3018</v>
      </c>
      <c r="B1958" s="144">
        <v>100</v>
      </c>
      <c r="C1958" s="145">
        <v>116.51397285356666</v>
      </c>
      <c r="D1958" s="145">
        <v>4.1670563316666662</v>
      </c>
      <c r="E1958" s="145">
        <v>1.4970210000000002</v>
      </c>
      <c r="F1958" s="145">
        <v>0.32683260000000003</v>
      </c>
      <c r="G1958" s="145">
        <v>0.30109770000000002</v>
      </c>
      <c r="H1958" s="145">
        <v>0.78455889999999995</v>
      </c>
      <c r="I1958" s="145">
        <v>0.7066654</v>
      </c>
      <c r="J1958" s="145">
        <v>0.10760439999999999</v>
      </c>
      <c r="K1958" s="145" t="s">
        <v>400</v>
      </c>
      <c r="L1958" s="145">
        <v>21.419431734999996</v>
      </c>
      <c r="M1958" s="145">
        <v>2.6628510999999997</v>
      </c>
      <c r="N1958" s="145">
        <v>29.355799433333331</v>
      </c>
      <c r="O1958" s="145">
        <v>20.216125333333334</v>
      </c>
      <c r="P1958" s="145">
        <v>0.33787966666666669</v>
      </c>
      <c r="Q1958" s="145">
        <v>42.784569499999996</v>
      </c>
      <c r="R1958" s="145">
        <v>1.1487026666666666</v>
      </c>
      <c r="S1958" s="145">
        <v>3.1959500666666667</v>
      </c>
      <c r="T1958" s="145">
        <v>175.56493236666668</v>
      </c>
      <c r="U1958" s="145">
        <v>9.5426499999999997E-2</v>
      </c>
      <c r="V1958" s="145">
        <v>0.65930813333333327</v>
      </c>
      <c r="W1958" s="145" t="s">
        <v>400</v>
      </c>
      <c r="X1958" s="145">
        <v>3.5499999999999997E-2</v>
      </c>
      <c r="Y1958" s="145">
        <v>1.4E-2</v>
      </c>
      <c r="Z1958" s="145">
        <v>2.8000000000000001E-2</v>
      </c>
      <c r="AA1958" s="145">
        <v>4.2000000000000003E-2</v>
      </c>
      <c r="AB1958" s="145" t="s">
        <v>400</v>
      </c>
      <c r="AC1958" s="145">
        <v>0.61699999999999999</v>
      </c>
      <c r="AD1958" s="145" t="s">
        <v>400</v>
      </c>
      <c r="AE1958" s="145">
        <v>24.3</v>
      </c>
      <c r="AF1958" s="145" t="s">
        <v>400</v>
      </c>
      <c r="AG1958" s="145">
        <v>0.34699999999999998</v>
      </c>
      <c r="AH1958" s="145">
        <v>4.0000000000000001E-3</v>
      </c>
      <c r="AI1958" s="145">
        <v>300.5</v>
      </c>
      <c r="AJ1958" s="145">
        <v>0.753</v>
      </c>
      <c r="AK1958" s="145" t="s">
        <v>400</v>
      </c>
      <c r="AL1958" s="145">
        <v>0.15</v>
      </c>
      <c r="AM1958" s="145" t="s">
        <v>400</v>
      </c>
    </row>
    <row r="1959" spans="1:39">
      <c r="A1959" s="143" t="s">
        <v>3019</v>
      </c>
      <c r="B1959" s="144">
        <v>100</v>
      </c>
      <c r="C1959" s="145">
        <v>369.5</v>
      </c>
      <c r="D1959" s="145">
        <v>6.8083333333333336</v>
      </c>
      <c r="E1959" s="145">
        <v>16.10166666666667</v>
      </c>
      <c r="F1959" s="145">
        <v>9.3949999999999996</v>
      </c>
      <c r="G1959" s="145">
        <v>4.2533333333333339</v>
      </c>
      <c r="H1959" s="145">
        <v>1.0900000000000001</v>
      </c>
      <c r="I1959" s="145">
        <v>1.0383333333333333</v>
      </c>
      <c r="J1959" s="145">
        <v>8.666666666666667E-2</v>
      </c>
      <c r="K1959" s="145">
        <v>35.833333333333336</v>
      </c>
      <c r="L1959" s="145">
        <v>48.843333333333334</v>
      </c>
      <c r="M1959" s="145">
        <v>1.9166666666666665</v>
      </c>
      <c r="N1959" s="145">
        <v>17.333333333333332</v>
      </c>
      <c r="O1959" s="145">
        <v>21.166666666666668</v>
      </c>
      <c r="P1959" s="145">
        <v>0.38333333333333336</v>
      </c>
      <c r="Q1959" s="145">
        <v>83.166666666666671</v>
      </c>
      <c r="R1959" s="145">
        <v>0.83666666666666667</v>
      </c>
      <c r="S1959" s="145">
        <v>636</v>
      </c>
      <c r="T1959" s="145">
        <v>122.33333333333334</v>
      </c>
      <c r="U1959" s="145">
        <v>0.10833333333333334</v>
      </c>
      <c r="V1959" s="145">
        <v>0.68166666666666675</v>
      </c>
      <c r="W1959" s="145">
        <v>114.33333333333334</v>
      </c>
      <c r="X1959" s="145">
        <v>0.32666666666666672</v>
      </c>
      <c r="Y1959" s="145">
        <v>0.56333333333333335</v>
      </c>
      <c r="Z1959" s="145">
        <v>0.5</v>
      </c>
      <c r="AA1959" s="145">
        <v>1.9566666666666666</v>
      </c>
      <c r="AB1959" s="145" t="s">
        <v>400</v>
      </c>
      <c r="AC1959" s="145">
        <v>0.04</v>
      </c>
      <c r="AD1959" s="145">
        <v>2.8333333333333335E-2</v>
      </c>
      <c r="AE1959" s="145">
        <v>0.5</v>
      </c>
      <c r="AF1959" s="145">
        <v>0.23333333333333331</v>
      </c>
      <c r="AG1959" s="145">
        <v>0.38666666666666666</v>
      </c>
      <c r="AH1959" s="145">
        <v>0.54666666666666675</v>
      </c>
      <c r="AI1959" s="145" t="s">
        <v>400</v>
      </c>
      <c r="AJ1959" s="145">
        <v>0.16666666666666666</v>
      </c>
      <c r="AK1959" s="145">
        <v>114.02833333333334</v>
      </c>
      <c r="AL1959" s="145">
        <v>1.666666666666667E-2</v>
      </c>
      <c r="AM1959" s="145" t="s">
        <v>400</v>
      </c>
    </row>
    <row r="1960" spans="1:39">
      <c r="A1960" s="143" t="s">
        <v>3020</v>
      </c>
      <c r="B1960" s="144">
        <v>100</v>
      </c>
      <c r="C1960" s="145">
        <v>369.83333333333331</v>
      </c>
      <c r="D1960" s="145">
        <v>6.8166666666666664</v>
      </c>
      <c r="E1960" s="145">
        <v>16</v>
      </c>
      <c r="F1960" s="145">
        <v>3.6166666666666667</v>
      </c>
      <c r="G1960" s="145">
        <v>7.3</v>
      </c>
      <c r="H1960" s="145">
        <v>4.0666666666666664</v>
      </c>
      <c r="I1960" s="145">
        <v>3.8166666666666669</v>
      </c>
      <c r="J1960" s="145">
        <v>0.28333333333333333</v>
      </c>
      <c r="K1960" s="145" t="s">
        <v>400</v>
      </c>
      <c r="L1960" s="145">
        <v>48.983333333333334</v>
      </c>
      <c r="M1960" s="145">
        <v>1.9166666666666665</v>
      </c>
      <c r="N1960" s="145">
        <v>18.333333333333332</v>
      </c>
      <c r="O1960" s="145">
        <v>21.333333333333332</v>
      </c>
      <c r="P1960" s="145">
        <v>0.38333333333333336</v>
      </c>
      <c r="Q1960" s="145">
        <v>83</v>
      </c>
      <c r="R1960" s="145">
        <v>0.83333333333333337</v>
      </c>
      <c r="S1960" s="145">
        <v>697.16666666666663</v>
      </c>
      <c r="T1960" s="145">
        <v>125.33333333333333</v>
      </c>
      <c r="U1960" s="145">
        <v>0.115</v>
      </c>
      <c r="V1960" s="145">
        <v>0.7</v>
      </c>
      <c r="W1960" s="145">
        <v>139.16666666666666</v>
      </c>
      <c r="X1960" s="145">
        <v>0.32666666666666672</v>
      </c>
      <c r="Y1960" s="145">
        <v>0.56499999999999995</v>
      </c>
      <c r="Z1960" s="145">
        <v>0.50166666666666659</v>
      </c>
      <c r="AA1960" s="145">
        <v>1.9533333333333331</v>
      </c>
      <c r="AB1960" s="145">
        <v>3.333333333333334E-2</v>
      </c>
      <c r="AC1960" s="145">
        <v>3.6666666666666667E-2</v>
      </c>
      <c r="AD1960" s="145">
        <v>1.666666666666667E-2</v>
      </c>
      <c r="AE1960" s="145">
        <v>0.16666666666666666</v>
      </c>
      <c r="AF1960" s="145" t="s">
        <v>400</v>
      </c>
      <c r="AG1960" s="145">
        <v>0.51666666666666683</v>
      </c>
      <c r="AH1960" s="145">
        <v>4.3066666666666675</v>
      </c>
      <c r="AI1960" s="145" t="s">
        <v>400</v>
      </c>
      <c r="AJ1960" s="145" t="s">
        <v>400</v>
      </c>
      <c r="AK1960" s="145">
        <v>143.40333333333334</v>
      </c>
      <c r="AL1960" s="145">
        <v>0.15</v>
      </c>
      <c r="AM1960" s="145" t="s">
        <v>400</v>
      </c>
    </row>
    <row r="1961" spans="1:39">
      <c r="A1961" s="143" t="s">
        <v>3021</v>
      </c>
      <c r="B1961" s="144">
        <v>100</v>
      </c>
      <c r="C1961" s="145">
        <v>261.2955</v>
      </c>
      <c r="D1961" s="145">
        <v>10.837</v>
      </c>
      <c r="E1961" s="145">
        <v>10.377000000000001</v>
      </c>
      <c r="F1961" s="145">
        <v>2.7545000000000002</v>
      </c>
      <c r="G1961" s="145">
        <v>3.363</v>
      </c>
      <c r="H1961" s="145">
        <v>2.8855</v>
      </c>
      <c r="I1961" s="145">
        <v>2.5550000000000002</v>
      </c>
      <c r="J1961" s="145">
        <v>0.247</v>
      </c>
      <c r="K1961" s="145">
        <v>230.435</v>
      </c>
      <c r="L1961" s="145">
        <v>29.9085</v>
      </c>
      <c r="M1961" s="145">
        <v>1.1499999999999999</v>
      </c>
      <c r="N1961" s="145">
        <v>35.173999999999999</v>
      </c>
      <c r="O1961" s="145">
        <v>17.934999999999999</v>
      </c>
      <c r="P1961" s="145">
        <v>0.24400000000000002</v>
      </c>
      <c r="Q1961" s="145">
        <v>140.9785</v>
      </c>
      <c r="R1961" s="145">
        <v>1.1484999999999999</v>
      </c>
      <c r="S1961" s="145">
        <v>391.39150000000001</v>
      </c>
      <c r="T1961" s="145">
        <v>139.4785</v>
      </c>
      <c r="U1961" s="145">
        <v>7.2000000000000008E-2</v>
      </c>
      <c r="V1961" s="145">
        <v>0.97099999999999997</v>
      </c>
      <c r="W1961" s="145">
        <v>92.804500000000004</v>
      </c>
      <c r="X1961" s="145">
        <v>0.23100000000000001</v>
      </c>
      <c r="Y1961" s="145">
        <v>0.6140000000000001</v>
      </c>
      <c r="Z1961" s="145">
        <v>0.36599999999999999</v>
      </c>
      <c r="AA1961" s="145">
        <v>1.2050000000000001</v>
      </c>
      <c r="AB1961" s="145" t="s">
        <v>400</v>
      </c>
      <c r="AC1961" s="145">
        <v>1.4205000000000001</v>
      </c>
      <c r="AD1961" s="145">
        <v>0.60350000000000004</v>
      </c>
      <c r="AE1961" s="145">
        <v>23.913</v>
      </c>
      <c r="AF1961" s="145">
        <v>0.69550000000000001</v>
      </c>
      <c r="AG1961" s="145">
        <v>0.81</v>
      </c>
      <c r="AH1961" s="145">
        <v>1.6500000000000001E-2</v>
      </c>
      <c r="AI1961" s="145">
        <v>102.5</v>
      </c>
      <c r="AJ1961" s="145">
        <v>18.141999999999999</v>
      </c>
      <c r="AK1961" s="145">
        <v>92.028999999999996</v>
      </c>
      <c r="AL1961" s="145">
        <v>0.66300000000000003</v>
      </c>
      <c r="AM1961" s="145" t="s">
        <v>400</v>
      </c>
    </row>
    <row r="1962" spans="1:39">
      <c r="A1962" s="143" t="s">
        <v>3022</v>
      </c>
      <c r="B1962" s="144">
        <v>100</v>
      </c>
      <c r="C1962" s="145">
        <v>188.19800000000001</v>
      </c>
      <c r="D1962" s="145">
        <v>12.965</v>
      </c>
      <c r="E1962" s="145">
        <v>10.497</v>
      </c>
      <c r="F1962" s="145">
        <v>3.31</v>
      </c>
      <c r="G1962" s="145">
        <v>4.1260000000000003</v>
      </c>
      <c r="H1962" s="145">
        <v>1.909</v>
      </c>
      <c r="I1962" s="145">
        <v>1.619</v>
      </c>
      <c r="J1962" s="145">
        <v>0.27300000000000002</v>
      </c>
      <c r="K1962" s="145">
        <v>37.5</v>
      </c>
      <c r="L1962" s="145">
        <v>10.005000000000001</v>
      </c>
      <c r="M1962" s="145">
        <v>1.0249999999999999</v>
      </c>
      <c r="N1962" s="145">
        <v>8</v>
      </c>
      <c r="O1962" s="145">
        <v>20</v>
      </c>
      <c r="P1962" s="145">
        <v>7.0999999999999994E-2</v>
      </c>
      <c r="Q1962" s="145">
        <v>118</v>
      </c>
      <c r="R1962" s="145">
        <v>1.5609999999999999</v>
      </c>
      <c r="S1962" s="145">
        <v>36</v>
      </c>
      <c r="T1962" s="145">
        <v>332.5</v>
      </c>
      <c r="U1962" s="145">
        <v>0.13</v>
      </c>
      <c r="V1962" s="145">
        <v>2.99</v>
      </c>
      <c r="W1962" s="145" t="s">
        <v>400</v>
      </c>
      <c r="X1962" s="145">
        <v>0.09</v>
      </c>
      <c r="Y1962" s="145">
        <v>0.123</v>
      </c>
      <c r="Z1962" s="145">
        <v>0.26200000000000001</v>
      </c>
      <c r="AA1962" s="145">
        <v>2.2599999999999998</v>
      </c>
      <c r="AB1962" s="145">
        <v>3.7</v>
      </c>
      <c r="AC1962" s="145">
        <v>4.6680000000000001</v>
      </c>
      <c r="AD1962" s="145">
        <v>1.415</v>
      </c>
      <c r="AE1962" s="145">
        <v>9</v>
      </c>
      <c r="AF1962" s="145">
        <v>0.35</v>
      </c>
      <c r="AG1962" s="145">
        <v>0.32400000000000001</v>
      </c>
      <c r="AH1962" s="145">
        <v>0.35499999999999998</v>
      </c>
      <c r="AI1962" s="145">
        <v>287</v>
      </c>
      <c r="AJ1962" s="145">
        <v>15.554</v>
      </c>
      <c r="AK1962" s="145">
        <v>8.3000000000000004E-2</v>
      </c>
      <c r="AL1962" s="145">
        <v>0.43</v>
      </c>
      <c r="AM1962" s="145" t="s">
        <v>400</v>
      </c>
    </row>
    <row r="1963" spans="1:39">
      <c r="A1963" s="143" t="s">
        <v>3023</v>
      </c>
      <c r="B1963" s="144">
        <v>100</v>
      </c>
      <c r="C1963" s="145">
        <v>150.523</v>
      </c>
      <c r="D1963" s="145">
        <v>12.47</v>
      </c>
      <c r="E1963" s="145">
        <v>9.9529999999999994</v>
      </c>
      <c r="F1963" s="145">
        <v>3.2330000000000001</v>
      </c>
      <c r="G1963" s="145">
        <v>4.0090000000000003</v>
      </c>
      <c r="H1963" s="145">
        <v>1.5840000000000001</v>
      </c>
      <c r="I1963" s="145">
        <v>1.3340000000000001</v>
      </c>
      <c r="J1963" s="145">
        <v>0.23300000000000001</v>
      </c>
      <c r="K1963" s="145">
        <v>37.5</v>
      </c>
      <c r="L1963" s="145">
        <v>2.4500000000000002</v>
      </c>
      <c r="M1963" s="145">
        <v>0.55000000000000004</v>
      </c>
      <c r="N1963" s="145">
        <v>11.5</v>
      </c>
      <c r="O1963" s="145">
        <v>14.5</v>
      </c>
      <c r="P1963" s="145">
        <v>4.4999999999999998E-2</v>
      </c>
      <c r="Q1963" s="145">
        <v>113</v>
      </c>
      <c r="R1963" s="145">
        <v>1.6910000000000001</v>
      </c>
      <c r="S1963" s="145">
        <v>34</v>
      </c>
      <c r="T1963" s="145">
        <v>283.5</v>
      </c>
      <c r="U1963" s="145">
        <v>9.1999999999999998E-2</v>
      </c>
      <c r="V1963" s="145">
        <v>2.97</v>
      </c>
      <c r="W1963" s="145" t="s">
        <v>400</v>
      </c>
      <c r="X1963" s="145">
        <v>5.6000000000000001E-2</v>
      </c>
      <c r="Y1963" s="145">
        <v>0.152</v>
      </c>
      <c r="Z1963" s="145">
        <v>0.15</v>
      </c>
      <c r="AA1963" s="145">
        <v>1.81</v>
      </c>
      <c r="AB1963" s="145">
        <v>2.35</v>
      </c>
      <c r="AC1963" s="145">
        <v>4.0679999999999996</v>
      </c>
      <c r="AD1963" s="145">
        <v>1.415</v>
      </c>
      <c r="AE1963" s="145">
        <v>9</v>
      </c>
      <c r="AF1963" s="145">
        <v>0.35</v>
      </c>
      <c r="AG1963" s="145">
        <v>0.65100000000000002</v>
      </c>
      <c r="AH1963" s="145">
        <v>0.35199999999999998</v>
      </c>
      <c r="AI1963" s="145">
        <v>243</v>
      </c>
      <c r="AJ1963" s="145">
        <v>15.262</v>
      </c>
      <c r="AK1963" s="145">
        <v>124.792</v>
      </c>
      <c r="AL1963" s="145">
        <v>1.65</v>
      </c>
      <c r="AM1963" s="145" t="s">
        <v>400</v>
      </c>
    </row>
    <row r="1964" spans="1:39">
      <c r="A1964" s="143" t="s">
        <v>3024</v>
      </c>
      <c r="B1964" s="144">
        <v>100</v>
      </c>
      <c r="C1964" s="145">
        <v>153.69800000000001</v>
      </c>
      <c r="D1964" s="145">
        <v>16.309999999999999</v>
      </c>
      <c r="E1964" s="145">
        <v>5.0419999999999998</v>
      </c>
      <c r="F1964" s="145">
        <v>1.0760000000000001</v>
      </c>
      <c r="G1964" s="145">
        <v>1.395</v>
      </c>
      <c r="H1964" s="145">
        <v>2.0920000000000001</v>
      </c>
      <c r="I1964" s="145">
        <v>1.7809999999999999</v>
      </c>
      <c r="J1964" s="145">
        <v>0.21099999999999999</v>
      </c>
      <c r="K1964" s="145">
        <v>42.5</v>
      </c>
      <c r="L1964" s="145">
        <v>10.005000000000001</v>
      </c>
      <c r="M1964" s="145">
        <v>1.0249999999999999</v>
      </c>
      <c r="N1964" s="145">
        <v>11.5</v>
      </c>
      <c r="O1964" s="145">
        <v>23.5</v>
      </c>
      <c r="P1964" s="145">
        <v>7.9000000000000001E-2</v>
      </c>
      <c r="Q1964" s="145">
        <v>128</v>
      </c>
      <c r="R1964" s="145">
        <v>0.68600000000000005</v>
      </c>
      <c r="S1964" s="145">
        <v>41</v>
      </c>
      <c r="T1964" s="145">
        <v>287.5</v>
      </c>
      <c r="U1964" s="145">
        <v>0.109</v>
      </c>
      <c r="V1964" s="145">
        <v>0.75</v>
      </c>
      <c r="W1964" s="145">
        <v>4.5</v>
      </c>
      <c r="X1964" s="145">
        <v>8.2000000000000003E-2</v>
      </c>
      <c r="Y1964" s="145">
        <v>6.8000000000000005E-2</v>
      </c>
      <c r="Z1964" s="145">
        <v>0.435</v>
      </c>
      <c r="AA1964" s="145">
        <v>6.8659999999999997</v>
      </c>
      <c r="AB1964" s="145">
        <v>3.7</v>
      </c>
      <c r="AC1964" s="145">
        <v>10.1</v>
      </c>
      <c r="AD1964" s="145">
        <v>0.17</v>
      </c>
      <c r="AE1964" s="145">
        <v>6.5</v>
      </c>
      <c r="AF1964" s="145">
        <v>0.1</v>
      </c>
      <c r="AG1964" s="145">
        <v>0.38900000000000001</v>
      </c>
      <c r="AH1964" s="145">
        <v>0.06</v>
      </c>
      <c r="AI1964" s="145">
        <v>287</v>
      </c>
      <c r="AJ1964" s="145">
        <v>13.603999999999999</v>
      </c>
      <c r="AK1964" s="145">
        <v>4.5830000000000002</v>
      </c>
      <c r="AL1964" s="145">
        <v>0.43</v>
      </c>
      <c r="AM1964" s="145" t="s">
        <v>400</v>
      </c>
    </row>
    <row r="1965" spans="1:39">
      <c r="A1965" s="143" t="s">
        <v>3025</v>
      </c>
      <c r="B1965" s="144">
        <v>100</v>
      </c>
      <c r="C1965" s="145">
        <v>116.023</v>
      </c>
      <c r="D1965" s="145">
        <v>15.815</v>
      </c>
      <c r="E1965" s="145">
        <v>4.4980000000000002</v>
      </c>
      <c r="F1965" s="145">
        <v>0.999</v>
      </c>
      <c r="G1965" s="145">
        <v>1.278</v>
      </c>
      <c r="H1965" s="145">
        <v>1.7669999999999999</v>
      </c>
      <c r="I1965" s="145">
        <v>1.496</v>
      </c>
      <c r="J1965" s="145">
        <v>0.17100000000000001</v>
      </c>
      <c r="K1965" s="145">
        <v>42.5</v>
      </c>
      <c r="L1965" s="145">
        <v>2.4500000000000002</v>
      </c>
      <c r="M1965" s="145">
        <v>0.55000000000000004</v>
      </c>
      <c r="N1965" s="145">
        <v>15</v>
      </c>
      <c r="O1965" s="145">
        <v>18</v>
      </c>
      <c r="P1965" s="145">
        <v>5.2999999999999999E-2</v>
      </c>
      <c r="Q1965" s="145">
        <v>123</v>
      </c>
      <c r="R1965" s="145">
        <v>0.81599999999999995</v>
      </c>
      <c r="S1965" s="145">
        <v>39</v>
      </c>
      <c r="T1965" s="145">
        <v>238.5</v>
      </c>
      <c r="U1965" s="145">
        <v>7.0999999999999994E-2</v>
      </c>
      <c r="V1965" s="145">
        <v>0.73</v>
      </c>
      <c r="W1965" s="145">
        <v>4.5</v>
      </c>
      <c r="X1965" s="145">
        <v>4.8000000000000001E-2</v>
      </c>
      <c r="Y1965" s="145">
        <v>9.7000000000000003E-2</v>
      </c>
      <c r="Z1965" s="145">
        <v>0.32200000000000001</v>
      </c>
      <c r="AA1965" s="145">
        <v>6.4169999999999998</v>
      </c>
      <c r="AB1965" s="145">
        <v>2.35</v>
      </c>
      <c r="AC1965" s="145">
        <v>9.5</v>
      </c>
      <c r="AD1965" s="145">
        <v>0.17</v>
      </c>
      <c r="AE1965" s="145">
        <v>6.5</v>
      </c>
      <c r="AF1965" s="145">
        <v>0.1</v>
      </c>
      <c r="AG1965" s="145">
        <v>0.71599999999999997</v>
      </c>
      <c r="AH1965" s="145">
        <v>5.7000000000000002E-2</v>
      </c>
      <c r="AI1965" s="145">
        <v>243</v>
      </c>
      <c r="AJ1965" s="145">
        <v>13.311999999999999</v>
      </c>
      <c r="AK1965" s="145">
        <v>129.292</v>
      </c>
      <c r="AL1965" s="145">
        <v>1.65</v>
      </c>
      <c r="AM1965" s="145" t="s">
        <v>400</v>
      </c>
    </row>
    <row r="1966" spans="1:39">
      <c r="A1966" s="143" t="s">
        <v>3026</v>
      </c>
      <c r="B1966" s="144">
        <v>100</v>
      </c>
      <c r="C1966" s="145">
        <v>21</v>
      </c>
      <c r="D1966" s="145">
        <v>1.2949999999999999</v>
      </c>
      <c r="E1966" s="145">
        <v>0.14000000000000001</v>
      </c>
      <c r="F1966" s="145">
        <v>4.1000000000000002E-2</v>
      </c>
      <c r="G1966" s="145">
        <v>1.9E-2</v>
      </c>
      <c r="H1966" s="145">
        <v>2.5000000000000001E-2</v>
      </c>
      <c r="I1966" s="145">
        <v>2.4E-2</v>
      </c>
      <c r="J1966" s="145">
        <v>2E-3</v>
      </c>
      <c r="K1966" s="145" t="s">
        <v>400</v>
      </c>
      <c r="L1966" s="145">
        <v>4.7050000000000001</v>
      </c>
      <c r="M1966" s="145">
        <v>1.8</v>
      </c>
      <c r="N1966" s="145">
        <v>46</v>
      </c>
      <c r="O1966" s="145">
        <v>22.5</v>
      </c>
      <c r="P1966" s="145">
        <v>0.192</v>
      </c>
      <c r="Q1966" s="145">
        <v>31</v>
      </c>
      <c r="R1966" s="145">
        <v>0.42499999999999999</v>
      </c>
      <c r="S1966" s="145">
        <v>3.5</v>
      </c>
      <c r="T1966" s="145">
        <v>182.5</v>
      </c>
      <c r="U1966" s="145">
        <v>8.7999999999999995E-2</v>
      </c>
      <c r="V1966" s="145">
        <v>0.33</v>
      </c>
      <c r="W1966" s="145" t="s">
        <v>400</v>
      </c>
      <c r="X1966" s="145">
        <v>8.2000000000000003E-2</v>
      </c>
      <c r="Y1966" s="145">
        <v>6.7000000000000004E-2</v>
      </c>
      <c r="Z1966" s="146">
        <v>0.11600000000000001</v>
      </c>
      <c r="AA1966" s="145">
        <v>0.64200000000000002</v>
      </c>
      <c r="AB1966" s="145">
        <v>10.5</v>
      </c>
      <c r="AC1966" s="145">
        <v>0.85</v>
      </c>
      <c r="AD1966" s="145" t="s">
        <v>400</v>
      </c>
      <c r="AE1966" s="145">
        <v>27.5</v>
      </c>
      <c r="AF1966" s="145" t="s">
        <v>400</v>
      </c>
      <c r="AG1966" s="145">
        <v>0.53500000000000003</v>
      </c>
      <c r="AH1966" s="145" t="s">
        <v>400</v>
      </c>
      <c r="AI1966" s="145">
        <v>195</v>
      </c>
      <c r="AJ1966" s="145">
        <v>0.3</v>
      </c>
      <c r="AK1966" s="145">
        <v>131.875</v>
      </c>
      <c r="AL1966" s="145">
        <v>2.778</v>
      </c>
      <c r="AM1966" s="145" t="s">
        <v>400</v>
      </c>
    </row>
    <row r="1967" spans="1:39">
      <c r="A1967" s="143" t="s">
        <v>3027</v>
      </c>
      <c r="B1967" s="144">
        <v>100</v>
      </c>
      <c r="C1967" s="145">
        <v>154</v>
      </c>
      <c r="D1967" s="145">
        <v>10.8</v>
      </c>
      <c r="E1967" s="145">
        <v>7.1</v>
      </c>
      <c r="F1967" s="145">
        <v>3.2</v>
      </c>
      <c r="G1967" s="145">
        <v>3</v>
      </c>
      <c r="H1967" s="145">
        <v>0.2</v>
      </c>
      <c r="I1967" s="145">
        <v>0.16</v>
      </c>
      <c r="J1967" s="145">
        <v>0.03</v>
      </c>
      <c r="K1967" s="145">
        <v>36</v>
      </c>
      <c r="L1967" s="145">
        <v>11.6</v>
      </c>
      <c r="M1967" s="145">
        <v>1.5</v>
      </c>
      <c r="N1967" s="145">
        <v>13</v>
      </c>
      <c r="O1967" s="145">
        <v>9</v>
      </c>
      <c r="P1967" s="145">
        <v>0.18</v>
      </c>
      <c r="Q1967" s="145">
        <v>48</v>
      </c>
      <c r="R1967" s="145">
        <v>1</v>
      </c>
      <c r="S1967" s="145">
        <v>1622</v>
      </c>
      <c r="T1967" s="145">
        <v>87</v>
      </c>
      <c r="U1967" s="145">
        <v>0.08</v>
      </c>
      <c r="V1967" s="145">
        <v>2.7</v>
      </c>
      <c r="W1967" s="145" t="s">
        <v>400</v>
      </c>
      <c r="X1967" s="145">
        <v>0.03</v>
      </c>
      <c r="Y1967" s="145" t="s">
        <v>400</v>
      </c>
      <c r="Z1967" s="146">
        <v>7.0000000000000007E-2</v>
      </c>
      <c r="AA1967" s="145" t="s">
        <v>400</v>
      </c>
      <c r="AB1967" s="145" t="s">
        <v>400</v>
      </c>
      <c r="AC1967" s="145" t="s">
        <v>400</v>
      </c>
      <c r="AD1967" s="145" t="s">
        <v>400</v>
      </c>
      <c r="AE1967" s="145" t="s">
        <v>400</v>
      </c>
      <c r="AF1967" s="145" t="s">
        <v>400</v>
      </c>
      <c r="AG1967" s="145" t="s">
        <v>400</v>
      </c>
      <c r="AH1967" s="145" t="s">
        <v>400</v>
      </c>
      <c r="AI1967" s="145" t="s">
        <v>400</v>
      </c>
      <c r="AJ1967" s="145" t="s">
        <v>400</v>
      </c>
      <c r="AK1967" s="145" t="s">
        <v>400</v>
      </c>
      <c r="AL1967" s="145" t="s">
        <v>400</v>
      </c>
      <c r="AM1967" s="145" t="s">
        <v>400</v>
      </c>
    </row>
    <row r="1968" spans="1:39">
      <c r="A1968" s="143" t="s">
        <v>3028</v>
      </c>
      <c r="B1968" s="144">
        <v>100</v>
      </c>
      <c r="C1968" s="145">
        <v>154</v>
      </c>
      <c r="D1968" s="145">
        <v>10.8</v>
      </c>
      <c r="E1968" s="145">
        <v>7.1</v>
      </c>
      <c r="F1968" s="145">
        <v>3.2</v>
      </c>
      <c r="G1968" s="145">
        <v>3</v>
      </c>
      <c r="H1968" s="145">
        <v>0.2</v>
      </c>
      <c r="I1968" s="145">
        <v>0.16</v>
      </c>
      <c r="J1968" s="145">
        <v>0.03</v>
      </c>
      <c r="K1968" s="145">
        <v>36</v>
      </c>
      <c r="L1968" s="145">
        <v>11.6</v>
      </c>
      <c r="M1968" s="145">
        <v>1.5</v>
      </c>
      <c r="N1968" s="145">
        <v>13</v>
      </c>
      <c r="O1968" s="145">
        <v>9</v>
      </c>
      <c r="P1968" s="145">
        <v>0.18</v>
      </c>
      <c r="Q1968" s="145">
        <v>48</v>
      </c>
      <c r="R1968" s="145">
        <v>1</v>
      </c>
      <c r="S1968" s="145">
        <v>1622</v>
      </c>
      <c r="T1968" s="145">
        <v>87</v>
      </c>
      <c r="U1968" s="145">
        <v>0.08</v>
      </c>
      <c r="V1968" s="145">
        <v>2.7</v>
      </c>
      <c r="W1968" s="145" t="s">
        <v>400</v>
      </c>
      <c r="X1968" s="145">
        <v>0.03</v>
      </c>
      <c r="Y1968" s="145" t="s">
        <v>400</v>
      </c>
      <c r="Z1968" s="146">
        <v>7.0000000000000007E-2</v>
      </c>
      <c r="AA1968" s="145" t="s">
        <v>400</v>
      </c>
      <c r="AB1968" s="145" t="s">
        <v>400</v>
      </c>
      <c r="AC1968" s="145" t="s">
        <v>400</v>
      </c>
      <c r="AD1968" s="145" t="s">
        <v>400</v>
      </c>
      <c r="AE1968" s="145" t="s">
        <v>400</v>
      </c>
      <c r="AF1968" s="145" t="s">
        <v>400</v>
      </c>
      <c r="AG1968" s="145" t="s">
        <v>400</v>
      </c>
      <c r="AH1968" s="145" t="s">
        <v>400</v>
      </c>
      <c r="AI1968" s="145" t="s">
        <v>400</v>
      </c>
      <c r="AJ1968" s="145" t="s">
        <v>400</v>
      </c>
      <c r="AK1968" s="145" t="s">
        <v>400</v>
      </c>
      <c r="AL1968" s="145" t="s">
        <v>400</v>
      </c>
      <c r="AM1968" s="145" t="s">
        <v>400</v>
      </c>
    </row>
    <row r="1969" spans="1:39">
      <c r="A1969" s="143" t="s">
        <v>3029</v>
      </c>
      <c r="B1969" s="144">
        <v>100</v>
      </c>
      <c r="C1969" s="145">
        <v>142.422</v>
      </c>
      <c r="D1969" s="145">
        <v>2.98</v>
      </c>
      <c r="E1969" s="145">
        <v>4.1740000000000004</v>
      </c>
      <c r="F1969" s="145">
        <v>1.0489999999999999</v>
      </c>
      <c r="G1969" s="145">
        <v>0.98499999999999999</v>
      </c>
      <c r="H1969" s="145">
        <v>1.885</v>
      </c>
      <c r="I1969" s="145">
        <v>1.6459999999999999</v>
      </c>
      <c r="J1969" s="145">
        <v>0.23799999999999999</v>
      </c>
      <c r="K1969" s="145">
        <v>2.7440000000000002</v>
      </c>
      <c r="L1969" s="145">
        <v>22.622</v>
      </c>
      <c r="M1969" s="145">
        <v>0.30299999999999999</v>
      </c>
      <c r="N1969" s="145">
        <v>38.74</v>
      </c>
      <c r="O1969" s="145">
        <v>11.725</v>
      </c>
      <c r="P1969" s="145">
        <v>0.35099999999999998</v>
      </c>
      <c r="Q1969" s="145">
        <v>57.481000000000002</v>
      </c>
      <c r="R1969" s="145">
        <v>0.95599999999999996</v>
      </c>
      <c r="S1969" s="145">
        <v>391.85399999999998</v>
      </c>
      <c r="T1969" s="145">
        <v>66.436999999999998</v>
      </c>
      <c r="U1969" s="145">
        <v>5.5E-2</v>
      </c>
      <c r="V1969" s="145">
        <v>0.47199999999999998</v>
      </c>
      <c r="W1969" s="145">
        <v>7.6829999999999998</v>
      </c>
      <c r="X1969" s="145">
        <v>0.14199999999999999</v>
      </c>
      <c r="Y1969" s="145">
        <v>6.8000000000000005E-2</v>
      </c>
      <c r="Z1969" s="146">
        <v>7.6999999999999999E-2</v>
      </c>
      <c r="AA1969" s="145">
        <v>1.1830000000000001</v>
      </c>
      <c r="AB1969" s="145">
        <v>6.0000000000000001E-3</v>
      </c>
      <c r="AC1969" s="145">
        <v>1.93</v>
      </c>
      <c r="AD1969" s="145">
        <v>0.121</v>
      </c>
      <c r="AE1969" s="145">
        <v>35.380000000000003</v>
      </c>
      <c r="AF1969" s="145">
        <v>0.27400000000000002</v>
      </c>
      <c r="AG1969" s="145">
        <v>0.29699999999999999</v>
      </c>
      <c r="AH1969" s="145">
        <v>4.8000000000000001E-2</v>
      </c>
      <c r="AI1969" s="145" t="s">
        <v>400</v>
      </c>
      <c r="AJ1969" s="145">
        <v>8.3480000000000008</v>
      </c>
      <c r="AK1969" s="145">
        <v>7.8019999999999996</v>
      </c>
      <c r="AL1969" s="145">
        <v>1.47</v>
      </c>
      <c r="AM1969" s="145" t="s">
        <v>400</v>
      </c>
    </row>
    <row r="1970" spans="1:39">
      <c r="A1970" s="143" t="s">
        <v>3030</v>
      </c>
      <c r="B1970" s="144">
        <v>100</v>
      </c>
      <c r="C1970" s="145">
        <v>130.31147285356667</v>
      </c>
      <c r="D1970" s="145">
        <v>1.5480563316666667</v>
      </c>
      <c r="E1970" s="145">
        <v>0.75002100000000005</v>
      </c>
      <c r="F1970" s="145">
        <v>0.22533259999999999</v>
      </c>
      <c r="G1970" s="145">
        <v>0.16109770000000001</v>
      </c>
      <c r="H1970" s="145">
        <v>0.33155889999999999</v>
      </c>
      <c r="I1970" s="145">
        <v>0.30316540000000003</v>
      </c>
      <c r="J1970" s="145">
        <v>3.8104399999999997E-2</v>
      </c>
      <c r="K1970" s="145" t="s">
        <v>400</v>
      </c>
      <c r="L1970" s="145">
        <v>28.942431735</v>
      </c>
      <c r="M1970" s="145">
        <v>1.5728510999999998</v>
      </c>
      <c r="N1970" s="145">
        <v>11.254799433333334</v>
      </c>
      <c r="O1970" s="145">
        <v>14.615625333333334</v>
      </c>
      <c r="P1970" s="145">
        <v>0.17687966666666666</v>
      </c>
      <c r="Q1970" s="145">
        <v>19.884569499999998</v>
      </c>
      <c r="R1970" s="145">
        <v>8.8202666666666665E-2</v>
      </c>
      <c r="S1970" s="145">
        <v>1.0944500666666666</v>
      </c>
      <c r="T1970" s="145">
        <v>57.26493236666667</v>
      </c>
      <c r="U1970" s="145">
        <v>1.24265E-2</v>
      </c>
      <c r="V1970" s="145">
        <v>0.34330813333333332</v>
      </c>
      <c r="W1970" s="145" t="s">
        <v>400</v>
      </c>
      <c r="X1970" s="145">
        <v>0.03</v>
      </c>
      <c r="Y1970" s="145" t="s">
        <v>400</v>
      </c>
      <c r="Z1970" s="145">
        <v>1.4999999999999999E-2</v>
      </c>
      <c r="AA1970" s="145" t="s">
        <v>400</v>
      </c>
      <c r="AB1970" s="145">
        <v>5.55</v>
      </c>
      <c r="AC1970" s="145" t="s">
        <v>400</v>
      </c>
      <c r="AD1970" s="145" t="s">
        <v>400</v>
      </c>
      <c r="AE1970" s="145" t="s">
        <v>400</v>
      </c>
      <c r="AF1970" s="145" t="s">
        <v>400</v>
      </c>
      <c r="AG1970" s="145" t="s">
        <v>400</v>
      </c>
      <c r="AH1970" s="145">
        <v>2.5969999999999999E-3</v>
      </c>
      <c r="AI1970" s="145">
        <v>334</v>
      </c>
      <c r="AJ1970" s="145" t="s">
        <v>400</v>
      </c>
      <c r="AK1970" s="145" t="s">
        <v>400</v>
      </c>
      <c r="AL1970" s="145" t="s">
        <v>400</v>
      </c>
      <c r="AM1970" s="145" t="s">
        <v>400</v>
      </c>
    </row>
    <row r="1971" spans="1:39">
      <c r="A1971" s="143" t="s">
        <v>3031</v>
      </c>
      <c r="B1971" s="144">
        <v>100</v>
      </c>
      <c r="C1971" s="145">
        <v>179.10697285356667</v>
      </c>
      <c r="D1971" s="145">
        <v>8.0850563316666673</v>
      </c>
      <c r="E1971" s="145">
        <v>9.4270209999999999</v>
      </c>
      <c r="F1971" s="145">
        <v>2.4298326000000001</v>
      </c>
      <c r="G1971" s="145">
        <v>3.0240977</v>
      </c>
      <c r="H1971" s="145">
        <v>2.8170588999999997</v>
      </c>
      <c r="I1971" s="145">
        <v>2.4831653999999999</v>
      </c>
      <c r="J1971" s="145">
        <v>0.26010440000000001</v>
      </c>
      <c r="K1971" s="145">
        <v>230.435</v>
      </c>
      <c r="L1971" s="145">
        <v>14.500931734999996</v>
      </c>
      <c r="M1971" s="145">
        <v>0.7728510999999999</v>
      </c>
      <c r="N1971" s="145">
        <v>28.928799433333332</v>
      </c>
      <c r="O1971" s="145">
        <v>6.5506253333333326</v>
      </c>
      <c r="P1971" s="145">
        <v>0.16087966666666667</v>
      </c>
      <c r="Q1971" s="145">
        <v>102.36306949999999</v>
      </c>
      <c r="R1971" s="145">
        <v>0.68670266666666668</v>
      </c>
      <c r="S1971" s="145">
        <v>67.985950066666661</v>
      </c>
      <c r="T1971" s="145">
        <v>75.743432366666667</v>
      </c>
      <c r="U1971" s="145">
        <v>1.4426499999999998E-2</v>
      </c>
      <c r="V1971" s="145">
        <v>0.81430813333333329</v>
      </c>
      <c r="W1971" s="145">
        <v>91.304500000000004</v>
      </c>
      <c r="X1971" s="145">
        <v>3.5999999999999997E-2</v>
      </c>
      <c r="Y1971" s="145">
        <v>0.27900000000000003</v>
      </c>
      <c r="Z1971" s="145">
        <v>6.6000000000000003E-2</v>
      </c>
      <c r="AA1971" s="145">
        <v>3.5000000000000003E-2</v>
      </c>
      <c r="AB1971" s="145" t="s">
        <v>400</v>
      </c>
      <c r="AC1971" s="145">
        <v>1.4205000000000001</v>
      </c>
      <c r="AD1971" s="145">
        <v>0.60350000000000004</v>
      </c>
      <c r="AE1971" s="145">
        <v>23.913</v>
      </c>
      <c r="AF1971" s="145">
        <v>0.69550000000000001</v>
      </c>
      <c r="AG1971" s="145">
        <v>0.81</v>
      </c>
      <c r="AH1971" s="145">
        <v>1.6500000000000001E-2</v>
      </c>
      <c r="AI1971" s="145">
        <v>293.5</v>
      </c>
      <c r="AJ1971" s="145">
        <v>18.141999999999999</v>
      </c>
      <c r="AK1971" s="145">
        <v>92.028999999999996</v>
      </c>
      <c r="AL1971" s="145">
        <v>0.66300000000000003</v>
      </c>
      <c r="AM1971" s="145" t="s">
        <v>400</v>
      </c>
    </row>
    <row r="1972" spans="1:39">
      <c r="A1972" s="143" t="s">
        <v>3032</v>
      </c>
      <c r="B1972" s="144">
        <v>100</v>
      </c>
      <c r="C1972" s="145">
        <v>41.945</v>
      </c>
      <c r="D1972" s="145">
        <v>1.35</v>
      </c>
      <c r="E1972" s="145">
        <v>3.0979999999999999</v>
      </c>
      <c r="F1972" s="145">
        <v>0.48299999999999998</v>
      </c>
      <c r="G1972" s="145">
        <v>0.70099999999999996</v>
      </c>
      <c r="H1972" s="145">
        <v>1.7809999999999999</v>
      </c>
      <c r="I1972" s="145">
        <v>1.5720000000000001</v>
      </c>
      <c r="J1972" s="145">
        <v>0.20899999999999999</v>
      </c>
      <c r="K1972" s="145" t="s">
        <v>400</v>
      </c>
      <c r="L1972" s="145">
        <v>3.28</v>
      </c>
      <c r="M1972" s="145">
        <v>2</v>
      </c>
      <c r="N1972" s="145">
        <v>164</v>
      </c>
      <c r="O1972" s="145">
        <v>47</v>
      </c>
      <c r="P1972" s="145">
        <v>0.40799999999999997</v>
      </c>
      <c r="Q1972" s="145">
        <v>16</v>
      </c>
      <c r="R1972" s="145">
        <v>0.502</v>
      </c>
      <c r="S1972" s="145">
        <v>20</v>
      </c>
      <c r="T1972" s="145">
        <v>195</v>
      </c>
      <c r="U1972" s="145">
        <v>4.9000000000000002E-2</v>
      </c>
      <c r="V1972" s="145">
        <v>0.21</v>
      </c>
      <c r="W1972" s="145" t="s">
        <v>400</v>
      </c>
      <c r="X1972" s="145">
        <v>1.0999999999999999E-2</v>
      </c>
      <c r="Y1972" s="145">
        <v>0.04</v>
      </c>
      <c r="Z1972" s="146">
        <v>6.7000000000000004E-2</v>
      </c>
      <c r="AA1972" s="145">
        <v>0.29599999999999999</v>
      </c>
      <c r="AB1972" s="145">
        <v>5.3</v>
      </c>
      <c r="AC1972" s="145">
        <v>0.52900000000000003</v>
      </c>
      <c r="AD1972" s="145" t="s">
        <v>400</v>
      </c>
      <c r="AE1972" s="145">
        <v>3</v>
      </c>
      <c r="AF1972" s="145" t="s">
        <v>400</v>
      </c>
      <c r="AG1972" s="145">
        <v>0.249</v>
      </c>
      <c r="AH1972" s="145">
        <v>1.6E-2</v>
      </c>
      <c r="AI1972" s="145" t="s">
        <v>400</v>
      </c>
      <c r="AJ1972" s="145">
        <v>2.097</v>
      </c>
      <c r="AK1972" s="145">
        <v>22.125</v>
      </c>
      <c r="AL1972" s="145">
        <v>1.27</v>
      </c>
      <c r="AM1972" s="145" t="s">
        <v>400</v>
      </c>
    </row>
  </sheetData>
  <sheetProtection sheet="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F377-D66B-44A4-ACC2-81A40C3847CE}">
  <dimension ref="A1:DV213"/>
  <sheetViews>
    <sheetView zoomScaleNormal="100" workbookViewId="0">
      <selection activeCell="A22" sqref="A22"/>
    </sheetView>
  </sheetViews>
  <sheetFormatPr defaultRowHeight="12.75"/>
  <cols>
    <col min="1" max="1" width="30.609375" bestFit="1" customWidth="1"/>
    <col min="2" max="2" width="14.5625" bestFit="1" customWidth="1"/>
    <col min="3" max="3" width="13.6171875" bestFit="1" customWidth="1"/>
    <col min="4" max="4" width="14.42578125" customWidth="1"/>
    <col min="5" max="5" width="12.26953125" customWidth="1"/>
    <col min="6" max="6" width="12.13671875" bestFit="1" customWidth="1"/>
    <col min="7" max="7" width="13.34765625" bestFit="1" customWidth="1"/>
    <col min="8" max="8" width="11.19140625" bestFit="1" customWidth="1"/>
    <col min="11" max="11" width="14.83203125" bestFit="1" customWidth="1"/>
    <col min="12" max="12" width="12.9453125" customWidth="1"/>
    <col min="13" max="13" width="9.4375" bestFit="1" customWidth="1"/>
    <col min="14" max="14" width="11.32421875" bestFit="1" customWidth="1"/>
    <col min="21" max="21" width="11.0546875" bestFit="1" customWidth="1"/>
    <col min="22" max="22" width="10.3828125" bestFit="1" customWidth="1"/>
    <col min="23" max="24" width="13.078125" bestFit="1" customWidth="1"/>
    <col min="25" max="25" width="16.046875" bestFit="1" customWidth="1"/>
    <col min="26" max="26" width="15.1015625" bestFit="1" customWidth="1"/>
    <col min="27" max="27" width="12.40625" bestFit="1" customWidth="1"/>
    <col min="28" max="28" width="10.3828125" bestFit="1" customWidth="1"/>
  </cols>
  <sheetData>
    <row r="1" spans="1:126">
      <c r="A1" s="176" t="s">
        <v>3033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</row>
    <row r="2" spans="1:126">
      <c r="A2" s="176" t="s">
        <v>957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</row>
    <row r="3" spans="1:126" ht="47.25" thickBot="1">
      <c r="A3" s="319" t="s">
        <v>54</v>
      </c>
      <c r="B3" s="320" t="s">
        <v>1</v>
      </c>
      <c r="C3" s="320" t="s">
        <v>2</v>
      </c>
      <c r="D3" s="320" t="s">
        <v>3</v>
      </c>
      <c r="E3" s="320" t="s">
        <v>4</v>
      </c>
      <c r="F3" s="320" t="s">
        <v>49</v>
      </c>
      <c r="G3" s="320" t="s">
        <v>50</v>
      </c>
      <c r="H3" s="320" t="s">
        <v>51</v>
      </c>
      <c r="I3" s="320" t="s">
        <v>3034</v>
      </c>
      <c r="J3" s="320" t="s">
        <v>3035</v>
      </c>
      <c r="K3" s="320" t="s">
        <v>5</v>
      </c>
      <c r="L3" s="320" t="s">
        <v>6</v>
      </c>
      <c r="M3" s="320" t="s">
        <v>7</v>
      </c>
      <c r="N3" s="320" t="s">
        <v>8</v>
      </c>
      <c r="O3" s="320" t="s">
        <v>9</v>
      </c>
      <c r="P3" s="320" t="s">
        <v>10</v>
      </c>
      <c r="Q3" s="320" t="s">
        <v>11</v>
      </c>
      <c r="R3" s="320" t="s">
        <v>12</v>
      </c>
      <c r="S3" s="320" t="s">
        <v>13</v>
      </c>
      <c r="T3" s="320" t="s">
        <v>14</v>
      </c>
      <c r="U3" s="320" t="s">
        <v>15</v>
      </c>
      <c r="V3" s="320" t="s">
        <v>16</v>
      </c>
      <c r="W3" s="320" t="s">
        <v>17</v>
      </c>
      <c r="X3" s="320" t="s">
        <v>18</v>
      </c>
      <c r="Y3" s="320" t="s">
        <v>19</v>
      </c>
      <c r="Z3" s="320" t="s">
        <v>20</v>
      </c>
      <c r="AA3" s="320" t="s">
        <v>21</v>
      </c>
      <c r="AB3" s="320" t="s">
        <v>22</v>
      </c>
      <c r="AC3" s="321" t="s">
        <v>3036</v>
      </c>
      <c r="AD3" s="321" t="s">
        <v>3037</v>
      </c>
      <c r="AE3" s="321" t="s">
        <v>3038</v>
      </c>
      <c r="AF3" s="321" t="s">
        <v>3039</v>
      </c>
      <c r="AG3" s="321" t="s">
        <v>3040</v>
      </c>
      <c r="AH3" s="321" t="s">
        <v>3041</v>
      </c>
      <c r="AI3" s="321" t="s">
        <v>3042</v>
      </c>
      <c r="AJ3" s="321" t="s">
        <v>3043</v>
      </c>
      <c r="AK3" s="321" t="s">
        <v>3044</v>
      </c>
      <c r="AL3" s="321" t="s">
        <v>3045</v>
      </c>
      <c r="AM3" s="321" t="s">
        <v>3046</v>
      </c>
    </row>
    <row r="4" spans="1:126">
      <c r="A4" s="178" t="s">
        <v>55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</row>
    <row r="5" spans="1:126" s="51" customFormat="1">
      <c r="A5" s="329"/>
      <c r="B5" s="138"/>
      <c r="C5" s="287"/>
      <c r="D5" s="287"/>
      <c r="E5" s="330"/>
      <c r="F5" s="288"/>
      <c r="G5" s="288"/>
      <c r="H5" s="288"/>
      <c r="I5" s="183"/>
      <c r="J5" s="183"/>
      <c r="K5" s="289"/>
      <c r="L5" s="289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331"/>
      <c r="X5" s="290"/>
      <c r="Y5" s="290"/>
      <c r="Z5" s="290"/>
      <c r="AA5" s="290"/>
      <c r="AB5" s="289"/>
      <c r="AC5" s="280"/>
      <c r="AD5" s="281"/>
      <c r="AE5" s="281"/>
      <c r="AF5" s="281"/>
      <c r="AG5" s="281"/>
      <c r="AH5" s="281"/>
      <c r="AI5" s="281"/>
      <c r="AJ5" s="281"/>
      <c r="AK5" s="281"/>
      <c r="AL5" s="281"/>
      <c r="AM5" s="282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</row>
    <row r="6" spans="1:126">
      <c r="A6" s="292"/>
      <c r="B6" s="314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</row>
    <row r="7" spans="1:126">
      <c r="A7" s="292"/>
      <c r="B7" s="314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</row>
    <row r="8" spans="1:126">
      <c r="A8" s="292"/>
      <c r="B8" s="314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</row>
    <row r="9" spans="1:126">
      <c r="A9" s="292"/>
      <c r="B9" s="314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</row>
    <row r="10" spans="1:126">
      <c r="A10" s="292"/>
      <c r="B10" s="314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</row>
    <row r="11" spans="1:126">
      <c r="A11" s="292"/>
      <c r="B11" s="314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</row>
    <row r="12" spans="1:126">
      <c r="A12" s="292"/>
      <c r="B12" s="314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</row>
    <row r="13" spans="1:126">
      <c r="A13" s="292"/>
      <c r="B13" s="314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</row>
    <row r="14" spans="1:126">
      <c r="A14" s="292"/>
      <c r="B14" s="314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</row>
    <row r="15" spans="1:126">
      <c r="A15" s="292"/>
      <c r="B15" s="314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</row>
    <row r="16" spans="1:126">
      <c r="A16" s="292"/>
      <c r="B16" s="314"/>
      <c r="C16" s="146"/>
      <c r="D16" s="146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2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</row>
    <row r="17" spans="1:39">
      <c r="A17" s="200" t="s">
        <v>61</v>
      </c>
      <c r="B17" s="201"/>
      <c r="C17" s="275">
        <f>SUM(C5:C16)</f>
        <v>0</v>
      </c>
      <c r="D17" s="201">
        <f>SUM(D5:D16)</f>
        <v>0</v>
      </c>
      <c r="E17" s="201">
        <f t="shared" ref="E17:AM17" si="0">SUM(E5:E16)</f>
        <v>0</v>
      </c>
      <c r="F17" s="201">
        <f t="shared" si="0"/>
        <v>0</v>
      </c>
      <c r="G17" s="201">
        <f t="shared" si="0"/>
        <v>0</v>
      </c>
      <c r="H17" s="201">
        <f t="shared" si="0"/>
        <v>0</v>
      </c>
      <c r="I17" s="201">
        <f t="shared" si="0"/>
        <v>0</v>
      </c>
      <c r="J17" s="201">
        <f t="shared" si="0"/>
        <v>0</v>
      </c>
      <c r="K17" s="201">
        <f t="shared" si="0"/>
        <v>0</v>
      </c>
      <c r="L17" s="201">
        <f t="shared" si="0"/>
        <v>0</v>
      </c>
      <c r="M17" s="201">
        <f t="shared" si="0"/>
        <v>0</v>
      </c>
      <c r="N17" s="201">
        <f t="shared" si="0"/>
        <v>0</v>
      </c>
      <c r="O17" s="201">
        <f t="shared" si="0"/>
        <v>0</v>
      </c>
      <c r="P17" s="201">
        <f t="shared" si="0"/>
        <v>0</v>
      </c>
      <c r="Q17" s="201">
        <f t="shared" si="0"/>
        <v>0</v>
      </c>
      <c r="R17" s="201">
        <f t="shared" si="0"/>
        <v>0</v>
      </c>
      <c r="S17" s="201">
        <f t="shared" si="0"/>
        <v>0</v>
      </c>
      <c r="T17" s="201">
        <f t="shared" si="0"/>
        <v>0</v>
      </c>
      <c r="U17" s="201">
        <f t="shared" si="0"/>
        <v>0</v>
      </c>
      <c r="V17" s="201">
        <f t="shared" si="0"/>
        <v>0</v>
      </c>
      <c r="W17" s="201">
        <f t="shared" si="0"/>
        <v>0</v>
      </c>
      <c r="X17" s="201">
        <f t="shared" si="0"/>
        <v>0</v>
      </c>
      <c r="Y17" s="201">
        <f t="shared" si="0"/>
        <v>0</v>
      </c>
      <c r="Z17" s="201">
        <f t="shared" si="0"/>
        <v>0</v>
      </c>
      <c r="AA17" s="201">
        <f t="shared" si="0"/>
        <v>0</v>
      </c>
      <c r="AB17" s="201">
        <f t="shared" si="0"/>
        <v>0</v>
      </c>
      <c r="AC17" s="201">
        <f t="shared" si="0"/>
        <v>0</v>
      </c>
      <c r="AD17" s="201">
        <f t="shared" si="0"/>
        <v>0</v>
      </c>
      <c r="AE17" s="201">
        <f t="shared" si="0"/>
        <v>0</v>
      </c>
      <c r="AF17" s="201">
        <f t="shared" si="0"/>
        <v>0</v>
      </c>
      <c r="AG17" s="201">
        <f t="shared" si="0"/>
        <v>0</v>
      </c>
      <c r="AH17" s="201">
        <f t="shared" si="0"/>
        <v>0</v>
      </c>
      <c r="AI17" s="201">
        <f t="shared" si="0"/>
        <v>0</v>
      </c>
      <c r="AJ17" s="201">
        <f t="shared" si="0"/>
        <v>0</v>
      </c>
      <c r="AK17" s="201">
        <f t="shared" si="0"/>
        <v>0</v>
      </c>
      <c r="AL17" s="201">
        <f t="shared" si="0"/>
        <v>0</v>
      </c>
      <c r="AM17" s="201">
        <f t="shared" si="0"/>
        <v>0</v>
      </c>
    </row>
    <row r="18" spans="1:39">
      <c r="A18" s="200" t="s">
        <v>62</v>
      </c>
      <c r="B18" s="201"/>
      <c r="C18" s="202">
        <f>D18+E18+L18</f>
        <v>0</v>
      </c>
      <c r="D18" s="201">
        <f>D17*4</f>
        <v>0</v>
      </c>
      <c r="E18" s="201">
        <f>E17*9</f>
        <v>0</v>
      </c>
      <c r="F18" s="201">
        <f>F17*9</f>
        <v>0</v>
      </c>
      <c r="G18" s="201">
        <f>G17*9</f>
        <v>0</v>
      </c>
      <c r="H18" s="201">
        <f>H17*9</f>
        <v>0</v>
      </c>
      <c r="I18" s="201"/>
      <c r="J18" s="201"/>
      <c r="K18" s="201"/>
      <c r="L18" s="201">
        <f>L17*4</f>
        <v>0</v>
      </c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3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</row>
    <row r="19" spans="1:39">
      <c r="A19" s="322" t="s">
        <v>63</v>
      </c>
      <c r="B19" s="201"/>
      <c r="C19" s="201"/>
      <c r="D19" s="202" t="e">
        <f>D18/C18*100</f>
        <v>#DIV/0!</v>
      </c>
      <c r="E19" s="202" t="e">
        <f>E18/C18*100</f>
        <v>#DIV/0!</v>
      </c>
      <c r="F19" s="202" t="e">
        <f>F18/C18*100</f>
        <v>#DIV/0!</v>
      </c>
      <c r="G19" s="202" t="e">
        <f>G18/C18*100</f>
        <v>#DIV/0!</v>
      </c>
      <c r="H19" s="202" t="e">
        <f>H18/C18*100</f>
        <v>#DIV/0!</v>
      </c>
      <c r="I19" s="201"/>
      <c r="J19" s="201"/>
      <c r="K19" s="201"/>
      <c r="L19" s="202" t="e">
        <f>L18/C18*100</f>
        <v>#DIV/0!</v>
      </c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3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</row>
    <row r="20" spans="1:39" ht="13.5" thickBot="1">
      <c r="A20" s="184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</row>
    <row r="21" spans="1:39">
      <c r="A21" s="178" t="s">
        <v>57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</row>
    <row r="22" spans="1:39">
      <c r="A22" s="292"/>
      <c r="B22" s="314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</row>
    <row r="23" spans="1:39">
      <c r="A23" s="292"/>
      <c r="B23" s="314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</row>
    <row r="24" spans="1:39">
      <c r="A24" s="296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</row>
    <row r="25" spans="1:39">
      <c r="A25" s="279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</row>
    <row r="26" spans="1:39">
      <c r="A26" s="188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2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</row>
    <row r="27" spans="1:39">
      <c r="A27" s="279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</row>
    <row r="28" spans="1:39">
      <c r="A28" s="279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</row>
    <row r="29" spans="1:39">
      <c r="A29" s="279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</row>
    <row r="30" spans="1:39">
      <c r="A30" s="200" t="s">
        <v>61</v>
      </c>
      <c r="B30" s="201"/>
      <c r="C30" s="201">
        <f>SUM(C22:C29)</f>
        <v>0</v>
      </c>
      <c r="D30" s="201">
        <f t="shared" ref="D30:AM30" si="1">SUM(D22:D29)</f>
        <v>0</v>
      </c>
      <c r="E30" s="201">
        <f t="shared" si="1"/>
        <v>0</v>
      </c>
      <c r="F30" s="201">
        <f t="shared" si="1"/>
        <v>0</v>
      </c>
      <c r="G30" s="201">
        <f t="shared" si="1"/>
        <v>0</v>
      </c>
      <c r="H30" s="201">
        <f t="shared" si="1"/>
        <v>0</v>
      </c>
      <c r="I30" s="201">
        <f t="shared" si="1"/>
        <v>0</v>
      </c>
      <c r="J30" s="201">
        <f t="shared" si="1"/>
        <v>0</v>
      </c>
      <c r="K30" s="201">
        <f t="shared" si="1"/>
        <v>0</v>
      </c>
      <c r="L30" s="201">
        <f t="shared" si="1"/>
        <v>0</v>
      </c>
      <c r="M30" s="201">
        <f t="shared" si="1"/>
        <v>0</v>
      </c>
      <c r="N30" s="201">
        <f t="shared" si="1"/>
        <v>0</v>
      </c>
      <c r="O30" s="201">
        <f t="shared" si="1"/>
        <v>0</v>
      </c>
      <c r="P30" s="201">
        <f t="shared" si="1"/>
        <v>0</v>
      </c>
      <c r="Q30" s="201">
        <f t="shared" si="1"/>
        <v>0</v>
      </c>
      <c r="R30" s="201">
        <f t="shared" si="1"/>
        <v>0</v>
      </c>
      <c r="S30" s="201">
        <f t="shared" si="1"/>
        <v>0</v>
      </c>
      <c r="T30" s="201">
        <f t="shared" si="1"/>
        <v>0</v>
      </c>
      <c r="U30" s="201">
        <f t="shared" si="1"/>
        <v>0</v>
      </c>
      <c r="V30" s="201">
        <f t="shared" si="1"/>
        <v>0</v>
      </c>
      <c r="W30" s="201">
        <f t="shared" si="1"/>
        <v>0</v>
      </c>
      <c r="X30" s="201">
        <f t="shared" si="1"/>
        <v>0</v>
      </c>
      <c r="Y30" s="201">
        <f t="shared" si="1"/>
        <v>0</v>
      </c>
      <c r="Z30" s="201">
        <f t="shared" si="1"/>
        <v>0</v>
      </c>
      <c r="AA30" s="201">
        <f t="shared" si="1"/>
        <v>0</v>
      </c>
      <c r="AB30" s="201">
        <f t="shared" si="1"/>
        <v>0</v>
      </c>
      <c r="AC30" s="201">
        <f t="shared" si="1"/>
        <v>0</v>
      </c>
      <c r="AD30" s="201">
        <f t="shared" si="1"/>
        <v>0</v>
      </c>
      <c r="AE30" s="201">
        <f t="shared" si="1"/>
        <v>0</v>
      </c>
      <c r="AF30" s="201">
        <f t="shared" si="1"/>
        <v>0</v>
      </c>
      <c r="AG30" s="201">
        <f t="shared" si="1"/>
        <v>0</v>
      </c>
      <c r="AH30" s="201">
        <f t="shared" si="1"/>
        <v>0</v>
      </c>
      <c r="AI30" s="201">
        <f t="shared" si="1"/>
        <v>0</v>
      </c>
      <c r="AJ30" s="201">
        <f t="shared" si="1"/>
        <v>0</v>
      </c>
      <c r="AK30" s="201">
        <f t="shared" si="1"/>
        <v>0</v>
      </c>
      <c r="AL30" s="201">
        <f t="shared" si="1"/>
        <v>0</v>
      </c>
      <c r="AM30" s="201">
        <f t="shared" si="1"/>
        <v>0</v>
      </c>
    </row>
    <row r="31" spans="1:39">
      <c r="A31" s="200" t="s">
        <v>62</v>
      </c>
      <c r="B31" s="201"/>
      <c r="C31" s="202">
        <f>D31+E31+L31</f>
        <v>0</v>
      </c>
      <c r="D31" s="201">
        <f>D30*4</f>
        <v>0</v>
      </c>
      <c r="E31" s="201">
        <f>E30*9</f>
        <v>0</v>
      </c>
      <c r="F31" s="201">
        <f>F30*9</f>
        <v>0</v>
      </c>
      <c r="G31" s="201">
        <f>G30*9</f>
        <v>0</v>
      </c>
      <c r="H31" s="201">
        <f>H30*9</f>
        <v>0</v>
      </c>
      <c r="I31" s="201"/>
      <c r="J31" s="201"/>
      <c r="K31" s="201"/>
      <c r="L31" s="201">
        <f>L30*4</f>
        <v>0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3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</row>
    <row r="32" spans="1:39">
      <c r="A32" s="322" t="s">
        <v>63</v>
      </c>
      <c r="B32" s="201"/>
      <c r="C32" s="201"/>
      <c r="D32" s="202" t="e">
        <f>D31/C31*100</f>
        <v>#DIV/0!</v>
      </c>
      <c r="E32" s="202" t="e">
        <f>E31/C31*100</f>
        <v>#DIV/0!</v>
      </c>
      <c r="F32" s="323" t="e">
        <f>F31/C31*100</f>
        <v>#DIV/0!</v>
      </c>
      <c r="G32" s="201" t="e">
        <f>G31/C31*100</f>
        <v>#DIV/0!</v>
      </c>
      <c r="H32" s="201" t="e">
        <f>H31/C31*100</f>
        <v>#DIV/0!</v>
      </c>
      <c r="I32" s="201"/>
      <c r="J32" s="201"/>
      <c r="K32" s="201"/>
      <c r="L32" s="201" t="e">
        <f>L31/C31*100</f>
        <v>#DIV/0!</v>
      </c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3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</row>
    <row r="33" spans="1:39" ht="13.5" thickBot="1">
      <c r="A33" s="184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</row>
    <row r="34" spans="1:39">
      <c r="A34" s="178" t="s">
        <v>56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</row>
    <row r="35" spans="1:39">
      <c r="A35" s="292"/>
      <c r="B35" s="314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</row>
    <row r="36" spans="1:39">
      <c r="A36" s="292"/>
      <c r="B36" s="314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</row>
    <row r="37" spans="1:39">
      <c r="A37" s="292"/>
      <c r="B37" s="314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</row>
    <row r="38" spans="1:39">
      <c r="A38" s="292"/>
      <c r="B38" s="314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</row>
    <row r="39" spans="1:39">
      <c r="A39" s="292"/>
      <c r="B39" s="314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</row>
    <row r="40" spans="1:39">
      <c r="A40" s="292"/>
      <c r="B40" s="314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</row>
    <row r="41" spans="1:39">
      <c r="A41" s="292"/>
      <c r="B41" s="314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</row>
    <row r="42" spans="1:39">
      <c r="A42" s="292"/>
      <c r="B42" s="314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</row>
    <row r="43" spans="1:39">
      <c r="A43" s="292"/>
      <c r="B43" s="314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</row>
    <row r="44" spans="1:39">
      <c r="A44" s="292"/>
      <c r="B44" s="314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</row>
    <row r="45" spans="1:39">
      <c r="A45" s="188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2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</row>
    <row r="46" spans="1:39">
      <c r="A46" s="188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2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</row>
    <row r="47" spans="1:39">
      <c r="A47" s="292"/>
      <c r="B47" s="314"/>
      <c r="C47" s="146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2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</row>
    <row r="48" spans="1:39">
      <c r="A48" s="292"/>
      <c r="B48" s="314"/>
      <c r="C48" s="146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2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</row>
    <row r="49" spans="1:39">
      <c r="A49" s="200" t="s">
        <v>61</v>
      </c>
      <c r="B49" s="201"/>
      <c r="C49" s="201">
        <f>SUM(C35:C48)</f>
        <v>0</v>
      </c>
      <c r="D49" s="201">
        <f t="shared" ref="D49:AM49" si="2">SUM(D35:D48)</f>
        <v>0</v>
      </c>
      <c r="E49" s="201">
        <f t="shared" si="2"/>
        <v>0</v>
      </c>
      <c r="F49" s="201">
        <f t="shared" si="2"/>
        <v>0</v>
      </c>
      <c r="G49" s="201">
        <f t="shared" si="2"/>
        <v>0</v>
      </c>
      <c r="H49" s="201">
        <f t="shared" si="2"/>
        <v>0</v>
      </c>
      <c r="I49" s="201">
        <f t="shared" si="2"/>
        <v>0</v>
      </c>
      <c r="J49" s="201">
        <f t="shared" si="2"/>
        <v>0</v>
      </c>
      <c r="K49" s="201">
        <f t="shared" si="2"/>
        <v>0</v>
      </c>
      <c r="L49" s="201">
        <f t="shared" si="2"/>
        <v>0</v>
      </c>
      <c r="M49" s="201">
        <f t="shared" si="2"/>
        <v>0</v>
      </c>
      <c r="N49" s="201">
        <f t="shared" si="2"/>
        <v>0</v>
      </c>
      <c r="O49" s="201">
        <f t="shared" si="2"/>
        <v>0</v>
      </c>
      <c r="P49" s="201">
        <f t="shared" si="2"/>
        <v>0</v>
      </c>
      <c r="Q49" s="201">
        <f t="shared" si="2"/>
        <v>0</v>
      </c>
      <c r="R49" s="201">
        <f t="shared" si="2"/>
        <v>0</v>
      </c>
      <c r="S49" s="201">
        <f t="shared" si="2"/>
        <v>0</v>
      </c>
      <c r="T49" s="201">
        <f t="shared" si="2"/>
        <v>0</v>
      </c>
      <c r="U49" s="201">
        <f t="shared" si="2"/>
        <v>0</v>
      </c>
      <c r="V49" s="201">
        <f t="shared" si="2"/>
        <v>0</v>
      </c>
      <c r="W49" s="201">
        <f t="shared" si="2"/>
        <v>0</v>
      </c>
      <c r="X49" s="201">
        <f t="shared" si="2"/>
        <v>0</v>
      </c>
      <c r="Y49" s="201">
        <f t="shared" si="2"/>
        <v>0</v>
      </c>
      <c r="Z49" s="201">
        <f t="shared" si="2"/>
        <v>0</v>
      </c>
      <c r="AA49" s="201">
        <f t="shared" si="2"/>
        <v>0</v>
      </c>
      <c r="AB49" s="201">
        <f t="shared" si="2"/>
        <v>0</v>
      </c>
      <c r="AC49" s="201">
        <f t="shared" si="2"/>
        <v>0</v>
      </c>
      <c r="AD49" s="201">
        <f t="shared" si="2"/>
        <v>0</v>
      </c>
      <c r="AE49" s="201">
        <f t="shared" si="2"/>
        <v>0</v>
      </c>
      <c r="AF49" s="201">
        <f t="shared" si="2"/>
        <v>0</v>
      </c>
      <c r="AG49" s="201">
        <f t="shared" si="2"/>
        <v>0</v>
      </c>
      <c r="AH49" s="201">
        <f t="shared" si="2"/>
        <v>0</v>
      </c>
      <c r="AI49" s="201">
        <f t="shared" si="2"/>
        <v>0</v>
      </c>
      <c r="AJ49" s="201">
        <f t="shared" si="2"/>
        <v>0</v>
      </c>
      <c r="AK49" s="201">
        <f t="shared" si="2"/>
        <v>0</v>
      </c>
      <c r="AL49" s="201">
        <f t="shared" si="2"/>
        <v>0</v>
      </c>
      <c r="AM49" s="201">
        <f t="shared" si="2"/>
        <v>0</v>
      </c>
    </row>
    <row r="50" spans="1:39">
      <c r="A50" s="200" t="s">
        <v>62</v>
      </c>
      <c r="B50" s="201"/>
      <c r="C50" s="202">
        <f>D50+E50+L50</f>
        <v>0</v>
      </c>
      <c r="D50" s="201">
        <f>D49*4</f>
        <v>0</v>
      </c>
      <c r="E50" s="201">
        <f>E49*9</f>
        <v>0</v>
      </c>
      <c r="F50" s="201">
        <f>F49*9</f>
        <v>0</v>
      </c>
      <c r="G50" s="201">
        <f>G49*9</f>
        <v>0</v>
      </c>
      <c r="H50" s="201">
        <f>H49*9</f>
        <v>0</v>
      </c>
      <c r="I50" s="201"/>
      <c r="J50" s="201"/>
      <c r="K50" s="201"/>
      <c r="L50" s="201">
        <f>L49*4</f>
        <v>0</v>
      </c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3"/>
      <c r="AC50" s="277"/>
      <c r="AD50" s="277"/>
      <c r="AE50" s="277"/>
      <c r="AF50" s="277"/>
      <c r="AG50" s="277"/>
      <c r="AH50" s="277"/>
      <c r="AI50" s="277"/>
      <c r="AJ50" s="277"/>
      <c r="AK50" s="277"/>
      <c r="AL50" s="277"/>
      <c r="AM50" s="277"/>
    </row>
    <row r="51" spans="1:39">
      <c r="A51" s="322" t="s">
        <v>63</v>
      </c>
      <c r="B51" s="201"/>
      <c r="C51" s="201"/>
      <c r="D51" s="202" t="e">
        <f>D50/C50*100</f>
        <v>#DIV/0!</v>
      </c>
      <c r="E51" s="202" t="e">
        <f>E50/C50*100</f>
        <v>#DIV/0!</v>
      </c>
      <c r="F51" s="202" t="e">
        <f>F50/C50*100</f>
        <v>#DIV/0!</v>
      </c>
      <c r="G51" s="202" t="e">
        <f>G50/C50*100</f>
        <v>#DIV/0!</v>
      </c>
      <c r="H51" s="202" t="e">
        <f>H50/C50*100</f>
        <v>#DIV/0!</v>
      </c>
      <c r="I51" s="202"/>
      <c r="J51" s="202"/>
      <c r="K51" s="202"/>
      <c r="L51" s="202" t="e">
        <f>L50/C50*100</f>
        <v>#DIV/0!</v>
      </c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3"/>
      <c r="AC51" s="277"/>
      <c r="AD51" s="277"/>
      <c r="AE51" s="277"/>
      <c r="AF51" s="277"/>
      <c r="AG51" s="277"/>
      <c r="AH51" s="277"/>
      <c r="AI51" s="277"/>
      <c r="AJ51" s="277"/>
      <c r="AK51" s="277"/>
      <c r="AL51" s="277"/>
      <c r="AM51" s="277"/>
    </row>
    <row r="52" spans="1:39" ht="13.5" thickBot="1">
      <c r="A52" s="189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</row>
    <row r="53" spans="1:39">
      <c r="A53" s="178" t="s">
        <v>58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</row>
    <row r="54" spans="1:39">
      <c r="A54" s="292"/>
      <c r="B54" s="314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</row>
    <row r="55" spans="1:39">
      <c r="A55" s="292"/>
      <c r="B55" s="314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</row>
    <row r="56" spans="1:39">
      <c r="A56" s="292"/>
      <c r="B56" s="314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</row>
    <row r="57" spans="1:39">
      <c r="A57" s="292"/>
      <c r="B57" s="314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</row>
    <row r="58" spans="1:39">
      <c r="A58" s="292"/>
      <c r="B58" s="314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</row>
    <row r="59" spans="1:39">
      <c r="A59" s="292"/>
      <c r="B59" s="314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</row>
    <row r="60" spans="1:39">
      <c r="A60" s="279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</row>
    <row r="61" spans="1:39">
      <c r="A61" s="19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2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</row>
    <row r="62" spans="1:39">
      <c r="A62" s="19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2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</row>
    <row r="63" spans="1:39">
      <c r="A63" s="200" t="s">
        <v>61</v>
      </c>
      <c r="B63" s="201"/>
      <c r="C63" s="323">
        <f>SUM(C54:C62)</f>
        <v>0</v>
      </c>
      <c r="D63" s="201">
        <f t="shared" ref="D63:AM63" si="3">SUM(D54:D62)</f>
        <v>0</v>
      </c>
      <c r="E63" s="201">
        <f t="shared" si="3"/>
        <v>0</v>
      </c>
      <c r="F63" s="201">
        <f t="shared" si="3"/>
        <v>0</v>
      </c>
      <c r="G63" s="201">
        <f t="shared" si="3"/>
        <v>0</v>
      </c>
      <c r="H63" s="201">
        <f t="shared" si="3"/>
        <v>0</v>
      </c>
      <c r="I63" s="201">
        <f t="shared" si="3"/>
        <v>0</v>
      </c>
      <c r="J63" s="201">
        <f t="shared" si="3"/>
        <v>0</v>
      </c>
      <c r="K63" s="201">
        <f t="shared" si="3"/>
        <v>0</v>
      </c>
      <c r="L63" s="201">
        <f t="shared" si="3"/>
        <v>0</v>
      </c>
      <c r="M63" s="201">
        <f t="shared" si="3"/>
        <v>0</v>
      </c>
      <c r="N63" s="201">
        <f t="shared" si="3"/>
        <v>0</v>
      </c>
      <c r="O63" s="201">
        <f t="shared" si="3"/>
        <v>0</v>
      </c>
      <c r="P63" s="201">
        <f t="shared" si="3"/>
        <v>0</v>
      </c>
      <c r="Q63" s="201">
        <f t="shared" si="3"/>
        <v>0</v>
      </c>
      <c r="R63" s="201">
        <f t="shared" si="3"/>
        <v>0</v>
      </c>
      <c r="S63" s="201">
        <f t="shared" si="3"/>
        <v>0</v>
      </c>
      <c r="T63" s="201">
        <f t="shared" si="3"/>
        <v>0</v>
      </c>
      <c r="U63" s="201">
        <f t="shared" si="3"/>
        <v>0</v>
      </c>
      <c r="V63" s="201">
        <f t="shared" si="3"/>
        <v>0</v>
      </c>
      <c r="W63" s="201">
        <f t="shared" si="3"/>
        <v>0</v>
      </c>
      <c r="X63" s="201">
        <f t="shared" si="3"/>
        <v>0</v>
      </c>
      <c r="Y63" s="201">
        <f t="shared" si="3"/>
        <v>0</v>
      </c>
      <c r="Z63" s="201">
        <f t="shared" si="3"/>
        <v>0</v>
      </c>
      <c r="AA63" s="201">
        <f t="shared" si="3"/>
        <v>0</v>
      </c>
      <c r="AB63" s="203">
        <f t="shared" si="3"/>
        <v>0</v>
      </c>
      <c r="AC63" s="203">
        <f t="shared" si="3"/>
        <v>0</v>
      </c>
      <c r="AD63" s="203">
        <f t="shared" si="3"/>
        <v>0</v>
      </c>
      <c r="AE63" s="203">
        <f t="shared" si="3"/>
        <v>0</v>
      </c>
      <c r="AF63" s="203">
        <f t="shared" si="3"/>
        <v>0</v>
      </c>
      <c r="AG63" s="203">
        <f t="shared" si="3"/>
        <v>0</v>
      </c>
      <c r="AH63" s="203">
        <f t="shared" si="3"/>
        <v>0</v>
      </c>
      <c r="AI63" s="203">
        <f t="shared" si="3"/>
        <v>0</v>
      </c>
      <c r="AJ63" s="203">
        <f t="shared" si="3"/>
        <v>0</v>
      </c>
      <c r="AK63" s="203">
        <f t="shared" si="3"/>
        <v>0</v>
      </c>
      <c r="AL63" s="203">
        <f t="shared" si="3"/>
        <v>0</v>
      </c>
      <c r="AM63" s="203">
        <f t="shared" si="3"/>
        <v>0</v>
      </c>
    </row>
    <row r="64" spans="1:39">
      <c r="A64" s="200" t="s">
        <v>62</v>
      </c>
      <c r="B64" s="201"/>
      <c r="C64" s="202">
        <f>D64+E64+L64</f>
        <v>0</v>
      </c>
      <c r="D64" s="201">
        <f>D63*4</f>
        <v>0</v>
      </c>
      <c r="E64" s="201">
        <f>E63*9</f>
        <v>0</v>
      </c>
      <c r="F64" s="201">
        <f>F63*9</f>
        <v>0</v>
      </c>
      <c r="G64" s="201">
        <f>G63*9</f>
        <v>0</v>
      </c>
      <c r="H64" s="201">
        <f>H63*9</f>
        <v>0</v>
      </c>
      <c r="I64" s="201"/>
      <c r="J64" s="201"/>
      <c r="K64" s="201"/>
      <c r="L64" s="201">
        <f>L63*4</f>
        <v>0</v>
      </c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3"/>
      <c r="AC64" s="277"/>
      <c r="AD64" s="277"/>
      <c r="AE64" s="277"/>
      <c r="AF64" s="277"/>
      <c r="AG64" s="277"/>
      <c r="AH64" s="277"/>
      <c r="AI64" s="277"/>
      <c r="AJ64" s="277"/>
      <c r="AK64" s="277"/>
      <c r="AL64" s="277"/>
      <c r="AM64" s="277"/>
    </row>
    <row r="65" spans="1:39">
      <c r="A65" s="322" t="s">
        <v>63</v>
      </c>
      <c r="B65" s="201"/>
      <c r="C65" s="201"/>
      <c r="D65" s="202" t="e">
        <f>D64/C64*100</f>
        <v>#DIV/0!</v>
      </c>
      <c r="E65" s="202" t="e">
        <f>E64/C64*100</f>
        <v>#DIV/0!</v>
      </c>
      <c r="F65" s="202" t="e">
        <f>F64/C64*100</f>
        <v>#DIV/0!</v>
      </c>
      <c r="G65" s="202" t="e">
        <f>G64/C64*100</f>
        <v>#DIV/0!</v>
      </c>
      <c r="H65" s="202" t="e">
        <f>H64/C64*100</f>
        <v>#DIV/0!</v>
      </c>
      <c r="I65" s="202"/>
      <c r="J65" s="202"/>
      <c r="K65" s="202"/>
      <c r="L65" s="202" t="e">
        <f>L64/C64*100</f>
        <v>#DIV/0!</v>
      </c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3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</row>
    <row r="66" spans="1:39" ht="13.5" thickBot="1">
      <c r="A66" s="189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</row>
    <row r="67" spans="1:39">
      <c r="A67" s="178" t="s">
        <v>59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</row>
    <row r="68" spans="1:39">
      <c r="A68" s="292"/>
      <c r="B68" s="314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</row>
    <row r="69" spans="1:39">
      <c r="A69" s="292"/>
      <c r="B69" s="314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</row>
    <row r="70" spans="1:39">
      <c r="A70" s="292"/>
      <c r="B70" s="314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</row>
    <row r="71" spans="1:39">
      <c r="A71" s="292"/>
      <c r="B71" s="314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</row>
    <row r="72" spans="1:39">
      <c r="A72" s="292"/>
      <c r="B72" s="314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</row>
    <row r="73" spans="1:39">
      <c r="A73" s="19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2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</row>
    <row r="74" spans="1:39">
      <c r="A74" s="19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2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</row>
    <row r="75" spans="1:39">
      <c r="A75" s="19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2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</row>
    <row r="76" spans="1:39">
      <c r="A76" s="188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2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</row>
    <row r="77" spans="1:39">
      <c r="A77" s="188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2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</row>
    <row r="78" spans="1:39">
      <c r="A78" s="19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2"/>
      <c r="AC78" s="18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</row>
    <row r="79" spans="1:39">
      <c r="A79" s="190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2"/>
      <c r="AC79" s="181"/>
      <c r="AD79" s="181"/>
      <c r="AE79" s="181"/>
      <c r="AF79" s="181"/>
      <c r="AG79" s="181"/>
      <c r="AH79" s="181"/>
      <c r="AI79" s="181"/>
      <c r="AJ79" s="181"/>
      <c r="AK79" s="181"/>
      <c r="AL79" s="181"/>
      <c r="AM79" s="181"/>
    </row>
    <row r="80" spans="1:39">
      <c r="A80" s="200" t="s">
        <v>61</v>
      </c>
      <c r="B80" s="201"/>
      <c r="C80" s="201">
        <f>SUM(C68:C79)</f>
        <v>0</v>
      </c>
      <c r="D80" s="201">
        <f t="shared" ref="D80:AM80" si="4">SUM(D68:D79)</f>
        <v>0</v>
      </c>
      <c r="E80" s="201">
        <f t="shared" si="4"/>
        <v>0</v>
      </c>
      <c r="F80" s="201">
        <f t="shared" si="4"/>
        <v>0</v>
      </c>
      <c r="G80" s="201">
        <f t="shared" si="4"/>
        <v>0</v>
      </c>
      <c r="H80" s="201">
        <f t="shared" si="4"/>
        <v>0</v>
      </c>
      <c r="I80" s="201">
        <f t="shared" si="4"/>
        <v>0</v>
      </c>
      <c r="J80" s="201">
        <f t="shared" si="4"/>
        <v>0</v>
      </c>
      <c r="K80" s="201">
        <f t="shared" si="4"/>
        <v>0</v>
      </c>
      <c r="L80" s="201">
        <f t="shared" si="4"/>
        <v>0</v>
      </c>
      <c r="M80" s="201">
        <f t="shared" si="4"/>
        <v>0</v>
      </c>
      <c r="N80" s="201">
        <f t="shared" si="4"/>
        <v>0</v>
      </c>
      <c r="O80" s="201">
        <f t="shared" si="4"/>
        <v>0</v>
      </c>
      <c r="P80" s="201">
        <f t="shared" si="4"/>
        <v>0</v>
      </c>
      <c r="Q80" s="201">
        <f t="shared" si="4"/>
        <v>0</v>
      </c>
      <c r="R80" s="201">
        <f t="shared" si="4"/>
        <v>0</v>
      </c>
      <c r="S80" s="201">
        <f t="shared" si="4"/>
        <v>0</v>
      </c>
      <c r="T80" s="201">
        <f t="shared" si="4"/>
        <v>0</v>
      </c>
      <c r="U80" s="201">
        <f t="shared" si="4"/>
        <v>0</v>
      </c>
      <c r="V80" s="201">
        <f t="shared" si="4"/>
        <v>0</v>
      </c>
      <c r="W80" s="201">
        <f t="shared" si="4"/>
        <v>0</v>
      </c>
      <c r="X80" s="201">
        <f t="shared" si="4"/>
        <v>0</v>
      </c>
      <c r="Y80" s="201">
        <f t="shared" si="4"/>
        <v>0</v>
      </c>
      <c r="Z80" s="201">
        <f t="shared" si="4"/>
        <v>0</v>
      </c>
      <c r="AA80" s="201">
        <f t="shared" si="4"/>
        <v>0</v>
      </c>
      <c r="AB80" s="201">
        <f t="shared" si="4"/>
        <v>0</v>
      </c>
      <c r="AC80" s="201">
        <f t="shared" si="4"/>
        <v>0</v>
      </c>
      <c r="AD80" s="201">
        <f t="shared" si="4"/>
        <v>0</v>
      </c>
      <c r="AE80" s="201">
        <f t="shared" si="4"/>
        <v>0</v>
      </c>
      <c r="AF80" s="201">
        <f t="shared" si="4"/>
        <v>0</v>
      </c>
      <c r="AG80" s="201">
        <f t="shared" si="4"/>
        <v>0</v>
      </c>
      <c r="AH80" s="201">
        <f t="shared" si="4"/>
        <v>0</v>
      </c>
      <c r="AI80" s="201">
        <f t="shared" si="4"/>
        <v>0</v>
      </c>
      <c r="AJ80" s="201">
        <f t="shared" si="4"/>
        <v>0</v>
      </c>
      <c r="AK80" s="201">
        <f t="shared" si="4"/>
        <v>0</v>
      </c>
      <c r="AL80" s="201">
        <f t="shared" si="4"/>
        <v>0</v>
      </c>
      <c r="AM80" s="201">
        <f t="shared" si="4"/>
        <v>0</v>
      </c>
    </row>
    <row r="81" spans="1:39">
      <c r="A81" s="200" t="s">
        <v>62</v>
      </c>
      <c r="B81" s="201"/>
      <c r="C81" s="202">
        <f>D81+E81+L81</f>
        <v>0</v>
      </c>
      <c r="D81" s="201">
        <f>D80*4</f>
        <v>0</v>
      </c>
      <c r="E81" s="201">
        <f>E80*9</f>
        <v>0</v>
      </c>
      <c r="F81" s="201">
        <f>F80*9</f>
        <v>0</v>
      </c>
      <c r="G81" s="201">
        <f>G80*9</f>
        <v>0</v>
      </c>
      <c r="H81" s="201">
        <f>H80*9</f>
        <v>0</v>
      </c>
      <c r="I81" s="201"/>
      <c r="J81" s="201"/>
      <c r="K81" s="201"/>
      <c r="L81" s="201">
        <f>L80*4</f>
        <v>0</v>
      </c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3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</row>
    <row r="82" spans="1:39">
      <c r="A82" s="322" t="s">
        <v>63</v>
      </c>
      <c r="B82" s="201"/>
      <c r="C82" s="201"/>
      <c r="D82" s="202" t="e">
        <f>D81/C81*100</f>
        <v>#DIV/0!</v>
      </c>
      <c r="E82" s="202" t="e">
        <f>E81/C81*100</f>
        <v>#DIV/0!</v>
      </c>
      <c r="F82" s="202" t="e">
        <f>F81/C81*100</f>
        <v>#DIV/0!</v>
      </c>
      <c r="G82" s="202" t="e">
        <f>G81/C81*100</f>
        <v>#DIV/0!</v>
      </c>
      <c r="H82" s="202" t="e">
        <f>H81/C81*100</f>
        <v>#DIV/0!</v>
      </c>
      <c r="I82" s="202"/>
      <c r="J82" s="202"/>
      <c r="K82" s="202"/>
      <c r="L82" s="202" t="e">
        <f>L81/C81*100</f>
        <v>#DIV/0!</v>
      </c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3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</row>
    <row r="83" spans="1:39" ht="13.5" thickBot="1">
      <c r="A83" s="189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</row>
    <row r="84" spans="1:39">
      <c r="A84" s="178" t="s">
        <v>60</v>
      </c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</row>
    <row r="85" spans="1:39">
      <c r="A85" s="292"/>
      <c r="B85" s="314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</row>
    <row r="86" spans="1:39">
      <c r="A86" s="292"/>
      <c r="B86" s="314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</row>
    <row r="87" spans="1:39">
      <c r="A87" s="292"/>
      <c r="B87" s="314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</row>
    <row r="88" spans="1:39">
      <c r="A88" s="292"/>
      <c r="B88" s="314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</row>
    <row r="89" spans="1:39">
      <c r="A89" s="188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</row>
    <row r="90" spans="1:39">
      <c r="A90" s="19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81"/>
      <c r="AL90" s="181"/>
      <c r="AM90" s="181"/>
    </row>
    <row r="91" spans="1:39">
      <c r="A91" s="19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81"/>
      <c r="AL91" s="181"/>
      <c r="AM91" s="181"/>
    </row>
    <row r="92" spans="1:39">
      <c r="A92" s="19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81"/>
      <c r="AL92" s="181"/>
      <c r="AM92" s="181"/>
    </row>
    <row r="93" spans="1:39">
      <c r="A93" s="200" t="s">
        <v>61</v>
      </c>
      <c r="B93" s="201"/>
      <c r="C93" s="201">
        <f>SUM(C85:C92)</f>
        <v>0</v>
      </c>
      <c r="D93" s="201">
        <f t="shared" ref="D93:AM93" si="5">SUM(D85:D92)</f>
        <v>0</v>
      </c>
      <c r="E93" s="201">
        <f t="shared" si="5"/>
        <v>0</v>
      </c>
      <c r="F93" s="201">
        <f t="shared" si="5"/>
        <v>0</v>
      </c>
      <c r="G93" s="201">
        <f t="shared" si="5"/>
        <v>0</v>
      </c>
      <c r="H93" s="201">
        <f t="shared" si="5"/>
        <v>0</v>
      </c>
      <c r="I93" s="201">
        <f t="shared" si="5"/>
        <v>0</v>
      </c>
      <c r="J93" s="201">
        <f t="shared" si="5"/>
        <v>0</v>
      </c>
      <c r="K93" s="201">
        <f t="shared" si="5"/>
        <v>0</v>
      </c>
      <c r="L93" s="201">
        <f t="shared" si="5"/>
        <v>0</v>
      </c>
      <c r="M93" s="201">
        <f t="shared" si="5"/>
        <v>0</v>
      </c>
      <c r="N93" s="201">
        <f t="shared" si="5"/>
        <v>0</v>
      </c>
      <c r="O93" s="201">
        <f t="shared" si="5"/>
        <v>0</v>
      </c>
      <c r="P93" s="201">
        <f t="shared" si="5"/>
        <v>0</v>
      </c>
      <c r="Q93" s="201">
        <f t="shared" si="5"/>
        <v>0</v>
      </c>
      <c r="R93" s="201">
        <f t="shared" si="5"/>
        <v>0</v>
      </c>
      <c r="S93" s="201">
        <f t="shared" si="5"/>
        <v>0</v>
      </c>
      <c r="T93" s="201">
        <f t="shared" si="5"/>
        <v>0</v>
      </c>
      <c r="U93" s="201">
        <f t="shared" si="5"/>
        <v>0</v>
      </c>
      <c r="V93" s="201">
        <f t="shared" si="5"/>
        <v>0</v>
      </c>
      <c r="W93" s="201">
        <f t="shared" si="5"/>
        <v>0</v>
      </c>
      <c r="X93" s="201">
        <f t="shared" si="5"/>
        <v>0</v>
      </c>
      <c r="Y93" s="201">
        <f t="shared" si="5"/>
        <v>0</v>
      </c>
      <c r="Z93" s="201">
        <f t="shared" si="5"/>
        <v>0</v>
      </c>
      <c r="AA93" s="201">
        <f t="shared" si="5"/>
        <v>0</v>
      </c>
      <c r="AB93" s="201">
        <f t="shared" si="5"/>
        <v>0</v>
      </c>
      <c r="AC93" s="201">
        <f t="shared" si="5"/>
        <v>0</v>
      </c>
      <c r="AD93" s="201">
        <f t="shared" si="5"/>
        <v>0</v>
      </c>
      <c r="AE93" s="201">
        <f t="shared" si="5"/>
        <v>0</v>
      </c>
      <c r="AF93" s="201">
        <f t="shared" si="5"/>
        <v>0</v>
      </c>
      <c r="AG93" s="201">
        <f t="shared" si="5"/>
        <v>0</v>
      </c>
      <c r="AH93" s="201">
        <f t="shared" si="5"/>
        <v>0</v>
      </c>
      <c r="AI93" s="201">
        <f t="shared" si="5"/>
        <v>0</v>
      </c>
      <c r="AJ93" s="201">
        <f t="shared" si="5"/>
        <v>0</v>
      </c>
      <c r="AK93" s="201">
        <f t="shared" si="5"/>
        <v>0</v>
      </c>
      <c r="AL93" s="201">
        <f t="shared" si="5"/>
        <v>0</v>
      </c>
      <c r="AM93" s="201">
        <f t="shared" si="5"/>
        <v>0</v>
      </c>
    </row>
    <row r="94" spans="1:39">
      <c r="A94" s="200" t="s">
        <v>62</v>
      </c>
      <c r="B94" s="201"/>
      <c r="C94" s="202">
        <f>D94+E94+L94</f>
        <v>0</v>
      </c>
      <c r="D94" s="201">
        <f>D93*4</f>
        <v>0</v>
      </c>
      <c r="E94" s="201">
        <f>E93*9</f>
        <v>0</v>
      </c>
      <c r="F94" s="201">
        <f>F93*9</f>
        <v>0</v>
      </c>
      <c r="G94" s="201">
        <f>G93*9</f>
        <v>0</v>
      </c>
      <c r="H94" s="201">
        <f>H93*9</f>
        <v>0</v>
      </c>
      <c r="I94" s="201"/>
      <c r="J94" s="201"/>
      <c r="K94" s="201"/>
      <c r="L94" s="201">
        <f>L93*4</f>
        <v>0</v>
      </c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3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</row>
    <row r="95" spans="1:39">
      <c r="A95" s="322" t="s">
        <v>63</v>
      </c>
      <c r="B95" s="201"/>
      <c r="C95" s="201"/>
      <c r="D95" s="202" t="e">
        <f>D94/C94*100</f>
        <v>#DIV/0!</v>
      </c>
      <c r="E95" s="202" t="e">
        <f>E94/C94*100</f>
        <v>#DIV/0!</v>
      </c>
      <c r="F95" s="202" t="e">
        <f>F94/C94*100</f>
        <v>#DIV/0!</v>
      </c>
      <c r="G95" s="202" t="e">
        <f>G94/C94*100</f>
        <v>#DIV/0!</v>
      </c>
      <c r="H95" s="202" t="e">
        <f>H94/C94*100</f>
        <v>#DIV/0!</v>
      </c>
      <c r="I95" s="202"/>
      <c r="J95" s="202"/>
      <c r="K95" s="202"/>
      <c r="L95" s="202" t="e">
        <f>L94/C94*100</f>
        <v>#DIV/0!</v>
      </c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3"/>
      <c r="AC95" s="277"/>
      <c r="AD95" s="277"/>
      <c r="AE95" s="277"/>
      <c r="AF95" s="277"/>
      <c r="AG95" s="277"/>
      <c r="AH95" s="277"/>
      <c r="AI95" s="277"/>
      <c r="AJ95" s="277"/>
      <c r="AK95" s="277"/>
      <c r="AL95" s="277"/>
      <c r="AM95" s="277"/>
    </row>
    <row r="96" spans="1:39" ht="13.5" thickBot="1">
      <c r="A96" s="189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</row>
    <row r="97" spans="1:39" ht="13.5" thickBot="1">
      <c r="A97" s="291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</row>
    <row r="98" spans="1:39" ht="46.5">
      <c r="A98" s="192"/>
      <c r="B98" s="193"/>
      <c r="C98" s="194" t="s">
        <v>2</v>
      </c>
      <c r="D98" s="194" t="s">
        <v>3</v>
      </c>
      <c r="E98" s="194" t="s">
        <v>4</v>
      </c>
      <c r="F98" s="194" t="s">
        <v>49</v>
      </c>
      <c r="G98" s="194" t="s">
        <v>50</v>
      </c>
      <c r="H98" s="194" t="s">
        <v>51</v>
      </c>
      <c r="I98" s="194" t="s">
        <v>52</v>
      </c>
      <c r="J98" s="194" t="s">
        <v>53</v>
      </c>
      <c r="K98" s="194" t="s">
        <v>5</v>
      </c>
      <c r="L98" s="194" t="s">
        <v>6</v>
      </c>
      <c r="M98" s="194" t="s">
        <v>7</v>
      </c>
      <c r="N98" s="194" t="s">
        <v>8</v>
      </c>
      <c r="O98" s="194" t="s">
        <v>9</v>
      </c>
      <c r="P98" s="194" t="s">
        <v>10</v>
      </c>
      <c r="Q98" s="194" t="s">
        <v>11</v>
      </c>
      <c r="R98" s="194" t="s">
        <v>12</v>
      </c>
      <c r="S98" s="194" t="s">
        <v>13</v>
      </c>
      <c r="T98" s="194" t="s">
        <v>14</v>
      </c>
      <c r="U98" s="194" t="s">
        <v>15</v>
      </c>
      <c r="V98" s="194" t="s">
        <v>16</v>
      </c>
      <c r="W98" s="194" t="s">
        <v>17</v>
      </c>
      <c r="X98" s="194" t="s">
        <v>18</v>
      </c>
      <c r="Y98" s="194" t="s">
        <v>19</v>
      </c>
      <c r="Z98" s="194" t="s">
        <v>20</v>
      </c>
      <c r="AA98" s="194" t="s">
        <v>21</v>
      </c>
      <c r="AB98" s="195" t="s">
        <v>22</v>
      </c>
      <c r="AC98" s="321" t="s">
        <v>3036</v>
      </c>
      <c r="AD98" s="321" t="s">
        <v>3037</v>
      </c>
      <c r="AE98" s="321" t="s">
        <v>3038</v>
      </c>
      <c r="AF98" s="321" t="s">
        <v>3039</v>
      </c>
      <c r="AG98" s="321" t="s">
        <v>3040</v>
      </c>
      <c r="AH98" s="321" t="s">
        <v>3041</v>
      </c>
      <c r="AI98" s="321" t="s">
        <v>3042</v>
      </c>
      <c r="AJ98" s="321" t="s">
        <v>3043</v>
      </c>
      <c r="AK98" s="321" t="s">
        <v>3044</v>
      </c>
      <c r="AL98" s="321" t="s">
        <v>3045</v>
      </c>
      <c r="AM98" s="321" t="s">
        <v>3046</v>
      </c>
    </row>
    <row r="99" spans="1:39">
      <c r="A99" s="196" t="s">
        <v>64</v>
      </c>
      <c r="B99" s="197"/>
      <c r="C99" s="198">
        <f>C18+C31+C50+C64+C81+C94</f>
        <v>0</v>
      </c>
      <c r="D99" s="197">
        <f t="shared" ref="D99:AM99" si="6">D17+D30+D49+D63+D80+D93</f>
        <v>0</v>
      </c>
      <c r="E99" s="197">
        <f t="shared" si="6"/>
        <v>0</v>
      </c>
      <c r="F99" s="197">
        <f t="shared" si="6"/>
        <v>0</v>
      </c>
      <c r="G99" s="197">
        <f t="shared" si="6"/>
        <v>0</v>
      </c>
      <c r="H99" s="197">
        <f t="shared" si="6"/>
        <v>0</v>
      </c>
      <c r="I99" s="197">
        <f t="shared" si="6"/>
        <v>0</v>
      </c>
      <c r="J99" s="197">
        <f t="shared" si="6"/>
        <v>0</v>
      </c>
      <c r="K99" s="197">
        <f t="shared" si="6"/>
        <v>0</v>
      </c>
      <c r="L99" s="197">
        <f t="shared" si="6"/>
        <v>0</v>
      </c>
      <c r="M99" s="197">
        <f t="shared" si="6"/>
        <v>0</v>
      </c>
      <c r="N99" s="197">
        <f t="shared" si="6"/>
        <v>0</v>
      </c>
      <c r="O99" s="197">
        <f t="shared" si="6"/>
        <v>0</v>
      </c>
      <c r="P99" s="197">
        <f t="shared" si="6"/>
        <v>0</v>
      </c>
      <c r="Q99" s="197">
        <f t="shared" si="6"/>
        <v>0</v>
      </c>
      <c r="R99" s="197">
        <f t="shared" si="6"/>
        <v>0</v>
      </c>
      <c r="S99" s="197">
        <f t="shared" si="6"/>
        <v>0</v>
      </c>
      <c r="T99" s="197">
        <f t="shared" si="6"/>
        <v>0</v>
      </c>
      <c r="U99" s="197">
        <f t="shared" si="6"/>
        <v>0</v>
      </c>
      <c r="V99" s="197">
        <f t="shared" si="6"/>
        <v>0</v>
      </c>
      <c r="W99" s="197">
        <f t="shared" si="6"/>
        <v>0</v>
      </c>
      <c r="X99" s="197">
        <f t="shared" si="6"/>
        <v>0</v>
      </c>
      <c r="Y99" s="197">
        <f t="shared" si="6"/>
        <v>0</v>
      </c>
      <c r="Z99" s="197">
        <f t="shared" si="6"/>
        <v>0</v>
      </c>
      <c r="AA99" s="197">
        <f t="shared" si="6"/>
        <v>0</v>
      </c>
      <c r="AB99" s="199">
        <f t="shared" si="6"/>
        <v>0</v>
      </c>
      <c r="AC99" s="199">
        <f t="shared" si="6"/>
        <v>0</v>
      </c>
      <c r="AD99" s="199">
        <f t="shared" si="6"/>
        <v>0</v>
      </c>
      <c r="AE99" s="199">
        <f t="shared" si="6"/>
        <v>0</v>
      </c>
      <c r="AF99" s="199">
        <f t="shared" si="6"/>
        <v>0</v>
      </c>
      <c r="AG99" s="199">
        <f t="shared" si="6"/>
        <v>0</v>
      </c>
      <c r="AH99" s="199">
        <f t="shared" si="6"/>
        <v>0</v>
      </c>
      <c r="AI99" s="199">
        <f t="shared" si="6"/>
        <v>0</v>
      </c>
      <c r="AJ99" s="199">
        <f t="shared" si="6"/>
        <v>0</v>
      </c>
      <c r="AK99" s="199">
        <f t="shared" si="6"/>
        <v>0</v>
      </c>
      <c r="AL99" s="199">
        <f t="shared" si="6"/>
        <v>0</v>
      </c>
      <c r="AM99" s="199">
        <f t="shared" si="6"/>
        <v>0</v>
      </c>
    </row>
    <row r="100" spans="1:39">
      <c r="A100" s="200" t="s">
        <v>65</v>
      </c>
      <c r="B100" s="201"/>
      <c r="C100" s="201"/>
      <c r="D100" s="202" t="e">
        <f>D99*4/C99*100</f>
        <v>#DIV/0!</v>
      </c>
      <c r="E100" s="202" t="e">
        <f>E99*9/C99*100</f>
        <v>#DIV/0!</v>
      </c>
      <c r="F100" s="202" t="e">
        <f>F99*9/C99*100</f>
        <v>#DIV/0!</v>
      </c>
      <c r="G100" s="202" t="e">
        <f>G99*9/C99*100</f>
        <v>#DIV/0!</v>
      </c>
      <c r="H100" s="202" t="e">
        <f>H99*9/C99*100</f>
        <v>#DIV/0!</v>
      </c>
      <c r="I100" s="202"/>
      <c r="J100" s="202"/>
      <c r="K100" s="202"/>
      <c r="L100" s="202" t="e">
        <f>L99*4/C99*100</f>
        <v>#DIV/0!</v>
      </c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3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</row>
    <row r="101" spans="1:39" ht="13.5" thickBot="1">
      <c r="A101" s="204" t="s">
        <v>956</v>
      </c>
      <c r="B101" s="205"/>
      <c r="C101" s="205"/>
      <c r="D101" s="206" t="e">
        <f>D99/B2</f>
        <v>#DIV/0!</v>
      </c>
      <c r="E101" s="206" t="e">
        <f>E99/B2</f>
        <v>#DIV/0!</v>
      </c>
      <c r="F101" s="206" t="e">
        <f>F99/B2</f>
        <v>#DIV/0!</v>
      </c>
      <c r="G101" s="206" t="e">
        <f>G99/B2</f>
        <v>#DIV/0!</v>
      </c>
      <c r="H101" s="206" t="e">
        <f>H99/B2</f>
        <v>#DIV/0!</v>
      </c>
      <c r="I101" s="206" t="e">
        <f>I99/B2</f>
        <v>#DIV/0!</v>
      </c>
      <c r="J101" s="206" t="e">
        <f>J99/B2</f>
        <v>#DIV/0!</v>
      </c>
      <c r="K101" s="206" t="e">
        <f>K99/B2</f>
        <v>#DIV/0!</v>
      </c>
      <c r="L101" s="206" t="e">
        <f>L99/B2</f>
        <v>#DIV/0!</v>
      </c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6" t="e">
        <f>X99/B2</f>
        <v>#DIV/0!</v>
      </c>
      <c r="Y101" s="206" t="e">
        <f>Y99/B2</f>
        <v>#DIV/0!</v>
      </c>
      <c r="Z101" s="206" t="e">
        <f>Z99/B2</f>
        <v>#DIV/0!</v>
      </c>
      <c r="AA101" s="206" t="e">
        <f>AA99/B2</f>
        <v>#DIV/0!</v>
      </c>
      <c r="AB101" s="20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</row>
    <row r="102" spans="1:39" ht="13.5" thickBot="1">
      <c r="A102" s="315"/>
      <c r="B102" s="316"/>
      <c r="C102" s="316"/>
      <c r="D102" s="317"/>
      <c r="E102" s="317"/>
      <c r="F102" s="317"/>
      <c r="G102" s="317"/>
      <c r="H102" s="317"/>
      <c r="I102" s="317"/>
      <c r="J102" s="317"/>
      <c r="K102" s="317"/>
      <c r="L102" s="317"/>
      <c r="M102" s="316"/>
      <c r="N102" s="316"/>
      <c r="O102" s="316"/>
      <c r="P102" s="316"/>
      <c r="Q102" s="316"/>
      <c r="R102" s="316"/>
      <c r="S102" s="316"/>
      <c r="T102" s="316"/>
      <c r="U102" s="316"/>
      <c r="V102" s="316"/>
      <c r="W102" s="316"/>
      <c r="X102" s="317"/>
      <c r="Y102" s="317"/>
      <c r="Z102" s="317"/>
      <c r="AA102" s="317"/>
      <c r="AB102" s="31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</row>
    <row r="103" spans="1:39">
      <c r="A103" s="208" t="s">
        <v>968</v>
      </c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324"/>
      <c r="AD103" s="324"/>
      <c r="AE103" s="324"/>
      <c r="AF103" s="324"/>
      <c r="AG103" s="324"/>
      <c r="AH103" s="324"/>
      <c r="AI103" s="324"/>
      <c r="AJ103" s="324"/>
      <c r="AK103" s="324"/>
      <c r="AL103" s="324"/>
      <c r="AM103" s="324"/>
    </row>
    <row r="104" spans="1:39" ht="13.5" thickBot="1">
      <c r="A104" s="325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325"/>
      <c r="AD104" s="325"/>
      <c r="AE104" s="325"/>
      <c r="AF104" s="325"/>
      <c r="AG104" s="325"/>
      <c r="AH104" s="325"/>
      <c r="AI104" s="325"/>
      <c r="AJ104" s="325"/>
      <c r="AK104" s="325"/>
      <c r="AL104" s="325"/>
      <c r="AM104" s="325"/>
    </row>
    <row r="105" spans="1:39" ht="46.5">
      <c r="A105" s="211" t="s">
        <v>3051</v>
      </c>
      <c r="B105" s="212"/>
      <c r="C105" s="213" t="s">
        <v>2</v>
      </c>
      <c r="D105" s="213" t="s">
        <v>3</v>
      </c>
      <c r="E105" s="213" t="s">
        <v>4</v>
      </c>
      <c r="F105" s="213" t="s">
        <v>49</v>
      </c>
      <c r="G105" s="213" t="s">
        <v>50</v>
      </c>
      <c r="H105" s="213" t="s">
        <v>51</v>
      </c>
      <c r="I105" s="213" t="s">
        <v>52</v>
      </c>
      <c r="J105" s="213" t="s">
        <v>53</v>
      </c>
      <c r="K105" s="213" t="s">
        <v>5</v>
      </c>
      <c r="L105" s="213" t="s">
        <v>6</v>
      </c>
      <c r="M105" s="213" t="s">
        <v>7</v>
      </c>
      <c r="N105" s="213" t="s">
        <v>8</v>
      </c>
      <c r="O105" s="213" t="s">
        <v>9</v>
      </c>
      <c r="P105" s="213" t="s">
        <v>10</v>
      </c>
      <c r="Q105" s="213" t="s">
        <v>11</v>
      </c>
      <c r="R105" s="213" t="s">
        <v>12</v>
      </c>
      <c r="S105" s="213" t="s">
        <v>13</v>
      </c>
      <c r="T105" s="213" t="s">
        <v>14</v>
      </c>
      <c r="U105" s="213" t="s">
        <v>15</v>
      </c>
      <c r="V105" s="213" t="s">
        <v>16</v>
      </c>
      <c r="W105" s="213" t="s">
        <v>17</v>
      </c>
      <c r="X105" s="213" t="s">
        <v>18</v>
      </c>
      <c r="Y105" s="213" t="s">
        <v>19</v>
      </c>
      <c r="Z105" s="213" t="s">
        <v>20</v>
      </c>
      <c r="AA105" s="213" t="s">
        <v>21</v>
      </c>
      <c r="AB105" s="214" t="s">
        <v>22</v>
      </c>
      <c r="AC105" s="326" t="s">
        <v>3036</v>
      </c>
      <c r="AD105" s="326" t="s">
        <v>3037</v>
      </c>
      <c r="AE105" s="326" t="s">
        <v>3038</v>
      </c>
      <c r="AF105" s="326" t="s">
        <v>3039</v>
      </c>
      <c r="AG105" s="326" t="s">
        <v>3040</v>
      </c>
      <c r="AH105" s="326" t="s">
        <v>3041</v>
      </c>
      <c r="AI105" s="326" t="s">
        <v>3042</v>
      </c>
      <c r="AJ105" s="326" t="s">
        <v>3043</v>
      </c>
      <c r="AK105" s="326" t="s">
        <v>3044</v>
      </c>
      <c r="AL105" s="326" t="s">
        <v>3045</v>
      </c>
      <c r="AM105" s="326" t="s">
        <v>3046</v>
      </c>
    </row>
    <row r="106" spans="1:39">
      <c r="A106" s="215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</row>
    <row r="107" spans="1:39">
      <c r="A107" s="166" t="s">
        <v>966</v>
      </c>
      <c r="B107" s="173"/>
      <c r="C107" s="173"/>
      <c r="D107" s="173">
        <v>0.88</v>
      </c>
      <c r="E107" s="173"/>
      <c r="F107" s="173"/>
      <c r="G107" s="173"/>
      <c r="H107" s="173"/>
      <c r="I107" s="173"/>
      <c r="J107" s="173"/>
      <c r="K107" s="173"/>
      <c r="L107" s="173">
        <v>135</v>
      </c>
      <c r="M107" s="173"/>
      <c r="N107" s="173">
        <v>1000</v>
      </c>
      <c r="O107" s="173">
        <v>335</v>
      </c>
      <c r="P107" s="173"/>
      <c r="Q107" s="173">
        <v>1055</v>
      </c>
      <c r="R107" s="173">
        <v>23</v>
      </c>
      <c r="S107" s="173"/>
      <c r="T107" s="173"/>
      <c r="U107" s="173">
        <v>0.78500000000000003</v>
      </c>
      <c r="V107" s="173">
        <v>10.5</v>
      </c>
      <c r="W107" s="173"/>
      <c r="X107" s="173">
        <v>1.2</v>
      </c>
      <c r="Y107" s="173">
        <v>1.2</v>
      </c>
      <c r="Z107" s="173">
        <v>1.6</v>
      </c>
      <c r="AA107" s="173">
        <v>14</v>
      </c>
      <c r="AB107" s="173">
        <v>66</v>
      </c>
      <c r="AC107" s="173"/>
      <c r="AD107" s="173">
        <v>2.2000000000000002</v>
      </c>
      <c r="AE107" s="173"/>
      <c r="AF107" s="173">
        <v>10</v>
      </c>
      <c r="AG107" s="173">
        <v>12</v>
      </c>
      <c r="AH107" s="173"/>
      <c r="AI107" s="173"/>
      <c r="AJ107" s="173">
        <v>49</v>
      </c>
      <c r="AK107" s="173">
        <v>530</v>
      </c>
      <c r="AL107" s="173"/>
      <c r="AM107" s="173"/>
    </row>
    <row r="108" spans="1:39">
      <c r="A108" s="166" t="s">
        <v>68</v>
      </c>
      <c r="B108" s="173"/>
      <c r="C108" s="173"/>
      <c r="D108" s="173">
        <v>0.88</v>
      </c>
      <c r="E108" s="173"/>
      <c r="F108" s="173"/>
      <c r="G108" s="173"/>
      <c r="H108" s="173"/>
      <c r="I108" s="173"/>
      <c r="J108" s="173"/>
      <c r="K108" s="173"/>
      <c r="L108" s="173">
        <v>135</v>
      </c>
      <c r="M108" s="173"/>
      <c r="N108" s="173">
        <v>800</v>
      </c>
      <c r="O108" s="173">
        <v>290</v>
      </c>
      <c r="P108" s="173"/>
      <c r="Q108" s="173">
        <v>580</v>
      </c>
      <c r="R108" s="173">
        <v>22</v>
      </c>
      <c r="S108" s="173"/>
      <c r="T108" s="173"/>
      <c r="U108" s="173">
        <v>0.8</v>
      </c>
      <c r="V108" s="173">
        <v>9.5</v>
      </c>
      <c r="W108" s="173"/>
      <c r="X108" s="173">
        <v>1.2</v>
      </c>
      <c r="Y108" s="173">
        <v>1.2</v>
      </c>
      <c r="Z108" s="173">
        <v>1.6</v>
      </c>
      <c r="AA108" s="173">
        <v>14</v>
      </c>
      <c r="AB108" s="173">
        <v>70</v>
      </c>
      <c r="AC108" s="173"/>
      <c r="AD108" s="173">
        <v>2.2000000000000002</v>
      </c>
      <c r="AE108" s="173"/>
      <c r="AF108" s="173">
        <v>10</v>
      </c>
      <c r="AG108" s="173">
        <v>12</v>
      </c>
      <c r="AH108" s="173"/>
      <c r="AI108" s="173"/>
      <c r="AJ108" s="173">
        <v>49</v>
      </c>
      <c r="AK108" s="173">
        <v>550</v>
      </c>
      <c r="AL108" s="173"/>
      <c r="AM108" s="173"/>
    </row>
    <row r="109" spans="1:39">
      <c r="A109" s="166" t="s">
        <v>69</v>
      </c>
      <c r="B109" s="173"/>
      <c r="C109" s="173"/>
      <c r="D109" s="173">
        <v>0.88</v>
      </c>
      <c r="E109" s="173"/>
      <c r="F109" s="173"/>
      <c r="G109" s="173"/>
      <c r="H109" s="173"/>
      <c r="I109" s="173"/>
      <c r="J109" s="173"/>
      <c r="K109" s="173"/>
      <c r="L109" s="173">
        <v>135</v>
      </c>
      <c r="M109" s="173"/>
      <c r="N109" s="173">
        <v>800</v>
      </c>
      <c r="O109" s="173">
        <v>300</v>
      </c>
      <c r="P109" s="173"/>
      <c r="Q109" s="173">
        <v>580</v>
      </c>
      <c r="R109" s="173">
        <v>22</v>
      </c>
      <c r="S109" s="173"/>
      <c r="T109" s="173"/>
      <c r="U109" s="173">
        <v>0.8</v>
      </c>
      <c r="V109" s="173">
        <v>9.5</v>
      </c>
      <c r="W109" s="173"/>
      <c r="X109" s="173">
        <v>1.2</v>
      </c>
      <c r="Y109" s="173">
        <v>1.2</v>
      </c>
      <c r="Z109" s="173">
        <v>1.6</v>
      </c>
      <c r="AA109" s="173">
        <v>14</v>
      </c>
      <c r="AB109" s="173">
        <v>70</v>
      </c>
      <c r="AC109" s="173"/>
      <c r="AD109" s="173">
        <v>2.2000000000000002</v>
      </c>
      <c r="AE109" s="173"/>
      <c r="AF109" s="173">
        <v>10</v>
      </c>
      <c r="AG109" s="173">
        <v>12</v>
      </c>
      <c r="AH109" s="173"/>
      <c r="AI109" s="173"/>
      <c r="AJ109" s="173">
        <v>49</v>
      </c>
      <c r="AK109" s="173">
        <v>550</v>
      </c>
      <c r="AL109" s="173"/>
      <c r="AM109" s="173"/>
    </row>
    <row r="110" spans="1:39">
      <c r="A110" s="167" t="s">
        <v>967</v>
      </c>
      <c r="B110" s="174"/>
      <c r="C110" s="174"/>
      <c r="D110" s="174">
        <v>1.05</v>
      </c>
      <c r="E110" s="174"/>
      <c r="F110" s="174"/>
      <c r="G110" s="174"/>
      <c r="H110" s="174"/>
      <c r="I110" s="174"/>
      <c r="J110" s="174"/>
      <c r="K110" s="174"/>
      <c r="L110" s="174">
        <v>160</v>
      </c>
      <c r="M110" s="174"/>
      <c r="N110" s="174">
        <v>1000</v>
      </c>
      <c r="O110" s="174">
        <v>300</v>
      </c>
      <c r="P110" s="174"/>
      <c r="Q110" s="174">
        <v>1055</v>
      </c>
      <c r="R110" s="174">
        <v>7</v>
      </c>
      <c r="S110" s="174"/>
      <c r="T110" s="174"/>
      <c r="U110" s="174">
        <v>0.98499999999999999</v>
      </c>
      <c r="V110" s="174">
        <v>10.9</v>
      </c>
      <c r="W110" s="174"/>
      <c r="X110" s="174">
        <v>1.2</v>
      </c>
      <c r="Y110" s="174">
        <v>1.3</v>
      </c>
      <c r="Z110" s="174">
        <v>1.7</v>
      </c>
      <c r="AA110" s="174">
        <v>13</v>
      </c>
      <c r="AB110" s="174">
        <v>96</v>
      </c>
      <c r="AC110" s="174"/>
      <c r="AD110" s="174">
        <v>2.4</v>
      </c>
      <c r="AE110" s="174"/>
      <c r="AF110" s="174">
        <v>10</v>
      </c>
      <c r="AG110" s="174">
        <v>16</v>
      </c>
      <c r="AH110" s="174"/>
      <c r="AI110" s="174"/>
      <c r="AJ110" s="174">
        <v>59</v>
      </c>
      <c r="AK110" s="174">
        <v>885</v>
      </c>
      <c r="AL110" s="174"/>
      <c r="AM110" s="174"/>
    </row>
    <row r="111" spans="1:39">
      <c r="A111" s="167" t="s">
        <v>70</v>
      </c>
      <c r="B111" s="174"/>
      <c r="C111" s="174"/>
      <c r="D111" s="174">
        <v>1.05</v>
      </c>
      <c r="E111" s="174"/>
      <c r="F111" s="174"/>
      <c r="G111" s="174"/>
      <c r="H111" s="174"/>
      <c r="I111" s="174"/>
      <c r="J111" s="174"/>
      <c r="K111" s="174"/>
      <c r="L111" s="174">
        <v>160</v>
      </c>
      <c r="M111" s="174"/>
      <c r="N111" s="174">
        <v>800</v>
      </c>
      <c r="O111" s="174">
        <v>255</v>
      </c>
      <c r="P111" s="174"/>
      <c r="Q111" s="174">
        <v>580</v>
      </c>
      <c r="R111" s="174">
        <v>6.5</v>
      </c>
      <c r="S111" s="174"/>
      <c r="T111" s="174"/>
      <c r="U111" s="174">
        <v>1</v>
      </c>
      <c r="V111" s="174">
        <v>10.4</v>
      </c>
      <c r="W111" s="174"/>
      <c r="X111" s="174">
        <v>1.2</v>
      </c>
      <c r="Y111" s="174">
        <v>1.3</v>
      </c>
      <c r="Z111" s="174">
        <v>1.7</v>
      </c>
      <c r="AA111" s="174">
        <v>13</v>
      </c>
      <c r="AB111" s="174">
        <v>100</v>
      </c>
      <c r="AC111" s="174"/>
      <c r="AD111" s="174">
        <v>2.4</v>
      </c>
      <c r="AE111" s="174"/>
      <c r="AF111" s="174">
        <v>10</v>
      </c>
      <c r="AG111" s="174">
        <v>16</v>
      </c>
      <c r="AH111" s="174"/>
      <c r="AI111" s="174"/>
      <c r="AJ111" s="174">
        <v>59</v>
      </c>
      <c r="AK111" s="174">
        <v>900</v>
      </c>
      <c r="AL111" s="174"/>
      <c r="AM111" s="174"/>
    </row>
    <row r="112" spans="1:39">
      <c r="A112" s="167" t="s">
        <v>71</v>
      </c>
      <c r="B112" s="174"/>
      <c r="C112" s="174"/>
      <c r="D112" s="174">
        <v>1.05</v>
      </c>
      <c r="E112" s="174"/>
      <c r="F112" s="174"/>
      <c r="G112" s="174"/>
      <c r="H112" s="174"/>
      <c r="I112" s="174"/>
      <c r="J112" s="174"/>
      <c r="K112" s="174"/>
      <c r="L112" s="174">
        <v>160</v>
      </c>
      <c r="M112" s="174"/>
      <c r="N112" s="174">
        <v>800</v>
      </c>
      <c r="O112" s="174">
        <v>265</v>
      </c>
      <c r="P112" s="174"/>
      <c r="Q112" s="174">
        <v>580</v>
      </c>
      <c r="R112" s="174">
        <v>6.5</v>
      </c>
      <c r="S112" s="174"/>
      <c r="T112" s="174"/>
      <c r="U112" s="174">
        <v>1</v>
      </c>
      <c r="V112" s="174">
        <v>10.4</v>
      </c>
      <c r="W112" s="174"/>
      <c r="X112" s="174">
        <v>1.2</v>
      </c>
      <c r="Y112" s="174">
        <v>1.3</v>
      </c>
      <c r="Z112" s="174">
        <v>1.7</v>
      </c>
      <c r="AA112" s="174">
        <v>13</v>
      </c>
      <c r="AB112" s="174">
        <v>100</v>
      </c>
      <c r="AC112" s="174"/>
      <c r="AD112" s="174">
        <v>2.4</v>
      </c>
      <c r="AE112" s="174"/>
      <c r="AF112" s="174">
        <v>10</v>
      </c>
      <c r="AG112" s="174">
        <v>16</v>
      </c>
      <c r="AH112" s="174"/>
      <c r="AI112" s="174"/>
      <c r="AJ112" s="174">
        <v>59</v>
      </c>
      <c r="AK112" s="174">
        <v>900</v>
      </c>
      <c r="AL112" s="174"/>
      <c r="AM112" s="174"/>
    </row>
    <row r="113" spans="1:39">
      <c r="A113" s="168" t="s">
        <v>72</v>
      </c>
      <c r="B113" s="169"/>
      <c r="C113" s="169"/>
      <c r="D113" s="169" t="s">
        <v>400</v>
      </c>
      <c r="E113" s="169"/>
      <c r="F113" s="169"/>
      <c r="G113" s="169"/>
      <c r="H113" s="169"/>
      <c r="I113" s="169"/>
      <c r="J113" s="169"/>
      <c r="K113" s="169"/>
      <c r="L113" s="169" t="s">
        <v>400</v>
      </c>
      <c r="M113" s="169"/>
      <c r="N113" s="169" t="s">
        <v>400</v>
      </c>
      <c r="O113" s="169" t="s">
        <v>400</v>
      </c>
      <c r="P113" s="169"/>
      <c r="Q113" s="169" t="s">
        <v>400</v>
      </c>
      <c r="R113" s="169" t="s">
        <v>400</v>
      </c>
      <c r="S113" s="169"/>
      <c r="T113" s="169"/>
      <c r="U113" s="169" t="s">
        <v>400</v>
      </c>
      <c r="V113" s="169" t="s">
        <v>400</v>
      </c>
      <c r="W113" s="169"/>
      <c r="X113" s="169" t="s">
        <v>400</v>
      </c>
      <c r="Y113" s="169" t="s">
        <v>400</v>
      </c>
      <c r="Z113" s="169" t="s">
        <v>400</v>
      </c>
      <c r="AA113" s="169" t="s">
        <v>400</v>
      </c>
      <c r="AB113" s="169" t="s">
        <v>400</v>
      </c>
      <c r="AC113" s="169"/>
      <c r="AD113" s="169" t="s">
        <v>400</v>
      </c>
      <c r="AE113" s="169"/>
      <c r="AF113" s="169" t="s">
        <v>400</v>
      </c>
      <c r="AG113" s="169" t="s">
        <v>400</v>
      </c>
      <c r="AH113" s="169"/>
      <c r="AI113" s="169"/>
      <c r="AJ113" s="169" t="s">
        <v>400</v>
      </c>
      <c r="AK113" s="169" t="s">
        <v>400</v>
      </c>
      <c r="AL113" s="169"/>
      <c r="AM113" s="169"/>
    </row>
    <row r="114" spans="1:39">
      <c r="A114" s="168" t="s">
        <v>73</v>
      </c>
      <c r="B114" s="169"/>
      <c r="C114" s="169"/>
      <c r="D114" s="169">
        <v>1</v>
      </c>
      <c r="E114" s="169"/>
      <c r="F114" s="169"/>
      <c r="G114" s="169"/>
      <c r="H114" s="169"/>
      <c r="I114" s="169"/>
      <c r="J114" s="169"/>
      <c r="K114" s="169"/>
      <c r="L114" s="169" t="s">
        <v>400</v>
      </c>
      <c r="M114" s="169"/>
      <c r="N114" s="169" t="s">
        <v>400</v>
      </c>
      <c r="O114" s="169" t="s">
        <v>400</v>
      </c>
      <c r="P114" s="169"/>
      <c r="Q114" s="169" t="s">
        <v>400</v>
      </c>
      <c r="R114" s="169">
        <v>6.9</v>
      </c>
      <c r="S114" s="169"/>
      <c r="T114" s="169"/>
      <c r="U114" s="169" t="s">
        <v>400</v>
      </c>
      <c r="V114" s="169">
        <v>2.5</v>
      </c>
      <c r="W114" s="169"/>
      <c r="X114" s="169" t="s">
        <v>400</v>
      </c>
      <c r="Y114" s="169" t="s">
        <v>400</v>
      </c>
      <c r="Z114" s="169" t="s">
        <v>400</v>
      </c>
      <c r="AA114" s="169" t="s">
        <v>400</v>
      </c>
      <c r="AB114" s="169" t="s">
        <v>400</v>
      </c>
      <c r="AC114" s="169"/>
      <c r="AD114" s="169" t="s">
        <v>400</v>
      </c>
      <c r="AE114" s="169"/>
      <c r="AF114" s="169" t="s">
        <v>400</v>
      </c>
      <c r="AG114" s="169" t="s">
        <v>400</v>
      </c>
      <c r="AH114" s="169"/>
      <c r="AI114" s="169"/>
      <c r="AJ114" s="169" t="s">
        <v>400</v>
      </c>
      <c r="AK114" s="169" t="s">
        <v>400</v>
      </c>
      <c r="AL114" s="169"/>
      <c r="AM114" s="169"/>
    </row>
    <row r="115" spans="1:39">
      <c r="A115" s="168" t="s">
        <v>74</v>
      </c>
      <c r="B115" s="169"/>
      <c r="C115" s="169"/>
      <c r="D115" s="169">
        <v>0.87</v>
      </c>
      <c r="E115" s="169"/>
      <c r="F115" s="169"/>
      <c r="G115" s="169"/>
      <c r="H115" s="169"/>
      <c r="I115" s="169"/>
      <c r="J115" s="169"/>
      <c r="K115" s="169"/>
      <c r="L115" s="169">
        <v>100</v>
      </c>
      <c r="M115" s="169"/>
      <c r="N115" s="169">
        <v>500</v>
      </c>
      <c r="O115" s="169">
        <v>65</v>
      </c>
      <c r="P115" s="169"/>
      <c r="Q115" s="169">
        <v>380</v>
      </c>
      <c r="R115" s="169">
        <v>3</v>
      </c>
      <c r="S115" s="169"/>
      <c r="T115" s="169"/>
      <c r="U115" s="169">
        <v>0.26</v>
      </c>
      <c r="V115" s="169">
        <v>2.5</v>
      </c>
      <c r="W115" s="169"/>
      <c r="X115" s="169">
        <v>0.4</v>
      </c>
      <c r="Y115" s="169">
        <v>0.4</v>
      </c>
      <c r="Z115" s="169">
        <v>0.4</v>
      </c>
      <c r="AA115" s="169">
        <v>5</v>
      </c>
      <c r="AB115" s="169">
        <v>13</v>
      </c>
      <c r="AC115" s="169"/>
      <c r="AD115" s="169">
        <v>0.7</v>
      </c>
      <c r="AE115" s="169"/>
      <c r="AF115" s="169">
        <v>10</v>
      </c>
      <c r="AG115" s="169">
        <v>5</v>
      </c>
      <c r="AH115" s="169"/>
      <c r="AI115" s="169"/>
      <c r="AJ115" s="169">
        <v>17</v>
      </c>
      <c r="AK115" s="169">
        <v>210</v>
      </c>
      <c r="AL115" s="169"/>
      <c r="AM115" s="169"/>
    </row>
    <row r="116" spans="1:39">
      <c r="A116" s="168" t="s">
        <v>75</v>
      </c>
      <c r="B116" s="169"/>
      <c r="C116" s="169"/>
      <c r="D116" s="169">
        <v>0.76</v>
      </c>
      <c r="E116" s="169"/>
      <c r="F116" s="169"/>
      <c r="G116" s="169"/>
      <c r="H116" s="169"/>
      <c r="I116" s="169"/>
      <c r="J116" s="169"/>
      <c r="K116" s="169"/>
      <c r="L116" s="169">
        <v>100</v>
      </c>
      <c r="M116" s="169"/>
      <c r="N116" s="169">
        <v>800</v>
      </c>
      <c r="O116" s="169">
        <v>110</v>
      </c>
      <c r="P116" s="169"/>
      <c r="Q116" s="169">
        <v>405</v>
      </c>
      <c r="R116" s="169">
        <v>4.0999999999999996</v>
      </c>
      <c r="S116" s="169"/>
      <c r="T116" s="169"/>
      <c r="U116" s="169">
        <v>0.34</v>
      </c>
      <c r="V116" s="169">
        <v>4</v>
      </c>
      <c r="W116" s="169"/>
      <c r="X116" s="169">
        <v>0.5</v>
      </c>
      <c r="Y116" s="169">
        <v>0.5</v>
      </c>
      <c r="Z116" s="169">
        <v>0.5</v>
      </c>
      <c r="AA116" s="169">
        <v>6</v>
      </c>
      <c r="AB116" s="169">
        <v>22</v>
      </c>
      <c r="AC116" s="169"/>
      <c r="AD116" s="169">
        <v>1</v>
      </c>
      <c r="AE116" s="169"/>
      <c r="AF116" s="169">
        <v>10</v>
      </c>
      <c r="AG116" s="169">
        <v>6</v>
      </c>
      <c r="AH116" s="169"/>
      <c r="AI116" s="169"/>
      <c r="AJ116" s="169">
        <v>23</v>
      </c>
      <c r="AK116" s="169">
        <v>275</v>
      </c>
      <c r="AL116" s="169"/>
      <c r="AM116" s="169"/>
    </row>
    <row r="117" spans="1:39">
      <c r="A117" s="170" t="s">
        <v>76</v>
      </c>
      <c r="B117" s="171"/>
      <c r="C117" s="171"/>
      <c r="D117" s="171">
        <v>0.76</v>
      </c>
      <c r="E117" s="171"/>
      <c r="F117" s="171"/>
      <c r="G117" s="171"/>
      <c r="H117" s="171"/>
      <c r="I117" s="171"/>
      <c r="J117" s="171"/>
      <c r="K117" s="171"/>
      <c r="L117" s="171">
        <v>100</v>
      </c>
      <c r="M117" s="171"/>
      <c r="N117" s="171">
        <v>1100</v>
      </c>
      <c r="O117" s="171">
        <v>200</v>
      </c>
      <c r="P117" s="171"/>
      <c r="Q117" s="171">
        <v>1055</v>
      </c>
      <c r="R117" s="171">
        <v>5.9</v>
      </c>
      <c r="S117" s="171"/>
      <c r="T117" s="171"/>
      <c r="U117" s="171">
        <v>0.54</v>
      </c>
      <c r="V117" s="171">
        <v>7</v>
      </c>
      <c r="W117" s="171"/>
      <c r="X117" s="171">
        <v>0.7</v>
      </c>
      <c r="Y117" s="171">
        <v>0.8</v>
      </c>
      <c r="Z117" s="171">
        <v>0.8</v>
      </c>
      <c r="AA117" s="171">
        <v>9</v>
      </c>
      <c r="AB117" s="171">
        <v>39</v>
      </c>
      <c r="AC117" s="171"/>
      <c r="AD117" s="171">
        <v>1.5</v>
      </c>
      <c r="AE117" s="171"/>
      <c r="AF117" s="171">
        <v>10</v>
      </c>
      <c r="AG117" s="171">
        <v>9</v>
      </c>
      <c r="AH117" s="171"/>
      <c r="AI117" s="171"/>
      <c r="AJ117" s="171">
        <v>35</v>
      </c>
      <c r="AK117" s="171">
        <v>445</v>
      </c>
      <c r="AL117" s="171"/>
      <c r="AM117" s="171"/>
    </row>
    <row r="118" spans="1:39">
      <c r="A118" s="170" t="s">
        <v>77</v>
      </c>
      <c r="B118" s="171"/>
      <c r="C118" s="171"/>
      <c r="D118" s="171">
        <v>0.73</v>
      </c>
      <c r="E118" s="171"/>
      <c r="F118" s="171"/>
      <c r="G118" s="171"/>
      <c r="H118" s="171"/>
      <c r="I118" s="171"/>
      <c r="J118" s="171"/>
      <c r="K118" s="171"/>
      <c r="L118" s="171">
        <v>100</v>
      </c>
      <c r="M118" s="171"/>
      <c r="N118" s="171">
        <v>1100</v>
      </c>
      <c r="O118" s="171">
        <v>340</v>
      </c>
      <c r="P118" s="171"/>
      <c r="Q118" s="171">
        <v>1055</v>
      </c>
      <c r="R118" s="171">
        <v>7.7</v>
      </c>
      <c r="S118" s="171"/>
      <c r="T118" s="171"/>
      <c r="U118" s="171">
        <v>0.68500000000000005</v>
      </c>
      <c r="V118" s="171">
        <v>8.5</v>
      </c>
      <c r="W118" s="171"/>
      <c r="X118" s="171">
        <v>1</v>
      </c>
      <c r="Y118" s="171">
        <v>1.1000000000000001</v>
      </c>
      <c r="Z118" s="171">
        <v>1.1000000000000001</v>
      </c>
      <c r="AA118" s="171">
        <v>12</v>
      </c>
      <c r="AB118" s="171">
        <v>63</v>
      </c>
      <c r="AC118" s="171"/>
      <c r="AD118" s="171">
        <v>2</v>
      </c>
      <c r="AE118" s="171"/>
      <c r="AF118" s="171">
        <v>10</v>
      </c>
      <c r="AG118" s="171">
        <v>12</v>
      </c>
      <c r="AH118" s="171"/>
      <c r="AI118" s="171"/>
      <c r="AJ118" s="171">
        <v>45</v>
      </c>
      <c r="AK118" s="171">
        <v>630</v>
      </c>
      <c r="AL118" s="171"/>
      <c r="AM118" s="171"/>
    </row>
    <row r="119" spans="1:39">
      <c r="A119" s="170" t="s">
        <v>96</v>
      </c>
      <c r="B119" s="171"/>
      <c r="C119" s="171"/>
      <c r="D119" s="171">
        <v>0.66</v>
      </c>
      <c r="E119" s="171"/>
      <c r="F119" s="171"/>
      <c r="G119" s="171"/>
      <c r="H119" s="171"/>
      <c r="I119" s="171"/>
      <c r="J119" s="171"/>
      <c r="K119" s="171"/>
      <c r="L119" s="171">
        <v>100</v>
      </c>
      <c r="M119" s="171"/>
      <c r="N119" s="171">
        <v>800</v>
      </c>
      <c r="O119" s="171">
        <v>330</v>
      </c>
      <c r="P119" s="171"/>
      <c r="Q119" s="171">
        <v>580</v>
      </c>
      <c r="R119" s="171">
        <v>6</v>
      </c>
      <c r="S119" s="171"/>
      <c r="T119" s="171"/>
      <c r="U119" s="171">
        <v>0.7</v>
      </c>
      <c r="V119" s="171">
        <v>9.4</v>
      </c>
      <c r="W119" s="171"/>
      <c r="X119" s="171">
        <v>1</v>
      </c>
      <c r="Y119" s="171">
        <v>1.1000000000000001</v>
      </c>
      <c r="Z119" s="171">
        <v>1.1000000000000001</v>
      </c>
      <c r="AA119" s="171">
        <v>12</v>
      </c>
      <c r="AB119" s="171">
        <v>75</v>
      </c>
      <c r="AC119" s="171"/>
      <c r="AD119" s="171">
        <v>2</v>
      </c>
      <c r="AE119" s="171"/>
      <c r="AF119" s="171">
        <v>10</v>
      </c>
      <c r="AG119" s="171">
        <v>12</v>
      </c>
      <c r="AH119" s="171"/>
      <c r="AI119" s="171"/>
      <c r="AJ119" s="171">
        <v>45</v>
      </c>
      <c r="AK119" s="171">
        <v>625</v>
      </c>
      <c r="AL119" s="171"/>
      <c r="AM119" s="171"/>
    </row>
    <row r="120" spans="1:39">
      <c r="A120" s="170" t="s">
        <v>97</v>
      </c>
      <c r="B120" s="171"/>
      <c r="C120" s="171"/>
      <c r="D120" s="171">
        <v>0.66</v>
      </c>
      <c r="E120" s="171"/>
      <c r="F120" s="171"/>
      <c r="G120" s="171"/>
      <c r="H120" s="171"/>
      <c r="I120" s="171"/>
      <c r="J120" s="171"/>
      <c r="K120" s="171"/>
      <c r="L120" s="171">
        <v>100</v>
      </c>
      <c r="M120" s="171"/>
      <c r="N120" s="171">
        <v>800</v>
      </c>
      <c r="O120" s="171">
        <v>350</v>
      </c>
      <c r="P120" s="171"/>
      <c r="Q120" s="171">
        <v>580</v>
      </c>
      <c r="R120" s="171">
        <v>6</v>
      </c>
      <c r="S120" s="171"/>
      <c r="T120" s="171"/>
      <c r="U120" s="171">
        <v>0.7</v>
      </c>
      <c r="V120" s="171">
        <v>9.4</v>
      </c>
      <c r="W120" s="171"/>
      <c r="X120" s="171">
        <v>1</v>
      </c>
      <c r="Y120" s="171">
        <v>1.1000000000000001</v>
      </c>
      <c r="Z120" s="171">
        <v>1.1000000000000001</v>
      </c>
      <c r="AA120" s="171">
        <v>12</v>
      </c>
      <c r="AB120" s="171">
        <v>75</v>
      </c>
      <c r="AC120" s="171"/>
      <c r="AD120" s="171">
        <v>2</v>
      </c>
      <c r="AE120" s="171"/>
      <c r="AF120" s="171">
        <v>10</v>
      </c>
      <c r="AG120" s="171">
        <v>12</v>
      </c>
      <c r="AH120" s="171"/>
      <c r="AI120" s="171"/>
      <c r="AJ120" s="171">
        <v>45</v>
      </c>
      <c r="AK120" s="171">
        <v>625</v>
      </c>
      <c r="AL120" s="171"/>
      <c r="AM120" s="171"/>
    </row>
    <row r="121" spans="1:39">
      <c r="A121" s="170" t="s">
        <v>98</v>
      </c>
      <c r="B121" s="171"/>
      <c r="C121" s="171"/>
      <c r="D121" s="171">
        <v>0.66</v>
      </c>
      <c r="E121" s="171"/>
      <c r="F121" s="171"/>
      <c r="G121" s="171"/>
      <c r="H121" s="171"/>
      <c r="I121" s="171"/>
      <c r="J121" s="171"/>
      <c r="K121" s="171"/>
      <c r="L121" s="171">
        <v>100</v>
      </c>
      <c r="M121" s="171"/>
      <c r="N121" s="171">
        <v>800</v>
      </c>
      <c r="O121" s="171">
        <v>350</v>
      </c>
      <c r="P121" s="171"/>
      <c r="Q121" s="171">
        <v>580</v>
      </c>
      <c r="R121" s="171">
        <v>6</v>
      </c>
      <c r="S121" s="171"/>
      <c r="T121" s="171"/>
      <c r="U121" s="171">
        <v>0.7</v>
      </c>
      <c r="V121" s="171">
        <v>9.4</v>
      </c>
      <c r="W121" s="171"/>
      <c r="X121" s="171">
        <v>1</v>
      </c>
      <c r="Y121" s="171">
        <v>1.1000000000000001</v>
      </c>
      <c r="Z121" s="171" t="s">
        <v>3052</v>
      </c>
      <c r="AA121" s="171">
        <v>12</v>
      </c>
      <c r="AB121" s="171">
        <v>75</v>
      </c>
      <c r="AC121" s="171"/>
      <c r="AD121" s="171">
        <v>2</v>
      </c>
      <c r="AE121" s="171"/>
      <c r="AF121" s="171">
        <v>10</v>
      </c>
      <c r="AG121" s="171">
        <v>12</v>
      </c>
      <c r="AH121" s="171"/>
      <c r="AI121" s="171"/>
      <c r="AJ121" s="171">
        <v>45</v>
      </c>
      <c r="AK121" s="171">
        <v>625</v>
      </c>
      <c r="AL121" s="171"/>
      <c r="AM121" s="171"/>
    </row>
    <row r="122" spans="1:39">
      <c r="A122" s="170" t="s">
        <v>99</v>
      </c>
      <c r="B122" s="171"/>
      <c r="C122" s="171"/>
      <c r="D122" s="171">
        <v>0.66</v>
      </c>
      <c r="E122" s="171"/>
      <c r="F122" s="171"/>
      <c r="G122" s="171"/>
      <c r="H122" s="171"/>
      <c r="I122" s="171"/>
      <c r="J122" s="171"/>
      <c r="K122" s="171"/>
      <c r="L122" s="171">
        <v>100</v>
      </c>
      <c r="M122" s="171"/>
      <c r="N122" s="171">
        <v>1000</v>
      </c>
      <c r="O122" s="171">
        <v>350</v>
      </c>
      <c r="P122" s="171"/>
      <c r="Q122" s="171">
        <v>580</v>
      </c>
      <c r="R122" s="171">
        <v>6</v>
      </c>
      <c r="S122" s="171"/>
      <c r="T122" s="171"/>
      <c r="U122" s="171">
        <v>0.7</v>
      </c>
      <c r="V122" s="171">
        <v>9.4</v>
      </c>
      <c r="W122" s="171"/>
      <c r="X122" s="171">
        <v>1</v>
      </c>
      <c r="Y122" s="171">
        <v>1.1000000000000001</v>
      </c>
      <c r="Z122" s="171">
        <v>1.4</v>
      </c>
      <c r="AA122" s="171">
        <v>12</v>
      </c>
      <c r="AB122" s="171">
        <v>75</v>
      </c>
      <c r="AC122" s="171"/>
      <c r="AD122" s="171">
        <v>2</v>
      </c>
      <c r="AE122" s="171"/>
      <c r="AF122" s="171">
        <v>10</v>
      </c>
      <c r="AG122" s="171">
        <v>12</v>
      </c>
      <c r="AH122" s="171"/>
      <c r="AI122" s="171"/>
      <c r="AJ122" s="171">
        <v>45</v>
      </c>
      <c r="AK122" s="171">
        <v>625</v>
      </c>
      <c r="AL122" s="171"/>
      <c r="AM122" s="171"/>
    </row>
    <row r="123" spans="1:39">
      <c r="A123" s="172" t="s">
        <v>78</v>
      </c>
      <c r="B123" s="175"/>
      <c r="C123" s="175"/>
      <c r="D123" s="175">
        <v>0.76</v>
      </c>
      <c r="E123" s="175"/>
      <c r="F123" s="175"/>
      <c r="G123" s="175"/>
      <c r="H123" s="175"/>
      <c r="I123" s="175"/>
      <c r="J123" s="175"/>
      <c r="K123" s="175"/>
      <c r="L123" s="175">
        <v>100</v>
      </c>
      <c r="M123" s="175"/>
      <c r="N123" s="175">
        <v>1100</v>
      </c>
      <c r="O123" s="175">
        <v>200</v>
      </c>
      <c r="P123" s="175"/>
      <c r="Q123" s="175">
        <v>1055</v>
      </c>
      <c r="R123" s="175">
        <v>5.7</v>
      </c>
      <c r="S123" s="175"/>
      <c r="T123" s="175"/>
      <c r="U123" s="175">
        <v>0.54</v>
      </c>
      <c r="V123" s="175">
        <v>7</v>
      </c>
      <c r="W123" s="175"/>
      <c r="X123" s="175">
        <v>0.7</v>
      </c>
      <c r="Y123" s="175">
        <v>0.8</v>
      </c>
      <c r="Z123" s="175">
        <v>0.8</v>
      </c>
      <c r="AA123" s="175">
        <v>9</v>
      </c>
      <c r="AB123" s="175">
        <v>39</v>
      </c>
      <c r="AC123" s="175"/>
      <c r="AD123" s="175">
        <v>1.5</v>
      </c>
      <c r="AE123" s="175"/>
      <c r="AF123" s="175">
        <v>10</v>
      </c>
      <c r="AG123" s="175">
        <v>9</v>
      </c>
      <c r="AH123" s="175"/>
      <c r="AI123" s="175"/>
      <c r="AJ123" s="175">
        <v>35</v>
      </c>
      <c r="AK123" s="175">
        <v>420</v>
      </c>
      <c r="AL123" s="175"/>
      <c r="AM123" s="175"/>
    </row>
    <row r="124" spans="1:39">
      <c r="A124" s="172" t="s">
        <v>79</v>
      </c>
      <c r="B124" s="175"/>
      <c r="C124" s="175"/>
      <c r="D124" s="175">
        <v>0.71</v>
      </c>
      <c r="E124" s="175"/>
      <c r="F124" s="175"/>
      <c r="G124" s="175"/>
      <c r="H124" s="175"/>
      <c r="I124" s="175"/>
      <c r="J124" s="175"/>
      <c r="K124" s="175"/>
      <c r="L124" s="175">
        <v>100</v>
      </c>
      <c r="M124" s="175"/>
      <c r="N124" s="175">
        <v>1100</v>
      </c>
      <c r="O124" s="175">
        <v>300</v>
      </c>
      <c r="P124" s="175"/>
      <c r="Q124" s="175">
        <v>1055</v>
      </c>
      <c r="R124" s="175">
        <v>7.9</v>
      </c>
      <c r="S124" s="175"/>
      <c r="T124" s="175"/>
      <c r="U124" s="175">
        <v>0.68500000000000005</v>
      </c>
      <c r="V124" s="175">
        <v>7.3</v>
      </c>
      <c r="W124" s="175"/>
      <c r="X124" s="175">
        <v>0.9</v>
      </c>
      <c r="Y124" s="175">
        <v>0.9</v>
      </c>
      <c r="Z124" s="175">
        <v>1</v>
      </c>
      <c r="AA124" s="175">
        <v>11</v>
      </c>
      <c r="AB124" s="175">
        <v>56</v>
      </c>
      <c r="AC124" s="175"/>
      <c r="AD124" s="175">
        <v>2</v>
      </c>
      <c r="AE124" s="175"/>
      <c r="AF124" s="175">
        <v>10</v>
      </c>
      <c r="AG124" s="175">
        <v>12</v>
      </c>
      <c r="AH124" s="175"/>
      <c r="AI124" s="175"/>
      <c r="AJ124" s="175">
        <v>45</v>
      </c>
      <c r="AK124" s="175">
        <v>485</v>
      </c>
      <c r="AL124" s="175"/>
      <c r="AM124" s="175"/>
    </row>
    <row r="125" spans="1:39">
      <c r="A125" s="172" t="s">
        <v>92</v>
      </c>
      <c r="B125" s="175"/>
      <c r="C125" s="175"/>
      <c r="D125" s="175">
        <v>0.66</v>
      </c>
      <c r="E125" s="175"/>
      <c r="F125" s="175"/>
      <c r="G125" s="175"/>
      <c r="H125" s="175"/>
      <c r="I125" s="175"/>
      <c r="J125" s="175"/>
      <c r="K125" s="175"/>
      <c r="L125" s="175">
        <v>100</v>
      </c>
      <c r="M125" s="175"/>
      <c r="N125" s="175">
        <v>800</v>
      </c>
      <c r="O125" s="175">
        <v>255</v>
      </c>
      <c r="P125" s="175"/>
      <c r="Q125" s="175">
        <v>580</v>
      </c>
      <c r="R125" s="175">
        <v>8.1</v>
      </c>
      <c r="S125" s="175"/>
      <c r="T125" s="175"/>
      <c r="U125" s="175">
        <v>0.7</v>
      </c>
      <c r="V125" s="175">
        <v>6.8</v>
      </c>
      <c r="W125" s="175"/>
      <c r="X125" s="175">
        <v>0.9</v>
      </c>
      <c r="Y125" s="175">
        <v>0.9</v>
      </c>
      <c r="Z125" s="175">
        <v>1.1000000000000001</v>
      </c>
      <c r="AA125" s="175">
        <v>11</v>
      </c>
      <c r="AB125" s="175">
        <v>60</v>
      </c>
      <c r="AC125" s="175"/>
      <c r="AD125" s="175">
        <v>2</v>
      </c>
      <c r="AE125" s="175"/>
      <c r="AF125" s="175">
        <v>10</v>
      </c>
      <c r="AG125" s="175">
        <v>12</v>
      </c>
      <c r="AH125" s="175"/>
      <c r="AI125" s="175"/>
      <c r="AJ125" s="175">
        <v>45</v>
      </c>
      <c r="AK125" s="175">
        <v>500</v>
      </c>
      <c r="AL125" s="175"/>
      <c r="AM125" s="175"/>
    </row>
    <row r="126" spans="1:39">
      <c r="A126" s="172" t="s">
        <v>93</v>
      </c>
      <c r="B126" s="175"/>
      <c r="C126" s="175"/>
      <c r="D126" s="175">
        <v>0.66</v>
      </c>
      <c r="E126" s="175"/>
      <c r="F126" s="175"/>
      <c r="G126" s="175"/>
      <c r="H126" s="175"/>
      <c r="I126" s="175"/>
      <c r="J126" s="175"/>
      <c r="K126" s="175"/>
      <c r="L126" s="175">
        <v>100</v>
      </c>
      <c r="M126" s="175"/>
      <c r="N126" s="175">
        <v>800</v>
      </c>
      <c r="O126" s="175">
        <v>265</v>
      </c>
      <c r="P126" s="175"/>
      <c r="Q126" s="175">
        <v>580</v>
      </c>
      <c r="R126" s="175">
        <v>8.1</v>
      </c>
      <c r="S126" s="175"/>
      <c r="T126" s="175"/>
      <c r="U126" s="175">
        <v>0.7</v>
      </c>
      <c r="V126" s="175">
        <v>6.8</v>
      </c>
      <c r="W126" s="175"/>
      <c r="X126" s="175">
        <v>0.9</v>
      </c>
      <c r="Y126" s="175">
        <v>0.9</v>
      </c>
      <c r="Z126" s="175">
        <v>1.1000000000000001</v>
      </c>
      <c r="AA126" s="175">
        <v>11</v>
      </c>
      <c r="AB126" s="175">
        <v>60</v>
      </c>
      <c r="AC126" s="175"/>
      <c r="AD126" s="175">
        <v>2</v>
      </c>
      <c r="AE126" s="175"/>
      <c r="AF126" s="175">
        <v>10</v>
      </c>
      <c r="AG126" s="175">
        <v>12</v>
      </c>
      <c r="AH126" s="175"/>
      <c r="AI126" s="175"/>
      <c r="AJ126" s="175">
        <v>45</v>
      </c>
      <c r="AK126" s="175">
        <v>500</v>
      </c>
      <c r="AL126" s="175"/>
      <c r="AM126" s="175"/>
    </row>
    <row r="127" spans="1:39">
      <c r="A127" s="172" t="s">
        <v>94</v>
      </c>
      <c r="B127" s="175"/>
      <c r="C127" s="175"/>
      <c r="D127" s="175">
        <v>0.66</v>
      </c>
      <c r="E127" s="175"/>
      <c r="F127" s="175"/>
      <c r="G127" s="175"/>
      <c r="H127" s="175"/>
      <c r="I127" s="175"/>
      <c r="J127" s="175"/>
      <c r="K127" s="175"/>
      <c r="L127" s="175">
        <v>100</v>
      </c>
      <c r="M127" s="175"/>
      <c r="N127" s="175">
        <v>1000</v>
      </c>
      <c r="O127" s="175">
        <v>265</v>
      </c>
      <c r="P127" s="175"/>
      <c r="Q127" s="175">
        <v>580</v>
      </c>
      <c r="R127" s="175">
        <v>5</v>
      </c>
      <c r="S127" s="175"/>
      <c r="T127" s="175"/>
      <c r="U127" s="175">
        <v>0.7</v>
      </c>
      <c r="V127" s="175">
        <v>6.8</v>
      </c>
      <c r="W127" s="175"/>
      <c r="X127" s="175">
        <v>0.9</v>
      </c>
      <c r="Y127" s="175">
        <v>0.9</v>
      </c>
      <c r="Z127" s="175">
        <v>1.3</v>
      </c>
      <c r="AA127" s="175">
        <v>11</v>
      </c>
      <c r="AB127" s="175">
        <v>60</v>
      </c>
      <c r="AC127" s="175"/>
      <c r="AD127" s="175">
        <v>2</v>
      </c>
      <c r="AE127" s="175"/>
      <c r="AF127" s="175">
        <v>10</v>
      </c>
      <c r="AG127" s="175">
        <v>12</v>
      </c>
      <c r="AH127" s="175"/>
      <c r="AI127" s="175"/>
      <c r="AJ127" s="175">
        <v>45</v>
      </c>
      <c r="AK127" s="175">
        <v>500</v>
      </c>
      <c r="AL127" s="175"/>
      <c r="AM127" s="175"/>
    </row>
    <row r="128" spans="1:39">
      <c r="A128" s="172" t="s">
        <v>95</v>
      </c>
      <c r="B128" s="175"/>
      <c r="C128" s="175"/>
      <c r="D128" s="175">
        <v>0.66</v>
      </c>
      <c r="E128" s="175"/>
      <c r="F128" s="175"/>
      <c r="G128" s="175"/>
      <c r="H128" s="175"/>
      <c r="I128" s="175"/>
      <c r="J128" s="175"/>
      <c r="K128" s="175"/>
      <c r="L128" s="175">
        <v>100</v>
      </c>
      <c r="M128" s="175"/>
      <c r="N128" s="175">
        <v>1000</v>
      </c>
      <c r="O128" s="175">
        <v>265</v>
      </c>
      <c r="P128" s="175"/>
      <c r="Q128" s="175">
        <v>580</v>
      </c>
      <c r="R128" s="175">
        <v>5</v>
      </c>
      <c r="S128" s="175"/>
      <c r="T128" s="175"/>
      <c r="U128" s="175">
        <v>0.7</v>
      </c>
      <c r="V128" s="175">
        <v>6.8</v>
      </c>
      <c r="W128" s="175"/>
      <c r="X128" s="175">
        <v>0.9</v>
      </c>
      <c r="Y128" s="175">
        <v>0.9</v>
      </c>
      <c r="Z128" s="175">
        <v>1.3</v>
      </c>
      <c r="AA128" s="175">
        <v>11</v>
      </c>
      <c r="AB128" s="175">
        <v>60</v>
      </c>
      <c r="AC128" s="175"/>
      <c r="AD128" s="175">
        <v>2</v>
      </c>
      <c r="AE128" s="175"/>
      <c r="AF128" s="175">
        <v>10</v>
      </c>
      <c r="AG128" s="175">
        <v>12</v>
      </c>
      <c r="AH128" s="175"/>
      <c r="AI128" s="175"/>
      <c r="AJ128" s="175">
        <v>45</v>
      </c>
      <c r="AK128" s="175">
        <v>500</v>
      </c>
      <c r="AL128" s="175"/>
      <c r="AM128" s="175"/>
    </row>
    <row r="129" spans="1:40" ht="13.5" thickBot="1">
      <c r="A129" s="327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</row>
    <row r="130" spans="1:40" ht="46.5">
      <c r="A130" s="211" t="s">
        <v>3065</v>
      </c>
      <c r="B130" s="212"/>
      <c r="C130" s="213" t="s">
        <v>2</v>
      </c>
      <c r="D130" s="213" t="s">
        <v>3</v>
      </c>
      <c r="E130" s="213" t="s">
        <v>4</v>
      </c>
      <c r="F130" s="213" t="s">
        <v>49</v>
      </c>
      <c r="G130" s="213" t="s">
        <v>50</v>
      </c>
      <c r="H130" s="213" t="s">
        <v>51</v>
      </c>
      <c r="I130" s="213" t="s">
        <v>52</v>
      </c>
      <c r="J130" s="213" t="s">
        <v>53</v>
      </c>
      <c r="K130" s="213" t="s">
        <v>5</v>
      </c>
      <c r="L130" s="213" t="s">
        <v>6</v>
      </c>
      <c r="M130" s="213" t="s">
        <v>7</v>
      </c>
      <c r="N130" s="213" t="s">
        <v>8</v>
      </c>
      <c r="O130" s="213" t="s">
        <v>9</v>
      </c>
      <c r="P130" s="213" t="s">
        <v>10</v>
      </c>
      <c r="Q130" s="213" t="s">
        <v>11</v>
      </c>
      <c r="R130" s="213" t="s">
        <v>12</v>
      </c>
      <c r="S130" s="213" t="s">
        <v>13</v>
      </c>
      <c r="T130" s="213" t="s">
        <v>14</v>
      </c>
      <c r="U130" s="213" t="s">
        <v>15</v>
      </c>
      <c r="V130" s="213" t="s">
        <v>16</v>
      </c>
      <c r="W130" s="213" t="s">
        <v>17</v>
      </c>
      <c r="X130" s="213" t="s">
        <v>18</v>
      </c>
      <c r="Y130" s="213" t="s">
        <v>19</v>
      </c>
      <c r="Z130" s="213" t="s">
        <v>20</v>
      </c>
      <c r="AA130" s="213" t="s">
        <v>21</v>
      </c>
      <c r="AB130" s="214" t="s">
        <v>22</v>
      </c>
      <c r="AC130" s="326" t="s">
        <v>3036</v>
      </c>
      <c r="AD130" s="326" t="s">
        <v>3037</v>
      </c>
      <c r="AE130" s="326" t="s">
        <v>3038</v>
      </c>
      <c r="AF130" s="326" t="s">
        <v>3039</v>
      </c>
      <c r="AG130" s="326" t="s">
        <v>3040</v>
      </c>
      <c r="AH130" s="326" t="s">
        <v>3041</v>
      </c>
      <c r="AI130" s="326" t="s">
        <v>3042</v>
      </c>
      <c r="AJ130" s="326" t="s">
        <v>3043</v>
      </c>
      <c r="AK130" s="326" t="s">
        <v>3044</v>
      </c>
      <c r="AL130" s="326" t="s">
        <v>3045</v>
      </c>
      <c r="AM130" s="326" t="s">
        <v>3046</v>
      </c>
    </row>
    <row r="131" spans="1:40" s="84" customFormat="1" ht="13.5">
      <c r="A131" s="106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8"/>
      <c r="O131" s="107"/>
      <c r="P131" s="107"/>
      <c r="Q131" s="107"/>
      <c r="R131" s="107"/>
      <c r="S131" s="107"/>
      <c r="T131" s="107"/>
      <c r="U131" s="107"/>
      <c r="V131" s="107"/>
      <c r="W131" s="107"/>
      <c r="X131" s="108"/>
      <c r="Y131" s="107"/>
      <c r="Z131" s="108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60"/>
    </row>
    <row r="132" spans="1:40" s="84" customFormat="1" ht="13.5">
      <c r="A132" s="109" t="s">
        <v>966</v>
      </c>
      <c r="B132" s="107"/>
      <c r="C132" s="107"/>
      <c r="D132" s="107"/>
      <c r="E132" s="107" t="s">
        <v>80</v>
      </c>
      <c r="F132" s="107"/>
      <c r="G132" s="107"/>
      <c r="H132" s="107"/>
      <c r="I132" s="107" t="s">
        <v>1009</v>
      </c>
      <c r="J132" s="107" t="s">
        <v>1010</v>
      </c>
      <c r="K132" s="107"/>
      <c r="L132" s="107"/>
      <c r="M132" s="107" t="s">
        <v>1001</v>
      </c>
      <c r="N132" s="108"/>
      <c r="O132" s="107"/>
      <c r="P132" s="107" t="s">
        <v>969</v>
      </c>
      <c r="Q132" s="107"/>
      <c r="R132" s="107"/>
      <c r="S132" s="107" t="s">
        <v>960</v>
      </c>
      <c r="T132" s="107" t="s">
        <v>975</v>
      </c>
      <c r="U132" s="107"/>
      <c r="V132" s="107"/>
      <c r="W132" s="107"/>
      <c r="X132" s="108"/>
      <c r="Y132" s="107"/>
      <c r="Z132" s="108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60"/>
    </row>
    <row r="133" spans="1:40" s="84" customFormat="1" ht="13.5">
      <c r="A133" s="109" t="s">
        <v>68</v>
      </c>
      <c r="B133" s="107"/>
      <c r="C133" s="107"/>
      <c r="D133" s="107"/>
      <c r="E133" s="107" t="s">
        <v>80</v>
      </c>
      <c r="F133" s="107"/>
      <c r="G133" s="107"/>
      <c r="H133" s="107"/>
      <c r="I133" s="107" t="s">
        <v>1009</v>
      </c>
      <c r="J133" s="107" t="s">
        <v>1010</v>
      </c>
      <c r="K133" s="107"/>
      <c r="L133" s="107"/>
      <c r="M133" s="107" t="s">
        <v>1001</v>
      </c>
      <c r="N133" s="108"/>
      <c r="O133" s="107"/>
      <c r="P133" s="107" t="s">
        <v>969</v>
      </c>
      <c r="Q133" s="107"/>
      <c r="R133" s="107"/>
      <c r="S133" s="107" t="s">
        <v>960</v>
      </c>
      <c r="T133" s="107" t="s">
        <v>975</v>
      </c>
      <c r="U133" s="107"/>
      <c r="V133" s="107"/>
      <c r="W133" s="107"/>
      <c r="X133" s="108"/>
      <c r="Y133" s="107"/>
      <c r="Z133" s="108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60"/>
    </row>
    <row r="134" spans="1:40" s="84" customFormat="1" ht="13.5">
      <c r="A134" s="109" t="s">
        <v>69</v>
      </c>
      <c r="B134" s="107"/>
      <c r="C134" s="107"/>
      <c r="D134" s="107"/>
      <c r="E134" s="107" t="s">
        <v>80</v>
      </c>
      <c r="F134" s="107"/>
      <c r="G134" s="107"/>
      <c r="H134" s="107"/>
      <c r="I134" s="107" t="s">
        <v>1009</v>
      </c>
      <c r="J134" s="107" t="s">
        <v>1010</v>
      </c>
      <c r="K134" s="107"/>
      <c r="L134" s="107"/>
      <c r="M134" s="107" t="s">
        <v>1001</v>
      </c>
      <c r="N134" s="108"/>
      <c r="O134" s="107"/>
      <c r="P134" s="107" t="s">
        <v>969</v>
      </c>
      <c r="Q134" s="107"/>
      <c r="R134" s="107"/>
      <c r="S134" s="107" t="s">
        <v>960</v>
      </c>
      <c r="T134" s="107" t="s">
        <v>975</v>
      </c>
      <c r="U134" s="107"/>
      <c r="V134" s="107"/>
      <c r="W134" s="107"/>
      <c r="X134" s="108"/>
      <c r="Y134" s="107"/>
      <c r="Z134" s="108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60"/>
    </row>
    <row r="135" spans="1:40" s="84" customFormat="1" ht="13.5">
      <c r="A135" s="110" t="s">
        <v>967</v>
      </c>
      <c r="B135" s="111"/>
      <c r="C135" s="111"/>
      <c r="D135" s="111"/>
      <c r="E135" s="111" t="s">
        <v>80</v>
      </c>
      <c r="F135" s="111"/>
      <c r="G135" s="111"/>
      <c r="H135" s="111"/>
      <c r="I135" s="111" t="s">
        <v>1009</v>
      </c>
      <c r="J135" s="111" t="s">
        <v>1011</v>
      </c>
      <c r="K135" s="111"/>
      <c r="L135" s="111"/>
      <c r="M135" s="111" t="s">
        <v>1002</v>
      </c>
      <c r="N135" s="112"/>
      <c r="O135" s="111"/>
      <c r="P135" s="111" t="s">
        <v>1000</v>
      </c>
      <c r="Q135" s="111"/>
      <c r="R135" s="111"/>
      <c r="S135" s="111" t="s">
        <v>960</v>
      </c>
      <c r="T135" s="111" t="s">
        <v>976</v>
      </c>
      <c r="U135" s="111"/>
      <c r="V135" s="111"/>
      <c r="W135" s="111"/>
      <c r="X135" s="112"/>
      <c r="Y135" s="111"/>
      <c r="Z135" s="112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60"/>
    </row>
    <row r="136" spans="1:40" s="84" customFormat="1" ht="13.5">
      <c r="A136" s="110" t="s">
        <v>70</v>
      </c>
      <c r="B136" s="111"/>
      <c r="C136" s="111"/>
      <c r="D136" s="111"/>
      <c r="E136" s="111" t="s">
        <v>80</v>
      </c>
      <c r="F136" s="111"/>
      <c r="G136" s="111"/>
      <c r="H136" s="111"/>
      <c r="I136" s="111" t="s">
        <v>1009</v>
      </c>
      <c r="J136" s="111" t="s">
        <v>1011</v>
      </c>
      <c r="K136" s="111"/>
      <c r="L136" s="111"/>
      <c r="M136" s="111" t="s">
        <v>1002</v>
      </c>
      <c r="N136" s="112"/>
      <c r="O136" s="111"/>
      <c r="P136" s="111" t="s">
        <v>1000</v>
      </c>
      <c r="Q136" s="111"/>
      <c r="R136" s="111"/>
      <c r="S136" s="111" t="s">
        <v>960</v>
      </c>
      <c r="T136" s="111" t="s">
        <v>976</v>
      </c>
      <c r="U136" s="111"/>
      <c r="V136" s="111"/>
      <c r="W136" s="111"/>
      <c r="X136" s="112"/>
      <c r="Y136" s="111"/>
      <c r="Z136" s="112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60"/>
    </row>
    <row r="137" spans="1:40" s="84" customFormat="1" ht="13.5">
      <c r="A137" s="110" t="s">
        <v>71</v>
      </c>
      <c r="B137" s="111"/>
      <c r="C137" s="111"/>
      <c r="D137" s="111"/>
      <c r="E137" s="111" t="s">
        <v>80</v>
      </c>
      <c r="F137" s="111"/>
      <c r="G137" s="111"/>
      <c r="H137" s="111"/>
      <c r="I137" s="111" t="s">
        <v>1009</v>
      </c>
      <c r="J137" s="111" t="s">
        <v>1011</v>
      </c>
      <c r="K137" s="111"/>
      <c r="L137" s="111"/>
      <c r="M137" s="111" t="s">
        <v>1002</v>
      </c>
      <c r="N137" s="112"/>
      <c r="O137" s="111"/>
      <c r="P137" s="111" t="s">
        <v>1000</v>
      </c>
      <c r="Q137" s="111"/>
      <c r="R137" s="111"/>
      <c r="S137" s="111" t="s">
        <v>960</v>
      </c>
      <c r="T137" s="111" t="s">
        <v>976</v>
      </c>
      <c r="U137" s="111"/>
      <c r="V137" s="111"/>
      <c r="W137" s="111"/>
      <c r="X137" s="112"/>
      <c r="Y137" s="111"/>
      <c r="Z137" s="112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60"/>
    </row>
    <row r="138" spans="1:40" s="84" customFormat="1" ht="15.75">
      <c r="A138" s="113" t="s">
        <v>72</v>
      </c>
      <c r="B138" s="114"/>
      <c r="C138" s="114"/>
      <c r="D138" s="114" t="s">
        <v>3258</v>
      </c>
      <c r="E138" s="114" t="s">
        <v>1005</v>
      </c>
      <c r="F138" s="114"/>
      <c r="G138" s="114"/>
      <c r="H138" s="114"/>
      <c r="I138" s="114" t="s">
        <v>1012</v>
      </c>
      <c r="J138" s="114" t="s">
        <v>1016</v>
      </c>
      <c r="K138" s="114"/>
      <c r="L138" s="114" t="s">
        <v>3260</v>
      </c>
      <c r="M138" s="114" t="s">
        <v>80</v>
      </c>
      <c r="N138" s="115" t="s">
        <v>958</v>
      </c>
      <c r="O138" s="114" t="s">
        <v>991</v>
      </c>
      <c r="P138" s="114" t="s">
        <v>993</v>
      </c>
      <c r="Q138" s="114" t="s">
        <v>977</v>
      </c>
      <c r="R138" s="114" t="s">
        <v>990</v>
      </c>
      <c r="S138" s="114" t="s">
        <v>961</v>
      </c>
      <c r="T138" s="114" t="s">
        <v>970</v>
      </c>
      <c r="U138" s="114" t="s">
        <v>3271</v>
      </c>
      <c r="V138" s="114" t="s">
        <v>969</v>
      </c>
      <c r="W138" s="114"/>
      <c r="X138" s="115" t="s">
        <v>983</v>
      </c>
      <c r="Y138" s="114" t="s">
        <v>984</v>
      </c>
      <c r="Z138" s="115" t="s">
        <v>988</v>
      </c>
      <c r="AA138" s="114" t="s">
        <v>969</v>
      </c>
      <c r="AB138" s="114" t="s">
        <v>981</v>
      </c>
      <c r="AC138" s="114"/>
      <c r="AD138" s="114" t="s">
        <v>970</v>
      </c>
      <c r="AE138" s="114"/>
      <c r="AF138" s="114" t="s">
        <v>3261</v>
      </c>
      <c r="AG138" s="114" t="s">
        <v>987</v>
      </c>
      <c r="AH138" s="114"/>
      <c r="AI138" s="114"/>
      <c r="AJ138" s="114" t="s">
        <v>3262</v>
      </c>
      <c r="AK138" s="114" t="s">
        <v>979</v>
      </c>
      <c r="AL138" s="114"/>
      <c r="AM138" s="114"/>
      <c r="AN138" s="160"/>
    </row>
    <row r="139" spans="1:40" s="84" customFormat="1" ht="15.75">
      <c r="A139" s="113" t="s">
        <v>73</v>
      </c>
      <c r="B139" s="114"/>
      <c r="C139" s="114"/>
      <c r="D139" s="114"/>
      <c r="E139" s="114" t="s">
        <v>991</v>
      </c>
      <c r="F139" s="114"/>
      <c r="G139" s="114"/>
      <c r="H139" s="114"/>
      <c r="I139" s="114" t="s">
        <v>1013</v>
      </c>
      <c r="J139" s="114" t="s">
        <v>1016</v>
      </c>
      <c r="K139" s="114"/>
      <c r="L139" s="114" t="s">
        <v>3263</v>
      </c>
      <c r="M139" s="114" t="s">
        <v>80</v>
      </c>
      <c r="N139" s="115" t="s">
        <v>959</v>
      </c>
      <c r="O139" s="114" t="s">
        <v>992</v>
      </c>
      <c r="P139" s="114" t="s">
        <v>994</v>
      </c>
      <c r="Q139" s="114" t="s">
        <v>978</v>
      </c>
      <c r="R139" s="114"/>
      <c r="S139" s="114" t="s">
        <v>962</v>
      </c>
      <c r="T139" s="114" t="s">
        <v>971</v>
      </c>
      <c r="U139" s="114" t="s">
        <v>3272</v>
      </c>
      <c r="V139" s="114"/>
      <c r="W139" s="114"/>
      <c r="X139" s="115" t="s">
        <v>984</v>
      </c>
      <c r="Y139" s="114" t="s">
        <v>986</v>
      </c>
      <c r="Z139" s="115" t="s">
        <v>984</v>
      </c>
      <c r="AA139" s="114" t="s">
        <v>987</v>
      </c>
      <c r="AB139" s="114" t="s">
        <v>982</v>
      </c>
      <c r="AC139" s="114"/>
      <c r="AD139" s="114" t="s">
        <v>3264</v>
      </c>
      <c r="AE139" s="114"/>
      <c r="AF139" s="114" t="s">
        <v>3261</v>
      </c>
      <c r="AG139" s="114" t="s">
        <v>3265</v>
      </c>
      <c r="AH139" s="114"/>
      <c r="AI139" s="114"/>
      <c r="AJ139" s="114" t="s">
        <v>3266</v>
      </c>
      <c r="AK139" s="114" t="s">
        <v>980</v>
      </c>
      <c r="AL139" s="114"/>
      <c r="AM139" s="114"/>
      <c r="AN139" s="160"/>
    </row>
    <row r="140" spans="1:40" s="84" customFormat="1" ht="13.5">
      <c r="A140" s="113" t="s">
        <v>74</v>
      </c>
      <c r="B140" s="114"/>
      <c r="C140" s="114"/>
      <c r="D140" s="114"/>
      <c r="E140" s="114" t="s">
        <v>80</v>
      </c>
      <c r="F140" s="114"/>
      <c r="G140" s="114"/>
      <c r="H140" s="114"/>
      <c r="I140" s="114" t="s">
        <v>1014</v>
      </c>
      <c r="J140" s="114" t="s">
        <v>971</v>
      </c>
      <c r="K140" s="114"/>
      <c r="L140" s="114"/>
      <c r="M140" s="114" t="s">
        <v>1003</v>
      </c>
      <c r="N140" s="116"/>
      <c r="O140" s="114"/>
      <c r="P140" s="114" t="s">
        <v>964</v>
      </c>
      <c r="Q140" s="114"/>
      <c r="R140" s="114"/>
      <c r="S140" s="114" t="s">
        <v>963</v>
      </c>
      <c r="T140" s="114" t="s">
        <v>972</v>
      </c>
      <c r="U140" s="114"/>
      <c r="V140" s="114"/>
      <c r="W140" s="114"/>
      <c r="X140" s="116"/>
      <c r="Y140" s="114"/>
      <c r="Z140" s="116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60"/>
    </row>
    <row r="141" spans="1:40" s="84" customFormat="1" ht="13.5">
      <c r="A141" s="113" t="s">
        <v>75</v>
      </c>
      <c r="B141" s="114"/>
      <c r="C141" s="114"/>
      <c r="D141" s="114"/>
      <c r="E141" s="114" t="s">
        <v>80</v>
      </c>
      <c r="F141" s="114"/>
      <c r="G141" s="114"/>
      <c r="H141" s="114"/>
      <c r="I141" s="114" t="s">
        <v>1015</v>
      </c>
      <c r="J141" s="114" t="s">
        <v>1017</v>
      </c>
      <c r="K141" s="114"/>
      <c r="L141" s="114"/>
      <c r="M141" s="114" t="s">
        <v>1004</v>
      </c>
      <c r="N141" s="116"/>
      <c r="O141" s="114"/>
      <c r="P141" s="114" t="s">
        <v>960</v>
      </c>
      <c r="Q141" s="114"/>
      <c r="R141" s="114"/>
      <c r="S141" s="114" t="s">
        <v>964</v>
      </c>
      <c r="T141" s="114" t="s">
        <v>973</v>
      </c>
      <c r="U141" s="114"/>
      <c r="V141" s="114"/>
      <c r="W141" s="114"/>
      <c r="X141" s="116"/>
      <c r="Y141" s="114"/>
      <c r="Z141" s="116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60"/>
    </row>
    <row r="142" spans="1:40" s="84" customFormat="1" ht="13.5">
      <c r="A142" s="117" t="s">
        <v>76</v>
      </c>
      <c r="B142" s="118"/>
      <c r="C142" s="118"/>
      <c r="D142" s="118"/>
      <c r="E142" s="118" t="s">
        <v>80</v>
      </c>
      <c r="F142" s="118"/>
      <c r="G142" s="118"/>
      <c r="H142" s="118"/>
      <c r="I142" s="118" t="s">
        <v>1018</v>
      </c>
      <c r="J142" s="118" t="s">
        <v>1019</v>
      </c>
      <c r="K142" s="118"/>
      <c r="L142" s="118"/>
      <c r="M142" s="118" t="s">
        <v>1005</v>
      </c>
      <c r="N142" s="119"/>
      <c r="O142" s="118"/>
      <c r="P142" s="118" t="s">
        <v>995</v>
      </c>
      <c r="Q142" s="118"/>
      <c r="R142" s="118"/>
      <c r="S142" s="118" t="s">
        <v>960</v>
      </c>
      <c r="T142" s="118" t="s">
        <v>974</v>
      </c>
      <c r="U142" s="118"/>
      <c r="V142" s="118"/>
      <c r="W142" s="118"/>
      <c r="X142" s="119"/>
      <c r="Y142" s="118"/>
      <c r="Z142" s="119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60"/>
    </row>
    <row r="143" spans="1:40" s="84" customFormat="1" ht="13.5">
      <c r="A143" s="117" t="s">
        <v>77</v>
      </c>
      <c r="B143" s="118"/>
      <c r="C143" s="118"/>
      <c r="D143" s="118"/>
      <c r="E143" s="118" t="s">
        <v>80</v>
      </c>
      <c r="F143" s="118"/>
      <c r="G143" s="118"/>
      <c r="H143" s="118"/>
      <c r="I143" s="118" t="s">
        <v>1020</v>
      </c>
      <c r="J143" s="118" t="s">
        <v>1021</v>
      </c>
      <c r="K143" s="118"/>
      <c r="L143" s="118"/>
      <c r="M143" s="118" t="s">
        <v>1006</v>
      </c>
      <c r="N143" s="119"/>
      <c r="O143" s="118"/>
      <c r="P143" s="118" t="s">
        <v>996</v>
      </c>
      <c r="Q143" s="118"/>
      <c r="R143" s="118"/>
      <c r="S143" s="118" t="s">
        <v>960</v>
      </c>
      <c r="T143" s="118" t="s">
        <v>975</v>
      </c>
      <c r="U143" s="118"/>
      <c r="V143" s="118"/>
      <c r="W143" s="118"/>
      <c r="X143" s="119"/>
      <c r="Y143" s="118"/>
      <c r="Z143" s="119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60"/>
    </row>
    <row r="144" spans="1:40" s="84" customFormat="1" ht="13.5">
      <c r="A144" s="117" t="s">
        <v>96</v>
      </c>
      <c r="B144" s="118"/>
      <c r="C144" s="118"/>
      <c r="D144" s="118"/>
      <c r="E144" s="118" t="s">
        <v>80</v>
      </c>
      <c r="F144" s="118"/>
      <c r="G144" s="118"/>
      <c r="H144" s="118"/>
      <c r="I144" s="118" t="s">
        <v>1022</v>
      </c>
      <c r="J144" s="118" t="s">
        <v>1021</v>
      </c>
      <c r="K144" s="118"/>
      <c r="L144" s="118"/>
      <c r="M144" s="118" t="s">
        <v>1006</v>
      </c>
      <c r="N144" s="119"/>
      <c r="O144" s="118"/>
      <c r="P144" s="118" t="s">
        <v>997</v>
      </c>
      <c r="Q144" s="118"/>
      <c r="R144" s="118"/>
      <c r="S144" s="118" t="s">
        <v>960</v>
      </c>
      <c r="T144" s="118" t="s">
        <v>975</v>
      </c>
      <c r="U144" s="118"/>
      <c r="V144" s="118"/>
      <c r="W144" s="118"/>
      <c r="X144" s="119"/>
      <c r="Y144" s="118"/>
      <c r="Z144" s="119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60"/>
    </row>
    <row r="145" spans="1:40" s="84" customFormat="1" ht="13.5">
      <c r="A145" s="117" t="s">
        <v>97</v>
      </c>
      <c r="B145" s="118"/>
      <c r="C145" s="118"/>
      <c r="D145" s="118"/>
      <c r="E145" s="118" t="s">
        <v>80</v>
      </c>
      <c r="F145" s="118"/>
      <c r="G145" s="118"/>
      <c r="H145" s="118"/>
      <c r="I145" s="118" t="s">
        <v>1022</v>
      </c>
      <c r="J145" s="118" t="s">
        <v>1021</v>
      </c>
      <c r="K145" s="118"/>
      <c r="L145" s="118"/>
      <c r="M145" s="118" t="s">
        <v>1006</v>
      </c>
      <c r="N145" s="119"/>
      <c r="O145" s="118"/>
      <c r="P145" s="118" t="s">
        <v>997</v>
      </c>
      <c r="Q145" s="118"/>
      <c r="R145" s="118"/>
      <c r="S145" s="118" t="s">
        <v>960</v>
      </c>
      <c r="T145" s="118" t="s">
        <v>975</v>
      </c>
      <c r="U145" s="118"/>
      <c r="V145" s="118"/>
      <c r="W145" s="118"/>
      <c r="X145" s="119"/>
      <c r="Y145" s="118"/>
      <c r="Z145" s="119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60"/>
    </row>
    <row r="146" spans="1:40" s="84" customFormat="1" ht="13.5">
      <c r="A146" s="117" t="s">
        <v>98</v>
      </c>
      <c r="B146" s="118"/>
      <c r="C146" s="118"/>
      <c r="D146" s="118"/>
      <c r="E146" s="118" t="s">
        <v>80</v>
      </c>
      <c r="F146" s="118"/>
      <c r="G146" s="118"/>
      <c r="H146" s="118"/>
      <c r="I146" s="118" t="s">
        <v>1023</v>
      </c>
      <c r="J146" s="118" t="s">
        <v>1021</v>
      </c>
      <c r="K146" s="118"/>
      <c r="L146" s="118"/>
      <c r="M146" s="118" t="s">
        <v>991</v>
      </c>
      <c r="N146" s="119"/>
      <c r="O146" s="118"/>
      <c r="P146" s="118" t="s">
        <v>997</v>
      </c>
      <c r="Q146" s="118"/>
      <c r="R146" s="118"/>
      <c r="S146" s="118" t="s">
        <v>965</v>
      </c>
      <c r="T146" s="118" t="s">
        <v>975</v>
      </c>
      <c r="U146" s="118"/>
      <c r="V146" s="118"/>
      <c r="W146" s="118"/>
      <c r="X146" s="119"/>
      <c r="Y146" s="118"/>
      <c r="Z146" s="120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60"/>
    </row>
    <row r="147" spans="1:40" s="84" customFormat="1" ht="13.5">
      <c r="A147" s="117" t="s">
        <v>99</v>
      </c>
      <c r="B147" s="118"/>
      <c r="C147" s="118"/>
      <c r="D147" s="118"/>
      <c r="E147" s="118" t="s">
        <v>80</v>
      </c>
      <c r="F147" s="118"/>
      <c r="G147" s="118"/>
      <c r="H147" s="118"/>
      <c r="I147" s="118" t="s">
        <v>1023</v>
      </c>
      <c r="J147" s="118" t="s">
        <v>1021</v>
      </c>
      <c r="K147" s="118"/>
      <c r="L147" s="118"/>
      <c r="M147" s="118" t="s">
        <v>991</v>
      </c>
      <c r="N147" s="119"/>
      <c r="O147" s="118"/>
      <c r="P147" s="118" t="s">
        <v>997</v>
      </c>
      <c r="Q147" s="118"/>
      <c r="R147" s="118"/>
      <c r="S147" s="118" t="s">
        <v>964</v>
      </c>
      <c r="T147" s="118" t="s">
        <v>975</v>
      </c>
      <c r="U147" s="118"/>
      <c r="V147" s="118"/>
      <c r="W147" s="118"/>
      <c r="X147" s="119"/>
      <c r="Y147" s="118"/>
      <c r="Z147" s="120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60"/>
    </row>
    <row r="148" spans="1:40" s="84" customFormat="1" ht="13.5">
      <c r="A148" s="121" t="s">
        <v>78</v>
      </c>
      <c r="B148" s="122"/>
      <c r="C148" s="122"/>
      <c r="D148" s="122"/>
      <c r="E148" s="122" t="s">
        <v>80</v>
      </c>
      <c r="F148" s="122"/>
      <c r="G148" s="122"/>
      <c r="H148" s="122"/>
      <c r="I148" s="122" t="s">
        <v>1015</v>
      </c>
      <c r="J148" s="122" t="s">
        <v>1024</v>
      </c>
      <c r="K148" s="122"/>
      <c r="L148" s="122"/>
      <c r="M148" s="122" t="s">
        <v>1007</v>
      </c>
      <c r="N148" s="123"/>
      <c r="O148" s="122"/>
      <c r="P148" s="122" t="s">
        <v>998</v>
      </c>
      <c r="Q148" s="122"/>
      <c r="R148" s="122"/>
      <c r="S148" s="122" t="s">
        <v>960</v>
      </c>
      <c r="T148" s="122" t="s">
        <v>974</v>
      </c>
      <c r="U148" s="122"/>
      <c r="V148" s="122"/>
      <c r="W148" s="122"/>
      <c r="X148" s="123"/>
      <c r="Y148" s="122"/>
      <c r="Z148" s="123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60"/>
    </row>
    <row r="149" spans="1:40" s="84" customFormat="1" ht="13.5">
      <c r="A149" s="121" t="s">
        <v>79</v>
      </c>
      <c r="B149" s="122"/>
      <c r="C149" s="122"/>
      <c r="D149" s="122"/>
      <c r="E149" s="122" t="s">
        <v>80</v>
      </c>
      <c r="F149" s="122"/>
      <c r="G149" s="122"/>
      <c r="H149" s="122"/>
      <c r="I149" s="122" t="s">
        <v>1025</v>
      </c>
      <c r="J149" s="122" t="s">
        <v>1026</v>
      </c>
      <c r="K149" s="122"/>
      <c r="L149" s="122"/>
      <c r="M149" s="122" t="s">
        <v>1007</v>
      </c>
      <c r="N149" s="123"/>
      <c r="O149" s="122"/>
      <c r="P149" s="122" t="s">
        <v>998</v>
      </c>
      <c r="Q149" s="122"/>
      <c r="R149" s="122"/>
      <c r="S149" s="122" t="s">
        <v>960</v>
      </c>
      <c r="T149" s="122" t="s">
        <v>975</v>
      </c>
      <c r="U149" s="122"/>
      <c r="V149" s="122"/>
      <c r="W149" s="122"/>
      <c r="X149" s="123"/>
      <c r="Y149" s="122"/>
      <c r="Z149" s="123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60"/>
    </row>
    <row r="150" spans="1:40" s="84" customFormat="1" ht="13.5">
      <c r="A150" s="121" t="s">
        <v>92</v>
      </c>
      <c r="B150" s="122"/>
      <c r="C150" s="122"/>
      <c r="D150" s="122"/>
      <c r="E150" s="122" t="s">
        <v>80</v>
      </c>
      <c r="F150" s="122"/>
      <c r="G150" s="122"/>
      <c r="H150" s="122"/>
      <c r="I150" s="122" t="s">
        <v>1018</v>
      </c>
      <c r="J150" s="122" t="s">
        <v>1026</v>
      </c>
      <c r="K150" s="122"/>
      <c r="L150" s="122"/>
      <c r="M150" s="122" t="s">
        <v>1004</v>
      </c>
      <c r="N150" s="123"/>
      <c r="O150" s="122"/>
      <c r="P150" s="122" t="s">
        <v>999</v>
      </c>
      <c r="Q150" s="122"/>
      <c r="R150" s="122"/>
      <c r="S150" s="122" t="s">
        <v>960</v>
      </c>
      <c r="T150" s="122" t="s">
        <v>975</v>
      </c>
      <c r="U150" s="122"/>
      <c r="V150" s="122"/>
      <c r="W150" s="122"/>
      <c r="X150" s="122"/>
      <c r="Y150" s="122"/>
      <c r="Z150" s="123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60"/>
    </row>
    <row r="151" spans="1:40" s="84" customFormat="1" ht="13.5">
      <c r="A151" s="121" t="s">
        <v>93</v>
      </c>
      <c r="B151" s="122"/>
      <c r="C151" s="122"/>
      <c r="D151" s="122"/>
      <c r="E151" s="122" t="s">
        <v>80</v>
      </c>
      <c r="F151" s="122"/>
      <c r="G151" s="122"/>
      <c r="H151" s="122"/>
      <c r="I151" s="122" t="s">
        <v>1018</v>
      </c>
      <c r="J151" s="122" t="s">
        <v>1026</v>
      </c>
      <c r="K151" s="122"/>
      <c r="L151" s="122"/>
      <c r="M151" s="122" t="s">
        <v>1004</v>
      </c>
      <c r="N151" s="123"/>
      <c r="O151" s="122"/>
      <c r="P151" s="122" t="s">
        <v>999</v>
      </c>
      <c r="Q151" s="122"/>
      <c r="R151" s="122"/>
      <c r="S151" s="122" t="s">
        <v>960</v>
      </c>
      <c r="T151" s="122" t="s">
        <v>975</v>
      </c>
      <c r="U151" s="122"/>
      <c r="V151" s="122"/>
      <c r="W151" s="122"/>
      <c r="X151" s="122"/>
      <c r="Y151" s="122"/>
      <c r="Z151" s="123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60"/>
    </row>
    <row r="152" spans="1:40" s="84" customFormat="1" ht="13.5">
      <c r="A152" s="121" t="s">
        <v>94</v>
      </c>
      <c r="B152" s="122"/>
      <c r="C152" s="122"/>
      <c r="D152" s="122"/>
      <c r="E152" s="122" t="s">
        <v>80</v>
      </c>
      <c r="F152" s="122"/>
      <c r="G152" s="122"/>
      <c r="H152" s="122"/>
      <c r="I152" s="122" t="s">
        <v>1025</v>
      </c>
      <c r="J152" s="122" t="s">
        <v>1026</v>
      </c>
      <c r="K152" s="122"/>
      <c r="L152" s="122"/>
      <c r="M152" s="122" t="s">
        <v>1008</v>
      </c>
      <c r="N152" s="123"/>
      <c r="O152" s="122"/>
      <c r="P152" s="122" t="s">
        <v>999</v>
      </c>
      <c r="Q152" s="122"/>
      <c r="R152" s="122"/>
      <c r="S152" s="122" t="s">
        <v>965</v>
      </c>
      <c r="T152" s="122" t="s">
        <v>975</v>
      </c>
      <c r="U152" s="122"/>
      <c r="V152" s="122"/>
      <c r="W152" s="122"/>
      <c r="X152" s="122"/>
      <c r="Y152" s="122"/>
      <c r="Z152" s="123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60"/>
    </row>
    <row r="153" spans="1:40" s="84" customFormat="1" ht="13.5">
      <c r="A153" s="121" t="s">
        <v>95</v>
      </c>
      <c r="B153" s="122"/>
      <c r="C153" s="122"/>
      <c r="D153" s="122"/>
      <c r="E153" s="122" t="s">
        <v>80</v>
      </c>
      <c r="F153" s="122"/>
      <c r="G153" s="122"/>
      <c r="H153" s="122"/>
      <c r="I153" s="122" t="s">
        <v>1025</v>
      </c>
      <c r="J153" s="122" t="s">
        <v>1026</v>
      </c>
      <c r="K153" s="122"/>
      <c r="L153" s="122"/>
      <c r="M153" s="122" t="s">
        <v>1008</v>
      </c>
      <c r="N153" s="123"/>
      <c r="O153" s="122"/>
      <c r="P153" s="122" t="s">
        <v>999</v>
      </c>
      <c r="Q153" s="122"/>
      <c r="R153" s="122"/>
      <c r="S153" s="122" t="s">
        <v>964</v>
      </c>
      <c r="T153" s="122" t="s">
        <v>975</v>
      </c>
      <c r="U153" s="122"/>
      <c r="V153" s="122"/>
      <c r="W153" s="122"/>
      <c r="X153" s="122"/>
      <c r="Y153" s="122"/>
      <c r="Z153" s="123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60"/>
    </row>
    <row r="154" spans="1:40" s="84" customFormat="1" ht="13.5">
      <c r="A154" s="124" t="s">
        <v>968</v>
      </c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309"/>
      <c r="AD154" s="309"/>
      <c r="AE154" s="309"/>
      <c r="AF154" s="309"/>
      <c r="AG154" s="309"/>
      <c r="AH154" s="309"/>
      <c r="AI154" s="309"/>
      <c r="AJ154" s="309"/>
      <c r="AK154" s="309"/>
      <c r="AL154" s="309"/>
      <c r="AM154" s="309"/>
      <c r="AN154" s="160"/>
    </row>
    <row r="155" spans="1:40" ht="15">
      <c r="A155" s="217" t="s">
        <v>3267</v>
      </c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</row>
    <row r="156" spans="1:40" ht="13.5" thickBot="1">
      <c r="A156" s="327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327"/>
      <c r="AD156" s="327"/>
      <c r="AE156" s="327"/>
      <c r="AF156" s="327"/>
      <c r="AG156" s="327"/>
      <c r="AH156" s="327"/>
      <c r="AI156" s="327"/>
      <c r="AJ156" s="327"/>
      <c r="AK156" s="327"/>
      <c r="AL156" s="327"/>
      <c r="AM156" s="327"/>
    </row>
    <row r="157" spans="1:40" ht="46.5">
      <c r="A157" s="211" t="s">
        <v>3053</v>
      </c>
      <c r="B157" s="212"/>
      <c r="C157" s="213" t="s">
        <v>2</v>
      </c>
      <c r="D157" s="274" t="s">
        <v>3054</v>
      </c>
      <c r="E157" s="274" t="s">
        <v>3055</v>
      </c>
      <c r="F157" s="213" t="s">
        <v>49</v>
      </c>
      <c r="G157" s="213" t="s">
        <v>50</v>
      </c>
      <c r="H157" s="213" t="s">
        <v>51</v>
      </c>
      <c r="I157" s="213" t="s">
        <v>52</v>
      </c>
      <c r="J157" s="213" t="s">
        <v>53</v>
      </c>
      <c r="K157" s="213" t="s">
        <v>5</v>
      </c>
      <c r="L157" s="274" t="s">
        <v>3056</v>
      </c>
      <c r="M157" s="213" t="s">
        <v>7</v>
      </c>
      <c r="N157" s="213" t="s">
        <v>8</v>
      </c>
      <c r="O157" s="213" t="s">
        <v>9</v>
      </c>
      <c r="P157" s="213" t="s">
        <v>10</v>
      </c>
      <c r="Q157" s="213" t="s">
        <v>11</v>
      </c>
      <c r="R157" s="213" t="s">
        <v>12</v>
      </c>
      <c r="S157" s="213" t="s">
        <v>13</v>
      </c>
      <c r="T157" s="213" t="s">
        <v>14</v>
      </c>
      <c r="U157" s="213" t="s">
        <v>15</v>
      </c>
      <c r="V157" s="213" t="s">
        <v>16</v>
      </c>
      <c r="W157" s="213" t="s">
        <v>17</v>
      </c>
      <c r="X157" s="213" t="s">
        <v>18</v>
      </c>
      <c r="Y157" s="213" t="s">
        <v>19</v>
      </c>
      <c r="Z157" s="213" t="s">
        <v>20</v>
      </c>
      <c r="AA157" s="213" t="s">
        <v>21</v>
      </c>
      <c r="AB157" s="214" t="s">
        <v>22</v>
      </c>
      <c r="AC157" s="326" t="s">
        <v>3036</v>
      </c>
      <c r="AD157" s="326" t="s">
        <v>3037</v>
      </c>
      <c r="AE157" s="326" t="s">
        <v>3038</v>
      </c>
      <c r="AF157" s="326" t="s">
        <v>3039</v>
      </c>
      <c r="AG157" s="326" t="s">
        <v>3040</v>
      </c>
      <c r="AH157" s="326" t="s">
        <v>3041</v>
      </c>
      <c r="AI157" s="326" t="s">
        <v>3042</v>
      </c>
      <c r="AJ157" s="326" t="s">
        <v>3043</v>
      </c>
      <c r="AK157" s="326" t="s">
        <v>3044</v>
      </c>
      <c r="AL157" s="326" t="s">
        <v>3045</v>
      </c>
      <c r="AM157" s="326" t="s">
        <v>3046</v>
      </c>
    </row>
    <row r="158" spans="1:40">
      <c r="A158" s="215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</row>
    <row r="159" spans="1:40">
      <c r="A159" s="166" t="s">
        <v>966</v>
      </c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</row>
    <row r="160" spans="1:40">
      <c r="A160" s="166" t="s">
        <v>68</v>
      </c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</row>
    <row r="161" spans="1:39">
      <c r="A161" s="166" t="s">
        <v>69</v>
      </c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</row>
    <row r="162" spans="1:39">
      <c r="A162" s="167" t="s">
        <v>967</v>
      </c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  <c r="AL162" s="174"/>
      <c r="AM162" s="174"/>
    </row>
    <row r="163" spans="1:39">
      <c r="A163" s="167" t="s">
        <v>70</v>
      </c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4"/>
    </row>
    <row r="164" spans="1:39">
      <c r="A164" s="167" t="s">
        <v>71</v>
      </c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  <c r="AL164" s="174"/>
      <c r="AM164" s="174"/>
    </row>
    <row r="165" spans="1:39">
      <c r="A165" s="168" t="s">
        <v>72</v>
      </c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</row>
    <row r="166" spans="1:39">
      <c r="A166" s="168" t="s">
        <v>73</v>
      </c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</row>
    <row r="167" spans="1:39">
      <c r="A167" s="168" t="s">
        <v>74</v>
      </c>
      <c r="B167" s="169"/>
      <c r="C167" s="169"/>
      <c r="D167" s="169" t="s">
        <v>3057</v>
      </c>
      <c r="E167" s="169" t="s">
        <v>3058</v>
      </c>
      <c r="F167" s="169"/>
      <c r="G167" s="169"/>
      <c r="H167" s="169"/>
      <c r="I167" s="169" t="s">
        <v>3268</v>
      </c>
      <c r="J167" s="169" t="s">
        <v>3269</v>
      </c>
      <c r="K167" s="169"/>
      <c r="L167" s="169" t="s">
        <v>3059</v>
      </c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</row>
    <row r="168" spans="1:39">
      <c r="A168" s="168" t="s">
        <v>75</v>
      </c>
      <c r="B168" s="169"/>
      <c r="C168" s="169"/>
      <c r="D168" s="169" t="s">
        <v>3060</v>
      </c>
      <c r="E168" s="169" t="s">
        <v>3061</v>
      </c>
      <c r="F168" s="169"/>
      <c r="G168" s="169"/>
      <c r="H168" s="169"/>
      <c r="I168" s="169" t="s">
        <v>3268</v>
      </c>
      <c r="J168" s="169" t="s">
        <v>3269</v>
      </c>
      <c r="K168" s="169"/>
      <c r="L168" s="169" t="s">
        <v>3059</v>
      </c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</row>
    <row r="169" spans="1:39">
      <c r="A169" s="170" t="s">
        <v>76</v>
      </c>
      <c r="B169" s="171"/>
      <c r="C169" s="171"/>
      <c r="D169" s="171" t="s">
        <v>3060</v>
      </c>
      <c r="E169" s="171" t="s">
        <v>3061</v>
      </c>
      <c r="F169" s="171"/>
      <c r="G169" s="171"/>
      <c r="H169" s="171"/>
      <c r="I169" s="171" t="s">
        <v>3268</v>
      </c>
      <c r="J169" s="171" t="s">
        <v>3269</v>
      </c>
      <c r="K169" s="171"/>
      <c r="L169" s="171" t="s">
        <v>3059</v>
      </c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71"/>
    </row>
    <row r="170" spans="1:39">
      <c r="A170" s="170" t="s">
        <v>77</v>
      </c>
      <c r="B170" s="171"/>
      <c r="C170" s="171"/>
      <c r="D170" s="171" t="s">
        <v>3060</v>
      </c>
      <c r="E170" s="171" t="s">
        <v>3061</v>
      </c>
      <c r="F170" s="171"/>
      <c r="G170" s="171"/>
      <c r="H170" s="171"/>
      <c r="I170" s="171" t="s">
        <v>3268</v>
      </c>
      <c r="J170" s="171" t="s">
        <v>3269</v>
      </c>
      <c r="K170" s="171"/>
      <c r="L170" s="171" t="s">
        <v>3059</v>
      </c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  <c r="AK170" s="171"/>
      <c r="AL170" s="171"/>
      <c r="AM170" s="171"/>
    </row>
    <row r="171" spans="1:39">
      <c r="A171" s="170" t="s">
        <v>96</v>
      </c>
      <c r="B171" s="171"/>
      <c r="C171" s="171"/>
      <c r="D171" s="171" t="s">
        <v>3062</v>
      </c>
      <c r="E171" s="171" t="s">
        <v>3063</v>
      </c>
      <c r="F171" s="171"/>
      <c r="G171" s="171"/>
      <c r="H171" s="171"/>
      <c r="I171" s="171" t="s">
        <v>3268</v>
      </c>
      <c r="J171" s="171" t="s">
        <v>3269</v>
      </c>
      <c r="K171" s="171"/>
      <c r="L171" s="171" t="s">
        <v>3059</v>
      </c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171"/>
    </row>
    <row r="172" spans="1:39">
      <c r="A172" s="170" t="s">
        <v>97</v>
      </c>
      <c r="B172" s="171"/>
      <c r="C172" s="171"/>
      <c r="D172" s="171" t="s">
        <v>3062</v>
      </c>
      <c r="E172" s="171" t="s">
        <v>3063</v>
      </c>
      <c r="F172" s="171"/>
      <c r="G172" s="171"/>
      <c r="H172" s="171"/>
      <c r="I172" s="171" t="s">
        <v>3268</v>
      </c>
      <c r="J172" s="171" t="s">
        <v>3269</v>
      </c>
      <c r="K172" s="171"/>
      <c r="L172" s="171" t="s">
        <v>3059</v>
      </c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  <c r="AL172" s="171"/>
      <c r="AM172" s="171"/>
    </row>
    <row r="173" spans="1:39">
      <c r="A173" s="170" t="s">
        <v>98</v>
      </c>
      <c r="B173" s="171"/>
      <c r="C173" s="171"/>
      <c r="D173" s="171" t="s">
        <v>3062</v>
      </c>
      <c r="E173" s="171" t="s">
        <v>3063</v>
      </c>
      <c r="F173" s="171"/>
      <c r="G173" s="171"/>
      <c r="H173" s="171"/>
      <c r="I173" s="171" t="s">
        <v>3268</v>
      </c>
      <c r="J173" s="171" t="s">
        <v>3269</v>
      </c>
      <c r="K173" s="171"/>
      <c r="L173" s="171" t="s">
        <v>3059</v>
      </c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</row>
    <row r="174" spans="1:39">
      <c r="A174" s="170" t="s">
        <v>99</v>
      </c>
      <c r="B174" s="171"/>
      <c r="C174" s="171"/>
      <c r="D174" s="171" t="s">
        <v>3062</v>
      </c>
      <c r="E174" s="171" t="s">
        <v>3063</v>
      </c>
      <c r="F174" s="171"/>
      <c r="G174" s="171"/>
      <c r="H174" s="171"/>
      <c r="I174" s="171" t="s">
        <v>3268</v>
      </c>
      <c r="J174" s="171" t="s">
        <v>3269</v>
      </c>
      <c r="K174" s="171"/>
      <c r="L174" s="171" t="s">
        <v>3059</v>
      </c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  <c r="AK174" s="171"/>
      <c r="AL174" s="171"/>
      <c r="AM174" s="171"/>
    </row>
    <row r="175" spans="1:39">
      <c r="A175" s="172" t="s">
        <v>78</v>
      </c>
      <c r="B175" s="175"/>
      <c r="C175" s="175"/>
      <c r="D175" s="175" t="s">
        <v>3060</v>
      </c>
      <c r="E175" s="175" t="s">
        <v>3061</v>
      </c>
      <c r="F175" s="175"/>
      <c r="G175" s="175"/>
      <c r="H175" s="175"/>
      <c r="I175" s="175" t="s">
        <v>3268</v>
      </c>
      <c r="J175" s="175" t="s">
        <v>3269</v>
      </c>
      <c r="K175" s="175"/>
      <c r="L175" s="175" t="s">
        <v>3059</v>
      </c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</row>
    <row r="176" spans="1:39">
      <c r="A176" s="172" t="s">
        <v>79</v>
      </c>
      <c r="B176" s="175"/>
      <c r="C176" s="175"/>
      <c r="D176" s="175" t="s">
        <v>3060</v>
      </c>
      <c r="E176" s="175" t="s">
        <v>3061</v>
      </c>
      <c r="F176" s="175"/>
      <c r="G176" s="175"/>
      <c r="H176" s="175"/>
      <c r="I176" s="175" t="s">
        <v>3268</v>
      </c>
      <c r="J176" s="175" t="s">
        <v>3269</v>
      </c>
      <c r="K176" s="175"/>
      <c r="L176" s="175" t="s">
        <v>3059</v>
      </c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</row>
    <row r="177" spans="1:39">
      <c r="A177" s="172" t="s">
        <v>92</v>
      </c>
      <c r="B177" s="175"/>
      <c r="C177" s="175"/>
      <c r="D177" s="175" t="s">
        <v>3062</v>
      </c>
      <c r="E177" s="175" t="s">
        <v>3063</v>
      </c>
      <c r="F177" s="175"/>
      <c r="G177" s="175"/>
      <c r="H177" s="175"/>
      <c r="I177" s="175" t="s">
        <v>3268</v>
      </c>
      <c r="J177" s="175" t="s">
        <v>3269</v>
      </c>
      <c r="K177" s="175"/>
      <c r="L177" s="175" t="s">
        <v>3059</v>
      </c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5"/>
      <c r="AM177" s="175"/>
    </row>
    <row r="178" spans="1:39">
      <c r="A178" s="172" t="s">
        <v>93</v>
      </c>
      <c r="B178" s="175"/>
      <c r="C178" s="175"/>
      <c r="D178" s="175" t="s">
        <v>3062</v>
      </c>
      <c r="E178" s="175" t="s">
        <v>3063</v>
      </c>
      <c r="F178" s="175"/>
      <c r="G178" s="175"/>
      <c r="H178" s="175"/>
      <c r="I178" s="175" t="s">
        <v>3268</v>
      </c>
      <c r="J178" s="175" t="s">
        <v>3269</v>
      </c>
      <c r="K178" s="175"/>
      <c r="L178" s="175" t="s">
        <v>3059</v>
      </c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5"/>
      <c r="AM178" s="175"/>
    </row>
    <row r="179" spans="1:39">
      <c r="A179" s="172" t="s">
        <v>94</v>
      </c>
      <c r="B179" s="175"/>
      <c r="C179" s="175"/>
      <c r="D179" s="175" t="s">
        <v>3062</v>
      </c>
      <c r="E179" s="175" t="s">
        <v>3063</v>
      </c>
      <c r="F179" s="175"/>
      <c r="G179" s="175"/>
      <c r="H179" s="175"/>
      <c r="I179" s="175" t="s">
        <v>3268</v>
      </c>
      <c r="J179" s="175" t="s">
        <v>3269</v>
      </c>
      <c r="K179" s="175"/>
      <c r="L179" s="175" t="s">
        <v>3059</v>
      </c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</row>
    <row r="180" spans="1:39">
      <c r="A180" s="172" t="s">
        <v>95</v>
      </c>
      <c r="B180" s="175"/>
      <c r="C180" s="175"/>
      <c r="D180" s="175" t="s">
        <v>3062</v>
      </c>
      <c r="E180" s="175" t="s">
        <v>3063</v>
      </c>
      <c r="F180" s="175"/>
      <c r="G180" s="175"/>
      <c r="H180" s="175"/>
      <c r="I180" s="175" t="s">
        <v>3268</v>
      </c>
      <c r="J180" s="175" t="s">
        <v>3269</v>
      </c>
      <c r="K180" s="175"/>
      <c r="L180" s="175" t="s">
        <v>3059</v>
      </c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  <c r="AF180" s="175"/>
      <c r="AG180" s="175"/>
      <c r="AH180" s="175"/>
      <c r="AI180" s="175"/>
      <c r="AJ180" s="175"/>
      <c r="AK180" s="175"/>
      <c r="AL180" s="175"/>
      <c r="AM180" s="175"/>
    </row>
    <row r="181" spans="1:39">
      <c r="A181" s="327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327"/>
      <c r="AD181" s="327"/>
      <c r="AE181" s="327"/>
      <c r="AF181" s="327"/>
      <c r="AG181" s="327"/>
      <c r="AH181" s="327"/>
      <c r="AI181" s="327"/>
      <c r="AJ181" s="327"/>
      <c r="AK181" s="327"/>
      <c r="AL181" s="327"/>
      <c r="AM181" s="327"/>
    </row>
    <row r="182" spans="1:39" ht="13.5" thickBot="1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</row>
    <row r="183" spans="1:39" ht="46.5">
      <c r="A183" s="211" t="s">
        <v>3064</v>
      </c>
      <c r="B183" s="212"/>
      <c r="C183" s="213" t="s">
        <v>2</v>
      </c>
      <c r="D183" s="213" t="s">
        <v>3</v>
      </c>
      <c r="E183" s="213" t="s">
        <v>4</v>
      </c>
      <c r="F183" s="213" t="s">
        <v>49</v>
      </c>
      <c r="G183" s="213" t="s">
        <v>50</v>
      </c>
      <c r="H183" s="213" t="s">
        <v>51</v>
      </c>
      <c r="I183" s="213" t="s">
        <v>52</v>
      </c>
      <c r="J183" s="213" t="s">
        <v>53</v>
      </c>
      <c r="K183" s="213" t="s">
        <v>5</v>
      </c>
      <c r="L183" s="213" t="s">
        <v>6</v>
      </c>
      <c r="M183" s="213" t="s">
        <v>7</v>
      </c>
      <c r="N183" s="213" t="s">
        <v>8</v>
      </c>
      <c r="O183" s="213" t="s">
        <v>9</v>
      </c>
      <c r="P183" s="213" t="s">
        <v>10</v>
      </c>
      <c r="Q183" s="213" t="s">
        <v>11</v>
      </c>
      <c r="R183" s="213" t="s">
        <v>12</v>
      </c>
      <c r="S183" s="213" t="s">
        <v>13</v>
      </c>
      <c r="T183" s="213" t="s">
        <v>14</v>
      </c>
      <c r="U183" s="213" t="s">
        <v>15</v>
      </c>
      <c r="V183" s="213" t="s">
        <v>16</v>
      </c>
      <c r="W183" s="213" t="s">
        <v>17</v>
      </c>
      <c r="X183" s="213" t="s">
        <v>18</v>
      </c>
      <c r="Y183" s="213" t="s">
        <v>19</v>
      </c>
      <c r="Z183" s="213" t="s">
        <v>20</v>
      </c>
      <c r="AA183" s="213" t="s">
        <v>21</v>
      </c>
      <c r="AB183" s="214" t="s">
        <v>22</v>
      </c>
      <c r="AC183" s="326" t="s">
        <v>3036</v>
      </c>
      <c r="AD183" s="326" t="s">
        <v>3037</v>
      </c>
      <c r="AE183" s="326" t="s">
        <v>3038</v>
      </c>
      <c r="AF183" s="326" t="s">
        <v>3039</v>
      </c>
      <c r="AG183" s="326" t="s">
        <v>3040</v>
      </c>
      <c r="AH183" s="326" t="s">
        <v>3041</v>
      </c>
      <c r="AI183" s="326" t="s">
        <v>3042</v>
      </c>
      <c r="AJ183" s="326" t="s">
        <v>3043</v>
      </c>
      <c r="AK183" s="326" t="s">
        <v>3044</v>
      </c>
      <c r="AL183" s="326" t="s">
        <v>3045</v>
      </c>
      <c r="AM183" s="326" t="s">
        <v>3046</v>
      </c>
    </row>
    <row r="184" spans="1:39">
      <c r="A184" s="215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</row>
    <row r="185" spans="1:39">
      <c r="A185" s="166" t="s">
        <v>966</v>
      </c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>
        <v>3000</v>
      </c>
      <c r="O185" s="173">
        <v>350</v>
      </c>
      <c r="P185" s="173">
        <v>9</v>
      </c>
      <c r="Q185" s="173">
        <v>3500</v>
      </c>
      <c r="R185" s="173">
        <v>45</v>
      </c>
      <c r="S185" s="173">
        <v>2300</v>
      </c>
      <c r="T185" s="173"/>
      <c r="U185" s="173">
        <v>8</v>
      </c>
      <c r="V185" s="173">
        <v>34</v>
      </c>
      <c r="W185" s="173"/>
      <c r="X185" s="173" t="s">
        <v>80</v>
      </c>
      <c r="Y185" s="173" t="s">
        <v>80</v>
      </c>
      <c r="Z185" s="173">
        <v>80</v>
      </c>
      <c r="AA185" s="173">
        <v>30</v>
      </c>
      <c r="AB185" s="173">
        <v>1800</v>
      </c>
      <c r="AC185" s="173"/>
      <c r="AD185" s="173"/>
      <c r="AE185" s="173"/>
      <c r="AF185" s="173">
        <v>100</v>
      </c>
      <c r="AG185" s="173">
        <v>800</v>
      </c>
      <c r="AH185" s="173"/>
      <c r="AI185" s="173"/>
      <c r="AJ185" s="173">
        <v>400</v>
      </c>
      <c r="AK185" s="173">
        <v>2800</v>
      </c>
      <c r="AL185" s="173"/>
      <c r="AM185" s="173"/>
    </row>
    <row r="186" spans="1:39">
      <c r="A186" s="166" t="s">
        <v>68</v>
      </c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>
        <v>2500</v>
      </c>
      <c r="O186" s="173">
        <v>350</v>
      </c>
      <c r="P186" s="173">
        <v>11</v>
      </c>
      <c r="Q186" s="173">
        <v>3500</v>
      </c>
      <c r="R186" s="173">
        <v>45</v>
      </c>
      <c r="S186" s="173">
        <v>2300</v>
      </c>
      <c r="T186" s="173"/>
      <c r="U186" s="173">
        <v>10</v>
      </c>
      <c r="V186" s="173">
        <v>40</v>
      </c>
      <c r="W186" s="173"/>
      <c r="X186" s="173" t="s">
        <v>80</v>
      </c>
      <c r="Y186" s="173" t="s">
        <v>80</v>
      </c>
      <c r="Z186" s="173">
        <v>100</v>
      </c>
      <c r="AA186" s="173">
        <v>35</v>
      </c>
      <c r="AB186" s="173">
        <v>2000</v>
      </c>
      <c r="AC186" s="173"/>
      <c r="AD186" s="173"/>
      <c r="AE186" s="173"/>
      <c r="AF186" s="173">
        <v>100</v>
      </c>
      <c r="AG186" s="173">
        <v>1000</v>
      </c>
      <c r="AH186" s="173"/>
      <c r="AI186" s="173"/>
      <c r="AJ186" s="173">
        <v>400</v>
      </c>
      <c r="AK186" s="173">
        <v>3000</v>
      </c>
      <c r="AL186" s="173"/>
      <c r="AM186" s="173"/>
    </row>
    <row r="187" spans="1:39">
      <c r="A187" s="166" t="s">
        <v>69</v>
      </c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>
        <v>2500</v>
      </c>
      <c r="O187" s="173">
        <v>350</v>
      </c>
      <c r="P187" s="173">
        <v>11</v>
      </c>
      <c r="Q187" s="173">
        <v>3500</v>
      </c>
      <c r="R187" s="173">
        <v>45</v>
      </c>
      <c r="S187" s="173">
        <v>2300</v>
      </c>
      <c r="T187" s="173"/>
      <c r="U187" s="173">
        <v>10</v>
      </c>
      <c r="V187" s="173">
        <v>40</v>
      </c>
      <c r="W187" s="173"/>
      <c r="X187" s="173" t="s">
        <v>80</v>
      </c>
      <c r="Y187" s="173" t="s">
        <v>80</v>
      </c>
      <c r="Z187" s="173">
        <v>100</v>
      </c>
      <c r="AA187" s="173">
        <v>35</v>
      </c>
      <c r="AB187" s="173">
        <v>2000</v>
      </c>
      <c r="AC187" s="173"/>
      <c r="AD187" s="173"/>
      <c r="AE187" s="173"/>
      <c r="AF187" s="173">
        <v>100</v>
      </c>
      <c r="AG187" s="173">
        <v>1000</v>
      </c>
      <c r="AH187" s="173"/>
      <c r="AI187" s="173"/>
      <c r="AJ187" s="173">
        <v>400</v>
      </c>
      <c r="AK187" s="173">
        <v>3000</v>
      </c>
      <c r="AL187" s="173"/>
      <c r="AM187" s="173"/>
    </row>
    <row r="188" spans="1:39">
      <c r="A188" s="167" t="s">
        <v>967</v>
      </c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>
        <v>3000</v>
      </c>
      <c r="O188" s="174">
        <v>350</v>
      </c>
      <c r="P188" s="174">
        <v>9</v>
      </c>
      <c r="Q188" s="174">
        <v>4000</v>
      </c>
      <c r="R188" s="174">
        <v>45</v>
      </c>
      <c r="S188" s="174">
        <v>2300</v>
      </c>
      <c r="T188" s="174"/>
      <c r="U188" s="174">
        <v>8</v>
      </c>
      <c r="V188" s="174">
        <v>34</v>
      </c>
      <c r="W188" s="174"/>
      <c r="X188" s="174" t="s">
        <v>80</v>
      </c>
      <c r="Y188" s="174" t="s">
        <v>80</v>
      </c>
      <c r="Z188" s="174">
        <v>80</v>
      </c>
      <c r="AA188" s="174">
        <v>30</v>
      </c>
      <c r="AB188" s="174">
        <v>1800</v>
      </c>
      <c r="AC188" s="174"/>
      <c r="AD188" s="174"/>
      <c r="AE188" s="174"/>
      <c r="AF188" s="174">
        <v>100</v>
      </c>
      <c r="AG188" s="174">
        <v>800</v>
      </c>
      <c r="AH188" s="174"/>
      <c r="AI188" s="174"/>
      <c r="AJ188" s="174">
        <v>400</v>
      </c>
      <c r="AK188" s="174">
        <v>2800</v>
      </c>
      <c r="AL188" s="174"/>
      <c r="AM188" s="174"/>
    </row>
    <row r="189" spans="1:39">
      <c r="A189" s="167" t="s">
        <v>70</v>
      </c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>
        <v>2500</v>
      </c>
      <c r="O189" s="174">
        <v>350</v>
      </c>
      <c r="P189" s="174">
        <v>11</v>
      </c>
      <c r="Q189" s="174">
        <v>4000</v>
      </c>
      <c r="R189" s="174">
        <v>45</v>
      </c>
      <c r="S189" s="174">
        <v>2300</v>
      </c>
      <c r="T189" s="174"/>
      <c r="U189" s="174">
        <v>10</v>
      </c>
      <c r="V189" s="174">
        <v>40</v>
      </c>
      <c r="W189" s="174"/>
      <c r="X189" s="174" t="s">
        <v>80</v>
      </c>
      <c r="Y189" s="174" t="s">
        <v>80</v>
      </c>
      <c r="Z189" s="174">
        <v>100</v>
      </c>
      <c r="AA189" s="174">
        <v>35</v>
      </c>
      <c r="AB189" s="174">
        <v>2000</v>
      </c>
      <c r="AC189" s="174"/>
      <c r="AD189" s="174"/>
      <c r="AE189" s="174"/>
      <c r="AF189" s="174">
        <v>100</v>
      </c>
      <c r="AG189" s="174">
        <v>1000</v>
      </c>
      <c r="AH189" s="174"/>
      <c r="AI189" s="174"/>
      <c r="AJ189" s="174">
        <v>400</v>
      </c>
      <c r="AK189" s="174">
        <v>3000</v>
      </c>
      <c r="AL189" s="174"/>
      <c r="AM189" s="174"/>
    </row>
    <row r="190" spans="1:39">
      <c r="A190" s="167" t="s">
        <v>71</v>
      </c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>
        <v>2500</v>
      </c>
      <c r="O190" s="174">
        <v>350</v>
      </c>
      <c r="P190" s="174">
        <v>11</v>
      </c>
      <c r="Q190" s="174">
        <v>4000</v>
      </c>
      <c r="R190" s="174">
        <v>45</v>
      </c>
      <c r="S190" s="174">
        <v>2300</v>
      </c>
      <c r="T190" s="174"/>
      <c r="U190" s="174">
        <v>10</v>
      </c>
      <c r="V190" s="174">
        <v>40</v>
      </c>
      <c r="W190" s="174"/>
      <c r="X190" s="174" t="s">
        <v>80</v>
      </c>
      <c r="Y190" s="174" t="s">
        <v>80</v>
      </c>
      <c r="Z190" s="174">
        <v>100</v>
      </c>
      <c r="AA190" s="174">
        <v>35</v>
      </c>
      <c r="AB190" s="174">
        <v>2000</v>
      </c>
      <c r="AC190" s="174"/>
      <c r="AD190" s="174"/>
      <c r="AE190" s="174"/>
      <c r="AF190" s="174">
        <v>100</v>
      </c>
      <c r="AG190" s="174">
        <v>1000</v>
      </c>
      <c r="AH190" s="174"/>
      <c r="AI190" s="174"/>
      <c r="AJ190" s="174">
        <v>400</v>
      </c>
      <c r="AK190" s="174">
        <v>3000</v>
      </c>
      <c r="AL190" s="174"/>
      <c r="AM190" s="174"/>
    </row>
    <row r="191" spans="1:39">
      <c r="A191" s="168" t="s">
        <v>72</v>
      </c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>
        <v>1000</v>
      </c>
      <c r="O191" s="169" t="s">
        <v>80</v>
      </c>
      <c r="P191" s="169" t="s">
        <v>80</v>
      </c>
      <c r="Q191" s="169" t="s">
        <v>80</v>
      </c>
      <c r="R191" s="169">
        <v>40</v>
      </c>
      <c r="S191" s="169" t="s">
        <v>80</v>
      </c>
      <c r="T191" s="169"/>
      <c r="U191" s="169" t="s">
        <v>80</v>
      </c>
      <c r="V191" s="169">
        <v>4</v>
      </c>
      <c r="W191" s="169"/>
      <c r="X191" s="169" t="s">
        <v>80</v>
      </c>
      <c r="Y191" s="169" t="s">
        <v>80</v>
      </c>
      <c r="Z191" s="169" t="s">
        <v>80</v>
      </c>
      <c r="AA191" s="169" t="s">
        <v>80</v>
      </c>
      <c r="AB191" s="169" t="s">
        <v>80</v>
      </c>
      <c r="AC191" s="169"/>
      <c r="AD191" s="169"/>
      <c r="AE191" s="169"/>
      <c r="AF191" s="169">
        <v>25</v>
      </c>
      <c r="AG191" s="169" t="s">
        <v>80</v>
      </c>
      <c r="AH191" s="169"/>
      <c r="AI191" s="169"/>
      <c r="AJ191" s="169">
        <v>45</v>
      </c>
      <c r="AK191" s="169">
        <v>600</v>
      </c>
      <c r="AL191" s="169"/>
      <c r="AM191" s="169"/>
    </row>
    <row r="192" spans="1:39">
      <c r="A192" s="168" t="s">
        <v>73</v>
      </c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>
        <v>1500</v>
      </c>
      <c r="O192" s="169" t="s">
        <v>80</v>
      </c>
      <c r="P192" s="169" t="s">
        <v>80</v>
      </c>
      <c r="Q192" s="169" t="s">
        <v>80</v>
      </c>
      <c r="R192" s="169">
        <v>40</v>
      </c>
      <c r="S192" s="169" t="s">
        <v>80</v>
      </c>
      <c r="T192" s="169"/>
      <c r="U192" s="169" t="s">
        <v>80</v>
      </c>
      <c r="V192" s="169">
        <v>5</v>
      </c>
      <c r="W192" s="169"/>
      <c r="X192" s="169" t="s">
        <v>80</v>
      </c>
      <c r="Y192" s="169" t="s">
        <v>80</v>
      </c>
      <c r="Z192" s="169" t="s">
        <v>80</v>
      </c>
      <c r="AA192" s="169" t="s">
        <v>80</v>
      </c>
      <c r="AB192" s="169" t="s">
        <v>80</v>
      </c>
      <c r="AC192" s="169"/>
      <c r="AD192" s="169"/>
      <c r="AE192" s="169"/>
      <c r="AF192" s="169">
        <v>38</v>
      </c>
      <c r="AG192" s="169" t="s">
        <v>80</v>
      </c>
      <c r="AH192" s="169"/>
      <c r="AI192" s="169"/>
      <c r="AJ192" s="169">
        <v>60</v>
      </c>
      <c r="AK192" s="169">
        <v>600</v>
      </c>
      <c r="AL192" s="169"/>
      <c r="AM192" s="169"/>
    </row>
    <row r="193" spans="1:39">
      <c r="A193" s="168" t="s">
        <v>74</v>
      </c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>
        <v>2500</v>
      </c>
      <c r="O193" s="169">
        <v>65</v>
      </c>
      <c r="P193" s="169">
        <v>2</v>
      </c>
      <c r="Q193" s="169">
        <v>3000</v>
      </c>
      <c r="R193" s="169">
        <v>40</v>
      </c>
      <c r="S193" s="169">
        <v>1500</v>
      </c>
      <c r="T193" s="169"/>
      <c r="U193" s="169">
        <v>1</v>
      </c>
      <c r="V193" s="169">
        <v>7</v>
      </c>
      <c r="W193" s="169"/>
      <c r="X193" s="169" t="s">
        <v>80</v>
      </c>
      <c r="Y193" s="169" t="s">
        <v>80</v>
      </c>
      <c r="Z193" s="169">
        <v>30</v>
      </c>
      <c r="AA193" s="169">
        <v>10</v>
      </c>
      <c r="AB193" s="169">
        <v>400</v>
      </c>
      <c r="AC193" s="169"/>
      <c r="AD193" s="169"/>
      <c r="AE193" s="169"/>
      <c r="AF193" s="169">
        <v>63</v>
      </c>
      <c r="AG193" s="169">
        <v>200</v>
      </c>
      <c r="AH193" s="169"/>
      <c r="AI193" s="169"/>
      <c r="AJ193" s="169">
        <v>90</v>
      </c>
      <c r="AK193" s="169">
        <v>600</v>
      </c>
      <c r="AL193" s="169"/>
      <c r="AM193" s="169"/>
    </row>
    <row r="194" spans="1:39">
      <c r="A194" s="168" t="s">
        <v>75</v>
      </c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>
        <v>2500</v>
      </c>
      <c r="O194" s="169">
        <v>110</v>
      </c>
      <c r="P194" s="169">
        <v>3</v>
      </c>
      <c r="Q194" s="169">
        <v>3000</v>
      </c>
      <c r="R194" s="169">
        <v>40</v>
      </c>
      <c r="S194" s="169">
        <v>1900</v>
      </c>
      <c r="T194" s="169"/>
      <c r="U194" s="169">
        <v>3</v>
      </c>
      <c r="V194" s="169">
        <v>12</v>
      </c>
      <c r="W194" s="169"/>
      <c r="X194" s="169" t="s">
        <v>80</v>
      </c>
      <c r="Y194" s="169" t="s">
        <v>80</v>
      </c>
      <c r="Z194" s="169">
        <v>40</v>
      </c>
      <c r="AA194" s="169">
        <v>15</v>
      </c>
      <c r="AB194" s="169">
        <v>650</v>
      </c>
      <c r="AC194" s="169"/>
      <c r="AD194" s="169"/>
      <c r="AE194" s="169"/>
      <c r="AF194" s="169">
        <v>75</v>
      </c>
      <c r="AG194" s="169">
        <v>300</v>
      </c>
      <c r="AH194" s="169"/>
      <c r="AI194" s="169"/>
      <c r="AJ194" s="169">
        <v>150</v>
      </c>
      <c r="AK194" s="169">
        <v>900</v>
      </c>
      <c r="AL194" s="169"/>
      <c r="AM194" s="169"/>
    </row>
    <row r="195" spans="1:39">
      <c r="A195" s="170" t="s">
        <v>76</v>
      </c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>
        <v>3000</v>
      </c>
      <c r="O195" s="171">
        <v>350</v>
      </c>
      <c r="P195" s="171">
        <v>6</v>
      </c>
      <c r="Q195" s="171">
        <v>4000</v>
      </c>
      <c r="R195" s="171">
        <v>40</v>
      </c>
      <c r="S195" s="171">
        <v>2200</v>
      </c>
      <c r="T195" s="171"/>
      <c r="U195" s="171">
        <v>5</v>
      </c>
      <c r="V195" s="171">
        <v>23</v>
      </c>
      <c r="W195" s="171"/>
      <c r="X195" s="171" t="s">
        <v>80</v>
      </c>
      <c r="Y195" s="171" t="s">
        <v>80</v>
      </c>
      <c r="Z195" s="171">
        <v>60</v>
      </c>
      <c r="AA195" s="171">
        <v>20</v>
      </c>
      <c r="AB195" s="171">
        <v>1200</v>
      </c>
      <c r="AC195" s="171"/>
      <c r="AD195" s="171"/>
      <c r="AE195" s="171"/>
      <c r="AF195" s="171">
        <v>100</v>
      </c>
      <c r="AG195" s="171">
        <v>600</v>
      </c>
      <c r="AH195" s="171"/>
      <c r="AI195" s="171"/>
      <c r="AJ195" s="171">
        <v>280</v>
      </c>
      <c r="AK195" s="171">
        <v>1700</v>
      </c>
      <c r="AL195" s="171"/>
      <c r="AM195" s="171"/>
    </row>
    <row r="196" spans="1:39">
      <c r="A196" s="170" t="s">
        <v>77</v>
      </c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>
        <v>3000</v>
      </c>
      <c r="O196" s="171">
        <v>350</v>
      </c>
      <c r="P196" s="171">
        <v>9</v>
      </c>
      <c r="Q196" s="171">
        <v>4000</v>
      </c>
      <c r="R196" s="171">
        <v>45</v>
      </c>
      <c r="S196" s="171">
        <v>2300</v>
      </c>
      <c r="T196" s="171"/>
      <c r="U196" s="171">
        <v>8</v>
      </c>
      <c r="V196" s="171">
        <v>34</v>
      </c>
      <c r="W196" s="171"/>
      <c r="X196" s="171" t="s">
        <v>80</v>
      </c>
      <c r="Y196" s="171" t="s">
        <v>80</v>
      </c>
      <c r="Z196" s="171">
        <v>80</v>
      </c>
      <c r="AA196" s="171">
        <v>30</v>
      </c>
      <c r="AB196" s="171">
        <v>1800</v>
      </c>
      <c r="AC196" s="171"/>
      <c r="AD196" s="171"/>
      <c r="AE196" s="171"/>
      <c r="AF196" s="171">
        <v>100</v>
      </c>
      <c r="AG196" s="171">
        <v>800</v>
      </c>
      <c r="AH196" s="171"/>
      <c r="AI196" s="171"/>
      <c r="AJ196" s="171">
        <v>400</v>
      </c>
      <c r="AK196" s="171">
        <v>2800</v>
      </c>
      <c r="AL196" s="171"/>
      <c r="AM196" s="171"/>
    </row>
    <row r="197" spans="1:39">
      <c r="A197" s="170" t="s">
        <v>96</v>
      </c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>
        <v>2500</v>
      </c>
      <c r="O197" s="171">
        <v>350</v>
      </c>
      <c r="P197" s="171">
        <v>11</v>
      </c>
      <c r="Q197" s="171">
        <v>4000</v>
      </c>
      <c r="R197" s="171">
        <v>45</v>
      </c>
      <c r="S197" s="171">
        <v>2300</v>
      </c>
      <c r="T197" s="171"/>
      <c r="U197" s="171">
        <v>10</v>
      </c>
      <c r="V197" s="171">
        <v>40</v>
      </c>
      <c r="W197" s="171"/>
      <c r="X197" s="171" t="s">
        <v>80</v>
      </c>
      <c r="Y197" s="171" t="s">
        <v>80</v>
      </c>
      <c r="Z197" s="171">
        <v>100</v>
      </c>
      <c r="AA197" s="171">
        <v>35</v>
      </c>
      <c r="AB197" s="171">
        <v>2000</v>
      </c>
      <c r="AC197" s="171"/>
      <c r="AD197" s="171"/>
      <c r="AE197" s="171"/>
      <c r="AF197" s="171">
        <v>100</v>
      </c>
      <c r="AG197" s="171">
        <v>1000</v>
      </c>
      <c r="AH197" s="171"/>
      <c r="AI197" s="171"/>
      <c r="AJ197" s="171">
        <v>400</v>
      </c>
      <c r="AK197" s="171">
        <v>3000</v>
      </c>
      <c r="AL197" s="171"/>
      <c r="AM197" s="171"/>
    </row>
    <row r="198" spans="1:39">
      <c r="A198" s="170" t="s">
        <v>97</v>
      </c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>
        <v>2500</v>
      </c>
      <c r="O198" s="171">
        <v>350</v>
      </c>
      <c r="P198" s="171">
        <v>11</v>
      </c>
      <c r="Q198" s="171">
        <v>4000</v>
      </c>
      <c r="R198" s="171">
        <v>45</v>
      </c>
      <c r="S198" s="171">
        <v>2300</v>
      </c>
      <c r="T198" s="171"/>
      <c r="U198" s="171">
        <v>10</v>
      </c>
      <c r="V198" s="171">
        <v>40</v>
      </c>
      <c r="W198" s="171"/>
      <c r="X198" s="171" t="s">
        <v>80</v>
      </c>
      <c r="Y198" s="171" t="s">
        <v>80</v>
      </c>
      <c r="Z198" s="171">
        <v>100</v>
      </c>
      <c r="AA198" s="171">
        <v>35</v>
      </c>
      <c r="AB198" s="171">
        <v>2000</v>
      </c>
      <c r="AC198" s="171"/>
      <c r="AD198" s="171"/>
      <c r="AE198" s="171"/>
      <c r="AF198" s="171">
        <v>100</v>
      </c>
      <c r="AG198" s="171">
        <v>1000</v>
      </c>
      <c r="AH198" s="171"/>
      <c r="AI198" s="171"/>
      <c r="AJ198" s="171">
        <v>400</v>
      </c>
      <c r="AK198" s="171">
        <v>3000</v>
      </c>
      <c r="AL198" s="171"/>
      <c r="AM198" s="171"/>
    </row>
    <row r="199" spans="1:39">
      <c r="A199" s="170" t="s">
        <v>98</v>
      </c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>
        <v>2000</v>
      </c>
      <c r="O199" s="171">
        <v>350</v>
      </c>
      <c r="P199" s="171">
        <v>11</v>
      </c>
      <c r="Q199" s="171">
        <v>4000</v>
      </c>
      <c r="R199" s="171">
        <v>45</v>
      </c>
      <c r="S199" s="171">
        <v>2300</v>
      </c>
      <c r="T199" s="171"/>
      <c r="U199" s="171">
        <v>10</v>
      </c>
      <c r="V199" s="171">
        <v>40</v>
      </c>
      <c r="W199" s="171"/>
      <c r="X199" s="171" t="s">
        <v>80</v>
      </c>
      <c r="Y199" s="171" t="s">
        <v>80</v>
      </c>
      <c r="Z199" s="171">
        <v>100</v>
      </c>
      <c r="AA199" s="171">
        <v>35</v>
      </c>
      <c r="AB199" s="171">
        <v>2000</v>
      </c>
      <c r="AC199" s="171"/>
      <c r="AD199" s="171"/>
      <c r="AE199" s="171"/>
      <c r="AF199" s="171">
        <v>100</v>
      </c>
      <c r="AG199" s="171">
        <v>1000</v>
      </c>
      <c r="AH199" s="171"/>
      <c r="AI199" s="171"/>
      <c r="AJ199" s="171">
        <v>400</v>
      </c>
      <c r="AK199" s="171">
        <v>3000</v>
      </c>
      <c r="AL199" s="171"/>
      <c r="AM199" s="171"/>
    </row>
    <row r="200" spans="1:39">
      <c r="A200" s="170" t="s">
        <v>99</v>
      </c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>
        <v>2000</v>
      </c>
      <c r="O200" s="171">
        <v>350</v>
      </c>
      <c r="P200" s="171">
        <v>11</v>
      </c>
      <c r="Q200" s="171">
        <v>3000</v>
      </c>
      <c r="R200" s="171">
        <v>45</v>
      </c>
      <c r="S200" s="171">
        <v>2300</v>
      </c>
      <c r="T200" s="171"/>
      <c r="U200" s="171">
        <v>10</v>
      </c>
      <c r="V200" s="171">
        <v>40</v>
      </c>
      <c r="W200" s="171"/>
      <c r="X200" s="171" t="s">
        <v>80</v>
      </c>
      <c r="Y200" s="171" t="s">
        <v>80</v>
      </c>
      <c r="Z200" s="171">
        <v>100</v>
      </c>
      <c r="AA200" s="171">
        <v>35</v>
      </c>
      <c r="AB200" s="171">
        <v>2000</v>
      </c>
      <c r="AC200" s="171"/>
      <c r="AD200" s="171"/>
      <c r="AE200" s="171"/>
      <c r="AF200" s="171">
        <v>100</v>
      </c>
      <c r="AG200" s="171">
        <v>1000</v>
      </c>
      <c r="AH200" s="171"/>
      <c r="AI200" s="171"/>
      <c r="AJ200" s="171">
        <v>400</v>
      </c>
      <c r="AK200" s="171">
        <v>3000</v>
      </c>
      <c r="AL200" s="171"/>
      <c r="AM200" s="171"/>
    </row>
    <row r="201" spans="1:39">
      <c r="A201" s="172" t="s">
        <v>78</v>
      </c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>
        <v>3000</v>
      </c>
      <c r="O201" s="175">
        <v>350</v>
      </c>
      <c r="P201" s="175">
        <v>6</v>
      </c>
      <c r="Q201" s="175">
        <v>4000</v>
      </c>
      <c r="R201" s="175">
        <v>40</v>
      </c>
      <c r="S201" s="175">
        <v>2200</v>
      </c>
      <c r="T201" s="175"/>
      <c r="U201" s="175">
        <v>5</v>
      </c>
      <c r="V201" s="175">
        <v>23</v>
      </c>
      <c r="W201" s="175"/>
      <c r="X201" s="175" t="s">
        <v>80</v>
      </c>
      <c r="Y201" s="175" t="s">
        <v>80</v>
      </c>
      <c r="Z201" s="175">
        <v>60</v>
      </c>
      <c r="AA201" s="175">
        <v>20</v>
      </c>
      <c r="AB201" s="175">
        <v>1200</v>
      </c>
      <c r="AC201" s="175"/>
      <c r="AD201" s="175"/>
      <c r="AE201" s="175"/>
      <c r="AF201" s="175">
        <v>100</v>
      </c>
      <c r="AG201" s="175">
        <v>600</v>
      </c>
      <c r="AH201" s="175"/>
      <c r="AI201" s="175"/>
      <c r="AJ201" s="175">
        <v>280</v>
      </c>
      <c r="AK201" s="175">
        <v>1700</v>
      </c>
      <c r="AL201" s="175"/>
      <c r="AM201" s="175"/>
    </row>
    <row r="202" spans="1:39">
      <c r="A202" s="172" t="s">
        <v>79</v>
      </c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>
        <v>3000</v>
      </c>
      <c r="O202" s="175">
        <v>350</v>
      </c>
      <c r="P202" s="175">
        <v>9</v>
      </c>
      <c r="Q202" s="175">
        <v>4000</v>
      </c>
      <c r="R202" s="175">
        <v>45</v>
      </c>
      <c r="S202" s="175">
        <v>2300</v>
      </c>
      <c r="T202" s="175"/>
      <c r="U202" s="175">
        <v>8</v>
      </c>
      <c r="V202" s="175">
        <v>34</v>
      </c>
      <c r="W202" s="175"/>
      <c r="X202" s="175" t="s">
        <v>80</v>
      </c>
      <c r="Y202" s="175" t="s">
        <v>80</v>
      </c>
      <c r="Z202" s="175">
        <v>80</v>
      </c>
      <c r="AA202" s="175">
        <v>30</v>
      </c>
      <c r="AB202" s="175">
        <v>1800</v>
      </c>
      <c r="AC202" s="175"/>
      <c r="AD202" s="175"/>
      <c r="AE202" s="175"/>
      <c r="AF202" s="175">
        <v>100</v>
      </c>
      <c r="AG202" s="175">
        <v>800</v>
      </c>
      <c r="AH202" s="175"/>
      <c r="AI202" s="175"/>
      <c r="AJ202" s="175">
        <v>400</v>
      </c>
      <c r="AK202" s="175">
        <v>2800</v>
      </c>
      <c r="AL202" s="175"/>
      <c r="AM202" s="175"/>
    </row>
    <row r="203" spans="1:39">
      <c r="A203" s="172" t="s">
        <v>92</v>
      </c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>
        <v>2500</v>
      </c>
      <c r="O203" s="175">
        <v>350</v>
      </c>
      <c r="P203" s="175">
        <v>11</v>
      </c>
      <c r="Q203" s="175">
        <v>4000</v>
      </c>
      <c r="R203" s="175">
        <v>45</v>
      </c>
      <c r="S203" s="175">
        <v>2300</v>
      </c>
      <c r="T203" s="175"/>
      <c r="U203" s="175">
        <v>10</v>
      </c>
      <c r="V203" s="175">
        <v>40</v>
      </c>
      <c r="W203" s="175"/>
      <c r="X203" s="175" t="s">
        <v>80</v>
      </c>
      <c r="Y203" s="175" t="s">
        <v>80</v>
      </c>
      <c r="Z203" s="175">
        <v>100</v>
      </c>
      <c r="AA203" s="175">
        <v>35</v>
      </c>
      <c r="AB203" s="175">
        <v>2000</v>
      </c>
      <c r="AC203" s="175"/>
      <c r="AD203" s="175"/>
      <c r="AE203" s="175"/>
      <c r="AF203" s="175">
        <v>100</v>
      </c>
      <c r="AG203" s="175">
        <v>1000</v>
      </c>
      <c r="AH203" s="175"/>
      <c r="AI203" s="175"/>
      <c r="AJ203" s="175">
        <v>400</v>
      </c>
      <c r="AK203" s="175">
        <v>3000</v>
      </c>
      <c r="AL203" s="175"/>
      <c r="AM203" s="175"/>
    </row>
    <row r="204" spans="1:39">
      <c r="A204" s="172" t="s">
        <v>93</v>
      </c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>
        <v>2500</v>
      </c>
      <c r="O204" s="175">
        <v>350</v>
      </c>
      <c r="P204" s="175">
        <v>11</v>
      </c>
      <c r="Q204" s="175">
        <v>4000</v>
      </c>
      <c r="R204" s="175">
        <v>45</v>
      </c>
      <c r="S204" s="175">
        <v>2300</v>
      </c>
      <c r="T204" s="175"/>
      <c r="U204" s="175">
        <v>10</v>
      </c>
      <c r="V204" s="175">
        <v>40</v>
      </c>
      <c r="W204" s="175"/>
      <c r="X204" s="175" t="s">
        <v>80</v>
      </c>
      <c r="Y204" s="175" t="s">
        <v>80</v>
      </c>
      <c r="Z204" s="175">
        <v>100</v>
      </c>
      <c r="AA204" s="175">
        <v>35</v>
      </c>
      <c r="AB204" s="175">
        <v>2000</v>
      </c>
      <c r="AC204" s="175"/>
      <c r="AD204" s="175"/>
      <c r="AE204" s="175"/>
      <c r="AF204" s="175">
        <v>100</v>
      </c>
      <c r="AG204" s="175">
        <v>1000</v>
      </c>
      <c r="AH204" s="175"/>
      <c r="AI204" s="175"/>
      <c r="AJ204" s="175">
        <v>400</v>
      </c>
      <c r="AK204" s="175">
        <v>3000</v>
      </c>
      <c r="AL204" s="175"/>
      <c r="AM204" s="175"/>
    </row>
    <row r="205" spans="1:39">
      <c r="A205" s="172" t="s">
        <v>94</v>
      </c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>
        <v>2000</v>
      </c>
      <c r="O205" s="175">
        <v>350</v>
      </c>
      <c r="P205" s="175">
        <v>11</v>
      </c>
      <c r="Q205" s="175">
        <v>4000</v>
      </c>
      <c r="R205" s="175">
        <v>45</v>
      </c>
      <c r="S205" s="175">
        <v>2300</v>
      </c>
      <c r="T205" s="175"/>
      <c r="U205" s="175">
        <v>10</v>
      </c>
      <c r="V205" s="175">
        <v>40</v>
      </c>
      <c r="W205" s="175"/>
      <c r="X205" s="175" t="s">
        <v>80</v>
      </c>
      <c r="Y205" s="175" t="s">
        <v>80</v>
      </c>
      <c r="Z205" s="175">
        <v>100</v>
      </c>
      <c r="AA205" s="175">
        <v>35</v>
      </c>
      <c r="AB205" s="175">
        <v>2000</v>
      </c>
      <c r="AC205" s="175"/>
      <c r="AD205" s="175"/>
      <c r="AE205" s="175"/>
      <c r="AF205" s="175">
        <v>100</v>
      </c>
      <c r="AG205" s="175">
        <v>1000</v>
      </c>
      <c r="AH205" s="175"/>
      <c r="AI205" s="175"/>
      <c r="AJ205" s="175">
        <v>400</v>
      </c>
      <c r="AK205" s="175">
        <v>3000</v>
      </c>
      <c r="AL205" s="175"/>
      <c r="AM205" s="175"/>
    </row>
    <row r="206" spans="1:39">
      <c r="A206" s="172" t="s">
        <v>95</v>
      </c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>
        <v>2000</v>
      </c>
      <c r="O206" s="175">
        <v>350</v>
      </c>
      <c r="P206" s="175">
        <v>11</v>
      </c>
      <c r="Q206" s="175">
        <v>3000</v>
      </c>
      <c r="R206" s="175">
        <v>45</v>
      </c>
      <c r="S206" s="175">
        <v>2300</v>
      </c>
      <c r="T206" s="175"/>
      <c r="U206" s="175">
        <v>10</v>
      </c>
      <c r="V206" s="175">
        <v>40</v>
      </c>
      <c r="W206" s="175"/>
      <c r="X206" s="175" t="s">
        <v>80</v>
      </c>
      <c r="Y206" s="175" t="s">
        <v>80</v>
      </c>
      <c r="Z206" s="175">
        <v>100</v>
      </c>
      <c r="AA206" s="175">
        <v>35</v>
      </c>
      <c r="AB206" s="175">
        <v>2000</v>
      </c>
      <c r="AC206" s="175"/>
      <c r="AD206" s="175"/>
      <c r="AE206" s="175"/>
      <c r="AF206" s="175">
        <v>100</v>
      </c>
      <c r="AG206" s="175">
        <v>1000</v>
      </c>
      <c r="AH206" s="175"/>
      <c r="AI206" s="175"/>
      <c r="AJ206" s="175">
        <v>400</v>
      </c>
      <c r="AK206" s="175">
        <v>3000</v>
      </c>
      <c r="AL206" s="175"/>
      <c r="AM206" s="175"/>
    </row>
    <row r="207" spans="1:39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28"/>
    </row>
    <row r="208" spans="1:39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</row>
    <row r="209" spans="1:39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28"/>
    </row>
    <row r="210" spans="1:39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  <c r="AL210" s="318"/>
      <c r="AM210" s="318"/>
    </row>
    <row r="211" spans="1:39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  <c r="AL211" s="318"/>
      <c r="AM211" s="318"/>
    </row>
    <row r="212" spans="1:39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  <c r="AL212" s="318"/>
      <c r="AM212" s="318"/>
    </row>
    <row r="213" spans="1:39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  <c r="AL213" s="318"/>
      <c r="AM213" s="318"/>
    </row>
  </sheetData>
  <sheetProtection sheet="1" scenarios="1" formatCells="0" formatRows="0" insertRows="0" deleteRows="0" sort="0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4470278D81C4184FECD899AB7DBF6" ma:contentTypeVersion="5" ma:contentTypeDescription="Create a new document." ma:contentTypeScope="" ma:versionID="2d409ae487c75d53394cd19179a4c02a">
  <xsd:schema xmlns:xsd="http://www.w3.org/2001/XMLSchema" xmlns:xs="http://www.w3.org/2001/XMLSchema" xmlns:p="http://schemas.microsoft.com/office/2006/metadata/properties" xmlns:ns3="65547260-58df-41c0-9771-49cbfb5f03c2" targetNamespace="http://schemas.microsoft.com/office/2006/metadata/properties" ma:root="true" ma:fieldsID="9083b65279900a8eb2072525730b7b76" ns3:_="">
    <xsd:import namespace="65547260-58df-41c0-9771-49cbfb5f03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47260-58df-41c0-9771-49cbfb5f03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953B62-54DC-40F3-94C6-0E8E0E8FC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093A71-4144-4576-8D8A-23298105808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5547260-58df-41c0-9771-49cbfb5f03c2"/>
  </ds:schemaRefs>
</ds:datastoreItem>
</file>

<file path=customXml/itemProps3.xml><?xml version="1.0" encoding="utf-8"?>
<ds:datastoreItem xmlns:ds="http://schemas.openxmlformats.org/officeDocument/2006/customXml" ds:itemID="{CD7D676A-C1D0-4FD0-8597-300AD8D21E77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TACO v. 2 - 2006</vt:lpstr>
      <vt:lpstr>TACO v.4  - 2011</vt:lpstr>
      <vt:lpstr>IBGE - 2011</vt:lpstr>
      <vt:lpstr>Prescrição Dietética</vt:lpstr>
      <vt:lpstr>IBGE_2</vt:lpstr>
      <vt:lpstr>Avaliação Dietética</vt:lpstr>
      <vt:lpstr>IBGE_2!TB_ALIMENTO_ANALITO_2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MANUELA SILVA AMARO</cp:lastModifiedBy>
  <dcterms:created xsi:type="dcterms:W3CDTF">2006-11-14T15:56:23Z</dcterms:created>
  <dcterms:modified xsi:type="dcterms:W3CDTF">2026-04-02T12:58:19Z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0x010100F134470278D81C4184FECD899AB7DBF6</vt:lpwstr>
  </property>
</Properties>
</file>